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28777d03fcaf54da/Projects/exploratory_analysis_synthetic_sales_data/"/>
    </mc:Choice>
  </mc:AlternateContent>
  <xr:revisionPtr revIDLastSave="3263" documentId="8_{828CC8D6-6A15-4BCC-B4F9-23FA5243D261}" xr6:coauthVersionLast="47" xr6:coauthVersionMax="47" xr10:uidLastSave="{66A5499C-310A-4BAC-8489-F51E49F1E85F}"/>
  <bookViews>
    <workbookView xWindow="28680" yWindow="-120" windowWidth="29040" windowHeight="15720" firstSheet="9" activeTab="15" xr2:uid="{10760BA1-12AE-4865-A948-7CCE7F657846}"/>
  </bookViews>
  <sheets>
    <sheet name="sales_data" sheetId="3" r:id="rId1"/>
    <sheet name="Pivot" sheetId="22" state="hidden" r:id="rId2"/>
    <sheet name="sales_data_1" sheetId="2" r:id="rId3"/>
    <sheet name="product_category_id_lookup" sheetId="5" r:id="rId4"/>
    <sheet name="revenue_by_rep" sheetId="12" r:id="rId5"/>
    <sheet name="yearly_revenue_by_rep" sheetId="34" r:id="rId6"/>
    <sheet name="avg_sale_value_by_rep" sheetId="13" r:id="rId7"/>
    <sheet name="profit_by_rep" sheetId="20" r:id="rId8"/>
    <sheet name="revenue_by_region" sheetId="14" r:id="rId9"/>
    <sheet name="region heatmap" sheetId="27" r:id="rId10"/>
    <sheet name="qty_sales_by_rep" sheetId="6" r:id="rId11"/>
    <sheet name="product_category" sheetId="15" r:id="rId12"/>
    <sheet name="Product treemap" sheetId="29" r:id="rId13"/>
    <sheet name="Discounts" sheetId="16" r:id="rId14"/>
    <sheet name="Returning_v_New_Customers" sheetId="17" r:id="rId15"/>
    <sheet name="Online_v_Retail" sheetId="19" r:id="rId16"/>
  </sheets>
  <definedNames>
    <definedName name="_xlnm._FilterDatabase" localSheetId="11" hidden="1">product_category!$E$66:$F$466</definedName>
    <definedName name="_xlnm._FilterDatabase" localSheetId="2" hidden="1">sales_data_1!$A$1:$A$3204</definedName>
    <definedName name="_xlchart.v1.0" hidden="1">'Product treemap'!$A$2:$B$25</definedName>
    <definedName name="_xlchart.v1.1" hidden="1">'Product treemap'!$C$2:$C$25</definedName>
    <definedName name="ExternalData_1" localSheetId="0" hidden="1">sales_data!$A$1:$M$3204</definedName>
    <definedName name="Slicer_Sales_Rep">#N/A</definedName>
    <definedName name="Slicer_Year">#N/A</definedName>
  </definedNames>
  <calcPr calcId="191029"/>
  <pivotCaches>
    <pivotCache cacheId="0" r:id="rId17"/>
    <pivotCache cacheId="1"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5" i="34" l="1"/>
  <c r="Y4" i="34"/>
  <c r="Y3" i="34"/>
  <c r="X5" i="34"/>
  <c r="X4" i="34"/>
  <c r="X3" i="34"/>
  <c r="W5" i="34"/>
  <c r="W4" i="34"/>
  <c r="W3" i="34"/>
  <c r="V5" i="34"/>
  <c r="V4" i="34"/>
  <c r="V3" i="34"/>
  <c r="U5" i="34"/>
  <c r="U4" i="34"/>
  <c r="U3" i="34"/>
  <c r="AD17" i="16" a="1"/>
  <c r="AD17" i="16" s="1"/>
  <c r="AD16" i="16" a="1"/>
  <c r="AD16" i="16" s="1"/>
  <c r="Y48" i="15"/>
  <c r="Y49" i="15"/>
  <c r="Y50" i="15"/>
  <c r="Y51" i="15"/>
  <c r="Y52" i="15"/>
  <c r="Y53" i="15"/>
  <c r="Y54" i="15"/>
  <c r="Y47" i="15"/>
  <c r="W6" i="34"/>
  <c r="X6" i="34"/>
  <c r="Y6" i="34"/>
  <c r="U6" i="34"/>
  <c r="Q38" i="34"/>
  <c r="P38" i="34"/>
  <c r="O38" i="34"/>
  <c r="M38" i="34"/>
  <c r="L38" i="34"/>
  <c r="N38" i="34" s="1"/>
  <c r="J38" i="34"/>
  <c r="K38" i="34" s="1"/>
  <c r="I38" i="34"/>
  <c r="G38" i="34"/>
  <c r="F38" i="34"/>
  <c r="H38" i="34" s="1"/>
  <c r="D38" i="34"/>
  <c r="C38" i="34"/>
  <c r="E38" i="34" s="1"/>
  <c r="Q37" i="34"/>
  <c r="P37" i="34"/>
  <c r="O37" i="34"/>
  <c r="M37" i="34"/>
  <c r="L37" i="34"/>
  <c r="N37" i="34" s="1"/>
  <c r="J37" i="34"/>
  <c r="I37" i="34"/>
  <c r="K37" i="34" s="1"/>
  <c r="H37" i="34"/>
  <c r="G37" i="34"/>
  <c r="F37" i="34"/>
  <c r="D37" i="34"/>
  <c r="C37" i="34"/>
  <c r="E37" i="34" s="1"/>
  <c r="P36" i="34"/>
  <c r="Q36" i="34" s="1"/>
  <c r="O36" i="34"/>
  <c r="M36" i="34"/>
  <c r="L36" i="34"/>
  <c r="N36" i="34" s="1"/>
  <c r="J36" i="34"/>
  <c r="I36" i="34"/>
  <c r="K36" i="34" s="1"/>
  <c r="H36" i="34"/>
  <c r="G36" i="34"/>
  <c r="F36" i="34"/>
  <c r="D36" i="34"/>
  <c r="C36" i="34"/>
  <c r="E36" i="34" s="1"/>
  <c r="P35" i="34"/>
  <c r="O35" i="34"/>
  <c r="Q35" i="34" s="1"/>
  <c r="N35" i="34"/>
  <c r="M35" i="34"/>
  <c r="L35" i="34"/>
  <c r="J35" i="34"/>
  <c r="I35" i="34"/>
  <c r="K35" i="34" s="1"/>
  <c r="G35" i="34"/>
  <c r="H35" i="34" s="1"/>
  <c r="F35" i="34"/>
  <c r="D35" i="34"/>
  <c r="C35" i="34"/>
  <c r="E35" i="34" s="1"/>
  <c r="P34" i="34"/>
  <c r="O34" i="34"/>
  <c r="Q34" i="34" s="1"/>
  <c r="N34" i="34"/>
  <c r="M34" i="34"/>
  <c r="L34" i="34"/>
  <c r="J34" i="34"/>
  <c r="I34" i="34"/>
  <c r="K34" i="34" s="1"/>
  <c r="G34" i="34"/>
  <c r="F34" i="34"/>
  <c r="H34" i="34" s="1"/>
  <c r="E34" i="34"/>
  <c r="D34" i="34"/>
  <c r="C34" i="34"/>
  <c r="P33" i="34"/>
  <c r="O33" i="34"/>
  <c r="Q33" i="34" s="1"/>
  <c r="M33" i="34"/>
  <c r="N33" i="34" s="1"/>
  <c r="L33" i="34"/>
  <c r="J33" i="34"/>
  <c r="I33" i="34"/>
  <c r="K33" i="34" s="1"/>
  <c r="G33" i="34"/>
  <c r="F33" i="34"/>
  <c r="H33" i="34" s="1"/>
  <c r="E33" i="34"/>
  <c r="D33" i="34"/>
  <c r="C33" i="34"/>
  <c r="P32" i="34"/>
  <c r="O32" i="34"/>
  <c r="Q32" i="34" s="1"/>
  <c r="M32" i="34"/>
  <c r="L32" i="34"/>
  <c r="N32" i="34" s="1"/>
  <c r="K32" i="34"/>
  <c r="J32" i="34"/>
  <c r="I32" i="34"/>
  <c r="G32" i="34"/>
  <c r="F32" i="34"/>
  <c r="H32" i="34" s="1"/>
  <c r="D32" i="34"/>
  <c r="E32" i="34" s="1"/>
  <c r="C32" i="34"/>
  <c r="P31" i="34"/>
  <c r="O31" i="34"/>
  <c r="Q31" i="34" s="1"/>
  <c r="M31" i="34"/>
  <c r="L31" i="34"/>
  <c r="N31" i="34" s="1"/>
  <c r="K31" i="34"/>
  <c r="J31" i="34"/>
  <c r="I31" i="34"/>
  <c r="G31" i="34"/>
  <c r="F31" i="34"/>
  <c r="H31" i="34" s="1"/>
  <c r="D31" i="34"/>
  <c r="C31" i="34"/>
  <c r="E31" i="34" s="1"/>
  <c r="Q30" i="34"/>
  <c r="P30" i="34"/>
  <c r="O30" i="34"/>
  <c r="M30" i="34"/>
  <c r="L30" i="34"/>
  <c r="N30" i="34" s="1"/>
  <c r="J30" i="34"/>
  <c r="K30" i="34" s="1"/>
  <c r="I30" i="34"/>
  <c r="G30" i="34"/>
  <c r="F30" i="34"/>
  <c r="H30" i="34" s="1"/>
  <c r="D30" i="34"/>
  <c r="C30" i="34"/>
  <c r="E30" i="34" s="1"/>
  <c r="Q29" i="34"/>
  <c r="P29" i="34"/>
  <c r="O29" i="34"/>
  <c r="M29" i="34"/>
  <c r="L29" i="34"/>
  <c r="N29" i="34" s="1"/>
  <c r="J29" i="34"/>
  <c r="I29" i="34"/>
  <c r="K29" i="34" s="1"/>
  <c r="H29" i="34"/>
  <c r="G29" i="34"/>
  <c r="F29" i="34"/>
  <c r="D29" i="34"/>
  <c r="C29" i="34"/>
  <c r="E29" i="34" s="1"/>
  <c r="P28" i="34"/>
  <c r="Q28" i="34" s="1"/>
  <c r="O28" i="34"/>
  <c r="M28" i="34"/>
  <c r="L28" i="34"/>
  <c r="N28" i="34" s="1"/>
  <c r="J28" i="34"/>
  <c r="I28" i="34"/>
  <c r="K28" i="34" s="1"/>
  <c r="H28" i="34"/>
  <c r="G28" i="34"/>
  <c r="F28" i="34"/>
  <c r="D28" i="34"/>
  <c r="C28" i="34"/>
  <c r="E28" i="34" s="1"/>
  <c r="P27" i="34"/>
  <c r="O27" i="34"/>
  <c r="Q27" i="34" s="1"/>
  <c r="N27" i="34"/>
  <c r="M27" i="34"/>
  <c r="L27" i="34"/>
  <c r="J27" i="34"/>
  <c r="I27" i="34"/>
  <c r="K27" i="34" s="1"/>
  <c r="G27" i="34"/>
  <c r="H27" i="34" s="1"/>
  <c r="F27" i="34"/>
  <c r="D27" i="34"/>
  <c r="C27" i="34"/>
  <c r="E27" i="34" s="1"/>
  <c r="P26" i="34"/>
  <c r="O26" i="34"/>
  <c r="Q26" i="34" s="1"/>
  <c r="N26" i="34"/>
  <c r="M26" i="34"/>
  <c r="L26" i="34"/>
  <c r="J26" i="34"/>
  <c r="I26" i="34"/>
  <c r="K26" i="34" s="1"/>
  <c r="G26" i="34"/>
  <c r="F26" i="34"/>
  <c r="H26" i="34" s="1"/>
  <c r="E26" i="34"/>
  <c r="D26" i="34"/>
  <c r="C26" i="34"/>
  <c r="P25" i="34"/>
  <c r="O25" i="34"/>
  <c r="Q25" i="34" s="1"/>
  <c r="M25" i="34"/>
  <c r="N25" i="34" s="1"/>
  <c r="L25" i="34"/>
  <c r="J25" i="34"/>
  <c r="I25" i="34"/>
  <c r="K25" i="34" s="1"/>
  <c r="G25" i="34"/>
  <c r="F25" i="34"/>
  <c r="H25" i="34" s="1"/>
  <c r="E25" i="34"/>
  <c r="D25" i="34"/>
  <c r="C25" i="34"/>
  <c r="P24" i="34"/>
  <c r="O24" i="34"/>
  <c r="Q24" i="34" s="1"/>
  <c r="M24" i="34"/>
  <c r="L24" i="34"/>
  <c r="N24" i="34" s="1"/>
  <c r="K24" i="34"/>
  <c r="J24" i="34"/>
  <c r="I24" i="34"/>
  <c r="G24" i="34"/>
  <c r="F24" i="34"/>
  <c r="H24" i="34" s="1"/>
  <c r="D24" i="34"/>
  <c r="E24" i="34" s="1"/>
  <c r="C24" i="34"/>
  <c r="P23" i="34"/>
  <c r="O23" i="34"/>
  <c r="Q23" i="34" s="1"/>
  <c r="M23" i="34"/>
  <c r="L23" i="34"/>
  <c r="N23" i="34" s="1"/>
  <c r="K23" i="34"/>
  <c r="J23" i="34"/>
  <c r="I23" i="34"/>
  <c r="G23" i="34"/>
  <c r="F23" i="34"/>
  <c r="H23" i="34" s="1"/>
  <c r="D23" i="34"/>
  <c r="C23" i="34"/>
  <c r="E23" i="34" s="1"/>
  <c r="Q22" i="34"/>
  <c r="P22" i="34"/>
  <c r="O22" i="34"/>
  <c r="M22" i="34"/>
  <c r="L22" i="34"/>
  <c r="N22" i="34" s="1"/>
  <c r="J22" i="34"/>
  <c r="K22" i="34" s="1"/>
  <c r="I22" i="34"/>
  <c r="G22" i="34"/>
  <c r="F22" i="34"/>
  <c r="H22" i="34" s="1"/>
  <c r="D22" i="34"/>
  <c r="C22" i="34"/>
  <c r="E22" i="34" s="1"/>
  <c r="Q21" i="34"/>
  <c r="P21" i="34"/>
  <c r="O21" i="34"/>
  <c r="M21" i="34"/>
  <c r="L21" i="34"/>
  <c r="N21" i="34" s="1"/>
  <c r="J21" i="34"/>
  <c r="I21" i="34"/>
  <c r="K21" i="34" s="1"/>
  <c r="H21" i="34"/>
  <c r="G21" i="34"/>
  <c r="F21" i="34"/>
  <c r="D21" i="34"/>
  <c r="C21" i="34"/>
  <c r="E21" i="34" s="1"/>
  <c r="P20" i="34"/>
  <c r="Q20" i="34" s="1"/>
  <c r="O20" i="34"/>
  <c r="M20" i="34"/>
  <c r="L20" i="34"/>
  <c r="N20" i="34" s="1"/>
  <c r="J20" i="34"/>
  <c r="I20" i="34"/>
  <c r="K20" i="34" s="1"/>
  <c r="H20" i="34"/>
  <c r="G20" i="34"/>
  <c r="F20" i="34"/>
  <c r="D20" i="34"/>
  <c r="C20" i="34"/>
  <c r="E20" i="34" s="1"/>
  <c r="P19" i="34"/>
  <c r="O19" i="34"/>
  <c r="Q19" i="34" s="1"/>
  <c r="N19" i="34"/>
  <c r="M19" i="34"/>
  <c r="L19" i="34"/>
  <c r="J19" i="34"/>
  <c r="I19" i="34"/>
  <c r="K19" i="34" s="1"/>
  <c r="G19" i="34"/>
  <c r="H19" i="34" s="1"/>
  <c r="F19" i="34"/>
  <c r="D19" i="34"/>
  <c r="C19" i="34"/>
  <c r="E19" i="34" s="1"/>
  <c r="P18" i="34"/>
  <c r="O18" i="34"/>
  <c r="Q18" i="34" s="1"/>
  <c r="N18" i="34"/>
  <c r="M18" i="34"/>
  <c r="L18" i="34"/>
  <c r="J18" i="34"/>
  <c r="I18" i="34"/>
  <c r="K18" i="34" s="1"/>
  <c r="G18" i="34"/>
  <c r="F18" i="34"/>
  <c r="H18" i="34" s="1"/>
  <c r="E18" i="34"/>
  <c r="D18" i="34"/>
  <c r="C18" i="34"/>
  <c r="P17" i="34"/>
  <c r="O17" i="34"/>
  <c r="Q17" i="34" s="1"/>
  <c r="M17" i="34"/>
  <c r="N17" i="34" s="1"/>
  <c r="L17" i="34"/>
  <c r="J17" i="34"/>
  <c r="I17" i="34"/>
  <c r="K17" i="34" s="1"/>
  <c r="G17" i="34"/>
  <c r="F17" i="34"/>
  <c r="H17" i="34" s="1"/>
  <c r="E17" i="34"/>
  <c r="D17" i="34"/>
  <c r="C17" i="34"/>
  <c r="P16" i="34"/>
  <c r="O16" i="34"/>
  <c r="Q16" i="34" s="1"/>
  <c r="M16" i="34"/>
  <c r="L16" i="34"/>
  <c r="N16" i="34" s="1"/>
  <c r="K16" i="34"/>
  <c r="J16" i="34"/>
  <c r="I16" i="34"/>
  <c r="G16" i="34"/>
  <c r="F16" i="34"/>
  <c r="H16" i="34" s="1"/>
  <c r="D16" i="34"/>
  <c r="E16" i="34" s="1"/>
  <c r="C16" i="34"/>
  <c r="P15" i="34"/>
  <c r="O15" i="34"/>
  <c r="Q15" i="34" s="1"/>
  <c r="M15" i="34"/>
  <c r="L15" i="34"/>
  <c r="N15" i="34" s="1"/>
  <c r="K15" i="34"/>
  <c r="J15" i="34"/>
  <c r="I15" i="34"/>
  <c r="G15" i="34"/>
  <c r="F15" i="34"/>
  <c r="H15" i="34" s="1"/>
  <c r="D15" i="34"/>
  <c r="C15" i="34"/>
  <c r="E15" i="34" s="1"/>
  <c r="Q14" i="34"/>
  <c r="P14" i="34"/>
  <c r="O14" i="34"/>
  <c r="M14" i="34"/>
  <c r="L14" i="34"/>
  <c r="N14" i="34" s="1"/>
  <c r="J14" i="34"/>
  <c r="K14" i="34" s="1"/>
  <c r="I14" i="34"/>
  <c r="G14" i="34"/>
  <c r="F14" i="34"/>
  <c r="H14" i="34" s="1"/>
  <c r="D14" i="34"/>
  <c r="C14" i="34"/>
  <c r="E14" i="34" s="1"/>
  <c r="Q13" i="34"/>
  <c r="P13" i="34"/>
  <c r="O13" i="34"/>
  <c r="M13" i="34"/>
  <c r="L13" i="34"/>
  <c r="N13" i="34" s="1"/>
  <c r="J13" i="34"/>
  <c r="I13" i="34"/>
  <c r="K13" i="34" s="1"/>
  <c r="H13" i="34"/>
  <c r="G13" i="34"/>
  <c r="F13" i="34"/>
  <c r="D13" i="34"/>
  <c r="C13" i="34"/>
  <c r="E13" i="34" s="1"/>
  <c r="P12" i="34"/>
  <c r="Q12" i="34" s="1"/>
  <c r="O12" i="34"/>
  <c r="M12" i="34"/>
  <c r="L12" i="34"/>
  <c r="N12" i="34" s="1"/>
  <c r="J12" i="34"/>
  <c r="I12" i="34"/>
  <c r="K12" i="34" s="1"/>
  <c r="H12" i="34"/>
  <c r="G12" i="34"/>
  <c r="F12" i="34"/>
  <c r="D12" i="34"/>
  <c r="C12" i="34"/>
  <c r="E12" i="34" s="1"/>
  <c r="P11" i="34"/>
  <c r="O11" i="34"/>
  <c r="Q11" i="34" s="1"/>
  <c r="N11" i="34"/>
  <c r="M11" i="34"/>
  <c r="L11" i="34"/>
  <c r="J11" i="34"/>
  <c r="I11" i="34"/>
  <c r="K11" i="34" s="1"/>
  <c r="G11" i="34"/>
  <c r="H11" i="34" s="1"/>
  <c r="F11" i="34"/>
  <c r="D11" i="34"/>
  <c r="C11" i="34"/>
  <c r="E11" i="34" s="1"/>
  <c r="P10" i="34"/>
  <c r="O10" i="34"/>
  <c r="Q10" i="34" s="1"/>
  <c r="N10" i="34"/>
  <c r="M10" i="34"/>
  <c r="L10" i="34"/>
  <c r="J10" i="34"/>
  <c r="I10" i="34"/>
  <c r="K10" i="34" s="1"/>
  <c r="G10" i="34"/>
  <c r="F10" i="34"/>
  <c r="H10" i="34" s="1"/>
  <c r="E10" i="34"/>
  <c r="D10" i="34"/>
  <c r="C10" i="34"/>
  <c r="P9" i="34"/>
  <c r="O9" i="34"/>
  <c r="Q9" i="34" s="1"/>
  <c r="M9" i="34"/>
  <c r="N9" i="34" s="1"/>
  <c r="L9" i="34"/>
  <c r="J9" i="34"/>
  <c r="I9" i="34"/>
  <c r="K9" i="34" s="1"/>
  <c r="G9" i="34"/>
  <c r="F9" i="34"/>
  <c r="H9" i="34" s="1"/>
  <c r="E9" i="34"/>
  <c r="D9" i="34"/>
  <c r="C9" i="34"/>
  <c r="P8" i="34"/>
  <c r="O8" i="34"/>
  <c r="Q8" i="34" s="1"/>
  <c r="M8" i="34"/>
  <c r="L8" i="34"/>
  <c r="N8" i="34" s="1"/>
  <c r="K8" i="34"/>
  <c r="J8" i="34"/>
  <c r="I8" i="34"/>
  <c r="G8" i="34"/>
  <c r="F8" i="34"/>
  <c r="H8" i="34" s="1"/>
  <c r="D8" i="34"/>
  <c r="E8" i="34" s="1"/>
  <c r="C8" i="34"/>
  <c r="P7" i="34"/>
  <c r="O7" i="34"/>
  <c r="Q7" i="34" s="1"/>
  <c r="M7" i="34"/>
  <c r="L7" i="34"/>
  <c r="N7" i="34" s="1"/>
  <c r="K7" i="34"/>
  <c r="J7" i="34"/>
  <c r="I7" i="34"/>
  <c r="G7" i="34"/>
  <c r="F7" i="34"/>
  <c r="H7" i="34" s="1"/>
  <c r="D7" i="34"/>
  <c r="C7" i="34"/>
  <c r="E7" i="34" s="1"/>
  <c r="Q6" i="34"/>
  <c r="P6" i="34"/>
  <c r="O6" i="34"/>
  <c r="M6" i="34"/>
  <c r="L6" i="34"/>
  <c r="N6" i="34" s="1"/>
  <c r="J6" i="34"/>
  <c r="K6" i="34" s="1"/>
  <c r="I6" i="34"/>
  <c r="G6" i="34"/>
  <c r="F6" i="34"/>
  <c r="H6" i="34" s="1"/>
  <c r="D6" i="34"/>
  <c r="C6" i="34"/>
  <c r="E6" i="34" s="1"/>
  <c r="P5" i="34"/>
  <c r="O5" i="34"/>
  <c r="Q5" i="34" s="1"/>
  <c r="N5" i="34"/>
  <c r="M5" i="34"/>
  <c r="L5" i="34"/>
  <c r="J5" i="34"/>
  <c r="I5" i="34"/>
  <c r="K5" i="34" s="1"/>
  <c r="G5" i="34"/>
  <c r="F5" i="34"/>
  <c r="H5" i="34" s="1"/>
  <c r="E5" i="34"/>
  <c r="D5" i="34"/>
  <c r="C5" i="34"/>
  <c r="Q4" i="34"/>
  <c r="P4" i="34"/>
  <c r="O4" i="34"/>
  <c r="M4" i="34"/>
  <c r="L4" i="34"/>
  <c r="N4" i="34" s="1"/>
  <c r="J4" i="34"/>
  <c r="K4" i="34" s="1"/>
  <c r="I4" i="34"/>
  <c r="G4" i="34"/>
  <c r="F4" i="34"/>
  <c r="H4" i="34" s="1"/>
  <c r="D4" i="34"/>
  <c r="C4" i="34"/>
  <c r="E4" i="34" s="1"/>
  <c r="P3" i="34"/>
  <c r="O3" i="34"/>
  <c r="Q3" i="34" s="1"/>
  <c r="N3" i="34"/>
  <c r="M3" i="34"/>
  <c r="L3" i="34"/>
  <c r="J3" i="34"/>
  <c r="I3" i="34"/>
  <c r="K3" i="34" s="1"/>
  <c r="G3" i="34"/>
  <c r="F3" i="34"/>
  <c r="H3" i="34" s="1"/>
  <c r="E3" i="34"/>
  <c r="D3" i="34"/>
  <c r="C3" i="34"/>
  <c r="T217" i="2"/>
  <c r="T312" i="2"/>
  <c r="T344" i="2"/>
  <c r="T383" i="2"/>
  <c r="T491" i="2"/>
  <c r="T558" i="2"/>
  <c r="T571" i="2"/>
  <c r="T664" i="2"/>
  <c r="T693" i="2"/>
  <c r="T697" i="2"/>
  <c r="T698" i="2"/>
  <c r="T771" i="2"/>
  <c r="T777" i="2"/>
  <c r="T795" i="2"/>
  <c r="T826" i="2"/>
  <c r="T840" i="2"/>
  <c r="T888" i="2"/>
  <c r="T889" i="2"/>
  <c r="T906" i="2"/>
  <c r="T922" i="2"/>
  <c r="T939" i="2"/>
  <c r="T942" i="2"/>
  <c r="T958" i="2"/>
  <c r="T972" i="2"/>
  <c r="T1003" i="2"/>
  <c r="T1006" i="2"/>
  <c r="T1012" i="2"/>
  <c r="T1024" i="2"/>
  <c r="T1051" i="2"/>
  <c r="T1068" i="2"/>
  <c r="T1069" i="2"/>
  <c r="T1086" i="2"/>
  <c r="T1092" i="2"/>
  <c r="T1106" i="2"/>
  <c r="T1117" i="2"/>
  <c r="T1140" i="2"/>
  <c r="T1146" i="2"/>
  <c r="T1153" i="2"/>
  <c r="T1155" i="2"/>
  <c r="T1187" i="2"/>
  <c r="T1188" i="2"/>
  <c r="T1198" i="2"/>
  <c r="T1235" i="2"/>
  <c r="T1242" i="2"/>
  <c r="T1245" i="2"/>
  <c r="T1246" i="2"/>
  <c r="T1265" i="2"/>
  <c r="T1289" i="2"/>
  <c r="T1309" i="2"/>
  <c r="T1323" i="2"/>
  <c r="T1324" i="2"/>
  <c r="T1330" i="2"/>
  <c r="T1346" i="2"/>
  <c r="T1357" i="2"/>
  <c r="T1361" i="2"/>
  <c r="T1370" i="2"/>
  <c r="T1401" i="2"/>
  <c r="T1409" i="2"/>
  <c r="T1419" i="2"/>
  <c r="T1442" i="2"/>
  <c r="T1453" i="2"/>
  <c r="T1454" i="2"/>
  <c r="T1462" i="2"/>
  <c r="T1466" i="2"/>
  <c r="T1496" i="2"/>
  <c r="T1533" i="2"/>
  <c r="T1535" i="2"/>
  <c r="T1539" i="2"/>
  <c r="T1548" i="2"/>
  <c r="T1549" i="2"/>
  <c r="T1576" i="2"/>
  <c r="T1589" i="2"/>
  <c r="T1590" i="2"/>
  <c r="T1616" i="2"/>
  <c r="T1618" i="2"/>
  <c r="T1632" i="2"/>
  <c r="T1671" i="2"/>
  <c r="T1678" i="2"/>
  <c r="T1685" i="2"/>
  <c r="T1692" i="2"/>
  <c r="T1714" i="2"/>
  <c r="T1715" i="2"/>
  <c r="T1744" i="2"/>
  <c r="T1755" i="2"/>
  <c r="T1756" i="2"/>
  <c r="T1758" i="2"/>
  <c r="T1762" i="2"/>
  <c r="T1797" i="2"/>
  <c r="T1804" i="2"/>
  <c r="T1805" i="2"/>
  <c r="T1816" i="2"/>
  <c r="T1840" i="2"/>
  <c r="T1842" i="2"/>
  <c r="T1846" i="2"/>
  <c r="T1859" i="2"/>
  <c r="T1860" i="2"/>
  <c r="T1893" i="2"/>
  <c r="T1899" i="2"/>
  <c r="T1901" i="2"/>
  <c r="T1910" i="2"/>
  <c r="T1930" i="2"/>
  <c r="T1950" i="2"/>
  <c r="T1963" i="2"/>
  <c r="T1964" i="2"/>
  <c r="T1965" i="2"/>
  <c r="T1971" i="2"/>
  <c r="T1997" i="2"/>
  <c r="T1998" i="2"/>
  <c r="T2006" i="2"/>
  <c r="T2014" i="2"/>
  <c r="T2019" i="2"/>
  <c r="T2023" i="2"/>
  <c r="T2037" i="2"/>
  <c r="T2039" i="2"/>
  <c r="T2054" i="2"/>
  <c r="T2055" i="2"/>
  <c r="T2064" i="2"/>
  <c r="T2076" i="2"/>
  <c r="T2079" i="2"/>
  <c r="T2090" i="2"/>
  <c r="T2092" i="2"/>
  <c r="T2117" i="2"/>
  <c r="T2118" i="2"/>
  <c r="T2130" i="2"/>
  <c r="T2131" i="2"/>
  <c r="T2133" i="2"/>
  <c r="T2149" i="2"/>
  <c r="T2151" i="2"/>
  <c r="T2155" i="2"/>
  <c r="T2160" i="2"/>
  <c r="T2163" i="2"/>
  <c r="T2167" i="2"/>
  <c r="T2183" i="2"/>
  <c r="T2184" i="2"/>
  <c r="T2194" i="2"/>
  <c r="T2195" i="2"/>
  <c r="T2199" i="2"/>
  <c r="T2215" i="2"/>
  <c r="T2216" i="2"/>
  <c r="T2218" i="2"/>
  <c r="T2220" i="2"/>
  <c r="T2245" i="2"/>
  <c r="T2246" i="2"/>
  <c r="T2255" i="2"/>
  <c r="T2258" i="2"/>
  <c r="T2270" i="2"/>
  <c r="T2280" i="2"/>
  <c r="T2307" i="2"/>
  <c r="T2310" i="2"/>
  <c r="T2322" i="2"/>
  <c r="T2326" i="2"/>
  <c r="T2327" i="2"/>
  <c r="T2328" i="2"/>
  <c r="T2338" i="2"/>
  <c r="T2339" i="2"/>
  <c r="T2352" i="2"/>
  <c r="T2362" i="2"/>
  <c r="T2363" i="2"/>
  <c r="T2366" i="2"/>
  <c r="T2372" i="2"/>
  <c r="T2387" i="2"/>
  <c r="T2392" i="2"/>
  <c r="T2399" i="2"/>
  <c r="T2413" i="2"/>
  <c r="T2414" i="2"/>
  <c r="T2418" i="2"/>
  <c r="T2419" i="2"/>
  <c r="T2439" i="2"/>
  <c r="T2440" i="2"/>
  <c r="T2455" i="2"/>
  <c r="T2456" i="2"/>
  <c r="T2460" i="2"/>
  <c r="T2466" i="2"/>
  <c r="T2471" i="2"/>
  <c r="T2482" i="2"/>
  <c r="T2486" i="2"/>
  <c r="T2496" i="2"/>
  <c r="T2499" i="2"/>
  <c r="T2501" i="2"/>
  <c r="T2511" i="2"/>
  <c r="T2518" i="2"/>
  <c r="T2539" i="2"/>
  <c r="T2540" i="2"/>
  <c r="T2541" i="2"/>
  <c r="T2542" i="2"/>
  <c r="T2556" i="2"/>
  <c r="T2565" i="2"/>
  <c r="T2572" i="2"/>
  <c r="T2583" i="2"/>
  <c r="T2584" i="2"/>
  <c r="T2586" i="2"/>
  <c r="T2594" i="2"/>
  <c r="T2595" i="2"/>
  <c r="T2606" i="2"/>
  <c r="T2613" i="2"/>
  <c r="T2622" i="2"/>
  <c r="T2623" i="2"/>
  <c r="T2628" i="2"/>
  <c r="T2646" i="2"/>
  <c r="T2664" i="2"/>
  <c r="T2669" i="2"/>
  <c r="T2675" i="2"/>
  <c r="T2679" i="2"/>
  <c r="T2682" i="2"/>
  <c r="T2685" i="2"/>
  <c r="T2707" i="2"/>
  <c r="T2710" i="2"/>
  <c r="T2711" i="2"/>
  <c r="T2727" i="2"/>
  <c r="T2728" i="2"/>
  <c r="T2733" i="2"/>
  <c r="T2748" i="2"/>
  <c r="T2749" i="2"/>
  <c r="T2750" i="2"/>
  <c r="T2751" i="2"/>
  <c r="T2752" i="2"/>
  <c r="T2774" i="2"/>
  <c r="T2779" i="2"/>
  <c r="T2784" i="2"/>
  <c r="T2792" i="2"/>
  <c r="T2795" i="2"/>
  <c r="T2815" i="2"/>
  <c r="T2823" i="2"/>
  <c r="T2831" i="2"/>
  <c r="T2847" i="2"/>
  <c r="T2848" i="2"/>
  <c r="T2852" i="2"/>
  <c r="T2874" i="2"/>
  <c r="T2875" i="2"/>
  <c r="T2877" i="2"/>
  <c r="T2884" i="2"/>
  <c r="T2887" i="2"/>
  <c r="T2888" i="2"/>
  <c r="T2904" i="2"/>
  <c r="T2916" i="2"/>
  <c r="T2917" i="2"/>
  <c r="T2919" i="2"/>
  <c r="T2947" i="2"/>
  <c r="T2949" i="2"/>
  <c r="T2951" i="2"/>
  <c r="T2957" i="2"/>
  <c r="T2978" i="2"/>
  <c r="T2983" i="2"/>
  <c r="T2987" i="2"/>
  <c r="T2988" i="2"/>
  <c r="T2996" i="2"/>
  <c r="T3000" i="2"/>
  <c r="T3001" i="2"/>
  <c r="T3009" i="2"/>
  <c r="T3011" i="2"/>
  <c r="T3025" i="2"/>
  <c r="T3026" i="2"/>
  <c r="T3033" i="2"/>
  <c r="T3034" i="2"/>
  <c r="T3056" i="2"/>
  <c r="T3057" i="2"/>
  <c r="T3061" i="2"/>
  <c r="T3071" i="2"/>
  <c r="T3084" i="2"/>
  <c r="T3088" i="2"/>
  <c r="T3098" i="2"/>
  <c r="T3106" i="2"/>
  <c r="T3117" i="2"/>
  <c r="T3120" i="2"/>
  <c r="T3124" i="2"/>
  <c r="T3127" i="2"/>
  <c r="T3143" i="2"/>
  <c r="T3144" i="2"/>
  <c r="T3145" i="2"/>
  <c r="T3146" i="2"/>
  <c r="T3147" i="2"/>
  <c r="T3157" i="2"/>
  <c r="T3161" i="2"/>
  <c r="T3165" i="2"/>
  <c r="T3172" i="2"/>
  <c r="T3183" i="2"/>
  <c r="T3184" i="2"/>
  <c r="T3188" i="2"/>
  <c r="T3191" i="2"/>
  <c r="T3192" i="2"/>
  <c r="T3202" i="2"/>
  <c r="T3203"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F51" i="17"/>
  <c r="E51" i="17"/>
  <c r="C72" i="17"/>
  <c r="C54" i="17"/>
  <c r="C55" i="17"/>
  <c r="C56" i="17"/>
  <c r="C57" i="17"/>
  <c r="C58" i="17"/>
  <c r="C59" i="17"/>
  <c r="C60" i="17"/>
  <c r="C61" i="17"/>
  <c r="C62" i="17"/>
  <c r="C63" i="17"/>
  <c r="C64" i="17"/>
  <c r="C65" i="17"/>
  <c r="C66" i="17"/>
  <c r="C67" i="17"/>
  <c r="C68" i="17"/>
  <c r="C69" i="17"/>
  <c r="C70" i="17"/>
  <c r="C71" i="17"/>
  <c r="C53" i="17"/>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 i="16"/>
  <c r="N152" i="2"/>
  <c r="T152" i="2" s="1"/>
  <c r="N1473" i="2"/>
  <c r="T1473" i="2" s="1"/>
  <c r="N1885" i="2"/>
  <c r="T1885" i="2" s="1"/>
  <c r="N1557" i="2"/>
  <c r="T1557" i="2" s="1"/>
  <c r="N2517" i="2"/>
  <c r="T2517" i="2" s="1"/>
  <c r="N1274" i="2"/>
  <c r="T1274" i="2" s="1"/>
  <c r="N543" i="2"/>
  <c r="T543" i="2" s="1"/>
  <c r="N1773" i="2"/>
  <c r="T1773" i="2" s="1"/>
  <c r="N385" i="2"/>
  <c r="T385" i="2" s="1"/>
  <c r="N3194" i="2"/>
  <c r="T3194" i="2" s="1"/>
  <c r="N1331" i="2"/>
  <c r="T1331" i="2" s="1"/>
  <c r="N1702" i="2"/>
  <c r="T1702" i="2" s="1"/>
  <c r="N2469" i="2"/>
  <c r="T2469" i="2" s="1"/>
  <c r="N1371" i="2"/>
  <c r="T1371" i="2" s="1"/>
  <c r="N1718" i="2"/>
  <c r="T1718" i="2" s="1"/>
  <c r="N1380" i="2"/>
  <c r="T1380" i="2" s="1"/>
  <c r="N2855" i="2"/>
  <c r="T2855" i="2" s="1"/>
  <c r="N1149" i="2"/>
  <c r="T1149" i="2" s="1"/>
  <c r="N1008" i="2"/>
  <c r="T1008" i="2" s="1"/>
  <c r="N310" i="2"/>
  <c r="T310" i="2" s="1"/>
  <c r="N508" i="2"/>
  <c r="T508" i="2" s="1"/>
  <c r="N1693" i="2"/>
  <c r="T1693" i="2" s="1"/>
  <c r="N1658" i="2"/>
  <c r="T1658" i="2" s="1"/>
  <c r="N1231" i="2"/>
  <c r="T1231" i="2" s="1"/>
  <c r="N3053" i="2"/>
  <c r="T3053" i="2" s="1"/>
  <c r="N1694" i="2"/>
  <c r="T1694" i="2" s="1"/>
  <c r="N114" i="2"/>
  <c r="T114" i="2" s="1"/>
  <c r="N2113" i="2"/>
  <c r="T2113" i="2" s="1"/>
  <c r="N3014" i="2"/>
  <c r="T3014" i="2" s="1"/>
  <c r="N1923" i="2"/>
  <c r="T1923" i="2" s="1"/>
  <c r="N2857" i="2"/>
  <c r="T2857" i="2" s="1"/>
  <c r="N1279" i="2"/>
  <c r="T1279" i="2" s="1"/>
  <c r="N1856" i="2"/>
  <c r="T1856" i="2" s="1"/>
  <c r="N1649" i="2"/>
  <c r="T1649" i="2" s="1"/>
  <c r="N426" i="2"/>
  <c r="T426" i="2" s="1"/>
  <c r="N933" i="2"/>
  <c r="T933" i="2" s="1"/>
  <c r="N1645" i="2"/>
  <c r="T1645" i="2" s="1"/>
  <c r="N1594" i="2"/>
  <c r="T1594" i="2" s="1"/>
  <c r="N1558" i="2"/>
  <c r="T1558" i="2" s="1"/>
  <c r="N800" i="2"/>
  <c r="T800" i="2" s="1"/>
  <c r="N1617" i="2"/>
  <c r="T1617" i="2" s="1"/>
  <c r="N2239" i="2"/>
  <c r="T2239" i="2" s="1"/>
  <c r="N1471" i="2"/>
  <c r="T1471" i="2" s="1"/>
  <c r="N2505" i="2"/>
  <c r="T2505" i="2" s="1"/>
  <c r="N1173" i="2"/>
  <c r="T1173" i="2" s="1"/>
  <c r="N1615" i="2"/>
  <c r="T1615" i="2" s="1"/>
  <c r="N1474" i="2"/>
  <c r="T1474" i="2" s="1"/>
  <c r="N679" i="2"/>
  <c r="T679" i="2" s="1"/>
  <c r="N354" i="2"/>
  <c r="T354" i="2" s="1"/>
  <c r="N1220" i="2"/>
  <c r="T1220" i="2" s="1"/>
  <c r="N2035" i="2"/>
  <c r="T2035" i="2" s="1"/>
  <c r="N1017" i="2"/>
  <c r="T1017" i="2" s="1"/>
  <c r="N1916" i="2"/>
  <c r="T1916" i="2" s="1"/>
  <c r="N1224" i="2"/>
  <c r="T1224" i="2" s="1"/>
  <c r="N1934" i="2"/>
  <c r="T1934" i="2" s="1"/>
  <c r="N1521" i="2"/>
  <c r="T1521" i="2" s="1"/>
  <c r="N1779" i="2"/>
  <c r="T1779" i="2" s="1"/>
  <c r="N2308" i="2"/>
  <c r="T2308" i="2" s="1"/>
  <c r="N2135" i="2"/>
  <c r="T2135" i="2" s="1"/>
  <c r="N1709" i="2"/>
  <c r="T1709" i="2" s="1"/>
  <c r="N1123" i="2"/>
  <c r="T1123" i="2" s="1"/>
  <c r="N669" i="2"/>
  <c r="T669" i="2" s="1"/>
  <c r="N1157" i="2"/>
  <c r="T1157" i="2" s="1"/>
  <c r="N2075" i="2"/>
  <c r="T2075" i="2" s="1"/>
  <c r="N1189" i="2"/>
  <c r="T1189" i="2" s="1"/>
  <c r="N1564" i="2"/>
  <c r="T1564" i="2" s="1"/>
  <c r="N2055" i="2"/>
  <c r="N2428" i="2"/>
  <c r="T2428" i="2" s="1"/>
  <c r="N2949" i="2"/>
  <c r="N3173" i="2"/>
  <c r="T3173" i="2" s="1"/>
  <c r="N437" i="2"/>
  <c r="T437" i="2" s="1"/>
  <c r="N1379" i="2"/>
  <c r="T1379" i="2" s="1"/>
  <c r="N705" i="2"/>
  <c r="T705" i="2" s="1"/>
  <c r="N1027" i="2"/>
  <c r="T1027" i="2" s="1"/>
  <c r="N1913" i="2"/>
  <c r="T1913" i="2" s="1"/>
  <c r="N1503" i="2"/>
  <c r="T1503" i="2" s="1"/>
  <c r="N1889" i="2"/>
  <c r="T1889" i="2" s="1"/>
  <c r="N2350" i="2"/>
  <c r="T2350" i="2" s="1"/>
  <c r="N1361" i="2"/>
  <c r="N1959" i="2"/>
  <c r="T1959" i="2" s="1"/>
  <c r="N2845" i="2"/>
  <c r="T2845" i="2" s="1"/>
  <c r="N2962" i="2"/>
  <c r="T2962" i="2" s="1"/>
  <c r="N2551" i="2"/>
  <c r="T2551" i="2" s="1"/>
  <c r="N2797" i="2"/>
  <c r="T2797" i="2" s="1"/>
  <c r="N1721" i="2"/>
  <c r="T1721" i="2" s="1"/>
  <c r="N1824" i="2"/>
  <c r="T1824" i="2" s="1"/>
  <c r="N577" i="2"/>
  <c r="T577" i="2" s="1"/>
  <c r="N2263" i="2"/>
  <c r="T2263" i="2" s="1"/>
  <c r="N1890" i="2"/>
  <c r="T1890" i="2" s="1"/>
  <c r="N842" i="2"/>
  <c r="T842" i="2" s="1"/>
  <c r="N1094" i="2"/>
  <c r="T1094" i="2" s="1"/>
  <c r="N390" i="2"/>
  <c r="T390" i="2" s="1"/>
  <c r="N2990" i="2"/>
  <c r="T2990" i="2" s="1"/>
  <c r="N573" i="2"/>
  <c r="T573" i="2" s="1"/>
  <c r="N2" i="2"/>
  <c r="T2" i="2" s="1"/>
  <c r="N1300" i="2"/>
  <c r="T1300" i="2" s="1"/>
  <c r="N1665" i="2"/>
  <c r="T1665" i="2" s="1"/>
  <c r="N242" i="2"/>
  <c r="T242" i="2" s="1"/>
  <c r="N1183" i="2"/>
  <c r="T1183" i="2" s="1"/>
  <c r="N1646" i="2"/>
  <c r="T1646" i="2" s="1"/>
  <c r="N520" i="2"/>
  <c r="T520" i="2" s="1"/>
  <c r="N1163" i="2"/>
  <c r="T1163" i="2" s="1"/>
  <c r="N1458" i="2"/>
  <c r="T1458" i="2" s="1"/>
  <c r="N2210" i="2"/>
  <c r="T2210" i="2" s="1"/>
  <c r="N2537" i="2"/>
  <c r="T2537" i="2" s="1"/>
  <c r="N1574" i="2"/>
  <c r="T1574" i="2" s="1"/>
  <c r="N72" i="2"/>
  <c r="T72" i="2" s="1"/>
  <c r="N1441" i="2"/>
  <c r="T1441" i="2" s="1"/>
  <c r="N974" i="2"/>
  <c r="T974" i="2" s="1"/>
  <c r="N2143" i="2"/>
  <c r="T2143" i="2" s="1"/>
  <c r="N2862" i="2"/>
  <c r="T2862" i="2" s="1"/>
  <c r="N3018" i="2"/>
  <c r="T3018" i="2" s="1"/>
  <c r="N792" i="2"/>
  <c r="T792" i="2" s="1"/>
  <c r="N2284" i="2"/>
  <c r="T2284" i="2" s="1"/>
  <c r="N1319" i="2"/>
  <c r="T1319" i="2" s="1"/>
  <c r="N570" i="2"/>
  <c r="T570" i="2" s="1"/>
  <c r="N835" i="2"/>
  <c r="T835" i="2" s="1"/>
  <c r="N2594" i="2"/>
  <c r="N1954" i="2"/>
  <c r="T1954" i="2" s="1"/>
  <c r="N1560" i="2"/>
  <c r="T1560" i="2" s="1"/>
  <c r="N130" i="2"/>
  <c r="T130" i="2" s="1"/>
  <c r="N1200" i="2"/>
  <c r="T1200" i="2" s="1"/>
  <c r="N2622" i="2"/>
  <c r="N1442" i="2"/>
  <c r="N1761" i="2"/>
  <c r="T1761" i="2" s="1"/>
  <c r="N2261" i="2"/>
  <c r="T2261" i="2" s="1"/>
  <c r="N2905" i="2"/>
  <c r="T2905" i="2" s="1"/>
  <c r="N489" i="2"/>
  <c r="T489" i="2" s="1"/>
  <c r="N1366" i="2"/>
  <c r="T1366" i="2" s="1"/>
  <c r="N1475" i="2"/>
  <c r="T1475" i="2" s="1"/>
  <c r="N1816" i="2"/>
  <c r="N676" i="2"/>
  <c r="T676" i="2" s="1"/>
  <c r="N1188" i="2"/>
  <c r="N341" i="2"/>
  <c r="T341" i="2" s="1"/>
  <c r="N1785" i="2"/>
  <c r="T1785" i="2" s="1"/>
  <c r="N218" i="2"/>
  <c r="T218" i="2" s="1"/>
  <c r="N1295" i="2"/>
  <c r="T1295" i="2" s="1"/>
  <c r="N41" i="2"/>
  <c r="T41" i="2" s="1"/>
  <c r="N1606" i="2"/>
  <c r="T1606" i="2" s="1"/>
  <c r="N1360" i="2"/>
  <c r="T1360" i="2" s="1"/>
  <c r="N2174" i="2"/>
  <c r="T2174" i="2" s="1"/>
  <c r="N1491" i="2"/>
  <c r="T1491" i="2" s="1"/>
  <c r="N1935" i="2"/>
  <c r="T1935" i="2" s="1"/>
  <c r="N1243" i="2"/>
  <c r="T1243" i="2" s="1"/>
  <c r="N535" i="2"/>
  <c r="T535" i="2" s="1"/>
  <c r="N2070" i="2"/>
  <c r="T2070" i="2" s="1"/>
  <c r="N2598" i="2"/>
  <c r="T2598" i="2" s="1"/>
  <c r="N764" i="2"/>
  <c r="T764" i="2" s="1"/>
  <c r="N634" i="2"/>
  <c r="T634" i="2" s="1"/>
  <c r="N88" i="2"/>
  <c r="T88" i="2" s="1"/>
  <c r="N97" i="2"/>
  <c r="T97" i="2" s="1"/>
  <c r="N1578" i="2"/>
  <c r="T1578" i="2" s="1"/>
  <c r="N1254" i="2"/>
  <c r="T1254" i="2" s="1"/>
  <c r="N571" i="2"/>
  <c r="N2349" i="2"/>
  <c r="T2349" i="2" s="1"/>
  <c r="N894" i="2"/>
  <c r="T894" i="2" s="1"/>
  <c r="N1796" i="2"/>
  <c r="T1796" i="2" s="1"/>
  <c r="N1034" i="2"/>
  <c r="T1034" i="2" s="1"/>
  <c r="N1922" i="2"/>
  <c r="T1922" i="2" s="1"/>
  <c r="N2768" i="2"/>
  <c r="T2768" i="2" s="1"/>
  <c r="N83" i="2"/>
  <c r="T83" i="2" s="1"/>
  <c r="N1040" i="2"/>
  <c r="T1040" i="2" s="1"/>
  <c r="N2521" i="2"/>
  <c r="T2521" i="2" s="1"/>
  <c r="N1481" i="2"/>
  <c r="T1481" i="2" s="1"/>
  <c r="N293" i="2"/>
  <c r="T293" i="2" s="1"/>
  <c r="N324" i="2"/>
  <c r="T324" i="2" s="1"/>
  <c r="N2823" i="2"/>
  <c r="N1622" i="2"/>
  <c r="T1622" i="2" s="1"/>
  <c r="N2305" i="2"/>
  <c r="T2305" i="2" s="1"/>
  <c r="N487" i="2"/>
  <c r="T487" i="2" s="1"/>
  <c r="N1126" i="2"/>
  <c r="T1126" i="2" s="1"/>
  <c r="N2854" i="2"/>
  <c r="T2854" i="2" s="1"/>
  <c r="N1884" i="2"/>
  <c r="T1884" i="2" s="1"/>
  <c r="N1725" i="2"/>
  <c r="T1725" i="2" s="1"/>
  <c r="N1139" i="2"/>
  <c r="T1139" i="2" s="1"/>
  <c r="N2340" i="2"/>
  <c r="T2340" i="2" s="1"/>
  <c r="N446" i="2"/>
  <c r="T446" i="2" s="1"/>
  <c r="N2479" i="2"/>
  <c r="T2479" i="2" s="1"/>
  <c r="N2838" i="2"/>
  <c r="T2838" i="2" s="1"/>
  <c r="N1089" i="2"/>
  <c r="T1089" i="2" s="1"/>
  <c r="N1897" i="2"/>
  <c r="T1897" i="2" s="1"/>
  <c r="N672" i="2"/>
  <c r="T672" i="2" s="1"/>
  <c r="N2337" i="2"/>
  <c r="T2337" i="2" s="1"/>
  <c r="N2481" i="2"/>
  <c r="T2481" i="2" s="1"/>
  <c r="N2828" i="2"/>
  <c r="T2828" i="2" s="1"/>
  <c r="N1903" i="2"/>
  <c r="T1903" i="2" s="1"/>
  <c r="N946" i="2"/>
  <c r="T946" i="2" s="1"/>
  <c r="N613" i="2"/>
  <c r="T613" i="2" s="1"/>
  <c r="N3092" i="2"/>
  <c r="T3092" i="2" s="1"/>
  <c r="N1412" i="2"/>
  <c r="T1412" i="2" s="1"/>
  <c r="N400" i="2"/>
  <c r="T400" i="2" s="1"/>
  <c r="N2645" i="2"/>
  <c r="T2645" i="2" s="1"/>
  <c r="N2971" i="2"/>
  <c r="T2971" i="2" s="1"/>
  <c r="N73" i="2"/>
  <c r="T73" i="2" s="1"/>
  <c r="N298" i="2"/>
  <c r="T298" i="2" s="1"/>
  <c r="N1836" i="2"/>
  <c r="T1836" i="2" s="1"/>
  <c r="N2529" i="2"/>
  <c r="T2529" i="2" s="1"/>
  <c r="N2807" i="2"/>
  <c r="T2807" i="2" s="1"/>
  <c r="N2777" i="2"/>
  <c r="T2777" i="2" s="1"/>
  <c r="N142" i="2"/>
  <c r="T142" i="2" s="1"/>
  <c r="N3063" i="2"/>
  <c r="T3063" i="2" s="1"/>
  <c r="N436" i="2"/>
  <c r="T436" i="2" s="1"/>
  <c r="N1382" i="2"/>
  <c r="T1382" i="2" s="1"/>
  <c r="N2516" i="2"/>
  <c r="T2516" i="2" s="1"/>
  <c r="N1202" i="2"/>
  <c r="T1202" i="2" s="1"/>
  <c r="N2390" i="2"/>
  <c r="T2390" i="2" s="1"/>
  <c r="N63" i="2"/>
  <c r="T63" i="2" s="1"/>
  <c r="N3064" i="2"/>
  <c r="T3064" i="2" s="1"/>
  <c r="N2764" i="2"/>
  <c r="T2764" i="2" s="1"/>
  <c r="N1684" i="2"/>
  <c r="T1684" i="2" s="1"/>
  <c r="N2539" i="2"/>
  <c r="N1499" i="2"/>
  <c r="T1499" i="2" s="1"/>
  <c r="N2094" i="2"/>
  <c r="T2094" i="2" s="1"/>
  <c r="N456" i="2"/>
  <c r="T456" i="2" s="1"/>
  <c r="N845" i="2"/>
  <c r="T845" i="2" s="1"/>
  <c r="N1920" i="2"/>
  <c r="T1920" i="2" s="1"/>
  <c r="N1638" i="2"/>
  <c r="T1638" i="2" s="1"/>
  <c r="N2957" i="2"/>
  <c r="N2046" i="2"/>
  <c r="T2046" i="2" s="1"/>
  <c r="N2451" i="2"/>
  <c r="T2451" i="2" s="1"/>
  <c r="N1493" i="2"/>
  <c r="T1493" i="2" s="1"/>
  <c r="N3136" i="2"/>
  <c r="T3136" i="2" s="1"/>
  <c r="N931" i="2"/>
  <c r="T931" i="2" s="1"/>
  <c r="N1451" i="2"/>
  <c r="T1451" i="2" s="1"/>
  <c r="N1045" i="2"/>
  <c r="T1045" i="2" s="1"/>
  <c r="N2011" i="2"/>
  <c r="T2011" i="2" s="1"/>
  <c r="N1413" i="2"/>
  <c r="T1413" i="2" s="1"/>
  <c r="N741" i="2"/>
  <c r="T741" i="2" s="1"/>
  <c r="N793" i="2"/>
  <c r="T793" i="2" s="1"/>
  <c r="N1388" i="2"/>
  <c r="T1388" i="2" s="1"/>
  <c r="N890" i="2"/>
  <c r="T890" i="2" s="1"/>
  <c r="N1026" i="2"/>
  <c r="T1026" i="2" s="1"/>
  <c r="N3023" i="2"/>
  <c r="T3023" i="2" s="1"/>
  <c r="N132" i="2"/>
  <c r="T132" i="2" s="1"/>
  <c r="N1598" i="2"/>
  <c r="T1598" i="2" s="1"/>
  <c r="N133" i="2"/>
  <c r="T133" i="2" s="1"/>
  <c r="N3138" i="2"/>
  <c r="T3138" i="2" s="1"/>
  <c r="N1408" i="2"/>
  <c r="T1408" i="2" s="1"/>
  <c r="N2526" i="2"/>
  <c r="T2526" i="2" s="1"/>
  <c r="N427" i="2"/>
  <c r="T427" i="2" s="1"/>
  <c r="N1033" i="2"/>
  <c r="T1033" i="2" s="1"/>
  <c r="N2576" i="2"/>
  <c r="T2576" i="2" s="1"/>
  <c r="N2686" i="2"/>
  <c r="T2686" i="2" s="1"/>
  <c r="N769" i="2"/>
  <c r="T769" i="2" s="1"/>
  <c r="N866" i="2"/>
  <c r="T866" i="2" s="1"/>
  <c r="N1455" i="2"/>
  <c r="T1455" i="2" s="1"/>
  <c r="N1958" i="2"/>
  <c r="T1958" i="2" s="1"/>
  <c r="N2058" i="2"/>
  <c r="T2058" i="2" s="1"/>
  <c r="N1121" i="2"/>
  <c r="T1121" i="2" s="1"/>
  <c r="N1681" i="2"/>
  <c r="T1681" i="2" s="1"/>
  <c r="N1375" i="2"/>
  <c r="T1375" i="2" s="1"/>
  <c r="N1570" i="2"/>
  <c r="T1570" i="2" s="1"/>
  <c r="N2398" i="2"/>
  <c r="T2398" i="2" s="1"/>
  <c r="N1478" i="2"/>
  <c r="T1478" i="2" s="1"/>
  <c r="N360" i="2"/>
  <c r="T360" i="2" s="1"/>
  <c r="N2614" i="2"/>
  <c r="T2614" i="2" s="1"/>
  <c r="N810" i="2"/>
  <c r="T810" i="2" s="1"/>
  <c r="N2664" i="2"/>
  <c r="N1614" i="2"/>
  <c r="T1614" i="2" s="1"/>
  <c r="N2196" i="2"/>
  <c r="T2196" i="2" s="1"/>
  <c r="N333" i="2"/>
  <c r="T333" i="2" s="1"/>
  <c r="N2219" i="2"/>
  <c r="T2219" i="2" s="1"/>
  <c r="N1440" i="2"/>
  <c r="T1440" i="2" s="1"/>
  <c r="N1830" i="2"/>
  <c r="T1830" i="2" s="1"/>
  <c r="N476" i="2"/>
  <c r="T476" i="2" s="1"/>
  <c r="N2287" i="2"/>
  <c r="T2287" i="2" s="1"/>
  <c r="N824" i="2"/>
  <c r="T824" i="2" s="1"/>
  <c r="N2595" i="2"/>
  <c r="N175" i="2"/>
  <c r="T175" i="2" s="1"/>
  <c r="N1217" i="2"/>
  <c r="T1217" i="2" s="1"/>
  <c r="N2652" i="2"/>
  <c r="T2652" i="2" s="1"/>
  <c r="N2566" i="2"/>
  <c r="T2566" i="2" s="1"/>
  <c r="N3197" i="2"/>
  <c r="T3197" i="2" s="1"/>
  <c r="N1265" i="2"/>
  <c r="N178" i="2"/>
  <c r="T178" i="2" s="1"/>
  <c r="N180" i="2"/>
  <c r="T180" i="2" s="1"/>
  <c r="N2132" i="2"/>
  <c r="T2132" i="2" s="1"/>
  <c r="N993" i="2"/>
  <c r="T993" i="2" s="1"/>
  <c r="N2285" i="2"/>
  <c r="T2285" i="2" s="1"/>
  <c r="N1059" i="2"/>
  <c r="T1059" i="2" s="1"/>
  <c r="N1845" i="2"/>
  <c r="T1845" i="2" s="1"/>
  <c r="N1532" i="2"/>
  <c r="T1532" i="2" s="1"/>
  <c r="N848" i="2"/>
  <c r="T848" i="2" s="1"/>
  <c r="N1289" i="2"/>
  <c r="N1066" i="2"/>
  <c r="T1066" i="2" s="1"/>
  <c r="N1090" i="2"/>
  <c r="T1090" i="2" s="1"/>
  <c r="N2065" i="2"/>
  <c r="T2065" i="2" s="1"/>
  <c r="N304" i="2"/>
  <c r="T304" i="2" s="1"/>
  <c r="N564" i="2"/>
  <c r="T564" i="2" s="1"/>
  <c r="N1585" i="2"/>
  <c r="T1585" i="2" s="1"/>
  <c r="N2554" i="2"/>
  <c r="T2554" i="2" s="1"/>
  <c r="N1882" i="2"/>
  <c r="T1882" i="2" s="1"/>
  <c r="N1604" i="2"/>
  <c r="T1604" i="2" s="1"/>
  <c r="N857" i="2"/>
  <c r="T857" i="2" s="1"/>
  <c r="N12" i="2"/>
  <c r="T12" i="2" s="1"/>
  <c r="N1945" i="2"/>
  <c r="T1945" i="2" s="1"/>
  <c r="N2755" i="2"/>
  <c r="T2755" i="2" s="1"/>
  <c r="N2456" i="2"/>
  <c r="N1483" i="2"/>
  <c r="T1483" i="2" s="1"/>
  <c r="N1241" i="2"/>
  <c r="T1241" i="2" s="1"/>
  <c r="N192" i="2"/>
  <c r="T192" i="2" s="1"/>
  <c r="N44" i="2"/>
  <c r="T44" i="2" s="1"/>
  <c r="N2623" i="2"/>
  <c r="N1192" i="2"/>
  <c r="T1192" i="2" s="1"/>
  <c r="N1798" i="2"/>
  <c r="T1798" i="2" s="1"/>
  <c r="N1164" i="2"/>
  <c r="T1164" i="2" s="1"/>
  <c r="N1407" i="2"/>
  <c r="T1407" i="2" s="1"/>
  <c r="N2395" i="2"/>
  <c r="T2395" i="2" s="1"/>
  <c r="N191" i="2"/>
  <c r="T191" i="2" s="1"/>
  <c r="N2089" i="2"/>
  <c r="T2089" i="2" s="1"/>
  <c r="N495" i="2"/>
  <c r="T495" i="2" s="1"/>
  <c r="N3095" i="2"/>
  <c r="T3095" i="2" s="1"/>
  <c r="N3104" i="2"/>
  <c r="T3104" i="2" s="1"/>
  <c r="N1495" i="2"/>
  <c r="T1495" i="2" s="1"/>
  <c r="N171" i="2"/>
  <c r="T171" i="2" s="1"/>
  <c r="N674" i="2"/>
  <c r="T674" i="2" s="1"/>
  <c r="N18" i="2"/>
  <c r="T18" i="2" s="1"/>
  <c r="N302" i="2"/>
  <c r="T302" i="2" s="1"/>
  <c r="N2722" i="2"/>
  <c r="T2722" i="2" s="1"/>
  <c r="N563" i="2"/>
  <c r="T563" i="2" s="1"/>
  <c r="N2080" i="2"/>
  <c r="T2080" i="2" s="1"/>
  <c r="N1125" i="2"/>
  <c r="T1125" i="2" s="1"/>
  <c r="N972" i="2"/>
  <c r="N2114" i="2"/>
  <c r="T2114" i="2" s="1"/>
  <c r="N695" i="2"/>
  <c r="T695" i="2" s="1"/>
  <c r="N46" i="2"/>
  <c r="T46" i="2" s="1"/>
  <c r="N1001" i="2"/>
  <c r="T1001" i="2" s="1"/>
  <c r="N445" i="2"/>
  <c r="T445" i="2" s="1"/>
  <c r="N2881" i="2"/>
  <c r="T2881" i="2" s="1"/>
  <c r="N3091" i="2"/>
  <c r="T3091" i="2" s="1"/>
  <c r="N1075" i="2"/>
  <c r="T1075" i="2" s="1"/>
  <c r="N1459" i="2"/>
  <c r="T1459" i="2" s="1"/>
  <c r="N250" i="2"/>
  <c r="T250" i="2" s="1"/>
  <c r="N1735" i="2"/>
  <c r="T1735" i="2" s="1"/>
  <c r="N182" i="2"/>
  <c r="T182" i="2" s="1"/>
  <c r="N2179" i="2"/>
  <c r="T2179" i="2" s="1"/>
  <c r="N2409" i="2"/>
  <c r="T2409" i="2" s="1"/>
  <c r="N20" i="2"/>
  <c r="T20" i="2" s="1"/>
  <c r="N2685" i="2"/>
  <c r="N2374" i="2"/>
  <c r="T2374" i="2" s="1"/>
  <c r="N921" i="2"/>
  <c r="T921" i="2" s="1"/>
  <c r="N2799" i="2"/>
  <c r="T2799" i="2" s="1"/>
  <c r="N2978" i="2"/>
  <c r="N1766" i="2"/>
  <c r="T1766" i="2" s="1"/>
  <c r="N1844" i="2"/>
  <c r="T1844" i="2" s="1"/>
  <c r="N1431" i="2"/>
  <c r="T1431" i="2" s="1"/>
  <c r="N1692" i="2"/>
  <c r="N1111" i="2"/>
  <c r="T1111" i="2" s="1"/>
  <c r="N1110" i="2"/>
  <c r="T1110" i="2" s="1"/>
  <c r="N2919" i="2"/>
  <c r="N799" i="2"/>
  <c r="T799" i="2" s="1"/>
  <c r="N746" i="2"/>
  <c r="T746" i="2" s="1"/>
  <c r="N2900" i="2"/>
  <c r="T2900" i="2" s="1"/>
  <c r="N2651" i="2"/>
  <c r="T2651" i="2" s="1"/>
  <c r="N1342" i="2"/>
  <c r="T1342" i="2" s="1"/>
  <c r="N2600" i="2"/>
  <c r="T2600" i="2" s="1"/>
  <c r="N1115" i="2"/>
  <c r="T1115" i="2" s="1"/>
  <c r="N421" i="2"/>
  <c r="T421" i="2" s="1"/>
  <c r="N1165" i="2"/>
  <c r="T1165" i="2" s="1"/>
  <c r="N2886" i="2"/>
  <c r="T2886" i="2" s="1"/>
  <c r="N869" i="2"/>
  <c r="T869" i="2" s="1"/>
  <c r="N287" i="2"/>
  <c r="T287" i="2" s="1"/>
  <c r="N2188" i="2"/>
  <c r="T2188" i="2" s="1"/>
  <c r="N1299" i="2"/>
  <c r="T1299" i="2" s="1"/>
  <c r="N1071" i="2"/>
  <c r="T1071" i="2" s="1"/>
  <c r="N2691" i="2"/>
  <c r="T2691" i="2" s="1"/>
  <c r="N2292" i="2"/>
  <c r="T2292" i="2" s="1"/>
  <c r="N521" i="2"/>
  <c r="T521" i="2" s="1"/>
  <c r="N720" i="2"/>
  <c r="T720" i="2" s="1"/>
  <c r="N2236" i="2"/>
  <c r="T2236" i="2" s="1"/>
  <c r="N763" i="2"/>
  <c r="T763" i="2" s="1"/>
  <c r="N2436" i="2"/>
  <c r="T2436" i="2" s="1"/>
  <c r="N1566" i="2"/>
  <c r="T1566" i="2" s="1"/>
  <c r="N1294" i="2"/>
  <c r="T1294" i="2" s="1"/>
  <c r="N1391" i="2"/>
  <c r="T1391" i="2" s="1"/>
  <c r="N24" i="2"/>
  <c r="T24" i="2" s="1"/>
  <c r="N1297" i="2"/>
  <c r="T1297" i="2" s="1"/>
  <c r="N2013" i="2"/>
  <c r="T2013" i="2" s="1"/>
  <c r="N280" i="2"/>
  <c r="T280" i="2" s="1"/>
  <c r="N2762" i="2"/>
  <c r="T2762" i="2" s="1"/>
  <c r="N3128" i="2"/>
  <c r="T3128" i="2" s="1"/>
  <c r="N430" i="2"/>
  <c r="T430" i="2" s="1"/>
  <c r="N340" i="2"/>
  <c r="T340" i="2" s="1"/>
  <c r="N545" i="2"/>
  <c r="T545" i="2" s="1"/>
  <c r="N2276" i="2"/>
  <c r="T2276" i="2" s="1"/>
  <c r="N940" i="2"/>
  <c r="T940" i="2" s="1"/>
  <c r="N2660" i="2"/>
  <c r="T2660" i="2" s="1"/>
  <c r="N247" i="2"/>
  <c r="T247" i="2" s="1"/>
  <c r="N1486" i="2"/>
  <c r="T1486" i="2" s="1"/>
  <c r="N2303" i="2"/>
  <c r="T2303" i="2" s="1"/>
  <c r="N2631" i="2"/>
  <c r="T2631" i="2" s="1"/>
  <c r="N2049" i="2"/>
  <c r="T2049" i="2" s="1"/>
  <c r="N2158" i="2"/>
  <c r="T2158" i="2" s="1"/>
  <c r="N2996" i="2"/>
  <c r="N1912" i="2"/>
  <c r="T1912" i="2" s="1"/>
  <c r="N1989" i="2"/>
  <c r="T1989" i="2" s="1"/>
  <c r="N2407" i="2"/>
  <c r="T2407" i="2" s="1"/>
  <c r="N1980" i="2"/>
  <c r="T1980" i="2" s="1"/>
  <c r="N1232" i="2"/>
  <c r="T1232" i="2" s="1"/>
  <c r="N607" i="2"/>
  <c r="T607" i="2" s="1"/>
  <c r="N2205" i="2"/>
  <c r="T2205" i="2" s="1"/>
  <c r="N526" i="2"/>
  <c r="T526" i="2" s="1"/>
  <c r="N3112" i="2"/>
  <c r="T3112" i="2" s="1"/>
  <c r="N1210" i="2"/>
  <c r="T1210" i="2" s="1"/>
  <c r="N3047" i="2"/>
  <c r="T3047" i="2" s="1"/>
  <c r="N2851" i="2"/>
  <c r="T2851" i="2" s="1"/>
  <c r="N1680" i="2"/>
  <c r="T1680" i="2" s="1"/>
  <c r="N2789" i="2"/>
  <c r="T2789" i="2" s="1"/>
  <c r="N1244" i="2"/>
  <c r="T1244" i="2" s="1"/>
  <c r="N1324" i="2"/>
  <c r="N1670" i="2"/>
  <c r="T1670" i="2" s="1"/>
  <c r="N590" i="2"/>
  <c r="T590" i="2" s="1"/>
  <c r="N3145" i="2"/>
  <c r="N2757" i="2"/>
  <c r="T2757" i="2" s="1"/>
  <c r="N2970" i="2"/>
  <c r="T2970" i="2" s="1"/>
  <c r="N1222" i="2"/>
  <c r="T1222" i="2" s="1"/>
  <c r="N2359" i="2"/>
  <c r="T2359" i="2" s="1"/>
  <c r="N761" i="2"/>
  <c r="T761" i="2" s="1"/>
  <c r="N2076" i="2"/>
  <c r="N2800" i="2"/>
  <c r="T2800" i="2" s="1"/>
  <c r="N482" i="2"/>
  <c r="T482" i="2" s="1"/>
  <c r="N2220" i="2"/>
  <c r="N1070" i="2"/>
  <c r="T1070" i="2" s="1"/>
  <c r="N648" i="2"/>
  <c r="T648" i="2" s="1"/>
  <c r="N2124" i="2"/>
  <c r="T2124" i="2" s="1"/>
  <c r="N2209" i="2"/>
  <c r="T2209" i="2" s="1"/>
  <c r="N1671" i="2"/>
  <c r="N1873" i="2"/>
  <c r="T1873" i="2" s="1"/>
  <c r="N1520" i="2"/>
  <c r="T1520" i="2" s="1"/>
  <c r="N442" i="2"/>
  <c r="T442" i="2" s="1"/>
  <c r="N2227" i="2"/>
  <c r="T2227" i="2" s="1"/>
  <c r="N938" i="2"/>
  <c r="T938" i="2" s="1"/>
  <c r="N2940" i="2"/>
  <c r="T2940" i="2" s="1"/>
  <c r="N1424" i="2"/>
  <c r="T1424" i="2" s="1"/>
  <c r="N2840" i="2"/>
  <c r="T2840" i="2" s="1"/>
  <c r="N515" i="2"/>
  <c r="T515" i="2" s="1"/>
  <c r="N2915" i="2"/>
  <c r="T2915" i="2" s="1"/>
  <c r="N1447" i="2"/>
  <c r="T1447" i="2" s="1"/>
  <c r="N3191" i="2"/>
  <c r="N620" i="2"/>
  <c r="T620" i="2" s="1"/>
  <c r="N1194" i="2"/>
  <c r="T1194" i="2" s="1"/>
  <c r="N2392" i="2"/>
  <c r="N1103" i="2"/>
  <c r="T1103" i="2" s="1"/>
  <c r="N2097" i="2"/>
  <c r="T2097" i="2" s="1"/>
  <c r="N1650" i="2"/>
  <c r="T1650" i="2" s="1"/>
  <c r="N1752" i="2"/>
  <c r="T1752" i="2" s="1"/>
  <c r="N559" i="2"/>
  <c r="T559" i="2" s="1"/>
  <c r="N2053" i="2"/>
  <c r="T2053" i="2" s="1"/>
  <c r="N644" i="2"/>
  <c r="T644" i="2" s="1"/>
  <c r="N1881" i="2"/>
  <c r="T1881" i="2" s="1"/>
  <c r="N942" i="2"/>
  <c r="N1854" i="2"/>
  <c r="T1854" i="2" s="1"/>
  <c r="N3073" i="2"/>
  <c r="T3073" i="2" s="1"/>
  <c r="N778" i="2"/>
  <c r="T778" i="2" s="1"/>
  <c r="N1833" i="2"/>
  <c r="T1833" i="2" s="1"/>
  <c r="N1700" i="2"/>
  <c r="T1700" i="2" s="1"/>
  <c r="N1781" i="2"/>
  <c r="T1781" i="2" s="1"/>
  <c r="N1701" i="2"/>
  <c r="T1701" i="2" s="1"/>
  <c r="N2117" i="2"/>
  <c r="N1809" i="2"/>
  <c r="T1809" i="2" s="1"/>
  <c r="N3184" i="2"/>
  <c r="N1699" i="2"/>
  <c r="T1699" i="2" s="1"/>
  <c r="N2730" i="2"/>
  <c r="T2730" i="2" s="1"/>
  <c r="N1118" i="2"/>
  <c r="T1118" i="2" s="1"/>
  <c r="N1599" i="2"/>
  <c r="T1599" i="2" s="1"/>
  <c r="N480" i="2"/>
  <c r="T480" i="2" s="1"/>
  <c r="N1827" i="2"/>
  <c r="T1827" i="2" s="1"/>
  <c r="N2956" i="2"/>
  <c r="T2956" i="2" s="1"/>
  <c r="N1199" i="2"/>
  <c r="T1199" i="2" s="1"/>
  <c r="N2457" i="2"/>
  <c r="T2457" i="2" s="1"/>
  <c r="N395" i="2"/>
  <c r="T395" i="2" s="1"/>
  <c r="N213" i="2"/>
  <c r="T213" i="2" s="1"/>
  <c r="N2510" i="2"/>
  <c r="T2510" i="2" s="1"/>
  <c r="N1305" i="2"/>
  <c r="T1305" i="2" s="1"/>
  <c r="N567" i="2"/>
  <c r="T567" i="2" s="1"/>
  <c r="N802" i="2"/>
  <c r="T802" i="2" s="1"/>
  <c r="N358" i="2"/>
  <c r="T358" i="2" s="1"/>
  <c r="N1715" i="2"/>
  <c r="N2424" i="2"/>
  <c r="T2424" i="2" s="1"/>
  <c r="N1433" i="2"/>
  <c r="T1433" i="2" s="1"/>
  <c r="N819" i="2"/>
  <c r="T819" i="2" s="1"/>
  <c r="N2748" i="2"/>
  <c r="N1053" i="2"/>
  <c r="T1053" i="2" s="1"/>
  <c r="N1166" i="2"/>
  <c r="T1166" i="2" s="1"/>
  <c r="N1691" i="2"/>
  <c r="T1691" i="2" s="1"/>
  <c r="N1736" i="2"/>
  <c r="T1736" i="2" s="1"/>
  <c r="N1591" i="2"/>
  <c r="T1591" i="2" s="1"/>
  <c r="N3059" i="2"/>
  <c r="T3059" i="2" s="1"/>
  <c r="N2182" i="2"/>
  <c r="T2182" i="2" s="1"/>
  <c r="N3203" i="2"/>
  <c r="N224" i="2"/>
  <c r="T224" i="2" s="1"/>
  <c r="N3202" i="2"/>
  <c r="N2816" i="2"/>
  <c r="T2816" i="2" s="1"/>
  <c r="N608" i="2"/>
  <c r="T608" i="2" s="1"/>
  <c r="N472" i="2"/>
  <c r="T472" i="2" s="1"/>
  <c r="N2045" i="2"/>
  <c r="T2045" i="2" s="1"/>
  <c r="N2922" i="2"/>
  <c r="T2922" i="2" s="1"/>
  <c r="N271" i="2"/>
  <c r="T271" i="2" s="1"/>
  <c r="N3084" i="2"/>
  <c r="N961" i="2"/>
  <c r="T961" i="2" s="1"/>
  <c r="N1333" i="2"/>
  <c r="T1333" i="2" s="1"/>
  <c r="N1277" i="2"/>
  <c r="T1277" i="2" s="1"/>
  <c r="N105" i="2"/>
  <c r="T105" i="2" s="1"/>
  <c r="N1970" i="2"/>
  <c r="T1970" i="2" s="1"/>
  <c r="N156" i="2"/>
  <c r="T156" i="2" s="1"/>
  <c r="N732" i="2"/>
  <c r="T732" i="2" s="1"/>
  <c r="N2968" i="2"/>
  <c r="T2968" i="2" s="1"/>
  <c r="N2590" i="2"/>
  <c r="T2590" i="2" s="1"/>
  <c r="N2050" i="2"/>
  <c r="T2050" i="2" s="1"/>
  <c r="N2274" i="2"/>
  <c r="T2274" i="2" s="1"/>
  <c r="N2314" i="2"/>
  <c r="T2314" i="2" s="1"/>
  <c r="N822" i="2"/>
  <c r="T822" i="2" s="1"/>
  <c r="N2879" i="2"/>
  <c r="T2879" i="2" s="1"/>
  <c r="N2201" i="2"/>
  <c r="T2201" i="2" s="1"/>
  <c r="N2541" i="2"/>
  <c r="N565" i="2"/>
  <c r="T565" i="2" s="1"/>
  <c r="N1734" i="2"/>
  <c r="T1734" i="2" s="1"/>
  <c r="N2024" i="2"/>
  <c r="T2024" i="2" s="1"/>
  <c r="N3050" i="2"/>
  <c r="T3050" i="2" s="1"/>
  <c r="N154" i="2"/>
  <c r="T154" i="2" s="1"/>
  <c r="N1800" i="2"/>
  <c r="T1800" i="2" s="1"/>
  <c r="N697" i="2"/>
  <c r="N2339" i="2"/>
  <c r="N995" i="2"/>
  <c r="T995" i="2" s="1"/>
  <c r="N2608" i="2"/>
  <c r="T2608" i="2" s="1"/>
  <c r="N2069" i="2"/>
  <c r="T2069" i="2" s="1"/>
  <c r="N335" i="2"/>
  <c r="T335" i="2" s="1"/>
  <c r="N886" i="2"/>
  <c r="T886" i="2" s="1"/>
  <c r="N2616" i="2"/>
  <c r="T2616" i="2" s="1"/>
  <c r="N1349" i="2"/>
  <c r="T1349" i="2" s="1"/>
  <c r="N1869" i="2"/>
  <c r="T1869" i="2" s="1"/>
  <c r="N2486" i="2"/>
  <c r="N3024" i="2"/>
  <c r="T3024" i="2" s="1"/>
  <c r="N2306" i="2"/>
  <c r="T2306" i="2" s="1"/>
  <c r="N2658" i="2"/>
  <c r="T2658" i="2" s="1"/>
  <c r="N721" i="2"/>
  <c r="T721" i="2" s="1"/>
  <c r="N3103" i="2"/>
  <c r="T3103" i="2" s="1"/>
  <c r="N468" i="2"/>
  <c r="T468" i="2" s="1"/>
  <c r="N768" i="2"/>
  <c r="T768" i="2" s="1"/>
  <c r="N2723" i="2"/>
  <c r="T2723" i="2" s="1"/>
  <c r="N587" i="2"/>
  <c r="T587" i="2" s="1"/>
  <c r="N2577" i="2"/>
  <c r="T2577" i="2" s="1"/>
  <c r="N3199" i="2"/>
  <c r="T3199" i="2" s="1"/>
  <c r="N3167" i="2"/>
  <c r="T3167" i="2" s="1"/>
  <c r="N1640" i="2"/>
  <c r="T1640" i="2" s="1"/>
  <c r="N137" i="2"/>
  <c r="T137" i="2" s="1"/>
  <c r="N909" i="2"/>
  <c r="T909" i="2" s="1"/>
  <c r="N1211" i="2"/>
  <c r="T1211" i="2" s="1"/>
  <c r="N1872" i="2"/>
  <c r="T1872" i="2" s="1"/>
  <c r="N2754" i="2"/>
  <c r="T2754" i="2" s="1"/>
  <c r="N1974" i="2"/>
  <c r="T1974" i="2" s="1"/>
  <c r="N471" i="2"/>
  <c r="T471" i="2" s="1"/>
  <c r="N286" i="2"/>
  <c r="T286" i="2" s="1"/>
  <c r="N1587" i="2"/>
  <c r="T1587" i="2" s="1"/>
  <c r="N1076" i="2"/>
  <c r="T1076" i="2" s="1"/>
  <c r="N2288" i="2"/>
  <c r="T2288" i="2" s="1"/>
  <c r="N469" i="2"/>
  <c r="T469" i="2" s="1"/>
  <c r="N3044" i="2"/>
  <c r="T3044" i="2" s="1"/>
  <c r="N525" i="2"/>
  <c r="T525" i="2" s="1"/>
  <c r="N2744" i="2"/>
  <c r="T2744" i="2" s="1"/>
  <c r="N1688" i="2"/>
  <c r="T1688" i="2" s="1"/>
  <c r="N1025" i="2"/>
  <c r="T1025" i="2" s="1"/>
  <c r="N1462" i="2"/>
  <c r="N1239" i="2"/>
  <c r="T1239" i="2" s="1"/>
  <c r="N1705" i="2"/>
  <c r="T1705" i="2" s="1"/>
  <c r="N2675" i="2"/>
  <c r="N2108" i="2"/>
  <c r="T2108" i="2" s="1"/>
  <c r="N902" i="2"/>
  <c r="T902" i="2" s="1"/>
  <c r="N1841" i="2"/>
  <c r="T1841" i="2" s="1"/>
  <c r="N3098" i="2"/>
  <c r="N1117" i="2"/>
  <c r="N321" i="2"/>
  <c r="T321" i="2" s="1"/>
  <c r="N1628" i="2"/>
  <c r="T1628" i="2" s="1"/>
  <c r="N1315" i="2"/>
  <c r="T1315" i="2" s="1"/>
  <c r="N349" i="2"/>
  <c r="T349" i="2" s="1"/>
  <c r="N1374" i="2"/>
  <c r="T1374" i="2" s="1"/>
  <c r="N934" i="2"/>
  <c r="T934" i="2" s="1"/>
  <c r="N751" i="2"/>
  <c r="T751" i="2" s="1"/>
  <c r="N297" i="2"/>
  <c r="T297" i="2" s="1"/>
  <c r="N2282" i="2"/>
  <c r="T2282" i="2" s="1"/>
  <c r="N2602" i="2"/>
  <c r="T2602" i="2" s="1"/>
  <c r="N2523" i="2"/>
  <c r="T2523" i="2" s="1"/>
  <c r="N1943" i="2"/>
  <c r="T1943" i="2" s="1"/>
  <c r="N2716" i="2"/>
  <c r="T2716" i="2" s="1"/>
  <c r="N1504" i="2"/>
  <c r="T1504" i="2" s="1"/>
  <c r="N81" i="2"/>
  <c r="T81" i="2" s="1"/>
  <c r="N2293" i="2"/>
  <c r="T2293" i="2" s="1"/>
  <c r="N572" i="2"/>
  <c r="T572" i="2" s="1"/>
  <c r="N1230" i="2"/>
  <c r="T1230" i="2" s="1"/>
  <c r="N381" i="2"/>
  <c r="T381" i="2" s="1"/>
  <c r="N2160" i="2"/>
  <c r="N212" i="2"/>
  <c r="T212" i="2" s="1"/>
  <c r="N3170" i="2"/>
  <c r="T3170" i="2" s="1"/>
  <c r="N2773" i="2"/>
  <c r="T2773" i="2" s="1"/>
  <c r="N1745" i="2"/>
  <c r="T1745" i="2" s="1"/>
  <c r="N2591" i="2"/>
  <c r="T2591" i="2" s="1"/>
  <c r="N1171" i="2"/>
  <c r="T1171" i="2" s="1"/>
  <c r="N944" i="2"/>
  <c r="T944" i="2" s="1"/>
  <c r="N2852" i="2"/>
  <c r="N1808" i="2"/>
  <c r="T1808" i="2" s="1"/>
  <c r="N1063" i="2"/>
  <c r="T1063" i="2" s="1"/>
  <c r="N1533" i="2"/>
  <c r="N100" i="2"/>
  <c r="T100" i="2" s="1"/>
  <c r="N2679" i="2"/>
  <c r="N2988" i="2"/>
  <c r="N2902" i="2"/>
  <c r="T2902" i="2" s="1"/>
  <c r="N488" i="2"/>
  <c r="T488" i="2" s="1"/>
  <c r="N313" i="2"/>
  <c r="T313" i="2" s="1"/>
  <c r="N1994" i="2"/>
  <c r="T1994" i="2" s="1"/>
  <c r="N1487" i="2"/>
  <c r="T1487" i="2" s="1"/>
  <c r="N2779" i="2"/>
  <c r="N2871" i="2"/>
  <c r="T2871" i="2" s="1"/>
  <c r="N1344" i="2"/>
  <c r="T1344" i="2" s="1"/>
  <c r="N2512" i="2"/>
  <c r="T2512" i="2" s="1"/>
  <c r="N3127" i="2"/>
  <c r="N1150" i="2"/>
  <c r="T1150" i="2" s="1"/>
  <c r="N654" i="2"/>
  <c r="T654" i="2" s="1"/>
  <c r="N895" i="2"/>
  <c r="T895" i="2" s="1"/>
  <c r="N1197" i="2"/>
  <c r="T1197" i="2" s="1"/>
  <c r="N2279" i="2"/>
  <c r="T2279" i="2" s="1"/>
  <c r="N2582" i="2"/>
  <c r="T2582" i="2" s="1"/>
  <c r="N2882" i="2"/>
  <c r="T2882" i="2" s="1"/>
  <c r="N980" i="2"/>
  <c r="T980" i="2" s="1"/>
  <c r="N1820" i="2"/>
  <c r="T1820" i="2" s="1"/>
  <c r="N2297" i="2"/>
  <c r="T2297" i="2" s="1"/>
  <c r="N2408" i="2"/>
  <c r="T2408" i="2" s="1"/>
  <c r="N2790" i="2"/>
  <c r="T2790" i="2" s="1"/>
  <c r="N2106" i="2"/>
  <c r="T2106" i="2" s="1"/>
  <c r="N2423" i="2"/>
  <c r="T2423" i="2" s="1"/>
  <c r="N1193" i="2"/>
  <c r="T1193" i="2" s="1"/>
  <c r="N1012" i="2"/>
  <c r="N168" i="2"/>
  <c r="T168" i="2" s="1"/>
  <c r="N652" i="2"/>
  <c r="T652" i="2" s="1"/>
  <c r="N968" i="2"/>
  <c r="T968" i="2" s="1"/>
  <c r="N1138" i="2"/>
  <c r="T1138" i="2" s="1"/>
  <c r="N1395" i="2"/>
  <c r="T1395" i="2" s="1"/>
  <c r="N1874" i="2"/>
  <c r="T1874" i="2" s="1"/>
  <c r="N454" i="2"/>
  <c r="T454" i="2" s="1"/>
  <c r="N320" i="2"/>
  <c r="T320" i="2" s="1"/>
  <c r="N195" i="2"/>
  <c r="T195" i="2" s="1"/>
  <c r="N1712" i="2"/>
  <c r="T1712" i="2" s="1"/>
  <c r="N2092" i="2"/>
  <c r="N888" i="2"/>
  <c r="N2103" i="2"/>
  <c r="T2103" i="2" s="1"/>
  <c r="N2687" i="2"/>
  <c r="T2687" i="2" s="1"/>
  <c r="N2928" i="2"/>
  <c r="T2928" i="2" s="1"/>
  <c r="N1041" i="2"/>
  <c r="T1041" i="2" s="1"/>
  <c r="N2932" i="2"/>
  <c r="T2932" i="2" s="1"/>
  <c r="N2127" i="2"/>
  <c r="T2127" i="2" s="1"/>
  <c r="N1187" i="2"/>
  <c r="N2985" i="2"/>
  <c r="T2985" i="2" s="1"/>
  <c r="N971" i="2"/>
  <c r="T971" i="2" s="1"/>
  <c r="N2438" i="2"/>
  <c r="T2438" i="2" s="1"/>
  <c r="N223" i="2"/>
  <c r="T223" i="2" s="1"/>
  <c r="N2343" i="2"/>
  <c r="T2343" i="2" s="1"/>
  <c r="N55" i="2"/>
  <c r="T55" i="2" s="1"/>
  <c r="N3131" i="2"/>
  <c r="T3131" i="2" s="1"/>
  <c r="N1505" i="2"/>
  <c r="T1505" i="2" s="1"/>
  <c r="N1908" i="2"/>
  <c r="T1908" i="2" s="1"/>
  <c r="N2899" i="2"/>
  <c r="T2899" i="2" s="1"/>
  <c r="N2822" i="2"/>
  <c r="T2822" i="2" s="1"/>
  <c r="N554" i="2"/>
  <c r="T554" i="2" s="1"/>
  <c r="N2258" i="2"/>
  <c r="N1477" i="2"/>
  <c r="T1477" i="2" s="1"/>
  <c r="N2548" i="2"/>
  <c r="T2548" i="2" s="1"/>
  <c r="N677" i="2"/>
  <c r="T677" i="2" s="1"/>
  <c r="N936" i="2"/>
  <c r="T936" i="2" s="1"/>
  <c r="N1311" i="2"/>
  <c r="T1311" i="2" s="1"/>
  <c r="N1695" i="2"/>
  <c r="T1695" i="2" s="1"/>
  <c r="N3129" i="2"/>
  <c r="T3129" i="2" s="1"/>
  <c r="N60" i="2"/>
  <c r="T60" i="2" s="1"/>
  <c r="N2187" i="2"/>
  <c r="T2187" i="2" s="1"/>
  <c r="N330" i="2"/>
  <c r="T330" i="2" s="1"/>
  <c r="N2636" i="2"/>
  <c r="T2636" i="2" s="1"/>
  <c r="N3015" i="2"/>
  <c r="T3015" i="2" s="1"/>
  <c r="N146" i="2"/>
  <c r="T146" i="2" s="1"/>
  <c r="N3094" i="2"/>
  <c r="T3094" i="2" s="1"/>
  <c r="N1278" i="2"/>
  <c r="T1278" i="2" s="1"/>
  <c r="N2164" i="2"/>
  <c r="T2164" i="2" s="1"/>
  <c r="N626" i="2"/>
  <c r="T626" i="2" s="1"/>
  <c r="N2992" i="2"/>
  <c r="T2992" i="2" s="1"/>
  <c r="N2713" i="2"/>
  <c r="T2713" i="2" s="1"/>
  <c r="N2863" i="2"/>
  <c r="T2863" i="2" s="1"/>
  <c r="N791" i="2"/>
  <c r="T791" i="2" s="1"/>
  <c r="N1204" i="2"/>
  <c r="T1204" i="2" s="1"/>
  <c r="N2966" i="2"/>
  <c r="T2966" i="2" s="1"/>
  <c r="N248" i="2"/>
  <c r="T248" i="2" s="1"/>
  <c r="N365" i="2"/>
  <c r="T365" i="2" s="1"/>
  <c r="N3072" i="2"/>
  <c r="T3072" i="2" s="1"/>
  <c r="N1237" i="2"/>
  <c r="T1237" i="2" s="1"/>
  <c r="N1690" i="2"/>
  <c r="T1690" i="2" s="1"/>
  <c r="N1673" i="2"/>
  <c r="T1673" i="2" s="1"/>
  <c r="N1509" i="2"/>
  <c r="T1509" i="2" s="1"/>
  <c r="N1482" i="2"/>
  <c r="T1482" i="2" s="1"/>
  <c r="N776" i="2"/>
  <c r="T776" i="2" s="1"/>
  <c r="N680" i="2"/>
  <c r="T680" i="2" s="1"/>
  <c r="N2860" i="2"/>
  <c r="T2860" i="2" s="1"/>
  <c r="N561" i="2"/>
  <c r="T561" i="2" s="1"/>
  <c r="N2040" i="2"/>
  <c r="T2040" i="2" s="1"/>
  <c r="N82" i="2"/>
  <c r="T82" i="2" s="1"/>
  <c r="N794" i="2"/>
  <c r="T794" i="2" s="1"/>
  <c r="N510" i="2"/>
  <c r="T510" i="2" s="1"/>
  <c r="N2746" i="2"/>
  <c r="T2746" i="2" s="1"/>
  <c r="N1390" i="2"/>
  <c r="T1390" i="2" s="1"/>
  <c r="N517" i="2"/>
  <c r="T517" i="2" s="1"/>
  <c r="N2237" i="2"/>
  <c r="T2237" i="2" s="1"/>
  <c r="N3020" i="2"/>
  <c r="T3020" i="2" s="1"/>
  <c r="N2318" i="2"/>
  <c r="T2318" i="2" s="1"/>
  <c r="N3062" i="2"/>
  <c r="T3062" i="2" s="1"/>
  <c r="N1772" i="2"/>
  <c r="T1772" i="2" s="1"/>
  <c r="N2465" i="2"/>
  <c r="T2465" i="2" s="1"/>
  <c r="N820" i="2"/>
  <c r="T820" i="2" s="1"/>
  <c r="N1862" i="2"/>
  <c r="T1862" i="2" s="1"/>
  <c r="N2253" i="2"/>
  <c r="T2253" i="2" s="1"/>
  <c r="N1212" i="2"/>
  <c r="T1212" i="2" s="1"/>
  <c r="N1747" i="2"/>
  <c r="T1747" i="2" s="1"/>
  <c r="N956" i="2"/>
  <c r="T956" i="2" s="1"/>
  <c r="N1362" i="2"/>
  <c r="T1362" i="2" s="1"/>
  <c r="N951" i="2"/>
  <c r="T951" i="2" s="1"/>
  <c r="N1116" i="2"/>
  <c r="T1116" i="2" s="1"/>
  <c r="N239" i="2"/>
  <c r="T239" i="2" s="1"/>
  <c r="N2847" i="2"/>
  <c r="N59" i="2"/>
  <c r="T59" i="2" s="1"/>
  <c r="N438" i="2"/>
  <c r="T438" i="2" s="1"/>
  <c r="N289" i="2"/>
  <c r="T289" i="2" s="1"/>
  <c r="N272" i="2"/>
  <c r="T272" i="2" s="1"/>
  <c r="N999" i="2"/>
  <c r="T999" i="2" s="1"/>
  <c r="N107" i="2"/>
  <c r="T107" i="2" s="1"/>
  <c r="N197" i="2"/>
  <c r="T197" i="2" s="1"/>
  <c r="N3021" i="2"/>
  <c r="T3021" i="2" s="1"/>
  <c r="N973" i="2"/>
  <c r="T973" i="2" s="1"/>
  <c r="N1161" i="2"/>
  <c r="T1161" i="2" s="1"/>
  <c r="N1488" i="2"/>
  <c r="T1488" i="2" s="1"/>
  <c r="N2583" i="2"/>
  <c r="N1153" i="2"/>
  <c r="N225" i="2"/>
  <c r="T225" i="2" s="1"/>
  <c r="N108" i="2"/>
  <c r="T108" i="2" s="1"/>
  <c r="N2663" i="2"/>
  <c r="T2663" i="2" s="1"/>
  <c r="N1586" i="2"/>
  <c r="T1586" i="2" s="1"/>
  <c r="N2452" i="2"/>
  <c r="T2452" i="2" s="1"/>
  <c r="N2036" i="2"/>
  <c r="T2036" i="2" s="1"/>
  <c r="N1242" i="2"/>
  <c r="N1840" i="2"/>
  <c r="N166" i="2"/>
  <c r="T166" i="2" s="1"/>
  <c r="N2999" i="2"/>
  <c r="T2999" i="2" s="1"/>
  <c r="N355" i="2"/>
  <c r="T355" i="2" s="1"/>
  <c r="N2111" i="2"/>
  <c r="T2111" i="2" s="1"/>
  <c r="N1682" i="2"/>
  <c r="T1682" i="2" s="1"/>
  <c r="N1072" i="2"/>
  <c r="T1072" i="2" s="1"/>
  <c r="N2747" i="2"/>
  <c r="T2747" i="2" s="1"/>
  <c r="N1330" i="2"/>
  <c r="N2238" i="2"/>
  <c r="T2238" i="2" s="1"/>
  <c r="N2533" i="2"/>
  <c r="T2533" i="2" s="1"/>
  <c r="N1004" i="2"/>
  <c r="T1004" i="2" s="1"/>
  <c r="N2662" i="2"/>
  <c r="T2662" i="2" s="1"/>
  <c r="N1526" i="2"/>
  <c r="T1526" i="2" s="1"/>
  <c r="N3149" i="2"/>
  <c r="T3149" i="2" s="1"/>
  <c r="N813" i="2"/>
  <c r="T813" i="2" s="1"/>
  <c r="N1190" i="2"/>
  <c r="T1190" i="2" s="1"/>
  <c r="N2273" i="2"/>
  <c r="T2273" i="2" s="1"/>
  <c r="N1868" i="2"/>
  <c r="T1868" i="2" s="1"/>
  <c r="N1385" i="2"/>
  <c r="T1385" i="2" s="1"/>
  <c r="N2216" i="2"/>
  <c r="N2682" i="2"/>
  <c r="N450" i="2"/>
  <c r="T450" i="2" s="1"/>
  <c r="N2074" i="2"/>
  <c r="T2074" i="2" s="1"/>
  <c r="N2467" i="2"/>
  <c r="T2467" i="2" s="1"/>
  <c r="N1629" i="2"/>
  <c r="T1629" i="2" s="1"/>
  <c r="N2098" i="2"/>
  <c r="T2098" i="2" s="1"/>
  <c r="N1806" i="2"/>
  <c r="T1806" i="2" s="1"/>
  <c r="N2490" i="2"/>
  <c r="T2490" i="2" s="1"/>
  <c r="N2543" i="2"/>
  <c r="T2543" i="2" s="1"/>
  <c r="N925" i="2"/>
  <c r="T925" i="2" s="1"/>
  <c r="N1569" i="2"/>
  <c r="T1569" i="2" s="1"/>
  <c r="N2735" i="2"/>
  <c r="T2735" i="2" s="1"/>
  <c r="N2336" i="2"/>
  <c r="T2336" i="2" s="1"/>
  <c r="N1782" i="2"/>
  <c r="T1782" i="2" s="1"/>
  <c r="N3068" i="2"/>
  <c r="T3068" i="2" s="1"/>
  <c r="N1327" i="2"/>
  <c r="T1327" i="2" s="1"/>
  <c r="N393" i="2"/>
  <c r="T393" i="2" s="1"/>
  <c r="N277" i="2"/>
  <c r="T277" i="2" s="1"/>
  <c r="N534" i="2"/>
  <c r="T534" i="2" s="1"/>
  <c r="N1659" i="2"/>
  <c r="T1659" i="2" s="1"/>
  <c r="N1492" i="2"/>
  <c r="T1492" i="2" s="1"/>
  <c r="N575" i="2"/>
  <c r="T575" i="2" s="1"/>
  <c r="N861" i="2"/>
  <c r="T861" i="2" s="1"/>
  <c r="N2815" i="2"/>
  <c r="N2704" i="2"/>
  <c r="T2704" i="2" s="1"/>
  <c r="N163" i="2"/>
  <c r="T163" i="2" s="1"/>
  <c r="N1283" i="2"/>
  <c r="T1283" i="2" s="1"/>
  <c r="N2077" i="2"/>
  <c r="T2077" i="2" s="1"/>
  <c r="N1921" i="2"/>
  <c r="T1921" i="2" s="1"/>
  <c r="N2924" i="2"/>
  <c r="T2924" i="2" s="1"/>
  <c r="N1855" i="2"/>
  <c r="T1855" i="2" s="1"/>
  <c r="N1288" i="2"/>
  <c r="T1288" i="2" s="1"/>
  <c r="N2601" i="2"/>
  <c r="T2601" i="2" s="1"/>
  <c r="N2776" i="2"/>
  <c r="T2776" i="2" s="1"/>
  <c r="N975" i="2"/>
  <c r="T975" i="2" s="1"/>
  <c r="N2488" i="2"/>
  <c r="T2488" i="2" s="1"/>
  <c r="N2930" i="2"/>
  <c r="T2930" i="2" s="1"/>
  <c r="N1334" i="2"/>
  <c r="T1334" i="2" s="1"/>
  <c r="N158" i="2"/>
  <c r="T158" i="2" s="1"/>
  <c r="N2750" i="2"/>
  <c r="N2031" i="2"/>
  <c r="T2031" i="2" s="1"/>
  <c r="N2693" i="2"/>
  <c r="T2693" i="2" s="1"/>
  <c r="N261" i="2"/>
  <c r="T261" i="2" s="1"/>
  <c r="N2204" i="2"/>
  <c r="T2204" i="2" s="1"/>
  <c r="N2923" i="2"/>
  <c r="T2923" i="2" s="1"/>
  <c r="N2386" i="2"/>
  <c r="T2386" i="2" s="1"/>
  <c r="N201" i="2"/>
  <c r="T201" i="2" s="1"/>
  <c r="N2081" i="2"/>
  <c r="T2081" i="2" s="1"/>
  <c r="N2001" i="2"/>
  <c r="T2001" i="2" s="1"/>
  <c r="N2935" i="2"/>
  <c r="T2935" i="2" s="1"/>
  <c r="N2067" i="2"/>
  <c r="T2067" i="2" s="1"/>
  <c r="N475" i="2"/>
  <c r="T475" i="2" s="1"/>
  <c r="N2853" i="2"/>
  <c r="T2853" i="2" s="1"/>
  <c r="N555" i="2"/>
  <c r="T555" i="2" s="1"/>
  <c r="N1357" i="2"/>
  <c r="N1127" i="2"/>
  <c r="T1127" i="2" s="1"/>
  <c r="N2567" i="2"/>
  <c r="T2567" i="2" s="1"/>
  <c r="N1748" i="2"/>
  <c r="T1748" i="2" s="1"/>
  <c r="N348" i="2"/>
  <c r="T348" i="2" s="1"/>
  <c r="N3158" i="2"/>
  <c r="T3158" i="2" s="1"/>
  <c r="N860" i="2"/>
  <c r="T860" i="2" s="1"/>
  <c r="N2371" i="2"/>
  <c r="T2371" i="2" s="1"/>
  <c r="N2165" i="2"/>
  <c r="T2165" i="2" s="1"/>
  <c r="N1356" i="2"/>
  <c r="T1356" i="2" s="1"/>
  <c r="N1536" i="2"/>
  <c r="T1536" i="2" s="1"/>
  <c r="N851" i="2"/>
  <c r="T851" i="2" s="1"/>
  <c r="N1812" i="2"/>
  <c r="T1812" i="2" s="1"/>
  <c r="N1733" i="2"/>
  <c r="T1733" i="2" s="1"/>
  <c r="N548" i="2"/>
  <c r="T548" i="2" s="1"/>
  <c r="N1729" i="2"/>
  <c r="T1729" i="2" s="1"/>
  <c r="N149" i="2"/>
  <c r="T149" i="2" s="1"/>
  <c r="N199" i="2"/>
  <c r="T199" i="2" s="1"/>
  <c r="N1373" i="2"/>
  <c r="T1373" i="2" s="1"/>
  <c r="N1807" i="2"/>
  <c r="T1807" i="2" s="1"/>
  <c r="N3195" i="2"/>
  <c r="T3195" i="2" s="1"/>
  <c r="N1414" i="2"/>
  <c r="T1414" i="2" s="1"/>
  <c r="N29" i="2"/>
  <c r="T29" i="2" s="1"/>
  <c r="N1437" i="2"/>
  <c r="T1437" i="2" s="1"/>
  <c r="N150" i="2"/>
  <c r="T150" i="2" s="1"/>
  <c r="N983" i="2"/>
  <c r="T983" i="2" s="1"/>
  <c r="N1427" i="2"/>
  <c r="T1427" i="2" s="1"/>
  <c r="N2280" i="2"/>
  <c r="N1259" i="2"/>
  <c r="T1259" i="2" s="1"/>
  <c r="N914" i="2"/>
  <c r="T914" i="2" s="1"/>
  <c r="N694" i="2"/>
  <c r="T694" i="2" s="1"/>
  <c r="N380" i="2"/>
  <c r="T380" i="2" s="1"/>
  <c r="N1097" i="2"/>
  <c r="T1097" i="2" s="1"/>
  <c r="N2007" i="2"/>
  <c r="T2007" i="2" s="1"/>
  <c r="N2669" i="2"/>
  <c r="N2632" i="2"/>
  <c r="T2632" i="2" s="1"/>
  <c r="N2002" i="2"/>
  <c r="T2002" i="2" s="1"/>
  <c r="N161" i="2"/>
  <c r="T161" i="2" s="1"/>
  <c r="N68" i="2"/>
  <c r="T68" i="2" s="1"/>
  <c r="N657" i="2"/>
  <c r="T657" i="2" s="1"/>
  <c r="N1835" i="2"/>
  <c r="T1835" i="2" s="1"/>
  <c r="N2115" i="2"/>
  <c r="T2115" i="2" s="1"/>
  <c r="N2497" i="2"/>
  <c r="T2497" i="2" s="1"/>
  <c r="N87" i="2"/>
  <c r="T87" i="2" s="1"/>
  <c r="N281" i="2"/>
  <c r="T281" i="2" s="1"/>
  <c r="N847" i="2"/>
  <c r="T847" i="2" s="1"/>
  <c r="N642" i="2"/>
  <c r="T642" i="2" s="1"/>
  <c r="N93" i="2"/>
  <c r="T93" i="2" s="1"/>
  <c r="N1642" i="2"/>
  <c r="T1642" i="2" s="1"/>
  <c r="N1098" i="2"/>
  <c r="T1098" i="2" s="1"/>
  <c r="N3029" i="2"/>
  <c r="T3029" i="2" s="1"/>
  <c r="N2147" i="2"/>
  <c r="T2147" i="2" s="1"/>
  <c r="N1184" i="2"/>
  <c r="T1184" i="2" s="1"/>
  <c r="N1639" i="2"/>
  <c r="T1639" i="2" s="1"/>
  <c r="N112" i="2"/>
  <c r="T112" i="2" s="1"/>
  <c r="N1248" i="2"/>
  <c r="T1248" i="2" s="1"/>
  <c r="N2522" i="2"/>
  <c r="T2522" i="2" s="1"/>
  <c r="N2580" i="2"/>
  <c r="T2580" i="2" s="1"/>
  <c r="N2399" i="2"/>
  <c r="N2010" i="2"/>
  <c r="T2010" i="2" s="1"/>
  <c r="N629" i="2"/>
  <c r="T629" i="2" s="1"/>
  <c r="N729" i="2"/>
  <c r="T729" i="2" s="1"/>
  <c r="N1593" i="2"/>
  <c r="T1593" i="2" s="1"/>
  <c r="N167" i="2"/>
  <c r="T167" i="2" s="1"/>
  <c r="N342" i="2"/>
  <c r="T342" i="2" s="1"/>
  <c r="N1292" i="2"/>
  <c r="T1292" i="2" s="1"/>
  <c r="N3080" i="2"/>
  <c r="T3080" i="2" s="1"/>
  <c r="N1322" i="2"/>
  <c r="T1322" i="2" s="1"/>
  <c r="N1029" i="2"/>
  <c r="T1029" i="2" s="1"/>
  <c r="N1393" i="2"/>
  <c r="T1393" i="2" s="1"/>
  <c r="N2084" i="2"/>
  <c r="T2084" i="2" s="1"/>
  <c r="N2484" i="2"/>
  <c r="T2484" i="2" s="1"/>
  <c r="N1633" i="2"/>
  <c r="T1633" i="2" s="1"/>
  <c r="N1039" i="2"/>
  <c r="T1039" i="2" s="1"/>
  <c r="N2765" i="2"/>
  <c r="T2765" i="2" s="1"/>
  <c r="N1268" i="2"/>
  <c r="T1268" i="2" s="1"/>
  <c r="N2461" i="2"/>
  <c r="T2461" i="2" s="1"/>
  <c r="N2856" i="2"/>
  <c r="T2856" i="2" s="1"/>
  <c r="N1286" i="2"/>
  <c r="T1286" i="2" s="1"/>
  <c r="N220" i="2"/>
  <c r="T220" i="2" s="1"/>
  <c r="N2155" i="2"/>
  <c r="N871" i="2"/>
  <c r="T871" i="2" s="1"/>
  <c r="N2259" i="2"/>
  <c r="T2259" i="2" s="1"/>
  <c r="N2441" i="2"/>
  <c r="T2441" i="2" s="1"/>
  <c r="N1648" i="2"/>
  <c r="T1648" i="2" s="1"/>
  <c r="N728" i="2"/>
  <c r="T728" i="2" s="1"/>
  <c r="N1269" i="2"/>
  <c r="T1269" i="2" s="1"/>
  <c r="N2207" i="2"/>
  <c r="T2207" i="2" s="1"/>
  <c r="N1842" i="2"/>
  <c r="N2054" i="2"/>
  <c r="N1052" i="2"/>
  <c r="T1052" i="2" s="1"/>
  <c r="N2519" i="2"/>
  <c r="T2519" i="2" s="1"/>
  <c r="N1719" i="2"/>
  <c r="T1719" i="2" s="1"/>
  <c r="N782" i="2"/>
  <c r="T782" i="2" s="1"/>
  <c r="N2240" i="2"/>
  <c r="T2240" i="2" s="1"/>
  <c r="N425" i="2"/>
  <c r="T425" i="2" s="1"/>
  <c r="N1347" i="2"/>
  <c r="T1347" i="2" s="1"/>
  <c r="N2874" i="2"/>
  <c r="N1178" i="2"/>
  <c r="T1178" i="2" s="1"/>
  <c r="N757" i="2"/>
  <c r="T757" i="2" s="1"/>
  <c r="N2849" i="2"/>
  <c r="T2849" i="2" s="1"/>
  <c r="N1312" i="2"/>
  <c r="T1312" i="2" s="1"/>
  <c r="N2213" i="2"/>
  <c r="T2213" i="2" s="1"/>
  <c r="N2358" i="2"/>
  <c r="T2358" i="2" s="1"/>
  <c r="N841" i="2"/>
  <c r="T841" i="2" s="1"/>
  <c r="N1675" i="2"/>
  <c r="T1675" i="2" s="1"/>
  <c r="N518" i="2"/>
  <c r="T518" i="2" s="1"/>
  <c r="N1296" i="2"/>
  <c r="T1296" i="2" s="1"/>
  <c r="N311" i="2"/>
  <c r="T311" i="2" s="1"/>
  <c r="N1096" i="2"/>
  <c r="T1096" i="2" s="1"/>
  <c r="N265" i="2"/>
  <c r="T265" i="2" s="1"/>
  <c r="N1895" i="2"/>
  <c r="T1895" i="2" s="1"/>
  <c r="N2774" i="2"/>
  <c r="N1325" i="2"/>
  <c r="T1325" i="2" s="1"/>
  <c r="N1519" i="2"/>
  <c r="T1519" i="2" s="1"/>
  <c r="N2944" i="2"/>
  <c r="T2944" i="2" s="1"/>
  <c r="N1771" i="2"/>
  <c r="T1771" i="2" s="1"/>
  <c r="N2325" i="2"/>
  <c r="T2325" i="2" s="1"/>
  <c r="N1631" i="2"/>
  <c r="T1631" i="2" s="1"/>
  <c r="N932" i="2"/>
  <c r="T932" i="2" s="1"/>
  <c r="N228" i="2"/>
  <c r="T228" i="2" s="1"/>
  <c r="N1284" i="2"/>
  <c r="T1284" i="2" s="1"/>
  <c r="N1966" i="2"/>
  <c r="T1966" i="2" s="1"/>
  <c r="N1328" i="2"/>
  <c r="T1328" i="2" s="1"/>
  <c r="N2721" i="2"/>
  <c r="T2721" i="2" s="1"/>
  <c r="N602" i="2"/>
  <c r="T602" i="2" s="1"/>
  <c r="N1133" i="2"/>
  <c r="T1133" i="2" s="1"/>
  <c r="N2830" i="2"/>
  <c r="T2830" i="2" s="1"/>
  <c r="N118" i="2"/>
  <c r="T118" i="2" s="1"/>
  <c r="N1461" i="2"/>
  <c r="T1461" i="2" s="1"/>
  <c r="N2973" i="2"/>
  <c r="T2973" i="2" s="1"/>
  <c r="N384" i="2"/>
  <c r="T384" i="2" s="1"/>
  <c r="N1131" i="2"/>
  <c r="T1131" i="2" s="1"/>
  <c r="N2296" i="2"/>
  <c r="T2296" i="2" s="1"/>
  <c r="N2016" i="2"/>
  <c r="T2016" i="2" s="1"/>
  <c r="N3055" i="2"/>
  <c r="T3055" i="2" s="1"/>
  <c r="N147" i="2"/>
  <c r="T147" i="2" s="1"/>
  <c r="N3140" i="2"/>
  <c r="T3140" i="2" s="1"/>
  <c r="N177" i="2"/>
  <c r="T177" i="2" s="1"/>
  <c r="N2345" i="2"/>
  <c r="T2345" i="2" s="1"/>
  <c r="N2278" i="2"/>
  <c r="T2278" i="2" s="1"/>
  <c r="N128" i="2"/>
  <c r="T128" i="2" s="1"/>
  <c r="N15" i="2"/>
  <c r="T15" i="2" s="1"/>
  <c r="N2017" i="2"/>
  <c r="T2017" i="2" s="1"/>
  <c r="N686" i="2"/>
  <c r="T686" i="2" s="1"/>
  <c r="N986" i="2"/>
  <c r="T986" i="2" s="1"/>
  <c r="N443" i="2"/>
  <c r="T443" i="2" s="1"/>
  <c r="N2952" i="2"/>
  <c r="T2952" i="2" s="1"/>
  <c r="N547" i="2"/>
  <c r="T547" i="2" s="1"/>
  <c r="N2788" i="2"/>
  <c r="T2788" i="2" s="1"/>
  <c r="N1176" i="2"/>
  <c r="T1176" i="2" s="1"/>
  <c r="N1556" i="2"/>
  <c r="T1556" i="2" s="1"/>
  <c r="N3110" i="2"/>
  <c r="T3110" i="2" s="1"/>
  <c r="N1081" i="2"/>
  <c r="T1081" i="2" s="1"/>
  <c r="N2795" i="2"/>
  <c r="N614" i="2"/>
  <c r="T614" i="2" s="1"/>
  <c r="N831" i="2"/>
  <c r="T831" i="2" s="1"/>
  <c r="N1597" i="2"/>
  <c r="T1597" i="2" s="1"/>
  <c r="N2756" i="2"/>
  <c r="T2756" i="2" s="1"/>
  <c r="N1316" i="2"/>
  <c r="T1316" i="2" s="1"/>
  <c r="N1703" i="2"/>
  <c r="T1703" i="2" s="1"/>
  <c r="N2593" i="2"/>
  <c r="T2593" i="2" s="1"/>
  <c r="N2404" i="2"/>
  <c r="T2404" i="2" s="1"/>
  <c r="N2241" i="2"/>
  <c r="T2241" i="2" s="1"/>
  <c r="N2231" i="2"/>
  <c r="T2231" i="2" s="1"/>
  <c r="N1618" i="2"/>
  <c r="N429" i="2"/>
  <c r="T429" i="2" s="1"/>
  <c r="N2269" i="2"/>
  <c r="T2269" i="2" s="1"/>
  <c r="N1214" i="2"/>
  <c r="T1214" i="2" s="1"/>
  <c r="N2186" i="2"/>
  <c r="T2186" i="2" s="1"/>
  <c r="N2020" i="2"/>
  <c r="T2020" i="2" s="1"/>
  <c r="N2625" i="2"/>
  <c r="T2625" i="2" s="1"/>
  <c r="N361" i="2"/>
  <c r="T361" i="2" s="1"/>
  <c r="N1880" i="2"/>
  <c r="T1880" i="2" s="1"/>
  <c r="N2144" i="2"/>
  <c r="T2144" i="2" s="1"/>
  <c r="N2674" i="2"/>
  <c r="T2674" i="2" s="1"/>
  <c r="N2536" i="2"/>
  <c r="T2536" i="2" s="1"/>
  <c r="N3100" i="2"/>
  <c r="T3100" i="2" s="1"/>
  <c r="N2447" i="2"/>
  <c r="T2447" i="2" s="1"/>
  <c r="N1981" i="2"/>
  <c r="T1981" i="2" s="1"/>
  <c r="N2967" i="2"/>
  <c r="T2967" i="2" s="1"/>
  <c r="N2334" i="2"/>
  <c r="T2334" i="2" s="1"/>
  <c r="N306" i="2"/>
  <c r="T306" i="2" s="1"/>
  <c r="N2811" i="2"/>
  <c r="T2811" i="2" s="1"/>
  <c r="N2983" i="2"/>
  <c r="N2247" i="2"/>
  <c r="T2247" i="2" s="1"/>
  <c r="N30" i="2"/>
  <c r="T30" i="2" s="1"/>
  <c r="N2063" i="2"/>
  <c r="T2063" i="2" s="1"/>
  <c r="N2605" i="2"/>
  <c r="T2605" i="2" s="1"/>
  <c r="N1600" i="2"/>
  <c r="T1600" i="2" s="1"/>
  <c r="N981" i="2"/>
  <c r="T981" i="2" s="1"/>
  <c r="N2630" i="2"/>
  <c r="T2630" i="2" s="1"/>
  <c r="N2387" i="2"/>
  <c r="N2251" i="2"/>
  <c r="T2251" i="2" s="1"/>
  <c r="N2344" i="2"/>
  <c r="T2344" i="2" s="1"/>
  <c r="N3152" i="2"/>
  <c r="T3152" i="2" s="1"/>
  <c r="N2570" i="2"/>
  <c r="T2570" i="2" s="1"/>
  <c r="N2784" i="2"/>
  <c r="N2870" i="2"/>
  <c r="T2870" i="2" s="1"/>
  <c r="N1554" i="2"/>
  <c r="T1554" i="2" s="1"/>
  <c r="N618" i="2"/>
  <c r="T618" i="2" s="1"/>
  <c r="N1280" i="2"/>
  <c r="T1280" i="2" s="1"/>
  <c r="N214" i="2"/>
  <c r="T214" i="2" s="1"/>
  <c r="N3151" i="2"/>
  <c r="T3151" i="2" s="1"/>
  <c r="N2173" i="2"/>
  <c r="T2173" i="2" s="1"/>
  <c r="N2711" i="2"/>
  <c r="N1502" i="2"/>
  <c r="T1502" i="2" s="1"/>
  <c r="N753" i="2"/>
  <c r="T753" i="2" s="1"/>
  <c r="N3090" i="2"/>
  <c r="T3090" i="2" s="1"/>
  <c r="N2268" i="2"/>
  <c r="T2268" i="2" s="1"/>
  <c r="N346" i="2"/>
  <c r="T346" i="2" s="1"/>
  <c r="N71" i="2"/>
  <c r="T71" i="2" s="1"/>
  <c r="N1672" i="2"/>
  <c r="T1672" i="2" s="1"/>
  <c r="N1550" i="2"/>
  <c r="T1550" i="2" s="1"/>
  <c r="N1791" i="2"/>
  <c r="T1791" i="2" s="1"/>
  <c r="N2571" i="2"/>
  <c r="T2571" i="2" s="1"/>
  <c r="N111" i="2"/>
  <c r="T111" i="2" s="1"/>
  <c r="N1789" i="2"/>
  <c r="T1789" i="2" s="1"/>
  <c r="N2267" i="2"/>
  <c r="T2267" i="2" s="1"/>
  <c r="N699" i="2"/>
  <c r="T699" i="2" s="1"/>
  <c r="N539" i="2"/>
  <c r="T539" i="2" s="1"/>
  <c r="N3075" i="2"/>
  <c r="T3075" i="2" s="1"/>
  <c r="N2225" i="2"/>
  <c r="T2225" i="2" s="1"/>
  <c r="N1961" i="2"/>
  <c r="T1961" i="2" s="1"/>
  <c r="N1023" i="2"/>
  <c r="T1023" i="2" s="1"/>
  <c r="N1032" i="2"/>
  <c r="T1032" i="2" s="1"/>
  <c r="N2844" i="2"/>
  <c r="T2844" i="2" s="1"/>
  <c r="N1043" i="2"/>
  <c r="T1043" i="2" s="1"/>
  <c r="N362" i="2"/>
  <c r="T362" i="2" s="1"/>
  <c r="N1030" i="2"/>
  <c r="T1030" i="2" s="1"/>
  <c r="N2351" i="2"/>
  <c r="T2351" i="2" s="1"/>
  <c r="N875" i="2"/>
  <c r="T875" i="2" s="1"/>
  <c r="N2587" i="2"/>
  <c r="T2587" i="2" s="1"/>
  <c r="N864" i="2"/>
  <c r="T864" i="2" s="1"/>
  <c r="N1335" i="2"/>
  <c r="T1335" i="2" s="1"/>
  <c r="N1926" i="2"/>
  <c r="T1926" i="2" s="1"/>
  <c r="N1035" i="2"/>
  <c r="T1035" i="2" s="1"/>
  <c r="N2181" i="2"/>
  <c r="T2181" i="2" s="1"/>
  <c r="N318" i="2"/>
  <c r="T318" i="2" s="1"/>
  <c r="N2760" i="2"/>
  <c r="T2760" i="2" s="1"/>
  <c r="N884" i="2"/>
  <c r="T884" i="2" s="1"/>
  <c r="N948" i="2"/>
  <c r="T948" i="2" s="1"/>
  <c r="N1077" i="2"/>
  <c r="T1077" i="2" s="1"/>
  <c r="N2509" i="2"/>
  <c r="T2509" i="2" s="1"/>
  <c r="N186" i="2"/>
  <c r="T186" i="2" s="1"/>
  <c r="N338" i="2"/>
  <c r="T338" i="2" s="1"/>
  <c r="N2814" i="2"/>
  <c r="T2814" i="2" s="1"/>
  <c r="N855" i="2"/>
  <c r="T855" i="2" s="1"/>
  <c r="N1307" i="2"/>
  <c r="T1307" i="2" s="1"/>
  <c r="N2163" i="2"/>
  <c r="N964" i="2"/>
  <c r="T964" i="2" s="1"/>
  <c r="N635" i="2"/>
  <c r="T635" i="2" s="1"/>
  <c r="N2987" i="2"/>
  <c r="N1064" i="2"/>
  <c r="T1064" i="2" s="1"/>
  <c r="N584" i="2"/>
  <c r="T584" i="2" s="1"/>
  <c r="N1909" i="2"/>
  <c r="T1909" i="2" s="1"/>
  <c r="N1635" i="2"/>
  <c r="T1635" i="2" s="1"/>
  <c r="N1498" i="2"/>
  <c r="T1498" i="2" s="1"/>
  <c r="N1350" i="2"/>
  <c r="T1350" i="2" s="1"/>
  <c r="N2770" i="2"/>
  <c r="T2770" i="2" s="1"/>
  <c r="N1298" i="2"/>
  <c r="T1298" i="2" s="1"/>
  <c r="N466" i="2"/>
  <c r="T466" i="2" s="1"/>
  <c r="N461" i="2"/>
  <c r="T461" i="2" s="1"/>
  <c r="N1522" i="2"/>
  <c r="T1522" i="2" s="1"/>
  <c r="N2319" i="2"/>
  <c r="T2319" i="2" s="1"/>
  <c r="N2880" i="2"/>
  <c r="T2880" i="2" s="1"/>
  <c r="N1743" i="2"/>
  <c r="T1743" i="2" s="1"/>
  <c r="N1304" i="2"/>
  <c r="T1304" i="2" s="1"/>
  <c r="N868" i="2"/>
  <c r="T868" i="2" s="1"/>
  <c r="N600" i="2"/>
  <c r="T600" i="2" s="1"/>
  <c r="N2472" i="2"/>
  <c r="T2472" i="2" s="1"/>
  <c r="N3186" i="2"/>
  <c r="T3186" i="2" s="1"/>
  <c r="N1825" i="2"/>
  <c r="T1825" i="2" s="1"/>
  <c r="N1343" i="2"/>
  <c r="T1343" i="2" s="1"/>
  <c r="N1797" i="2"/>
  <c r="N2511" i="2"/>
  <c r="N2073" i="2"/>
  <c r="T2073" i="2" s="1"/>
  <c r="N2586" i="2"/>
  <c r="N2913" i="2"/>
  <c r="T2913" i="2" s="1"/>
  <c r="N2972" i="2"/>
  <c r="T2972" i="2" s="1"/>
  <c r="N1469" i="2"/>
  <c r="T1469" i="2" s="1"/>
  <c r="N1543" i="2"/>
  <c r="T1543" i="2" s="1"/>
  <c r="N1368" i="2"/>
  <c r="T1368" i="2" s="1"/>
  <c r="N3007" i="2"/>
  <c r="T3007" i="2" s="1"/>
  <c r="N1446" i="2"/>
  <c r="T1446" i="2" s="1"/>
  <c r="N2388" i="2"/>
  <c r="T2388" i="2" s="1"/>
  <c r="N1406" i="2"/>
  <c r="T1406" i="2" s="1"/>
  <c r="N288" i="2"/>
  <c r="T288" i="2" s="1"/>
  <c r="N84" i="2"/>
  <c r="T84" i="2" s="1"/>
  <c r="N1249" i="2"/>
  <c r="T1249" i="2" s="1"/>
  <c r="N598" i="2"/>
  <c r="T598" i="2" s="1"/>
  <c r="N2694" i="2"/>
  <c r="T2694" i="2" s="1"/>
  <c r="N815" i="2"/>
  <c r="T815" i="2" s="1"/>
  <c r="N2574" i="2"/>
  <c r="T2574" i="2" s="1"/>
  <c r="N2803" i="2"/>
  <c r="T2803" i="2" s="1"/>
  <c r="N1888" i="2"/>
  <c r="T1888" i="2" s="1"/>
  <c r="N949" i="2"/>
  <c r="T949" i="2" s="1"/>
  <c r="N2353" i="2"/>
  <c r="T2353" i="2" s="1"/>
  <c r="N2618" i="2"/>
  <c r="T2618" i="2" s="1"/>
  <c r="N954" i="2"/>
  <c r="T954" i="2" s="1"/>
  <c r="N1018" i="2"/>
  <c r="T1018" i="2" s="1"/>
  <c r="N542" i="2"/>
  <c r="T542" i="2" s="1"/>
  <c r="N2364" i="2"/>
  <c r="T2364" i="2" s="1"/>
  <c r="N2377" i="2"/>
  <c r="T2377" i="2" s="1"/>
  <c r="N2508" i="2"/>
  <c r="T2508" i="2" s="1"/>
  <c r="N2819" i="2"/>
  <c r="T2819" i="2" s="1"/>
  <c r="N1404" i="2"/>
  <c r="T1404" i="2" s="1"/>
  <c r="N2769" i="2"/>
  <c r="T2769" i="2" s="1"/>
  <c r="N1676" i="2"/>
  <c r="T1676" i="2" s="1"/>
  <c r="N947" i="2"/>
  <c r="T947" i="2" s="1"/>
  <c r="N1285" i="2"/>
  <c r="T1285" i="2" s="1"/>
  <c r="N1937" i="2"/>
  <c r="T1937" i="2" s="1"/>
  <c r="N2082" i="2"/>
  <c r="T2082" i="2" s="1"/>
  <c r="N830" i="2"/>
  <c r="T830" i="2" s="1"/>
  <c r="N364" i="2"/>
  <c r="T364" i="2" s="1"/>
  <c r="N1637" i="2"/>
  <c r="T1637" i="2" s="1"/>
  <c r="N1450" i="2"/>
  <c r="T1450" i="2" s="1"/>
  <c r="N463" i="2"/>
  <c r="T463" i="2" s="1"/>
  <c r="N1037" i="2"/>
  <c r="T1037" i="2" s="1"/>
  <c r="N502" i="2"/>
  <c r="T502" i="2" s="1"/>
  <c r="N2515" i="2"/>
  <c r="T2515" i="2" s="1"/>
  <c r="N221" i="2"/>
  <c r="T221" i="2" s="1"/>
  <c r="N2382" i="2"/>
  <c r="T2382" i="2" s="1"/>
  <c r="N962" i="2"/>
  <c r="T962" i="2" s="1"/>
  <c r="N1751" i="2"/>
  <c r="T1751" i="2" s="1"/>
  <c r="N2250" i="2"/>
  <c r="T2250" i="2" s="1"/>
  <c r="N870" i="2"/>
  <c r="T870" i="2" s="1"/>
  <c r="N268" i="2"/>
  <c r="T268" i="2" s="1"/>
  <c r="N2552" i="2"/>
  <c r="T2552" i="2" s="1"/>
  <c r="N1384" i="2"/>
  <c r="T1384" i="2" s="1"/>
  <c r="N843" i="2"/>
  <c r="T843" i="2" s="1"/>
  <c r="N1439" i="2"/>
  <c r="T1439" i="2" s="1"/>
  <c r="N1348" i="2"/>
  <c r="T1348" i="2" s="1"/>
  <c r="N1129" i="2"/>
  <c r="T1129" i="2" s="1"/>
  <c r="N2656" i="2"/>
  <c r="T2656" i="2" s="1"/>
  <c r="N3058" i="2"/>
  <c r="T3058" i="2" s="1"/>
  <c r="N422" i="2"/>
  <c r="T422" i="2" s="1"/>
  <c r="N2592" i="2"/>
  <c r="T2592" i="2" s="1"/>
  <c r="N65" i="2"/>
  <c r="T65" i="2" s="1"/>
  <c r="N1582" i="2"/>
  <c r="T1582" i="2" s="1"/>
  <c r="N2096" i="2"/>
  <c r="T2096" i="2" s="1"/>
  <c r="N976" i="2"/>
  <c r="T976" i="2" s="1"/>
  <c r="N970" i="2"/>
  <c r="T970" i="2" s="1"/>
  <c r="N1396" i="2"/>
  <c r="T1396" i="2" s="1"/>
  <c r="N2473" i="2"/>
  <c r="T2473" i="2" s="1"/>
  <c r="N541" i="2"/>
  <c r="T541" i="2" s="1"/>
  <c r="N3168" i="2"/>
  <c r="T3168" i="2" s="1"/>
  <c r="N1936" i="2"/>
  <c r="T1936" i="2" s="1"/>
  <c r="N2444" i="2"/>
  <c r="T2444" i="2" s="1"/>
  <c r="N1213" i="2"/>
  <c r="T1213" i="2" s="1"/>
  <c r="N26" i="2"/>
  <c r="T26" i="2" s="1"/>
  <c r="N2794" i="2"/>
  <c r="T2794" i="2" s="1"/>
  <c r="N3143" i="2"/>
  <c r="N2731" i="2"/>
  <c r="T2731" i="2" s="1"/>
  <c r="N117" i="2"/>
  <c r="T117" i="2" s="1"/>
  <c r="N1738" i="2"/>
  <c r="T1738" i="2" s="1"/>
  <c r="N2154" i="2"/>
  <c r="T2154" i="2" s="1"/>
  <c r="N2430" i="2"/>
  <c r="T2430" i="2" s="1"/>
  <c r="N996" i="2"/>
  <c r="T996" i="2" s="1"/>
  <c r="N926" i="2"/>
  <c r="T926" i="2" s="1"/>
  <c r="N3101" i="2"/>
  <c r="T3101" i="2" s="1"/>
  <c r="N2212" i="2"/>
  <c r="T2212" i="2" s="1"/>
  <c r="N1957" i="2"/>
  <c r="T1957" i="2" s="1"/>
  <c r="N2419" i="2"/>
  <c r="N2389" i="2"/>
  <c r="T2389" i="2" s="1"/>
  <c r="N2116" i="2"/>
  <c r="T2116" i="2" s="1"/>
  <c r="N238" i="2"/>
  <c r="T238" i="2" s="1"/>
  <c r="N1653" i="2"/>
  <c r="T1653" i="2" s="1"/>
  <c r="N762" i="2"/>
  <c r="T762" i="2" s="1"/>
  <c r="N714" i="2"/>
  <c r="T714" i="2" s="1"/>
  <c r="N1402" i="2"/>
  <c r="T1402" i="2" s="1"/>
  <c r="N2211" i="2"/>
  <c r="T2211" i="2" s="1"/>
  <c r="N2025" i="2"/>
  <c r="T2025" i="2" s="1"/>
  <c r="N553" i="2"/>
  <c r="T553" i="2" s="1"/>
  <c r="N2101" i="2"/>
  <c r="T2101" i="2" s="1"/>
  <c r="N625" i="2"/>
  <c r="T625" i="2" s="1"/>
  <c r="N1148" i="2"/>
  <c r="T1148" i="2" s="1"/>
  <c r="N1346" i="2"/>
  <c r="N2743" i="2"/>
  <c r="T2743" i="2" s="1"/>
  <c r="N2214" i="2"/>
  <c r="T2214" i="2" s="1"/>
  <c r="N706" i="2"/>
  <c r="T706" i="2" s="1"/>
  <c r="N1456" i="2"/>
  <c r="T1456" i="2" s="1"/>
  <c r="N2230" i="2"/>
  <c r="T2230" i="2" s="1"/>
  <c r="N2005" i="2"/>
  <c r="T2005" i="2" s="1"/>
  <c r="N1496" i="2"/>
  <c r="N524" i="2"/>
  <c r="T524" i="2" s="1"/>
  <c r="N2372" i="2"/>
  <c r="N2304" i="2"/>
  <c r="T2304" i="2" s="1"/>
  <c r="N3124" i="2"/>
  <c r="N3011" i="2"/>
  <c r="N3049" i="2"/>
  <c r="T3049" i="2" s="1"/>
  <c r="N867" i="2"/>
  <c r="T867" i="2" s="1"/>
  <c r="N32" i="2"/>
  <c r="T32" i="2" s="1"/>
  <c r="N1180" i="2"/>
  <c r="T1180" i="2" s="1"/>
  <c r="N2806" i="2"/>
  <c r="T2806" i="2" s="1"/>
  <c r="N2889" i="2"/>
  <c r="T2889" i="2" s="1"/>
  <c r="N2826" i="2"/>
  <c r="T2826" i="2" s="1"/>
  <c r="N2218" i="2"/>
  <c r="N2833" i="2"/>
  <c r="T2833" i="2" s="1"/>
  <c r="N1430" i="2"/>
  <c r="T1430" i="2" s="1"/>
  <c r="N2170" i="2"/>
  <c r="T2170" i="2" s="1"/>
  <c r="N119" i="2"/>
  <c r="T119" i="2" s="1"/>
  <c r="N1065" i="2"/>
  <c r="T1065" i="2" s="1"/>
  <c r="N257" i="2"/>
  <c r="T257" i="2" s="1"/>
  <c r="N958" i="2"/>
  <c r="N391" i="2"/>
  <c r="T391" i="2" s="1"/>
  <c r="N2379" i="2"/>
  <c r="T2379" i="2" s="1"/>
  <c r="N1987" i="2"/>
  <c r="T1987" i="2" s="1"/>
  <c r="N3102" i="2"/>
  <c r="T3102" i="2" s="1"/>
  <c r="N2008" i="2"/>
  <c r="T2008" i="2" s="1"/>
  <c r="N2156" i="2"/>
  <c r="T2156" i="2" s="1"/>
  <c r="N74" i="2"/>
  <c r="T74" i="2" s="1"/>
  <c r="N2954" i="2"/>
  <c r="T2954" i="2" s="1"/>
  <c r="N2781" i="2"/>
  <c r="T2781" i="2" s="1"/>
  <c r="N51" i="2"/>
  <c r="T51" i="2" s="1"/>
  <c r="N1215" i="2"/>
  <c r="T1215" i="2" s="1"/>
  <c r="N2026" i="2"/>
  <c r="T2026" i="2" s="1"/>
  <c r="N1758" i="2"/>
  <c r="N920" i="2"/>
  <c r="T920" i="2" s="1"/>
  <c r="N1919" i="2"/>
  <c r="T1919" i="2" s="1"/>
  <c r="N368" i="2"/>
  <c r="T368" i="2" s="1"/>
  <c r="N1484" i="2"/>
  <c r="T1484" i="2" s="1"/>
  <c r="N1852" i="2"/>
  <c r="T1852" i="2" s="1"/>
  <c r="N2286" i="2"/>
  <c r="T2286" i="2" s="1"/>
  <c r="N478" i="2"/>
  <c r="T478" i="2" s="1"/>
  <c r="N771" i="2"/>
  <c r="N3125" i="2"/>
  <c r="T3125" i="2" s="1"/>
  <c r="N1794" i="2"/>
  <c r="T1794" i="2" s="1"/>
  <c r="N2223" i="2"/>
  <c r="T2223" i="2" s="1"/>
  <c r="N1256" i="2"/>
  <c r="T1256" i="2" s="1"/>
  <c r="N1154" i="2"/>
  <c r="T1154" i="2" s="1"/>
  <c r="N2626" i="2"/>
  <c r="T2626" i="2" s="1"/>
  <c r="N1804" i="2"/>
  <c r="N1208" i="2"/>
  <c r="T1208" i="2" s="1"/>
  <c r="N56" i="2"/>
  <c r="T56" i="2" s="1"/>
  <c r="N3032" i="2"/>
  <c r="T3032" i="2" s="1"/>
  <c r="N994" i="2"/>
  <c r="T994" i="2" s="1"/>
  <c r="N1832" i="2"/>
  <c r="T1832" i="2" s="1"/>
  <c r="N2203" i="2"/>
  <c r="T2203" i="2" s="1"/>
  <c r="N1911" i="2"/>
  <c r="T1911" i="2" s="1"/>
  <c r="N1378" i="2"/>
  <c r="T1378" i="2" s="1"/>
  <c r="N2450" i="2"/>
  <c r="T2450" i="2" s="1"/>
  <c r="N787" i="2"/>
  <c r="T787" i="2" s="1"/>
  <c r="N496" i="2"/>
  <c r="T496" i="2" s="1"/>
  <c r="N2142" i="2"/>
  <c r="T2142" i="2" s="1"/>
  <c r="N3148" i="2"/>
  <c r="T3148" i="2" s="1"/>
  <c r="N3069" i="2"/>
  <c r="T3069" i="2" s="1"/>
  <c r="N2678" i="2"/>
  <c r="T2678" i="2" s="1"/>
  <c r="N79" i="2"/>
  <c r="T79" i="2" s="1"/>
  <c r="N2808" i="2"/>
  <c r="T2808" i="2" s="1"/>
  <c r="N3052" i="2"/>
  <c r="T3052" i="2" s="1"/>
  <c r="N2611" i="2"/>
  <c r="T2611" i="2" s="1"/>
  <c r="N1240" i="2"/>
  <c r="T1240" i="2" s="1"/>
  <c r="N2458" i="2"/>
  <c r="T2458" i="2" s="1"/>
  <c r="N2609" i="2"/>
  <c r="T2609" i="2" s="1"/>
  <c r="N832" i="2"/>
  <c r="T832" i="2" s="1"/>
  <c r="N3056" i="2"/>
  <c r="N2028" i="2"/>
  <c r="T2028" i="2" s="1"/>
  <c r="N1006" i="2"/>
  <c r="N2974" i="2"/>
  <c r="T2974" i="2" s="1"/>
  <c r="N3164" i="2"/>
  <c r="T3164" i="2" s="1"/>
  <c r="N2958" i="2"/>
  <c r="T2958" i="2" s="1"/>
  <c r="N418" i="2"/>
  <c r="T418" i="2" s="1"/>
  <c r="N241" i="2"/>
  <c r="T241" i="2" s="1"/>
  <c r="N1468" i="2"/>
  <c r="T1468" i="2" s="1"/>
  <c r="N3161" i="2"/>
  <c r="N1221" i="2"/>
  <c r="T1221" i="2" s="1"/>
  <c r="N374" i="2"/>
  <c r="T374" i="2" s="1"/>
  <c r="N1613" i="2"/>
  <c r="T1613" i="2" s="1"/>
  <c r="N439" i="2"/>
  <c r="T439" i="2" s="1"/>
  <c r="N434" i="2"/>
  <c r="T434" i="2" s="1"/>
  <c r="N3141" i="2"/>
  <c r="T3141" i="2" s="1"/>
  <c r="N2653" i="2"/>
  <c r="T2653" i="2" s="1"/>
  <c r="N1009" i="2"/>
  <c r="T1009" i="2" s="1"/>
  <c r="N3192" i="2"/>
  <c r="N126" i="2"/>
  <c r="T126" i="2" s="1"/>
  <c r="N66" i="2"/>
  <c r="T66" i="2" s="1"/>
  <c r="N2542" i="2"/>
  <c r="N1480" i="2"/>
  <c r="T1480" i="2" s="1"/>
  <c r="N1383" i="2"/>
  <c r="T1383" i="2" s="1"/>
  <c r="N816" i="2"/>
  <c r="T816" i="2" s="1"/>
  <c r="N2604" i="2"/>
  <c r="T2604" i="2" s="1"/>
  <c r="N367" i="2"/>
  <c r="T367" i="2" s="1"/>
  <c r="N373" i="2"/>
  <c r="T373" i="2" s="1"/>
  <c r="N2014" i="2"/>
  <c r="N957" i="2"/>
  <c r="T957" i="2" s="1"/>
  <c r="N2901" i="2"/>
  <c r="T2901" i="2" s="1"/>
  <c r="N1624" i="2"/>
  <c r="T1624" i="2" s="1"/>
  <c r="N1664" i="2"/>
  <c r="T1664" i="2" s="1"/>
  <c r="N1091" i="2"/>
  <c r="T1091" i="2" s="1"/>
  <c r="N303" i="2"/>
  <c r="T303" i="2" s="1"/>
  <c r="N2550" i="2"/>
  <c r="T2550" i="2" s="1"/>
  <c r="N3060" i="2"/>
  <c r="T3060" i="2" s="1"/>
  <c r="N2650" i="2"/>
  <c r="T2650" i="2" s="1"/>
  <c r="N1834" i="2"/>
  <c r="T1834" i="2" s="1"/>
  <c r="N1250" i="2"/>
  <c r="T1250" i="2" s="1"/>
  <c r="N3114" i="2"/>
  <c r="T3114" i="2" s="1"/>
  <c r="N1466" i="2"/>
  <c r="N1332" i="2"/>
  <c r="T1332" i="2" s="1"/>
  <c r="N356" i="2"/>
  <c r="T356" i="2" s="1"/>
  <c r="N1955" i="2"/>
  <c r="T1955" i="2" s="1"/>
  <c r="N1185" i="2"/>
  <c r="T1185" i="2" s="1"/>
  <c r="N170" i="2"/>
  <c r="T170" i="2" s="1"/>
  <c r="N39" i="2"/>
  <c r="T39" i="2" s="1"/>
  <c r="N141" i="2"/>
  <c r="T141" i="2" s="1"/>
  <c r="N1403" i="2"/>
  <c r="T1403" i="2" s="1"/>
  <c r="N536" i="2"/>
  <c r="T536" i="2" s="1"/>
  <c r="N1749" i="2"/>
  <c r="T1749" i="2" s="1"/>
  <c r="N2955" i="2"/>
  <c r="T2955" i="2" s="1"/>
  <c r="N2327" i="2"/>
  <c r="N1170" i="2"/>
  <c r="T1170" i="2" s="1"/>
  <c r="N1436" i="2"/>
  <c r="T1436" i="2" s="1"/>
  <c r="N2161" i="2"/>
  <c r="T2161" i="2" s="1"/>
  <c r="N42" i="2"/>
  <c r="T42" i="2" s="1"/>
  <c r="N2169" i="2"/>
  <c r="T2169" i="2" s="1"/>
  <c r="N650" i="2"/>
  <c r="T650" i="2" s="1"/>
  <c r="N3003" i="2"/>
  <c r="T3003" i="2" s="1"/>
  <c r="N1485" i="2"/>
  <c r="T1485" i="2" s="1"/>
  <c r="N129" i="2"/>
  <c r="T129" i="2" s="1"/>
  <c r="N1108" i="2"/>
  <c r="T1108" i="2" s="1"/>
  <c r="N319" i="2"/>
  <c r="T319" i="2" s="1"/>
  <c r="N353" i="2"/>
  <c r="T353" i="2" s="1"/>
  <c r="N1318" i="2"/>
  <c r="T1318" i="2" s="1"/>
  <c r="N270" i="2"/>
  <c r="T270" i="2" s="1"/>
  <c r="N773" i="2"/>
  <c r="T773" i="2" s="1"/>
  <c r="N2513" i="2"/>
  <c r="T2513" i="2" s="1"/>
  <c r="N1168" i="2"/>
  <c r="T1168" i="2" s="1"/>
  <c r="N1272" i="2"/>
  <c r="T1272" i="2" s="1"/>
  <c r="N2670" i="2"/>
  <c r="T2670" i="2" s="1"/>
  <c r="N1136" i="2"/>
  <c r="T1136" i="2" s="1"/>
  <c r="N2244" i="2"/>
  <c r="T2244" i="2" s="1"/>
  <c r="N415" i="2"/>
  <c r="T415" i="2" s="1"/>
  <c r="N924" i="2"/>
  <c r="T924" i="2" s="1"/>
  <c r="N3061" i="2"/>
  <c r="N927" i="2"/>
  <c r="T927" i="2" s="1"/>
  <c r="N1463" i="2"/>
  <c r="T1463" i="2" s="1"/>
  <c r="N818" i="2"/>
  <c r="T818" i="2" s="1"/>
  <c r="N300" i="2"/>
  <c r="T300" i="2" s="1"/>
  <c r="N3012" i="2"/>
  <c r="T3012" i="2" s="1"/>
  <c r="N1917" i="2"/>
  <c r="T1917" i="2" s="1"/>
  <c r="N1698" i="2"/>
  <c r="T1698" i="2" s="1"/>
  <c r="N1893" i="2"/>
  <c r="N243" i="2"/>
  <c r="T243" i="2" s="1"/>
  <c r="N549" i="2"/>
  <c r="T549" i="2" s="1"/>
  <c r="N181" i="2"/>
  <c r="T181" i="2" s="1"/>
  <c r="N853" i="2"/>
  <c r="T853" i="2" s="1"/>
  <c r="N2130" i="2"/>
  <c r="N636" i="2"/>
  <c r="T636" i="2" s="1"/>
  <c r="N202" i="2"/>
  <c r="T202" i="2" s="1"/>
  <c r="N1345" i="2"/>
  <c r="T1345" i="2" s="1"/>
  <c r="N2360" i="2"/>
  <c r="T2360" i="2" s="1"/>
  <c r="N1939" i="2"/>
  <c r="T1939" i="2" s="1"/>
  <c r="N1479" i="2"/>
  <c r="T1479" i="2" s="1"/>
  <c r="N558" i="2"/>
  <c r="N872" i="2"/>
  <c r="T872" i="2" s="1"/>
  <c r="N3130" i="2"/>
  <c r="T3130" i="2" s="1"/>
  <c r="N747" i="2"/>
  <c r="T747" i="2" s="1"/>
  <c r="N2506" i="2"/>
  <c r="T2506" i="2" s="1"/>
  <c r="N767" i="2"/>
  <c r="T767" i="2" s="1"/>
  <c r="N2474" i="2"/>
  <c r="T2474" i="2" s="1"/>
  <c r="N295" i="2"/>
  <c r="T295" i="2" s="1"/>
  <c r="N1186" i="2"/>
  <c r="T1186" i="2" s="1"/>
  <c r="N523" i="2"/>
  <c r="T523" i="2" s="1"/>
  <c r="N19" i="2"/>
  <c r="T19" i="2" s="1"/>
  <c r="N2907" i="2"/>
  <c r="T2907" i="2" s="1"/>
  <c r="N2321" i="2"/>
  <c r="T2321" i="2" s="1"/>
  <c r="N1113" i="2"/>
  <c r="T1113" i="2" s="1"/>
  <c r="N1022" i="2"/>
  <c r="T1022" i="2" s="1"/>
  <c r="N2184" i="2"/>
  <c r="N1074" i="2"/>
  <c r="T1074" i="2" s="1"/>
  <c r="N1867" i="2"/>
  <c r="T1867" i="2" s="1"/>
  <c r="N1780" i="2"/>
  <c r="T1780" i="2" s="1"/>
  <c r="N959" i="2"/>
  <c r="T959" i="2" s="1"/>
  <c r="N99" i="2"/>
  <c r="T99" i="2" s="1"/>
  <c r="N597" i="2"/>
  <c r="T597" i="2" s="1"/>
  <c r="N982" i="2"/>
  <c r="T982" i="2" s="1"/>
  <c r="N1086" i="2"/>
  <c r="N2324" i="2"/>
  <c r="T2324" i="2" s="1"/>
  <c r="N2619" i="2"/>
  <c r="T2619" i="2" s="1"/>
  <c r="N2607" i="2"/>
  <c r="T2607" i="2" s="1"/>
  <c r="N2178" i="2"/>
  <c r="T2178" i="2" s="1"/>
  <c r="N1763" i="2"/>
  <c r="T1763" i="2" s="1"/>
  <c r="N251" i="2"/>
  <c r="T251" i="2" s="1"/>
  <c r="N2637" i="2"/>
  <c r="T2637" i="2" s="1"/>
  <c r="N1555" i="2"/>
  <c r="T1555" i="2" s="1"/>
  <c r="N3079" i="2"/>
  <c r="T3079" i="2" s="1"/>
  <c r="N878" i="2"/>
  <c r="T878" i="2" s="1"/>
  <c r="N2047" i="2"/>
  <c r="T2047" i="2" s="1"/>
  <c r="N552" i="2"/>
  <c r="T552" i="2" s="1"/>
  <c r="N2596" i="2"/>
  <c r="T2596" i="2" s="1"/>
  <c r="N1914" i="2"/>
  <c r="T1914" i="2" s="1"/>
  <c r="N1114" i="2"/>
  <c r="T1114" i="2" s="1"/>
  <c r="N2829" i="2"/>
  <c r="T2829" i="2" s="1"/>
  <c r="N2718" i="2"/>
  <c r="T2718" i="2" s="1"/>
  <c r="N162" i="2"/>
  <c r="T162" i="2" s="1"/>
  <c r="N1768" i="2"/>
  <c r="T1768" i="2" s="1"/>
  <c r="N1525" i="2"/>
  <c r="T1525" i="2" s="1"/>
  <c r="N351" i="2"/>
  <c r="T351" i="2" s="1"/>
  <c r="N2446" i="2"/>
  <c r="T2446" i="2" s="1"/>
  <c r="N2480" i="2"/>
  <c r="T2480" i="2" s="1"/>
  <c r="N2023" i="2"/>
  <c r="N873" i="2"/>
  <c r="T873" i="2" s="1"/>
  <c r="N512" i="2"/>
  <c r="T512" i="2" s="1"/>
  <c r="N2696" i="2"/>
  <c r="T2696" i="2" s="1"/>
  <c r="N337" i="2"/>
  <c r="T337" i="2" s="1"/>
  <c r="N1596" i="2"/>
  <c r="T1596" i="2" s="1"/>
  <c r="N772" i="2"/>
  <c r="T772" i="2" s="1"/>
  <c r="N588" i="2"/>
  <c r="T588" i="2" s="1"/>
  <c r="N2112" i="2"/>
  <c r="T2112" i="2" s="1"/>
  <c r="N1548" i="2"/>
  <c r="N2690" i="2"/>
  <c r="T2690" i="2" s="1"/>
  <c r="N3076" i="2"/>
  <c r="T3076" i="2" s="1"/>
  <c r="N2858" i="2"/>
  <c r="T2858" i="2" s="1"/>
  <c r="N13" i="2"/>
  <c r="T13" i="2" s="1"/>
  <c r="N465" i="2"/>
  <c r="T465" i="2" s="1"/>
  <c r="N1815" i="2"/>
  <c r="T1815" i="2" s="1"/>
  <c r="N312" i="2"/>
  <c r="N2037" i="2"/>
  <c r="N892" i="2"/>
  <c r="T892" i="2" s="1"/>
  <c r="N164" i="2"/>
  <c r="T164" i="2" s="1"/>
  <c r="N1432" i="2"/>
  <c r="T1432" i="2" s="1"/>
  <c r="N479" i="2"/>
  <c r="T479" i="2" s="1"/>
  <c r="N1021" i="2"/>
  <c r="T1021" i="2" s="1"/>
  <c r="N262" i="2"/>
  <c r="T262" i="2" s="1"/>
  <c r="N2459" i="2"/>
  <c r="T2459" i="2" s="1"/>
  <c r="N1514" i="2"/>
  <c r="T1514" i="2" s="1"/>
  <c r="N1576" i="2"/>
  <c r="N233" i="2"/>
  <c r="T233" i="2" s="1"/>
  <c r="N2091" i="2"/>
  <c r="T2091" i="2" s="1"/>
  <c r="N3154" i="2"/>
  <c r="T3154" i="2" s="1"/>
  <c r="N1078" i="2"/>
  <c r="T1078" i="2" s="1"/>
  <c r="N1683" i="2"/>
  <c r="T1683" i="2" s="1"/>
  <c r="N2911" i="2"/>
  <c r="T2911" i="2" s="1"/>
  <c r="N104" i="2"/>
  <c r="T104" i="2" s="1"/>
  <c r="N2022" i="2"/>
  <c r="T2022" i="2" s="1"/>
  <c r="N1507" i="2"/>
  <c r="T1507" i="2" s="1"/>
  <c r="N2123" i="2"/>
  <c r="T2123" i="2" s="1"/>
  <c r="N2655" i="2"/>
  <c r="T2655" i="2" s="1"/>
  <c r="N779" i="2"/>
  <c r="T779" i="2" s="1"/>
  <c r="N3204" i="2"/>
  <c r="T3204" i="2" s="1"/>
  <c r="N2361" i="2"/>
  <c r="T2361" i="2" s="1"/>
  <c r="N424" i="2"/>
  <c r="T424" i="2" s="1"/>
  <c r="N1821" i="2"/>
  <c r="T1821" i="2" s="1"/>
  <c r="N1287" i="2"/>
  <c r="T1287" i="2" s="1"/>
  <c r="N2270" i="2"/>
  <c r="N3067" i="2"/>
  <c r="T3067" i="2" s="1"/>
  <c r="N2300" i="2"/>
  <c r="T2300" i="2" s="1"/>
  <c r="N317" i="2"/>
  <c r="T317" i="2" s="1"/>
  <c r="N1996" i="2"/>
  <c r="T1996" i="2" s="1"/>
  <c r="N935" i="2"/>
  <c r="T935" i="2" s="1"/>
  <c r="N3139" i="2"/>
  <c r="T3139" i="2" s="1"/>
  <c r="N1898" i="2"/>
  <c r="T1898" i="2" s="1"/>
  <c r="N1901" i="2"/>
  <c r="N2995" i="2"/>
  <c r="T2995" i="2" s="1"/>
  <c r="N2290" i="2"/>
  <c r="T2290" i="2" s="1"/>
  <c r="N1281" i="2"/>
  <c r="T1281" i="2" s="1"/>
  <c r="N412" i="2"/>
  <c r="T412" i="2" s="1"/>
  <c r="N1857" i="2"/>
  <c r="T1857" i="2" s="1"/>
  <c r="N1501" i="2"/>
  <c r="T1501" i="2" s="1"/>
  <c r="N2059" i="2"/>
  <c r="T2059" i="2" s="1"/>
  <c r="N3057" i="2"/>
  <c r="N2366" i="2"/>
  <c r="N347" i="2"/>
  <c r="T347" i="2" s="1"/>
  <c r="N1605" i="2"/>
  <c r="T1605" i="2" s="1"/>
  <c r="N2499" i="2"/>
  <c r="N9" i="2"/>
  <c r="T9" i="2" s="1"/>
  <c r="N808" i="2"/>
  <c r="T808" i="2" s="1"/>
  <c r="N911" i="2"/>
  <c r="T911" i="2" s="1"/>
  <c r="N906" i="2"/>
  <c r="N2079" i="2"/>
  <c r="N556" i="2"/>
  <c r="T556" i="2" s="1"/>
  <c r="N2295" i="2"/>
  <c r="T2295" i="2" s="1"/>
  <c r="N2739" i="2"/>
  <c r="T2739" i="2" s="1"/>
  <c r="N3038" i="2"/>
  <c r="T3038" i="2" s="1"/>
  <c r="N1264" i="2"/>
  <c r="T1264" i="2" s="1"/>
  <c r="N2912" i="2"/>
  <c r="T2912" i="2" s="1"/>
  <c r="N1500" i="2"/>
  <c r="T1500" i="2" s="1"/>
  <c r="N1887" i="2"/>
  <c r="T1887" i="2" s="1"/>
  <c r="N2252" i="2"/>
  <c r="T2252" i="2" s="1"/>
  <c r="N1717" i="2"/>
  <c r="T1717" i="2" s="1"/>
  <c r="N269" i="2"/>
  <c r="T269" i="2" s="1"/>
  <c r="N1792" i="2"/>
  <c r="T1792" i="2" s="1"/>
  <c r="N1155" i="2"/>
  <c r="N2961" i="2"/>
  <c r="T2961" i="2" s="1"/>
  <c r="N357" i="2"/>
  <c r="T357" i="2" s="1"/>
  <c r="N3166" i="2"/>
  <c r="T3166" i="2" s="1"/>
  <c r="N2984" i="2"/>
  <c r="T2984" i="2" s="1"/>
  <c r="N825" i="2"/>
  <c r="T825" i="2" s="1"/>
  <c r="N612" i="2"/>
  <c r="T612" i="2" s="1"/>
  <c r="N2897" i="2"/>
  <c r="T2897" i="2" s="1"/>
  <c r="N2588" i="2"/>
  <c r="T2588" i="2" s="1"/>
  <c r="N2643" i="2"/>
  <c r="T2643" i="2" s="1"/>
  <c r="N1759" i="2"/>
  <c r="T1759" i="2" s="1"/>
  <c r="N278" i="2"/>
  <c r="T278" i="2" s="1"/>
  <c r="N1951" i="2"/>
  <c r="T1951" i="2" s="1"/>
  <c r="N1282" i="2"/>
  <c r="T1282" i="2" s="1"/>
  <c r="N795" i="2"/>
  <c r="N2172" i="2"/>
  <c r="T2172" i="2" s="1"/>
  <c r="N17" i="2"/>
  <c r="T17" i="2" s="1"/>
  <c r="N3157" i="2"/>
  <c r="N457" i="2"/>
  <c r="T457" i="2" s="1"/>
  <c r="N148" i="2"/>
  <c r="T148" i="2" s="1"/>
  <c r="N462" i="2"/>
  <c r="T462" i="2" s="1"/>
  <c r="N621" i="2"/>
  <c r="T621" i="2" s="1"/>
  <c r="N2749" i="2"/>
  <c r="N2562" i="2"/>
  <c r="T2562" i="2" s="1"/>
  <c r="N3077" i="2"/>
  <c r="T3077" i="2" s="1"/>
  <c r="N988" i="2"/>
  <c r="T988" i="2" s="1"/>
  <c r="N2185" i="2"/>
  <c r="T2185" i="2" s="1"/>
  <c r="N806" i="2"/>
  <c r="T806" i="2" s="1"/>
  <c r="N1581" i="2"/>
  <c r="T1581" i="2" s="1"/>
  <c r="N2701" i="2"/>
  <c r="T2701" i="2" s="1"/>
  <c r="N2634" i="2"/>
  <c r="T2634" i="2" s="1"/>
  <c r="N1167" i="2"/>
  <c r="T1167" i="2" s="1"/>
  <c r="N334" i="2"/>
  <c r="T334" i="2" s="1"/>
  <c r="N1819" i="2"/>
  <c r="T1819" i="2" s="1"/>
  <c r="N369" i="2"/>
  <c r="T369" i="2" s="1"/>
  <c r="N2134" i="2"/>
  <c r="T2134" i="2" s="1"/>
  <c r="N647" i="2"/>
  <c r="T647" i="2" s="1"/>
  <c r="N1405" i="2"/>
  <c r="T1405" i="2" s="1"/>
  <c r="N2148" i="2"/>
  <c r="T2148" i="2" s="1"/>
  <c r="N2149" i="2"/>
  <c r="N2891" i="2"/>
  <c r="T2891" i="2" s="1"/>
  <c r="N1109" i="2"/>
  <c r="T1109" i="2" s="1"/>
  <c r="N503" i="2"/>
  <c r="T503" i="2" s="1"/>
  <c r="N1120" i="2"/>
  <c r="T1120" i="2" s="1"/>
  <c r="N2589" i="2"/>
  <c r="T2589" i="2" s="1"/>
  <c r="N1933" i="2"/>
  <c r="T1933" i="2" s="1"/>
  <c r="N2194" i="2"/>
  <c r="N688" i="2"/>
  <c r="T688" i="2" s="1"/>
  <c r="N151" i="2"/>
  <c r="T151" i="2" s="1"/>
  <c r="N1088" i="2"/>
  <c r="T1088" i="2" s="1"/>
  <c r="N2086" i="2"/>
  <c r="T2086" i="2" s="1"/>
  <c r="N94" i="2"/>
  <c r="T94" i="2" s="1"/>
  <c r="N115" i="2"/>
  <c r="T115" i="2" s="1"/>
  <c r="N1143" i="2"/>
  <c r="T1143" i="2" s="1"/>
  <c r="N2824" i="2"/>
  <c r="T2824" i="2" s="1"/>
  <c r="N2141" i="2"/>
  <c r="T2141" i="2" s="1"/>
  <c r="N203" i="2"/>
  <c r="T203" i="2" s="1"/>
  <c r="N274" i="2"/>
  <c r="T274" i="2" s="1"/>
  <c r="N1883" i="2"/>
  <c r="T1883" i="2" s="1"/>
  <c r="N3126" i="2"/>
  <c r="T3126" i="2" s="1"/>
  <c r="N2406" i="2"/>
  <c r="T2406" i="2" s="1"/>
  <c r="N264" i="2"/>
  <c r="T264" i="2" s="1"/>
  <c r="N1837" i="2"/>
  <c r="T1837" i="2" s="1"/>
  <c r="N323" i="2"/>
  <c r="T323" i="2" s="1"/>
  <c r="N2715" i="2"/>
  <c r="T2715" i="2" s="1"/>
  <c r="N2272" i="2"/>
  <c r="T2272" i="2" s="1"/>
  <c r="N2772" i="2"/>
  <c r="T2772" i="2" s="1"/>
  <c r="N2332" i="2"/>
  <c r="T2332" i="2" s="1"/>
  <c r="N236" i="2"/>
  <c r="T236" i="2" s="1"/>
  <c r="N416" i="2"/>
  <c r="T416" i="2" s="1"/>
  <c r="N874" i="2"/>
  <c r="T874" i="2" s="1"/>
  <c r="N1866" i="2"/>
  <c r="T1866" i="2" s="1"/>
  <c r="N1626" i="2"/>
  <c r="T1626" i="2" s="1"/>
  <c r="N3133" i="2"/>
  <c r="T3133" i="2" s="1"/>
  <c r="N89" i="2"/>
  <c r="T89" i="2" s="1"/>
  <c r="N743" i="2"/>
  <c r="T743" i="2" s="1"/>
  <c r="N1418" i="2"/>
  <c r="T1418" i="2" s="1"/>
  <c r="N1928" i="2"/>
  <c r="T1928" i="2" s="1"/>
  <c r="N1454" i="2"/>
  <c r="N2193" i="2"/>
  <c r="T2193" i="2" s="1"/>
  <c r="N414" i="2"/>
  <c r="T414" i="2" s="1"/>
  <c r="N685" i="2"/>
  <c r="T685" i="2" s="1"/>
  <c r="N2728" i="2"/>
  <c r="N1741" i="2"/>
  <c r="T1741" i="2" s="1"/>
  <c r="N2302" i="2"/>
  <c r="T2302" i="2" s="1"/>
  <c r="N596" i="2"/>
  <c r="T596" i="2" s="1"/>
  <c r="N3002" i="2"/>
  <c r="T3002" i="2" s="1"/>
  <c r="N6" i="2"/>
  <c r="T6" i="2" s="1"/>
  <c r="N2934" i="2"/>
  <c r="T2934" i="2" s="1"/>
  <c r="N1971" i="2"/>
  <c r="N451" i="2"/>
  <c r="T451" i="2" s="1"/>
  <c r="N2362" i="2"/>
  <c r="N1223" i="2"/>
  <c r="T1223" i="2" s="1"/>
  <c r="N2102" i="2"/>
  <c r="T2102" i="2" s="1"/>
  <c r="N774" i="2"/>
  <c r="T774" i="2" s="1"/>
  <c r="N447" i="2"/>
  <c r="T447" i="2" s="1"/>
  <c r="N1005" i="2"/>
  <c r="T1005" i="2" s="1"/>
  <c r="N656" i="2"/>
  <c r="T656" i="2" s="1"/>
  <c r="N110" i="2"/>
  <c r="T110" i="2" s="1"/>
  <c r="N136" i="2"/>
  <c r="T136" i="2" s="1"/>
  <c r="N3181" i="2"/>
  <c r="T3181" i="2" s="1"/>
  <c r="N736" i="2"/>
  <c r="T736" i="2" s="1"/>
  <c r="N2926" i="2"/>
  <c r="T2926" i="2" s="1"/>
  <c r="N1769" i="2"/>
  <c r="T1769" i="2" s="1"/>
  <c r="N2034" i="2"/>
  <c r="T2034" i="2" s="1"/>
  <c r="N2183" i="2"/>
  <c r="N566" i="2"/>
  <c r="T566" i="2" s="1"/>
  <c r="N505" i="2"/>
  <c r="T505" i="2" s="1"/>
  <c r="N1415" i="2"/>
  <c r="T1415" i="2" s="1"/>
  <c r="N1865" i="2"/>
  <c r="T1865" i="2" s="1"/>
  <c r="N1225" i="2"/>
  <c r="T1225" i="2" s="1"/>
  <c r="N611" i="2"/>
  <c r="T611" i="2" s="1"/>
  <c r="N2448" i="2"/>
  <c r="T2448" i="2" s="1"/>
  <c r="N673" i="2"/>
  <c r="T673" i="2" s="1"/>
  <c r="N2235" i="2"/>
  <c r="T2235" i="2" s="1"/>
  <c r="N797" i="2"/>
  <c r="T797" i="2" s="1"/>
  <c r="N2309" i="2"/>
  <c r="T2309" i="2" s="1"/>
  <c r="N45" i="2"/>
  <c r="T45" i="2" s="1"/>
  <c r="N1320" i="2"/>
  <c r="T1320" i="2" s="1"/>
  <c r="N955" i="2"/>
  <c r="T955" i="2" s="1"/>
  <c r="N737" i="2"/>
  <c r="T737" i="2" s="1"/>
  <c r="N1270" i="2"/>
  <c r="T1270" i="2" s="1"/>
  <c r="N1755" i="2"/>
  <c r="N3175" i="2"/>
  <c r="T3175" i="2" s="1"/>
  <c r="N1643" i="2"/>
  <c r="T1643" i="2" s="1"/>
  <c r="N2635" i="2"/>
  <c r="T2635" i="2" s="1"/>
  <c r="N209" i="2"/>
  <c r="T209" i="2" s="1"/>
  <c r="N2976" i="2"/>
  <c r="T2976" i="2" s="1"/>
  <c r="N622" i="2"/>
  <c r="T622" i="2" s="1"/>
  <c r="N2945" i="2"/>
  <c r="T2945" i="2" s="1"/>
  <c r="N725" i="2"/>
  <c r="T725" i="2" s="1"/>
  <c r="N267" i="2"/>
  <c r="T267" i="2" s="1"/>
  <c r="N1716" i="2"/>
  <c r="T1716" i="2" s="1"/>
  <c r="N2931" i="2"/>
  <c r="T2931" i="2" s="1"/>
  <c r="N1756" i="2"/>
  <c r="N2192" i="2"/>
  <c r="T2192" i="2" s="1"/>
  <c r="N989" i="2"/>
  <c r="T989" i="2" s="1"/>
  <c r="N2088" i="2"/>
  <c r="T2088" i="2" s="1"/>
  <c r="N1647" i="2"/>
  <c r="T1647" i="2" s="1"/>
  <c r="N2796" i="2"/>
  <c r="T2796" i="2" s="1"/>
  <c r="N1506" i="2"/>
  <c r="T1506" i="2" s="1"/>
  <c r="N2950" i="2"/>
  <c r="T2950" i="2" s="1"/>
  <c r="N2401" i="2"/>
  <c r="T2401" i="2" s="1"/>
  <c r="N704" i="2"/>
  <c r="T704" i="2" s="1"/>
  <c r="N1317" i="2"/>
  <c r="T1317" i="2" s="1"/>
  <c r="N1438" i="2"/>
  <c r="T1438" i="2" s="1"/>
  <c r="N1073" i="2"/>
  <c r="T1073" i="2" s="1"/>
  <c r="N805" i="2"/>
  <c r="T805" i="2" s="1"/>
  <c r="N2782" i="2"/>
  <c r="T2782" i="2" s="1"/>
  <c r="N2260" i="2"/>
  <c r="T2260" i="2" s="1"/>
  <c r="N120" i="2"/>
  <c r="T120" i="2" s="1"/>
  <c r="N2895" i="2"/>
  <c r="T2895" i="2" s="1"/>
  <c r="N121" i="2"/>
  <c r="T121" i="2" s="1"/>
  <c r="N33" i="2"/>
  <c r="T33" i="2" s="1"/>
  <c r="N2090" i="2"/>
  <c r="N576" i="2"/>
  <c r="T576" i="2" s="1"/>
  <c r="N1216" i="2"/>
  <c r="T1216" i="2" s="1"/>
  <c r="N143" i="2"/>
  <c r="T143" i="2" s="1"/>
  <c r="N2443" i="2"/>
  <c r="T2443" i="2" s="1"/>
  <c r="N409" i="2"/>
  <c r="T409" i="2" s="1"/>
  <c r="N145" i="2"/>
  <c r="T145" i="2" s="1"/>
  <c r="N1992" i="2"/>
  <c r="T1992" i="2" s="1"/>
  <c r="N1044" i="2"/>
  <c r="T1044" i="2" s="1"/>
  <c r="N1337" i="2"/>
  <c r="T1337" i="2" s="1"/>
  <c r="N2514" i="2"/>
  <c r="T2514" i="2" s="1"/>
  <c r="N432" i="2"/>
  <c r="T432" i="2" s="1"/>
  <c r="N594" i="2"/>
  <c r="T594" i="2" s="1"/>
  <c r="N23" i="2"/>
  <c r="T23" i="2" s="1"/>
  <c r="N2869" i="2"/>
  <c r="T2869" i="2" s="1"/>
  <c r="N419" i="2"/>
  <c r="T419" i="2" s="1"/>
  <c r="N1416" i="2"/>
  <c r="T1416" i="2" s="1"/>
  <c r="N821" i="2"/>
  <c r="T821" i="2" s="1"/>
  <c r="N3174" i="2"/>
  <c r="T3174" i="2" s="1"/>
  <c r="N3185" i="2"/>
  <c r="T3185" i="2" s="1"/>
  <c r="N2429" i="2"/>
  <c r="T2429" i="2" s="1"/>
  <c r="N453" i="2"/>
  <c r="T453" i="2" s="1"/>
  <c r="N1697" i="2"/>
  <c r="T1697" i="2" s="1"/>
  <c r="N2547" i="2"/>
  <c r="T2547" i="2" s="1"/>
  <c r="N135" i="2"/>
  <c r="T135" i="2" s="1"/>
  <c r="N1899" i="2"/>
  <c r="N3193" i="2"/>
  <c r="T3193" i="2" s="1"/>
  <c r="N246" i="2"/>
  <c r="T246" i="2" s="1"/>
  <c r="N2615" i="2"/>
  <c r="T2615" i="2" s="1"/>
  <c r="N2740" i="2"/>
  <c r="T2740" i="2" s="1"/>
  <c r="N50" i="2"/>
  <c r="T50" i="2" s="1"/>
  <c r="N658" i="2"/>
  <c r="T658" i="2" s="1"/>
  <c r="N580" i="2"/>
  <c r="T580" i="2" s="1"/>
  <c r="N1134" i="2"/>
  <c r="T1134" i="2" s="1"/>
  <c r="N632" i="2"/>
  <c r="T632" i="2" s="1"/>
  <c r="N1707" i="2"/>
  <c r="T1707" i="2" s="1"/>
  <c r="N1301" i="2"/>
  <c r="T1301" i="2" s="1"/>
  <c r="N305" i="2"/>
  <c r="T305" i="2" s="1"/>
  <c r="N2959" i="2"/>
  <c r="T2959" i="2" s="1"/>
  <c r="N2965" i="2"/>
  <c r="T2965" i="2" s="1"/>
  <c r="N1539" i="2"/>
  <c r="N1632" i="2"/>
  <c r="N2346" i="2"/>
  <c r="T2346" i="2" s="1"/>
  <c r="N1085" i="2"/>
  <c r="T1085" i="2" s="1"/>
  <c r="N659" i="2"/>
  <c r="T659" i="2" s="1"/>
  <c r="N907" i="2"/>
  <c r="T907" i="2" s="1"/>
  <c r="N1853" i="2"/>
  <c r="T1853" i="2" s="1"/>
  <c r="N1152" i="2"/>
  <c r="T1152" i="2" s="1"/>
  <c r="N3016" i="2"/>
  <c r="T3016" i="2" s="1"/>
  <c r="N2557" i="2"/>
  <c r="T2557" i="2" s="1"/>
  <c r="N585" i="2"/>
  <c r="T585" i="2" s="1"/>
  <c r="N1553" i="2"/>
  <c r="T1553" i="2" s="1"/>
  <c r="N1262" i="2"/>
  <c r="T1262" i="2" s="1"/>
  <c r="N2375" i="2"/>
  <c r="T2375" i="2" s="1"/>
  <c r="N3156" i="2"/>
  <c r="T3156" i="2" s="1"/>
  <c r="N2396" i="2"/>
  <c r="T2396" i="2" s="1"/>
  <c r="N2951" i="2"/>
  <c r="N1527" i="2"/>
  <c r="T1527" i="2" s="1"/>
  <c r="N2559" i="2"/>
  <c r="T2559" i="2" s="1"/>
  <c r="N458" i="2"/>
  <c r="T458" i="2" s="1"/>
  <c r="N2994" i="2"/>
  <c r="T2994" i="2" s="1"/>
  <c r="N504" i="2"/>
  <c r="T504" i="2" s="1"/>
  <c r="N2989" i="2"/>
  <c r="T2989" i="2" s="1"/>
  <c r="N2202" i="2"/>
  <c r="T2202" i="2" s="1"/>
  <c r="N1975" i="2"/>
  <c r="T1975" i="2" s="1"/>
  <c r="N2342" i="2"/>
  <c r="T2342" i="2" s="1"/>
  <c r="N3113" i="2"/>
  <c r="T3113" i="2" s="1"/>
  <c r="N3081" i="2"/>
  <c r="T3081" i="2" s="1"/>
  <c r="N3000" i="2"/>
  <c r="N500" i="2"/>
  <c r="T500" i="2" s="1"/>
  <c r="N2877" i="2"/>
  <c r="N283" i="2"/>
  <c r="T283" i="2" s="1"/>
  <c r="N2136" i="2"/>
  <c r="T2136" i="2" s="1"/>
  <c r="N2095" i="2"/>
  <c r="T2095" i="2" s="1"/>
  <c r="N1858" i="2"/>
  <c r="T1858" i="2" s="1"/>
  <c r="N665" i="2"/>
  <c r="T665" i="2" s="1"/>
  <c r="N2455" i="2"/>
  <c r="N1293" i="2"/>
  <c r="T1293" i="2" s="1"/>
  <c r="N1518" i="2"/>
  <c r="T1518" i="2" s="1"/>
  <c r="N1813" i="2"/>
  <c r="T1813" i="2" s="1"/>
  <c r="N3118" i="2"/>
  <c r="T3118" i="2" s="1"/>
  <c r="N2977" i="2"/>
  <c r="T2977" i="2" s="1"/>
  <c r="N2060" i="2"/>
  <c r="T2060" i="2" s="1"/>
  <c r="N1826" i="2"/>
  <c r="T1826" i="2" s="1"/>
  <c r="N3093" i="2"/>
  <c r="T3093" i="2" s="1"/>
  <c r="N664" i="2"/>
  <c r="N2335" i="2"/>
  <c r="T2335" i="2" s="1"/>
  <c r="N1723" i="2"/>
  <c r="T1723" i="2" s="1"/>
  <c r="N3035" i="2"/>
  <c r="T3035" i="2" s="1"/>
  <c r="N2759" i="2"/>
  <c r="T2759" i="2" s="1"/>
  <c r="N189" i="2"/>
  <c r="T189" i="2" s="1"/>
  <c r="N646" i="2"/>
  <c r="T646" i="2" s="1"/>
  <c r="N2439" i="2"/>
  <c r="N1902" i="2"/>
  <c r="T1902" i="2" s="1"/>
  <c r="N2834" i="2"/>
  <c r="T2834" i="2" s="1"/>
  <c r="N1786" i="2"/>
  <c r="T1786" i="2" s="1"/>
  <c r="N775" i="2"/>
  <c r="T775" i="2" s="1"/>
  <c r="N2498" i="2"/>
  <c r="T2498" i="2" s="1"/>
  <c r="N2876" i="2"/>
  <c r="T2876" i="2" s="1"/>
  <c r="N441" i="2"/>
  <c r="T441" i="2" s="1"/>
  <c r="N1662" i="2"/>
  <c r="T1662" i="2" s="1"/>
  <c r="N1540" i="2"/>
  <c r="T1540" i="2" s="1"/>
  <c r="N2681" i="2"/>
  <c r="T2681" i="2" s="1"/>
  <c r="N900" i="2"/>
  <c r="T900" i="2" s="1"/>
  <c r="N1728" i="2"/>
  <c r="T1728" i="2" s="1"/>
  <c r="N2197" i="2"/>
  <c r="T2197" i="2" s="1"/>
  <c r="N2177" i="2"/>
  <c r="T2177" i="2" s="1"/>
  <c r="N138" i="2"/>
  <c r="T138" i="2" s="1"/>
  <c r="N493" i="2"/>
  <c r="T493" i="2" s="1"/>
  <c r="N2575" i="2"/>
  <c r="T2575" i="2" s="1"/>
  <c r="N253" i="2"/>
  <c r="T253" i="2" s="1"/>
  <c r="N919" i="2"/>
  <c r="T919" i="2" s="1"/>
  <c r="N1979" i="2"/>
  <c r="T1979" i="2" s="1"/>
  <c r="N3026" i="2"/>
  <c r="N2323" i="2"/>
  <c r="T2323" i="2" s="1"/>
  <c r="N2775" i="2"/>
  <c r="T2775" i="2" s="1"/>
  <c r="N1577" i="2"/>
  <c r="T1577" i="2" s="1"/>
  <c r="N467" i="2"/>
  <c r="T467" i="2" s="1"/>
  <c r="N2245" i="2"/>
  <c r="N2878" i="2"/>
  <c r="T2878" i="2" s="1"/>
  <c r="N645" i="2"/>
  <c r="T645" i="2" s="1"/>
  <c r="N641" i="2"/>
  <c r="T641" i="2" s="1"/>
  <c r="N410" i="2"/>
  <c r="T410" i="2" s="1"/>
  <c r="N1651" i="2"/>
  <c r="T1651" i="2" s="1"/>
  <c r="N2206" i="2"/>
  <c r="T2206" i="2" s="1"/>
  <c r="N2883" i="2"/>
  <c r="T2883" i="2" s="1"/>
  <c r="N2151" i="2"/>
  <c r="N1767" i="2"/>
  <c r="T1767" i="2" s="1"/>
  <c r="N440" i="2"/>
  <c r="T440" i="2" s="1"/>
  <c r="N1905" i="2"/>
  <c r="T1905" i="2" s="1"/>
  <c r="N388" i="2"/>
  <c r="T388" i="2" s="1"/>
  <c r="N408" i="2"/>
  <c r="T408" i="2" s="1"/>
  <c r="N2368" i="2"/>
  <c r="T2368" i="2" s="1"/>
  <c r="N2887" i="2"/>
  <c r="N2942" i="2"/>
  <c r="T2942" i="2" s="1"/>
  <c r="N606" i="2"/>
  <c r="T606" i="2" s="1"/>
  <c r="N254" i="2"/>
  <c r="T254" i="2" s="1"/>
  <c r="N828" i="2"/>
  <c r="T828" i="2" s="1"/>
  <c r="N2291" i="2"/>
  <c r="T2291" i="2" s="1"/>
  <c r="N2648" i="2"/>
  <c r="T2648" i="2" s="1"/>
  <c r="N2281" i="2"/>
  <c r="T2281" i="2" s="1"/>
  <c r="N2215" i="2"/>
  <c r="N2131" i="2"/>
  <c r="N2027" i="2"/>
  <c r="T2027" i="2" s="1"/>
  <c r="N715" i="2"/>
  <c r="T715" i="2" s="1"/>
  <c r="N2384" i="2"/>
  <c r="T2384" i="2" s="1"/>
  <c r="N3048" i="2"/>
  <c r="T3048" i="2" s="1"/>
  <c r="N1206" i="2"/>
  <c r="T1206" i="2" s="1"/>
  <c r="N2599" i="2"/>
  <c r="T2599" i="2" s="1"/>
  <c r="N675" i="2"/>
  <c r="T675" i="2" s="1"/>
  <c r="N3169" i="2"/>
  <c r="T3169" i="2" s="1"/>
  <c r="N2906" i="2"/>
  <c r="T2906" i="2" s="1"/>
  <c r="N376" i="2"/>
  <c r="T376" i="2" s="1"/>
  <c r="N689" i="2"/>
  <c r="T689" i="2" s="1"/>
  <c r="N160" i="2"/>
  <c r="T160" i="2" s="1"/>
  <c r="N660" i="2"/>
  <c r="T660" i="2" s="1"/>
  <c r="N1247" i="2"/>
  <c r="T1247" i="2" s="1"/>
  <c r="N1545" i="2"/>
  <c r="T1545" i="2" s="1"/>
  <c r="N2033" i="2"/>
  <c r="T2033" i="2" s="1"/>
  <c r="N3019" i="2"/>
  <c r="T3019" i="2" s="1"/>
  <c r="N91" i="2"/>
  <c r="T91" i="2" s="1"/>
  <c r="N1365" i="2"/>
  <c r="T1365" i="2" s="1"/>
  <c r="N2442" i="2"/>
  <c r="T2442" i="2" s="1"/>
  <c r="N2162" i="2"/>
  <c r="T2162" i="2" s="1"/>
  <c r="N814" i="2"/>
  <c r="T814" i="2" s="1"/>
  <c r="N2606" i="2"/>
  <c r="N2752" i="2"/>
  <c r="N2771" i="2"/>
  <c r="T2771" i="2" s="1"/>
  <c r="N2167" i="2"/>
  <c r="N1724" i="2"/>
  <c r="T1724" i="2" s="1"/>
  <c r="N2805" i="2"/>
  <c r="T2805" i="2" s="1"/>
  <c r="N3190" i="2"/>
  <c r="T3190" i="2" s="1"/>
  <c r="N3153" i="2"/>
  <c r="T3153" i="2" s="1"/>
  <c r="N2393" i="2"/>
  <c r="T2393" i="2" s="1"/>
  <c r="N827" i="2"/>
  <c r="T827" i="2" s="1"/>
  <c r="N2437" i="2"/>
  <c r="T2437" i="2" s="1"/>
  <c r="N1988" i="2"/>
  <c r="T1988" i="2" s="1"/>
  <c r="N1572" i="2"/>
  <c r="T1572" i="2" s="1"/>
  <c r="N1983" i="2"/>
  <c r="T1983" i="2" s="1"/>
  <c r="N1760" i="2"/>
  <c r="T1760" i="2" s="1"/>
  <c r="N663" i="2"/>
  <c r="T663" i="2" s="1"/>
  <c r="N1238" i="2"/>
  <c r="T1238" i="2" s="1"/>
  <c r="N366" i="2"/>
  <c r="T366" i="2" s="1"/>
  <c r="N1993" i="2"/>
  <c r="T1993" i="2" s="1"/>
  <c r="N2821" i="2"/>
  <c r="T2821" i="2" s="1"/>
  <c r="N2041" i="2"/>
  <c r="T2041" i="2" s="1"/>
  <c r="N2385" i="2"/>
  <c r="T2385" i="2" s="1"/>
  <c r="N2791" i="2"/>
  <c r="T2791" i="2" s="1"/>
  <c r="N1060" i="2"/>
  <c r="T1060" i="2" s="1"/>
  <c r="N2257" i="2"/>
  <c r="T2257" i="2" s="1"/>
  <c r="N1472" i="2"/>
  <c r="T1472" i="2" s="1"/>
  <c r="N3159" i="2"/>
  <c r="T3159" i="2" s="1"/>
  <c r="N717" i="2"/>
  <c r="T717" i="2" s="1"/>
  <c r="N2099" i="2"/>
  <c r="T2099" i="2" s="1"/>
  <c r="N3010" i="2"/>
  <c r="T3010" i="2" s="1"/>
  <c r="N86" i="2"/>
  <c r="T86" i="2" s="1"/>
  <c r="N2975" i="2"/>
  <c r="T2975" i="2" s="1"/>
  <c r="N1967" i="2"/>
  <c r="T1967" i="2" s="1"/>
  <c r="N2761" i="2"/>
  <c r="T2761" i="2" s="1"/>
  <c r="N1323" i="2"/>
  <c r="N2884" i="2"/>
  <c r="N2671" i="2"/>
  <c r="T2671" i="2" s="1"/>
  <c r="N1878" i="2"/>
  <c r="T1878" i="2" s="1"/>
  <c r="N234" i="2"/>
  <c r="T234" i="2" s="1"/>
  <c r="N2322" i="2"/>
  <c r="N2413" i="2"/>
  <c r="N2751" i="2"/>
  <c r="N3040" i="2"/>
  <c r="T3040" i="2" s="1"/>
  <c r="N2825" i="2"/>
  <c r="T2825" i="2" s="1"/>
  <c r="N1547" i="2"/>
  <c r="T1547" i="2" s="1"/>
  <c r="N2180" i="2"/>
  <c r="T2180" i="2" s="1"/>
  <c r="N2676" i="2"/>
  <c r="T2676" i="2" s="1"/>
  <c r="N1829" i="2"/>
  <c r="T1829" i="2" s="1"/>
  <c r="N3107" i="2"/>
  <c r="T3107" i="2" s="1"/>
  <c r="N245" i="2"/>
  <c r="T245" i="2" s="1"/>
  <c r="N1822" i="2"/>
  <c r="T1822" i="2" s="1"/>
  <c r="N1567" i="2"/>
  <c r="T1567" i="2" s="1"/>
  <c r="N2991" i="2"/>
  <c r="T2991" i="2" s="1"/>
  <c r="N3017" i="2"/>
  <c r="T3017" i="2" s="1"/>
  <c r="N2266" i="2"/>
  <c r="T2266" i="2" s="1"/>
  <c r="N2725" i="2"/>
  <c r="T2725" i="2" s="1"/>
  <c r="N1245" i="2"/>
  <c r="N722" i="2"/>
  <c r="T722" i="2" s="1"/>
  <c r="N770" i="2"/>
  <c r="T770" i="2" s="1"/>
  <c r="N643" i="2"/>
  <c r="T643" i="2" s="1"/>
  <c r="N2793" i="2"/>
  <c r="T2793" i="2" s="1"/>
  <c r="N1234" i="2"/>
  <c r="T1234" i="2" s="1"/>
  <c r="N2813" i="2"/>
  <c r="T2813" i="2" s="1"/>
  <c r="N3116" i="2"/>
  <c r="T3116" i="2" s="1"/>
  <c r="N411" i="2"/>
  <c r="T411" i="2" s="1"/>
  <c r="N3001" i="2"/>
  <c r="N43" i="2"/>
  <c r="T43" i="2" s="1"/>
  <c r="N2403" i="2"/>
  <c r="T2403" i="2" s="1"/>
  <c r="N2341" i="2"/>
  <c r="T2341" i="2" s="1"/>
  <c r="N402" i="2"/>
  <c r="T402" i="2" s="1"/>
  <c r="N1095" i="2"/>
  <c r="T1095" i="2" s="1"/>
  <c r="N398" i="2"/>
  <c r="T398" i="2" s="1"/>
  <c r="N2226" i="2"/>
  <c r="T2226" i="2" s="1"/>
  <c r="N70" i="2"/>
  <c r="T70" i="2" s="1"/>
  <c r="N2066" i="2"/>
  <c r="T2066" i="2" s="1"/>
  <c r="N193" i="2"/>
  <c r="T193" i="2" s="1"/>
  <c r="N2064" i="2"/>
  <c r="N3039" i="2"/>
  <c r="T3039" i="2" s="1"/>
  <c r="N1159" i="2"/>
  <c r="T1159" i="2" s="1"/>
  <c r="N1024" i="2"/>
  <c r="N2487" i="2"/>
  <c r="T2487" i="2" s="1"/>
  <c r="N910" i="2"/>
  <c r="T910" i="2" s="1"/>
  <c r="N316" i="2"/>
  <c r="T316" i="2" s="1"/>
  <c r="N54" i="2"/>
  <c r="T54" i="2" s="1"/>
  <c r="N1020" i="2"/>
  <c r="T1020" i="2" s="1"/>
  <c r="N2981" i="2"/>
  <c r="T2981" i="2" s="1"/>
  <c r="N1007" i="2"/>
  <c r="T1007" i="2" s="1"/>
  <c r="N979" i="2"/>
  <c r="T979" i="2" s="1"/>
  <c r="N2029" i="2"/>
  <c r="T2029" i="2" s="1"/>
  <c r="N2904" i="2"/>
  <c r="N2380" i="2"/>
  <c r="T2380" i="2" s="1"/>
  <c r="N796" i="2"/>
  <c r="T796" i="2" s="1"/>
  <c r="N1367" i="2"/>
  <c r="T1367" i="2" s="1"/>
  <c r="N216" i="2"/>
  <c r="T216" i="2" s="1"/>
  <c r="N1013" i="2"/>
  <c r="T1013" i="2" s="1"/>
  <c r="N3201" i="2"/>
  <c r="T3201" i="2" s="1"/>
  <c r="N2720" i="2"/>
  <c r="T2720" i="2" s="1"/>
  <c r="N3187" i="2"/>
  <c r="T3187" i="2" s="1"/>
  <c r="N586" i="2"/>
  <c r="T586" i="2" s="1"/>
  <c r="N2494" i="2"/>
  <c r="T2494" i="2" s="1"/>
  <c r="N1685" i="2"/>
  <c r="N514" i="2"/>
  <c r="T514" i="2" s="1"/>
  <c r="N174" i="2"/>
  <c r="T174" i="2" s="1"/>
  <c r="N194" i="2"/>
  <c r="T194" i="2" s="1"/>
  <c r="N812" i="2"/>
  <c r="T812" i="2" s="1"/>
  <c r="N3179" i="2"/>
  <c r="T3179" i="2" s="1"/>
  <c r="N2657" i="2"/>
  <c r="T2657" i="2" s="1"/>
  <c r="N2229" i="2"/>
  <c r="T2229" i="2" s="1"/>
  <c r="N1714" i="2"/>
  <c r="N101" i="2"/>
  <c r="T101" i="2" s="1"/>
  <c r="N2527" i="2"/>
  <c r="T2527" i="2" s="1"/>
  <c r="N840" i="2"/>
  <c r="N2453" i="2"/>
  <c r="T2453" i="2" s="1"/>
  <c r="N1850" i="2"/>
  <c r="T1850" i="2" s="1"/>
  <c r="N1313" i="2"/>
  <c r="T1313" i="2" s="1"/>
  <c r="N1355" i="2"/>
  <c r="T1355" i="2" s="1"/>
  <c r="N708" i="2"/>
  <c r="T708" i="2" s="1"/>
  <c r="N2483" i="2"/>
  <c r="T2483" i="2" s="1"/>
  <c r="N2150" i="2"/>
  <c r="T2150" i="2" s="1"/>
  <c r="N2277" i="2"/>
  <c r="T2277" i="2" s="1"/>
  <c r="N1946" i="2"/>
  <c r="T1946" i="2" s="1"/>
  <c r="N2032" i="2"/>
  <c r="T2032" i="2" s="1"/>
  <c r="N208" i="2"/>
  <c r="T208" i="2" s="1"/>
  <c r="N404" i="2"/>
  <c r="T404" i="2" s="1"/>
  <c r="N240" i="2"/>
  <c r="T240" i="2" s="1"/>
  <c r="N3178" i="2"/>
  <c r="T3178" i="2" s="1"/>
  <c r="N1303" i="2"/>
  <c r="T1303" i="2" s="1"/>
  <c r="N754" i="2"/>
  <c r="T754" i="2" s="1"/>
  <c r="N2692" i="2"/>
  <c r="T2692" i="2" s="1"/>
  <c r="N1754" i="2"/>
  <c r="T1754" i="2" s="1"/>
  <c r="N327" i="2"/>
  <c r="T327" i="2" s="1"/>
  <c r="N893" i="2"/>
  <c r="T893" i="2" s="1"/>
  <c r="N2818" i="2"/>
  <c r="T2818" i="2" s="1"/>
  <c r="N3099" i="2"/>
  <c r="T3099" i="2" s="1"/>
  <c r="N1028" i="2"/>
  <c r="T1028" i="2" s="1"/>
  <c r="N2549" i="2"/>
  <c r="T2549" i="2" s="1"/>
  <c r="N876" i="2"/>
  <c r="T876" i="2" s="1"/>
  <c r="N1182" i="2"/>
  <c r="T1182" i="2" s="1"/>
  <c r="N2507" i="2"/>
  <c r="T2507" i="2" s="1"/>
  <c r="N528" i="2"/>
  <c r="T528" i="2" s="1"/>
  <c r="N1434" i="2"/>
  <c r="T1434" i="2" s="1"/>
  <c r="N48" i="2"/>
  <c r="T48" i="2" s="1"/>
  <c r="N711" i="2"/>
  <c r="T711" i="2" s="1"/>
  <c r="N217" i="2"/>
  <c r="N1465" i="2"/>
  <c r="T1465" i="2" s="1"/>
  <c r="N1583" i="2"/>
  <c r="T1583" i="2" s="1"/>
  <c r="N1010" i="2"/>
  <c r="T1010" i="2" s="1"/>
  <c r="N3078" i="2"/>
  <c r="T3078" i="2" s="1"/>
  <c r="N2255" i="2"/>
  <c r="N1389" i="2"/>
  <c r="T1389" i="2" s="1"/>
  <c r="N1079" i="2"/>
  <c r="T1079" i="2" s="1"/>
  <c r="N2503" i="2"/>
  <c r="T2503" i="2" s="1"/>
  <c r="N179" i="2"/>
  <c r="T179" i="2" s="1"/>
  <c r="N1381" i="2"/>
  <c r="T1381" i="2" s="1"/>
  <c r="N345" i="2"/>
  <c r="T345" i="2" s="1"/>
  <c r="N2464" i="2"/>
  <c r="T2464" i="2" s="1"/>
  <c r="N904" i="2"/>
  <c r="T904" i="2" s="1"/>
  <c r="N1351" i="2"/>
  <c r="T1351" i="2" s="1"/>
  <c r="N591" i="2"/>
  <c r="T591" i="2" s="1"/>
  <c r="N1516" i="2"/>
  <c r="T1516" i="2" s="1"/>
  <c r="N485" i="2"/>
  <c r="T485" i="2" s="1"/>
  <c r="N1737" i="2"/>
  <c r="T1737" i="2" s="1"/>
  <c r="N1181" i="2"/>
  <c r="T1181" i="2" s="1"/>
  <c r="N2531" i="2"/>
  <c r="T2531" i="2" s="1"/>
  <c r="N2873" i="2"/>
  <c r="T2873" i="2" s="1"/>
  <c r="N389" i="2"/>
  <c r="T389" i="2" s="1"/>
  <c r="N740" i="2"/>
  <c r="T740" i="2" s="1"/>
  <c r="N2707" i="2"/>
  <c r="N1207" i="2"/>
  <c r="T1207" i="2" s="1"/>
  <c r="N1968" i="2"/>
  <c r="T1968" i="2" s="1"/>
  <c r="N880" i="2"/>
  <c r="T880" i="2" s="1"/>
  <c r="N1261" i="2"/>
  <c r="T1261" i="2" s="1"/>
  <c r="N538" i="2"/>
  <c r="T538" i="2" s="1"/>
  <c r="N325" i="2"/>
  <c r="T325" i="2" s="1"/>
  <c r="N3132" i="2"/>
  <c r="T3132" i="2" s="1"/>
  <c r="N1960" i="2"/>
  <c r="T1960" i="2" s="1"/>
  <c r="N2642" i="2"/>
  <c r="T2642" i="2" s="1"/>
  <c r="N953" i="2"/>
  <c r="T953" i="2" s="1"/>
  <c r="N460" i="2"/>
  <c r="T460" i="2" s="1"/>
  <c r="N2736" i="2"/>
  <c r="T2736" i="2" s="1"/>
  <c r="N1876" i="2"/>
  <c r="T1876" i="2" s="1"/>
  <c r="N1340" i="2"/>
  <c r="T1340" i="2" s="1"/>
  <c r="N1739" i="2"/>
  <c r="T1739" i="2" s="1"/>
  <c r="N617" i="2"/>
  <c r="T617" i="2" s="1"/>
  <c r="N35" i="2"/>
  <c r="T35" i="2" s="1"/>
  <c r="N3028" i="2"/>
  <c r="T3028" i="2" s="1"/>
  <c r="N275" i="2"/>
  <c r="T275" i="2" s="1"/>
  <c r="N856" i="2"/>
  <c r="T856" i="2" s="1"/>
  <c r="N1253" i="2"/>
  <c r="T1253" i="2" s="1"/>
  <c r="N2299" i="2"/>
  <c r="T2299" i="2" s="1"/>
  <c r="N713" i="2"/>
  <c r="T713" i="2" s="1"/>
  <c r="N3066" i="2"/>
  <c r="T3066" i="2" s="1"/>
  <c r="N1875" i="2"/>
  <c r="T1875" i="2" s="1"/>
  <c r="N681" i="2"/>
  <c r="T681" i="2" s="1"/>
  <c r="N817" i="2"/>
  <c r="T817" i="2" s="1"/>
  <c r="N2051" i="2"/>
  <c r="T2051" i="2" s="1"/>
  <c r="N2628" i="2"/>
  <c r="N2647" i="2"/>
  <c r="T2647" i="2" s="1"/>
  <c r="N726" i="2"/>
  <c r="T726" i="2" s="1"/>
  <c r="N624" i="2"/>
  <c r="T624" i="2" s="1"/>
  <c r="N1678" i="2"/>
  <c r="N2105" i="2"/>
  <c r="T2105" i="2" s="1"/>
  <c r="N678" i="2"/>
  <c r="T678" i="2" s="1"/>
  <c r="N2703" i="2"/>
  <c r="T2703" i="2" s="1"/>
  <c r="N2666" i="2"/>
  <c r="T2666" i="2" s="1"/>
  <c r="N1575" i="2"/>
  <c r="T1575" i="2" s="1"/>
  <c r="N490" i="2"/>
  <c r="T490" i="2" s="1"/>
  <c r="N1711" i="2"/>
  <c r="T1711" i="2" s="1"/>
  <c r="N2836" i="2"/>
  <c r="T2836" i="2" s="1"/>
  <c r="N405" i="2"/>
  <c r="T405" i="2" s="1"/>
  <c r="N765" i="2"/>
  <c r="T765" i="2" s="1"/>
  <c r="N1339" i="2"/>
  <c r="T1339" i="2" s="1"/>
  <c r="N593" i="2"/>
  <c r="T593" i="2" s="1"/>
  <c r="N977" i="2"/>
  <c r="T977" i="2" s="1"/>
  <c r="N3108" i="2"/>
  <c r="T3108" i="2" s="1"/>
  <c r="N610" i="2"/>
  <c r="T610" i="2" s="1"/>
  <c r="N172" i="2"/>
  <c r="T172" i="2" s="1"/>
  <c r="N2698" i="2"/>
  <c r="T2698" i="2" s="1"/>
  <c r="N2786" i="2"/>
  <c r="T2786" i="2" s="1"/>
  <c r="N1038" i="2"/>
  <c r="T1038" i="2" s="1"/>
  <c r="N1612" i="2"/>
  <c r="T1612" i="2" s="1"/>
  <c r="N1160" i="2"/>
  <c r="T1160" i="2" s="1"/>
  <c r="N965" i="2"/>
  <c r="T965" i="2" s="1"/>
  <c r="N1579" i="2"/>
  <c r="T1579" i="2" s="1"/>
  <c r="N383" i="2"/>
  <c r="N226" i="2"/>
  <c r="T226" i="2" s="1"/>
  <c r="N1205" i="2"/>
  <c r="T1205" i="2" s="1"/>
  <c r="N885" i="2"/>
  <c r="T885" i="2" s="1"/>
  <c r="N877" i="2"/>
  <c r="T877" i="2" s="1"/>
  <c r="N352" i="2"/>
  <c r="T352" i="2" s="1"/>
  <c r="N2837" i="2"/>
  <c r="T2837" i="2" s="1"/>
  <c r="N498" i="2"/>
  <c r="T498" i="2" s="1"/>
  <c r="N3147" i="2"/>
  <c r="N3022" i="2"/>
  <c r="T3022" i="2" s="1"/>
  <c r="N386" i="2"/>
  <c r="T386" i="2" s="1"/>
  <c r="N483" i="2"/>
  <c r="T483" i="2" s="1"/>
  <c r="N157" i="2"/>
  <c r="T157" i="2" s="1"/>
  <c r="N308" i="2"/>
  <c r="T308" i="2" s="1"/>
  <c r="N1595" i="2"/>
  <c r="T1595" i="2" s="1"/>
  <c r="N2939" i="2"/>
  <c r="T2939" i="2" s="1"/>
  <c r="N2289" i="2"/>
  <c r="T2289" i="2" s="1"/>
  <c r="N3160" i="2"/>
  <c r="T3160" i="2" s="1"/>
  <c r="N2695" i="2"/>
  <c r="T2695" i="2" s="1"/>
  <c r="N85" i="2"/>
  <c r="T85" i="2" s="1"/>
  <c r="N2758" i="2"/>
  <c r="T2758" i="2" s="1"/>
  <c r="N2612" i="2"/>
  <c r="T2612" i="2" s="1"/>
  <c r="N2767" i="2"/>
  <c r="T2767" i="2" s="1"/>
  <c r="N176" i="2"/>
  <c r="T176" i="2" s="1"/>
  <c r="N2330" i="2"/>
  <c r="T2330" i="2" s="1"/>
  <c r="N2175" i="2"/>
  <c r="T2175" i="2" s="1"/>
  <c r="N378" i="2"/>
  <c r="T378" i="2" s="1"/>
  <c r="N1949" i="2"/>
  <c r="T1949" i="2" s="1"/>
  <c r="N2145" i="2"/>
  <c r="T2145" i="2" s="1"/>
  <c r="N2644" i="2"/>
  <c r="T2644" i="2" s="1"/>
  <c r="N1661" i="2"/>
  <c r="T1661" i="2" s="1"/>
  <c r="N69" i="2"/>
  <c r="T69" i="2" s="1"/>
  <c r="N1790" i="2"/>
  <c r="T1790" i="2" s="1"/>
  <c r="N2572" i="2"/>
  <c r="N1426" i="2"/>
  <c r="T1426" i="2" s="1"/>
  <c r="N273" i="2"/>
  <c r="T273" i="2" s="1"/>
  <c r="N529" i="2"/>
  <c r="T529" i="2" s="1"/>
  <c r="N200" i="2"/>
  <c r="T200" i="2" s="1"/>
  <c r="N2370" i="2"/>
  <c r="T2370" i="2" s="1"/>
  <c r="N2916" i="2"/>
  <c r="N2920" i="2"/>
  <c r="T2920" i="2" s="1"/>
  <c r="N1764" i="2"/>
  <c r="T1764" i="2" s="1"/>
  <c r="N3051" i="2"/>
  <c r="T3051" i="2" s="1"/>
  <c r="N2810" i="2"/>
  <c r="T2810" i="2" s="1"/>
  <c r="N2918" i="2"/>
  <c r="T2918" i="2" s="1"/>
  <c r="N601" i="2"/>
  <c r="T601" i="2" s="1"/>
  <c r="N1397" i="2"/>
  <c r="T1397" i="2" s="1"/>
  <c r="N865" i="2"/>
  <c r="T865" i="2" s="1"/>
  <c r="N863" i="2"/>
  <c r="T863" i="2" s="1"/>
  <c r="N2563" i="2"/>
  <c r="T2563" i="2" s="1"/>
  <c r="N2925" i="2"/>
  <c r="T2925" i="2" s="1"/>
  <c r="N2719" i="2"/>
  <c r="T2719" i="2" s="1"/>
  <c r="N392" i="2"/>
  <c r="T392" i="2" s="1"/>
  <c r="N2119" i="2"/>
  <c r="T2119" i="2" s="1"/>
  <c r="N2356" i="2"/>
  <c r="T2356" i="2" s="1"/>
  <c r="N2683" i="2"/>
  <c r="T2683" i="2" s="1"/>
  <c r="N2584" i="2"/>
  <c r="N473" i="2"/>
  <c r="T473" i="2" s="1"/>
  <c r="N744" i="2"/>
  <c r="T744" i="2" s="1"/>
  <c r="N2560" i="2"/>
  <c r="T2560" i="2" s="1"/>
  <c r="N3030" i="2"/>
  <c r="T3030" i="2" s="1"/>
  <c r="N196" i="2"/>
  <c r="T196" i="2" s="1"/>
  <c r="N2700" i="2"/>
  <c r="T2700" i="2" s="1"/>
  <c r="N1428" i="2"/>
  <c r="T1428" i="2" s="1"/>
  <c r="N2553" i="2"/>
  <c r="T2553" i="2" s="1"/>
  <c r="N2425" i="2"/>
  <c r="T2425" i="2" s="1"/>
  <c r="N2914" i="2"/>
  <c r="T2914" i="2" s="1"/>
  <c r="N509" i="2"/>
  <c r="T509" i="2" s="1"/>
  <c r="N2903" i="2"/>
  <c r="T2903" i="2" s="1"/>
  <c r="N1541" i="2"/>
  <c r="T1541" i="2" s="1"/>
  <c r="N1132" i="2"/>
  <c r="T1132" i="2" s="1"/>
  <c r="N1947" i="2"/>
  <c r="T1947" i="2" s="1"/>
  <c r="N1497" i="2"/>
  <c r="T1497" i="2" s="1"/>
  <c r="N1877" i="2"/>
  <c r="T1877" i="2" s="1"/>
  <c r="N2435" i="2"/>
  <c r="T2435" i="2" s="1"/>
  <c r="N1925" i="2"/>
  <c r="T1925" i="2" s="1"/>
  <c r="N2415" i="2"/>
  <c r="T2415" i="2" s="1"/>
  <c r="N2697" i="2"/>
  <c r="T2697" i="2" s="1"/>
  <c r="N14" i="2"/>
  <c r="T14" i="2" s="1"/>
  <c r="N1924" i="2"/>
  <c r="T1924" i="2" s="1"/>
  <c r="N399" i="2"/>
  <c r="T399" i="2" s="1"/>
  <c r="N1353" i="2"/>
  <c r="T1353" i="2" s="1"/>
  <c r="N2702" i="2"/>
  <c r="T2702" i="2" s="1"/>
  <c r="N2997" i="2"/>
  <c r="T2997" i="2" s="1"/>
  <c r="N2801" i="2"/>
  <c r="T2801" i="2" s="1"/>
  <c r="N2841" i="2"/>
  <c r="T2841" i="2" s="1"/>
  <c r="N2417" i="2"/>
  <c r="T2417" i="2" s="1"/>
  <c r="N1423" i="2"/>
  <c r="T1423" i="2" s="1"/>
  <c r="N1730" i="2"/>
  <c r="T1730" i="2" s="1"/>
  <c r="N3134" i="2"/>
  <c r="T3134" i="2" s="1"/>
  <c r="N2326" i="2"/>
  <c r="N3037" i="2"/>
  <c r="T3037" i="2" s="1"/>
  <c r="N998" i="2"/>
  <c r="T998" i="2" s="1"/>
  <c r="N103" i="2"/>
  <c r="T103" i="2" s="1"/>
  <c r="N2489" i="2"/>
  <c r="T2489" i="2" s="1"/>
  <c r="N3115" i="2"/>
  <c r="T3115" i="2" s="1"/>
  <c r="N1051" i="2"/>
  <c r="N581" i="2"/>
  <c r="T581" i="2" s="1"/>
  <c r="N3042" i="2"/>
  <c r="T3042" i="2" s="1"/>
  <c r="N2294" i="2"/>
  <c r="T2294" i="2" s="1"/>
  <c r="N1106" i="2"/>
  <c r="N666" i="2"/>
  <c r="T666" i="2" s="1"/>
  <c r="N839" i="2"/>
  <c r="T839" i="2" s="1"/>
  <c r="N2733" i="2"/>
  <c r="N36" i="2"/>
  <c r="T36" i="2" s="1"/>
  <c r="N731" i="2"/>
  <c r="T731" i="2" s="1"/>
  <c r="N1531" i="2"/>
  <c r="T1531" i="2" s="1"/>
  <c r="N244" i="2"/>
  <c r="T244" i="2" s="1"/>
  <c r="N637" i="2"/>
  <c r="T637" i="2" s="1"/>
  <c r="N846" i="2"/>
  <c r="T846" i="2" s="1"/>
  <c r="N227" i="2"/>
  <c r="T227" i="2" s="1"/>
  <c r="N3106" i="2"/>
  <c r="N299" i="2"/>
  <c r="T299" i="2" s="1"/>
  <c r="N1846" i="2"/>
  <c r="N98" i="2"/>
  <c r="T98" i="2" s="1"/>
  <c r="N1590" i="2"/>
  <c r="N37" i="2"/>
  <c r="T37" i="2" s="1"/>
  <c r="N3043" i="2"/>
  <c r="T3043" i="2" s="1"/>
  <c r="N1444" i="2"/>
  <c r="T1444" i="2" s="1"/>
  <c r="N1982" i="2"/>
  <c r="T1982" i="2" s="1"/>
  <c r="N122" i="2"/>
  <c r="T122" i="2" s="1"/>
  <c r="N718" i="2"/>
  <c r="T718" i="2" s="1"/>
  <c r="N159" i="2"/>
  <c r="T159" i="2" s="1"/>
  <c r="N16" i="2"/>
  <c r="T16" i="2" s="1"/>
  <c r="N834" i="2"/>
  <c r="T834" i="2" s="1"/>
  <c r="N798" i="2"/>
  <c r="T798" i="2" s="1"/>
  <c r="N1124" i="2"/>
  <c r="T1124" i="2" s="1"/>
  <c r="N2271" i="2"/>
  <c r="T2271" i="2" s="1"/>
  <c r="N3005" i="2"/>
  <c r="T3005" i="2" s="1"/>
  <c r="N2504" i="2"/>
  <c r="T2504" i="2" s="1"/>
  <c r="N1209" i="2"/>
  <c r="T1209" i="2" s="1"/>
  <c r="N745" i="2"/>
  <c r="T745" i="2" s="1"/>
  <c r="N1907" i="2"/>
  <c r="T1907" i="2" s="1"/>
  <c r="N2709" i="2"/>
  <c r="T2709" i="2" s="1"/>
  <c r="N649" i="2"/>
  <c r="T649" i="2" s="1"/>
  <c r="N2307" i="2"/>
  <c r="N707" i="2"/>
  <c r="T707" i="2" s="1"/>
  <c r="N908" i="2"/>
  <c r="T908" i="2" s="1"/>
  <c r="N1341" i="2"/>
  <c r="T1341" i="2" s="1"/>
  <c r="N623" i="2"/>
  <c r="T623" i="2" s="1"/>
  <c r="N1910" i="2"/>
  <c r="N701" i="2"/>
  <c r="T701" i="2" s="1"/>
  <c r="N3163" i="2"/>
  <c r="T3163" i="2" s="1"/>
  <c r="N3117" i="2"/>
  <c r="N1544" i="2"/>
  <c r="T1544" i="2" s="1"/>
  <c r="N2827" i="2"/>
  <c r="T2827" i="2" s="1"/>
  <c r="N628" i="2"/>
  <c r="T628" i="2" s="1"/>
  <c r="N2347" i="2"/>
  <c r="T2347" i="2" s="1"/>
  <c r="N301" i="2"/>
  <c r="T301" i="2" s="1"/>
  <c r="N492" i="2"/>
  <c r="T492" i="2" s="1"/>
  <c r="N2502" i="2"/>
  <c r="T2502" i="2" s="1"/>
  <c r="N58" i="2"/>
  <c r="T58" i="2" s="1"/>
  <c r="N1049" i="2"/>
  <c r="T1049" i="2" s="1"/>
  <c r="N2624" i="2"/>
  <c r="T2624" i="2" s="1"/>
  <c r="N3046" i="2"/>
  <c r="T3046" i="2" s="1"/>
  <c r="N501" i="2"/>
  <c r="T501" i="2" s="1"/>
  <c r="N2331" i="2"/>
  <c r="T2331" i="2" s="1"/>
  <c r="N1986" i="2"/>
  <c r="T1986" i="2" s="1"/>
  <c r="N198" i="2"/>
  <c r="T198" i="2" s="1"/>
  <c r="N1654" i="2"/>
  <c r="T1654" i="2" s="1"/>
  <c r="N1679" i="2"/>
  <c r="T1679" i="2" s="1"/>
  <c r="N2898" i="2"/>
  <c r="T2898" i="2" s="1"/>
  <c r="N2122" i="2"/>
  <c r="T2122" i="2" s="1"/>
  <c r="N891" i="2"/>
  <c r="T891" i="2" s="1"/>
  <c r="N1172" i="2"/>
  <c r="T1172" i="2" s="1"/>
  <c r="N2176" i="2"/>
  <c r="T2176" i="2" s="1"/>
  <c r="N1810" i="2"/>
  <c r="T1810" i="2" s="1"/>
  <c r="N1377" i="2"/>
  <c r="T1377" i="2" s="1"/>
  <c r="N2493" i="2"/>
  <c r="T2493" i="2" s="1"/>
  <c r="N557" i="2"/>
  <c r="T557" i="2" s="1"/>
  <c r="N1571" i="2"/>
  <c r="T1571" i="2" s="1"/>
  <c r="N1636" i="2"/>
  <c r="T1636" i="2" s="1"/>
  <c r="N3105" i="2"/>
  <c r="T3105" i="2" s="1"/>
  <c r="N2416" i="2"/>
  <c r="T2416" i="2" s="1"/>
  <c r="N1546" i="2"/>
  <c r="T1546" i="2" s="1"/>
  <c r="N852" i="2"/>
  <c r="T852" i="2" s="1"/>
  <c r="N2275" i="2"/>
  <c r="T2275" i="2" s="1"/>
  <c r="N1537" i="2"/>
  <c r="T1537" i="2" s="1"/>
  <c r="N2454" i="2"/>
  <c r="T2454" i="2" s="1"/>
  <c r="N671" i="2"/>
  <c r="T671" i="2" s="1"/>
  <c r="N781" i="2"/>
  <c r="T781" i="2" s="1"/>
  <c r="N1861" i="2"/>
  <c r="T1861" i="2" s="1"/>
  <c r="N1394" i="2"/>
  <c r="T1394" i="2" s="1"/>
  <c r="N2352" i="2"/>
  <c r="N1623" i="2"/>
  <c r="T1623" i="2" s="1"/>
  <c r="N693" i="2"/>
  <c r="N3109" i="2"/>
  <c r="T3109" i="2" s="1"/>
  <c r="N2410" i="2"/>
  <c r="T2410" i="2" s="1"/>
  <c r="N2534" i="2"/>
  <c r="T2534" i="2" s="1"/>
  <c r="N2745" i="2"/>
  <c r="T2745" i="2" s="1"/>
  <c r="N276" i="2"/>
  <c r="T276" i="2" s="1"/>
  <c r="N605" i="2"/>
  <c r="T605" i="2" s="1"/>
  <c r="N633" i="2"/>
  <c r="T633" i="2" s="1"/>
  <c r="N2809" i="2"/>
  <c r="T2809" i="2" s="1"/>
  <c r="N2478" i="2"/>
  <c r="T2478" i="2" s="1"/>
  <c r="N2171" i="2"/>
  <c r="T2171" i="2" s="1"/>
  <c r="N3085" i="2"/>
  <c r="T3085" i="2" s="1"/>
  <c r="N3123" i="2"/>
  <c r="T3123" i="2" s="1"/>
  <c r="N1047" i="2"/>
  <c r="T1047" i="2" s="1"/>
  <c r="N1851" i="2"/>
  <c r="T1851" i="2" s="1"/>
  <c r="N2048" i="2"/>
  <c r="T2048" i="2" s="1"/>
  <c r="N2937" i="2"/>
  <c r="T2937" i="2" s="1"/>
  <c r="N1421" i="2"/>
  <c r="T1421" i="2" s="1"/>
  <c r="N1828" i="2"/>
  <c r="T1828" i="2" s="1"/>
  <c r="N2741" i="2"/>
  <c r="T2741" i="2" s="1"/>
  <c r="N1774" i="2"/>
  <c r="T1774" i="2" s="1"/>
  <c r="N1266" i="2"/>
  <c r="T1266" i="2" s="1"/>
  <c r="N2532" i="2"/>
  <c r="T2532" i="2" s="1"/>
  <c r="N967" i="2"/>
  <c r="T967" i="2" s="1"/>
  <c r="N2787" i="2"/>
  <c r="T2787" i="2" s="1"/>
  <c r="N10" i="2"/>
  <c r="T10" i="2" s="1"/>
  <c r="N3119" i="2"/>
  <c r="T3119" i="2" s="1"/>
  <c r="N858" i="2"/>
  <c r="T858" i="2" s="1"/>
  <c r="N2468" i="2"/>
  <c r="T2468" i="2" s="1"/>
  <c r="N1726" i="2"/>
  <c r="T1726" i="2" s="1"/>
  <c r="N215" i="2"/>
  <c r="T215" i="2" s="1"/>
  <c r="N2496" i="2"/>
  <c r="N123" i="2"/>
  <c r="T123" i="2" s="1"/>
  <c r="N1169" i="2"/>
  <c r="T1169" i="2" s="1"/>
  <c r="N1940" i="2"/>
  <c r="T1940" i="2" s="1"/>
  <c r="N2418" i="2"/>
  <c r="N1203" i="2"/>
  <c r="T1203" i="2" s="1"/>
  <c r="N2445" i="2"/>
  <c r="T2445" i="2" s="1"/>
  <c r="N1956" i="2"/>
  <c r="T1956" i="2" s="1"/>
  <c r="N1787" i="2"/>
  <c r="T1787" i="2" s="1"/>
  <c r="N1930" i="2"/>
  <c r="N1445" i="2"/>
  <c r="T1445" i="2" s="1"/>
  <c r="N266" i="2"/>
  <c r="T266" i="2" s="1"/>
  <c r="N807" i="2"/>
  <c r="T807" i="2" s="1"/>
  <c r="N2717" i="2"/>
  <c r="T2717" i="2" s="1"/>
  <c r="N435" i="2"/>
  <c r="T435" i="2" s="1"/>
  <c r="N2953" i="2"/>
  <c r="T2953" i="2" s="1"/>
  <c r="N3054" i="2"/>
  <c r="T3054" i="2" s="1"/>
  <c r="N2243" i="2"/>
  <c r="T2243" i="2" s="1"/>
  <c r="N1619" i="2"/>
  <c r="T1619" i="2" s="1"/>
  <c r="N627" i="2"/>
  <c r="T627" i="2" s="1"/>
  <c r="N474" i="2"/>
  <c r="T474" i="2" s="1"/>
  <c r="N1524" i="2"/>
  <c r="T1524" i="2" s="1"/>
  <c r="N589" i="2"/>
  <c r="T589" i="2" s="1"/>
  <c r="N2538" i="2"/>
  <c r="T2538" i="2" s="1"/>
  <c r="N1656" i="2"/>
  <c r="T1656" i="2" s="1"/>
  <c r="N3086" i="2"/>
  <c r="T3086" i="2" s="1"/>
  <c r="N609" i="2"/>
  <c r="T609" i="2" s="1"/>
  <c r="N499" i="2"/>
  <c r="T499" i="2" s="1"/>
  <c r="N1778" i="2"/>
  <c r="T1778" i="2" s="1"/>
  <c r="N3041" i="2"/>
  <c r="T3041" i="2" s="1"/>
  <c r="N449" i="2"/>
  <c r="T449" i="2" s="1"/>
  <c r="N2233" i="2"/>
  <c r="T2233" i="2" s="1"/>
  <c r="N2712" i="2"/>
  <c r="T2712" i="2" s="1"/>
  <c r="N522" i="2"/>
  <c r="T522" i="2" s="1"/>
  <c r="N2812" i="2"/>
  <c r="T2812" i="2" s="1"/>
  <c r="N1611" i="2"/>
  <c r="T1611" i="2" s="1"/>
  <c r="N1742" i="2"/>
  <c r="T1742" i="2" s="1"/>
  <c r="N1621" i="2"/>
  <c r="T1621" i="2" s="1"/>
  <c r="N2354" i="2"/>
  <c r="T2354" i="2" s="1"/>
  <c r="N21" i="2"/>
  <c r="T21" i="2" s="1"/>
  <c r="N1720" i="2"/>
  <c r="T1720" i="2" s="1"/>
  <c r="N2545" i="2"/>
  <c r="T2545" i="2" s="1"/>
  <c r="N683" i="2"/>
  <c r="T683" i="2" s="1"/>
  <c r="N1228" i="2"/>
  <c r="T1228" i="2" s="1"/>
  <c r="N516" i="2"/>
  <c r="T516" i="2" s="1"/>
  <c r="N2298" i="2"/>
  <c r="T2298" i="2" s="1"/>
  <c r="N284" i="2"/>
  <c r="T284" i="2" s="1"/>
  <c r="N2629" i="2"/>
  <c r="T2629" i="2" s="1"/>
  <c r="N22" i="2"/>
  <c r="T22" i="2" s="1"/>
  <c r="N2565" i="2"/>
  <c r="N1417" i="2"/>
  <c r="T1417" i="2" s="1"/>
  <c r="N2689" i="2"/>
  <c r="T2689" i="2" s="1"/>
  <c r="N1061" i="2"/>
  <c r="T1061" i="2" s="1"/>
  <c r="N897" i="2"/>
  <c r="T897" i="2" s="1"/>
  <c r="N2780" i="2"/>
  <c r="T2780" i="2" s="1"/>
  <c r="N2093" i="2"/>
  <c r="T2093" i="2" s="1"/>
  <c r="N102" i="2"/>
  <c r="T102" i="2" s="1"/>
  <c r="N3045" i="2"/>
  <c r="T3045" i="2" s="1"/>
  <c r="N786" i="2"/>
  <c r="T786" i="2" s="1"/>
  <c r="N579" i="2"/>
  <c r="T579" i="2" s="1"/>
  <c r="N1609" i="2"/>
  <c r="T1609" i="2" s="1"/>
  <c r="N38" i="2"/>
  <c r="T38" i="2" s="1"/>
  <c r="N2742" i="2"/>
  <c r="T2742" i="2" s="1"/>
  <c r="N116" i="2"/>
  <c r="T116" i="2" s="1"/>
  <c r="N2885" i="2"/>
  <c r="T2885" i="2" s="1"/>
  <c r="N945" i="2"/>
  <c r="T945" i="2" s="1"/>
  <c r="N1218" i="2"/>
  <c r="T1218" i="2" s="1"/>
  <c r="N230" i="2"/>
  <c r="T230" i="2" s="1"/>
  <c r="N2348" i="2"/>
  <c r="T2348" i="2" s="1"/>
  <c r="N1084" i="2"/>
  <c r="T1084" i="2" s="1"/>
  <c r="N3122" i="2"/>
  <c r="T3122" i="2" s="1"/>
  <c r="N560" i="2"/>
  <c r="T560" i="2" s="1"/>
  <c r="N1580" i="2"/>
  <c r="T1580" i="2" s="1"/>
  <c r="N371" i="2"/>
  <c r="T371" i="2" s="1"/>
  <c r="N363" i="2"/>
  <c r="T363" i="2" s="1"/>
  <c r="N1627" i="2"/>
  <c r="T1627" i="2" s="1"/>
  <c r="N1409" i="2"/>
  <c r="N756" i="2"/>
  <c r="T756" i="2" s="1"/>
  <c r="N40" i="2"/>
  <c r="T40" i="2" s="1"/>
  <c r="N1083" i="2"/>
  <c r="T1083" i="2" s="1"/>
  <c r="N2518" i="2"/>
  <c r="N397" i="2"/>
  <c r="T397" i="2" s="1"/>
  <c r="N2317" i="2"/>
  <c r="T2317" i="2" s="1"/>
  <c r="N582" i="2"/>
  <c r="T582" i="2" s="1"/>
  <c r="N1603" i="2"/>
  <c r="T1603" i="2" s="1"/>
  <c r="N2412" i="2"/>
  <c r="T2412" i="2" s="1"/>
  <c r="N978" i="2"/>
  <c r="T978" i="2" s="1"/>
  <c r="N331" i="2"/>
  <c r="T331" i="2" s="1"/>
  <c r="N1859" i="2"/>
  <c r="N2802" i="2"/>
  <c r="T2802" i="2" s="1"/>
  <c r="N755" i="2"/>
  <c r="T755" i="2" s="1"/>
  <c r="N2107" i="2"/>
  <c r="T2107" i="2" s="1"/>
  <c r="N2710" i="2"/>
  <c r="N2524" i="2"/>
  <c r="T2524" i="2" s="1"/>
  <c r="N379" i="2"/>
  <c r="T379" i="2" s="1"/>
  <c r="N2139" i="2"/>
  <c r="T2139" i="2" s="1"/>
  <c r="N2242" i="2"/>
  <c r="T2242" i="2" s="1"/>
  <c r="N2564" i="2"/>
  <c r="T2564" i="2" s="1"/>
  <c r="N1196" i="2"/>
  <c r="T1196" i="2" s="1"/>
  <c r="N3013" i="2"/>
  <c r="T3013" i="2" s="1"/>
  <c r="N3200" i="2"/>
  <c r="T3200" i="2" s="1"/>
  <c r="N2620" i="2"/>
  <c r="T2620" i="2" s="1"/>
  <c r="N881" i="2"/>
  <c r="T881" i="2" s="1"/>
  <c r="N1669" i="2"/>
  <c r="T1669" i="2" s="1"/>
  <c r="N2850" i="2"/>
  <c r="T2850" i="2" s="1"/>
  <c r="N569" i="2"/>
  <c r="T569" i="2" s="1"/>
  <c r="N1814" i="2"/>
  <c r="T1814" i="2" s="1"/>
  <c r="N1146" i="2"/>
  <c r="N804" i="2"/>
  <c r="T804" i="2" s="1"/>
  <c r="N2943" i="2"/>
  <c r="T2943" i="2" s="1"/>
  <c r="N1386" i="2"/>
  <c r="T1386" i="2" s="1"/>
  <c r="N698" i="2"/>
  <c r="N1011" i="2"/>
  <c r="T1011" i="2" s="1"/>
  <c r="N2129" i="2"/>
  <c r="T2129" i="2" s="1"/>
  <c r="N80" i="2"/>
  <c r="T80" i="2" s="1"/>
  <c r="N917" i="2"/>
  <c r="T917" i="2" s="1"/>
  <c r="N31" i="2"/>
  <c r="T31" i="2" s="1"/>
  <c r="N966" i="2"/>
  <c r="T966" i="2" s="1"/>
  <c r="N2921" i="2"/>
  <c r="T2921" i="2" s="1"/>
  <c r="N2705" i="2"/>
  <c r="T2705" i="2" s="1"/>
  <c r="N2039" i="2"/>
  <c r="N1162" i="2"/>
  <c r="T1162" i="2" s="1"/>
  <c r="N211" i="2"/>
  <c r="T211" i="2" s="1"/>
  <c r="N329" i="2"/>
  <c r="T329" i="2" s="1"/>
  <c r="N690" i="2"/>
  <c r="T690" i="2" s="1"/>
  <c r="N3036" i="2"/>
  <c r="T3036" i="2" s="1"/>
  <c r="N3196" i="2"/>
  <c r="T3196" i="2" s="1"/>
  <c r="N1198" i="2"/>
  <c r="N1817" i="2"/>
  <c r="T1817" i="2" s="1"/>
  <c r="N2864" i="2"/>
  <c r="T2864" i="2" s="1"/>
  <c r="N1036" i="2"/>
  <c r="T1036" i="2" s="1"/>
  <c r="N2369" i="2"/>
  <c r="T2369" i="2" s="1"/>
  <c r="N2463" i="2"/>
  <c r="T2463" i="2" s="1"/>
  <c r="N1929" i="2"/>
  <c r="T1929" i="2" s="1"/>
  <c r="N1252" i="2"/>
  <c r="T1252" i="2" s="1"/>
  <c r="N1119" i="2"/>
  <c r="T1119" i="2" s="1"/>
  <c r="N173" i="2"/>
  <c r="T173" i="2" s="1"/>
  <c r="N923" i="2"/>
  <c r="T923" i="2" s="1"/>
  <c r="N670" i="2"/>
  <c r="T670" i="2" s="1"/>
  <c r="N3033" i="2"/>
  <c r="N530" i="2"/>
  <c r="T530" i="2" s="1"/>
  <c r="N513" i="2"/>
  <c r="T513" i="2" s="1"/>
  <c r="N459" i="2"/>
  <c r="T459" i="2" s="1"/>
  <c r="N1610" i="2"/>
  <c r="T1610" i="2" s="1"/>
  <c r="N903" i="2"/>
  <c r="T903" i="2" s="1"/>
  <c r="N929" i="2"/>
  <c r="T929" i="2" s="1"/>
  <c r="N969" i="2"/>
  <c r="T969" i="2" s="1"/>
  <c r="N1067" i="2"/>
  <c r="T1067" i="2" s="1"/>
  <c r="N1267" i="2"/>
  <c r="T1267" i="2" s="1"/>
  <c r="N1457" i="2"/>
  <c r="T1457" i="2" s="1"/>
  <c r="N1847" i="2"/>
  <c r="T1847" i="2" s="1"/>
  <c r="N882" i="2"/>
  <c r="T882" i="2" s="1"/>
  <c r="N2778" i="2"/>
  <c r="T2778" i="2" s="1"/>
  <c r="N2528" i="2"/>
  <c r="T2528" i="2" s="1"/>
  <c r="N1871" i="2"/>
  <c r="T1871" i="2" s="1"/>
  <c r="N963" i="2"/>
  <c r="T963" i="2" s="1"/>
  <c r="N2546" i="2"/>
  <c r="T2546" i="2" s="1"/>
  <c r="N53" i="2"/>
  <c r="T53" i="2" s="1"/>
  <c r="N2832" i="2"/>
  <c r="T2832" i="2" s="1"/>
  <c r="N57" i="2"/>
  <c r="T57" i="2" s="1"/>
  <c r="N1740" i="2"/>
  <c r="T1740" i="2" s="1"/>
  <c r="N2667" i="2"/>
  <c r="T2667" i="2" s="1"/>
  <c r="N260" i="2"/>
  <c r="T260" i="2" s="1"/>
  <c r="N997" i="2"/>
  <c r="T997" i="2" s="1"/>
  <c r="N2993" i="2"/>
  <c r="T2993" i="2" s="1"/>
  <c r="N394" i="2"/>
  <c r="T394" i="2" s="1"/>
  <c r="N1372" i="2"/>
  <c r="T1372" i="2" s="1"/>
  <c r="N1271" i="2"/>
  <c r="T1271" i="2" s="1"/>
  <c r="N1464" i="2"/>
  <c r="T1464" i="2" s="1"/>
  <c r="N406" i="2"/>
  <c r="T406" i="2" s="1"/>
  <c r="N2475" i="2"/>
  <c r="T2475" i="2" s="1"/>
  <c r="N3183" i="2"/>
  <c r="N285" i="2"/>
  <c r="T285" i="2" s="1"/>
  <c r="N901" i="2"/>
  <c r="T901" i="2" s="1"/>
  <c r="N2087" i="2"/>
  <c r="T2087" i="2" s="1"/>
  <c r="N431" i="2"/>
  <c r="T431" i="2" s="1"/>
  <c r="N531" i="2"/>
  <c r="T531" i="2" s="1"/>
  <c r="N255" i="2"/>
  <c r="T255" i="2" s="1"/>
  <c r="N2234" i="2"/>
  <c r="T2234" i="2" s="1"/>
  <c r="N2581" i="2"/>
  <c r="T2581" i="2" s="1"/>
  <c r="N1258" i="2"/>
  <c r="T1258" i="2" s="1"/>
  <c r="N1359" i="2"/>
  <c r="T1359" i="2" s="1"/>
  <c r="N2578" i="2"/>
  <c r="T2578" i="2" s="1"/>
  <c r="N712" i="2"/>
  <c r="T712" i="2" s="1"/>
  <c r="N941" i="2"/>
  <c r="T941" i="2" s="1"/>
  <c r="N2355" i="2"/>
  <c r="T2355" i="2" s="1"/>
  <c r="N3150" i="2"/>
  <c r="T3150" i="2" s="1"/>
  <c r="N631" i="2"/>
  <c r="T631" i="2" s="1"/>
  <c r="N2982" i="2"/>
  <c r="T2982" i="2" s="1"/>
  <c r="N723" i="2"/>
  <c r="T723" i="2" s="1"/>
  <c r="N661" i="2"/>
  <c r="T661" i="2" s="1"/>
  <c r="N780" i="2"/>
  <c r="T780" i="2" s="1"/>
  <c r="N2865" i="2"/>
  <c r="T2865" i="2" s="1"/>
  <c r="N185" i="2"/>
  <c r="T185" i="2" s="1"/>
  <c r="N375" i="2"/>
  <c r="T375" i="2" s="1"/>
  <c r="N127" i="2"/>
  <c r="T127" i="2" s="1"/>
  <c r="N2947" i="2"/>
  <c r="N2672" i="2"/>
  <c r="T2672" i="2" s="1"/>
  <c r="N987" i="2"/>
  <c r="T987" i="2" s="1"/>
  <c r="N2283" i="2"/>
  <c r="T2283" i="2" s="1"/>
  <c r="N252" i="2"/>
  <c r="T252" i="2" s="1"/>
  <c r="N2083" i="2"/>
  <c r="T2083" i="2" s="1"/>
  <c r="N1054" i="2"/>
  <c r="T1054" i="2" s="1"/>
  <c r="N2646" i="2"/>
  <c r="N1310" i="2"/>
  <c r="T1310" i="2" s="1"/>
  <c r="N61" i="2"/>
  <c r="T61" i="2" s="1"/>
  <c r="N829" i="2"/>
  <c r="T829" i="2" s="1"/>
  <c r="N2376" i="2"/>
  <c r="T2376" i="2" s="1"/>
  <c r="N703" i="2"/>
  <c r="T703" i="2" s="1"/>
  <c r="N291" i="2"/>
  <c r="T291" i="2" s="1"/>
  <c r="N735" i="2"/>
  <c r="T735" i="2" s="1"/>
  <c r="N1112" i="2"/>
  <c r="T1112" i="2" s="1"/>
  <c r="N1589" i="2"/>
  <c r="N1102" i="2"/>
  <c r="T1102" i="2" s="1"/>
  <c r="N2766" i="2"/>
  <c r="T2766" i="2" s="1"/>
  <c r="N2153" i="2"/>
  <c r="T2153" i="2" s="1"/>
  <c r="N3137" i="2"/>
  <c r="T3137" i="2" s="1"/>
  <c r="N1257" i="2"/>
  <c r="T1257" i="2" s="1"/>
  <c r="N653" i="2"/>
  <c r="T653" i="2" s="1"/>
  <c r="N2558" i="2"/>
  <c r="T2558" i="2" s="1"/>
  <c r="N789" i="2"/>
  <c r="T789" i="2" s="1"/>
  <c r="N407" i="2"/>
  <c r="T407" i="2" s="1"/>
  <c r="N1195" i="2"/>
  <c r="T1195" i="2" s="1"/>
  <c r="N1448" i="2"/>
  <c r="T1448" i="2" s="1"/>
  <c r="N2190" i="2"/>
  <c r="T2190" i="2" s="1"/>
  <c r="N2875" i="2"/>
  <c r="N1655" i="2"/>
  <c r="T1655" i="2" s="1"/>
  <c r="N1625" i="2"/>
  <c r="T1625" i="2" s="1"/>
  <c r="N2357" i="2"/>
  <c r="T2357" i="2" s="1"/>
  <c r="N684" i="2"/>
  <c r="T684" i="2" s="1"/>
  <c r="N2012" i="2"/>
  <c r="T2012" i="2" s="1"/>
  <c r="N550" i="2"/>
  <c r="T550" i="2" s="1"/>
  <c r="N187" i="2"/>
  <c r="T187" i="2" s="1"/>
  <c r="N2246" i="2"/>
  <c r="N332" i="2"/>
  <c r="T332" i="2" s="1"/>
  <c r="N1291" i="2"/>
  <c r="T1291" i="2" s="1"/>
  <c r="N992" i="2"/>
  <c r="T992" i="2" s="1"/>
  <c r="N1765" i="2"/>
  <c r="T1765" i="2" s="1"/>
  <c r="N2568" i="2"/>
  <c r="T2568" i="2" s="1"/>
  <c r="N2946" i="2"/>
  <c r="T2946" i="2" s="1"/>
  <c r="N2659" i="2"/>
  <c r="T2659" i="2" s="1"/>
  <c r="N359" i="2"/>
  <c r="T359" i="2" s="1"/>
  <c r="N339" i="2"/>
  <c r="T339" i="2" s="1"/>
  <c r="N1952" i="2"/>
  <c r="T1952" i="2" s="1"/>
  <c r="N1535" i="2"/>
  <c r="N2948" i="2"/>
  <c r="T2948" i="2" s="1"/>
  <c r="N1674" i="2"/>
  <c r="T1674" i="2" s="1"/>
  <c r="N2137" i="2"/>
  <c r="T2137" i="2" s="1"/>
  <c r="N2391" i="2"/>
  <c r="T2391" i="2" s="1"/>
  <c r="N2839" i="2"/>
  <c r="T2839" i="2" s="1"/>
  <c r="N2256" i="2"/>
  <c r="T2256" i="2" s="1"/>
  <c r="N619" i="2"/>
  <c r="T619" i="2" s="1"/>
  <c r="N651" i="2"/>
  <c r="T651" i="2" s="1"/>
  <c r="N2867" i="2"/>
  <c r="T2867" i="2" s="1"/>
  <c r="N307" i="2"/>
  <c r="T307" i="2" s="1"/>
  <c r="N1687" i="2"/>
  <c r="T1687" i="2" s="1"/>
  <c r="N1042" i="2"/>
  <c r="T1042" i="2" s="1"/>
  <c r="N2191" i="2"/>
  <c r="T2191" i="2" s="1"/>
  <c r="N2397" i="2"/>
  <c r="T2397" i="2" s="1"/>
  <c r="N153" i="2"/>
  <c r="T153" i="2" s="1"/>
  <c r="N3031" i="2"/>
  <c r="T3031" i="2" s="1"/>
  <c r="N1938" i="2"/>
  <c r="T1938" i="2" s="1"/>
  <c r="N943" i="2"/>
  <c r="T943" i="2" s="1"/>
  <c r="N28" i="2"/>
  <c r="T28" i="2" s="1"/>
  <c r="N155" i="2"/>
  <c r="T155" i="2" s="1"/>
  <c r="N1080" i="2"/>
  <c r="T1080" i="2" s="1"/>
  <c r="N2311" i="2"/>
  <c r="T2311" i="2" s="1"/>
  <c r="N1517" i="2"/>
  <c r="T1517" i="2" s="1"/>
  <c r="N1657" i="2"/>
  <c r="T1657" i="2" s="1"/>
  <c r="N1470" i="2"/>
  <c r="T1470" i="2" s="1"/>
  <c r="N3155" i="2"/>
  <c r="T3155" i="2" s="1"/>
  <c r="N2470" i="2"/>
  <c r="T2470" i="2" s="1"/>
  <c r="N52" i="2"/>
  <c r="T52" i="2" s="1"/>
  <c r="N730" i="2"/>
  <c r="T730" i="2" s="1"/>
  <c r="N544" i="2"/>
  <c r="T544" i="2" s="1"/>
  <c r="N734" i="2"/>
  <c r="T734" i="2" s="1"/>
  <c r="N759" i="2"/>
  <c r="T759" i="2" s="1"/>
  <c r="N2969" i="2"/>
  <c r="T2969" i="2" s="1"/>
  <c r="N1995" i="2"/>
  <c r="T1995" i="2" s="1"/>
  <c r="N328" i="2"/>
  <c r="T328" i="2" s="1"/>
  <c r="N258" i="2"/>
  <c r="T258" i="2" s="1"/>
  <c r="N1140" i="2"/>
  <c r="N2159" i="2"/>
  <c r="T2159" i="2" s="1"/>
  <c r="N1128" i="2"/>
  <c r="T1128" i="2" s="1"/>
  <c r="N1137" i="2"/>
  <c r="T1137" i="2" s="1"/>
  <c r="N533" i="2"/>
  <c r="T533" i="2" s="1"/>
  <c r="N2729" i="2"/>
  <c r="T2729" i="2" s="1"/>
  <c r="N169" i="2"/>
  <c r="T169" i="2" s="1"/>
  <c r="N222" i="2"/>
  <c r="T222" i="2" s="1"/>
  <c r="N1369" i="2"/>
  <c r="T1369" i="2" s="1"/>
  <c r="N2006" i="2"/>
  <c r="N1057" i="2"/>
  <c r="T1057" i="2" s="1"/>
  <c r="N1706" i="2"/>
  <c r="T1706" i="2" s="1"/>
  <c r="N1530" i="2"/>
  <c r="T1530" i="2" s="1"/>
  <c r="N2061" i="2"/>
  <c r="T2061" i="2" s="1"/>
  <c r="N752" i="2"/>
  <c r="T752" i="2" s="1"/>
  <c r="N1620" i="2"/>
  <c r="T1620" i="2" s="1"/>
  <c r="N2249" i="2"/>
  <c r="T2249" i="2" s="1"/>
  <c r="N423" i="2"/>
  <c r="T423" i="2" s="1"/>
  <c r="N2684" i="2"/>
  <c r="T2684" i="2" s="1"/>
  <c r="N1376" i="2"/>
  <c r="T1376" i="2" s="1"/>
  <c r="N2378" i="2"/>
  <c r="T2378" i="2" s="1"/>
  <c r="N1663" i="2"/>
  <c r="T1663" i="2" s="1"/>
  <c r="N491" i="2"/>
  <c r="N263" i="2"/>
  <c r="T263" i="2" s="1"/>
  <c r="N455" i="2"/>
  <c r="T455" i="2" s="1"/>
  <c r="N1972" i="2"/>
  <c r="T1972" i="2" s="1"/>
  <c r="N1616" i="2"/>
  <c r="N507" i="2"/>
  <c r="T507" i="2" s="1"/>
  <c r="N784" i="2"/>
  <c r="T784" i="2" s="1"/>
  <c r="N2627" i="2"/>
  <c r="T2627" i="2" s="1"/>
  <c r="N2896" i="2"/>
  <c r="T2896" i="2" s="1"/>
  <c r="N2383" i="2"/>
  <c r="T2383" i="2" s="1"/>
  <c r="N183" i="2"/>
  <c r="T183" i="2" s="1"/>
  <c r="N511" i="2"/>
  <c r="T511" i="2" s="1"/>
  <c r="N3096" i="2"/>
  <c r="T3096" i="2" s="1"/>
  <c r="N2440" i="2"/>
  <c r="N3070" i="2"/>
  <c r="T3070" i="2" s="1"/>
  <c r="N3083" i="2"/>
  <c r="T3083" i="2" s="1"/>
  <c r="N2420" i="2"/>
  <c r="T2420" i="2" s="1"/>
  <c r="N2460" i="2"/>
  <c r="N2432" i="2"/>
  <c r="T2432" i="2" s="1"/>
  <c r="N2908" i="2"/>
  <c r="T2908" i="2" s="1"/>
  <c r="N1201" i="2"/>
  <c r="T1201" i="2" s="1"/>
  <c r="N1803" i="2"/>
  <c r="T1803" i="2" s="1"/>
  <c r="N568" i="2"/>
  <c r="T568" i="2" s="1"/>
  <c r="N256" i="2"/>
  <c r="T256" i="2" s="1"/>
  <c r="N2714" i="2"/>
  <c r="T2714" i="2" s="1"/>
  <c r="N2168" i="2"/>
  <c r="T2168" i="2" s="1"/>
  <c r="N790" i="2"/>
  <c r="T790" i="2" s="1"/>
  <c r="N984" i="2"/>
  <c r="T984" i="2" s="1"/>
  <c r="N372" i="2"/>
  <c r="T372" i="2" s="1"/>
  <c r="N687" i="2"/>
  <c r="T687" i="2" s="1"/>
  <c r="N2433" i="2"/>
  <c r="T2433" i="2" s="1"/>
  <c r="N1788" i="2"/>
  <c r="T1788" i="2" s="1"/>
  <c r="N1848" i="2"/>
  <c r="T1848" i="2" s="1"/>
  <c r="N2986" i="2"/>
  <c r="T2986" i="2" s="1"/>
  <c r="N1142" i="2"/>
  <c r="T1142" i="2" s="1"/>
  <c r="N1652" i="2"/>
  <c r="T1652" i="2" s="1"/>
  <c r="N2654" i="2"/>
  <c r="T2654" i="2" s="1"/>
  <c r="N1130" i="2"/>
  <c r="T1130" i="2" s="1"/>
  <c r="N801" i="2"/>
  <c r="T801" i="2" s="1"/>
  <c r="N486" i="2"/>
  <c r="T486" i="2" s="1"/>
  <c r="N811" i="2"/>
  <c r="T811" i="2" s="1"/>
  <c r="N1435" i="2"/>
  <c r="T1435" i="2" s="1"/>
  <c r="N1573" i="2"/>
  <c r="T1573" i="2" s="1"/>
  <c r="N1513" i="2"/>
  <c r="T1513" i="2" s="1"/>
  <c r="N77" i="2"/>
  <c r="T77" i="2" s="1"/>
  <c r="N2798" i="2"/>
  <c r="T2798" i="2" s="1"/>
  <c r="N2535" i="2"/>
  <c r="T2535" i="2" s="1"/>
  <c r="N1601" i="2"/>
  <c r="T1601" i="2" s="1"/>
  <c r="N2221" i="2"/>
  <c r="T2221" i="2" s="1"/>
  <c r="N1309" i="2"/>
  <c r="N1950" i="2"/>
  <c r="N527" i="2"/>
  <c r="T527" i="2" s="1"/>
  <c r="N898" i="2"/>
  <c r="T898" i="2" s="1"/>
  <c r="N883" i="2"/>
  <c r="T883" i="2" s="1"/>
  <c r="N294" i="2"/>
  <c r="T294" i="2" s="1"/>
  <c r="N3004" i="2"/>
  <c r="T3004" i="2" s="1"/>
  <c r="N1978" i="2"/>
  <c r="T1978" i="2" s="1"/>
  <c r="N2405" i="2"/>
  <c r="T2405" i="2" s="1"/>
  <c r="N3082" i="2"/>
  <c r="T3082" i="2" s="1"/>
  <c r="N2316" i="2"/>
  <c r="T2316" i="2" s="1"/>
  <c r="N343" i="2"/>
  <c r="T343" i="2" s="1"/>
  <c r="N2421" i="2"/>
  <c r="T2421" i="2" s="1"/>
  <c r="N2085" i="2"/>
  <c r="T2085" i="2" s="1"/>
  <c r="N47" i="2"/>
  <c r="T47" i="2" s="1"/>
  <c r="N546" i="2"/>
  <c r="T546" i="2" s="1"/>
  <c r="N62" i="2"/>
  <c r="T62" i="2" s="1"/>
  <c r="N3198" i="2"/>
  <c r="T3198" i="2" s="1"/>
  <c r="N537" i="2"/>
  <c r="T537" i="2" s="1"/>
  <c r="N1686" i="2"/>
  <c r="T1686" i="2" s="1"/>
  <c r="N1425" i="2"/>
  <c r="T1425" i="2" s="1"/>
  <c r="N2617" i="2"/>
  <c r="T2617" i="2" s="1"/>
  <c r="N2597" i="2"/>
  <c r="T2597" i="2" s="1"/>
  <c r="N1731" i="2"/>
  <c r="T1731" i="2" s="1"/>
  <c r="N1562" i="2"/>
  <c r="T1562" i="2" s="1"/>
  <c r="N803" i="2"/>
  <c r="T803" i="2" s="1"/>
  <c r="N2573" i="2"/>
  <c r="T2573" i="2" s="1"/>
  <c r="N1838" i="2"/>
  <c r="T1838" i="2" s="1"/>
  <c r="N1644" i="2"/>
  <c r="T1644" i="2" s="1"/>
  <c r="N2835" i="2"/>
  <c r="T2835" i="2" s="1"/>
  <c r="N1999" i="2"/>
  <c r="T1999" i="2" s="1"/>
  <c r="N1953" i="2"/>
  <c r="T1953" i="2" s="1"/>
  <c r="N1552" i="2"/>
  <c r="T1552" i="2" s="1"/>
  <c r="N2222" i="2"/>
  <c r="T2222" i="2" s="1"/>
  <c r="N205" i="2"/>
  <c r="T205" i="2" s="1"/>
  <c r="N833" i="2"/>
  <c r="T833" i="2" s="1"/>
  <c r="N2328" i="2"/>
  <c r="N2544" i="2"/>
  <c r="T2544" i="2" s="1"/>
  <c r="N413" i="2"/>
  <c r="T413" i="2" s="1"/>
  <c r="N1158" i="2"/>
  <c r="T1158" i="2" s="1"/>
  <c r="N506" i="2"/>
  <c r="T506" i="2" s="1"/>
  <c r="N662" i="2"/>
  <c r="T662" i="2" s="1"/>
  <c r="N326" i="2"/>
  <c r="T326" i="2" s="1"/>
  <c r="N1392" i="2"/>
  <c r="T1392" i="2" s="1"/>
  <c r="N2649" i="2"/>
  <c r="T2649" i="2" s="1"/>
  <c r="N733" i="2"/>
  <c r="T733" i="2" s="1"/>
  <c r="N481" i="2"/>
  <c r="T481" i="2" s="1"/>
  <c r="N2042" i="2"/>
  <c r="T2042" i="2" s="1"/>
  <c r="N2917" i="2"/>
  <c r="N788" i="2"/>
  <c r="T788" i="2" s="1"/>
  <c r="N1634" i="2"/>
  <c r="T1634" i="2" s="1"/>
  <c r="N279" i="2"/>
  <c r="T279" i="2" s="1"/>
  <c r="N836" i="2"/>
  <c r="T836" i="2" s="1"/>
  <c r="N387" i="2"/>
  <c r="T387" i="2" s="1"/>
  <c r="N2004" i="2"/>
  <c r="T2004" i="2" s="1"/>
  <c r="N783" i="2"/>
  <c r="T783" i="2" s="1"/>
  <c r="N2477" i="2"/>
  <c r="T2477" i="2" s="1"/>
  <c r="N2367" i="2"/>
  <c r="T2367" i="2" s="1"/>
  <c r="N2842" i="2"/>
  <c r="T2842" i="2" s="1"/>
  <c r="N1401" i="2"/>
  <c r="N578" i="2"/>
  <c r="T578" i="2" s="1"/>
  <c r="N3074" i="2"/>
  <c r="T3074" i="2" s="1"/>
  <c r="N1793" i="2"/>
  <c r="T1793" i="2" s="1"/>
  <c r="N1948" i="2"/>
  <c r="T1948" i="2" s="1"/>
  <c r="N3025" i="2"/>
  <c r="N96" i="2"/>
  <c r="T96" i="2" s="1"/>
  <c r="N760" i="2"/>
  <c r="T760" i="2" s="1"/>
  <c r="N2199" i="2"/>
  <c r="N1019" i="2"/>
  <c r="T1019" i="2" s="1"/>
  <c r="N1100" i="2"/>
  <c r="T1100" i="2" s="1"/>
  <c r="N2009" i="2"/>
  <c r="T2009" i="2" s="1"/>
  <c r="N1802" i="2"/>
  <c r="T1802" i="2" s="1"/>
  <c r="N2929" i="2"/>
  <c r="T2929" i="2" s="1"/>
  <c r="N1608" i="2"/>
  <c r="T1608" i="2" s="1"/>
  <c r="N2732" i="2"/>
  <c r="T2732" i="2" s="1"/>
  <c r="N165" i="2"/>
  <c r="T165" i="2" s="1"/>
  <c r="N1568" i="2"/>
  <c r="T1568" i="2" s="1"/>
  <c r="N937" i="2"/>
  <c r="T937" i="2" s="1"/>
  <c r="N2189" i="2"/>
  <c r="T2189" i="2" s="1"/>
  <c r="N2621" i="2"/>
  <c r="T2621" i="2" s="1"/>
  <c r="N25" i="2"/>
  <c r="T25" i="2" s="1"/>
  <c r="N64" i="2"/>
  <c r="T64" i="2" s="1"/>
  <c r="N1014" i="2"/>
  <c r="T1014" i="2" s="1"/>
  <c r="N1722" i="2"/>
  <c r="T1722" i="2" s="1"/>
  <c r="N912" i="2"/>
  <c r="T912" i="2" s="1"/>
  <c r="N2763" i="2"/>
  <c r="T2763" i="2" s="1"/>
  <c r="N2301" i="2"/>
  <c r="T2301" i="2" s="1"/>
  <c r="N106" i="2"/>
  <c r="T106" i="2" s="1"/>
  <c r="N2052" i="2"/>
  <c r="T2052" i="2" s="1"/>
  <c r="N403" i="2"/>
  <c r="T403" i="2" s="1"/>
  <c r="N3097" i="2"/>
  <c r="T3097" i="2" s="1"/>
  <c r="N702" i="2"/>
  <c r="T702" i="2" s="1"/>
  <c r="N470" i="2"/>
  <c r="T470" i="2" s="1"/>
  <c r="N1101" i="2"/>
  <c r="T1101" i="2" s="1"/>
  <c r="N562" i="2"/>
  <c r="T562" i="2" s="1"/>
  <c r="N2936" i="2"/>
  <c r="T2936" i="2" s="1"/>
  <c r="N420" i="2"/>
  <c r="T420" i="2" s="1"/>
  <c r="N477" i="2"/>
  <c r="T477" i="2" s="1"/>
  <c r="N879" i="2"/>
  <c r="T879" i="2" s="1"/>
  <c r="N1963" i="2"/>
  <c r="N1977" i="2"/>
  <c r="T1977" i="2" s="1"/>
  <c r="N2820" i="2"/>
  <c r="T2820" i="2" s="1"/>
  <c r="N2485" i="2"/>
  <c r="T2485" i="2" s="1"/>
  <c r="N2310" i="2"/>
  <c r="N2471" i="2"/>
  <c r="N2963" i="2"/>
  <c r="T2963" i="2" s="1"/>
  <c r="N184" i="2"/>
  <c r="T184" i="2" s="1"/>
  <c r="N2138" i="2"/>
  <c r="T2138" i="2" s="1"/>
  <c r="N2426" i="2"/>
  <c r="T2426" i="2" s="1"/>
  <c r="N1660" i="2"/>
  <c r="T1660" i="2" s="1"/>
  <c r="N1229" i="2"/>
  <c r="T1229" i="2" s="1"/>
  <c r="N916" i="2"/>
  <c r="T916" i="2" s="1"/>
  <c r="N139" i="2"/>
  <c r="T139" i="2" s="1"/>
  <c r="N2365" i="2"/>
  <c r="T2365" i="2" s="1"/>
  <c r="N3176" i="2"/>
  <c r="T3176" i="2" s="1"/>
  <c r="N124" i="2"/>
  <c r="T124" i="2" s="1"/>
  <c r="N2893" i="2"/>
  <c r="T2893" i="2" s="1"/>
  <c r="N1410" i="2"/>
  <c r="T1410" i="2" s="1"/>
  <c r="N1818" i="2"/>
  <c r="T1818" i="2" s="1"/>
  <c r="N452" i="2"/>
  <c r="T452" i="2" s="1"/>
  <c r="N2868" i="2"/>
  <c r="T2868" i="2" s="1"/>
  <c r="N1050" i="2"/>
  <c r="T1050" i="2" s="1"/>
  <c r="N1104" i="2"/>
  <c r="T1104" i="2" s="1"/>
  <c r="N849" i="2"/>
  <c r="T849" i="2" s="1"/>
  <c r="N692" i="2"/>
  <c r="T692" i="2" s="1"/>
  <c r="N27" i="2"/>
  <c r="T27" i="2" s="1"/>
  <c r="N377" i="2"/>
  <c r="T377" i="2" s="1"/>
  <c r="N2998" i="2"/>
  <c r="T2998" i="2" s="1"/>
  <c r="N990" i="2"/>
  <c r="T990" i="2" s="1"/>
  <c r="N125" i="2"/>
  <c r="T125" i="2" s="1"/>
  <c r="N134" i="2"/>
  <c r="T134" i="2" s="1"/>
  <c r="N2363" i="2"/>
  <c r="N2313" i="2"/>
  <c r="T2313" i="2" s="1"/>
  <c r="N2422" i="2"/>
  <c r="T2422" i="2" s="1"/>
  <c r="N2579" i="2"/>
  <c r="T2579" i="2" s="1"/>
  <c r="N188" i="2"/>
  <c r="T188" i="2" s="1"/>
  <c r="N1762" i="2"/>
  <c r="N3135" i="2"/>
  <c r="T3135" i="2" s="1"/>
  <c r="N2888" i="2"/>
  <c r="N1592" i="2"/>
  <c r="T1592" i="2" s="1"/>
  <c r="N2677" i="2"/>
  <c r="T2677" i="2" s="1"/>
  <c r="N1801" i="2"/>
  <c r="T1801" i="2" s="1"/>
  <c r="N1056" i="2"/>
  <c r="T1056" i="2" s="1"/>
  <c r="N1449" i="2"/>
  <c r="T1449" i="2" s="1"/>
  <c r="N2482" i="2"/>
  <c r="N844" i="2"/>
  <c r="T844" i="2" s="1"/>
  <c r="N2785" i="2"/>
  <c r="T2785" i="2" s="1"/>
  <c r="N109" i="2"/>
  <c r="T109" i="2" s="1"/>
  <c r="N2569" i="2"/>
  <c r="T2569" i="2" s="1"/>
  <c r="N2402" i="2"/>
  <c r="T2402" i="2" s="1"/>
  <c r="N1942" i="2"/>
  <c r="T1942" i="2" s="1"/>
  <c r="N2414" i="2"/>
  <c r="N2848" i="2"/>
  <c r="N960" i="2"/>
  <c r="T960" i="2" s="1"/>
  <c r="N1750" i="2"/>
  <c r="T1750" i="2" s="1"/>
  <c r="N3120" i="2"/>
  <c r="N2198" i="2"/>
  <c r="T2198" i="2" s="1"/>
  <c r="N3087" i="2"/>
  <c r="T3087" i="2" s="1"/>
  <c r="N282" i="2"/>
  <c r="T282" i="2" s="1"/>
  <c r="N1860" i="2"/>
  <c r="N939" i="2"/>
  <c r="N1704" i="2"/>
  <c r="T1704" i="2" s="1"/>
  <c r="N1058" i="2"/>
  <c r="T1058" i="2" s="1"/>
  <c r="N444" i="2"/>
  <c r="T444" i="2" s="1"/>
  <c r="N2640" i="2"/>
  <c r="T2640" i="2" s="1"/>
  <c r="N1273" i="2"/>
  <c r="T1273" i="2" s="1"/>
  <c r="N2021" i="2"/>
  <c r="T2021" i="2" s="1"/>
  <c r="N540" i="2"/>
  <c r="T540" i="2" s="1"/>
  <c r="N2019" i="2"/>
  <c r="N826" i="2"/>
  <c r="N1092" i="2"/>
  <c r="N2894" i="2"/>
  <c r="T2894" i="2" s="1"/>
  <c r="N1696" i="2"/>
  <c r="T1696" i="2" s="1"/>
  <c r="N1864" i="2"/>
  <c r="T1864" i="2" s="1"/>
  <c r="N382" i="2"/>
  <c r="T382" i="2" s="1"/>
  <c r="N2727" i="2"/>
  <c r="N1460" i="2"/>
  <c r="T1460" i="2" s="1"/>
  <c r="N2338" i="2"/>
  <c r="N1326" i="2"/>
  <c r="T1326" i="2" s="1"/>
  <c r="N417" i="2"/>
  <c r="T417" i="2" s="1"/>
  <c r="N2394" i="2"/>
  <c r="T2394" i="2" s="1"/>
  <c r="N2018" i="2"/>
  <c r="T2018" i="2" s="1"/>
  <c r="N905" i="2"/>
  <c r="T905" i="2" s="1"/>
  <c r="N1894" i="2"/>
  <c r="T1894" i="2" s="1"/>
  <c r="N1255" i="2"/>
  <c r="T1255" i="2" s="1"/>
  <c r="N1429" i="2"/>
  <c r="T1429" i="2" s="1"/>
  <c r="N401" i="2"/>
  <c r="T401" i="2" s="1"/>
  <c r="N2933" i="2"/>
  <c r="T2933" i="2" s="1"/>
  <c r="N1588" i="2"/>
  <c r="T1588" i="2" s="1"/>
  <c r="N2315" i="2"/>
  <c r="T2315" i="2" s="1"/>
  <c r="N682" i="2"/>
  <c r="T682" i="2" s="1"/>
  <c r="N1944" i="2"/>
  <c r="T1944" i="2" s="1"/>
  <c r="N2861" i="2"/>
  <c r="T2861" i="2" s="1"/>
  <c r="N2665" i="2"/>
  <c r="T2665" i="2" s="1"/>
  <c r="N1016" i="2"/>
  <c r="T1016" i="2" s="1"/>
  <c r="N2146" i="2"/>
  <c r="T2146" i="2" s="1"/>
  <c r="N2585" i="2"/>
  <c r="T2585" i="2" s="1"/>
  <c r="N950" i="2"/>
  <c r="T950" i="2" s="1"/>
  <c r="N219" i="2"/>
  <c r="T219" i="2" s="1"/>
  <c r="N190" i="2"/>
  <c r="T190" i="2" s="1"/>
  <c r="N1306" i="2"/>
  <c r="T1306" i="2" s="1"/>
  <c r="N232" i="2"/>
  <c r="T232" i="2" s="1"/>
  <c r="N2078" i="2"/>
  <c r="T2078" i="2" s="1"/>
  <c r="N8" i="2"/>
  <c r="T8" i="2" s="1"/>
  <c r="N2427" i="2"/>
  <c r="T2427" i="2" s="1"/>
  <c r="N3008" i="2"/>
  <c r="T3008" i="2" s="1"/>
  <c r="N655" i="2"/>
  <c r="T655" i="2" s="1"/>
  <c r="N889" i="2"/>
  <c r="N696" i="2"/>
  <c r="T696" i="2" s="1"/>
  <c r="N1191" i="2"/>
  <c r="T1191" i="2" s="1"/>
  <c r="N1087" i="2"/>
  <c r="T1087" i="2" s="1"/>
  <c r="N11" i="2"/>
  <c r="T11" i="2" s="1"/>
  <c r="N899" i="2"/>
  <c r="T899" i="2" s="1"/>
  <c r="N1387" i="2"/>
  <c r="T1387" i="2" s="1"/>
  <c r="N616" i="2"/>
  <c r="T616" i="2" s="1"/>
  <c r="N758" i="2"/>
  <c r="T758" i="2" s="1"/>
  <c r="N922" i="2"/>
  <c r="N1490" i="2"/>
  <c r="T1490" i="2" s="1"/>
  <c r="N2128" i="2"/>
  <c r="T2128" i="2" s="1"/>
  <c r="N2254" i="2"/>
  <c r="T2254" i="2" s="1"/>
  <c r="N3009" i="2"/>
  <c r="N1000" i="2"/>
  <c r="T1000" i="2" s="1"/>
  <c r="N1510" i="2"/>
  <c r="T1510" i="2" s="1"/>
  <c r="N2411" i="2"/>
  <c r="T2411" i="2" s="1"/>
  <c r="N1863" i="2"/>
  <c r="T1863" i="2" s="1"/>
  <c r="N2964" i="2"/>
  <c r="T2964" i="2" s="1"/>
  <c r="N1290" i="2"/>
  <c r="T1290" i="2" s="1"/>
  <c r="N1002" i="2"/>
  <c r="T1002" i="2" s="1"/>
  <c r="N2100" i="2"/>
  <c r="T2100" i="2" s="1"/>
  <c r="N1046" i="2"/>
  <c r="T1046" i="2" s="1"/>
  <c r="N1870" i="2"/>
  <c r="T1870" i="2" s="1"/>
  <c r="N639" i="2"/>
  <c r="T639" i="2" s="1"/>
  <c r="N76" i="2"/>
  <c r="T76" i="2" s="1"/>
  <c r="N95" i="2"/>
  <c r="T95" i="2" s="1"/>
  <c r="N1559" i="2"/>
  <c r="T1559" i="2" s="1"/>
  <c r="N3177" i="2"/>
  <c r="T3177" i="2" s="1"/>
  <c r="N837" i="2"/>
  <c r="T837" i="2" s="1"/>
  <c r="N615" i="2"/>
  <c r="T615" i="2" s="1"/>
  <c r="N918" i="2"/>
  <c r="T918" i="2" s="1"/>
  <c r="N727" i="2"/>
  <c r="T727" i="2" s="1"/>
  <c r="N2843" i="2"/>
  <c r="T2843" i="2" s="1"/>
  <c r="N3142" i="2"/>
  <c r="T3142" i="2" s="1"/>
  <c r="N113" i="2"/>
  <c r="T113" i="2" s="1"/>
  <c r="N1666" i="2"/>
  <c r="T1666" i="2" s="1"/>
  <c r="N2501" i="2"/>
  <c r="N2859" i="2"/>
  <c r="T2859" i="2" s="1"/>
  <c r="N2724" i="2"/>
  <c r="T2724" i="2" s="1"/>
  <c r="N2792" i="2"/>
  <c r="N2783" i="2"/>
  <c r="T2783" i="2" s="1"/>
  <c r="N1105" i="2"/>
  <c r="T1105" i="2" s="1"/>
  <c r="N1062" i="2"/>
  <c r="T1062" i="2" s="1"/>
  <c r="N2890" i="2"/>
  <c r="T2890" i="2" s="1"/>
  <c r="N913" i="2"/>
  <c r="T913" i="2" s="1"/>
  <c r="N1358" i="2"/>
  <c r="T1358" i="2" s="1"/>
  <c r="N1843" i="2"/>
  <c r="T1843" i="2" s="1"/>
  <c r="N574" i="2"/>
  <c r="T574" i="2" s="1"/>
  <c r="N1467" i="2"/>
  <c r="T1467" i="2" s="1"/>
  <c r="N700" i="2"/>
  <c r="T700" i="2" s="1"/>
  <c r="N592" i="2"/>
  <c r="T592" i="2" s="1"/>
  <c r="N2466" i="2"/>
  <c r="N1093" i="2"/>
  <c r="T1093" i="2" s="1"/>
  <c r="N1055" i="2"/>
  <c r="T1055" i="2" s="1"/>
  <c r="N667" i="2"/>
  <c r="T667" i="2" s="1"/>
  <c r="N290" i="2"/>
  <c r="T290" i="2" s="1"/>
  <c r="N638" i="2"/>
  <c r="T638" i="2" s="1"/>
  <c r="N2449" i="2"/>
  <c r="T2449" i="2" s="1"/>
  <c r="N314" i="2"/>
  <c r="T314" i="2" s="1"/>
  <c r="N1744" i="2"/>
  <c r="N2248" i="2"/>
  <c r="T2248" i="2" s="1"/>
  <c r="N2561" i="2"/>
  <c r="T2561" i="2" s="1"/>
  <c r="N2980" i="2"/>
  <c r="T2980" i="2" s="1"/>
  <c r="N551" i="2"/>
  <c r="T551" i="2" s="1"/>
  <c r="N1419" i="2"/>
  <c r="N2726" i="2"/>
  <c r="T2726" i="2" s="1"/>
  <c r="N1538" i="2"/>
  <c r="T1538" i="2" s="1"/>
  <c r="N1990" i="2"/>
  <c r="T1990" i="2" s="1"/>
  <c r="N1904" i="2"/>
  <c r="T1904" i="2" s="1"/>
  <c r="N1107" i="2"/>
  <c r="T1107" i="2" s="1"/>
  <c r="N2320" i="2"/>
  <c r="T2320" i="2" s="1"/>
  <c r="N1918" i="2"/>
  <c r="T1918" i="2" s="1"/>
  <c r="N336" i="2"/>
  <c r="T336" i="2" s="1"/>
  <c r="N599" i="2"/>
  <c r="T599" i="2" s="1"/>
  <c r="N2688" i="2"/>
  <c r="T2688" i="2" s="1"/>
  <c r="N3071" i="2"/>
  <c r="N2804" i="2"/>
  <c r="T2804" i="2" s="1"/>
  <c r="N2927" i="2"/>
  <c r="T2927" i="2" s="1"/>
  <c r="N3121" i="2"/>
  <c r="T3121" i="2" s="1"/>
  <c r="N1529" i="2"/>
  <c r="T1529" i="2" s="1"/>
  <c r="N691" i="2"/>
  <c r="T691" i="2" s="1"/>
  <c r="N1969" i="2"/>
  <c r="T1969" i="2" s="1"/>
  <c r="N604" i="2"/>
  <c r="T604" i="2" s="1"/>
  <c r="N2015" i="2"/>
  <c r="T2015" i="2" s="1"/>
  <c r="N2431" i="2"/>
  <c r="T2431" i="2" s="1"/>
  <c r="N2228" i="2"/>
  <c r="T2228" i="2" s="1"/>
  <c r="N640" i="2"/>
  <c r="T640" i="2" s="1"/>
  <c r="N1892" i="2"/>
  <c r="T1892" i="2" s="1"/>
  <c r="N2462" i="2"/>
  <c r="T2462" i="2" s="1"/>
  <c r="N3111" i="2"/>
  <c r="T3111" i="2" s="1"/>
  <c r="N630" i="2"/>
  <c r="T630" i="2" s="1"/>
  <c r="N210" i="2"/>
  <c r="T210" i="2" s="1"/>
  <c r="N2200" i="2"/>
  <c r="T2200" i="2" s="1"/>
  <c r="N896" i="2"/>
  <c r="T896" i="2" s="1"/>
  <c r="N766" i="2"/>
  <c r="T766" i="2" s="1"/>
  <c r="N428" i="2"/>
  <c r="T428" i="2" s="1"/>
  <c r="N1156" i="2"/>
  <c r="T1156" i="2" s="1"/>
  <c r="N1528" i="2"/>
  <c r="T1528" i="2" s="1"/>
  <c r="N1534" i="2"/>
  <c r="T1534" i="2" s="1"/>
  <c r="N2753" i="2"/>
  <c r="T2753" i="2" s="1"/>
  <c r="N235" i="2"/>
  <c r="T235" i="2" s="1"/>
  <c r="N1753" i="2"/>
  <c r="T1753" i="2" s="1"/>
  <c r="N1784" i="2"/>
  <c r="T1784" i="2" s="1"/>
  <c r="N1398" i="2"/>
  <c r="T1398" i="2" s="1"/>
  <c r="N249" i="2"/>
  <c r="T249" i="2" s="1"/>
  <c r="N1364" i="2"/>
  <c r="T1364" i="2" s="1"/>
  <c r="N1276" i="2"/>
  <c r="T1276" i="2" s="1"/>
  <c r="N1941" i="2"/>
  <c r="T1941" i="2" s="1"/>
  <c r="N595" i="2"/>
  <c r="T595" i="2" s="1"/>
  <c r="N1048" i="2"/>
  <c r="T1048" i="2" s="1"/>
  <c r="N2264" i="2"/>
  <c r="T2264" i="2" s="1"/>
  <c r="N2224" i="2"/>
  <c r="T2224" i="2" s="1"/>
  <c r="N207" i="2"/>
  <c r="T207" i="2" s="1"/>
  <c r="N3189" i="2"/>
  <c r="T3189" i="2" s="1"/>
  <c r="N1329" i="2"/>
  <c r="T1329" i="2" s="1"/>
  <c r="N2555" i="2"/>
  <c r="T2555" i="2" s="1"/>
  <c r="N1607" i="2"/>
  <c r="T1607" i="2" s="1"/>
  <c r="N1931" i="2"/>
  <c r="T1931" i="2" s="1"/>
  <c r="N930" i="2"/>
  <c r="T930" i="2" s="1"/>
  <c r="N396" i="2"/>
  <c r="T396" i="2" s="1"/>
  <c r="N2699" i="2"/>
  <c r="T2699" i="2" s="1"/>
  <c r="N928" i="2"/>
  <c r="T928" i="2" s="1"/>
  <c r="N2846" i="2"/>
  <c r="T2846" i="2" s="1"/>
  <c r="N991" i="2"/>
  <c r="T991" i="2" s="1"/>
  <c r="N1122" i="2"/>
  <c r="T1122" i="2" s="1"/>
  <c r="N2166" i="2"/>
  <c r="T2166" i="2" s="1"/>
  <c r="N583" i="2"/>
  <c r="T583" i="2" s="1"/>
  <c r="N3144" i="2"/>
  <c r="N2434" i="2"/>
  <c r="T2434" i="2" s="1"/>
  <c r="N2641" i="2"/>
  <c r="T2641" i="2" s="1"/>
  <c r="N292" i="2"/>
  <c r="T292" i="2" s="1"/>
  <c r="N1302" i="2"/>
  <c r="T1302" i="2" s="1"/>
  <c r="N1420" i="2"/>
  <c r="T1420" i="2" s="1"/>
  <c r="N2476" i="2"/>
  <c r="T2476" i="2" s="1"/>
  <c r="N1799" i="2"/>
  <c r="T1799" i="2" s="1"/>
  <c r="N1260" i="2"/>
  <c r="T1260" i="2" s="1"/>
  <c r="N237" i="2"/>
  <c r="T237" i="2" s="1"/>
  <c r="N2195" i="2"/>
  <c r="N1144" i="2"/>
  <c r="T1144" i="2" s="1"/>
  <c r="N2540" i="2"/>
  <c r="N1689" i="2"/>
  <c r="T1689" i="2" s="1"/>
  <c r="N90" i="2"/>
  <c r="T90" i="2" s="1"/>
  <c r="N2329" i="2"/>
  <c r="T2329" i="2" s="1"/>
  <c r="N862" i="2"/>
  <c r="T862" i="2" s="1"/>
  <c r="N2030" i="2"/>
  <c r="T2030" i="2" s="1"/>
  <c r="N2133" i="2"/>
  <c r="N2633" i="2"/>
  <c r="T2633" i="2" s="1"/>
  <c r="N49" i="2"/>
  <c r="T49" i="2" s="1"/>
  <c r="N2373" i="2"/>
  <c r="T2373" i="2" s="1"/>
  <c r="N1352" i="2"/>
  <c r="T1352" i="2" s="1"/>
  <c r="N1147" i="2"/>
  <c r="T1147" i="2" s="1"/>
  <c r="N344" i="2"/>
  <c r="N131" i="2"/>
  <c r="T131" i="2" s="1"/>
  <c r="N1219" i="2"/>
  <c r="T1219" i="2" s="1"/>
  <c r="N2556" i="2"/>
  <c r="N1179" i="2"/>
  <c r="T1179" i="2" s="1"/>
  <c r="N1932" i="2"/>
  <c r="T1932" i="2" s="1"/>
  <c r="N854" i="2"/>
  <c r="T854" i="2" s="1"/>
  <c r="N448" i="2"/>
  <c r="T448" i="2" s="1"/>
  <c r="N1515" i="2"/>
  <c r="T1515" i="2" s="1"/>
  <c r="N3088" i="2"/>
  <c r="N1069" i="2"/>
  <c r="N1886" i="2"/>
  <c r="T1886" i="2" s="1"/>
  <c r="N1015" i="2"/>
  <c r="T1015" i="2" s="1"/>
  <c r="N1777" i="2"/>
  <c r="T1777" i="2" s="1"/>
  <c r="N1151" i="2"/>
  <c r="T1151" i="2" s="1"/>
  <c r="N2960" i="2"/>
  <c r="T2960" i="2" s="1"/>
  <c r="N2208" i="2"/>
  <c r="T2208" i="2" s="1"/>
  <c r="N4" i="2"/>
  <c r="T4" i="2" s="1"/>
  <c r="N75" i="2"/>
  <c r="T75" i="2" s="1"/>
  <c r="N2265" i="2"/>
  <c r="T2265" i="2" s="1"/>
  <c r="N1775" i="2"/>
  <c r="T1775" i="2" s="1"/>
  <c r="N859" i="2"/>
  <c r="T859" i="2" s="1"/>
  <c r="N2680" i="2"/>
  <c r="T2680" i="2" s="1"/>
  <c r="N785" i="2"/>
  <c r="T785" i="2" s="1"/>
  <c r="N2661" i="2"/>
  <c r="T2661" i="2" s="1"/>
  <c r="N1174" i="2"/>
  <c r="T1174" i="2" s="1"/>
  <c r="N1710" i="2"/>
  <c r="T1710" i="2" s="1"/>
  <c r="N1145" i="2"/>
  <c r="T1145" i="2" s="1"/>
  <c r="N1770" i="2"/>
  <c r="T1770" i="2" s="1"/>
  <c r="N3188" i="2"/>
  <c r="N952" i="2"/>
  <c r="T952" i="2" s="1"/>
  <c r="N532" i="2"/>
  <c r="T532" i="2" s="1"/>
  <c r="N1563" i="2"/>
  <c r="T1563" i="2" s="1"/>
  <c r="N1246" i="2"/>
  <c r="N2668" i="2"/>
  <c r="T2668" i="2" s="1"/>
  <c r="N3065" i="2"/>
  <c r="T3065" i="2" s="1"/>
  <c r="N1602" i="2"/>
  <c r="T1602" i="2" s="1"/>
  <c r="N1915" i="2"/>
  <c r="T1915" i="2" s="1"/>
  <c r="N2491" i="2"/>
  <c r="T2491" i="2" s="1"/>
  <c r="N2110" i="2"/>
  <c r="T2110" i="2" s="1"/>
  <c r="N1452" i="2"/>
  <c r="T1452" i="2" s="1"/>
  <c r="N823" i="2"/>
  <c r="T823" i="2" s="1"/>
  <c r="N1896" i="2"/>
  <c r="T1896" i="2" s="1"/>
  <c r="N3027" i="2"/>
  <c r="T3027" i="2" s="1"/>
  <c r="N2613" i="2"/>
  <c r="N1031" i="2"/>
  <c r="T1031" i="2" s="1"/>
  <c r="N750" i="2"/>
  <c r="T750" i="2" s="1"/>
  <c r="N710" i="2"/>
  <c r="T710" i="2" s="1"/>
  <c r="N2910" i="2"/>
  <c r="T2910" i="2" s="1"/>
  <c r="N1523" i="2"/>
  <c r="T1523" i="2" s="1"/>
  <c r="N2217" i="2"/>
  <c r="T2217" i="2" s="1"/>
  <c r="N2525" i="2"/>
  <c r="T2525" i="2" s="1"/>
  <c r="N204" i="2"/>
  <c r="T204" i="2" s="1"/>
  <c r="N1512" i="2"/>
  <c r="T1512" i="2" s="1"/>
  <c r="N1727" i="2"/>
  <c r="T1727" i="2" s="1"/>
  <c r="N3171" i="2"/>
  <c r="T3171" i="2" s="1"/>
  <c r="N1668" i="2"/>
  <c r="T1668" i="2" s="1"/>
  <c r="N322" i="2"/>
  <c r="T322" i="2" s="1"/>
  <c r="N809" i="2"/>
  <c r="T809" i="2" s="1"/>
  <c r="N206" i="2"/>
  <c r="T206" i="2" s="1"/>
  <c r="N1508" i="2"/>
  <c r="T1508" i="2" s="1"/>
  <c r="N2708" i="2"/>
  <c r="T2708" i="2" s="1"/>
  <c r="N2892" i="2"/>
  <c r="T2892" i="2" s="1"/>
  <c r="N1308" i="2"/>
  <c r="T1308" i="2" s="1"/>
  <c r="N3034" i="2"/>
  <c r="N1236" i="2"/>
  <c r="T1236" i="2" s="1"/>
  <c r="N2071" i="2"/>
  <c r="T2071" i="2" s="1"/>
  <c r="N1551" i="2"/>
  <c r="T1551" i="2" s="1"/>
  <c r="N748" i="2"/>
  <c r="T748" i="2" s="1"/>
  <c r="N2610" i="2"/>
  <c r="T2610" i="2" s="1"/>
  <c r="N749" i="2"/>
  <c r="T749" i="2" s="1"/>
  <c r="N850" i="2"/>
  <c r="T850" i="2" s="1"/>
  <c r="N1708" i="2"/>
  <c r="T1708" i="2" s="1"/>
  <c r="N2495" i="2"/>
  <c r="T2495" i="2" s="1"/>
  <c r="N2530" i="2"/>
  <c r="T2530" i="2" s="1"/>
  <c r="N2003" i="2"/>
  <c r="T2003" i="2" s="1"/>
  <c r="N1251" i="2"/>
  <c r="T1251" i="2" s="1"/>
  <c r="N2706" i="2"/>
  <c r="T2706" i="2" s="1"/>
  <c r="N2603" i="2"/>
  <c r="T2603" i="2" s="1"/>
  <c r="N140" i="2"/>
  <c r="T140" i="2" s="1"/>
  <c r="N3172" i="2"/>
  <c r="N1997" i="2"/>
  <c r="N67" i="2"/>
  <c r="T67" i="2" s="1"/>
  <c r="N1422" i="2"/>
  <c r="T1422" i="2" s="1"/>
  <c r="N370" i="2"/>
  <c r="T370" i="2" s="1"/>
  <c r="N2737" i="2"/>
  <c r="T2737" i="2" s="1"/>
  <c r="N668" i="2"/>
  <c r="T668" i="2" s="1"/>
  <c r="N2312" i="2"/>
  <c r="T2312" i="2" s="1"/>
  <c r="N1099" i="2"/>
  <c r="T1099" i="2" s="1"/>
  <c r="N350" i="2"/>
  <c r="T350" i="2" s="1"/>
  <c r="N2056" i="2"/>
  <c r="T2056" i="2" s="1"/>
  <c r="N1411" i="2"/>
  <c r="T1411" i="2" s="1"/>
  <c r="N1354" i="2"/>
  <c r="T1354" i="2" s="1"/>
  <c r="N5" i="2"/>
  <c r="T5" i="2" s="1"/>
  <c r="N742" i="2"/>
  <c r="T742" i="2" s="1"/>
  <c r="N985" i="2"/>
  <c r="T985" i="2" s="1"/>
  <c r="N1082" i="2"/>
  <c r="T1082" i="2" s="1"/>
  <c r="N1370" i="2"/>
  <c r="N1453" i="2"/>
  <c r="N1677" i="2"/>
  <c r="T1677" i="2" s="1"/>
  <c r="N1068" i="2"/>
  <c r="N2232" i="2"/>
  <c r="T2232" i="2" s="1"/>
  <c r="N1494" i="2"/>
  <c r="T1494" i="2" s="1"/>
  <c r="N2057" i="2"/>
  <c r="T2057" i="2" s="1"/>
  <c r="N2639" i="2"/>
  <c r="T2639" i="2" s="1"/>
  <c r="N3089" i="2"/>
  <c r="T3089" i="2" s="1"/>
  <c r="N7" i="2"/>
  <c r="T7" i="2" s="1"/>
  <c r="N1823" i="2"/>
  <c r="T1823" i="2" s="1"/>
  <c r="N1805" i="2"/>
  <c r="N1476" i="2"/>
  <c r="T1476" i="2" s="1"/>
  <c r="N2062" i="2"/>
  <c r="T2062" i="2" s="1"/>
  <c r="N1891" i="2"/>
  <c r="T1891" i="2" s="1"/>
  <c r="N2043" i="2"/>
  <c r="T2043" i="2" s="1"/>
  <c r="N2072" i="2"/>
  <c r="T2072" i="2" s="1"/>
  <c r="N315" i="2"/>
  <c r="T315" i="2" s="1"/>
  <c r="N1443" i="2"/>
  <c r="T1443" i="2" s="1"/>
  <c r="N229" i="2"/>
  <c r="T229" i="2" s="1"/>
  <c r="N309" i="2"/>
  <c r="T309" i="2" s="1"/>
  <c r="N2638" i="2"/>
  <c r="T2638" i="2" s="1"/>
  <c r="N2120" i="2"/>
  <c r="T2120" i="2" s="1"/>
  <c r="N1227" i="2"/>
  <c r="T1227" i="2" s="1"/>
  <c r="N1985" i="2"/>
  <c r="T1985" i="2" s="1"/>
  <c r="N2872" i="2"/>
  <c r="T2872" i="2" s="1"/>
  <c r="N1336" i="2"/>
  <c r="T1336" i="2" s="1"/>
  <c r="N1177" i="2"/>
  <c r="T1177" i="2" s="1"/>
  <c r="N1363" i="2"/>
  <c r="T1363" i="2" s="1"/>
  <c r="N2068" i="2"/>
  <c r="T2068" i="2" s="1"/>
  <c r="N1263" i="2"/>
  <c r="T1263" i="2" s="1"/>
  <c r="N1489" i="2"/>
  <c r="T1489" i="2" s="1"/>
  <c r="N92" i="2"/>
  <c r="T92" i="2" s="1"/>
  <c r="N2157" i="2"/>
  <c r="T2157" i="2" s="1"/>
  <c r="N1962" i="2"/>
  <c r="T1962" i="2" s="1"/>
  <c r="N1511" i="2"/>
  <c r="T1511" i="2" s="1"/>
  <c r="N887" i="2"/>
  <c r="T887" i="2" s="1"/>
  <c r="N1314" i="2"/>
  <c r="T1314" i="2" s="1"/>
  <c r="N1338" i="2"/>
  <c r="T1338" i="2" s="1"/>
  <c r="N2104" i="2"/>
  <c r="T2104" i="2" s="1"/>
  <c r="N2831" i="2"/>
  <c r="N2152" i="2"/>
  <c r="T2152" i="2" s="1"/>
  <c r="N1003" i="2"/>
  <c r="N1849" i="2"/>
  <c r="T1849" i="2" s="1"/>
  <c r="N231" i="2"/>
  <c r="T231" i="2" s="1"/>
  <c r="N719" i="2"/>
  <c r="T719" i="2" s="1"/>
  <c r="N2038" i="2"/>
  <c r="T2038" i="2" s="1"/>
  <c r="N2381" i="2"/>
  <c r="T2381" i="2" s="1"/>
  <c r="N1175" i="2"/>
  <c r="T1175" i="2" s="1"/>
  <c r="N603" i="2"/>
  <c r="T603" i="2" s="1"/>
  <c r="N738" i="2"/>
  <c r="T738" i="2" s="1"/>
  <c r="N2000" i="2"/>
  <c r="T2000" i="2" s="1"/>
  <c r="N3146" i="2"/>
  <c r="N2979" i="2"/>
  <c r="T2979" i="2" s="1"/>
  <c r="N3180" i="2"/>
  <c r="T3180" i="2" s="1"/>
  <c r="N78" i="2"/>
  <c r="T78" i="2" s="1"/>
  <c r="N777" i="2"/>
  <c r="N1321" i="2"/>
  <c r="T1321" i="2" s="1"/>
  <c r="N1235" i="2"/>
  <c r="N716" i="2"/>
  <c r="T716" i="2" s="1"/>
  <c r="N2673" i="2"/>
  <c r="T2673" i="2" s="1"/>
  <c r="N1746" i="2"/>
  <c r="T1746" i="2" s="1"/>
  <c r="N464" i="2"/>
  <c r="T464" i="2" s="1"/>
  <c r="N2938" i="2"/>
  <c r="T2938" i="2" s="1"/>
  <c r="N2109" i="2"/>
  <c r="T2109" i="2" s="1"/>
  <c r="N433" i="2"/>
  <c r="T433" i="2" s="1"/>
  <c r="N1542" i="2"/>
  <c r="T1542" i="2" s="1"/>
  <c r="N259" i="2"/>
  <c r="T259" i="2" s="1"/>
  <c r="N1906" i="2"/>
  <c r="T1906" i="2" s="1"/>
  <c r="N519" i="2"/>
  <c r="T519" i="2" s="1"/>
  <c r="N494" i="2"/>
  <c r="T494" i="2" s="1"/>
  <c r="N2333" i="2"/>
  <c r="T2333" i="2" s="1"/>
  <c r="N144" i="2"/>
  <c r="T144" i="2" s="1"/>
  <c r="N1561" i="2"/>
  <c r="T1561" i="2" s="1"/>
  <c r="N2125" i="2"/>
  <c r="T2125" i="2" s="1"/>
  <c r="N1839" i="2"/>
  <c r="T1839" i="2" s="1"/>
  <c r="N1973" i="2"/>
  <c r="T1973" i="2" s="1"/>
  <c r="N1641" i="2"/>
  <c r="T1641" i="2" s="1"/>
  <c r="N2941" i="2"/>
  <c r="T2941" i="2" s="1"/>
  <c r="N3162" i="2"/>
  <c r="T3162" i="2" s="1"/>
  <c r="N1549" i="2"/>
  <c r="N1584" i="2"/>
  <c r="T1584" i="2" s="1"/>
  <c r="N1630" i="2"/>
  <c r="T1630" i="2" s="1"/>
  <c r="N2118" i="2"/>
  <c r="N2738" i="2"/>
  <c r="T2738" i="2" s="1"/>
  <c r="N724" i="2"/>
  <c r="T724" i="2" s="1"/>
  <c r="N709" i="2"/>
  <c r="T709" i="2" s="1"/>
  <c r="N1795" i="2"/>
  <c r="T1795" i="2" s="1"/>
  <c r="N1565" i="2"/>
  <c r="T1565" i="2" s="1"/>
  <c r="N2126" i="2"/>
  <c r="T2126" i="2" s="1"/>
  <c r="N1135" i="2"/>
  <c r="T1135" i="2" s="1"/>
  <c r="N1713" i="2"/>
  <c r="T1713" i="2" s="1"/>
  <c r="N34" i="2"/>
  <c r="T34" i="2" s="1"/>
  <c r="N2909" i="2"/>
  <c r="T2909" i="2" s="1"/>
  <c r="N1732" i="2"/>
  <c r="T1732" i="2" s="1"/>
  <c r="N3" i="2"/>
  <c r="T3" i="2" s="1"/>
  <c r="N296" i="2"/>
  <c r="T296" i="2" s="1"/>
  <c r="N2866" i="2"/>
  <c r="T2866" i="2" s="1"/>
  <c r="N1141" i="2"/>
  <c r="T1141" i="2" s="1"/>
  <c r="N915" i="2"/>
  <c r="T915" i="2" s="1"/>
  <c r="N2121" i="2"/>
  <c r="T2121" i="2" s="1"/>
  <c r="N2044" i="2"/>
  <c r="T2044" i="2" s="1"/>
  <c r="N1991" i="2"/>
  <c r="T1991" i="2" s="1"/>
  <c r="N1783" i="2"/>
  <c r="T1783" i="2" s="1"/>
  <c r="N1811" i="2"/>
  <c r="T1811" i="2" s="1"/>
  <c r="N484" i="2"/>
  <c r="T484" i="2" s="1"/>
  <c r="N1226" i="2"/>
  <c r="T1226" i="2" s="1"/>
  <c r="N1965" i="2"/>
  <c r="N2520" i="2"/>
  <c r="T2520" i="2" s="1"/>
  <c r="N739" i="2"/>
  <c r="T739" i="2" s="1"/>
  <c r="N2400" i="2"/>
  <c r="T2400" i="2" s="1"/>
  <c r="N1757" i="2"/>
  <c r="T1757" i="2" s="1"/>
  <c r="N1984" i="2"/>
  <c r="T1984" i="2" s="1"/>
  <c r="N3165" i="2"/>
  <c r="N1400" i="2"/>
  <c r="T1400" i="2" s="1"/>
  <c r="N3006" i="2"/>
  <c r="T3006" i="2" s="1"/>
  <c r="N1233" i="2"/>
  <c r="T1233" i="2" s="1"/>
  <c r="N1879" i="2"/>
  <c r="T1879" i="2" s="1"/>
  <c r="N1927" i="2"/>
  <c r="T1927" i="2" s="1"/>
  <c r="N2492" i="2"/>
  <c r="T2492" i="2" s="1"/>
  <c r="N2817" i="2"/>
  <c r="T2817" i="2" s="1"/>
  <c r="N1776" i="2"/>
  <c r="T1776" i="2" s="1"/>
  <c r="N1900" i="2"/>
  <c r="T1900" i="2" s="1"/>
  <c r="N1964" i="2"/>
  <c r="N2262" i="2"/>
  <c r="T2262" i="2" s="1"/>
  <c r="N2734" i="2"/>
  <c r="T2734" i="2" s="1"/>
  <c r="N1831" i="2"/>
  <c r="T1831" i="2" s="1"/>
  <c r="N1275" i="2"/>
  <c r="T1275" i="2" s="1"/>
  <c r="N1399" i="2"/>
  <c r="T1399" i="2" s="1"/>
  <c r="N2140" i="2"/>
  <c r="T2140" i="2" s="1"/>
  <c r="N497" i="2"/>
  <c r="T497" i="2" s="1"/>
  <c r="N838" i="2"/>
  <c r="T838" i="2" s="1"/>
  <c r="N2500" i="2"/>
  <c r="T2500" i="2" s="1"/>
  <c r="N1667" i="2"/>
  <c r="T1667" i="2" s="1"/>
  <c r="N3182" i="2"/>
  <c r="T3182" i="2" s="1"/>
  <c r="N1998" i="2"/>
  <c r="N1976" i="2"/>
  <c r="T1976" i="2" s="1"/>
  <c r="F4" i="2"/>
  <c r="F2" i="2"/>
  <c r="F5" i="2"/>
  <c r="F3" i="2"/>
  <c r="F6" i="2"/>
  <c r="F9" i="2"/>
  <c r="F8" i="2"/>
  <c r="F10" i="2"/>
  <c r="F7" i="2"/>
  <c r="F12" i="2"/>
  <c r="F14" i="2"/>
  <c r="F13" i="2"/>
  <c r="F11" i="2"/>
  <c r="F17" i="2"/>
  <c r="F18" i="2"/>
  <c r="F19" i="2"/>
  <c r="F16" i="2"/>
  <c r="F15" i="2"/>
  <c r="F20" i="2"/>
  <c r="F22" i="2"/>
  <c r="F21" i="2"/>
  <c r="F26" i="2"/>
  <c r="F24" i="2"/>
  <c r="F27" i="2"/>
  <c r="F23" i="2"/>
  <c r="F25" i="2"/>
  <c r="F31" i="2"/>
  <c r="F28" i="2"/>
  <c r="F29" i="2"/>
  <c r="F32" i="2"/>
  <c r="F30" i="2"/>
  <c r="F33" i="2"/>
  <c r="F35" i="2"/>
  <c r="F37" i="2"/>
  <c r="F38" i="2"/>
  <c r="F34" i="2"/>
  <c r="F36" i="2"/>
  <c r="F39" i="2"/>
  <c r="F41" i="2"/>
  <c r="F42" i="2"/>
  <c r="F40" i="2"/>
  <c r="F45" i="2"/>
  <c r="F47" i="2"/>
  <c r="F48" i="2"/>
  <c r="F43" i="2"/>
  <c r="F46" i="2"/>
  <c r="F44" i="2"/>
  <c r="F49" i="2"/>
  <c r="F50" i="2"/>
  <c r="F51" i="2"/>
  <c r="F53" i="2"/>
  <c r="F52" i="2"/>
  <c r="F55" i="2"/>
  <c r="F54" i="2"/>
  <c r="F56" i="2"/>
  <c r="F58" i="2"/>
  <c r="F57" i="2"/>
  <c r="F59" i="2"/>
  <c r="F60" i="2"/>
  <c r="F61" i="2"/>
  <c r="F66" i="2"/>
  <c r="F63" i="2"/>
  <c r="F64" i="2"/>
  <c r="F65" i="2"/>
  <c r="F62" i="2"/>
  <c r="F69" i="2"/>
  <c r="F70" i="2"/>
  <c r="F68" i="2"/>
  <c r="F67" i="2"/>
  <c r="F71" i="2"/>
  <c r="F73" i="2"/>
  <c r="F72" i="2"/>
  <c r="F74" i="2"/>
  <c r="F76" i="2"/>
  <c r="F75" i="2"/>
  <c r="F78" i="2"/>
  <c r="F77" i="2"/>
  <c r="F80" i="2"/>
  <c r="F79" i="2"/>
  <c r="F82" i="2"/>
  <c r="F81" i="2"/>
  <c r="F84" i="2"/>
  <c r="F85" i="2"/>
  <c r="F86" i="2"/>
  <c r="F83" i="2"/>
  <c r="F89" i="2"/>
  <c r="F87" i="2"/>
  <c r="F88" i="2"/>
  <c r="F91" i="2"/>
  <c r="F90" i="2"/>
  <c r="F92" i="2"/>
  <c r="F93" i="2"/>
  <c r="F94" i="2"/>
  <c r="F95" i="2"/>
  <c r="F97" i="2"/>
  <c r="F96" i="2"/>
  <c r="F98" i="2"/>
  <c r="F101" i="2"/>
  <c r="F99" i="2"/>
  <c r="F100" i="2"/>
  <c r="F102" i="2"/>
  <c r="F103" i="2"/>
  <c r="F105" i="2"/>
  <c r="F104" i="2"/>
  <c r="F106" i="2"/>
  <c r="F107" i="2"/>
  <c r="F109" i="2"/>
  <c r="F110" i="2"/>
  <c r="F108" i="2"/>
  <c r="F115" i="2"/>
  <c r="F114" i="2"/>
  <c r="F111" i="2"/>
  <c r="F113" i="2"/>
  <c r="F112" i="2"/>
  <c r="F119" i="2"/>
  <c r="F118" i="2"/>
  <c r="F116" i="2"/>
  <c r="F120" i="2"/>
  <c r="F117" i="2"/>
  <c r="F124" i="2"/>
  <c r="F122" i="2"/>
  <c r="F121" i="2"/>
  <c r="F123" i="2"/>
  <c r="F126" i="2"/>
  <c r="F127" i="2"/>
  <c r="F125" i="2"/>
  <c r="F128" i="2"/>
  <c r="F129" i="2"/>
  <c r="F130" i="2"/>
  <c r="F131" i="2"/>
  <c r="F132" i="2"/>
  <c r="F133" i="2"/>
  <c r="F137" i="2"/>
  <c r="F135" i="2"/>
  <c r="F136" i="2"/>
  <c r="F134" i="2"/>
  <c r="F139" i="2"/>
  <c r="F138" i="2"/>
  <c r="F140" i="2"/>
  <c r="F142" i="2"/>
  <c r="F141" i="2"/>
  <c r="F143" i="2"/>
  <c r="F144" i="2"/>
  <c r="F145" i="2"/>
  <c r="F146" i="2"/>
  <c r="F150" i="2"/>
  <c r="F148" i="2"/>
  <c r="F149" i="2"/>
  <c r="F147" i="2"/>
  <c r="F151" i="2"/>
  <c r="F152" i="2"/>
  <c r="F153" i="2"/>
  <c r="F155" i="2"/>
  <c r="F154" i="2"/>
  <c r="F156" i="2"/>
  <c r="F158" i="2"/>
  <c r="F157" i="2"/>
  <c r="F162" i="2"/>
  <c r="F159" i="2"/>
  <c r="F160" i="2"/>
  <c r="F161" i="2"/>
  <c r="F163" i="2"/>
  <c r="F164" i="2"/>
  <c r="F165" i="2"/>
  <c r="F169" i="2"/>
  <c r="F172" i="2"/>
  <c r="F173" i="2"/>
  <c r="F170" i="2"/>
  <c r="F168" i="2"/>
  <c r="F166" i="2"/>
  <c r="F167" i="2"/>
  <c r="F171" i="2"/>
  <c r="F177" i="2"/>
  <c r="F175" i="2"/>
  <c r="F174" i="2"/>
  <c r="F176" i="2"/>
  <c r="F179" i="2"/>
  <c r="F180" i="2"/>
  <c r="F178" i="2"/>
  <c r="F185" i="2"/>
  <c r="F184" i="2"/>
  <c r="F181" i="2"/>
  <c r="F182" i="2"/>
  <c r="F183" i="2"/>
  <c r="F186" i="2"/>
  <c r="F191" i="2"/>
  <c r="F189" i="2"/>
  <c r="F187" i="2"/>
  <c r="F188" i="2"/>
  <c r="F192" i="2"/>
  <c r="F190" i="2"/>
  <c r="F193" i="2"/>
  <c r="F194" i="2"/>
  <c r="F202" i="2"/>
  <c r="F199" i="2"/>
  <c r="F195" i="2"/>
  <c r="F200" i="2"/>
  <c r="F197" i="2"/>
  <c r="F198" i="2"/>
  <c r="F201" i="2"/>
  <c r="F196" i="2"/>
  <c r="F203" i="2"/>
  <c r="F206" i="2"/>
  <c r="F204" i="2"/>
  <c r="F205" i="2"/>
  <c r="F211" i="2"/>
  <c r="F208" i="2"/>
  <c r="F207" i="2"/>
  <c r="F210" i="2"/>
  <c r="F209" i="2"/>
  <c r="F214" i="2"/>
  <c r="F213" i="2"/>
  <c r="F212" i="2"/>
  <c r="F216" i="2"/>
  <c r="F217" i="2"/>
  <c r="F215" i="2"/>
  <c r="F222" i="2"/>
  <c r="F219" i="2"/>
  <c r="F223" i="2"/>
  <c r="F220" i="2"/>
  <c r="F221" i="2"/>
  <c r="F218" i="2"/>
  <c r="F227" i="2"/>
  <c r="F226" i="2"/>
  <c r="F225" i="2"/>
  <c r="F224" i="2"/>
  <c r="F228" i="2"/>
  <c r="F229" i="2"/>
  <c r="F230" i="2"/>
  <c r="F235" i="2"/>
  <c r="F234" i="2"/>
  <c r="F232" i="2"/>
  <c r="F236" i="2"/>
  <c r="F233" i="2"/>
  <c r="F231" i="2"/>
  <c r="F237" i="2"/>
  <c r="F238" i="2"/>
  <c r="F240" i="2"/>
  <c r="F239" i="2"/>
  <c r="F241" i="2"/>
  <c r="F244" i="2"/>
  <c r="F243" i="2"/>
  <c r="F246" i="2"/>
  <c r="F242" i="2"/>
  <c r="F245" i="2"/>
  <c r="F247" i="2"/>
  <c r="F248" i="2"/>
  <c r="F250" i="2"/>
  <c r="F251" i="2"/>
  <c r="F249" i="2"/>
  <c r="F253" i="2"/>
  <c r="F252" i="2"/>
  <c r="F254" i="2"/>
  <c r="F257" i="2"/>
  <c r="F255" i="2"/>
  <c r="F256" i="2"/>
  <c r="F259" i="2"/>
  <c r="F258" i="2"/>
  <c r="F260" i="2"/>
  <c r="F261" i="2"/>
  <c r="F262" i="2"/>
  <c r="F264" i="2"/>
  <c r="F263" i="2"/>
  <c r="F266" i="2"/>
  <c r="F265" i="2"/>
  <c r="F267" i="2"/>
  <c r="F269" i="2"/>
  <c r="F268" i="2"/>
  <c r="F270" i="2"/>
  <c r="F272" i="2"/>
  <c r="F271" i="2"/>
  <c r="F274" i="2"/>
  <c r="F276" i="2"/>
  <c r="F273" i="2"/>
  <c r="F275" i="2"/>
  <c r="F277" i="2"/>
  <c r="F278" i="2"/>
  <c r="F279" i="2"/>
  <c r="F280" i="2"/>
  <c r="F281" i="2"/>
  <c r="F282" i="2"/>
  <c r="F284" i="2"/>
  <c r="F285" i="2"/>
  <c r="F283" i="2"/>
  <c r="F287" i="2"/>
  <c r="F286" i="2"/>
  <c r="F288" i="2"/>
  <c r="F293" i="2"/>
  <c r="F291" i="2"/>
  <c r="F290" i="2"/>
  <c r="F294" i="2"/>
  <c r="F289" i="2"/>
  <c r="F292" i="2"/>
  <c r="F295" i="2"/>
  <c r="F297" i="2"/>
  <c r="F296" i="2"/>
  <c r="F299" i="2"/>
  <c r="F300" i="2"/>
  <c r="F298" i="2"/>
  <c r="F301" i="2"/>
  <c r="F304" i="2"/>
  <c r="F302" i="2"/>
  <c r="F303" i="2"/>
  <c r="F306" i="2"/>
  <c r="F307" i="2"/>
  <c r="F305" i="2"/>
  <c r="F308" i="2"/>
  <c r="F310" i="2"/>
  <c r="F311" i="2"/>
  <c r="F312" i="2"/>
  <c r="F309" i="2"/>
  <c r="F313" i="2"/>
  <c r="F314" i="2"/>
  <c r="F317" i="2"/>
  <c r="F315" i="2"/>
  <c r="F316" i="2"/>
  <c r="F321" i="2"/>
  <c r="F319" i="2"/>
  <c r="F318" i="2"/>
  <c r="F320" i="2"/>
  <c r="F326" i="2"/>
  <c r="F322" i="2"/>
  <c r="F327" i="2"/>
  <c r="F325" i="2"/>
  <c r="F324" i="2"/>
  <c r="F323" i="2"/>
  <c r="F329" i="2"/>
  <c r="F331" i="2"/>
  <c r="F330" i="2"/>
  <c r="F332" i="2"/>
  <c r="F334" i="2"/>
  <c r="F335" i="2"/>
  <c r="F333" i="2"/>
  <c r="F328" i="2"/>
  <c r="F338" i="2"/>
  <c r="F336" i="2"/>
  <c r="F337" i="2"/>
  <c r="F341" i="2"/>
  <c r="F340" i="2"/>
  <c r="F339" i="2"/>
  <c r="F349" i="2"/>
  <c r="F345" i="2"/>
  <c r="F342" i="2"/>
  <c r="F348" i="2"/>
  <c r="F346" i="2"/>
  <c r="F347" i="2"/>
  <c r="F344" i="2"/>
  <c r="F343" i="2"/>
  <c r="F352" i="2"/>
  <c r="F353" i="2"/>
  <c r="F351" i="2"/>
  <c r="F350" i="2"/>
  <c r="F354" i="2"/>
  <c r="F356" i="2"/>
  <c r="F355" i="2"/>
  <c r="F360" i="2"/>
  <c r="F359" i="2"/>
  <c r="F358" i="2"/>
  <c r="F362" i="2"/>
  <c r="F361" i="2"/>
  <c r="F357" i="2"/>
  <c r="F364" i="2"/>
  <c r="F365" i="2"/>
  <c r="F363" i="2"/>
  <c r="F369" i="2"/>
  <c r="F368" i="2"/>
  <c r="F366" i="2"/>
  <c r="F370" i="2"/>
  <c r="F371" i="2"/>
  <c r="F367" i="2"/>
  <c r="F374" i="2"/>
  <c r="F373" i="2"/>
  <c r="F372" i="2"/>
  <c r="F375" i="2"/>
  <c r="F376" i="2"/>
  <c r="F379" i="2"/>
  <c r="F378" i="2"/>
  <c r="F381" i="2"/>
  <c r="F377" i="2"/>
  <c r="F380" i="2"/>
  <c r="F382" i="2"/>
  <c r="F383" i="2"/>
  <c r="F384" i="2"/>
  <c r="F385" i="2"/>
  <c r="F386" i="2"/>
  <c r="F387" i="2"/>
  <c r="F390" i="2"/>
  <c r="F389" i="2"/>
  <c r="F388" i="2"/>
  <c r="F393" i="2"/>
  <c r="F392" i="2"/>
  <c r="F391" i="2"/>
  <c r="F395" i="2"/>
  <c r="F394" i="2"/>
  <c r="F397" i="2"/>
  <c r="F396" i="2"/>
  <c r="F398" i="2"/>
  <c r="F399" i="2"/>
  <c r="F400" i="2"/>
  <c r="F401" i="2"/>
  <c r="F402" i="2"/>
  <c r="F403" i="2"/>
  <c r="F404" i="2"/>
  <c r="F405" i="2"/>
  <c r="F408" i="2"/>
  <c r="F407" i="2"/>
  <c r="F406" i="2"/>
  <c r="F409" i="2"/>
  <c r="F410" i="2"/>
  <c r="F412" i="2"/>
  <c r="F411" i="2"/>
  <c r="F416" i="2"/>
  <c r="F415" i="2"/>
  <c r="F414" i="2"/>
  <c r="F413" i="2"/>
  <c r="F418" i="2"/>
  <c r="F417" i="2"/>
  <c r="F419" i="2"/>
  <c r="F422" i="2"/>
  <c r="F420" i="2"/>
  <c r="F421" i="2"/>
  <c r="F424" i="2"/>
  <c r="F423" i="2"/>
  <c r="F425" i="2"/>
  <c r="F428" i="2"/>
  <c r="F427" i="2"/>
  <c r="F429" i="2"/>
  <c r="F426" i="2"/>
  <c r="F430" i="2"/>
  <c r="F431" i="2"/>
  <c r="F432" i="2"/>
  <c r="F433" i="2"/>
  <c r="F434" i="2"/>
  <c r="F435" i="2"/>
  <c r="F437" i="2"/>
  <c r="F436" i="2"/>
  <c r="F439" i="2"/>
  <c r="F438" i="2"/>
  <c r="F441" i="2"/>
  <c r="F440" i="2"/>
  <c r="F442" i="2"/>
  <c r="F443" i="2"/>
  <c r="F446" i="2"/>
  <c r="F444" i="2"/>
  <c r="F445" i="2"/>
  <c r="F451" i="2"/>
  <c r="F450" i="2"/>
  <c r="F448" i="2"/>
  <c r="F452" i="2"/>
  <c r="F449" i="2"/>
  <c r="F447" i="2"/>
  <c r="F453" i="2"/>
  <c r="F454" i="2"/>
  <c r="F455" i="2"/>
  <c r="F458" i="2"/>
  <c r="F456" i="2"/>
  <c r="F459" i="2"/>
  <c r="F457" i="2"/>
  <c r="F461" i="2"/>
  <c r="F460" i="2"/>
  <c r="F463" i="2"/>
  <c r="F462" i="2"/>
  <c r="F465" i="2"/>
  <c r="F464" i="2"/>
  <c r="F467" i="2"/>
  <c r="F466" i="2"/>
  <c r="F468" i="2"/>
  <c r="F471" i="2"/>
  <c r="F469" i="2"/>
  <c r="F472" i="2"/>
  <c r="F473" i="2"/>
  <c r="F470" i="2"/>
  <c r="F477" i="2"/>
  <c r="F475" i="2"/>
  <c r="F480" i="2"/>
  <c r="F481" i="2"/>
  <c r="F478" i="2"/>
  <c r="F476" i="2"/>
  <c r="F479" i="2"/>
  <c r="F474" i="2"/>
  <c r="F486" i="2"/>
  <c r="F484" i="2"/>
  <c r="F483" i="2"/>
  <c r="F485" i="2"/>
  <c r="F482" i="2"/>
  <c r="F489" i="2"/>
  <c r="F492" i="2"/>
  <c r="F491" i="2"/>
  <c r="F487" i="2"/>
  <c r="F488" i="2"/>
  <c r="F490" i="2"/>
  <c r="F496" i="2"/>
  <c r="F494" i="2"/>
  <c r="F495" i="2"/>
  <c r="F493" i="2"/>
  <c r="F500" i="2"/>
  <c r="F498" i="2"/>
  <c r="F497" i="2"/>
  <c r="F499" i="2"/>
  <c r="F502" i="2"/>
  <c r="F503" i="2"/>
  <c r="F501" i="2"/>
  <c r="F504" i="2"/>
  <c r="F505" i="2"/>
  <c r="F507" i="2"/>
  <c r="F506" i="2"/>
  <c r="F508" i="2"/>
  <c r="F509" i="2"/>
  <c r="F510" i="2"/>
  <c r="F511" i="2"/>
  <c r="F512" i="2"/>
  <c r="F516" i="2"/>
  <c r="F514" i="2"/>
  <c r="F515" i="2"/>
  <c r="F513" i="2"/>
  <c r="F517" i="2"/>
  <c r="F518" i="2"/>
  <c r="F520" i="2"/>
  <c r="F519" i="2"/>
  <c r="F522" i="2"/>
  <c r="F521" i="2"/>
  <c r="F523" i="2"/>
  <c r="F530" i="2"/>
  <c r="F525" i="2"/>
  <c r="F526" i="2"/>
  <c r="F524" i="2"/>
  <c r="F529" i="2"/>
  <c r="F527" i="2"/>
  <c r="F528" i="2"/>
  <c r="F531" i="2"/>
  <c r="F532" i="2"/>
  <c r="F533" i="2"/>
  <c r="F534" i="2"/>
  <c r="F538" i="2"/>
  <c r="F539" i="2"/>
  <c r="F535" i="2"/>
  <c r="F537" i="2"/>
  <c r="F536" i="2"/>
  <c r="F540" i="2"/>
  <c r="F542" i="2"/>
  <c r="F541" i="2"/>
  <c r="F544" i="2"/>
  <c r="F543" i="2"/>
  <c r="F545" i="2"/>
  <c r="F549" i="2"/>
  <c r="F547" i="2"/>
  <c r="F548" i="2"/>
  <c r="F546" i="2"/>
  <c r="F550" i="2"/>
  <c r="F553" i="2"/>
  <c r="F554" i="2"/>
  <c r="F555" i="2"/>
  <c r="F552" i="2"/>
  <c r="F551" i="2"/>
  <c r="F556" i="2"/>
  <c r="F557" i="2"/>
  <c r="F560" i="2"/>
  <c r="F559" i="2"/>
  <c r="F558" i="2"/>
  <c r="F562" i="2"/>
  <c r="F561" i="2"/>
  <c r="F563" i="2"/>
  <c r="F566" i="2"/>
  <c r="F565" i="2"/>
  <c r="F564" i="2"/>
  <c r="F567" i="2"/>
  <c r="F568" i="2"/>
  <c r="F569" i="2"/>
  <c r="F571" i="2"/>
  <c r="F570" i="2"/>
  <c r="F574" i="2"/>
  <c r="F575" i="2"/>
  <c r="F576" i="2"/>
  <c r="F573" i="2"/>
  <c r="F572" i="2"/>
  <c r="F578" i="2"/>
  <c r="F577" i="2"/>
  <c r="F579" i="2"/>
  <c r="F582" i="2"/>
  <c r="F581" i="2"/>
  <c r="F580" i="2"/>
  <c r="F584" i="2"/>
  <c r="F583" i="2"/>
  <c r="F590" i="2"/>
  <c r="F588" i="2"/>
  <c r="F589" i="2"/>
  <c r="F586" i="2"/>
  <c r="F585" i="2"/>
  <c r="F587" i="2"/>
  <c r="F591" i="2"/>
  <c r="F592" i="2"/>
  <c r="F594" i="2"/>
  <c r="F593" i="2"/>
  <c r="F595" i="2"/>
  <c r="F597" i="2"/>
  <c r="F596" i="2"/>
  <c r="F598" i="2"/>
  <c r="F600" i="2"/>
  <c r="F599" i="2"/>
  <c r="F601" i="2"/>
  <c r="F602" i="2"/>
  <c r="F604" i="2"/>
  <c r="F603" i="2"/>
  <c r="F605" i="2"/>
  <c r="F607" i="2"/>
  <c r="F606" i="2"/>
  <c r="F610" i="2"/>
  <c r="F612" i="2"/>
  <c r="F611" i="2"/>
  <c r="F609" i="2"/>
  <c r="F608" i="2"/>
  <c r="F613" i="2"/>
  <c r="F616" i="2"/>
  <c r="F615" i="2"/>
  <c r="F614" i="2"/>
  <c r="F619" i="2"/>
  <c r="F618" i="2"/>
  <c r="F620" i="2"/>
  <c r="F617" i="2"/>
  <c r="F621" i="2"/>
  <c r="F624" i="2"/>
  <c r="F623" i="2"/>
  <c r="F622" i="2"/>
  <c r="F625" i="2"/>
  <c r="F626" i="2"/>
  <c r="F628" i="2"/>
  <c r="F627" i="2"/>
  <c r="F629" i="2"/>
  <c r="F633" i="2"/>
  <c r="F634" i="2"/>
  <c r="F632" i="2"/>
  <c r="F630" i="2"/>
  <c r="F631" i="2"/>
  <c r="F636" i="2"/>
  <c r="F635" i="2"/>
  <c r="F638" i="2"/>
  <c r="F637" i="2"/>
  <c r="F640" i="2"/>
  <c r="F641" i="2"/>
  <c r="F642" i="2"/>
  <c r="F639" i="2"/>
  <c r="F647" i="2"/>
  <c r="F643" i="2"/>
  <c r="F646" i="2"/>
  <c r="F644" i="2"/>
  <c r="F645" i="2"/>
  <c r="F649" i="2"/>
  <c r="F653" i="2"/>
  <c r="F648" i="2"/>
  <c r="F651" i="2"/>
  <c r="F650" i="2"/>
  <c r="F652" i="2"/>
  <c r="F654" i="2"/>
  <c r="F656" i="2"/>
  <c r="F655" i="2"/>
  <c r="F658" i="2"/>
  <c r="F657" i="2"/>
  <c r="F659" i="2"/>
  <c r="F660" i="2"/>
  <c r="F662" i="2"/>
  <c r="F661" i="2"/>
  <c r="F663" i="2"/>
  <c r="F664" i="2"/>
  <c r="F665" i="2"/>
  <c r="F666" i="2"/>
  <c r="F667" i="2"/>
  <c r="F672" i="2"/>
  <c r="F670" i="2"/>
  <c r="F671" i="2"/>
  <c r="F668" i="2"/>
  <c r="F669" i="2"/>
  <c r="F673" i="2"/>
  <c r="F674" i="2"/>
  <c r="F675" i="2"/>
  <c r="F678" i="2"/>
  <c r="F676" i="2"/>
  <c r="F677" i="2"/>
  <c r="F679" i="2"/>
  <c r="F681" i="2"/>
  <c r="F680" i="2"/>
  <c r="F682" i="2"/>
  <c r="F686" i="2"/>
  <c r="F685" i="2"/>
  <c r="F683" i="2"/>
  <c r="F684" i="2"/>
  <c r="F687" i="2"/>
  <c r="F688" i="2"/>
  <c r="F690" i="2"/>
  <c r="F689" i="2"/>
  <c r="F693" i="2"/>
  <c r="F691" i="2"/>
  <c r="F692" i="2"/>
  <c r="F695" i="2"/>
  <c r="F694" i="2"/>
  <c r="F698" i="2"/>
  <c r="F696" i="2"/>
  <c r="F699" i="2"/>
  <c r="F697" i="2"/>
  <c r="F700" i="2"/>
  <c r="F701" i="2"/>
  <c r="F702" i="2"/>
  <c r="F704" i="2"/>
  <c r="F703" i="2"/>
  <c r="F706" i="2"/>
  <c r="F705" i="2"/>
  <c r="F708" i="2"/>
  <c r="F707" i="2"/>
  <c r="F710" i="2"/>
  <c r="F709" i="2"/>
  <c r="F713" i="2"/>
  <c r="F714" i="2"/>
  <c r="F711" i="2"/>
  <c r="F715" i="2"/>
  <c r="F712" i="2"/>
  <c r="F716" i="2"/>
  <c r="F718" i="2"/>
  <c r="F717" i="2"/>
  <c r="F719" i="2"/>
  <c r="F720" i="2"/>
  <c r="F722" i="2"/>
  <c r="F721" i="2"/>
  <c r="F726" i="2"/>
  <c r="F723" i="2"/>
  <c r="F724" i="2"/>
  <c r="F725" i="2"/>
  <c r="F727" i="2"/>
  <c r="F729" i="2"/>
  <c r="F728" i="2"/>
  <c r="F734" i="2"/>
  <c r="F732" i="2"/>
  <c r="F731" i="2"/>
  <c r="F730" i="2"/>
  <c r="F733" i="2"/>
  <c r="F735" i="2"/>
  <c r="F736" i="2"/>
  <c r="F737" i="2"/>
  <c r="F738" i="2"/>
  <c r="F739" i="2"/>
  <c r="F740" i="2"/>
  <c r="F743" i="2"/>
  <c r="F741" i="2"/>
  <c r="F742" i="2"/>
  <c r="F744" i="2"/>
  <c r="F745" i="2"/>
  <c r="F746" i="2"/>
  <c r="F747" i="2"/>
  <c r="F748" i="2"/>
  <c r="F750" i="2"/>
  <c r="F753" i="2"/>
  <c r="F752" i="2"/>
  <c r="F749" i="2"/>
  <c r="F751" i="2"/>
  <c r="F754" i="2"/>
  <c r="F757" i="2"/>
  <c r="F756" i="2"/>
  <c r="F755" i="2"/>
  <c r="F759" i="2"/>
  <c r="F758" i="2"/>
  <c r="F765" i="2"/>
  <c r="F763" i="2"/>
  <c r="F764" i="2"/>
  <c r="F761" i="2"/>
  <c r="F760" i="2"/>
  <c r="F762" i="2"/>
  <c r="F768" i="2"/>
  <c r="F766" i="2"/>
  <c r="F767" i="2"/>
  <c r="F769" i="2"/>
  <c r="F770" i="2"/>
  <c r="F772" i="2"/>
  <c r="F771" i="2"/>
  <c r="F773" i="2"/>
  <c r="F775" i="2"/>
  <c r="F774" i="2"/>
  <c r="F776" i="2"/>
  <c r="F777" i="2"/>
  <c r="F778" i="2"/>
  <c r="F779" i="2"/>
  <c r="F780" i="2"/>
  <c r="F781" i="2"/>
  <c r="F787" i="2"/>
  <c r="F783" i="2"/>
  <c r="F788" i="2"/>
  <c r="F785" i="2"/>
  <c r="F784" i="2"/>
  <c r="F786" i="2"/>
  <c r="F782" i="2"/>
  <c r="F789" i="2"/>
  <c r="F790" i="2"/>
  <c r="F792" i="2"/>
  <c r="F796" i="2"/>
  <c r="F791" i="2"/>
  <c r="F795" i="2"/>
  <c r="F793" i="2"/>
  <c r="F794" i="2"/>
  <c r="F798" i="2"/>
  <c r="F800" i="2"/>
  <c r="F797" i="2"/>
  <c r="F802" i="2"/>
  <c r="F799" i="2"/>
  <c r="F801" i="2"/>
  <c r="F803" i="2"/>
  <c r="F804" i="2"/>
  <c r="F805" i="2"/>
  <c r="F806" i="2"/>
  <c r="F808" i="2"/>
  <c r="F807" i="2"/>
  <c r="F810" i="2"/>
  <c r="F809" i="2"/>
  <c r="F812" i="2"/>
  <c r="F811" i="2"/>
  <c r="F813" i="2"/>
  <c r="F814" i="2"/>
  <c r="F816" i="2"/>
  <c r="F817" i="2"/>
  <c r="F815" i="2"/>
  <c r="F819" i="2"/>
  <c r="F818" i="2"/>
  <c r="F820" i="2"/>
  <c r="F822" i="2"/>
  <c r="F821" i="2"/>
  <c r="F824" i="2"/>
  <c r="F826" i="2"/>
  <c r="F823" i="2"/>
  <c r="F825" i="2"/>
  <c r="F828" i="2"/>
  <c r="F827" i="2"/>
  <c r="F829" i="2"/>
  <c r="F830" i="2"/>
  <c r="F832" i="2"/>
  <c r="F831" i="2"/>
  <c r="F833" i="2"/>
  <c r="F834" i="2"/>
  <c r="F837" i="2"/>
  <c r="F836" i="2"/>
  <c r="F835" i="2"/>
  <c r="F840" i="2"/>
  <c r="F841" i="2"/>
  <c r="F839" i="2"/>
  <c r="F838" i="2"/>
  <c r="F842" i="2"/>
  <c r="F845" i="2"/>
  <c r="F844" i="2"/>
  <c r="F843" i="2"/>
  <c r="F849" i="2"/>
  <c r="F847" i="2"/>
  <c r="F848" i="2"/>
  <c r="F850" i="2"/>
  <c r="F846" i="2"/>
  <c r="F852" i="2"/>
  <c r="F851" i="2"/>
  <c r="F853" i="2"/>
  <c r="F855" i="2"/>
  <c r="F857" i="2"/>
  <c r="F854" i="2"/>
  <c r="F856" i="2"/>
  <c r="F861" i="2"/>
  <c r="F862" i="2"/>
  <c r="F859" i="2"/>
  <c r="F858" i="2"/>
  <c r="F860" i="2"/>
  <c r="F866" i="2"/>
  <c r="F867" i="2"/>
  <c r="F863" i="2"/>
  <c r="F865" i="2"/>
  <c r="F864" i="2"/>
  <c r="F869" i="2"/>
  <c r="F872" i="2"/>
  <c r="F870" i="2"/>
  <c r="F868" i="2"/>
  <c r="F871" i="2"/>
  <c r="F875" i="2"/>
  <c r="F874" i="2"/>
  <c r="F873" i="2"/>
  <c r="F876" i="2"/>
  <c r="F877" i="2"/>
  <c r="F878" i="2"/>
  <c r="F879" i="2"/>
  <c r="F882" i="2"/>
  <c r="F880" i="2"/>
  <c r="F881" i="2"/>
  <c r="F885" i="2"/>
  <c r="F884" i="2"/>
  <c r="F886" i="2"/>
  <c r="F883" i="2"/>
  <c r="F887" i="2"/>
  <c r="F889" i="2"/>
  <c r="F890" i="2"/>
  <c r="F888" i="2"/>
  <c r="F891" i="2"/>
  <c r="F893" i="2"/>
  <c r="F892" i="2"/>
  <c r="F894" i="2"/>
  <c r="F895" i="2"/>
  <c r="F896" i="2"/>
  <c r="F898" i="2"/>
  <c r="F900" i="2"/>
  <c r="F897" i="2"/>
  <c r="F899" i="2"/>
  <c r="F901" i="2"/>
  <c r="F903" i="2"/>
  <c r="F902" i="2"/>
  <c r="F904" i="2"/>
  <c r="F906" i="2"/>
  <c r="F907" i="2"/>
  <c r="F905" i="2"/>
  <c r="F908" i="2"/>
  <c r="F911" i="2"/>
  <c r="F909" i="2"/>
  <c r="F910" i="2"/>
  <c r="F912" i="2"/>
  <c r="F913" i="2"/>
  <c r="F914" i="2"/>
  <c r="F919" i="2"/>
  <c r="F920" i="2"/>
  <c r="F917" i="2"/>
  <c r="F916" i="2"/>
  <c r="F915" i="2"/>
  <c r="F918" i="2"/>
  <c r="F923" i="2"/>
  <c r="F922" i="2"/>
  <c r="F921" i="2"/>
  <c r="F924" i="2"/>
  <c r="F925" i="2"/>
  <c r="F927" i="2"/>
  <c r="F926" i="2"/>
  <c r="F928" i="2"/>
  <c r="F929" i="2"/>
  <c r="F930" i="2"/>
  <c r="F931" i="2"/>
  <c r="F932" i="2"/>
  <c r="F933" i="2"/>
  <c r="F934" i="2"/>
  <c r="F936" i="2"/>
  <c r="F935" i="2"/>
  <c r="F938" i="2"/>
  <c r="F940" i="2"/>
  <c r="F937" i="2"/>
  <c r="F939" i="2"/>
  <c r="F941" i="2"/>
  <c r="F942" i="2"/>
  <c r="F945" i="2"/>
  <c r="F944" i="2"/>
  <c r="F943" i="2"/>
  <c r="F946" i="2"/>
  <c r="F948" i="2"/>
  <c r="F949" i="2"/>
  <c r="F947" i="2"/>
  <c r="F950" i="2"/>
  <c r="F953" i="2"/>
  <c r="F952" i="2"/>
  <c r="F951" i="2"/>
  <c r="F954" i="2"/>
  <c r="F958" i="2"/>
  <c r="F957" i="2"/>
  <c r="F955" i="2"/>
  <c r="F956" i="2"/>
  <c r="F961" i="2"/>
  <c r="F959" i="2"/>
  <c r="F962" i="2"/>
  <c r="F960" i="2"/>
  <c r="F966" i="2"/>
  <c r="F964" i="2"/>
  <c r="F963" i="2"/>
  <c r="F965" i="2"/>
  <c r="F968" i="2"/>
  <c r="F967" i="2"/>
  <c r="F970" i="2"/>
  <c r="F969" i="2"/>
  <c r="F972" i="2"/>
  <c r="F971" i="2"/>
  <c r="F973" i="2"/>
  <c r="F976" i="2"/>
  <c r="F975" i="2"/>
  <c r="F974" i="2"/>
  <c r="F977" i="2"/>
  <c r="F980" i="2"/>
  <c r="F979" i="2"/>
  <c r="F978" i="2"/>
  <c r="F984" i="2"/>
  <c r="F981" i="2"/>
  <c r="F983" i="2"/>
  <c r="F986" i="2"/>
  <c r="F985" i="2"/>
  <c r="F982" i="2"/>
  <c r="F988" i="2"/>
  <c r="F987" i="2"/>
  <c r="F989" i="2"/>
  <c r="F990" i="2"/>
  <c r="F991" i="2"/>
  <c r="F992" i="2"/>
  <c r="F993" i="2"/>
  <c r="F995" i="2"/>
  <c r="F994" i="2"/>
  <c r="F996" i="2"/>
  <c r="F998" i="2"/>
  <c r="F999" i="2"/>
  <c r="F997" i="2"/>
  <c r="F1002" i="2"/>
  <c r="F1000" i="2"/>
  <c r="F1003" i="2"/>
  <c r="F1001" i="2"/>
  <c r="F1004" i="2"/>
  <c r="F1005" i="2"/>
  <c r="F1007" i="2"/>
  <c r="F1009" i="2"/>
  <c r="F1008" i="2"/>
  <c r="F1006" i="2"/>
  <c r="F1010" i="2"/>
  <c r="F1012" i="2"/>
  <c r="F1011" i="2"/>
  <c r="F1013" i="2"/>
  <c r="F1014" i="2"/>
  <c r="F1015" i="2"/>
  <c r="F1017" i="2"/>
  <c r="F1018" i="2"/>
  <c r="F1019" i="2"/>
  <c r="F1016" i="2"/>
  <c r="F1022" i="2"/>
  <c r="F1020" i="2"/>
  <c r="F1021" i="2"/>
  <c r="F1024" i="2"/>
  <c r="F1023" i="2"/>
  <c r="F1025" i="2"/>
  <c r="F1027" i="2"/>
  <c r="F1029" i="2"/>
  <c r="F1026" i="2"/>
  <c r="F1028" i="2"/>
  <c r="F1034" i="2"/>
  <c r="F1031" i="2"/>
  <c r="F1033" i="2"/>
  <c r="F1030" i="2"/>
  <c r="F1032" i="2"/>
  <c r="F1035" i="2"/>
  <c r="F1036" i="2"/>
  <c r="F1037" i="2"/>
  <c r="F1039" i="2"/>
  <c r="F1038" i="2"/>
  <c r="F1040" i="2"/>
  <c r="F1041" i="2"/>
  <c r="F1042" i="2"/>
  <c r="F1043" i="2"/>
  <c r="F1046" i="2"/>
  <c r="F1044" i="2"/>
  <c r="F1045" i="2"/>
  <c r="F1047" i="2"/>
  <c r="F1048" i="2"/>
  <c r="F1049" i="2"/>
  <c r="F1051" i="2"/>
  <c r="F1050" i="2"/>
  <c r="F1052" i="2"/>
  <c r="F1054" i="2"/>
  <c r="F1053" i="2"/>
  <c r="F1056" i="2"/>
  <c r="F1055" i="2"/>
  <c r="F1059" i="2"/>
  <c r="F1057" i="2"/>
  <c r="F1058" i="2"/>
  <c r="F1060" i="2"/>
  <c r="F1061" i="2"/>
  <c r="F1063" i="2"/>
  <c r="F1065" i="2"/>
  <c r="F1062" i="2"/>
  <c r="F1064" i="2"/>
  <c r="F1066" i="2"/>
  <c r="F1067" i="2"/>
  <c r="F1069" i="2"/>
  <c r="F1068" i="2"/>
  <c r="F1071" i="2"/>
  <c r="F1070" i="2"/>
  <c r="F1072" i="2"/>
  <c r="F1074" i="2"/>
  <c r="F1075" i="2"/>
  <c r="F1076" i="2"/>
  <c r="F1073" i="2"/>
  <c r="F1078" i="2"/>
  <c r="F1077" i="2"/>
  <c r="F1080" i="2"/>
  <c r="F1079" i="2"/>
  <c r="F1081" i="2"/>
  <c r="F1083" i="2"/>
  <c r="F1082" i="2"/>
  <c r="F1085" i="2"/>
  <c r="F1084" i="2"/>
  <c r="F1087" i="2"/>
  <c r="F1086" i="2"/>
  <c r="F1088" i="2"/>
  <c r="F1090" i="2"/>
  <c r="F1089" i="2"/>
  <c r="F1091" i="2"/>
  <c r="F1093" i="2"/>
  <c r="F1092" i="2"/>
  <c r="F1096" i="2"/>
  <c r="F1098" i="2"/>
  <c r="F1095" i="2"/>
  <c r="F1097" i="2"/>
  <c r="F1094" i="2"/>
  <c r="F1102" i="2"/>
  <c r="F1100" i="2"/>
  <c r="F1101" i="2"/>
  <c r="F1099" i="2"/>
  <c r="F1103" i="2"/>
  <c r="F1104" i="2"/>
  <c r="F1105" i="2"/>
  <c r="F1106" i="2"/>
  <c r="F1108" i="2"/>
  <c r="F1107" i="2"/>
  <c r="F1109" i="2"/>
  <c r="F1110" i="2"/>
  <c r="F1112" i="2"/>
  <c r="F1111" i="2"/>
  <c r="F1113" i="2"/>
  <c r="F1114" i="2"/>
  <c r="F1115" i="2"/>
  <c r="F1116" i="2"/>
  <c r="F1120" i="2"/>
  <c r="F1117" i="2"/>
  <c r="F1118" i="2"/>
  <c r="F1119" i="2"/>
  <c r="F2120" i="2"/>
  <c r="F2122" i="2"/>
  <c r="F2123" i="2"/>
  <c r="F2124" i="2"/>
  <c r="F2127" i="2"/>
  <c r="F2125" i="2"/>
  <c r="F2126" i="2"/>
  <c r="F2128" i="2"/>
  <c r="F2129" i="2"/>
  <c r="F2131" i="2"/>
  <c r="F2132" i="2"/>
  <c r="F2130" i="2"/>
  <c r="F2135" i="2"/>
  <c r="F2136" i="2"/>
  <c r="F2133" i="2"/>
  <c r="F2134" i="2"/>
  <c r="F2138" i="2"/>
  <c r="F2139" i="2"/>
  <c r="F2137" i="2"/>
  <c r="F2142" i="2"/>
  <c r="F2140" i="2"/>
  <c r="F2141" i="2"/>
  <c r="F2144" i="2"/>
  <c r="F2145" i="2"/>
  <c r="F2143" i="2"/>
  <c r="F2146" i="2"/>
  <c r="F2149" i="2"/>
  <c r="F2150" i="2"/>
  <c r="F2148" i="2"/>
  <c r="F2147" i="2"/>
  <c r="F2152" i="2"/>
  <c r="F2153" i="2"/>
  <c r="F2151" i="2"/>
  <c r="F2154" i="2"/>
  <c r="F2155" i="2"/>
  <c r="F2156" i="2"/>
  <c r="F2157" i="2"/>
  <c r="F2158" i="2"/>
  <c r="F2160" i="2"/>
  <c r="F2159" i="2"/>
  <c r="F2165" i="2"/>
  <c r="F2162" i="2"/>
  <c r="F2163" i="2"/>
  <c r="F2161" i="2"/>
  <c r="F2164" i="2"/>
  <c r="F2167" i="2"/>
  <c r="F2170" i="2"/>
  <c r="F2168" i="2"/>
  <c r="F2169" i="2"/>
  <c r="F2166" i="2"/>
  <c r="F2171" i="2"/>
  <c r="F2177" i="2"/>
  <c r="F2172" i="2"/>
  <c r="F2173" i="2"/>
  <c r="F2175" i="2"/>
  <c r="F2174" i="2"/>
  <c r="F2176" i="2"/>
  <c r="F2178" i="2"/>
  <c r="F2179" i="2"/>
  <c r="F2180" i="2"/>
  <c r="F2184" i="2"/>
  <c r="F2185" i="2"/>
  <c r="F2183" i="2"/>
  <c r="F2181" i="2"/>
  <c r="F2182" i="2"/>
  <c r="F2186" i="2"/>
  <c r="F2187" i="2"/>
  <c r="F2188" i="2"/>
  <c r="F2190" i="2"/>
  <c r="F2189" i="2"/>
  <c r="F2192" i="2"/>
  <c r="F2191" i="2"/>
  <c r="F2193" i="2"/>
  <c r="F2194" i="2"/>
  <c r="F2195" i="2"/>
  <c r="F2197" i="2"/>
  <c r="F2196" i="2"/>
  <c r="F2198" i="2"/>
  <c r="F2203" i="2"/>
  <c r="F2202" i="2"/>
  <c r="F2199" i="2"/>
  <c r="F2201" i="2"/>
  <c r="F2204" i="2"/>
  <c r="F2200" i="2"/>
  <c r="F2206" i="2"/>
  <c r="F2205" i="2"/>
  <c r="F2207" i="2"/>
  <c r="F2208" i="2"/>
  <c r="F2210" i="2"/>
  <c r="F2209" i="2"/>
  <c r="F2211" i="2"/>
  <c r="F2213" i="2"/>
  <c r="F2216" i="2"/>
  <c r="F2214" i="2"/>
  <c r="F2212" i="2"/>
  <c r="F2215" i="2"/>
  <c r="F2217" i="2"/>
  <c r="F2218" i="2"/>
  <c r="F2219" i="2"/>
  <c r="F2221" i="2"/>
  <c r="F2220" i="2"/>
  <c r="F2222" i="2"/>
  <c r="F2223" i="2"/>
  <c r="F2225" i="2"/>
  <c r="F2224" i="2"/>
  <c r="F2226" i="2"/>
  <c r="F2229" i="2"/>
  <c r="F2228" i="2"/>
  <c r="F2230" i="2"/>
  <c r="F2227" i="2"/>
  <c r="F2234" i="2"/>
  <c r="F2231" i="2"/>
  <c r="F2232" i="2"/>
  <c r="F2233" i="2"/>
  <c r="F2235" i="2"/>
  <c r="F2236" i="2"/>
  <c r="F2237" i="2"/>
  <c r="F2238" i="2"/>
  <c r="F2240" i="2"/>
  <c r="F2241" i="2"/>
  <c r="F2239" i="2"/>
  <c r="F2242" i="2"/>
  <c r="F2244" i="2"/>
  <c r="F2243" i="2"/>
  <c r="F2246" i="2"/>
  <c r="F2247" i="2"/>
  <c r="F2245" i="2"/>
  <c r="F2252" i="2"/>
  <c r="F2248" i="2"/>
  <c r="F2251" i="2"/>
  <c r="F2249" i="2"/>
  <c r="F2250" i="2"/>
  <c r="F2255" i="2"/>
  <c r="F2254" i="2"/>
  <c r="F2253" i="2"/>
  <c r="F2256" i="2"/>
  <c r="F2257" i="2"/>
  <c r="F2258" i="2"/>
  <c r="F2259" i="2"/>
  <c r="F2261" i="2"/>
  <c r="F2260" i="2"/>
  <c r="F2262" i="2"/>
  <c r="F2263" i="2"/>
  <c r="F2267" i="2"/>
  <c r="F2265" i="2"/>
  <c r="F2266" i="2"/>
  <c r="F2264" i="2"/>
  <c r="F2269" i="2"/>
  <c r="F2270" i="2"/>
  <c r="F2268" i="2"/>
  <c r="F2272" i="2"/>
  <c r="F2271" i="2"/>
  <c r="F2273" i="2"/>
  <c r="F2274" i="2"/>
  <c r="F2276" i="2"/>
  <c r="F2275" i="2"/>
  <c r="F2279" i="2"/>
  <c r="F2278" i="2"/>
  <c r="F2277" i="2"/>
  <c r="F2281" i="2"/>
  <c r="F2280" i="2"/>
  <c r="F2283" i="2"/>
  <c r="F2282" i="2"/>
  <c r="F2284" i="2"/>
  <c r="F2285" i="2"/>
  <c r="F2286" i="2"/>
  <c r="F2287" i="2"/>
  <c r="F2289" i="2"/>
  <c r="F2291" i="2"/>
  <c r="F2288" i="2"/>
  <c r="F2290" i="2"/>
  <c r="F2295" i="2"/>
  <c r="F2294" i="2"/>
  <c r="F2292" i="2"/>
  <c r="F2293" i="2"/>
  <c r="F2296" i="2"/>
  <c r="F2298" i="2"/>
  <c r="F2297" i="2"/>
  <c r="F2299" i="2"/>
  <c r="F2300" i="2"/>
  <c r="F2301" i="2"/>
  <c r="F2302" i="2"/>
  <c r="F2305" i="2"/>
  <c r="F2306" i="2"/>
  <c r="F2307" i="2"/>
  <c r="F2303" i="2"/>
  <c r="F2304" i="2"/>
  <c r="F2308" i="2"/>
  <c r="F2310" i="2"/>
  <c r="F2309" i="2"/>
  <c r="F2311" i="2"/>
  <c r="F2312" i="2"/>
  <c r="F2313" i="2"/>
  <c r="F2314" i="2"/>
  <c r="F2317" i="2"/>
  <c r="F2315" i="2"/>
  <c r="F2316" i="2"/>
  <c r="F2318" i="2"/>
  <c r="F2321" i="2"/>
  <c r="F2320" i="2"/>
  <c r="F2319" i="2"/>
  <c r="F2325" i="2"/>
  <c r="F2324" i="2"/>
  <c r="F2322" i="2"/>
  <c r="F2323" i="2"/>
  <c r="F2326" i="2"/>
  <c r="F2327" i="2"/>
  <c r="F2330" i="2"/>
  <c r="F2329" i="2"/>
  <c r="F2331" i="2"/>
  <c r="F2328" i="2"/>
  <c r="F2335" i="2"/>
  <c r="F2334" i="2"/>
  <c r="F2332" i="2"/>
  <c r="F2333" i="2"/>
  <c r="F2336" i="2"/>
  <c r="F2341" i="2"/>
  <c r="F2337" i="2"/>
  <c r="F2340" i="2"/>
  <c r="F2338" i="2"/>
  <c r="F2339" i="2"/>
  <c r="F2345" i="2"/>
  <c r="F2346" i="2"/>
  <c r="F2344" i="2"/>
  <c r="F2343" i="2"/>
  <c r="F2342" i="2"/>
  <c r="F2347" i="2"/>
  <c r="F2348" i="2"/>
  <c r="F2349" i="2"/>
  <c r="F2350" i="2"/>
  <c r="F2357" i="2"/>
  <c r="F2358" i="2"/>
  <c r="F2352" i="2"/>
  <c r="F2351" i="2"/>
  <c r="F2353" i="2"/>
  <c r="F2356" i="2"/>
  <c r="F2354" i="2"/>
  <c r="F2355" i="2"/>
  <c r="F2359" i="2"/>
  <c r="F2362" i="2"/>
  <c r="F2361" i="2"/>
  <c r="F2360" i="2"/>
  <c r="F2365" i="2"/>
  <c r="F2364" i="2"/>
  <c r="F2366" i="2"/>
  <c r="F2363" i="2"/>
  <c r="F2373" i="2"/>
  <c r="F2367" i="2"/>
  <c r="F2374" i="2"/>
  <c r="F2371" i="2"/>
  <c r="F2369" i="2"/>
  <c r="F2370" i="2"/>
  <c r="F2368" i="2"/>
  <c r="F2372" i="2"/>
  <c r="F2376" i="2"/>
  <c r="F2377" i="2"/>
  <c r="F2375" i="2"/>
  <c r="F2378" i="2"/>
  <c r="F2379" i="2"/>
  <c r="F2380" i="2"/>
  <c r="F2381" i="2"/>
  <c r="F2382" i="2"/>
  <c r="F2383" i="2"/>
  <c r="F2386" i="2"/>
  <c r="F2384" i="2"/>
  <c r="F2385" i="2"/>
  <c r="F2387" i="2"/>
  <c r="F2388" i="2"/>
  <c r="F2390" i="2"/>
  <c r="F2389" i="2"/>
  <c r="F2394" i="2"/>
  <c r="F2395" i="2"/>
  <c r="F2391" i="2"/>
  <c r="F2393" i="2"/>
  <c r="F2392" i="2"/>
  <c r="F2396" i="2"/>
  <c r="F2399" i="2"/>
  <c r="F2398" i="2"/>
  <c r="F2397" i="2"/>
  <c r="F2404" i="2"/>
  <c r="F2403" i="2"/>
  <c r="F2405" i="2"/>
  <c r="F2400" i="2"/>
  <c r="F2402" i="2"/>
  <c r="F2401" i="2"/>
  <c r="F2410" i="2"/>
  <c r="F2406" i="2"/>
  <c r="F2407" i="2"/>
  <c r="F2409" i="2"/>
  <c r="F2408" i="2"/>
  <c r="F2411" i="2"/>
  <c r="F2412" i="2"/>
  <c r="F2415" i="2"/>
  <c r="F2413" i="2"/>
  <c r="F2414" i="2"/>
  <c r="F2419" i="2"/>
  <c r="F2417" i="2"/>
  <c r="F2416" i="2"/>
  <c r="F2418" i="2"/>
  <c r="F2420" i="2"/>
  <c r="F2422" i="2"/>
  <c r="F2421" i="2"/>
  <c r="F2423" i="2"/>
  <c r="F2424" i="2"/>
  <c r="F2428" i="2"/>
  <c r="F2427" i="2"/>
  <c r="F2425" i="2"/>
  <c r="F2426" i="2"/>
  <c r="F2429" i="2"/>
  <c r="F2431" i="2"/>
  <c r="F2430" i="2"/>
  <c r="F2432" i="2"/>
  <c r="F2436" i="2"/>
  <c r="F2434" i="2"/>
  <c r="F2433" i="2"/>
  <c r="F2435" i="2"/>
  <c r="F2439" i="2"/>
  <c r="F2437" i="2"/>
  <c r="F2438" i="2"/>
  <c r="F2440" i="2"/>
  <c r="F2441" i="2"/>
  <c r="F2443" i="2"/>
  <c r="F2442" i="2"/>
  <c r="F2446" i="2"/>
  <c r="F2445" i="2"/>
  <c r="F2447" i="2"/>
  <c r="F2444" i="2"/>
  <c r="F2449" i="2"/>
  <c r="F2450" i="2"/>
  <c r="F2448" i="2"/>
  <c r="F2451" i="2"/>
  <c r="F2453" i="2"/>
  <c r="F2452" i="2"/>
  <c r="F2456" i="2"/>
  <c r="F2455" i="2"/>
  <c r="F2454" i="2"/>
  <c r="F2458" i="2"/>
  <c r="F2457" i="2"/>
  <c r="F2459" i="2"/>
  <c r="F2461" i="2"/>
  <c r="F2460" i="2"/>
  <c r="F2466" i="2"/>
  <c r="F2464" i="2"/>
  <c r="F2462" i="2"/>
  <c r="F2465" i="2"/>
  <c r="F2463" i="2"/>
  <c r="F2467" i="2"/>
  <c r="F2468" i="2"/>
  <c r="F2469" i="2"/>
  <c r="F2470" i="2"/>
  <c r="F2471" i="2"/>
  <c r="F2472" i="2"/>
  <c r="F2473" i="2"/>
  <c r="F2474" i="2"/>
  <c r="F2475" i="2"/>
  <c r="F2478" i="2"/>
  <c r="F2476" i="2"/>
  <c r="F2479" i="2"/>
  <c r="F2477" i="2"/>
  <c r="F2480" i="2"/>
  <c r="F2481" i="2"/>
  <c r="F2484" i="2"/>
  <c r="F2483" i="2"/>
  <c r="F2482" i="2"/>
  <c r="F2485" i="2"/>
  <c r="F2487" i="2"/>
  <c r="F2488" i="2"/>
  <c r="F2486" i="2"/>
  <c r="F2489" i="2"/>
  <c r="F2491" i="2"/>
  <c r="F2490" i="2"/>
  <c r="F2493" i="2"/>
  <c r="F2492" i="2"/>
  <c r="F2495" i="2"/>
  <c r="F2497" i="2"/>
  <c r="F2498" i="2"/>
  <c r="F2496" i="2"/>
  <c r="F2494" i="2"/>
  <c r="F2499" i="2"/>
  <c r="F2501" i="2"/>
  <c r="F2500" i="2"/>
  <c r="F2506" i="2"/>
  <c r="F2504" i="2"/>
  <c r="F2503" i="2"/>
  <c r="F2505" i="2"/>
  <c r="F2502" i="2"/>
  <c r="F2507" i="2"/>
  <c r="F2513" i="2"/>
  <c r="F2510" i="2"/>
  <c r="F2512" i="2"/>
  <c r="F2508" i="2"/>
  <c r="F2509" i="2"/>
  <c r="F2511" i="2"/>
  <c r="F2515" i="2"/>
  <c r="F2516" i="2"/>
  <c r="F2514" i="2"/>
  <c r="F2517" i="2"/>
  <c r="F2521" i="2"/>
  <c r="F2519" i="2"/>
  <c r="F2520" i="2"/>
  <c r="F2518" i="2"/>
  <c r="F2522" i="2"/>
  <c r="F2523" i="2"/>
  <c r="F2526" i="2"/>
  <c r="F2525" i="2"/>
  <c r="F2527" i="2"/>
  <c r="F2524" i="2"/>
  <c r="F2528" i="2"/>
  <c r="F2529" i="2"/>
  <c r="F2530" i="2"/>
  <c r="F2531" i="2"/>
  <c r="F2532" i="2"/>
  <c r="F2533" i="2"/>
  <c r="F2534" i="2"/>
  <c r="F2538" i="2"/>
  <c r="F2539" i="2"/>
  <c r="F2536" i="2"/>
  <c r="F2537" i="2"/>
  <c r="F2535" i="2"/>
  <c r="F2541" i="2"/>
  <c r="F2540" i="2"/>
  <c r="F2542" i="2"/>
  <c r="F2543" i="2"/>
  <c r="F2544" i="2"/>
  <c r="F2549" i="2"/>
  <c r="F2546" i="2"/>
  <c r="F2547" i="2"/>
  <c r="F2545" i="2"/>
  <c r="F2548" i="2"/>
  <c r="F2552" i="2"/>
  <c r="F2551" i="2"/>
  <c r="F2550" i="2"/>
  <c r="F2553" i="2"/>
  <c r="F2554" i="2"/>
  <c r="F2557" i="2"/>
  <c r="F2555" i="2"/>
  <c r="F2558" i="2"/>
  <c r="F2556" i="2"/>
  <c r="F2560" i="2"/>
  <c r="F2559" i="2"/>
  <c r="F2564" i="2"/>
  <c r="F2563" i="2"/>
  <c r="F2562" i="2"/>
  <c r="F2561" i="2"/>
  <c r="F2566" i="2"/>
  <c r="F2565" i="2"/>
  <c r="F2567" i="2"/>
  <c r="F2569" i="2"/>
  <c r="F2568" i="2"/>
  <c r="F2571" i="2"/>
  <c r="F2570" i="2"/>
  <c r="F2572" i="2"/>
  <c r="F2576" i="2"/>
  <c r="F2573" i="2"/>
  <c r="F2574" i="2"/>
  <c r="F2575" i="2"/>
  <c r="F2582" i="2"/>
  <c r="F2581" i="2"/>
  <c r="F2580" i="2"/>
  <c r="F2578" i="2"/>
  <c r="F2577" i="2"/>
  <c r="F2579" i="2"/>
  <c r="F2585" i="2"/>
  <c r="F2584" i="2"/>
  <c r="F2587" i="2"/>
  <c r="F2586" i="2"/>
  <c r="F2583" i="2"/>
  <c r="F2592" i="2"/>
  <c r="F2589" i="2"/>
  <c r="F2591" i="2"/>
  <c r="F2590" i="2"/>
  <c r="F2593" i="2"/>
  <c r="F2588" i="2"/>
  <c r="F2599" i="2"/>
  <c r="F2597" i="2"/>
  <c r="F2596" i="2"/>
  <c r="F2595" i="2"/>
  <c r="F2594" i="2"/>
  <c r="F2598" i="2"/>
  <c r="F2600" i="2"/>
  <c r="F2602" i="2"/>
  <c r="F2601" i="2"/>
  <c r="F2604" i="2"/>
  <c r="F2603" i="2"/>
  <c r="F2606" i="2"/>
  <c r="F2605" i="2"/>
  <c r="F2607" i="2"/>
  <c r="F2608" i="2"/>
  <c r="F2610" i="2"/>
  <c r="F2611" i="2"/>
  <c r="F2609" i="2"/>
  <c r="F2613" i="2"/>
  <c r="F2612" i="2"/>
  <c r="F2614" i="2"/>
  <c r="F2615" i="2"/>
  <c r="F2617" i="2"/>
  <c r="F2616" i="2"/>
  <c r="F2619" i="2"/>
  <c r="F2618" i="2"/>
  <c r="F2620" i="2"/>
  <c r="F2622" i="2"/>
  <c r="F2621" i="2"/>
  <c r="F2623" i="2"/>
  <c r="F2624" i="2"/>
  <c r="F2625" i="2"/>
  <c r="F2627" i="2"/>
  <c r="F2626" i="2"/>
  <c r="F2630" i="2"/>
  <c r="F2628" i="2"/>
  <c r="F2629" i="2"/>
  <c r="F2633" i="2"/>
  <c r="F2634" i="2"/>
  <c r="F2632" i="2"/>
  <c r="F2635" i="2"/>
  <c r="F2631" i="2"/>
  <c r="F2637" i="2"/>
  <c r="F2636" i="2"/>
  <c r="F2641" i="2"/>
  <c r="F2642" i="2"/>
  <c r="F2640" i="2"/>
  <c r="F2639" i="2"/>
  <c r="F2638" i="2"/>
  <c r="F2646" i="2"/>
  <c r="F2643" i="2"/>
  <c r="F2644" i="2"/>
  <c r="F2645" i="2"/>
  <c r="F2647" i="2"/>
  <c r="F2648" i="2"/>
  <c r="F2649" i="2"/>
  <c r="F2651" i="2"/>
  <c r="F2652" i="2"/>
  <c r="F2654" i="2"/>
  <c r="F2653" i="2"/>
  <c r="F2650" i="2"/>
  <c r="F2656" i="2"/>
  <c r="F2655" i="2"/>
  <c r="F2657" i="2"/>
  <c r="F2658" i="2"/>
  <c r="F2659" i="2"/>
  <c r="F2660" i="2"/>
  <c r="F2662" i="2"/>
  <c r="F2663" i="2"/>
  <c r="F2661" i="2"/>
  <c r="F2664" i="2"/>
  <c r="F2665" i="2"/>
  <c r="F2667" i="2"/>
  <c r="F2666" i="2"/>
  <c r="F2669" i="2"/>
  <c r="F2668" i="2"/>
  <c r="F2671" i="2"/>
  <c r="F2670" i="2"/>
  <c r="F2672" i="2"/>
  <c r="F2673" i="2"/>
  <c r="F2674" i="2"/>
  <c r="F2675" i="2"/>
  <c r="F2676" i="2"/>
  <c r="F2677" i="2"/>
  <c r="F2680" i="2"/>
  <c r="F2681" i="2"/>
  <c r="F2682" i="2"/>
  <c r="F2679" i="2"/>
  <c r="F2678" i="2"/>
  <c r="F2683" i="2"/>
  <c r="F2684" i="2"/>
  <c r="F2685" i="2"/>
  <c r="F2686" i="2"/>
  <c r="F2690" i="2"/>
  <c r="F2687" i="2"/>
  <c r="F2692" i="2"/>
  <c r="F2689" i="2"/>
  <c r="F2688" i="2"/>
  <c r="F2691" i="2"/>
  <c r="F2696" i="2"/>
  <c r="F2694" i="2"/>
  <c r="F2695" i="2"/>
  <c r="F2693" i="2"/>
  <c r="F2697" i="2"/>
  <c r="F2700" i="2"/>
  <c r="F2698" i="2"/>
  <c r="F2699" i="2"/>
  <c r="F2701" i="2"/>
  <c r="F2703" i="2"/>
  <c r="F2705" i="2"/>
  <c r="F2702" i="2"/>
  <c r="F2704" i="2"/>
  <c r="F2706" i="2"/>
  <c r="F2707" i="2"/>
  <c r="F2709" i="2"/>
  <c r="F2708" i="2"/>
  <c r="F2711" i="2"/>
  <c r="F2710" i="2"/>
  <c r="F2714" i="2"/>
  <c r="F2713" i="2"/>
  <c r="F2712" i="2"/>
  <c r="F2717" i="2"/>
  <c r="F2715" i="2"/>
  <c r="F2719" i="2"/>
  <c r="F2718" i="2"/>
  <c r="F2716" i="2"/>
  <c r="F2722" i="2"/>
  <c r="F2720" i="2"/>
  <c r="F2721" i="2"/>
  <c r="F2723" i="2"/>
  <c r="F2724" i="2"/>
  <c r="F2725" i="2"/>
  <c r="F2727" i="2"/>
  <c r="F2726" i="2"/>
  <c r="F2729" i="2"/>
  <c r="F2731" i="2"/>
  <c r="F2730" i="2"/>
  <c r="F2728" i="2"/>
  <c r="F2732" i="2"/>
  <c r="F2733" i="2"/>
  <c r="F2735" i="2"/>
  <c r="F2734" i="2"/>
  <c r="F2737" i="2"/>
  <c r="F2736" i="2"/>
  <c r="F2740" i="2"/>
  <c r="F2739" i="2"/>
  <c r="F2738" i="2"/>
  <c r="F2741" i="2"/>
  <c r="F2742" i="2"/>
  <c r="F2744" i="2"/>
  <c r="F2743" i="2"/>
  <c r="F2745" i="2"/>
  <c r="F2747" i="2"/>
  <c r="F2748" i="2"/>
  <c r="F2749" i="2"/>
  <c r="F2746" i="2"/>
  <c r="F2750" i="2"/>
  <c r="F2754" i="2"/>
  <c r="F2752" i="2"/>
  <c r="F2751" i="2"/>
  <c r="F2753" i="2"/>
  <c r="F2756" i="2"/>
  <c r="F2755" i="2"/>
  <c r="F2758" i="2"/>
  <c r="F2757" i="2"/>
  <c r="F2759" i="2"/>
  <c r="F2761" i="2"/>
  <c r="F2760" i="2"/>
  <c r="F2764" i="2"/>
  <c r="F2763" i="2"/>
  <c r="F2766" i="2"/>
  <c r="F2765" i="2"/>
  <c r="F2762" i="2"/>
  <c r="F2767" i="2"/>
  <c r="F2769" i="2"/>
  <c r="F2768" i="2"/>
  <c r="F2771" i="2"/>
  <c r="F2770" i="2"/>
  <c r="F2772" i="2"/>
  <c r="F2773" i="2"/>
  <c r="F2776" i="2"/>
  <c r="F2774" i="2"/>
  <c r="F2775" i="2"/>
  <c r="F2777" i="2"/>
  <c r="F2779" i="2"/>
  <c r="F2778" i="2"/>
  <c r="F2780" i="2"/>
  <c r="F2782" i="2"/>
  <c r="F2783" i="2"/>
  <c r="F2784" i="2"/>
  <c r="F2781" i="2"/>
  <c r="F2785" i="2"/>
  <c r="F2787" i="2"/>
  <c r="F2786" i="2"/>
  <c r="F2788" i="2"/>
  <c r="F2789" i="2"/>
  <c r="F2791" i="2"/>
  <c r="F2790" i="2"/>
  <c r="F2793" i="2"/>
  <c r="F2792" i="2"/>
  <c r="F2796" i="2"/>
  <c r="F2797" i="2"/>
  <c r="F2795" i="2"/>
  <c r="F2794" i="2"/>
  <c r="F2799" i="2"/>
  <c r="F2798" i="2"/>
  <c r="F2800" i="2"/>
  <c r="F2801" i="2"/>
  <c r="F2802" i="2"/>
  <c r="F2803" i="2"/>
  <c r="F2805" i="2"/>
  <c r="F2804" i="2"/>
  <c r="F2806" i="2"/>
  <c r="F2807" i="2"/>
  <c r="F2808" i="2"/>
  <c r="F2811" i="2"/>
  <c r="F2812" i="2"/>
  <c r="F2809" i="2"/>
  <c r="F2810" i="2"/>
  <c r="F2814" i="2"/>
  <c r="F2816" i="2"/>
  <c r="F2813" i="2"/>
  <c r="F2815" i="2"/>
  <c r="F2817" i="2"/>
  <c r="F2819" i="2"/>
  <c r="F2818" i="2"/>
  <c r="F2822" i="2"/>
  <c r="F2824" i="2"/>
  <c r="F2820" i="2"/>
  <c r="F2823" i="2"/>
  <c r="F2821" i="2"/>
  <c r="F2826" i="2"/>
  <c r="F2825" i="2"/>
  <c r="F2828" i="2"/>
  <c r="F2829" i="2"/>
  <c r="F2827" i="2"/>
  <c r="F2830" i="2"/>
  <c r="F2832" i="2"/>
  <c r="F2831" i="2"/>
  <c r="F2834" i="2"/>
  <c r="F2833" i="2"/>
  <c r="F2835" i="2"/>
  <c r="F2836" i="2"/>
  <c r="F2837" i="2"/>
  <c r="F2838" i="2"/>
  <c r="F2839" i="2"/>
  <c r="F2840" i="2"/>
  <c r="F2841" i="2"/>
  <c r="F2843" i="2"/>
  <c r="F2842" i="2"/>
  <c r="F2844" i="2"/>
  <c r="F2845" i="2"/>
  <c r="F2847" i="2"/>
  <c r="F2846" i="2"/>
  <c r="F2848" i="2"/>
  <c r="F2849" i="2"/>
  <c r="F2852" i="2"/>
  <c r="F2851" i="2"/>
  <c r="F2850" i="2"/>
  <c r="F2853" i="2"/>
  <c r="F2854" i="2"/>
  <c r="F2855" i="2"/>
  <c r="F2856" i="2"/>
  <c r="F2857" i="2"/>
  <c r="F2858" i="2"/>
  <c r="F2863" i="2"/>
  <c r="F2860" i="2"/>
  <c r="F2861" i="2"/>
  <c r="F2859" i="2"/>
  <c r="F2862" i="2"/>
  <c r="F2864" i="2"/>
  <c r="F2865" i="2"/>
  <c r="F2868" i="2"/>
  <c r="F2871" i="2"/>
  <c r="F2867" i="2"/>
  <c r="F2870" i="2"/>
  <c r="F2869" i="2"/>
  <c r="F2866" i="2"/>
  <c r="F2872" i="2"/>
  <c r="F2873" i="2"/>
  <c r="F2874" i="2"/>
  <c r="F2877" i="2"/>
  <c r="F2879" i="2"/>
  <c r="F2878" i="2"/>
  <c r="F2880" i="2"/>
  <c r="F2876" i="2"/>
  <c r="F2875" i="2"/>
  <c r="F2884" i="2"/>
  <c r="F2881" i="2"/>
  <c r="F2882" i="2"/>
  <c r="F2883" i="2"/>
  <c r="F2885" i="2"/>
  <c r="F2886" i="2"/>
  <c r="F2888" i="2"/>
  <c r="F2887" i="2"/>
  <c r="F2889" i="2"/>
  <c r="F2891" i="2"/>
  <c r="F2890" i="2"/>
  <c r="F2893" i="2"/>
  <c r="F2892" i="2"/>
  <c r="F2897" i="2"/>
  <c r="F2896" i="2"/>
  <c r="F2895" i="2"/>
  <c r="F2894" i="2"/>
  <c r="F2900" i="2"/>
  <c r="F2899" i="2"/>
  <c r="F2902" i="2"/>
  <c r="F2898" i="2"/>
  <c r="F2901" i="2"/>
  <c r="F2904" i="2"/>
  <c r="F2903" i="2"/>
  <c r="F2906" i="2"/>
  <c r="F2905" i="2"/>
  <c r="F2908" i="2"/>
  <c r="F2907" i="2"/>
  <c r="F2911" i="2"/>
  <c r="F2910" i="2"/>
  <c r="F2909" i="2"/>
  <c r="F2913" i="2"/>
  <c r="F2912" i="2"/>
  <c r="F2916" i="2"/>
  <c r="F2917" i="2"/>
  <c r="F2918" i="2"/>
  <c r="F2914" i="2"/>
  <c r="F2915" i="2"/>
  <c r="F2919" i="2"/>
  <c r="F2920" i="2"/>
  <c r="F2922" i="2"/>
  <c r="F2923" i="2"/>
  <c r="F2921" i="2"/>
  <c r="F2925" i="2"/>
  <c r="F2924" i="2"/>
  <c r="F2926" i="2"/>
  <c r="F2928" i="2"/>
  <c r="F2929" i="2"/>
  <c r="F2930" i="2"/>
  <c r="F2931" i="2"/>
  <c r="F2927" i="2"/>
  <c r="F2932" i="2"/>
  <c r="F2936" i="2"/>
  <c r="F2934" i="2"/>
  <c r="F2937" i="2"/>
  <c r="F2935" i="2"/>
  <c r="F2933" i="2"/>
  <c r="F2940" i="2"/>
  <c r="F2938" i="2"/>
  <c r="F2939" i="2"/>
  <c r="F2943" i="2"/>
  <c r="F2946" i="2"/>
  <c r="F2942" i="2"/>
  <c r="F2945" i="2"/>
  <c r="F2944" i="2"/>
  <c r="F2941" i="2"/>
  <c r="F2947" i="2"/>
  <c r="F2948" i="2"/>
  <c r="F2950" i="2"/>
  <c r="F2952" i="2"/>
  <c r="F2953" i="2"/>
  <c r="F2949" i="2"/>
  <c r="F2951" i="2"/>
  <c r="F2955" i="2"/>
  <c r="F2954" i="2"/>
  <c r="F2957" i="2"/>
  <c r="F2958" i="2"/>
  <c r="F2956" i="2"/>
  <c r="F2961" i="2"/>
  <c r="F2959" i="2"/>
  <c r="F2960" i="2"/>
  <c r="F2962" i="2"/>
  <c r="F2965" i="2"/>
  <c r="F2966" i="2"/>
  <c r="F2964" i="2"/>
  <c r="F2963" i="2"/>
  <c r="F2968" i="2"/>
  <c r="F2969" i="2"/>
  <c r="F2967" i="2"/>
  <c r="F2971" i="2"/>
  <c r="F2970" i="2"/>
  <c r="F2972" i="2"/>
  <c r="F2973" i="2"/>
  <c r="F2974" i="2"/>
  <c r="F2978" i="2"/>
  <c r="F2975" i="2"/>
  <c r="F2976" i="2"/>
  <c r="F2977" i="2"/>
  <c r="F2982" i="2"/>
  <c r="F2985" i="2"/>
  <c r="F2979" i="2"/>
  <c r="F2984" i="2"/>
  <c r="F2983" i="2"/>
  <c r="F2981" i="2"/>
  <c r="F2980" i="2"/>
  <c r="F2988" i="2"/>
  <c r="F2987" i="2"/>
  <c r="F2986" i="2"/>
  <c r="F2989" i="2"/>
  <c r="F2991" i="2"/>
  <c r="F2992" i="2"/>
  <c r="F2993" i="2"/>
  <c r="F2990" i="2"/>
  <c r="F2997" i="2"/>
  <c r="F2995" i="2"/>
  <c r="F2996" i="2"/>
  <c r="F2994" i="2"/>
  <c r="F3000" i="2"/>
  <c r="F3002" i="2"/>
  <c r="F3001" i="2"/>
  <c r="F2999" i="2"/>
  <c r="F2998" i="2"/>
  <c r="F3004" i="2"/>
  <c r="F3005" i="2"/>
  <c r="F3003" i="2"/>
  <c r="F3006" i="2"/>
  <c r="F3009" i="2"/>
  <c r="F3008" i="2"/>
  <c r="F3007" i="2"/>
  <c r="F3010" i="2"/>
  <c r="F3012" i="2"/>
  <c r="F3013" i="2"/>
  <c r="F3011" i="2"/>
  <c r="F3014" i="2"/>
  <c r="F3015" i="2"/>
  <c r="F3017" i="2"/>
  <c r="F3016" i="2"/>
  <c r="F3018" i="2"/>
  <c r="F3019" i="2"/>
  <c r="F3023" i="2"/>
  <c r="F3022" i="2"/>
  <c r="F3021" i="2"/>
  <c r="F3020" i="2"/>
  <c r="F3026" i="2"/>
  <c r="F3025" i="2"/>
  <c r="F3024" i="2"/>
  <c r="F3027" i="2"/>
  <c r="F3029" i="2"/>
  <c r="F3028" i="2"/>
  <c r="F3030" i="2"/>
  <c r="F3031" i="2"/>
  <c r="F3032" i="2"/>
  <c r="F3033" i="2"/>
  <c r="F3035" i="2"/>
  <c r="F3034" i="2"/>
  <c r="F3037" i="2"/>
  <c r="F3038" i="2"/>
  <c r="F3036" i="2"/>
  <c r="F3039" i="2"/>
  <c r="F3043" i="2"/>
  <c r="F3040" i="2"/>
  <c r="F3042" i="2"/>
  <c r="F3041" i="2"/>
  <c r="F3046" i="2"/>
  <c r="F3045" i="2"/>
  <c r="F3044" i="2"/>
  <c r="F3049" i="2"/>
  <c r="F3048" i="2"/>
  <c r="F3047" i="2"/>
  <c r="F3050" i="2"/>
  <c r="F3051" i="2"/>
  <c r="F3052" i="2"/>
  <c r="F3055" i="2"/>
  <c r="F3053" i="2"/>
  <c r="F3054" i="2"/>
  <c r="F3056" i="2"/>
  <c r="F3059" i="2"/>
  <c r="F3058" i="2"/>
  <c r="F3057" i="2"/>
  <c r="F3060" i="2"/>
  <c r="F3065" i="2"/>
  <c r="F3063" i="2"/>
  <c r="F3062" i="2"/>
  <c r="F3064" i="2"/>
  <c r="F3066" i="2"/>
  <c r="F3061" i="2"/>
  <c r="F3068" i="2"/>
  <c r="F3067" i="2"/>
  <c r="F3069" i="2"/>
  <c r="F3071" i="2"/>
  <c r="F3070" i="2"/>
  <c r="F3077" i="2"/>
  <c r="F3073" i="2"/>
  <c r="F3074" i="2"/>
  <c r="F3075" i="2"/>
  <c r="F3076" i="2"/>
  <c r="F3072" i="2"/>
  <c r="F3080" i="2"/>
  <c r="F3078" i="2"/>
  <c r="F3081" i="2"/>
  <c r="F3079" i="2"/>
  <c r="F3082" i="2"/>
  <c r="F3083" i="2"/>
  <c r="F3084" i="2"/>
  <c r="F3086" i="2"/>
  <c r="F3085" i="2"/>
  <c r="F3087" i="2"/>
  <c r="F3089" i="2"/>
  <c r="F3088" i="2"/>
  <c r="F3090" i="2"/>
  <c r="F3091" i="2"/>
  <c r="F3092" i="2"/>
  <c r="F3096" i="2"/>
  <c r="F3097" i="2"/>
  <c r="F3098" i="2"/>
  <c r="F3095" i="2"/>
  <c r="F3093" i="2"/>
  <c r="F3094" i="2"/>
  <c r="F3099" i="2"/>
  <c r="F3102" i="2"/>
  <c r="F3104" i="2"/>
  <c r="F3101" i="2"/>
  <c r="F3100" i="2"/>
  <c r="F3103" i="2"/>
  <c r="F3105" i="2"/>
  <c r="F3107" i="2"/>
  <c r="F3106" i="2"/>
  <c r="F3108" i="2"/>
  <c r="F3109" i="2"/>
  <c r="F3110" i="2"/>
  <c r="F3112" i="2"/>
  <c r="F3113" i="2"/>
  <c r="F3111" i="2"/>
  <c r="F3117" i="2"/>
  <c r="F3114" i="2"/>
  <c r="F3116" i="2"/>
  <c r="F3115" i="2"/>
  <c r="F3118" i="2"/>
  <c r="F3119" i="2"/>
  <c r="F3121" i="2"/>
  <c r="F3123" i="2"/>
  <c r="F3120" i="2"/>
  <c r="F3122" i="2"/>
  <c r="F3124" i="2"/>
  <c r="F3125" i="2"/>
  <c r="F3126" i="2"/>
  <c r="F3127" i="2"/>
  <c r="F3128" i="2"/>
  <c r="F3130" i="2"/>
  <c r="F3129" i="2"/>
  <c r="F3131" i="2"/>
  <c r="F3132" i="2"/>
  <c r="F3133" i="2"/>
  <c r="F3134" i="2"/>
  <c r="F3136" i="2"/>
  <c r="F3137" i="2"/>
  <c r="F3138" i="2"/>
  <c r="F3135" i="2"/>
  <c r="F3139" i="2"/>
  <c r="F3141" i="2"/>
  <c r="F3140" i="2"/>
  <c r="F3142" i="2"/>
  <c r="F3143" i="2"/>
  <c r="F3144" i="2"/>
  <c r="F3145" i="2"/>
  <c r="F3150" i="2"/>
  <c r="F3147" i="2"/>
  <c r="F3148" i="2"/>
  <c r="F3149" i="2"/>
  <c r="F3146" i="2"/>
  <c r="F3151" i="2"/>
  <c r="F3152" i="2"/>
  <c r="F3153" i="2"/>
  <c r="F3155" i="2"/>
  <c r="F3154" i="2"/>
  <c r="F3156" i="2"/>
  <c r="F3159" i="2"/>
  <c r="F3157" i="2"/>
  <c r="F3160" i="2"/>
  <c r="F3161" i="2"/>
  <c r="F3158" i="2"/>
  <c r="F3162" i="2"/>
  <c r="F3163" i="2"/>
  <c r="F3164" i="2"/>
  <c r="F3167" i="2"/>
  <c r="F3165" i="2"/>
  <c r="F3166" i="2"/>
  <c r="F3169" i="2"/>
  <c r="F3168" i="2"/>
  <c r="F3170" i="2"/>
  <c r="F3173" i="2"/>
  <c r="F3172" i="2"/>
  <c r="F3171" i="2"/>
  <c r="F3174" i="2"/>
  <c r="F3175" i="2"/>
  <c r="F3176" i="2"/>
  <c r="F3179" i="2"/>
  <c r="F3177" i="2"/>
  <c r="F3178" i="2"/>
  <c r="F3180" i="2"/>
  <c r="F3181" i="2"/>
  <c r="F3184" i="2"/>
  <c r="F3185" i="2"/>
  <c r="F3188" i="2"/>
  <c r="F3183" i="2"/>
  <c r="F3187" i="2"/>
  <c r="F3182" i="2"/>
  <c r="F3186" i="2"/>
  <c r="F3192" i="2"/>
  <c r="F3191" i="2"/>
  <c r="F3189" i="2"/>
  <c r="F3190" i="2"/>
  <c r="F3194" i="2"/>
  <c r="F3193" i="2"/>
  <c r="F3197" i="2"/>
  <c r="F3195" i="2"/>
  <c r="F3196" i="2"/>
  <c r="F3198" i="2"/>
  <c r="F3199" i="2"/>
  <c r="F3201" i="2"/>
  <c r="F3202" i="2"/>
  <c r="F3203" i="2"/>
  <c r="F3204" i="2"/>
  <c r="F3200" i="2"/>
  <c r="E4" i="2"/>
  <c r="E2" i="2"/>
  <c r="E5" i="2"/>
  <c r="E3" i="2"/>
  <c r="E6" i="2"/>
  <c r="E9" i="2"/>
  <c r="E8" i="2"/>
  <c r="E10" i="2"/>
  <c r="E7" i="2"/>
  <c r="E12" i="2"/>
  <c r="E14" i="2"/>
  <c r="E13" i="2"/>
  <c r="E11" i="2"/>
  <c r="E17" i="2"/>
  <c r="E18" i="2"/>
  <c r="E19" i="2"/>
  <c r="E16" i="2"/>
  <c r="E15" i="2"/>
  <c r="E20" i="2"/>
  <c r="E22" i="2"/>
  <c r="E21" i="2"/>
  <c r="E26" i="2"/>
  <c r="E24" i="2"/>
  <c r="E27" i="2"/>
  <c r="E23" i="2"/>
  <c r="E25" i="2"/>
  <c r="E31" i="2"/>
  <c r="E28" i="2"/>
  <c r="E29" i="2"/>
  <c r="E32" i="2"/>
  <c r="E30" i="2"/>
  <c r="E33" i="2"/>
  <c r="E35" i="2"/>
  <c r="E37" i="2"/>
  <c r="E38" i="2"/>
  <c r="E34" i="2"/>
  <c r="E36" i="2"/>
  <c r="E39" i="2"/>
  <c r="E41" i="2"/>
  <c r="E42" i="2"/>
  <c r="E40" i="2"/>
  <c r="E45" i="2"/>
  <c r="E47" i="2"/>
  <c r="E48" i="2"/>
  <c r="E43" i="2"/>
  <c r="E46" i="2"/>
  <c r="E44" i="2"/>
  <c r="E49" i="2"/>
  <c r="E50" i="2"/>
  <c r="E51" i="2"/>
  <c r="E53" i="2"/>
  <c r="E52" i="2"/>
  <c r="E55" i="2"/>
  <c r="E54" i="2"/>
  <c r="E56" i="2"/>
  <c r="E58" i="2"/>
  <c r="E57" i="2"/>
  <c r="E59" i="2"/>
  <c r="E60" i="2"/>
  <c r="E61" i="2"/>
  <c r="E66" i="2"/>
  <c r="E63" i="2"/>
  <c r="E64" i="2"/>
  <c r="E65" i="2"/>
  <c r="E62" i="2"/>
  <c r="E69" i="2"/>
  <c r="E70" i="2"/>
  <c r="E68" i="2"/>
  <c r="E67" i="2"/>
  <c r="E71" i="2"/>
  <c r="E73" i="2"/>
  <c r="E72" i="2"/>
  <c r="E74" i="2"/>
  <c r="E76" i="2"/>
  <c r="E75" i="2"/>
  <c r="E78" i="2"/>
  <c r="E77" i="2"/>
  <c r="E80" i="2"/>
  <c r="E79" i="2"/>
  <c r="E82" i="2"/>
  <c r="E81" i="2"/>
  <c r="E84" i="2"/>
  <c r="E85" i="2"/>
  <c r="E86" i="2"/>
  <c r="E83" i="2"/>
  <c r="E89" i="2"/>
  <c r="E87" i="2"/>
  <c r="E88" i="2"/>
  <c r="E91" i="2"/>
  <c r="E90" i="2"/>
  <c r="E92" i="2"/>
  <c r="E93" i="2"/>
  <c r="E94" i="2"/>
  <c r="E95" i="2"/>
  <c r="E97" i="2"/>
  <c r="E96" i="2"/>
  <c r="E98" i="2"/>
  <c r="E101" i="2"/>
  <c r="E99" i="2"/>
  <c r="E100" i="2"/>
  <c r="E102" i="2"/>
  <c r="E103" i="2"/>
  <c r="E105" i="2"/>
  <c r="E104" i="2"/>
  <c r="E106" i="2"/>
  <c r="E107" i="2"/>
  <c r="E109" i="2"/>
  <c r="E110" i="2"/>
  <c r="E108" i="2"/>
  <c r="E115" i="2"/>
  <c r="E114" i="2"/>
  <c r="E111" i="2"/>
  <c r="E113" i="2"/>
  <c r="E112" i="2"/>
  <c r="E119" i="2"/>
  <c r="E118" i="2"/>
  <c r="E116" i="2"/>
  <c r="E120" i="2"/>
  <c r="E117" i="2"/>
  <c r="E124" i="2"/>
  <c r="E122" i="2"/>
  <c r="E121" i="2"/>
  <c r="E123" i="2"/>
  <c r="E126" i="2"/>
  <c r="E127" i="2"/>
  <c r="E125" i="2"/>
  <c r="E128" i="2"/>
  <c r="E129" i="2"/>
  <c r="E130" i="2"/>
  <c r="E131" i="2"/>
  <c r="E132" i="2"/>
  <c r="E133" i="2"/>
  <c r="E137" i="2"/>
  <c r="E135" i="2"/>
  <c r="E136" i="2"/>
  <c r="E134" i="2"/>
  <c r="E139" i="2"/>
  <c r="E138" i="2"/>
  <c r="E140" i="2"/>
  <c r="E142" i="2"/>
  <c r="E141" i="2"/>
  <c r="E143" i="2"/>
  <c r="E144" i="2"/>
  <c r="E145" i="2"/>
  <c r="E146" i="2"/>
  <c r="E150" i="2"/>
  <c r="E148" i="2"/>
  <c r="E149" i="2"/>
  <c r="E147" i="2"/>
  <c r="E151" i="2"/>
  <c r="E152" i="2"/>
  <c r="E153" i="2"/>
  <c r="E155" i="2"/>
  <c r="E154" i="2"/>
  <c r="E156" i="2"/>
  <c r="E158" i="2"/>
  <c r="E157" i="2"/>
  <c r="E162" i="2"/>
  <c r="E159" i="2"/>
  <c r="E160" i="2"/>
  <c r="E161" i="2"/>
  <c r="E163" i="2"/>
  <c r="E164" i="2"/>
  <c r="E165" i="2"/>
  <c r="E169" i="2"/>
  <c r="E172" i="2"/>
  <c r="E173" i="2"/>
  <c r="E170" i="2"/>
  <c r="E168" i="2"/>
  <c r="E166" i="2"/>
  <c r="E167" i="2"/>
  <c r="E171" i="2"/>
  <c r="E177" i="2"/>
  <c r="E175" i="2"/>
  <c r="E174" i="2"/>
  <c r="E176" i="2"/>
  <c r="E179" i="2"/>
  <c r="E180" i="2"/>
  <c r="E178" i="2"/>
  <c r="E185" i="2"/>
  <c r="E184" i="2"/>
  <c r="E181" i="2"/>
  <c r="E182" i="2"/>
  <c r="E183" i="2"/>
  <c r="E186" i="2"/>
  <c r="E191" i="2"/>
  <c r="E189" i="2"/>
  <c r="E187" i="2"/>
  <c r="E188" i="2"/>
  <c r="E192" i="2"/>
  <c r="E190" i="2"/>
  <c r="E193" i="2"/>
  <c r="E194" i="2"/>
  <c r="E202" i="2"/>
  <c r="E199" i="2"/>
  <c r="E195" i="2"/>
  <c r="E200" i="2"/>
  <c r="E197" i="2"/>
  <c r="E198" i="2"/>
  <c r="E201" i="2"/>
  <c r="E196" i="2"/>
  <c r="E203" i="2"/>
  <c r="E206" i="2"/>
  <c r="E204" i="2"/>
  <c r="E205" i="2"/>
  <c r="E211" i="2"/>
  <c r="E208" i="2"/>
  <c r="E207" i="2"/>
  <c r="E210" i="2"/>
  <c r="E209" i="2"/>
  <c r="E214" i="2"/>
  <c r="E213" i="2"/>
  <c r="E212" i="2"/>
  <c r="E216" i="2"/>
  <c r="E217" i="2"/>
  <c r="E215" i="2"/>
  <c r="E222" i="2"/>
  <c r="E219" i="2"/>
  <c r="E223" i="2"/>
  <c r="E220" i="2"/>
  <c r="E221" i="2"/>
  <c r="E218" i="2"/>
  <c r="E227" i="2"/>
  <c r="E226" i="2"/>
  <c r="E225" i="2"/>
  <c r="E224" i="2"/>
  <c r="E228" i="2"/>
  <c r="E229" i="2"/>
  <c r="E230" i="2"/>
  <c r="E235" i="2"/>
  <c r="E234" i="2"/>
  <c r="E232" i="2"/>
  <c r="E236" i="2"/>
  <c r="E233" i="2"/>
  <c r="E231" i="2"/>
  <c r="E237" i="2"/>
  <c r="E238" i="2"/>
  <c r="E240" i="2"/>
  <c r="E239" i="2"/>
  <c r="E241" i="2"/>
  <c r="E244" i="2"/>
  <c r="E243" i="2"/>
  <c r="E246" i="2"/>
  <c r="E242" i="2"/>
  <c r="E245" i="2"/>
  <c r="E247" i="2"/>
  <c r="E248" i="2"/>
  <c r="E250" i="2"/>
  <c r="E251" i="2"/>
  <c r="E249" i="2"/>
  <c r="E253" i="2"/>
  <c r="E252" i="2"/>
  <c r="E254" i="2"/>
  <c r="E257" i="2"/>
  <c r="E255" i="2"/>
  <c r="E256" i="2"/>
  <c r="E259" i="2"/>
  <c r="E258" i="2"/>
  <c r="E260" i="2"/>
  <c r="E261" i="2"/>
  <c r="E262" i="2"/>
  <c r="E264" i="2"/>
  <c r="E263" i="2"/>
  <c r="E266" i="2"/>
  <c r="E265" i="2"/>
  <c r="E267" i="2"/>
  <c r="E269" i="2"/>
  <c r="E268" i="2"/>
  <c r="E270" i="2"/>
  <c r="E272" i="2"/>
  <c r="E271" i="2"/>
  <c r="E274" i="2"/>
  <c r="E276" i="2"/>
  <c r="E273" i="2"/>
  <c r="E275" i="2"/>
  <c r="E277" i="2"/>
  <c r="E278" i="2"/>
  <c r="E279" i="2"/>
  <c r="E280" i="2"/>
  <c r="E281" i="2"/>
  <c r="E282" i="2"/>
  <c r="E284" i="2"/>
  <c r="E285" i="2"/>
  <c r="E283" i="2"/>
  <c r="E287" i="2"/>
  <c r="E286" i="2"/>
  <c r="E288" i="2"/>
  <c r="E293" i="2"/>
  <c r="E291" i="2"/>
  <c r="E290" i="2"/>
  <c r="E294" i="2"/>
  <c r="E289" i="2"/>
  <c r="E292" i="2"/>
  <c r="E295" i="2"/>
  <c r="E297" i="2"/>
  <c r="E296" i="2"/>
  <c r="E299" i="2"/>
  <c r="E300" i="2"/>
  <c r="E298" i="2"/>
  <c r="E301" i="2"/>
  <c r="E304" i="2"/>
  <c r="E302" i="2"/>
  <c r="E303" i="2"/>
  <c r="E306" i="2"/>
  <c r="E307" i="2"/>
  <c r="E305" i="2"/>
  <c r="E308" i="2"/>
  <c r="E310" i="2"/>
  <c r="E311" i="2"/>
  <c r="E312" i="2"/>
  <c r="E309" i="2"/>
  <c r="E313" i="2"/>
  <c r="E314" i="2"/>
  <c r="E317" i="2"/>
  <c r="E315" i="2"/>
  <c r="E316" i="2"/>
  <c r="E321" i="2"/>
  <c r="E319" i="2"/>
  <c r="E318" i="2"/>
  <c r="E320" i="2"/>
  <c r="E326" i="2"/>
  <c r="E322" i="2"/>
  <c r="E327" i="2"/>
  <c r="E325" i="2"/>
  <c r="E324" i="2"/>
  <c r="E323" i="2"/>
  <c r="E329" i="2"/>
  <c r="E331" i="2"/>
  <c r="E330" i="2"/>
  <c r="E332" i="2"/>
  <c r="E334" i="2"/>
  <c r="E335" i="2"/>
  <c r="E333" i="2"/>
  <c r="E328" i="2"/>
  <c r="E338" i="2"/>
  <c r="E336" i="2"/>
  <c r="E337" i="2"/>
  <c r="E341" i="2"/>
  <c r="E340" i="2"/>
  <c r="E339" i="2"/>
  <c r="E349" i="2"/>
  <c r="E345" i="2"/>
  <c r="E342" i="2"/>
  <c r="E348" i="2"/>
  <c r="E346" i="2"/>
  <c r="E347" i="2"/>
  <c r="E344" i="2"/>
  <c r="E343" i="2"/>
  <c r="E352" i="2"/>
  <c r="E353" i="2"/>
  <c r="E351" i="2"/>
  <c r="E350" i="2"/>
  <c r="E354" i="2"/>
  <c r="E356" i="2"/>
  <c r="E355" i="2"/>
  <c r="E360" i="2"/>
  <c r="E359" i="2"/>
  <c r="E358" i="2"/>
  <c r="E362" i="2"/>
  <c r="E361" i="2"/>
  <c r="E357" i="2"/>
  <c r="E364" i="2"/>
  <c r="E365" i="2"/>
  <c r="E363" i="2"/>
  <c r="E369" i="2"/>
  <c r="E368" i="2"/>
  <c r="E366" i="2"/>
  <c r="E370" i="2"/>
  <c r="E371" i="2"/>
  <c r="E367" i="2"/>
  <c r="E374" i="2"/>
  <c r="E373" i="2"/>
  <c r="E372" i="2"/>
  <c r="E375" i="2"/>
  <c r="E376" i="2"/>
  <c r="E379" i="2"/>
  <c r="E378" i="2"/>
  <c r="E381" i="2"/>
  <c r="E377" i="2"/>
  <c r="E380" i="2"/>
  <c r="E382" i="2"/>
  <c r="E383" i="2"/>
  <c r="E384" i="2"/>
  <c r="E385" i="2"/>
  <c r="E386" i="2"/>
  <c r="E387" i="2"/>
  <c r="E390" i="2"/>
  <c r="E389" i="2"/>
  <c r="E388" i="2"/>
  <c r="E393" i="2"/>
  <c r="E392" i="2"/>
  <c r="E391" i="2"/>
  <c r="E395" i="2"/>
  <c r="E394" i="2"/>
  <c r="E397" i="2"/>
  <c r="E396" i="2"/>
  <c r="E398" i="2"/>
  <c r="E399" i="2"/>
  <c r="E400" i="2"/>
  <c r="E401" i="2"/>
  <c r="E402" i="2"/>
  <c r="E403" i="2"/>
  <c r="E404" i="2"/>
  <c r="E405" i="2"/>
  <c r="E408" i="2"/>
  <c r="E407" i="2"/>
  <c r="E406" i="2"/>
  <c r="E409" i="2"/>
  <c r="E410" i="2"/>
  <c r="E412" i="2"/>
  <c r="E411" i="2"/>
  <c r="E416" i="2"/>
  <c r="E415" i="2"/>
  <c r="E414" i="2"/>
  <c r="E413" i="2"/>
  <c r="E418" i="2"/>
  <c r="E417" i="2"/>
  <c r="E419" i="2"/>
  <c r="E422" i="2"/>
  <c r="E420" i="2"/>
  <c r="E421" i="2"/>
  <c r="E424" i="2"/>
  <c r="E423" i="2"/>
  <c r="E425" i="2"/>
  <c r="E428" i="2"/>
  <c r="E427" i="2"/>
  <c r="E429" i="2"/>
  <c r="E426" i="2"/>
  <c r="E430" i="2"/>
  <c r="E431" i="2"/>
  <c r="E432" i="2"/>
  <c r="E433" i="2"/>
  <c r="E434" i="2"/>
  <c r="E435" i="2"/>
  <c r="E437" i="2"/>
  <c r="E436" i="2"/>
  <c r="E439" i="2"/>
  <c r="E438" i="2"/>
  <c r="E441" i="2"/>
  <c r="E440" i="2"/>
  <c r="E442" i="2"/>
  <c r="E443" i="2"/>
  <c r="E446" i="2"/>
  <c r="E444" i="2"/>
  <c r="E445" i="2"/>
  <c r="E451" i="2"/>
  <c r="E450" i="2"/>
  <c r="E448" i="2"/>
  <c r="E452" i="2"/>
  <c r="E449" i="2"/>
  <c r="E447" i="2"/>
  <c r="E453" i="2"/>
  <c r="E454" i="2"/>
  <c r="E455" i="2"/>
  <c r="E458" i="2"/>
  <c r="E456" i="2"/>
  <c r="E459" i="2"/>
  <c r="E457" i="2"/>
  <c r="E461" i="2"/>
  <c r="E460" i="2"/>
  <c r="E463" i="2"/>
  <c r="E462" i="2"/>
  <c r="E465" i="2"/>
  <c r="E464" i="2"/>
  <c r="E467" i="2"/>
  <c r="E466" i="2"/>
  <c r="E468" i="2"/>
  <c r="E471" i="2"/>
  <c r="E469" i="2"/>
  <c r="E472" i="2"/>
  <c r="E473" i="2"/>
  <c r="E470" i="2"/>
  <c r="E477" i="2"/>
  <c r="E475" i="2"/>
  <c r="E480" i="2"/>
  <c r="E481" i="2"/>
  <c r="E478" i="2"/>
  <c r="E476" i="2"/>
  <c r="E479" i="2"/>
  <c r="E474" i="2"/>
  <c r="E486" i="2"/>
  <c r="E484" i="2"/>
  <c r="E483" i="2"/>
  <c r="E485" i="2"/>
  <c r="E482" i="2"/>
  <c r="E489" i="2"/>
  <c r="E492" i="2"/>
  <c r="E491" i="2"/>
  <c r="E487" i="2"/>
  <c r="E488" i="2"/>
  <c r="E490" i="2"/>
  <c r="E496" i="2"/>
  <c r="E494" i="2"/>
  <c r="E495" i="2"/>
  <c r="E493" i="2"/>
  <c r="E500" i="2"/>
  <c r="E498" i="2"/>
  <c r="E497" i="2"/>
  <c r="E499" i="2"/>
  <c r="E502" i="2"/>
  <c r="E503" i="2"/>
  <c r="E501" i="2"/>
  <c r="E504" i="2"/>
  <c r="E505" i="2"/>
  <c r="E507" i="2"/>
  <c r="E506" i="2"/>
  <c r="E508" i="2"/>
  <c r="E509" i="2"/>
  <c r="E510" i="2"/>
  <c r="E511" i="2"/>
  <c r="E512" i="2"/>
  <c r="E516" i="2"/>
  <c r="E514" i="2"/>
  <c r="E515" i="2"/>
  <c r="E513" i="2"/>
  <c r="E517" i="2"/>
  <c r="E518" i="2"/>
  <c r="E520" i="2"/>
  <c r="E519" i="2"/>
  <c r="E522" i="2"/>
  <c r="E521" i="2"/>
  <c r="E523" i="2"/>
  <c r="E530" i="2"/>
  <c r="E525" i="2"/>
  <c r="E526" i="2"/>
  <c r="E524" i="2"/>
  <c r="E529" i="2"/>
  <c r="E527" i="2"/>
  <c r="E528" i="2"/>
  <c r="E531" i="2"/>
  <c r="E532" i="2"/>
  <c r="E533" i="2"/>
  <c r="E534" i="2"/>
  <c r="E538" i="2"/>
  <c r="E539" i="2"/>
  <c r="E535" i="2"/>
  <c r="E537" i="2"/>
  <c r="E536" i="2"/>
  <c r="E540" i="2"/>
  <c r="E542" i="2"/>
  <c r="E541" i="2"/>
  <c r="E544" i="2"/>
  <c r="E543" i="2"/>
  <c r="E545" i="2"/>
  <c r="E549" i="2"/>
  <c r="E547" i="2"/>
  <c r="E548" i="2"/>
  <c r="E546" i="2"/>
  <c r="E550" i="2"/>
  <c r="E553" i="2"/>
  <c r="E554" i="2"/>
  <c r="E555" i="2"/>
  <c r="E552" i="2"/>
  <c r="E551" i="2"/>
  <c r="E556" i="2"/>
  <c r="E557" i="2"/>
  <c r="E560" i="2"/>
  <c r="E559" i="2"/>
  <c r="E558" i="2"/>
  <c r="E562" i="2"/>
  <c r="E561" i="2"/>
  <c r="E563" i="2"/>
  <c r="E566" i="2"/>
  <c r="E565" i="2"/>
  <c r="E564" i="2"/>
  <c r="E567" i="2"/>
  <c r="E568" i="2"/>
  <c r="E569" i="2"/>
  <c r="E571" i="2"/>
  <c r="E570" i="2"/>
  <c r="E574" i="2"/>
  <c r="E575" i="2"/>
  <c r="E576" i="2"/>
  <c r="E573" i="2"/>
  <c r="E572" i="2"/>
  <c r="E578" i="2"/>
  <c r="E577" i="2"/>
  <c r="E579" i="2"/>
  <c r="E582" i="2"/>
  <c r="E581" i="2"/>
  <c r="E580" i="2"/>
  <c r="E584" i="2"/>
  <c r="E583" i="2"/>
  <c r="E590" i="2"/>
  <c r="E588" i="2"/>
  <c r="E589" i="2"/>
  <c r="E586" i="2"/>
  <c r="E585" i="2"/>
  <c r="E587" i="2"/>
  <c r="E591" i="2"/>
  <c r="E592" i="2"/>
  <c r="E594" i="2"/>
  <c r="E593" i="2"/>
  <c r="E595" i="2"/>
  <c r="E597" i="2"/>
  <c r="E596" i="2"/>
  <c r="E598" i="2"/>
  <c r="E600" i="2"/>
  <c r="E599" i="2"/>
  <c r="E601" i="2"/>
  <c r="E602" i="2"/>
  <c r="E604" i="2"/>
  <c r="E603" i="2"/>
  <c r="E605" i="2"/>
  <c r="E607" i="2"/>
  <c r="E606" i="2"/>
  <c r="E610" i="2"/>
  <c r="E612" i="2"/>
  <c r="E611" i="2"/>
  <c r="E609" i="2"/>
  <c r="E608" i="2"/>
  <c r="E613" i="2"/>
  <c r="E616" i="2"/>
  <c r="E615" i="2"/>
  <c r="E614" i="2"/>
  <c r="E619" i="2"/>
  <c r="E618" i="2"/>
  <c r="E620" i="2"/>
  <c r="E617" i="2"/>
  <c r="E621" i="2"/>
  <c r="E624" i="2"/>
  <c r="E623" i="2"/>
  <c r="E622" i="2"/>
  <c r="E625" i="2"/>
  <c r="E626" i="2"/>
  <c r="E628" i="2"/>
  <c r="E627" i="2"/>
  <c r="E629" i="2"/>
  <c r="E633" i="2"/>
  <c r="E634" i="2"/>
  <c r="E632" i="2"/>
  <c r="E630" i="2"/>
  <c r="E631" i="2"/>
  <c r="E636" i="2"/>
  <c r="E635" i="2"/>
  <c r="E638" i="2"/>
  <c r="E637" i="2"/>
  <c r="E640" i="2"/>
  <c r="E641" i="2"/>
  <c r="E642" i="2"/>
  <c r="E639" i="2"/>
  <c r="E647" i="2"/>
  <c r="E643" i="2"/>
  <c r="E646" i="2"/>
  <c r="E644" i="2"/>
  <c r="E645" i="2"/>
  <c r="E649" i="2"/>
  <c r="E653" i="2"/>
  <c r="E648" i="2"/>
  <c r="E651" i="2"/>
  <c r="E650" i="2"/>
  <c r="E652" i="2"/>
  <c r="E654" i="2"/>
  <c r="E656" i="2"/>
  <c r="E655" i="2"/>
  <c r="E658" i="2"/>
  <c r="E657" i="2"/>
  <c r="E659" i="2"/>
  <c r="E660" i="2"/>
  <c r="E662" i="2"/>
  <c r="E661" i="2"/>
  <c r="E663" i="2"/>
  <c r="E664" i="2"/>
  <c r="E665" i="2"/>
  <c r="E666" i="2"/>
  <c r="E667" i="2"/>
  <c r="E672" i="2"/>
  <c r="E670" i="2"/>
  <c r="E671" i="2"/>
  <c r="E668" i="2"/>
  <c r="E669" i="2"/>
  <c r="E673" i="2"/>
  <c r="E674" i="2"/>
  <c r="E675" i="2"/>
  <c r="E678" i="2"/>
  <c r="E676" i="2"/>
  <c r="E677" i="2"/>
  <c r="E679" i="2"/>
  <c r="E681" i="2"/>
  <c r="E680" i="2"/>
  <c r="E682" i="2"/>
  <c r="E686" i="2"/>
  <c r="E685" i="2"/>
  <c r="E683" i="2"/>
  <c r="E684" i="2"/>
  <c r="E687" i="2"/>
  <c r="E688" i="2"/>
  <c r="E690" i="2"/>
  <c r="E689" i="2"/>
  <c r="E693" i="2"/>
  <c r="E691" i="2"/>
  <c r="E692" i="2"/>
  <c r="E695" i="2"/>
  <c r="E694" i="2"/>
  <c r="E698" i="2"/>
  <c r="E696" i="2"/>
  <c r="E699" i="2"/>
  <c r="E697" i="2"/>
  <c r="E700" i="2"/>
  <c r="E701" i="2"/>
  <c r="E702" i="2"/>
  <c r="E704" i="2"/>
  <c r="E703" i="2"/>
  <c r="E706" i="2"/>
  <c r="E705" i="2"/>
  <c r="E708" i="2"/>
  <c r="E707" i="2"/>
  <c r="E710" i="2"/>
  <c r="E709" i="2"/>
  <c r="E713" i="2"/>
  <c r="E714" i="2"/>
  <c r="E711" i="2"/>
  <c r="E715" i="2"/>
  <c r="E712" i="2"/>
  <c r="E716" i="2"/>
  <c r="E718" i="2"/>
  <c r="E717" i="2"/>
  <c r="E719" i="2"/>
  <c r="E720" i="2"/>
  <c r="E722" i="2"/>
  <c r="E721" i="2"/>
  <c r="E726" i="2"/>
  <c r="E723" i="2"/>
  <c r="E724" i="2"/>
  <c r="E725" i="2"/>
  <c r="E727" i="2"/>
  <c r="E729" i="2"/>
  <c r="E728" i="2"/>
  <c r="E734" i="2"/>
  <c r="E732" i="2"/>
  <c r="E731" i="2"/>
  <c r="E730" i="2"/>
  <c r="E733" i="2"/>
  <c r="E735" i="2"/>
  <c r="E736" i="2"/>
  <c r="E737" i="2"/>
  <c r="E738" i="2"/>
  <c r="E739" i="2"/>
  <c r="E740" i="2"/>
  <c r="E743" i="2"/>
  <c r="E741" i="2"/>
  <c r="E742" i="2"/>
  <c r="E744" i="2"/>
  <c r="E745" i="2"/>
  <c r="E746" i="2"/>
  <c r="E747" i="2"/>
  <c r="E748" i="2"/>
  <c r="E750" i="2"/>
  <c r="E753" i="2"/>
  <c r="E752" i="2"/>
  <c r="E749" i="2"/>
  <c r="E751" i="2"/>
  <c r="E754" i="2"/>
  <c r="E757" i="2"/>
  <c r="E756" i="2"/>
  <c r="E755" i="2"/>
  <c r="E759" i="2"/>
  <c r="E758" i="2"/>
  <c r="E765" i="2"/>
  <c r="E763" i="2"/>
  <c r="E764" i="2"/>
  <c r="E761" i="2"/>
  <c r="E760" i="2"/>
  <c r="E762" i="2"/>
  <c r="E768" i="2"/>
  <c r="E766" i="2"/>
  <c r="E767" i="2"/>
  <c r="E769" i="2"/>
  <c r="E770" i="2"/>
  <c r="E772" i="2"/>
  <c r="E771" i="2"/>
  <c r="E773" i="2"/>
  <c r="E775" i="2"/>
  <c r="E774" i="2"/>
  <c r="E776" i="2"/>
  <c r="E777" i="2"/>
  <c r="E778" i="2"/>
  <c r="E779" i="2"/>
  <c r="E780" i="2"/>
  <c r="E781" i="2"/>
  <c r="E787" i="2"/>
  <c r="E783" i="2"/>
  <c r="E788" i="2"/>
  <c r="E785" i="2"/>
  <c r="E784" i="2"/>
  <c r="E786" i="2"/>
  <c r="E782" i="2"/>
  <c r="E789" i="2"/>
  <c r="E790" i="2"/>
  <c r="E792" i="2"/>
  <c r="E796" i="2"/>
  <c r="E791" i="2"/>
  <c r="E795" i="2"/>
  <c r="E793" i="2"/>
  <c r="E794" i="2"/>
  <c r="E798" i="2"/>
  <c r="E800" i="2"/>
  <c r="E797" i="2"/>
  <c r="E802" i="2"/>
  <c r="E799" i="2"/>
  <c r="E801" i="2"/>
  <c r="E803" i="2"/>
  <c r="E804" i="2"/>
  <c r="E805" i="2"/>
  <c r="E806" i="2"/>
  <c r="E808" i="2"/>
  <c r="E807" i="2"/>
  <c r="E810" i="2"/>
  <c r="E809" i="2"/>
  <c r="E812" i="2"/>
  <c r="E811" i="2"/>
  <c r="E813" i="2"/>
  <c r="E814" i="2"/>
  <c r="E816" i="2"/>
  <c r="E817" i="2"/>
  <c r="E815" i="2"/>
  <c r="E819" i="2"/>
  <c r="E818" i="2"/>
  <c r="E820" i="2"/>
  <c r="E822" i="2"/>
  <c r="E821" i="2"/>
  <c r="E824" i="2"/>
  <c r="E826" i="2"/>
  <c r="E823" i="2"/>
  <c r="E825" i="2"/>
  <c r="E828" i="2"/>
  <c r="E827" i="2"/>
  <c r="E829" i="2"/>
  <c r="E830" i="2"/>
  <c r="E832" i="2"/>
  <c r="E831" i="2"/>
  <c r="E833" i="2"/>
  <c r="E834" i="2"/>
  <c r="E837" i="2"/>
  <c r="E836" i="2"/>
  <c r="E835" i="2"/>
  <c r="E840" i="2"/>
  <c r="E841" i="2"/>
  <c r="E839" i="2"/>
  <c r="E838" i="2"/>
  <c r="E842" i="2"/>
  <c r="E845" i="2"/>
  <c r="E844" i="2"/>
  <c r="E843" i="2"/>
  <c r="E849" i="2"/>
  <c r="E847" i="2"/>
  <c r="E848" i="2"/>
  <c r="E850" i="2"/>
  <c r="E846" i="2"/>
  <c r="E852" i="2"/>
  <c r="E851" i="2"/>
  <c r="E853" i="2"/>
  <c r="E855" i="2"/>
  <c r="E857" i="2"/>
  <c r="E854" i="2"/>
  <c r="E856" i="2"/>
  <c r="E861" i="2"/>
  <c r="E862" i="2"/>
  <c r="E859" i="2"/>
  <c r="E858" i="2"/>
  <c r="E860" i="2"/>
  <c r="E866" i="2"/>
  <c r="E867" i="2"/>
  <c r="E863" i="2"/>
  <c r="E865" i="2"/>
  <c r="E864" i="2"/>
  <c r="E869" i="2"/>
  <c r="E872" i="2"/>
  <c r="E870" i="2"/>
  <c r="E868" i="2"/>
  <c r="E871" i="2"/>
  <c r="E875" i="2"/>
  <c r="E874" i="2"/>
  <c r="E873" i="2"/>
  <c r="E876" i="2"/>
  <c r="E877" i="2"/>
  <c r="E878" i="2"/>
  <c r="E879" i="2"/>
  <c r="E882" i="2"/>
  <c r="E880" i="2"/>
  <c r="E881" i="2"/>
  <c r="E885" i="2"/>
  <c r="E884" i="2"/>
  <c r="E886" i="2"/>
  <c r="E883" i="2"/>
  <c r="E887" i="2"/>
  <c r="E889" i="2"/>
  <c r="E890" i="2"/>
  <c r="E888" i="2"/>
  <c r="E891" i="2"/>
  <c r="E893" i="2"/>
  <c r="E892" i="2"/>
  <c r="E894" i="2"/>
  <c r="E895" i="2"/>
  <c r="E896" i="2"/>
  <c r="E898" i="2"/>
  <c r="E900" i="2"/>
  <c r="E897" i="2"/>
  <c r="E899" i="2"/>
  <c r="E901" i="2"/>
  <c r="E903" i="2"/>
  <c r="E902" i="2"/>
  <c r="E904" i="2"/>
  <c r="E906" i="2"/>
  <c r="E907" i="2"/>
  <c r="E905" i="2"/>
  <c r="E908" i="2"/>
  <c r="E911" i="2"/>
  <c r="E909" i="2"/>
  <c r="E910" i="2"/>
  <c r="E912" i="2"/>
  <c r="E913" i="2"/>
  <c r="E914" i="2"/>
  <c r="E919" i="2"/>
  <c r="E920" i="2"/>
  <c r="E917" i="2"/>
  <c r="E916" i="2"/>
  <c r="E915" i="2"/>
  <c r="E918" i="2"/>
  <c r="E923" i="2"/>
  <c r="E922" i="2"/>
  <c r="E921" i="2"/>
  <c r="E924" i="2"/>
  <c r="E925" i="2"/>
  <c r="E927" i="2"/>
  <c r="E926" i="2"/>
  <c r="E928" i="2"/>
  <c r="E929" i="2"/>
  <c r="E930" i="2"/>
  <c r="E931" i="2"/>
  <c r="E932" i="2"/>
  <c r="E933" i="2"/>
  <c r="E934" i="2"/>
  <c r="E936" i="2"/>
  <c r="E935" i="2"/>
  <c r="E938" i="2"/>
  <c r="E940" i="2"/>
  <c r="E937" i="2"/>
  <c r="E939" i="2"/>
  <c r="E941" i="2"/>
  <c r="E942" i="2"/>
  <c r="E945" i="2"/>
  <c r="E944" i="2"/>
  <c r="E943" i="2"/>
  <c r="E946" i="2"/>
  <c r="E948" i="2"/>
  <c r="E949" i="2"/>
  <c r="E947" i="2"/>
  <c r="E950" i="2"/>
  <c r="E953" i="2"/>
  <c r="E952" i="2"/>
  <c r="E951" i="2"/>
  <c r="E954" i="2"/>
  <c r="E958" i="2"/>
  <c r="E957" i="2"/>
  <c r="E955" i="2"/>
  <c r="E956" i="2"/>
  <c r="E961" i="2"/>
  <c r="E959" i="2"/>
  <c r="E962" i="2"/>
  <c r="E960" i="2"/>
  <c r="E966" i="2"/>
  <c r="E964" i="2"/>
  <c r="E963" i="2"/>
  <c r="E965" i="2"/>
  <c r="E968" i="2"/>
  <c r="E967" i="2"/>
  <c r="E970" i="2"/>
  <c r="E969" i="2"/>
  <c r="E972" i="2"/>
  <c r="E971" i="2"/>
  <c r="E973" i="2"/>
  <c r="E976" i="2"/>
  <c r="E975" i="2"/>
  <c r="E974" i="2"/>
  <c r="E977" i="2"/>
  <c r="E980" i="2"/>
  <c r="E979" i="2"/>
  <c r="E978" i="2"/>
  <c r="E984" i="2"/>
  <c r="E981" i="2"/>
  <c r="E983" i="2"/>
  <c r="E986" i="2"/>
  <c r="E985" i="2"/>
  <c r="E982" i="2"/>
  <c r="E988" i="2"/>
  <c r="E987" i="2"/>
  <c r="E989" i="2"/>
  <c r="E990" i="2"/>
  <c r="E991" i="2"/>
  <c r="E992" i="2"/>
  <c r="E993" i="2"/>
  <c r="E995" i="2"/>
  <c r="E994" i="2"/>
  <c r="E996" i="2"/>
  <c r="E998" i="2"/>
  <c r="E999" i="2"/>
  <c r="E997" i="2"/>
  <c r="E1002" i="2"/>
  <c r="E1000" i="2"/>
  <c r="E1003" i="2"/>
  <c r="E1001" i="2"/>
  <c r="E1004" i="2"/>
  <c r="E1005" i="2"/>
  <c r="E1007" i="2"/>
  <c r="E1009" i="2"/>
  <c r="E1008" i="2"/>
  <c r="E1006" i="2"/>
  <c r="E1010" i="2"/>
  <c r="E1012" i="2"/>
  <c r="E1011" i="2"/>
  <c r="E1013" i="2"/>
  <c r="E1014" i="2"/>
  <c r="E1015" i="2"/>
  <c r="E1017" i="2"/>
  <c r="E1018" i="2"/>
  <c r="E1019" i="2"/>
  <c r="E1016" i="2"/>
  <c r="E1022" i="2"/>
  <c r="E1020" i="2"/>
  <c r="E1021" i="2"/>
  <c r="E1024" i="2"/>
  <c r="E1023" i="2"/>
  <c r="E1025" i="2"/>
  <c r="E1027" i="2"/>
  <c r="E1029" i="2"/>
  <c r="E1026" i="2"/>
  <c r="E1028" i="2"/>
  <c r="E1034" i="2"/>
  <c r="E1031" i="2"/>
  <c r="E1033" i="2"/>
  <c r="E1030" i="2"/>
  <c r="E1032" i="2"/>
  <c r="E1035" i="2"/>
  <c r="E1036" i="2"/>
  <c r="E1037" i="2"/>
  <c r="E1039" i="2"/>
  <c r="E1038" i="2"/>
  <c r="E1040" i="2"/>
  <c r="E1041" i="2"/>
  <c r="E1042" i="2"/>
  <c r="E1043" i="2"/>
  <c r="E1046" i="2"/>
  <c r="E1044" i="2"/>
  <c r="E1045" i="2"/>
  <c r="E1047" i="2"/>
  <c r="E1048" i="2"/>
  <c r="E1049" i="2"/>
  <c r="E1051" i="2"/>
  <c r="E1050" i="2"/>
  <c r="E1052" i="2"/>
  <c r="E1054" i="2"/>
  <c r="E1053" i="2"/>
  <c r="E1056" i="2"/>
  <c r="E1055" i="2"/>
  <c r="E1059" i="2"/>
  <c r="E1057" i="2"/>
  <c r="E1058" i="2"/>
  <c r="E1060" i="2"/>
  <c r="E1061" i="2"/>
  <c r="E1063" i="2"/>
  <c r="E1065" i="2"/>
  <c r="E1062" i="2"/>
  <c r="E1064" i="2"/>
  <c r="E1066" i="2"/>
  <c r="E1067" i="2"/>
  <c r="E1069" i="2"/>
  <c r="E1068" i="2"/>
  <c r="E1071" i="2"/>
  <c r="E1070" i="2"/>
  <c r="E1072" i="2"/>
  <c r="E1074" i="2"/>
  <c r="E1075" i="2"/>
  <c r="E1076" i="2"/>
  <c r="E1073" i="2"/>
  <c r="E1078" i="2"/>
  <c r="E1077" i="2"/>
  <c r="E1080" i="2"/>
  <c r="E1079" i="2"/>
  <c r="E1081" i="2"/>
  <c r="E1083" i="2"/>
  <c r="E1082" i="2"/>
  <c r="E1085" i="2"/>
  <c r="E1084" i="2"/>
  <c r="E1087" i="2"/>
  <c r="E1086" i="2"/>
  <c r="E1088" i="2"/>
  <c r="E1090" i="2"/>
  <c r="E1089" i="2"/>
  <c r="E1091" i="2"/>
  <c r="E1093" i="2"/>
  <c r="E1092" i="2"/>
  <c r="E1096" i="2"/>
  <c r="E1098" i="2"/>
  <c r="E1095" i="2"/>
  <c r="E1097" i="2"/>
  <c r="E1094" i="2"/>
  <c r="E1102" i="2"/>
  <c r="E1100" i="2"/>
  <c r="E1101" i="2"/>
  <c r="E1099" i="2"/>
  <c r="E1103" i="2"/>
  <c r="E1104" i="2"/>
  <c r="E1105" i="2"/>
  <c r="E1106" i="2"/>
  <c r="E1108" i="2"/>
  <c r="E1107" i="2"/>
  <c r="E1109" i="2"/>
  <c r="E1110" i="2"/>
  <c r="E1112" i="2"/>
  <c r="E1111" i="2"/>
  <c r="E1113" i="2"/>
  <c r="E1114" i="2"/>
  <c r="E1115" i="2"/>
  <c r="E1116" i="2"/>
  <c r="E1120" i="2"/>
  <c r="E1117" i="2"/>
  <c r="E1118" i="2"/>
  <c r="E1119" i="2"/>
  <c r="E2120" i="2"/>
  <c r="E2122" i="2"/>
  <c r="E2123" i="2"/>
  <c r="E2124" i="2"/>
  <c r="E2127" i="2"/>
  <c r="E2125" i="2"/>
  <c r="E2126" i="2"/>
  <c r="E2128" i="2"/>
  <c r="E2129" i="2"/>
  <c r="E2131" i="2"/>
  <c r="E2132" i="2"/>
  <c r="E2130" i="2"/>
  <c r="E2135" i="2"/>
  <c r="E2136" i="2"/>
  <c r="E2133" i="2"/>
  <c r="E2134" i="2"/>
  <c r="E2138" i="2"/>
  <c r="E2139" i="2"/>
  <c r="E2137" i="2"/>
  <c r="E2142" i="2"/>
  <c r="E2140" i="2"/>
  <c r="E2141" i="2"/>
  <c r="E2144" i="2"/>
  <c r="E2145" i="2"/>
  <c r="E2143" i="2"/>
  <c r="E2146" i="2"/>
  <c r="E2149" i="2"/>
  <c r="E2150" i="2"/>
  <c r="E2148" i="2"/>
  <c r="E2147" i="2"/>
  <c r="E2152" i="2"/>
  <c r="E2153" i="2"/>
  <c r="E2151" i="2"/>
  <c r="E2154" i="2"/>
  <c r="E2155" i="2"/>
  <c r="E2156" i="2"/>
  <c r="E2157" i="2"/>
  <c r="E2158" i="2"/>
  <c r="E2160" i="2"/>
  <c r="E2159" i="2"/>
  <c r="E2165" i="2"/>
  <c r="E2162" i="2"/>
  <c r="E2163" i="2"/>
  <c r="E2161" i="2"/>
  <c r="E2164" i="2"/>
  <c r="E2167" i="2"/>
  <c r="E2170" i="2"/>
  <c r="E2168" i="2"/>
  <c r="E2169" i="2"/>
  <c r="E2166" i="2"/>
  <c r="E2171" i="2"/>
  <c r="E2177" i="2"/>
  <c r="E2172" i="2"/>
  <c r="E2173" i="2"/>
  <c r="E2175" i="2"/>
  <c r="E2174" i="2"/>
  <c r="E2176" i="2"/>
  <c r="E2178" i="2"/>
  <c r="E2179" i="2"/>
  <c r="E2180" i="2"/>
  <c r="E2184" i="2"/>
  <c r="E2185" i="2"/>
  <c r="E2183" i="2"/>
  <c r="E2181" i="2"/>
  <c r="E2182" i="2"/>
  <c r="E2186" i="2"/>
  <c r="E2187" i="2"/>
  <c r="E2188" i="2"/>
  <c r="E2190" i="2"/>
  <c r="E2189" i="2"/>
  <c r="E2192" i="2"/>
  <c r="E2191" i="2"/>
  <c r="E2193" i="2"/>
  <c r="E2194" i="2"/>
  <c r="E2195" i="2"/>
  <c r="E2197" i="2"/>
  <c r="E2196" i="2"/>
  <c r="E2198" i="2"/>
  <c r="E2203" i="2"/>
  <c r="E2202" i="2"/>
  <c r="E2199" i="2"/>
  <c r="E2201" i="2"/>
  <c r="E2204" i="2"/>
  <c r="E2200" i="2"/>
  <c r="E2206" i="2"/>
  <c r="E2205" i="2"/>
  <c r="E2207" i="2"/>
  <c r="E2208" i="2"/>
  <c r="E2210" i="2"/>
  <c r="E2209" i="2"/>
  <c r="E2211" i="2"/>
  <c r="E2213" i="2"/>
  <c r="E2216" i="2"/>
  <c r="E2214" i="2"/>
  <c r="E2212" i="2"/>
  <c r="E2215" i="2"/>
  <c r="E2217" i="2"/>
  <c r="E2218" i="2"/>
  <c r="E2219" i="2"/>
  <c r="E2221" i="2"/>
  <c r="E2220" i="2"/>
  <c r="E2222" i="2"/>
  <c r="E2223" i="2"/>
  <c r="E2225" i="2"/>
  <c r="E2224" i="2"/>
  <c r="E2226" i="2"/>
  <c r="E2229" i="2"/>
  <c r="E2228" i="2"/>
  <c r="E2230" i="2"/>
  <c r="E2227" i="2"/>
  <c r="E2234" i="2"/>
  <c r="E2231" i="2"/>
  <c r="E2232" i="2"/>
  <c r="E2233" i="2"/>
  <c r="E2235" i="2"/>
  <c r="E2236" i="2"/>
  <c r="E2237" i="2"/>
  <c r="E2238" i="2"/>
  <c r="E2240" i="2"/>
  <c r="E2241" i="2"/>
  <c r="E2239" i="2"/>
  <c r="E2242" i="2"/>
  <c r="E2244" i="2"/>
  <c r="E2243" i="2"/>
  <c r="E2246" i="2"/>
  <c r="E2247" i="2"/>
  <c r="E2245" i="2"/>
  <c r="E2252" i="2"/>
  <c r="E2248" i="2"/>
  <c r="E2251" i="2"/>
  <c r="E2249" i="2"/>
  <c r="E2250" i="2"/>
  <c r="E2255" i="2"/>
  <c r="E2254" i="2"/>
  <c r="E2253" i="2"/>
  <c r="E2256" i="2"/>
  <c r="E2257" i="2"/>
  <c r="E2258" i="2"/>
  <c r="E2259" i="2"/>
  <c r="E2261" i="2"/>
  <c r="E2260" i="2"/>
  <c r="E2262" i="2"/>
  <c r="E2263" i="2"/>
  <c r="E2267" i="2"/>
  <c r="E2265" i="2"/>
  <c r="E2266" i="2"/>
  <c r="E2264" i="2"/>
  <c r="E2269" i="2"/>
  <c r="E2270" i="2"/>
  <c r="E2268" i="2"/>
  <c r="E2272" i="2"/>
  <c r="E2271" i="2"/>
  <c r="E2273" i="2"/>
  <c r="E2274" i="2"/>
  <c r="E2276" i="2"/>
  <c r="E2275" i="2"/>
  <c r="E2279" i="2"/>
  <c r="E2278" i="2"/>
  <c r="E2277" i="2"/>
  <c r="E2281" i="2"/>
  <c r="E2280" i="2"/>
  <c r="E2283" i="2"/>
  <c r="E2282" i="2"/>
  <c r="E2284" i="2"/>
  <c r="E2285" i="2"/>
  <c r="E2286" i="2"/>
  <c r="E2287" i="2"/>
  <c r="E2289" i="2"/>
  <c r="E2291" i="2"/>
  <c r="E2288" i="2"/>
  <c r="E2290" i="2"/>
  <c r="E2295" i="2"/>
  <c r="E2294" i="2"/>
  <c r="E2292" i="2"/>
  <c r="E2293" i="2"/>
  <c r="E2296" i="2"/>
  <c r="E2298" i="2"/>
  <c r="E2297" i="2"/>
  <c r="E2299" i="2"/>
  <c r="E2300" i="2"/>
  <c r="E2301" i="2"/>
  <c r="E2302" i="2"/>
  <c r="E2305" i="2"/>
  <c r="E2306" i="2"/>
  <c r="E2307" i="2"/>
  <c r="E2303" i="2"/>
  <c r="E2304" i="2"/>
  <c r="E2308" i="2"/>
  <c r="E2310" i="2"/>
  <c r="E2309" i="2"/>
  <c r="E2311" i="2"/>
  <c r="E2312" i="2"/>
  <c r="E2313" i="2"/>
  <c r="E2314" i="2"/>
  <c r="E2317" i="2"/>
  <c r="E2315" i="2"/>
  <c r="E2316" i="2"/>
  <c r="E2318" i="2"/>
  <c r="E2321" i="2"/>
  <c r="E2320" i="2"/>
  <c r="E2319" i="2"/>
  <c r="E2325" i="2"/>
  <c r="E2324" i="2"/>
  <c r="E2322" i="2"/>
  <c r="E2323" i="2"/>
  <c r="E2326" i="2"/>
  <c r="E2327" i="2"/>
  <c r="E2330" i="2"/>
  <c r="E2329" i="2"/>
  <c r="E2331" i="2"/>
  <c r="E2328" i="2"/>
  <c r="E2335" i="2"/>
  <c r="E2334" i="2"/>
  <c r="E2332" i="2"/>
  <c r="E2333" i="2"/>
  <c r="E2336" i="2"/>
  <c r="E2341" i="2"/>
  <c r="E2337" i="2"/>
  <c r="E2340" i="2"/>
  <c r="E2338" i="2"/>
  <c r="E2339" i="2"/>
  <c r="E2345" i="2"/>
  <c r="E2346" i="2"/>
  <c r="E2344" i="2"/>
  <c r="E2343" i="2"/>
  <c r="E2342" i="2"/>
  <c r="E2347" i="2"/>
  <c r="E2348" i="2"/>
  <c r="E2349" i="2"/>
  <c r="E2350" i="2"/>
  <c r="E2357" i="2"/>
  <c r="E2358" i="2"/>
  <c r="E2352" i="2"/>
  <c r="E2351" i="2"/>
  <c r="E2353" i="2"/>
  <c r="E2356" i="2"/>
  <c r="E2354" i="2"/>
  <c r="E2355" i="2"/>
  <c r="E2359" i="2"/>
  <c r="E2362" i="2"/>
  <c r="E2361" i="2"/>
  <c r="E2360" i="2"/>
  <c r="E2365" i="2"/>
  <c r="E2364" i="2"/>
  <c r="E2366" i="2"/>
  <c r="E2363" i="2"/>
  <c r="E2373" i="2"/>
  <c r="E2367" i="2"/>
  <c r="E2374" i="2"/>
  <c r="E2371" i="2"/>
  <c r="E2369" i="2"/>
  <c r="E2370" i="2"/>
  <c r="E2368" i="2"/>
  <c r="E2372" i="2"/>
  <c r="E2376" i="2"/>
  <c r="E2377" i="2"/>
  <c r="E2375" i="2"/>
  <c r="E2378" i="2"/>
  <c r="E2379" i="2"/>
  <c r="E2380" i="2"/>
  <c r="E2381" i="2"/>
  <c r="E2382" i="2"/>
  <c r="E2383" i="2"/>
  <c r="E2386" i="2"/>
  <c r="E2384" i="2"/>
  <c r="E2385" i="2"/>
  <c r="E2387" i="2"/>
  <c r="E2388" i="2"/>
  <c r="E2390" i="2"/>
  <c r="E2389" i="2"/>
  <c r="E2394" i="2"/>
  <c r="E2395" i="2"/>
  <c r="E2391" i="2"/>
  <c r="E2393" i="2"/>
  <c r="E2392" i="2"/>
  <c r="E2396" i="2"/>
  <c r="E2399" i="2"/>
  <c r="E2398" i="2"/>
  <c r="E2397" i="2"/>
  <c r="E2404" i="2"/>
  <c r="E2403" i="2"/>
  <c r="E2405" i="2"/>
  <c r="E2400" i="2"/>
  <c r="E2402" i="2"/>
  <c r="E2401" i="2"/>
  <c r="E2410" i="2"/>
  <c r="E2406" i="2"/>
  <c r="E2407" i="2"/>
  <c r="E2409" i="2"/>
  <c r="E2408" i="2"/>
  <c r="E2411" i="2"/>
  <c r="E2412" i="2"/>
  <c r="E2415" i="2"/>
  <c r="E2413" i="2"/>
  <c r="E2414" i="2"/>
  <c r="E2419" i="2"/>
  <c r="E2417" i="2"/>
  <c r="E2416" i="2"/>
  <c r="E2418" i="2"/>
  <c r="E2420" i="2"/>
  <c r="E2422" i="2"/>
  <c r="E2421" i="2"/>
  <c r="E2423" i="2"/>
  <c r="E2424" i="2"/>
  <c r="E2428" i="2"/>
  <c r="E2427" i="2"/>
  <c r="E2425" i="2"/>
  <c r="E2426" i="2"/>
  <c r="E2429" i="2"/>
  <c r="E2431" i="2"/>
  <c r="E2430" i="2"/>
  <c r="E2432" i="2"/>
  <c r="E2436" i="2"/>
  <c r="E2434" i="2"/>
  <c r="E2433" i="2"/>
  <c r="E2435" i="2"/>
  <c r="E2439" i="2"/>
  <c r="E2437" i="2"/>
  <c r="E2438" i="2"/>
  <c r="E2440" i="2"/>
  <c r="E2441" i="2"/>
  <c r="E2443" i="2"/>
  <c r="E2442" i="2"/>
  <c r="E2446" i="2"/>
  <c r="E2445" i="2"/>
  <c r="E2447" i="2"/>
  <c r="E2444" i="2"/>
  <c r="E2449" i="2"/>
  <c r="E2450" i="2"/>
  <c r="E2448" i="2"/>
  <c r="E2451" i="2"/>
  <c r="E2453" i="2"/>
  <c r="E2452" i="2"/>
  <c r="E2456" i="2"/>
  <c r="E2455" i="2"/>
  <c r="E2454" i="2"/>
  <c r="E2458" i="2"/>
  <c r="E2457" i="2"/>
  <c r="E2459" i="2"/>
  <c r="E2461" i="2"/>
  <c r="E2460" i="2"/>
  <c r="E2466" i="2"/>
  <c r="E2464" i="2"/>
  <c r="E2462" i="2"/>
  <c r="E2465" i="2"/>
  <c r="E2463" i="2"/>
  <c r="E2467" i="2"/>
  <c r="E2468" i="2"/>
  <c r="E2469" i="2"/>
  <c r="E2470" i="2"/>
  <c r="E2471" i="2"/>
  <c r="E2472" i="2"/>
  <c r="E2473" i="2"/>
  <c r="E2474" i="2"/>
  <c r="E2475" i="2"/>
  <c r="E2478" i="2"/>
  <c r="E2476" i="2"/>
  <c r="E2479" i="2"/>
  <c r="E2477" i="2"/>
  <c r="E2480" i="2"/>
  <c r="E2481" i="2"/>
  <c r="E2484" i="2"/>
  <c r="E2483" i="2"/>
  <c r="E2482" i="2"/>
  <c r="E2485" i="2"/>
  <c r="E2487" i="2"/>
  <c r="E2488" i="2"/>
  <c r="E2486" i="2"/>
  <c r="E2489" i="2"/>
  <c r="E2491" i="2"/>
  <c r="E2490" i="2"/>
  <c r="E2493" i="2"/>
  <c r="E2492" i="2"/>
  <c r="E2495" i="2"/>
  <c r="E2497" i="2"/>
  <c r="E2498" i="2"/>
  <c r="E2496" i="2"/>
  <c r="E2494" i="2"/>
  <c r="E2499" i="2"/>
  <c r="E2501" i="2"/>
  <c r="E2500" i="2"/>
  <c r="E2506" i="2"/>
  <c r="E2504" i="2"/>
  <c r="E2503" i="2"/>
  <c r="E2505" i="2"/>
  <c r="E2502" i="2"/>
  <c r="E2507" i="2"/>
  <c r="E2513" i="2"/>
  <c r="E2510" i="2"/>
  <c r="E2512" i="2"/>
  <c r="E2508" i="2"/>
  <c r="E2509" i="2"/>
  <c r="E2511" i="2"/>
  <c r="E2515" i="2"/>
  <c r="E2516" i="2"/>
  <c r="E2514" i="2"/>
  <c r="E2517" i="2"/>
  <c r="E2521" i="2"/>
  <c r="E2519" i="2"/>
  <c r="E2520" i="2"/>
  <c r="E2518" i="2"/>
  <c r="E2522" i="2"/>
  <c r="E2523" i="2"/>
  <c r="E2526" i="2"/>
  <c r="E2525" i="2"/>
  <c r="E2527" i="2"/>
  <c r="E2524" i="2"/>
  <c r="E2528" i="2"/>
  <c r="E2529" i="2"/>
  <c r="E2530" i="2"/>
  <c r="E2531" i="2"/>
  <c r="E2532" i="2"/>
  <c r="E2533" i="2"/>
  <c r="E2534" i="2"/>
  <c r="E2538" i="2"/>
  <c r="E2539" i="2"/>
  <c r="E2536" i="2"/>
  <c r="E2537" i="2"/>
  <c r="E2535" i="2"/>
  <c r="E2541" i="2"/>
  <c r="E2540" i="2"/>
  <c r="E2542" i="2"/>
  <c r="E2543" i="2"/>
  <c r="E2544" i="2"/>
  <c r="E2549" i="2"/>
  <c r="E2546" i="2"/>
  <c r="E2547" i="2"/>
  <c r="E2545" i="2"/>
  <c r="E2548" i="2"/>
  <c r="E2552" i="2"/>
  <c r="E2551" i="2"/>
  <c r="E2550" i="2"/>
  <c r="E2553" i="2"/>
  <c r="E2554" i="2"/>
  <c r="E2557" i="2"/>
  <c r="E2555" i="2"/>
  <c r="E2558" i="2"/>
  <c r="E2556" i="2"/>
  <c r="E2560" i="2"/>
  <c r="E2559" i="2"/>
  <c r="E2564" i="2"/>
  <c r="E2563" i="2"/>
  <c r="E2562" i="2"/>
  <c r="E2561" i="2"/>
  <c r="E2566" i="2"/>
  <c r="E2565" i="2"/>
  <c r="E2567" i="2"/>
  <c r="E2569" i="2"/>
  <c r="E2568" i="2"/>
  <c r="E2571" i="2"/>
  <c r="E2570" i="2"/>
  <c r="E2572" i="2"/>
  <c r="E2576" i="2"/>
  <c r="E2573" i="2"/>
  <c r="E2574" i="2"/>
  <c r="E2575" i="2"/>
  <c r="E2582" i="2"/>
  <c r="E2581" i="2"/>
  <c r="E2580" i="2"/>
  <c r="E2578" i="2"/>
  <c r="E2577" i="2"/>
  <c r="E2579" i="2"/>
  <c r="E2585" i="2"/>
  <c r="E2584" i="2"/>
  <c r="E2587" i="2"/>
  <c r="E2586" i="2"/>
  <c r="E2583" i="2"/>
  <c r="E2592" i="2"/>
  <c r="E2589" i="2"/>
  <c r="E2591" i="2"/>
  <c r="E2590" i="2"/>
  <c r="E2593" i="2"/>
  <c r="E2588" i="2"/>
  <c r="E2599" i="2"/>
  <c r="E2597" i="2"/>
  <c r="E2596" i="2"/>
  <c r="E2595" i="2"/>
  <c r="E2594" i="2"/>
  <c r="E2598" i="2"/>
  <c r="E2600" i="2"/>
  <c r="E2602" i="2"/>
  <c r="E2601" i="2"/>
  <c r="E2604" i="2"/>
  <c r="E2603" i="2"/>
  <c r="E2606" i="2"/>
  <c r="E2605" i="2"/>
  <c r="E2607" i="2"/>
  <c r="E2608" i="2"/>
  <c r="E2610" i="2"/>
  <c r="E2611" i="2"/>
  <c r="E2609" i="2"/>
  <c r="E2613" i="2"/>
  <c r="E2612" i="2"/>
  <c r="E2614" i="2"/>
  <c r="E2615" i="2"/>
  <c r="E2617" i="2"/>
  <c r="E2616" i="2"/>
  <c r="E2619" i="2"/>
  <c r="E2618" i="2"/>
  <c r="E2620" i="2"/>
  <c r="E2622" i="2"/>
  <c r="E2621" i="2"/>
  <c r="E2623" i="2"/>
  <c r="E2624" i="2"/>
  <c r="E2625" i="2"/>
  <c r="E2627" i="2"/>
  <c r="E2626" i="2"/>
  <c r="E2630" i="2"/>
  <c r="E2628" i="2"/>
  <c r="E2629" i="2"/>
  <c r="E2633" i="2"/>
  <c r="E2634" i="2"/>
  <c r="E2632" i="2"/>
  <c r="E2635" i="2"/>
  <c r="E2631" i="2"/>
  <c r="E2637" i="2"/>
  <c r="E2636" i="2"/>
  <c r="E2641" i="2"/>
  <c r="E2642" i="2"/>
  <c r="E2640" i="2"/>
  <c r="E2639" i="2"/>
  <c r="E2638" i="2"/>
  <c r="E2646" i="2"/>
  <c r="E2643" i="2"/>
  <c r="E2644" i="2"/>
  <c r="E2645" i="2"/>
  <c r="E2647" i="2"/>
  <c r="E2648" i="2"/>
  <c r="E2649" i="2"/>
  <c r="E2651" i="2"/>
  <c r="E2652" i="2"/>
  <c r="E2654" i="2"/>
  <c r="E2653" i="2"/>
  <c r="E2650" i="2"/>
  <c r="E2656" i="2"/>
  <c r="E2655" i="2"/>
  <c r="E2657" i="2"/>
  <c r="E2658" i="2"/>
  <c r="E2659" i="2"/>
  <c r="E2660" i="2"/>
  <c r="E2662" i="2"/>
  <c r="E2663" i="2"/>
  <c r="E2661" i="2"/>
  <c r="E2664" i="2"/>
  <c r="E2665" i="2"/>
  <c r="E2667" i="2"/>
  <c r="E2666" i="2"/>
  <c r="E2669" i="2"/>
  <c r="E2668" i="2"/>
  <c r="E2671" i="2"/>
  <c r="E2670" i="2"/>
  <c r="E2672" i="2"/>
  <c r="E2673" i="2"/>
  <c r="E2674" i="2"/>
  <c r="E2675" i="2"/>
  <c r="E2676" i="2"/>
  <c r="E2677" i="2"/>
  <c r="E2680" i="2"/>
  <c r="E2681" i="2"/>
  <c r="E2682" i="2"/>
  <c r="E2679" i="2"/>
  <c r="E2678" i="2"/>
  <c r="E2683" i="2"/>
  <c r="E2684" i="2"/>
  <c r="E2685" i="2"/>
  <c r="E2686" i="2"/>
  <c r="E2690" i="2"/>
  <c r="E2687" i="2"/>
  <c r="E2692" i="2"/>
  <c r="E2689" i="2"/>
  <c r="E2688" i="2"/>
  <c r="E2691" i="2"/>
  <c r="E2696" i="2"/>
  <c r="E2694" i="2"/>
  <c r="E2695" i="2"/>
  <c r="E2693" i="2"/>
  <c r="E2697" i="2"/>
  <c r="E2700" i="2"/>
  <c r="E2698" i="2"/>
  <c r="E2699" i="2"/>
  <c r="E2701" i="2"/>
  <c r="E2703" i="2"/>
  <c r="E2705" i="2"/>
  <c r="E2702" i="2"/>
  <c r="E2704" i="2"/>
  <c r="E2706" i="2"/>
  <c r="E2707" i="2"/>
  <c r="E2709" i="2"/>
  <c r="E2708" i="2"/>
  <c r="E2711" i="2"/>
  <c r="E2710" i="2"/>
  <c r="E2714" i="2"/>
  <c r="E2713" i="2"/>
  <c r="E2712" i="2"/>
  <c r="E2717" i="2"/>
  <c r="E2715" i="2"/>
  <c r="E2719" i="2"/>
  <c r="E2718" i="2"/>
  <c r="E2716" i="2"/>
  <c r="E2722" i="2"/>
  <c r="E2720" i="2"/>
  <c r="E2721" i="2"/>
  <c r="E2723" i="2"/>
  <c r="E2724" i="2"/>
  <c r="E2725" i="2"/>
  <c r="E2727" i="2"/>
  <c r="E2726" i="2"/>
  <c r="E2729" i="2"/>
  <c r="E2731" i="2"/>
  <c r="E2730" i="2"/>
  <c r="E2728" i="2"/>
  <c r="E2732" i="2"/>
  <c r="E2733" i="2"/>
  <c r="E2735" i="2"/>
  <c r="E2734" i="2"/>
  <c r="E2737" i="2"/>
  <c r="E2736" i="2"/>
  <c r="E2740" i="2"/>
  <c r="E2739" i="2"/>
  <c r="E2738" i="2"/>
  <c r="E2741" i="2"/>
  <c r="E2742" i="2"/>
  <c r="E2744" i="2"/>
  <c r="E2743" i="2"/>
  <c r="E2745" i="2"/>
  <c r="E2747" i="2"/>
  <c r="E2748" i="2"/>
  <c r="E2749" i="2"/>
  <c r="E2746" i="2"/>
  <c r="E2750" i="2"/>
  <c r="E2754" i="2"/>
  <c r="E2752" i="2"/>
  <c r="E2751" i="2"/>
  <c r="E2753" i="2"/>
  <c r="E2756" i="2"/>
  <c r="E2755" i="2"/>
  <c r="E2758" i="2"/>
  <c r="E2757" i="2"/>
  <c r="E2759" i="2"/>
  <c r="E2761" i="2"/>
  <c r="E2760" i="2"/>
  <c r="E2764" i="2"/>
  <c r="E2763" i="2"/>
  <c r="E2766" i="2"/>
  <c r="E2765" i="2"/>
  <c r="E2762" i="2"/>
  <c r="E2767" i="2"/>
  <c r="E2769" i="2"/>
  <c r="E2768" i="2"/>
  <c r="E2771" i="2"/>
  <c r="E2770" i="2"/>
  <c r="E2772" i="2"/>
  <c r="E2773" i="2"/>
  <c r="E2776" i="2"/>
  <c r="E2774" i="2"/>
  <c r="E2775" i="2"/>
  <c r="E2777" i="2"/>
  <c r="E2779" i="2"/>
  <c r="E2778" i="2"/>
  <c r="E2780" i="2"/>
  <c r="E2782" i="2"/>
  <c r="E2783" i="2"/>
  <c r="E2784" i="2"/>
  <c r="E2781" i="2"/>
  <c r="E2785" i="2"/>
  <c r="E2787" i="2"/>
  <c r="E2786" i="2"/>
  <c r="E2788" i="2"/>
  <c r="E2789" i="2"/>
  <c r="E2791" i="2"/>
  <c r="E2790" i="2"/>
  <c r="E2793" i="2"/>
  <c r="E2792" i="2"/>
  <c r="E2796" i="2"/>
  <c r="E2797" i="2"/>
  <c r="E2795" i="2"/>
  <c r="E2794" i="2"/>
  <c r="E2799" i="2"/>
  <c r="E2798" i="2"/>
  <c r="E2800" i="2"/>
  <c r="E2801" i="2"/>
  <c r="E2802" i="2"/>
  <c r="E2803" i="2"/>
  <c r="E2805" i="2"/>
  <c r="E2804" i="2"/>
  <c r="E2806" i="2"/>
  <c r="E2807" i="2"/>
  <c r="E2808" i="2"/>
  <c r="E2811" i="2"/>
  <c r="E2812" i="2"/>
  <c r="E2809" i="2"/>
  <c r="E2810" i="2"/>
  <c r="E2814" i="2"/>
  <c r="E2816" i="2"/>
  <c r="E2813" i="2"/>
  <c r="E2815" i="2"/>
  <c r="E2817" i="2"/>
  <c r="E2819" i="2"/>
  <c r="E2818" i="2"/>
  <c r="E2822" i="2"/>
  <c r="E2824" i="2"/>
  <c r="E2820" i="2"/>
  <c r="E2823" i="2"/>
  <c r="E2821" i="2"/>
  <c r="E2826" i="2"/>
  <c r="E2825" i="2"/>
  <c r="E2828" i="2"/>
  <c r="E2829" i="2"/>
  <c r="E2827" i="2"/>
  <c r="E2830" i="2"/>
  <c r="E2832" i="2"/>
  <c r="E2831" i="2"/>
  <c r="E2834" i="2"/>
  <c r="E2833" i="2"/>
  <c r="E2835" i="2"/>
  <c r="E2836" i="2"/>
  <c r="E2837" i="2"/>
  <c r="E2838" i="2"/>
  <c r="E2839" i="2"/>
  <c r="E2840" i="2"/>
  <c r="E2841" i="2"/>
  <c r="E2843" i="2"/>
  <c r="E2842" i="2"/>
  <c r="E2844" i="2"/>
  <c r="E2845" i="2"/>
  <c r="E2847" i="2"/>
  <c r="E2846" i="2"/>
  <c r="E2848" i="2"/>
  <c r="E2849" i="2"/>
  <c r="E2852" i="2"/>
  <c r="E2851" i="2"/>
  <c r="E2850" i="2"/>
  <c r="E2853" i="2"/>
  <c r="E2854" i="2"/>
  <c r="E2855" i="2"/>
  <c r="E2856" i="2"/>
  <c r="E2857" i="2"/>
  <c r="E2858" i="2"/>
  <c r="E2863" i="2"/>
  <c r="E2860" i="2"/>
  <c r="E2861" i="2"/>
  <c r="E2859" i="2"/>
  <c r="E2862" i="2"/>
  <c r="E2864" i="2"/>
  <c r="E2865" i="2"/>
  <c r="E2868" i="2"/>
  <c r="E2871" i="2"/>
  <c r="E2867" i="2"/>
  <c r="E2870" i="2"/>
  <c r="E2869" i="2"/>
  <c r="E2866" i="2"/>
  <c r="E2872" i="2"/>
  <c r="E2873" i="2"/>
  <c r="E2874" i="2"/>
  <c r="E2877" i="2"/>
  <c r="E2879" i="2"/>
  <c r="E2878" i="2"/>
  <c r="E2880" i="2"/>
  <c r="E2876" i="2"/>
  <c r="E2875" i="2"/>
  <c r="E2884" i="2"/>
  <c r="E2881" i="2"/>
  <c r="E2882" i="2"/>
  <c r="E2883" i="2"/>
  <c r="E2885" i="2"/>
  <c r="E2886" i="2"/>
  <c r="E2888" i="2"/>
  <c r="E2887" i="2"/>
  <c r="E2889" i="2"/>
  <c r="E2891" i="2"/>
  <c r="E2890" i="2"/>
  <c r="E2893" i="2"/>
  <c r="E2892" i="2"/>
  <c r="E2897" i="2"/>
  <c r="E2896" i="2"/>
  <c r="E2895" i="2"/>
  <c r="E2894" i="2"/>
  <c r="E2900" i="2"/>
  <c r="E2899" i="2"/>
  <c r="E2902" i="2"/>
  <c r="E2898" i="2"/>
  <c r="E2901" i="2"/>
  <c r="E2904" i="2"/>
  <c r="E2903" i="2"/>
  <c r="E2906" i="2"/>
  <c r="E2905" i="2"/>
  <c r="E2908" i="2"/>
  <c r="E2907" i="2"/>
  <c r="E2911" i="2"/>
  <c r="E2910" i="2"/>
  <c r="E2909" i="2"/>
  <c r="E2913" i="2"/>
  <c r="E2912" i="2"/>
  <c r="E2916" i="2"/>
  <c r="E2917" i="2"/>
  <c r="E2918" i="2"/>
  <c r="E2914" i="2"/>
  <c r="E2915" i="2"/>
  <c r="E2919" i="2"/>
  <c r="E2920" i="2"/>
  <c r="E2922" i="2"/>
  <c r="E2923" i="2"/>
  <c r="E2921" i="2"/>
  <c r="E2925" i="2"/>
  <c r="E2924" i="2"/>
  <c r="E2926" i="2"/>
  <c r="E2928" i="2"/>
  <c r="E2929" i="2"/>
  <c r="E2930" i="2"/>
  <c r="E2931" i="2"/>
  <c r="E2927" i="2"/>
  <c r="E2932" i="2"/>
  <c r="E2936" i="2"/>
  <c r="E2934" i="2"/>
  <c r="E2937" i="2"/>
  <c r="E2935" i="2"/>
  <c r="E2933" i="2"/>
  <c r="E2940" i="2"/>
  <c r="E2938" i="2"/>
  <c r="E2939" i="2"/>
  <c r="E2943" i="2"/>
  <c r="E2946" i="2"/>
  <c r="E2942" i="2"/>
  <c r="E2945" i="2"/>
  <c r="E2944" i="2"/>
  <c r="E2941" i="2"/>
  <c r="E2947" i="2"/>
  <c r="E2948" i="2"/>
  <c r="E2950" i="2"/>
  <c r="E2952" i="2"/>
  <c r="E2953" i="2"/>
  <c r="E2949" i="2"/>
  <c r="E2951" i="2"/>
  <c r="E2955" i="2"/>
  <c r="E2954" i="2"/>
  <c r="E2957" i="2"/>
  <c r="E2958" i="2"/>
  <c r="E2956" i="2"/>
  <c r="E2961" i="2"/>
  <c r="E2959" i="2"/>
  <c r="E2960" i="2"/>
  <c r="E2962" i="2"/>
  <c r="E2965" i="2"/>
  <c r="E2966" i="2"/>
  <c r="E2964" i="2"/>
  <c r="E2963" i="2"/>
  <c r="E2968" i="2"/>
  <c r="E2969" i="2"/>
  <c r="E2967" i="2"/>
  <c r="E2971" i="2"/>
  <c r="E2970" i="2"/>
  <c r="E2972" i="2"/>
  <c r="E2973" i="2"/>
  <c r="E2974" i="2"/>
  <c r="E2978" i="2"/>
  <c r="E2975" i="2"/>
  <c r="E2976" i="2"/>
  <c r="E2977" i="2"/>
  <c r="E2982" i="2"/>
  <c r="E2985" i="2"/>
  <c r="E2979" i="2"/>
  <c r="E2984" i="2"/>
  <c r="E2983" i="2"/>
  <c r="E2981" i="2"/>
  <c r="E2980" i="2"/>
  <c r="E2988" i="2"/>
  <c r="E2987" i="2"/>
  <c r="E2986" i="2"/>
  <c r="E2989" i="2"/>
  <c r="E2991" i="2"/>
  <c r="E2992" i="2"/>
  <c r="E2993" i="2"/>
  <c r="E2990" i="2"/>
  <c r="E2997" i="2"/>
  <c r="E2995" i="2"/>
  <c r="E2996" i="2"/>
  <c r="E2994" i="2"/>
  <c r="E3000" i="2"/>
  <c r="E3002" i="2"/>
  <c r="E3001" i="2"/>
  <c r="E2999" i="2"/>
  <c r="E2998" i="2"/>
  <c r="E3004" i="2"/>
  <c r="E3005" i="2"/>
  <c r="E3003" i="2"/>
  <c r="E3006" i="2"/>
  <c r="E3009" i="2"/>
  <c r="E3008" i="2"/>
  <c r="E3007" i="2"/>
  <c r="E3010" i="2"/>
  <c r="E3012" i="2"/>
  <c r="E3013" i="2"/>
  <c r="E3011" i="2"/>
  <c r="E3014" i="2"/>
  <c r="E3015" i="2"/>
  <c r="E3017" i="2"/>
  <c r="E3016" i="2"/>
  <c r="E3018" i="2"/>
  <c r="E3019" i="2"/>
  <c r="E3023" i="2"/>
  <c r="E3022" i="2"/>
  <c r="E3021" i="2"/>
  <c r="E3020" i="2"/>
  <c r="E3026" i="2"/>
  <c r="E3025" i="2"/>
  <c r="E3024" i="2"/>
  <c r="E3027" i="2"/>
  <c r="E3029" i="2"/>
  <c r="E3028" i="2"/>
  <c r="E3030" i="2"/>
  <c r="E3031" i="2"/>
  <c r="E3032" i="2"/>
  <c r="E3033" i="2"/>
  <c r="E3035" i="2"/>
  <c r="E3034" i="2"/>
  <c r="E3037" i="2"/>
  <c r="E3038" i="2"/>
  <c r="E3036" i="2"/>
  <c r="E3039" i="2"/>
  <c r="E3043" i="2"/>
  <c r="E3040" i="2"/>
  <c r="E3042" i="2"/>
  <c r="E3041" i="2"/>
  <c r="E3046" i="2"/>
  <c r="E3045" i="2"/>
  <c r="E3044" i="2"/>
  <c r="E3049" i="2"/>
  <c r="E3048" i="2"/>
  <c r="E3047" i="2"/>
  <c r="E3050" i="2"/>
  <c r="E3051" i="2"/>
  <c r="E3052" i="2"/>
  <c r="E3055" i="2"/>
  <c r="E3053" i="2"/>
  <c r="E3054" i="2"/>
  <c r="E3056" i="2"/>
  <c r="E3059" i="2"/>
  <c r="E3058" i="2"/>
  <c r="E3057" i="2"/>
  <c r="E3060" i="2"/>
  <c r="E3065" i="2"/>
  <c r="E3063" i="2"/>
  <c r="E3062" i="2"/>
  <c r="E3064" i="2"/>
  <c r="E3066" i="2"/>
  <c r="E3061" i="2"/>
  <c r="E3068" i="2"/>
  <c r="E3067" i="2"/>
  <c r="E3069" i="2"/>
  <c r="E3071" i="2"/>
  <c r="E3070" i="2"/>
  <c r="E3077" i="2"/>
  <c r="E3073" i="2"/>
  <c r="E3074" i="2"/>
  <c r="E3075" i="2"/>
  <c r="E3076" i="2"/>
  <c r="E3072" i="2"/>
  <c r="E3080" i="2"/>
  <c r="E3078" i="2"/>
  <c r="E3081" i="2"/>
  <c r="E3079" i="2"/>
  <c r="E3082" i="2"/>
  <c r="E3083" i="2"/>
  <c r="E3084" i="2"/>
  <c r="E3086" i="2"/>
  <c r="E3085" i="2"/>
  <c r="E3087" i="2"/>
  <c r="E3089" i="2"/>
  <c r="E3088" i="2"/>
  <c r="E3090" i="2"/>
  <c r="E3091" i="2"/>
  <c r="E3092" i="2"/>
  <c r="E3096" i="2"/>
  <c r="E3097" i="2"/>
  <c r="E3098" i="2"/>
  <c r="E3095" i="2"/>
  <c r="E3093" i="2"/>
  <c r="E3094" i="2"/>
  <c r="E3099" i="2"/>
  <c r="E3102" i="2"/>
  <c r="E3104" i="2"/>
  <c r="E3101" i="2"/>
  <c r="E3100" i="2"/>
  <c r="E3103" i="2"/>
  <c r="E3105" i="2"/>
  <c r="E3107" i="2"/>
  <c r="E3106" i="2"/>
  <c r="E3108" i="2"/>
  <c r="E3109" i="2"/>
  <c r="E3110" i="2"/>
  <c r="E3112" i="2"/>
  <c r="E3113" i="2"/>
  <c r="E3111" i="2"/>
  <c r="E3117" i="2"/>
  <c r="E3114" i="2"/>
  <c r="E3116" i="2"/>
  <c r="E3115" i="2"/>
  <c r="E3118" i="2"/>
  <c r="E3119" i="2"/>
  <c r="E3121" i="2"/>
  <c r="E3123" i="2"/>
  <c r="E3120" i="2"/>
  <c r="E3122" i="2"/>
  <c r="E3124" i="2"/>
  <c r="E3125" i="2"/>
  <c r="E3126" i="2"/>
  <c r="E3127" i="2"/>
  <c r="E3128" i="2"/>
  <c r="E3130" i="2"/>
  <c r="E3129" i="2"/>
  <c r="E3131" i="2"/>
  <c r="E3132" i="2"/>
  <c r="E3133" i="2"/>
  <c r="E3134" i="2"/>
  <c r="E3136" i="2"/>
  <c r="E3137" i="2"/>
  <c r="E3138" i="2"/>
  <c r="E3135" i="2"/>
  <c r="E3139" i="2"/>
  <c r="E3141" i="2"/>
  <c r="E3140" i="2"/>
  <c r="E3142" i="2"/>
  <c r="E3143" i="2"/>
  <c r="E3144" i="2"/>
  <c r="E3145" i="2"/>
  <c r="E3150" i="2"/>
  <c r="E3147" i="2"/>
  <c r="E3148" i="2"/>
  <c r="E3149" i="2"/>
  <c r="E3146" i="2"/>
  <c r="E3151" i="2"/>
  <c r="E3152" i="2"/>
  <c r="E3153" i="2"/>
  <c r="E3155" i="2"/>
  <c r="E3154" i="2"/>
  <c r="E3156" i="2"/>
  <c r="E3159" i="2"/>
  <c r="E3157" i="2"/>
  <c r="E3160" i="2"/>
  <c r="E3161" i="2"/>
  <c r="E3158" i="2"/>
  <c r="E3162" i="2"/>
  <c r="E3163" i="2"/>
  <c r="E3164" i="2"/>
  <c r="E3167" i="2"/>
  <c r="E3165" i="2"/>
  <c r="E3166" i="2"/>
  <c r="E3169" i="2"/>
  <c r="E3168" i="2"/>
  <c r="E3170" i="2"/>
  <c r="E3173" i="2"/>
  <c r="E3172" i="2"/>
  <c r="E3171" i="2"/>
  <c r="E3174" i="2"/>
  <c r="E3175" i="2"/>
  <c r="E3176" i="2"/>
  <c r="E3179" i="2"/>
  <c r="E3177" i="2"/>
  <c r="E3178" i="2"/>
  <c r="E3180" i="2"/>
  <c r="E3181" i="2"/>
  <c r="E3184" i="2"/>
  <c r="E3185" i="2"/>
  <c r="E3188" i="2"/>
  <c r="E3183" i="2"/>
  <c r="E3187" i="2"/>
  <c r="E3182" i="2"/>
  <c r="E3186" i="2"/>
  <c r="E3192" i="2"/>
  <c r="E3191" i="2"/>
  <c r="E3189" i="2"/>
  <c r="E3190" i="2"/>
  <c r="E3194" i="2"/>
  <c r="E3193" i="2"/>
  <c r="E3197" i="2"/>
  <c r="E3195" i="2"/>
  <c r="E3196" i="2"/>
  <c r="E3198" i="2"/>
  <c r="E3199" i="2"/>
  <c r="E3201" i="2"/>
  <c r="E3202" i="2"/>
  <c r="E3203" i="2"/>
  <c r="E3204" i="2"/>
  <c r="E3200" i="2"/>
  <c r="E1121" i="2"/>
  <c r="E1122" i="2"/>
  <c r="E1124" i="2"/>
  <c r="E1125" i="2"/>
  <c r="E1126" i="2"/>
  <c r="E1127" i="2"/>
  <c r="E1128" i="2"/>
  <c r="E1131" i="2"/>
  <c r="E1129" i="2"/>
  <c r="E1132" i="2"/>
  <c r="E1134" i="2"/>
  <c r="E1130" i="2"/>
  <c r="E1133" i="2"/>
  <c r="E1137" i="2"/>
  <c r="E1135" i="2"/>
  <c r="E1136" i="2"/>
  <c r="E1139" i="2"/>
  <c r="E1138" i="2"/>
  <c r="E1143" i="2"/>
  <c r="E1142" i="2"/>
  <c r="E1144" i="2"/>
  <c r="E1140" i="2"/>
  <c r="E1141" i="2"/>
  <c r="E1146" i="2"/>
  <c r="E1145" i="2"/>
  <c r="E1151" i="2"/>
  <c r="E1147" i="2"/>
  <c r="E1149" i="2"/>
  <c r="E1150" i="2"/>
  <c r="E1148" i="2"/>
  <c r="E1153" i="2"/>
  <c r="E1152" i="2"/>
  <c r="E1158" i="2"/>
  <c r="E1155" i="2"/>
  <c r="E1157" i="2"/>
  <c r="E1156" i="2"/>
  <c r="E1154" i="2"/>
  <c r="E1159" i="2"/>
  <c r="E1163" i="2"/>
  <c r="E1161" i="2"/>
  <c r="E1160" i="2"/>
  <c r="E1164" i="2"/>
  <c r="E1165" i="2"/>
  <c r="E1162" i="2"/>
  <c r="E1167" i="2"/>
  <c r="E1166" i="2"/>
  <c r="E1169" i="2"/>
  <c r="E1168" i="2"/>
  <c r="E1171" i="2"/>
  <c r="E1170" i="2"/>
  <c r="E1175" i="2"/>
  <c r="E1176" i="2"/>
  <c r="E1174" i="2"/>
  <c r="E1172" i="2"/>
  <c r="E1173" i="2"/>
  <c r="E1177" i="2"/>
  <c r="E1178" i="2"/>
  <c r="E1183" i="2"/>
  <c r="E1179" i="2"/>
  <c r="E1181" i="2"/>
  <c r="E1180" i="2"/>
  <c r="E1182" i="2"/>
  <c r="E1184" i="2"/>
  <c r="E1185" i="2"/>
  <c r="E1186" i="2"/>
  <c r="E1189" i="2"/>
  <c r="E1188" i="2"/>
  <c r="E1190" i="2"/>
  <c r="E1187" i="2"/>
  <c r="E1191" i="2"/>
  <c r="E1194" i="2"/>
  <c r="E1192" i="2"/>
  <c r="E1193" i="2"/>
  <c r="E1197" i="2"/>
  <c r="E1196" i="2"/>
  <c r="E1195" i="2"/>
  <c r="E1199" i="2"/>
  <c r="E1198" i="2"/>
  <c r="E1203" i="2"/>
  <c r="E1204" i="2"/>
  <c r="E1202" i="2"/>
  <c r="E1201" i="2"/>
  <c r="E1205" i="2"/>
  <c r="E1200" i="2"/>
  <c r="E1207" i="2"/>
  <c r="E1208" i="2"/>
  <c r="E1206" i="2"/>
  <c r="E1210" i="2"/>
  <c r="E1211" i="2"/>
  <c r="E1209" i="2"/>
  <c r="E1212" i="2"/>
  <c r="E1216" i="2"/>
  <c r="E1218" i="2"/>
  <c r="E1215" i="2"/>
  <c r="E1213" i="2"/>
  <c r="E1214" i="2"/>
  <c r="E1217" i="2"/>
  <c r="E1219" i="2"/>
  <c r="E1220" i="2"/>
  <c r="E1221" i="2"/>
  <c r="E1222" i="2"/>
  <c r="E1223" i="2"/>
  <c r="E1226" i="2"/>
  <c r="E1224" i="2"/>
  <c r="E1225" i="2"/>
  <c r="E1228" i="2"/>
  <c r="E1227" i="2"/>
  <c r="E1229" i="2"/>
  <c r="E1231" i="2"/>
  <c r="E1230" i="2"/>
  <c r="E1232" i="2"/>
  <c r="E1234" i="2"/>
  <c r="E1233" i="2"/>
  <c r="E1237" i="2"/>
  <c r="E1239" i="2"/>
  <c r="E1238" i="2"/>
  <c r="E1236" i="2"/>
  <c r="E1235" i="2"/>
  <c r="E1244" i="2"/>
  <c r="E1242" i="2"/>
  <c r="E1243" i="2"/>
  <c r="E1241" i="2"/>
  <c r="E1240" i="2"/>
  <c r="E1245" i="2"/>
  <c r="E1250" i="2"/>
  <c r="E1246" i="2"/>
  <c r="E1248" i="2"/>
  <c r="E1247" i="2"/>
  <c r="E1249" i="2"/>
  <c r="E1251" i="2"/>
  <c r="E1252" i="2"/>
  <c r="E1253" i="2"/>
  <c r="E1254" i="2"/>
  <c r="E1258" i="2"/>
  <c r="E1256" i="2"/>
  <c r="E1259" i="2"/>
  <c r="E1257" i="2"/>
  <c r="E1255" i="2"/>
  <c r="E1260" i="2"/>
  <c r="E1261" i="2"/>
  <c r="E1262" i="2"/>
  <c r="E1264" i="2"/>
  <c r="E1266" i="2"/>
  <c r="E1265" i="2"/>
  <c r="E1263" i="2"/>
  <c r="E1269" i="2"/>
  <c r="E1270" i="2"/>
  <c r="E1268" i="2"/>
  <c r="E1267" i="2"/>
  <c r="E1271" i="2"/>
  <c r="E1272" i="2"/>
  <c r="E1274" i="2"/>
  <c r="E1273" i="2"/>
  <c r="E1276" i="2"/>
  <c r="E1275" i="2"/>
  <c r="E1277" i="2"/>
  <c r="E1278" i="2"/>
  <c r="E1279" i="2"/>
  <c r="E1280" i="2"/>
  <c r="E1283" i="2"/>
  <c r="E1284" i="2"/>
  <c r="E1285" i="2"/>
  <c r="E1281" i="2"/>
  <c r="E1282" i="2"/>
  <c r="E1286" i="2"/>
  <c r="E1287" i="2"/>
  <c r="E1289" i="2"/>
  <c r="E1288" i="2"/>
  <c r="E1292" i="2"/>
  <c r="E1291" i="2"/>
  <c r="E1294" i="2"/>
  <c r="E1290" i="2"/>
  <c r="E1293" i="2"/>
  <c r="E1295" i="2"/>
  <c r="E1296" i="2"/>
  <c r="E1297" i="2"/>
  <c r="E1298" i="2"/>
  <c r="E1299" i="2"/>
  <c r="E1300" i="2"/>
  <c r="E1301" i="2"/>
  <c r="E1302" i="2"/>
  <c r="E1305" i="2"/>
  <c r="E1303" i="2"/>
  <c r="E1304" i="2"/>
  <c r="E1310" i="2"/>
  <c r="E1307" i="2"/>
  <c r="E1308" i="2"/>
  <c r="E1309" i="2"/>
  <c r="E1306" i="2"/>
  <c r="E1311" i="2"/>
  <c r="E1312" i="2"/>
  <c r="E1313" i="2"/>
  <c r="E1314" i="2"/>
  <c r="E1315" i="2"/>
  <c r="E1316" i="2"/>
  <c r="E1317" i="2"/>
  <c r="E1318" i="2"/>
  <c r="E1319" i="2"/>
  <c r="E1320" i="2"/>
  <c r="E1323" i="2"/>
  <c r="E1324" i="2"/>
  <c r="E1321" i="2"/>
  <c r="E1322" i="2"/>
  <c r="E1327" i="2"/>
  <c r="E1325" i="2"/>
  <c r="E1326" i="2"/>
  <c r="E1328" i="2"/>
  <c r="E1331" i="2"/>
  <c r="E1332" i="2"/>
  <c r="E1330" i="2"/>
  <c r="E1329" i="2"/>
  <c r="E1335" i="2"/>
  <c r="E1334" i="2"/>
  <c r="E1333" i="2"/>
  <c r="E1336" i="2"/>
  <c r="E1337" i="2"/>
  <c r="E1339" i="2"/>
  <c r="E1340" i="2"/>
  <c r="E1338" i="2"/>
  <c r="E1341" i="2"/>
  <c r="E1342" i="2"/>
  <c r="E1343" i="2"/>
  <c r="E1344" i="2"/>
  <c r="E1345" i="2"/>
  <c r="E1346" i="2"/>
  <c r="E1347" i="2"/>
  <c r="E1351" i="2"/>
  <c r="E1348" i="2"/>
  <c r="E1349" i="2"/>
  <c r="E1350" i="2"/>
  <c r="E1352" i="2"/>
  <c r="E1357" i="2"/>
  <c r="E1356" i="2"/>
  <c r="E1355" i="2"/>
  <c r="E1354" i="2"/>
  <c r="E1353" i="2"/>
  <c r="E1358" i="2"/>
  <c r="E1359" i="2"/>
  <c r="E1362" i="2"/>
  <c r="E1360" i="2"/>
  <c r="E1361" i="2"/>
  <c r="E1363" i="2"/>
  <c r="E1364" i="2"/>
  <c r="E1365" i="2"/>
  <c r="E1366" i="2"/>
  <c r="E1367" i="2"/>
  <c r="E1370" i="2"/>
  <c r="E1369" i="2"/>
  <c r="E1371" i="2"/>
  <c r="E1368" i="2"/>
  <c r="E1374" i="2"/>
  <c r="E1375" i="2"/>
  <c r="E1373" i="2"/>
  <c r="E1372" i="2"/>
  <c r="E1378" i="2"/>
  <c r="E1379" i="2"/>
  <c r="E1376" i="2"/>
  <c r="E1380" i="2"/>
  <c r="E1377" i="2"/>
  <c r="E1381" i="2"/>
  <c r="E1382" i="2"/>
  <c r="E1383" i="2"/>
  <c r="E1384" i="2"/>
  <c r="E1386" i="2"/>
  <c r="E1387" i="2"/>
  <c r="E1385" i="2"/>
  <c r="E1388" i="2"/>
  <c r="E1391" i="2"/>
  <c r="E1389" i="2"/>
  <c r="E1390" i="2"/>
  <c r="E1393" i="2"/>
  <c r="E1392" i="2"/>
  <c r="E1395" i="2"/>
  <c r="E1394" i="2"/>
  <c r="E1398" i="2"/>
  <c r="E1397" i="2"/>
  <c r="E1396" i="2"/>
  <c r="E1400" i="2"/>
  <c r="E1399" i="2"/>
  <c r="E1402" i="2"/>
  <c r="E1404" i="2"/>
  <c r="E1401" i="2"/>
  <c r="E1403" i="2"/>
  <c r="E1406" i="2"/>
  <c r="E1405" i="2"/>
  <c r="E1408" i="2"/>
  <c r="E1407" i="2"/>
  <c r="E1409" i="2"/>
  <c r="E1412" i="2"/>
  <c r="E1414" i="2"/>
  <c r="E1413" i="2"/>
  <c r="E1411" i="2"/>
  <c r="E1410" i="2"/>
  <c r="E1416" i="2"/>
  <c r="E1415" i="2"/>
  <c r="E1418" i="2"/>
  <c r="E1417" i="2"/>
  <c r="E1419" i="2"/>
  <c r="E1422" i="2"/>
  <c r="E1421" i="2"/>
  <c r="E1420" i="2"/>
  <c r="E1423" i="2"/>
  <c r="E1424" i="2"/>
  <c r="E1427" i="2"/>
  <c r="E1429" i="2"/>
  <c r="E1425" i="2"/>
  <c r="E1428" i="2"/>
  <c r="E1426" i="2"/>
  <c r="E1430" i="2"/>
  <c r="E1431" i="2"/>
  <c r="E1433" i="2"/>
  <c r="E1434" i="2"/>
  <c r="E1435" i="2"/>
  <c r="E1432" i="2"/>
  <c r="E1436" i="2"/>
  <c r="E1437" i="2"/>
  <c r="E1440" i="2"/>
  <c r="E1438" i="2"/>
  <c r="E1439" i="2"/>
  <c r="E1441" i="2"/>
  <c r="E1446" i="2"/>
  <c r="E1442" i="2"/>
  <c r="E1444" i="2"/>
  <c r="E1445" i="2"/>
  <c r="E1443" i="2"/>
  <c r="E1449" i="2"/>
  <c r="E1450" i="2"/>
  <c r="E1447" i="2"/>
  <c r="E1448" i="2"/>
  <c r="E1451" i="2"/>
  <c r="E1452" i="2"/>
  <c r="E1453" i="2"/>
  <c r="E1454" i="2"/>
  <c r="E1455" i="2"/>
  <c r="E1456" i="2"/>
  <c r="E1459" i="2"/>
  <c r="E1457" i="2"/>
  <c r="E1458" i="2"/>
  <c r="E1461" i="2"/>
  <c r="E1460" i="2"/>
  <c r="E1462" i="2"/>
  <c r="E1463" i="2"/>
  <c r="E1464" i="2"/>
  <c r="E1465" i="2"/>
  <c r="E1466" i="2"/>
  <c r="E1467" i="2"/>
  <c r="E1468" i="2"/>
  <c r="E1469" i="2"/>
  <c r="E1470" i="2"/>
  <c r="E1472" i="2"/>
  <c r="E1471" i="2"/>
  <c r="E1474" i="2"/>
  <c r="E1473" i="2"/>
  <c r="E1478" i="2"/>
  <c r="E1476" i="2"/>
  <c r="E1475" i="2"/>
  <c r="E1477" i="2"/>
  <c r="E1480" i="2"/>
  <c r="E1479" i="2"/>
  <c r="E1482" i="2"/>
  <c r="E1483" i="2"/>
  <c r="E1481" i="2"/>
  <c r="E1485" i="2"/>
  <c r="E1488" i="2"/>
  <c r="E1487" i="2"/>
  <c r="E1484" i="2"/>
  <c r="E1486" i="2"/>
  <c r="E1489" i="2"/>
  <c r="E1490" i="2"/>
  <c r="E1491" i="2"/>
  <c r="E1492" i="2"/>
  <c r="E1493" i="2"/>
  <c r="E1494" i="2"/>
  <c r="E1495" i="2"/>
  <c r="E1496" i="2"/>
  <c r="E1497" i="2"/>
  <c r="E1498" i="2"/>
  <c r="E1499" i="2"/>
  <c r="E1500" i="2"/>
  <c r="E1501" i="2"/>
  <c r="E1503" i="2"/>
  <c r="E1502" i="2"/>
  <c r="E1506" i="2"/>
  <c r="E1504" i="2"/>
  <c r="E1505" i="2"/>
  <c r="E1507" i="2"/>
  <c r="E1509" i="2"/>
  <c r="E1508" i="2"/>
  <c r="E1510" i="2"/>
  <c r="E1511" i="2"/>
  <c r="E1512" i="2"/>
  <c r="E1516" i="2"/>
  <c r="E1515" i="2"/>
  <c r="E1513" i="2"/>
  <c r="E1514" i="2"/>
  <c r="E1517" i="2"/>
  <c r="E1518" i="2"/>
  <c r="E1521" i="2"/>
  <c r="E1520" i="2"/>
  <c r="E1519" i="2"/>
  <c r="E1524" i="2"/>
  <c r="E1522" i="2"/>
  <c r="E1523" i="2"/>
  <c r="E1526" i="2"/>
  <c r="E1525" i="2"/>
  <c r="E1527" i="2"/>
  <c r="E1528" i="2"/>
  <c r="E1531" i="2"/>
  <c r="E1532" i="2"/>
  <c r="E1529" i="2"/>
  <c r="E1533" i="2"/>
  <c r="E1530" i="2"/>
  <c r="E1534" i="2"/>
  <c r="E1537" i="2"/>
  <c r="E1535" i="2"/>
  <c r="E1538" i="2"/>
  <c r="E1536" i="2"/>
  <c r="E1540" i="2"/>
  <c r="E1539" i="2"/>
  <c r="E1543" i="2"/>
  <c r="E1542" i="2"/>
  <c r="E1541" i="2"/>
  <c r="E1544" i="2"/>
  <c r="E1545" i="2"/>
  <c r="E1546" i="2"/>
  <c r="E1548" i="2"/>
  <c r="E1550" i="2"/>
  <c r="E1551" i="2"/>
  <c r="E1547" i="2"/>
  <c r="E1549" i="2"/>
  <c r="E1553" i="2"/>
  <c r="E1554" i="2"/>
  <c r="E1555" i="2"/>
  <c r="E1552" i="2"/>
  <c r="E1557" i="2"/>
  <c r="E1556" i="2"/>
  <c r="E1558" i="2"/>
  <c r="E1561" i="2"/>
  <c r="E1559" i="2"/>
  <c r="E1560" i="2"/>
  <c r="E1566" i="2"/>
  <c r="E1565" i="2"/>
  <c r="E1562" i="2"/>
  <c r="E1563" i="2"/>
  <c r="E1564" i="2"/>
  <c r="E1568" i="2"/>
  <c r="E1567" i="2"/>
  <c r="E1570" i="2"/>
  <c r="E1569" i="2"/>
  <c r="E1571" i="2"/>
  <c r="E1572" i="2"/>
  <c r="E1574" i="2"/>
  <c r="E1575" i="2"/>
  <c r="E1573" i="2"/>
  <c r="E1578" i="2"/>
  <c r="E1577" i="2"/>
  <c r="E1579" i="2"/>
  <c r="E1576" i="2"/>
  <c r="E1580" i="2"/>
  <c r="E1581" i="2"/>
  <c r="E1582" i="2"/>
  <c r="E1583" i="2"/>
  <c r="E1584" i="2"/>
  <c r="E1586" i="2"/>
  <c r="E1585" i="2"/>
  <c r="E1587" i="2"/>
  <c r="E1588" i="2"/>
  <c r="E1589" i="2"/>
  <c r="E1590" i="2"/>
  <c r="E1593" i="2"/>
  <c r="E1594" i="2"/>
  <c r="E1591" i="2"/>
  <c r="E1592" i="2"/>
  <c r="E1595" i="2"/>
  <c r="E1596" i="2"/>
  <c r="E1599" i="2"/>
  <c r="E1597" i="2"/>
  <c r="E1598" i="2"/>
  <c r="E1601" i="2"/>
  <c r="E1600" i="2"/>
  <c r="E1602" i="2"/>
  <c r="E1607" i="2"/>
  <c r="E1604" i="2"/>
  <c r="E1605" i="2"/>
  <c r="E1603" i="2"/>
  <c r="E1606" i="2"/>
  <c r="E1608" i="2"/>
  <c r="E1611" i="2"/>
  <c r="E1609" i="2"/>
  <c r="E1610" i="2"/>
  <c r="E1613" i="2"/>
  <c r="E1614" i="2"/>
  <c r="E1612" i="2"/>
  <c r="E1615" i="2"/>
  <c r="E1616" i="2"/>
  <c r="E1617" i="2"/>
  <c r="E1618" i="2"/>
  <c r="E1619" i="2"/>
  <c r="E1620" i="2"/>
  <c r="E1622" i="2"/>
  <c r="E1623" i="2"/>
  <c r="E1621" i="2"/>
  <c r="E1625" i="2"/>
  <c r="E1624" i="2"/>
  <c r="E1626" i="2"/>
  <c r="E1627" i="2"/>
  <c r="E1628" i="2"/>
  <c r="E1630" i="2"/>
  <c r="E1629" i="2"/>
  <c r="E1635" i="2"/>
  <c r="E1631" i="2"/>
  <c r="E1633" i="2"/>
  <c r="E1632" i="2"/>
  <c r="E1634" i="2"/>
  <c r="E1636" i="2"/>
  <c r="E1637" i="2"/>
  <c r="E1638" i="2"/>
  <c r="E1639" i="2"/>
  <c r="E1640" i="2"/>
  <c r="E1643" i="2"/>
  <c r="E1641" i="2"/>
  <c r="E1642" i="2"/>
  <c r="E1646" i="2"/>
  <c r="E1645" i="2"/>
  <c r="E1644" i="2"/>
  <c r="E1649" i="2"/>
  <c r="E1648" i="2"/>
  <c r="E1647" i="2"/>
  <c r="E1650" i="2"/>
  <c r="E1651" i="2"/>
  <c r="E1652" i="2"/>
  <c r="E1653" i="2"/>
  <c r="E1654" i="2"/>
  <c r="E1656" i="2"/>
  <c r="E1655" i="2"/>
  <c r="E1657" i="2"/>
  <c r="E1660" i="2"/>
  <c r="E1659" i="2"/>
  <c r="E1658" i="2"/>
  <c r="E1662" i="2"/>
  <c r="E1661" i="2"/>
  <c r="E1663" i="2"/>
  <c r="E1665" i="2"/>
  <c r="E1664" i="2"/>
  <c r="E1667" i="2"/>
  <c r="E1669" i="2"/>
  <c r="E1668" i="2"/>
  <c r="E1666" i="2"/>
  <c r="E1670" i="2"/>
  <c r="E1672" i="2"/>
  <c r="E1671" i="2"/>
  <c r="E1673" i="2"/>
  <c r="E1674" i="2"/>
  <c r="E1675" i="2"/>
  <c r="E1676" i="2"/>
  <c r="E1678" i="2"/>
  <c r="E1677" i="2"/>
  <c r="E1679" i="2"/>
  <c r="E1680" i="2"/>
  <c r="E1681" i="2"/>
  <c r="E1684" i="2"/>
  <c r="E1682" i="2"/>
  <c r="E1683" i="2"/>
  <c r="E1685" i="2"/>
  <c r="E1687" i="2"/>
  <c r="E1686" i="2"/>
  <c r="E1688" i="2"/>
  <c r="E1689" i="2"/>
  <c r="E1690" i="2"/>
  <c r="E1692" i="2"/>
  <c r="E1691" i="2"/>
  <c r="E1693" i="2"/>
  <c r="E1697" i="2"/>
  <c r="E1696" i="2"/>
  <c r="E1699" i="2"/>
  <c r="E1695" i="2"/>
  <c r="E1698" i="2"/>
  <c r="E1694" i="2"/>
  <c r="E1701" i="2"/>
  <c r="E1702" i="2"/>
  <c r="E1700" i="2"/>
  <c r="E1703" i="2"/>
  <c r="E1704" i="2"/>
  <c r="E1705" i="2"/>
  <c r="E1707" i="2"/>
  <c r="E1706" i="2"/>
  <c r="E1708" i="2"/>
  <c r="E1709" i="2"/>
  <c r="E1711" i="2"/>
  <c r="E1710" i="2"/>
  <c r="E1712" i="2"/>
  <c r="E1715" i="2"/>
  <c r="E1714" i="2"/>
  <c r="E1713" i="2"/>
  <c r="E1716" i="2"/>
  <c r="E1720" i="2"/>
  <c r="E1721" i="2"/>
  <c r="E1717" i="2"/>
  <c r="E1718" i="2"/>
  <c r="E1719" i="2"/>
  <c r="E1724" i="2"/>
  <c r="E1723" i="2"/>
  <c r="E1722" i="2"/>
  <c r="E1726" i="2"/>
  <c r="E1725" i="2"/>
  <c r="E1729" i="2"/>
  <c r="E1728" i="2"/>
  <c r="E1727" i="2"/>
  <c r="E1730" i="2"/>
  <c r="E1732" i="2"/>
  <c r="E1734" i="2"/>
  <c r="E1733" i="2"/>
  <c r="E1731" i="2"/>
  <c r="E1735" i="2"/>
  <c r="E1736" i="2"/>
  <c r="E1740" i="2"/>
  <c r="E1742" i="2"/>
  <c r="E1737" i="2"/>
  <c r="E1741" i="2"/>
  <c r="E1738" i="2"/>
  <c r="E1739" i="2"/>
  <c r="E1743" i="2"/>
  <c r="E1744" i="2"/>
  <c r="E1745" i="2"/>
  <c r="E1749" i="2"/>
  <c r="E1748" i="2"/>
  <c r="E1750" i="2"/>
  <c r="E1747" i="2"/>
  <c r="E1746" i="2"/>
  <c r="E1751" i="2"/>
  <c r="E1752" i="2"/>
  <c r="E1753" i="2"/>
  <c r="E1755" i="2"/>
  <c r="E1754" i="2"/>
  <c r="E1756" i="2"/>
  <c r="E1757" i="2"/>
  <c r="E1758" i="2"/>
  <c r="E1761" i="2"/>
  <c r="E1763" i="2"/>
  <c r="E1764" i="2"/>
  <c r="E1760" i="2"/>
  <c r="E1762" i="2"/>
  <c r="E1759" i="2"/>
  <c r="E1767" i="2"/>
  <c r="E1768" i="2"/>
  <c r="E1766" i="2"/>
  <c r="E1765" i="2"/>
  <c r="E1769" i="2"/>
  <c r="E1772" i="2"/>
  <c r="E1771" i="2"/>
  <c r="E1770" i="2"/>
  <c r="E1773" i="2"/>
  <c r="E1774" i="2"/>
  <c r="E1775" i="2"/>
  <c r="E1776" i="2"/>
  <c r="E1781" i="2"/>
  <c r="E1779" i="2"/>
  <c r="E1780" i="2"/>
  <c r="E1778" i="2"/>
  <c r="E1777" i="2"/>
  <c r="E1782" i="2"/>
  <c r="E1783" i="2"/>
  <c r="E1784" i="2"/>
  <c r="E1785" i="2"/>
  <c r="E1786" i="2"/>
  <c r="E1789" i="2"/>
  <c r="E1788" i="2"/>
  <c r="E1787" i="2"/>
  <c r="E1790" i="2"/>
  <c r="E1791" i="2"/>
  <c r="E1793" i="2"/>
  <c r="E1794" i="2"/>
  <c r="E1792" i="2"/>
  <c r="E1798" i="2"/>
  <c r="E1795" i="2"/>
  <c r="E1796" i="2"/>
  <c r="E1797" i="2"/>
  <c r="E1799" i="2"/>
  <c r="E1801" i="2"/>
  <c r="E1800" i="2"/>
  <c r="E1802" i="2"/>
  <c r="E1803" i="2"/>
  <c r="E1807" i="2"/>
  <c r="E1806" i="2"/>
  <c r="E1804" i="2"/>
  <c r="E1805" i="2"/>
  <c r="E1808" i="2"/>
  <c r="E1809" i="2"/>
  <c r="E1810" i="2"/>
  <c r="E1811" i="2"/>
  <c r="E1812" i="2"/>
  <c r="E1813" i="2"/>
  <c r="E1815" i="2"/>
  <c r="E1816" i="2"/>
  <c r="E1814" i="2"/>
  <c r="E1819" i="2"/>
  <c r="E1818" i="2"/>
  <c r="E1817" i="2"/>
  <c r="E1820" i="2"/>
  <c r="E1821" i="2"/>
  <c r="E1823" i="2"/>
  <c r="E1822" i="2"/>
  <c r="E1826" i="2"/>
  <c r="E1824" i="2"/>
  <c r="E1825" i="2"/>
  <c r="E1827" i="2"/>
  <c r="E1828" i="2"/>
  <c r="E1829" i="2"/>
  <c r="E1830" i="2"/>
  <c r="E1835" i="2"/>
  <c r="E1832" i="2"/>
  <c r="E1833" i="2"/>
  <c r="E1834" i="2"/>
  <c r="E1831" i="2"/>
  <c r="E1837" i="2"/>
  <c r="E1836" i="2"/>
  <c r="E1839" i="2"/>
  <c r="E1838" i="2"/>
  <c r="E1840" i="2"/>
  <c r="E1842" i="2"/>
  <c r="E1841" i="2"/>
  <c r="E1843" i="2"/>
  <c r="E1844" i="2"/>
  <c r="E1845" i="2"/>
  <c r="E1846" i="2"/>
  <c r="E1847" i="2"/>
  <c r="E1849" i="2"/>
  <c r="E1848" i="2"/>
  <c r="E1852" i="2"/>
  <c r="E1850" i="2"/>
  <c r="E1851" i="2"/>
  <c r="E1854" i="2"/>
  <c r="E1853" i="2"/>
  <c r="E1856" i="2"/>
  <c r="E1855" i="2"/>
  <c r="E1858" i="2"/>
  <c r="E1857" i="2"/>
  <c r="E1860" i="2"/>
  <c r="E1859" i="2"/>
  <c r="E1861" i="2"/>
  <c r="E1862" i="2"/>
  <c r="E1865" i="2"/>
  <c r="E1864" i="2"/>
  <c r="E1866" i="2"/>
  <c r="E1863" i="2"/>
  <c r="E1867" i="2"/>
  <c r="E1868" i="2"/>
  <c r="E1873" i="2"/>
  <c r="E1871" i="2"/>
  <c r="E1869" i="2"/>
  <c r="E1872" i="2"/>
  <c r="E1874" i="2"/>
  <c r="E1870" i="2"/>
  <c r="E1875" i="2"/>
  <c r="E1876" i="2"/>
  <c r="E1877" i="2"/>
  <c r="E1878" i="2"/>
  <c r="E1881" i="2"/>
  <c r="E1883" i="2"/>
  <c r="E1879" i="2"/>
  <c r="E1880" i="2"/>
  <c r="E1884" i="2"/>
  <c r="E1882" i="2"/>
  <c r="E1885" i="2"/>
  <c r="E1891" i="2"/>
  <c r="E1888" i="2"/>
  <c r="E1886" i="2"/>
  <c r="E1887" i="2"/>
  <c r="E1889" i="2"/>
  <c r="E1892" i="2"/>
  <c r="E1890" i="2"/>
  <c r="E1893" i="2"/>
  <c r="E1894" i="2"/>
  <c r="E1896" i="2"/>
  <c r="E1895" i="2"/>
  <c r="E1898" i="2"/>
  <c r="E1897" i="2"/>
  <c r="E1905" i="2"/>
  <c r="E1903" i="2"/>
  <c r="E1900" i="2"/>
  <c r="E1902" i="2"/>
  <c r="E1904" i="2"/>
  <c r="E1899" i="2"/>
  <c r="E1901" i="2"/>
  <c r="E1906" i="2"/>
  <c r="E1907" i="2"/>
  <c r="E1908" i="2"/>
  <c r="E1909" i="2"/>
  <c r="E1911" i="2"/>
  <c r="E1910" i="2"/>
  <c r="E1912" i="2"/>
  <c r="E1917" i="2"/>
  <c r="E1913" i="2"/>
  <c r="E1914" i="2"/>
  <c r="E1916" i="2"/>
  <c r="E1915" i="2"/>
  <c r="E1918" i="2"/>
  <c r="E1919" i="2"/>
  <c r="E1920" i="2"/>
  <c r="E1922" i="2"/>
  <c r="E1921" i="2"/>
  <c r="E1923" i="2"/>
  <c r="E1926" i="2"/>
  <c r="E1924" i="2"/>
  <c r="E1925" i="2"/>
  <c r="E1930" i="2"/>
  <c r="E1931" i="2"/>
  <c r="E1928" i="2"/>
  <c r="E1929" i="2"/>
  <c r="E1927" i="2"/>
  <c r="E1936" i="2"/>
  <c r="E1934" i="2"/>
  <c r="E1935" i="2"/>
  <c r="E1933" i="2"/>
  <c r="E1932" i="2"/>
  <c r="E1937" i="2"/>
  <c r="E1940" i="2"/>
  <c r="E1941" i="2"/>
  <c r="E1943" i="2"/>
  <c r="E1939" i="2"/>
  <c r="E1942" i="2"/>
  <c r="E1938" i="2"/>
  <c r="E1944" i="2"/>
  <c r="E1945" i="2"/>
  <c r="E1946" i="2"/>
  <c r="E1947" i="2"/>
  <c r="E1951" i="2"/>
  <c r="E1948" i="2"/>
  <c r="E1950" i="2"/>
  <c r="E1949" i="2"/>
  <c r="E1955" i="2"/>
  <c r="E1953" i="2"/>
  <c r="E1954" i="2"/>
  <c r="E1952" i="2"/>
  <c r="E1959" i="2"/>
  <c r="E1957" i="2"/>
  <c r="E1956" i="2"/>
  <c r="E1958" i="2"/>
  <c r="E1961" i="2"/>
  <c r="E1960" i="2"/>
  <c r="E1966" i="2"/>
  <c r="E1962" i="2"/>
  <c r="E1963" i="2"/>
  <c r="E1964" i="2"/>
  <c r="E1965" i="2"/>
  <c r="E1968" i="2"/>
  <c r="E1967" i="2"/>
  <c r="E1969" i="2"/>
  <c r="E1970" i="2"/>
  <c r="E1971" i="2"/>
  <c r="E1972" i="2"/>
  <c r="E1973" i="2"/>
  <c r="E1974" i="2"/>
  <c r="E1975" i="2"/>
  <c r="E1981" i="2"/>
  <c r="E1982" i="2"/>
  <c r="E1979" i="2"/>
  <c r="E1980" i="2"/>
  <c r="E1983" i="2"/>
  <c r="E1976" i="2"/>
  <c r="E1977" i="2"/>
  <c r="E1978" i="2"/>
  <c r="E1985" i="2"/>
  <c r="E1984" i="2"/>
  <c r="E1987" i="2"/>
  <c r="E1986" i="2"/>
  <c r="E1989" i="2"/>
  <c r="E1988" i="2"/>
  <c r="E1993" i="2"/>
  <c r="E1992" i="2"/>
  <c r="E1995" i="2"/>
  <c r="E1990" i="2"/>
  <c r="E1994" i="2"/>
  <c r="E1991" i="2"/>
  <c r="E1996" i="2"/>
  <c r="E1997" i="2"/>
  <c r="E1999" i="2"/>
  <c r="E1998" i="2"/>
  <c r="E2001" i="2"/>
  <c r="E2002" i="2"/>
  <c r="E2000" i="2"/>
  <c r="E2007" i="2"/>
  <c r="E2003" i="2"/>
  <c r="E2004" i="2"/>
  <c r="E2006" i="2"/>
  <c r="E2005" i="2"/>
  <c r="E2008" i="2"/>
  <c r="E2010" i="2"/>
  <c r="E2009" i="2"/>
  <c r="E2011" i="2"/>
  <c r="E2012" i="2"/>
  <c r="E2015" i="2"/>
  <c r="E2014" i="2"/>
  <c r="E2017" i="2"/>
  <c r="E2013" i="2"/>
  <c r="E2016" i="2"/>
  <c r="E2018" i="2"/>
  <c r="E2019" i="2"/>
  <c r="E2020" i="2"/>
  <c r="E2021" i="2"/>
  <c r="E2024" i="2"/>
  <c r="E2025" i="2"/>
  <c r="E2023" i="2"/>
  <c r="E2022" i="2"/>
  <c r="E2026" i="2"/>
  <c r="E2027" i="2"/>
  <c r="E2029" i="2"/>
  <c r="E2028" i="2"/>
  <c r="E2031" i="2"/>
  <c r="E2030" i="2"/>
  <c r="E2032" i="2"/>
  <c r="E2034" i="2"/>
  <c r="E2036" i="2"/>
  <c r="E2033" i="2"/>
  <c r="E2035" i="2"/>
  <c r="E2037" i="2"/>
  <c r="E2039" i="2"/>
  <c r="E2038" i="2"/>
  <c r="E2040" i="2"/>
  <c r="E2042" i="2"/>
  <c r="E2041" i="2"/>
  <c r="E2044" i="2"/>
  <c r="E2043" i="2"/>
  <c r="E2046" i="2"/>
  <c r="E2045" i="2"/>
  <c r="E2047" i="2"/>
  <c r="E2050" i="2"/>
  <c r="E2048" i="2"/>
  <c r="E2049" i="2"/>
  <c r="E2055" i="2"/>
  <c r="E2054" i="2"/>
  <c r="E2052" i="2"/>
  <c r="E2051" i="2"/>
  <c r="E2053" i="2"/>
  <c r="E2056" i="2"/>
  <c r="E2057" i="2"/>
  <c r="E2058" i="2"/>
  <c r="E2059" i="2"/>
  <c r="E2060" i="2"/>
  <c r="E2061" i="2"/>
  <c r="E2065" i="2"/>
  <c r="E2067" i="2"/>
  <c r="E2062" i="2"/>
  <c r="E2063" i="2"/>
  <c r="E2066" i="2"/>
  <c r="E2064" i="2"/>
  <c r="E2070" i="2"/>
  <c r="E2069" i="2"/>
  <c r="E2068" i="2"/>
  <c r="E2072" i="2"/>
  <c r="E2071" i="2"/>
  <c r="E2076" i="2"/>
  <c r="E2073" i="2"/>
  <c r="E2077" i="2"/>
  <c r="E2074" i="2"/>
  <c r="E2075" i="2"/>
  <c r="E2081" i="2"/>
  <c r="E2078" i="2"/>
  <c r="E2079" i="2"/>
  <c r="E2080" i="2"/>
  <c r="E2082" i="2"/>
  <c r="E2084" i="2"/>
  <c r="E2083" i="2"/>
  <c r="E2085" i="2"/>
  <c r="E2086" i="2"/>
  <c r="E2088" i="2"/>
  <c r="E2087" i="2"/>
  <c r="E2090" i="2"/>
  <c r="E2089" i="2"/>
  <c r="E2094" i="2"/>
  <c r="E2095" i="2"/>
  <c r="E2092" i="2"/>
  <c r="E2093" i="2"/>
  <c r="E2091" i="2"/>
  <c r="E2099" i="2"/>
  <c r="E2097" i="2"/>
  <c r="E2098" i="2"/>
  <c r="E2096" i="2"/>
  <c r="E2102" i="2"/>
  <c r="E2101" i="2"/>
  <c r="E2100" i="2"/>
  <c r="E2103" i="2"/>
  <c r="E2104" i="2"/>
  <c r="E2105" i="2"/>
  <c r="E2107" i="2"/>
  <c r="E2106" i="2"/>
  <c r="E2108" i="2"/>
  <c r="E2110" i="2"/>
  <c r="E2111" i="2"/>
  <c r="E2109" i="2"/>
  <c r="E2112" i="2"/>
  <c r="E2114" i="2"/>
  <c r="E2117" i="2"/>
  <c r="E2116" i="2"/>
  <c r="E2115" i="2"/>
  <c r="E2113" i="2"/>
  <c r="E2119" i="2"/>
  <c r="E2121" i="2"/>
  <c r="E2118" i="2"/>
  <c r="E1123" i="2"/>
  <c r="F1121" i="2"/>
  <c r="F1122" i="2"/>
  <c r="F1124" i="2"/>
  <c r="F1125" i="2"/>
  <c r="F1126" i="2"/>
  <c r="F1127" i="2"/>
  <c r="F1128" i="2"/>
  <c r="F1131" i="2"/>
  <c r="F1129" i="2"/>
  <c r="F1132" i="2"/>
  <c r="F1134" i="2"/>
  <c r="F1130" i="2"/>
  <c r="F1133" i="2"/>
  <c r="F1137" i="2"/>
  <c r="F1135" i="2"/>
  <c r="F1136" i="2"/>
  <c r="F1139" i="2"/>
  <c r="F1138" i="2"/>
  <c r="F1143" i="2"/>
  <c r="F1142" i="2"/>
  <c r="F1144" i="2"/>
  <c r="F1140" i="2"/>
  <c r="F1141" i="2"/>
  <c r="F1146" i="2"/>
  <c r="F1145" i="2"/>
  <c r="F1151" i="2"/>
  <c r="F1147" i="2"/>
  <c r="F1149" i="2"/>
  <c r="F1150" i="2"/>
  <c r="F1148" i="2"/>
  <c r="F1153" i="2"/>
  <c r="F1152" i="2"/>
  <c r="F1158" i="2"/>
  <c r="F1155" i="2"/>
  <c r="F1157" i="2"/>
  <c r="F1156" i="2"/>
  <c r="F1154" i="2"/>
  <c r="F1159" i="2"/>
  <c r="F1163" i="2"/>
  <c r="F1161" i="2"/>
  <c r="F1160" i="2"/>
  <c r="F1164" i="2"/>
  <c r="F1165" i="2"/>
  <c r="F1162" i="2"/>
  <c r="F1167" i="2"/>
  <c r="F1166" i="2"/>
  <c r="F1169" i="2"/>
  <c r="F1168" i="2"/>
  <c r="F1171" i="2"/>
  <c r="F1170" i="2"/>
  <c r="F1175" i="2"/>
  <c r="F1176" i="2"/>
  <c r="F1174" i="2"/>
  <c r="F1172" i="2"/>
  <c r="F1173" i="2"/>
  <c r="F1177" i="2"/>
  <c r="F1178" i="2"/>
  <c r="F1183" i="2"/>
  <c r="F1179" i="2"/>
  <c r="F1181" i="2"/>
  <c r="F1180" i="2"/>
  <c r="F1182" i="2"/>
  <c r="F1184" i="2"/>
  <c r="F1185" i="2"/>
  <c r="F1186" i="2"/>
  <c r="F1189" i="2"/>
  <c r="F1188" i="2"/>
  <c r="F1190" i="2"/>
  <c r="F1187" i="2"/>
  <c r="F1191" i="2"/>
  <c r="F1194" i="2"/>
  <c r="F1192" i="2"/>
  <c r="F1193" i="2"/>
  <c r="F1197" i="2"/>
  <c r="F1196" i="2"/>
  <c r="F1195" i="2"/>
  <c r="F1199" i="2"/>
  <c r="F1198" i="2"/>
  <c r="F1203" i="2"/>
  <c r="F1204" i="2"/>
  <c r="F1202" i="2"/>
  <c r="F1201" i="2"/>
  <c r="F1205" i="2"/>
  <c r="F1200" i="2"/>
  <c r="F1207" i="2"/>
  <c r="F1208" i="2"/>
  <c r="F1206" i="2"/>
  <c r="F1210" i="2"/>
  <c r="F1211" i="2"/>
  <c r="F1209" i="2"/>
  <c r="F1212" i="2"/>
  <c r="F1216" i="2"/>
  <c r="F1218" i="2"/>
  <c r="F1215" i="2"/>
  <c r="F1213" i="2"/>
  <c r="F1214" i="2"/>
  <c r="F1217" i="2"/>
  <c r="F1219" i="2"/>
  <c r="F1220" i="2"/>
  <c r="F1221" i="2"/>
  <c r="F1222" i="2"/>
  <c r="F1223" i="2"/>
  <c r="F1226" i="2"/>
  <c r="F1224" i="2"/>
  <c r="F1225" i="2"/>
  <c r="F1228" i="2"/>
  <c r="F1227" i="2"/>
  <c r="F1229" i="2"/>
  <c r="F1231" i="2"/>
  <c r="F1230" i="2"/>
  <c r="F1232" i="2"/>
  <c r="F1234" i="2"/>
  <c r="F1233" i="2"/>
  <c r="F1237" i="2"/>
  <c r="F1239" i="2"/>
  <c r="F1238" i="2"/>
  <c r="F1236" i="2"/>
  <c r="F1235" i="2"/>
  <c r="F1244" i="2"/>
  <c r="F1242" i="2"/>
  <c r="F1243" i="2"/>
  <c r="F1241" i="2"/>
  <c r="F1240" i="2"/>
  <c r="F1245" i="2"/>
  <c r="F1250" i="2"/>
  <c r="F1246" i="2"/>
  <c r="F1248" i="2"/>
  <c r="F1247" i="2"/>
  <c r="F1249" i="2"/>
  <c r="F1251" i="2"/>
  <c r="F1252" i="2"/>
  <c r="F1253" i="2"/>
  <c r="F1254" i="2"/>
  <c r="F1258" i="2"/>
  <c r="F1256" i="2"/>
  <c r="F1259" i="2"/>
  <c r="F1257" i="2"/>
  <c r="F1255" i="2"/>
  <c r="F1260" i="2"/>
  <c r="F1261" i="2"/>
  <c r="F1262" i="2"/>
  <c r="F1264" i="2"/>
  <c r="F1266" i="2"/>
  <c r="F1265" i="2"/>
  <c r="F1263" i="2"/>
  <c r="F1269" i="2"/>
  <c r="F1270" i="2"/>
  <c r="F1268" i="2"/>
  <c r="F1267" i="2"/>
  <c r="F1271" i="2"/>
  <c r="F1272" i="2"/>
  <c r="F1274" i="2"/>
  <c r="F1273" i="2"/>
  <c r="F1276" i="2"/>
  <c r="F1275" i="2"/>
  <c r="F1277" i="2"/>
  <c r="F1278" i="2"/>
  <c r="F1279" i="2"/>
  <c r="F1280" i="2"/>
  <c r="F1283" i="2"/>
  <c r="F1284" i="2"/>
  <c r="F1285" i="2"/>
  <c r="F1281" i="2"/>
  <c r="F1282" i="2"/>
  <c r="F1286" i="2"/>
  <c r="F1287" i="2"/>
  <c r="F1289" i="2"/>
  <c r="F1288" i="2"/>
  <c r="F1292" i="2"/>
  <c r="F1291" i="2"/>
  <c r="F1294" i="2"/>
  <c r="F1290" i="2"/>
  <c r="F1293" i="2"/>
  <c r="F1295" i="2"/>
  <c r="F1296" i="2"/>
  <c r="F1297" i="2"/>
  <c r="F1298" i="2"/>
  <c r="F1299" i="2"/>
  <c r="F1300" i="2"/>
  <c r="F1301" i="2"/>
  <c r="F1302" i="2"/>
  <c r="F1305" i="2"/>
  <c r="F1303" i="2"/>
  <c r="F1304" i="2"/>
  <c r="F1310" i="2"/>
  <c r="F1307" i="2"/>
  <c r="F1308" i="2"/>
  <c r="F1309" i="2"/>
  <c r="F1306" i="2"/>
  <c r="F1311" i="2"/>
  <c r="F1312" i="2"/>
  <c r="F1313" i="2"/>
  <c r="F1314" i="2"/>
  <c r="F1315" i="2"/>
  <c r="F1316" i="2"/>
  <c r="F1317" i="2"/>
  <c r="F1318" i="2"/>
  <c r="F1319" i="2"/>
  <c r="F1320" i="2"/>
  <c r="F1323" i="2"/>
  <c r="F1324" i="2"/>
  <c r="F1321" i="2"/>
  <c r="F1322" i="2"/>
  <c r="F1327" i="2"/>
  <c r="F1325" i="2"/>
  <c r="F1326" i="2"/>
  <c r="F1328" i="2"/>
  <c r="F1331" i="2"/>
  <c r="F1332" i="2"/>
  <c r="F1330" i="2"/>
  <c r="F1329" i="2"/>
  <c r="F1335" i="2"/>
  <c r="F1334" i="2"/>
  <c r="F1333" i="2"/>
  <c r="F1336" i="2"/>
  <c r="F1337" i="2"/>
  <c r="F1339" i="2"/>
  <c r="F1340" i="2"/>
  <c r="F1338" i="2"/>
  <c r="F1341" i="2"/>
  <c r="F1342" i="2"/>
  <c r="F1343" i="2"/>
  <c r="F1344" i="2"/>
  <c r="F1345" i="2"/>
  <c r="F1346" i="2"/>
  <c r="F1347" i="2"/>
  <c r="F1351" i="2"/>
  <c r="F1348" i="2"/>
  <c r="F1349" i="2"/>
  <c r="F1350" i="2"/>
  <c r="F1352" i="2"/>
  <c r="F1357" i="2"/>
  <c r="F1356" i="2"/>
  <c r="F1355" i="2"/>
  <c r="F1354" i="2"/>
  <c r="F1353" i="2"/>
  <c r="F1358" i="2"/>
  <c r="F1359" i="2"/>
  <c r="F1362" i="2"/>
  <c r="F1360" i="2"/>
  <c r="F1361" i="2"/>
  <c r="F1363" i="2"/>
  <c r="F1364" i="2"/>
  <c r="F1365" i="2"/>
  <c r="F1366" i="2"/>
  <c r="F1367" i="2"/>
  <c r="F1370" i="2"/>
  <c r="F1369" i="2"/>
  <c r="F1371" i="2"/>
  <c r="F1368" i="2"/>
  <c r="F1374" i="2"/>
  <c r="F1375" i="2"/>
  <c r="F1373" i="2"/>
  <c r="F1372" i="2"/>
  <c r="F1378" i="2"/>
  <c r="F1379" i="2"/>
  <c r="F1376" i="2"/>
  <c r="F1380" i="2"/>
  <c r="F1377" i="2"/>
  <c r="F1381" i="2"/>
  <c r="F1382" i="2"/>
  <c r="F1383" i="2"/>
  <c r="F1384" i="2"/>
  <c r="F1386" i="2"/>
  <c r="F1387" i="2"/>
  <c r="F1385" i="2"/>
  <c r="F1388" i="2"/>
  <c r="F1391" i="2"/>
  <c r="F1389" i="2"/>
  <c r="F1390" i="2"/>
  <c r="F1393" i="2"/>
  <c r="F1392" i="2"/>
  <c r="F1395" i="2"/>
  <c r="F1394" i="2"/>
  <c r="F1398" i="2"/>
  <c r="F1397" i="2"/>
  <c r="F1396" i="2"/>
  <c r="F1400" i="2"/>
  <c r="F1399" i="2"/>
  <c r="F1402" i="2"/>
  <c r="F1404" i="2"/>
  <c r="F1401" i="2"/>
  <c r="F1403" i="2"/>
  <c r="F1406" i="2"/>
  <c r="F1405" i="2"/>
  <c r="F1408" i="2"/>
  <c r="F1407" i="2"/>
  <c r="F1409" i="2"/>
  <c r="F1412" i="2"/>
  <c r="F1414" i="2"/>
  <c r="F1413" i="2"/>
  <c r="F1411" i="2"/>
  <c r="F1410" i="2"/>
  <c r="F1416" i="2"/>
  <c r="F1415" i="2"/>
  <c r="F1418" i="2"/>
  <c r="F1417" i="2"/>
  <c r="F1419" i="2"/>
  <c r="F1422" i="2"/>
  <c r="F1421" i="2"/>
  <c r="F1420" i="2"/>
  <c r="F1423" i="2"/>
  <c r="F1424" i="2"/>
  <c r="F1427" i="2"/>
  <c r="F1429" i="2"/>
  <c r="F1425" i="2"/>
  <c r="F1428" i="2"/>
  <c r="F1426" i="2"/>
  <c r="F1430" i="2"/>
  <c r="F1431" i="2"/>
  <c r="F1433" i="2"/>
  <c r="F1434" i="2"/>
  <c r="F1435" i="2"/>
  <c r="F1432" i="2"/>
  <c r="F1436" i="2"/>
  <c r="F1437" i="2"/>
  <c r="F1440" i="2"/>
  <c r="F1438" i="2"/>
  <c r="F1439" i="2"/>
  <c r="F1441" i="2"/>
  <c r="F1446" i="2"/>
  <c r="F1442" i="2"/>
  <c r="F1444" i="2"/>
  <c r="F1445" i="2"/>
  <c r="F1443" i="2"/>
  <c r="F1449" i="2"/>
  <c r="F1450" i="2"/>
  <c r="F1447" i="2"/>
  <c r="F1448" i="2"/>
  <c r="F1451" i="2"/>
  <c r="F1452" i="2"/>
  <c r="F1453" i="2"/>
  <c r="F1454" i="2"/>
  <c r="F1455" i="2"/>
  <c r="F1456" i="2"/>
  <c r="F1459" i="2"/>
  <c r="F1457" i="2"/>
  <c r="F1458" i="2"/>
  <c r="F1461" i="2"/>
  <c r="F1460" i="2"/>
  <c r="F1462" i="2"/>
  <c r="F1463" i="2"/>
  <c r="F1464" i="2"/>
  <c r="F1465" i="2"/>
  <c r="F1466" i="2"/>
  <c r="F1467" i="2"/>
  <c r="F1468" i="2"/>
  <c r="F1469" i="2"/>
  <c r="F1470" i="2"/>
  <c r="F1472" i="2"/>
  <c r="F1471" i="2"/>
  <c r="F1474" i="2"/>
  <c r="F1473" i="2"/>
  <c r="F1478" i="2"/>
  <c r="F1476" i="2"/>
  <c r="F1475" i="2"/>
  <c r="F1477" i="2"/>
  <c r="F1480" i="2"/>
  <c r="F1479" i="2"/>
  <c r="F1482" i="2"/>
  <c r="F1483" i="2"/>
  <c r="F1481" i="2"/>
  <c r="F1485" i="2"/>
  <c r="F1488" i="2"/>
  <c r="F1487" i="2"/>
  <c r="F1484" i="2"/>
  <c r="F1486" i="2"/>
  <c r="F1489" i="2"/>
  <c r="F1490" i="2"/>
  <c r="F1491" i="2"/>
  <c r="F1492" i="2"/>
  <c r="F1493" i="2"/>
  <c r="F1494" i="2"/>
  <c r="F1495" i="2"/>
  <c r="F1496" i="2"/>
  <c r="F1497" i="2"/>
  <c r="F1498" i="2"/>
  <c r="F1499" i="2"/>
  <c r="F1500" i="2"/>
  <c r="F1501" i="2"/>
  <c r="F1503" i="2"/>
  <c r="F1502" i="2"/>
  <c r="F1506" i="2"/>
  <c r="F1504" i="2"/>
  <c r="F1505" i="2"/>
  <c r="F1507" i="2"/>
  <c r="F1509" i="2"/>
  <c r="F1508" i="2"/>
  <c r="F1510" i="2"/>
  <c r="F1511" i="2"/>
  <c r="F1512" i="2"/>
  <c r="F1516" i="2"/>
  <c r="F1515" i="2"/>
  <c r="F1513" i="2"/>
  <c r="F1514" i="2"/>
  <c r="F1517" i="2"/>
  <c r="F1518" i="2"/>
  <c r="F1521" i="2"/>
  <c r="F1520" i="2"/>
  <c r="F1519" i="2"/>
  <c r="F1524" i="2"/>
  <c r="F1522" i="2"/>
  <c r="F1523" i="2"/>
  <c r="F1526" i="2"/>
  <c r="F1525" i="2"/>
  <c r="F1527" i="2"/>
  <c r="F1528" i="2"/>
  <c r="F1531" i="2"/>
  <c r="F1532" i="2"/>
  <c r="F1529" i="2"/>
  <c r="F1533" i="2"/>
  <c r="F1530" i="2"/>
  <c r="F1534" i="2"/>
  <c r="F1537" i="2"/>
  <c r="F1535" i="2"/>
  <c r="F1538" i="2"/>
  <c r="F1536" i="2"/>
  <c r="F1540" i="2"/>
  <c r="F1539" i="2"/>
  <c r="F1543" i="2"/>
  <c r="F1542" i="2"/>
  <c r="F1541" i="2"/>
  <c r="F1544" i="2"/>
  <c r="F1545" i="2"/>
  <c r="F1546" i="2"/>
  <c r="F1548" i="2"/>
  <c r="F1550" i="2"/>
  <c r="F1551" i="2"/>
  <c r="F1547" i="2"/>
  <c r="F1549" i="2"/>
  <c r="F1553" i="2"/>
  <c r="F1554" i="2"/>
  <c r="F1555" i="2"/>
  <c r="F1552" i="2"/>
  <c r="F1557" i="2"/>
  <c r="F1556" i="2"/>
  <c r="F1558" i="2"/>
  <c r="F1561" i="2"/>
  <c r="F1559" i="2"/>
  <c r="F1560" i="2"/>
  <c r="F1566" i="2"/>
  <c r="F1565" i="2"/>
  <c r="F1562" i="2"/>
  <c r="F1563" i="2"/>
  <c r="F1564" i="2"/>
  <c r="F1568" i="2"/>
  <c r="F1567" i="2"/>
  <c r="F1570" i="2"/>
  <c r="F1569" i="2"/>
  <c r="F1571" i="2"/>
  <c r="F1572" i="2"/>
  <c r="F1574" i="2"/>
  <c r="F1575" i="2"/>
  <c r="F1573" i="2"/>
  <c r="F1578" i="2"/>
  <c r="F1577" i="2"/>
  <c r="F1579" i="2"/>
  <c r="F1576" i="2"/>
  <c r="F1580" i="2"/>
  <c r="F1581" i="2"/>
  <c r="F1582" i="2"/>
  <c r="F1583" i="2"/>
  <c r="F1584" i="2"/>
  <c r="F1586" i="2"/>
  <c r="F1585" i="2"/>
  <c r="F1587" i="2"/>
  <c r="F1588" i="2"/>
  <c r="F1589" i="2"/>
  <c r="F1590" i="2"/>
  <c r="F1593" i="2"/>
  <c r="F1594" i="2"/>
  <c r="F1591" i="2"/>
  <c r="F1592" i="2"/>
  <c r="F1595" i="2"/>
  <c r="F1596" i="2"/>
  <c r="F1599" i="2"/>
  <c r="F1597" i="2"/>
  <c r="F1598" i="2"/>
  <c r="F1601" i="2"/>
  <c r="F1600" i="2"/>
  <c r="F1602" i="2"/>
  <c r="F1607" i="2"/>
  <c r="F1604" i="2"/>
  <c r="F1605" i="2"/>
  <c r="F1603" i="2"/>
  <c r="F1606" i="2"/>
  <c r="F1608" i="2"/>
  <c r="F1611" i="2"/>
  <c r="F1609" i="2"/>
  <c r="F1610" i="2"/>
  <c r="F1613" i="2"/>
  <c r="F1614" i="2"/>
  <c r="F1612" i="2"/>
  <c r="F1615" i="2"/>
  <c r="F1616" i="2"/>
  <c r="F1617" i="2"/>
  <c r="F1618" i="2"/>
  <c r="F1619" i="2"/>
  <c r="F1620" i="2"/>
  <c r="F1622" i="2"/>
  <c r="F1623" i="2"/>
  <c r="F1621" i="2"/>
  <c r="F1625" i="2"/>
  <c r="F1624" i="2"/>
  <c r="F1626" i="2"/>
  <c r="F1627" i="2"/>
  <c r="F1628" i="2"/>
  <c r="F1630" i="2"/>
  <c r="F1629" i="2"/>
  <c r="F1635" i="2"/>
  <c r="F1631" i="2"/>
  <c r="F1633" i="2"/>
  <c r="F1632" i="2"/>
  <c r="F1634" i="2"/>
  <c r="F1636" i="2"/>
  <c r="F1637" i="2"/>
  <c r="F1638" i="2"/>
  <c r="F1639" i="2"/>
  <c r="F1640" i="2"/>
  <c r="F1643" i="2"/>
  <c r="F1641" i="2"/>
  <c r="F1642" i="2"/>
  <c r="F1646" i="2"/>
  <c r="F1645" i="2"/>
  <c r="F1644" i="2"/>
  <c r="F1649" i="2"/>
  <c r="F1648" i="2"/>
  <c r="F1647" i="2"/>
  <c r="F1650" i="2"/>
  <c r="F1651" i="2"/>
  <c r="F1652" i="2"/>
  <c r="F1653" i="2"/>
  <c r="F1654" i="2"/>
  <c r="F1656" i="2"/>
  <c r="F1655" i="2"/>
  <c r="F1657" i="2"/>
  <c r="F1660" i="2"/>
  <c r="F1659" i="2"/>
  <c r="F1658" i="2"/>
  <c r="F1662" i="2"/>
  <c r="F1661" i="2"/>
  <c r="F1663" i="2"/>
  <c r="F1665" i="2"/>
  <c r="F1664" i="2"/>
  <c r="F1667" i="2"/>
  <c r="F1669" i="2"/>
  <c r="F1668" i="2"/>
  <c r="F1666" i="2"/>
  <c r="F1670" i="2"/>
  <c r="F1672" i="2"/>
  <c r="F1671" i="2"/>
  <c r="F1673" i="2"/>
  <c r="F1674" i="2"/>
  <c r="F1675" i="2"/>
  <c r="F1676" i="2"/>
  <c r="F1678" i="2"/>
  <c r="F1677" i="2"/>
  <c r="F1679" i="2"/>
  <c r="F1680" i="2"/>
  <c r="F1681" i="2"/>
  <c r="F1684" i="2"/>
  <c r="F1682" i="2"/>
  <c r="F1683" i="2"/>
  <c r="F1685" i="2"/>
  <c r="F1687" i="2"/>
  <c r="F1686" i="2"/>
  <c r="F1688" i="2"/>
  <c r="F1689" i="2"/>
  <c r="F1690" i="2"/>
  <c r="F1692" i="2"/>
  <c r="F1691" i="2"/>
  <c r="F1693" i="2"/>
  <c r="F1697" i="2"/>
  <c r="F1696" i="2"/>
  <c r="F1699" i="2"/>
  <c r="F1695" i="2"/>
  <c r="F1698" i="2"/>
  <c r="F1694" i="2"/>
  <c r="F1701" i="2"/>
  <c r="F1702" i="2"/>
  <c r="F1700" i="2"/>
  <c r="F1703" i="2"/>
  <c r="F1704" i="2"/>
  <c r="F1705" i="2"/>
  <c r="F1707" i="2"/>
  <c r="F1706" i="2"/>
  <c r="F1708" i="2"/>
  <c r="F1709" i="2"/>
  <c r="F1711" i="2"/>
  <c r="F1710" i="2"/>
  <c r="F1712" i="2"/>
  <c r="F1715" i="2"/>
  <c r="F1714" i="2"/>
  <c r="F1713" i="2"/>
  <c r="F1716" i="2"/>
  <c r="F1720" i="2"/>
  <c r="F1721" i="2"/>
  <c r="F1717" i="2"/>
  <c r="F1718" i="2"/>
  <c r="F1719" i="2"/>
  <c r="F1724" i="2"/>
  <c r="F1723" i="2"/>
  <c r="F1722" i="2"/>
  <c r="F1726" i="2"/>
  <c r="F1725" i="2"/>
  <c r="F1729" i="2"/>
  <c r="F1728" i="2"/>
  <c r="F1727" i="2"/>
  <c r="F1730" i="2"/>
  <c r="F1732" i="2"/>
  <c r="F1734" i="2"/>
  <c r="F1733" i="2"/>
  <c r="F1731" i="2"/>
  <c r="F1735" i="2"/>
  <c r="F1736" i="2"/>
  <c r="F1740" i="2"/>
  <c r="F1742" i="2"/>
  <c r="F1737" i="2"/>
  <c r="F1741" i="2"/>
  <c r="F1738" i="2"/>
  <c r="F1739" i="2"/>
  <c r="F1743" i="2"/>
  <c r="F1744" i="2"/>
  <c r="F1745" i="2"/>
  <c r="F1749" i="2"/>
  <c r="F1748" i="2"/>
  <c r="F1750" i="2"/>
  <c r="F1747" i="2"/>
  <c r="F1746" i="2"/>
  <c r="F1751" i="2"/>
  <c r="F1752" i="2"/>
  <c r="F1753" i="2"/>
  <c r="F1755" i="2"/>
  <c r="F1754" i="2"/>
  <c r="F1756" i="2"/>
  <c r="F1757" i="2"/>
  <c r="F1758" i="2"/>
  <c r="F1761" i="2"/>
  <c r="F1763" i="2"/>
  <c r="F1764" i="2"/>
  <c r="F1760" i="2"/>
  <c r="F1762" i="2"/>
  <c r="F1759" i="2"/>
  <c r="F1767" i="2"/>
  <c r="F1768" i="2"/>
  <c r="F1766" i="2"/>
  <c r="F1765" i="2"/>
  <c r="F1769" i="2"/>
  <c r="F1772" i="2"/>
  <c r="F1771" i="2"/>
  <c r="F1770" i="2"/>
  <c r="F1773" i="2"/>
  <c r="F1774" i="2"/>
  <c r="F1775" i="2"/>
  <c r="F1776" i="2"/>
  <c r="F1781" i="2"/>
  <c r="F1779" i="2"/>
  <c r="F1780" i="2"/>
  <c r="F1778" i="2"/>
  <c r="F1777" i="2"/>
  <c r="F1782" i="2"/>
  <c r="F1783" i="2"/>
  <c r="F1784" i="2"/>
  <c r="F1785" i="2"/>
  <c r="F1786" i="2"/>
  <c r="F1789" i="2"/>
  <c r="F1788" i="2"/>
  <c r="F1787" i="2"/>
  <c r="F1790" i="2"/>
  <c r="F1791" i="2"/>
  <c r="F1793" i="2"/>
  <c r="F1794" i="2"/>
  <c r="F1792" i="2"/>
  <c r="F1798" i="2"/>
  <c r="F1795" i="2"/>
  <c r="F1796" i="2"/>
  <c r="F1797" i="2"/>
  <c r="F1799" i="2"/>
  <c r="F1801" i="2"/>
  <c r="F1800" i="2"/>
  <c r="F1802" i="2"/>
  <c r="F1803" i="2"/>
  <c r="F1807" i="2"/>
  <c r="F1806" i="2"/>
  <c r="F1804" i="2"/>
  <c r="F1805" i="2"/>
  <c r="F1808" i="2"/>
  <c r="F1809" i="2"/>
  <c r="F1810" i="2"/>
  <c r="F1811" i="2"/>
  <c r="F1812" i="2"/>
  <c r="F1813" i="2"/>
  <c r="F1815" i="2"/>
  <c r="F1816" i="2"/>
  <c r="F1814" i="2"/>
  <c r="F1819" i="2"/>
  <c r="F1818" i="2"/>
  <c r="F1817" i="2"/>
  <c r="F1820" i="2"/>
  <c r="F1821" i="2"/>
  <c r="F1823" i="2"/>
  <c r="F1822" i="2"/>
  <c r="F1826" i="2"/>
  <c r="F1824" i="2"/>
  <c r="F1825" i="2"/>
  <c r="F1827" i="2"/>
  <c r="F1828" i="2"/>
  <c r="F1829" i="2"/>
  <c r="F1830" i="2"/>
  <c r="F1835" i="2"/>
  <c r="F1832" i="2"/>
  <c r="F1833" i="2"/>
  <c r="F1834" i="2"/>
  <c r="F1831" i="2"/>
  <c r="F1837" i="2"/>
  <c r="F1836" i="2"/>
  <c r="F1839" i="2"/>
  <c r="F1838" i="2"/>
  <c r="F1840" i="2"/>
  <c r="F1842" i="2"/>
  <c r="F1841" i="2"/>
  <c r="F1843" i="2"/>
  <c r="F1844" i="2"/>
  <c r="F1845" i="2"/>
  <c r="F1846" i="2"/>
  <c r="F1847" i="2"/>
  <c r="F1849" i="2"/>
  <c r="F1848" i="2"/>
  <c r="F1852" i="2"/>
  <c r="F1850" i="2"/>
  <c r="F1851" i="2"/>
  <c r="F1854" i="2"/>
  <c r="F1853" i="2"/>
  <c r="F1856" i="2"/>
  <c r="F1855" i="2"/>
  <c r="F1858" i="2"/>
  <c r="F1857" i="2"/>
  <c r="F1860" i="2"/>
  <c r="F1859" i="2"/>
  <c r="F1861" i="2"/>
  <c r="F1862" i="2"/>
  <c r="F1865" i="2"/>
  <c r="F1864" i="2"/>
  <c r="F1866" i="2"/>
  <c r="F1863" i="2"/>
  <c r="F1867" i="2"/>
  <c r="F1868" i="2"/>
  <c r="F1873" i="2"/>
  <c r="F1871" i="2"/>
  <c r="F1869" i="2"/>
  <c r="F1872" i="2"/>
  <c r="F1874" i="2"/>
  <c r="F1870" i="2"/>
  <c r="F1875" i="2"/>
  <c r="F1876" i="2"/>
  <c r="F1877" i="2"/>
  <c r="F1878" i="2"/>
  <c r="F1881" i="2"/>
  <c r="F1883" i="2"/>
  <c r="F1879" i="2"/>
  <c r="F1880" i="2"/>
  <c r="F1884" i="2"/>
  <c r="F1882" i="2"/>
  <c r="F1885" i="2"/>
  <c r="F1891" i="2"/>
  <c r="F1888" i="2"/>
  <c r="F1886" i="2"/>
  <c r="F1887" i="2"/>
  <c r="F1889" i="2"/>
  <c r="F1892" i="2"/>
  <c r="F1890" i="2"/>
  <c r="F1893" i="2"/>
  <c r="F1894" i="2"/>
  <c r="F1896" i="2"/>
  <c r="F1895" i="2"/>
  <c r="F1898" i="2"/>
  <c r="F1897" i="2"/>
  <c r="F1905" i="2"/>
  <c r="F1903" i="2"/>
  <c r="F1900" i="2"/>
  <c r="F1902" i="2"/>
  <c r="F1904" i="2"/>
  <c r="F1899" i="2"/>
  <c r="F1901" i="2"/>
  <c r="F1906" i="2"/>
  <c r="F1907" i="2"/>
  <c r="F1908" i="2"/>
  <c r="F1909" i="2"/>
  <c r="F1911" i="2"/>
  <c r="F1910" i="2"/>
  <c r="F1912" i="2"/>
  <c r="F1917" i="2"/>
  <c r="F1913" i="2"/>
  <c r="F1914" i="2"/>
  <c r="F1916" i="2"/>
  <c r="F1915" i="2"/>
  <c r="F1918" i="2"/>
  <c r="F1919" i="2"/>
  <c r="F1920" i="2"/>
  <c r="F1922" i="2"/>
  <c r="F1921" i="2"/>
  <c r="F1923" i="2"/>
  <c r="F1926" i="2"/>
  <c r="F1924" i="2"/>
  <c r="F1925" i="2"/>
  <c r="F1930" i="2"/>
  <c r="F1931" i="2"/>
  <c r="F1928" i="2"/>
  <c r="F1929" i="2"/>
  <c r="F1927" i="2"/>
  <c r="F1936" i="2"/>
  <c r="F1934" i="2"/>
  <c r="F1935" i="2"/>
  <c r="F1933" i="2"/>
  <c r="F1932" i="2"/>
  <c r="F1937" i="2"/>
  <c r="F1940" i="2"/>
  <c r="F1941" i="2"/>
  <c r="F1943" i="2"/>
  <c r="F1939" i="2"/>
  <c r="F1942" i="2"/>
  <c r="F1938" i="2"/>
  <c r="F1944" i="2"/>
  <c r="F1945" i="2"/>
  <c r="F1946" i="2"/>
  <c r="F1947" i="2"/>
  <c r="F1951" i="2"/>
  <c r="F1948" i="2"/>
  <c r="F1950" i="2"/>
  <c r="F1949" i="2"/>
  <c r="F1955" i="2"/>
  <c r="F1953" i="2"/>
  <c r="F1954" i="2"/>
  <c r="F1952" i="2"/>
  <c r="F1959" i="2"/>
  <c r="F1957" i="2"/>
  <c r="F1956" i="2"/>
  <c r="F1958" i="2"/>
  <c r="F1961" i="2"/>
  <c r="F1960" i="2"/>
  <c r="F1966" i="2"/>
  <c r="F1962" i="2"/>
  <c r="F1963" i="2"/>
  <c r="F1964" i="2"/>
  <c r="F1965" i="2"/>
  <c r="F1968" i="2"/>
  <c r="F1967" i="2"/>
  <c r="F1969" i="2"/>
  <c r="F1970" i="2"/>
  <c r="F1971" i="2"/>
  <c r="F1972" i="2"/>
  <c r="F1973" i="2"/>
  <c r="F1974" i="2"/>
  <c r="F1975" i="2"/>
  <c r="F1981" i="2"/>
  <c r="F1982" i="2"/>
  <c r="F1979" i="2"/>
  <c r="F1980" i="2"/>
  <c r="F1983" i="2"/>
  <c r="F1976" i="2"/>
  <c r="F1977" i="2"/>
  <c r="F1978" i="2"/>
  <c r="F1985" i="2"/>
  <c r="F1984" i="2"/>
  <c r="F1987" i="2"/>
  <c r="F1986" i="2"/>
  <c r="F1989" i="2"/>
  <c r="F1988" i="2"/>
  <c r="F1993" i="2"/>
  <c r="F1992" i="2"/>
  <c r="F1995" i="2"/>
  <c r="F1990" i="2"/>
  <c r="F1994" i="2"/>
  <c r="F1991" i="2"/>
  <c r="F1996" i="2"/>
  <c r="F1997" i="2"/>
  <c r="F1999" i="2"/>
  <c r="F1998" i="2"/>
  <c r="F2001" i="2"/>
  <c r="F2002" i="2"/>
  <c r="F2000" i="2"/>
  <c r="F2007" i="2"/>
  <c r="F2003" i="2"/>
  <c r="F2004" i="2"/>
  <c r="F2006" i="2"/>
  <c r="F2005" i="2"/>
  <c r="F2008" i="2"/>
  <c r="F2010" i="2"/>
  <c r="F2009" i="2"/>
  <c r="F2011" i="2"/>
  <c r="F2012" i="2"/>
  <c r="F2015" i="2"/>
  <c r="F2014" i="2"/>
  <c r="F2017" i="2"/>
  <c r="F2013" i="2"/>
  <c r="F2016" i="2"/>
  <c r="F2018" i="2"/>
  <c r="F2019" i="2"/>
  <c r="F2020" i="2"/>
  <c r="F2021" i="2"/>
  <c r="F2024" i="2"/>
  <c r="F2025" i="2"/>
  <c r="F2023" i="2"/>
  <c r="F2022" i="2"/>
  <c r="F2026" i="2"/>
  <c r="F2027" i="2"/>
  <c r="F2029" i="2"/>
  <c r="F2028" i="2"/>
  <c r="F2031" i="2"/>
  <c r="F2030" i="2"/>
  <c r="F2032" i="2"/>
  <c r="F2034" i="2"/>
  <c r="F2036" i="2"/>
  <c r="F2033" i="2"/>
  <c r="F2035" i="2"/>
  <c r="F2037" i="2"/>
  <c r="F2039" i="2"/>
  <c r="F2038" i="2"/>
  <c r="F2040" i="2"/>
  <c r="F2042" i="2"/>
  <c r="F2041" i="2"/>
  <c r="F2044" i="2"/>
  <c r="F2043" i="2"/>
  <c r="F2046" i="2"/>
  <c r="F2045" i="2"/>
  <c r="F2047" i="2"/>
  <c r="F2050" i="2"/>
  <c r="F2048" i="2"/>
  <c r="F2049" i="2"/>
  <c r="F2055" i="2"/>
  <c r="F2054" i="2"/>
  <c r="F2052" i="2"/>
  <c r="F2051" i="2"/>
  <c r="F2053" i="2"/>
  <c r="F2056" i="2"/>
  <c r="F2057" i="2"/>
  <c r="F2058" i="2"/>
  <c r="F2059" i="2"/>
  <c r="F2060" i="2"/>
  <c r="F2061" i="2"/>
  <c r="F2065" i="2"/>
  <c r="F2067" i="2"/>
  <c r="F2062" i="2"/>
  <c r="F2063" i="2"/>
  <c r="F2066" i="2"/>
  <c r="F2064" i="2"/>
  <c r="F2070" i="2"/>
  <c r="F2069" i="2"/>
  <c r="F2068" i="2"/>
  <c r="F2072" i="2"/>
  <c r="F2071" i="2"/>
  <c r="F2076" i="2"/>
  <c r="F2073" i="2"/>
  <c r="F2077" i="2"/>
  <c r="F2074" i="2"/>
  <c r="F2075" i="2"/>
  <c r="F2081" i="2"/>
  <c r="F2078" i="2"/>
  <c r="F2079" i="2"/>
  <c r="F2080" i="2"/>
  <c r="F2082" i="2"/>
  <c r="F2084" i="2"/>
  <c r="F2083" i="2"/>
  <c r="F2085" i="2"/>
  <c r="F2086" i="2"/>
  <c r="F2088" i="2"/>
  <c r="F2087" i="2"/>
  <c r="F2090" i="2"/>
  <c r="F2089" i="2"/>
  <c r="F2094" i="2"/>
  <c r="F2095" i="2"/>
  <c r="F2092" i="2"/>
  <c r="F2093" i="2"/>
  <c r="F2091" i="2"/>
  <c r="F2099" i="2"/>
  <c r="F2097" i="2"/>
  <c r="F2098" i="2"/>
  <c r="F2096" i="2"/>
  <c r="F2102" i="2"/>
  <c r="F2101" i="2"/>
  <c r="F2100" i="2"/>
  <c r="F2103" i="2"/>
  <c r="F2104" i="2"/>
  <c r="F2105" i="2"/>
  <c r="F2107" i="2"/>
  <c r="F2106" i="2"/>
  <c r="F2108" i="2"/>
  <c r="F2110" i="2"/>
  <c r="F2111" i="2"/>
  <c r="F2109" i="2"/>
  <c r="F2112" i="2"/>
  <c r="F2114" i="2"/>
  <c r="F2117" i="2"/>
  <c r="F2116" i="2"/>
  <c r="F2115" i="2"/>
  <c r="F2113" i="2"/>
  <c r="F2119" i="2"/>
  <c r="F2121" i="2"/>
  <c r="F2118" i="2"/>
  <c r="F1123" i="2"/>
  <c r="W21" i="15"/>
  <c r="W22" i="15"/>
  <c r="W16" i="15"/>
  <c r="W12" i="15"/>
  <c r="W19" i="15"/>
  <c r="W11" i="15"/>
  <c r="W23" i="15"/>
  <c r="W18" i="15"/>
  <c r="W13" i="15"/>
  <c r="W17" i="15"/>
  <c r="W24" i="15"/>
  <c r="W14" i="15"/>
  <c r="V6" i="34" l="1"/>
  <c r="V29" i="15"/>
  <c r="W29" i="15"/>
  <c r="X29" i="15"/>
  <c r="Y29" i="15"/>
  <c r="V30" i="15"/>
  <c r="W30" i="15"/>
  <c r="X30" i="15"/>
  <c r="Y30" i="15"/>
  <c r="N20" i="16"/>
  <c r="U27" i="16"/>
  <c r="S7" i="16"/>
  <c r="O36" i="16"/>
  <c r="N28" i="16"/>
  <c r="U34" i="16"/>
  <c r="P17" i="16"/>
  <c r="S37" i="16"/>
  <c r="T33" i="16"/>
  <c r="T30" i="16"/>
  <c r="S33" i="16"/>
  <c r="T29" i="16"/>
  <c r="P33" i="16"/>
  <c r="S29" i="16"/>
  <c r="P32" i="16"/>
  <c r="P29" i="16"/>
  <c r="O32" i="16"/>
  <c r="P28" i="16"/>
  <c r="U7" i="16"/>
  <c r="P16" i="16"/>
  <c r="O30" i="16"/>
  <c r="T21" i="16"/>
  <c r="N19" i="16"/>
  <c r="T6" i="16"/>
  <c r="U18" i="16"/>
  <c r="N30" i="16"/>
  <c r="T5" i="16"/>
  <c r="N24" i="16"/>
  <c r="P21" i="16"/>
  <c r="N36" i="16"/>
  <c r="T4" i="16"/>
  <c r="S26" i="16"/>
  <c r="U23" i="16"/>
  <c r="O21" i="16"/>
  <c r="S18" i="16"/>
  <c r="U38" i="16"/>
  <c r="N35" i="16"/>
  <c r="N32" i="16"/>
  <c r="O28" i="16"/>
  <c r="T13" i="16"/>
  <c r="P25" i="16"/>
  <c r="T22" i="16"/>
  <c r="S14" i="16"/>
  <c r="O25" i="16"/>
  <c r="U19" i="16"/>
  <c r="S9" i="16"/>
  <c r="T7" i="16"/>
  <c r="P24" i="16"/>
  <c r="P36" i="16"/>
  <c r="S8" i="16"/>
  <c r="U26" i="16"/>
  <c r="N16" i="16"/>
  <c r="T18" i="16"/>
  <c r="S6" i="16"/>
  <c r="U3" i="16"/>
  <c r="U10" i="16"/>
  <c r="T25" i="16"/>
  <c r="N23" i="16"/>
  <c r="P20" i="16"/>
  <c r="T17" i="16"/>
  <c r="T38" i="16"/>
  <c r="N31" i="16"/>
  <c r="S3" i="16"/>
  <c r="V3" i="16" s="1"/>
  <c r="U8" i="16"/>
  <c r="T12" i="16"/>
  <c r="S22" i="16"/>
  <c r="P37" i="16"/>
  <c r="U15" i="16"/>
  <c r="O16" i="16"/>
  <c r="O24" i="16"/>
  <c r="S21" i="16"/>
  <c r="T26" i="16"/>
  <c r="O33" i="16"/>
  <c r="O37" i="16"/>
  <c r="N27" i="16"/>
  <c r="O29" i="16"/>
  <c r="O17" i="16"/>
  <c r="S28" i="16"/>
  <c r="U29" i="16"/>
  <c r="S32" i="16"/>
  <c r="U33" i="16"/>
  <c r="S36" i="16"/>
  <c r="U37" i="16"/>
  <c r="T27" i="16"/>
  <c r="W27" i="16" s="1"/>
  <c r="S16" i="16"/>
  <c r="U17" i="16"/>
  <c r="S20" i="16"/>
  <c r="U21" i="16"/>
  <c r="S24" i="16"/>
  <c r="U25" i="16"/>
  <c r="T15" i="16"/>
  <c r="U11" i="16"/>
  <c r="T8" i="16"/>
  <c r="T3" i="16"/>
  <c r="S10" i="16"/>
  <c r="U28" i="16"/>
  <c r="S31" i="16"/>
  <c r="U32" i="16"/>
  <c r="S35" i="16"/>
  <c r="U36" i="16"/>
  <c r="U16" i="16"/>
  <c r="V16" i="16" s="1"/>
  <c r="S19" i="16"/>
  <c r="U20" i="16"/>
  <c r="S23" i="16"/>
  <c r="U24" i="16"/>
  <c r="V24" i="16" s="1"/>
  <c r="U5" i="16"/>
  <c r="U13" i="16"/>
  <c r="T10" i="16"/>
  <c r="S4" i="16"/>
  <c r="S12" i="16"/>
  <c r="T35" i="16"/>
  <c r="T19" i="16"/>
  <c r="T11" i="16"/>
  <c r="S13" i="16"/>
  <c r="S30" i="16"/>
  <c r="T28" i="16"/>
  <c r="T32" i="16"/>
  <c r="T36" i="16"/>
  <c r="S27" i="16"/>
  <c r="T16" i="16"/>
  <c r="T20" i="16"/>
  <c r="T24" i="16"/>
  <c r="U4" i="16"/>
  <c r="U12" i="16"/>
  <c r="T9" i="16"/>
  <c r="S15" i="16"/>
  <c r="S11" i="16"/>
  <c r="T31" i="16"/>
  <c r="T23" i="16"/>
  <c r="W23" i="16" s="1"/>
  <c r="U6" i="16"/>
  <c r="U14" i="16"/>
  <c r="S5" i="16"/>
  <c r="U31" i="16"/>
  <c r="S34" i="16"/>
  <c r="U35" i="16"/>
  <c r="S38" i="16"/>
  <c r="T14" i="16"/>
  <c r="U9" i="16"/>
  <c r="S25" i="16"/>
  <c r="U22" i="16"/>
  <c r="O20" i="16"/>
  <c r="S17" i="16"/>
  <c r="V17" i="16" s="1"/>
  <c r="T37" i="16"/>
  <c r="T34" i="16"/>
  <c r="U30" i="16"/>
  <c r="N21" i="16"/>
  <c r="P18" i="16"/>
  <c r="O27" i="16"/>
  <c r="N37" i="16"/>
  <c r="P34" i="16"/>
  <c r="N29" i="16"/>
  <c r="O22" i="16"/>
  <c r="N26" i="16"/>
  <c r="P23" i="16"/>
  <c r="N22" i="16"/>
  <c r="P19" i="16"/>
  <c r="N18" i="16"/>
  <c r="N38" i="16"/>
  <c r="P35" i="16"/>
  <c r="N34" i="16"/>
  <c r="P31" i="16"/>
  <c r="P26" i="16"/>
  <c r="N25" i="16"/>
  <c r="P22" i="16"/>
  <c r="N17" i="16"/>
  <c r="P38" i="16"/>
  <c r="N33" i="16"/>
  <c r="P30" i="16"/>
  <c r="O26" i="16"/>
  <c r="O18" i="16"/>
  <c r="P27" i="16"/>
  <c r="O38" i="16"/>
  <c r="O34" i="16"/>
  <c r="O5" i="16"/>
  <c r="O23" i="16"/>
  <c r="O19" i="16"/>
  <c r="O35" i="16"/>
  <c r="O31" i="16"/>
  <c r="N13" i="16"/>
  <c r="O10" i="16"/>
  <c r="P7" i="16"/>
  <c r="N5" i="16"/>
  <c r="P3" i="16"/>
  <c r="P12" i="16"/>
  <c r="N10" i="16"/>
  <c r="O7" i="16"/>
  <c r="P4" i="16"/>
  <c r="O3" i="16"/>
  <c r="O12" i="16"/>
  <c r="P9" i="16"/>
  <c r="N7" i="16"/>
  <c r="O4" i="16"/>
  <c r="P14" i="16"/>
  <c r="N12" i="16"/>
  <c r="O9" i="16"/>
  <c r="P6" i="16"/>
  <c r="N4" i="16"/>
  <c r="O14" i="16"/>
  <c r="P11" i="16"/>
  <c r="N9" i="16"/>
  <c r="O6" i="16"/>
  <c r="N15" i="16"/>
  <c r="N14" i="16"/>
  <c r="O11" i="16"/>
  <c r="P8" i="16"/>
  <c r="N6" i="16"/>
  <c r="O15" i="16"/>
  <c r="P13" i="16"/>
  <c r="N11" i="16"/>
  <c r="O8" i="16"/>
  <c r="P5" i="16"/>
  <c r="P15" i="16"/>
  <c r="O13" i="16"/>
  <c r="P10" i="16"/>
  <c r="N8" i="16"/>
  <c r="F26" i="16"/>
  <c r="F33" i="16"/>
  <c r="F9" i="16"/>
  <c r="F27" i="16"/>
  <c r="F11" i="16"/>
  <c r="F18" i="16"/>
  <c r="F25" i="16"/>
  <c r="F3" i="16"/>
  <c r="F10" i="16"/>
  <c r="F17" i="16"/>
  <c r="F32" i="16"/>
  <c r="F24" i="16"/>
  <c r="F16" i="16"/>
  <c r="F8" i="16"/>
  <c r="N3" i="16"/>
  <c r="F28" i="16"/>
  <c r="F20" i="16"/>
  <c r="F12" i="16"/>
  <c r="F4" i="16"/>
  <c r="D24" i="16"/>
  <c r="G24" i="16" s="1"/>
  <c r="F31" i="16"/>
  <c r="F23" i="16"/>
  <c r="F7" i="16"/>
  <c r="D27" i="16"/>
  <c r="G27" i="16" s="1"/>
  <c r="D33" i="16"/>
  <c r="G33" i="16" s="1"/>
  <c r="D9" i="16"/>
  <c r="G9" i="16" s="1"/>
  <c r="D6" i="16"/>
  <c r="G6" i="16" s="1"/>
  <c r="F6" i="16"/>
  <c r="D25" i="16"/>
  <c r="G25" i="16" s="1"/>
  <c r="D7" i="16"/>
  <c r="G7" i="16" s="1"/>
  <c r="D28" i="16"/>
  <c r="G28" i="16" s="1"/>
  <c r="D8" i="16"/>
  <c r="G8" i="16" s="1"/>
  <c r="D15" i="16"/>
  <c r="G15" i="16" s="1"/>
  <c r="F19" i="16"/>
  <c r="V36" i="20"/>
  <c r="AB34" i="20"/>
  <c r="I16" i="20"/>
  <c r="Q38" i="20"/>
  <c r="K26" i="20"/>
  <c r="AA23" i="20"/>
  <c r="AB23" i="20"/>
  <c r="R13" i="20"/>
  <c r="P21" i="20"/>
  <c r="W24" i="20"/>
  <c r="E23" i="20"/>
  <c r="U13" i="20"/>
  <c r="X12" i="20"/>
  <c r="D22" i="20"/>
  <c r="D29" i="16"/>
  <c r="G29" i="16" s="1"/>
  <c r="D4" i="16"/>
  <c r="G4" i="16" s="1"/>
  <c r="D22" i="16"/>
  <c r="G22" i="16" s="1"/>
  <c r="V30" i="20"/>
  <c r="AD33" i="20"/>
  <c r="K34" i="20"/>
  <c r="F14" i="16"/>
  <c r="W36" i="20"/>
  <c r="F39" i="20"/>
  <c r="AA18" i="20"/>
  <c r="D16" i="16"/>
  <c r="G16" i="16" s="1"/>
  <c r="V24" i="20"/>
  <c r="C29" i="20"/>
  <c r="J27" i="20"/>
  <c r="D27" i="20"/>
  <c r="X24" i="20"/>
  <c r="AC17" i="20"/>
  <c r="F17" i="20"/>
  <c r="D5" i="19"/>
  <c r="O20" i="20"/>
  <c r="E5" i="17"/>
  <c r="AA11" i="20"/>
  <c r="Q13" i="20"/>
  <c r="C22" i="20"/>
  <c r="I15" i="20"/>
  <c r="AD12" i="20"/>
  <c r="D5" i="16"/>
  <c r="G5" i="16" s="1"/>
  <c r="D31" i="16"/>
  <c r="G31" i="16" s="1"/>
  <c r="D13" i="16"/>
  <c r="G13" i="16" s="1"/>
  <c r="D30" i="16"/>
  <c r="G30" i="16" s="1"/>
  <c r="D21" i="16"/>
  <c r="G21" i="16" s="1"/>
  <c r="D11" i="16"/>
  <c r="G11" i="16" s="1"/>
  <c r="F15" i="16"/>
  <c r="Q36" i="20"/>
  <c r="I33" i="20"/>
  <c r="D23" i="20"/>
  <c r="D17" i="16"/>
  <c r="G17" i="16" s="1"/>
  <c r="D19" i="16"/>
  <c r="G19" i="16" s="1"/>
  <c r="F30" i="16"/>
  <c r="F22" i="16"/>
  <c r="O27" i="20"/>
  <c r="J32" i="20"/>
  <c r="G3" i="19"/>
  <c r="P20" i="20"/>
  <c r="F29" i="16"/>
  <c r="F21" i="16"/>
  <c r="F13" i="16"/>
  <c r="F5" i="16"/>
  <c r="D28" i="20"/>
  <c r="F33" i="20"/>
  <c r="D35" i="20"/>
  <c r="R37" i="20"/>
  <c r="AB28" i="20"/>
  <c r="W30" i="20"/>
  <c r="U35" i="20"/>
  <c r="U37" i="20"/>
  <c r="J31" i="20"/>
  <c r="J33" i="20"/>
  <c r="AC35" i="20"/>
  <c r="J38" i="20"/>
  <c r="D29" i="20"/>
  <c r="R31" i="20"/>
  <c r="AC33" i="20"/>
  <c r="AD35" i="20"/>
  <c r="K38" i="20"/>
  <c r="U29" i="20"/>
  <c r="U31" i="20"/>
  <c r="U14" i="20"/>
  <c r="C21" i="20"/>
  <c r="F5" i="17"/>
  <c r="E5" i="19"/>
  <c r="F15" i="20"/>
  <c r="P44" i="20"/>
  <c r="X11" i="20"/>
  <c r="AA17" i="20"/>
  <c r="R19" i="20"/>
  <c r="O26" i="20"/>
  <c r="G4" i="17"/>
  <c r="J15" i="20"/>
  <c r="I22" i="20"/>
  <c r="AA38" i="20"/>
  <c r="AB11" i="20"/>
  <c r="D16" i="20"/>
  <c r="I23" i="20"/>
  <c r="I24" i="20"/>
  <c r="R12" i="20"/>
  <c r="R21" i="20"/>
  <c r="R15" i="20"/>
  <c r="W14" i="20"/>
  <c r="D32" i="16"/>
  <c r="G32" i="16" s="1"/>
  <c r="D20" i="16"/>
  <c r="G20" i="16" s="1"/>
  <c r="B5" i="17"/>
  <c r="J12" i="20"/>
  <c r="P18" i="20"/>
  <c r="O25" i="20"/>
  <c r="V29" i="20"/>
  <c r="P26" i="20"/>
  <c r="P27" i="20"/>
  <c r="U40" i="20"/>
  <c r="U38" i="20"/>
  <c r="U36" i="20"/>
  <c r="U34" i="20"/>
  <c r="U41" i="20"/>
  <c r="U27" i="20"/>
  <c r="U26" i="20"/>
  <c r="U19" i="20"/>
  <c r="U18" i="20"/>
  <c r="U33" i="20"/>
  <c r="U32" i="20"/>
  <c r="U25" i="20"/>
  <c r="U24" i="20"/>
  <c r="U17" i="20"/>
  <c r="U16" i="20"/>
  <c r="U23" i="20"/>
  <c r="U11" i="20"/>
  <c r="U20" i="20"/>
  <c r="U28" i="20"/>
  <c r="U15" i="20"/>
  <c r="U43" i="20"/>
  <c r="U22" i="20"/>
  <c r="U21" i="20"/>
  <c r="U12" i="20"/>
  <c r="U39" i="20"/>
  <c r="U45" i="20"/>
  <c r="I11" i="20"/>
  <c r="AB16" i="20"/>
  <c r="O28" i="20"/>
  <c r="AA12" i="20"/>
  <c r="Q19" i="20"/>
  <c r="L26" i="20"/>
  <c r="R43" i="20"/>
  <c r="P35" i="20"/>
  <c r="AB17" i="20"/>
  <c r="I25" i="20"/>
  <c r="X22" i="20"/>
  <c r="AA31" i="20"/>
  <c r="AA24" i="20"/>
  <c r="AA25" i="20"/>
  <c r="X33" i="20"/>
  <c r="X31" i="20"/>
  <c r="X29" i="20"/>
  <c r="X27" i="20"/>
  <c r="X25" i="20"/>
  <c r="X23" i="20"/>
  <c r="X21" i="20"/>
  <c r="X19" i="20"/>
  <c r="X17" i="20"/>
  <c r="X15" i="20"/>
  <c r="X13" i="20"/>
  <c r="X39" i="20"/>
  <c r="X37" i="20"/>
  <c r="X35" i="20"/>
  <c r="X28" i="20"/>
  <c r="X20" i="20"/>
  <c r="X44" i="20"/>
  <c r="X36" i="20"/>
  <c r="X46" i="20"/>
  <c r="X42" i="20"/>
  <c r="X34" i="20"/>
  <c r="X16" i="20"/>
  <c r="X40" i="20"/>
  <c r="X26" i="20"/>
  <c r="X30" i="20"/>
  <c r="X38" i="20"/>
  <c r="X32" i="20"/>
  <c r="X14" i="20"/>
  <c r="K33" i="20"/>
  <c r="K31" i="20"/>
  <c r="K29" i="20"/>
  <c r="K27" i="20"/>
  <c r="K25" i="20"/>
  <c r="K23" i="20"/>
  <c r="K21" i="20"/>
  <c r="K19" i="20"/>
  <c r="K17" i="20"/>
  <c r="K15" i="20"/>
  <c r="K13" i="20"/>
  <c r="K45" i="20"/>
  <c r="K44" i="20"/>
  <c r="K37" i="20"/>
  <c r="K36" i="20"/>
  <c r="K30" i="20"/>
  <c r="K22" i="20"/>
  <c r="K14" i="20"/>
  <c r="K43" i="20"/>
  <c r="K42" i="20"/>
  <c r="K28" i="20"/>
  <c r="K20" i="20"/>
  <c r="K11" i="20"/>
  <c r="K46" i="20"/>
  <c r="K35" i="20"/>
  <c r="K39" i="20"/>
  <c r="K16" i="20"/>
  <c r="K24" i="20"/>
  <c r="K18" i="20"/>
  <c r="K41" i="20"/>
  <c r="K40" i="20"/>
  <c r="O33" i="20"/>
  <c r="J29" i="20"/>
  <c r="J28" i="20"/>
  <c r="J21" i="20"/>
  <c r="J20" i="20"/>
  <c r="J13" i="20"/>
  <c r="J11" i="20"/>
  <c r="J45" i="20"/>
  <c r="J44" i="20"/>
  <c r="J37" i="20"/>
  <c r="J36" i="20"/>
  <c r="J43" i="20"/>
  <c r="J42" i="20"/>
  <c r="J35" i="20"/>
  <c r="J34" i="20"/>
  <c r="J26" i="20"/>
  <c r="J25" i="20"/>
  <c r="J17" i="20"/>
  <c r="J22" i="20"/>
  <c r="J46" i="20"/>
  <c r="J30" i="20"/>
  <c r="J19" i="20"/>
  <c r="J18" i="20"/>
  <c r="J24" i="20"/>
  <c r="J23" i="20"/>
  <c r="J41" i="20"/>
  <c r="J40" i="20"/>
  <c r="C34" i="20"/>
  <c r="U46" i="20"/>
  <c r="I46" i="20"/>
  <c r="AA45" i="20"/>
  <c r="O45" i="20"/>
  <c r="C45" i="20"/>
  <c r="U44" i="20"/>
  <c r="I44" i="20"/>
  <c r="AA43" i="20"/>
  <c r="O43" i="20"/>
  <c r="C43" i="20"/>
  <c r="U42" i="20"/>
  <c r="AD32" i="20"/>
  <c r="AD30" i="20"/>
  <c r="AD28" i="20"/>
  <c r="AD26" i="20"/>
  <c r="AD24" i="20"/>
  <c r="AD22" i="20"/>
  <c r="AD20" i="20"/>
  <c r="AD18" i="20"/>
  <c r="AD16" i="20"/>
  <c r="AD14" i="20"/>
  <c r="AD46" i="20"/>
  <c r="R46" i="20"/>
  <c r="F46" i="20"/>
  <c r="X45" i="20"/>
  <c r="L45" i="20"/>
  <c r="AD44" i="20"/>
  <c r="R44" i="20"/>
  <c r="F44" i="20"/>
  <c r="X43" i="20"/>
  <c r="L43" i="20"/>
  <c r="AD42" i="20"/>
  <c r="R42" i="20"/>
  <c r="F42" i="20"/>
  <c r="X41" i="20"/>
  <c r="L41" i="20"/>
  <c r="AD40" i="20"/>
  <c r="AD38" i="20"/>
  <c r="AD36" i="20"/>
  <c r="AD34" i="20"/>
  <c r="AD31" i="20"/>
  <c r="AD23" i="20"/>
  <c r="AD15" i="20"/>
  <c r="F5" i="19"/>
  <c r="D4" i="19"/>
  <c r="B3" i="19"/>
  <c r="F3" i="17"/>
  <c r="B4" i="17"/>
  <c r="AD39" i="20"/>
  <c r="AD45" i="20"/>
  <c r="AD37" i="20"/>
  <c r="G5" i="19"/>
  <c r="E4" i="19"/>
  <c r="C3" i="19"/>
  <c r="G3" i="17"/>
  <c r="C3" i="17"/>
  <c r="AD21" i="20"/>
  <c r="C5" i="19"/>
  <c r="E3" i="19"/>
  <c r="E3" i="17"/>
  <c r="F4" i="19"/>
  <c r="D3" i="17"/>
  <c r="AD17" i="20"/>
  <c r="AD43" i="20"/>
  <c r="AD25" i="20"/>
  <c r="B5" i="19"/>
  <c r="D3" i="19"/>
  <c r="D4" i="17"/>
  <c r="AD19" i="20"/>
  <c r="G4" i="19"/>
  <c r="E4" i="17"/>
  <c r="D5" i="17"/>
  <c r="AD13" i="20"/>
  <c r="AD11" i="20"/>
  <c r="F4" i="17"/>
  <c r="AD41" i="20"/>
  <c r="Q21" i="20"/>
  <c r="P11" i="20"/>
  <c r="P22" i="20"/>
  <c r="D12" i="16"/>
  <c r="G12" i="16" s="1"/>
  <c r="D10" i="16"/>
  <c r="G10" i="16" s="1"/>
  <c r="D26" i="16"/>
  <c r="G26" i="16" s="1"/>
  <c r="D23" i="16"/>
  <c r="G23" i="16" s="1"/>
  <c r="C5" i="17"/>
  <c r="B4" i="19"/>
  <c r="K12" i="20"/>
  <c r="J14" i="20"/>
  <c r="J16" i="20"/>
  <c r="X18" i="20"/>
  <c r="E21" i="20"/>
  <c r="P25" i="20"/>
  <c r="AD27" i="20"/>
  <c r="AD29" i="20"/>
  <c r="K32" i="20"/>
  <c r="I39" i="20"/>
  <c r="AC32" i="20"/>
  <c r="AC30" i="20"/>
  <c r="AC28" i="20"/>
  <c r="AC26" i="20"/>
  <c r="AC24" i="20"/>
  <c r="AC22" i="20"/>
  <c r="AC20" i="20"/>
  <c r="AC18" i="20"/>
  <c r="AC16" i="20"/>
  <c r="AC14" i="20"/>
  <c r="AC46" i="20"/>
  <c r="AC45" i="20"/>
  <c r="AC38" i="20"/>
  <c r="AC37" i="20"/>
  <c r="AC31" i="20"/>
  <c r="AC23" i="20"/>
  <c r="AC15" i="20"/>
  <c r="AC44" i="20"/>
  <c r="AC43" i="20"/>
  <c r="AC29" i="20"/>
  <c r="AC21" i="20"/>
  <c r="AC13" i="20"/>
  <c r="AC12" i="20"/>
  <c r="AC42" i="20"/>
  <c r="AC41" i="20"/>
  <c r="AC27" i="20"/>
  <c r="AC19" i="20"/>
  <c r="AC11" i="20"/>
  <c r="AC25" i="20"/>
  <c r="AC36" i="20"/>
  <c r="AC40" i="20"/>
  <c r="AC39" i="20"/>
  <c r="E32" i="20"/>
  <c r="E30" i="20"/>
  <c r="E28" i="20"/>
  <c r="E26" i="20"/>
  <c r="E24" i="20"/>
  <c r="E22" i="20"/>
  <c r="E20" i="20"/>
  <c r="E18" i="20"/>
  <c r="E16" i="20"/>
  <c r="E14" i="20"/>
  <c r="E42" i="20"/>
  <c r="E41" i="20"/>
  <c r="E34" i="20"/>
  <c r="E27" i="20"/>
  <c r="E19" i="20"/>
  <c r="E33" i="20"/>
  <c r="E25" i="20"/>
  <c r="E17" i="20"/>
  <c r="E12" i="20"/>
  <c r="E45" i="20"/>
  <c r="E39" i="20"/>
  <c r="E38" i="20"/>
  <c r="E15" i="20"/>
  <c r="E11" i="20"/>
  <c r="E29" i="20"/>
  <c r="E35" i="20"/>
  <c r="E46" i="20"/>
  <c r="E37" i="20"/>
  <c r="E36" i="20"/>
  <c r="E31" i="20"/>
  <c r="E13" i="20"/>
  <c r="E44" i="20"/>
  <c r="E43" i="20"/>
  <c r="E40" i="20"/>
  <c r="L33" i="20"/>
  <c r="L31" i="20"/>
  <c r="L29" i="20"/>
  <c r="L27" i="20"/>
  <c r="L25" i="20"/>
  <c r="L23" i="20"/>
  <c r="L21" i="20"/>
  <c r="L19" i="20"/>
  <c r="L17" i="20"/>
  <c r="L15" i="20"/>
  <c r="L13" i="20"/>
  <c r="L39" i="20"/>
  <c r="L37" i="20"/>
  <c r="L35" i="20"/>
  <c r="L30" i="20"/>
  <c r="L22" i="20"/>
  <c r="L14" i="20"/>
  <c r="L46" i="20"/>
  <c r="L38" i="20"/>
  <c r="L44" i="20"/>
  <c r="L36" i="20"/>
  <c r="L24" i="20"/>
  <c r="L34" i="20"/>
  <c r="L18" i="20"/>
  <c r="L40" i="20"/>
  <c r="L28" i="20"/>
  <c r="L16" i="20"/>
  <c r="L42" i="20"/>
  <c r="G5" i="17"/>
  <c r="P19" i="20"/>
  <c r="P33" i="20"/>
  <c r="L11" i="20"/>
  <c r="W45" i="20"/>
  <c r="Q42" i="20"/>
  <c r="L20" i="20"/>
  <c r="O36" i="20"/>
  <c r="B3" i="17"/>
  <c r="F3" i="19"/>
  <c r="C36" i="20"/>
  <c r="C13" i="20"/>
  <c r="C30" i="20"/>
  <c r="D33" i="20"/>
  <c r="D26" i="20"/>
  <c r="D25" i="20"/>
  <c r="D18" i="20"/>
  <c r="D17" i="20"/>
  <c r="D12" i="20"/>
  <c r="D42" i="20"/>
  <c r="D41" i="20"/>
  <c r="D34" i="20"/>
  <c r="D46" i="20"/>
  <c r="D40" i="20"/>
  <c r="D39" i="20"/>
  <c r="D21" i="20"/>
  <c r="D20" i="20"/>
  <c r="D45" i="20"/>
  <c r="D38" i="20"/>
  <c r="D32" i="20"/>
  <c r="D15" i="20"/>
  <c r="D14" i="20"/>
  <c r="D11" i="20"/>
  <c r="D37" i="20"/>
  <c r="D13" i="20"/>
  <c r="D19" i="20"/>
  <c r="D36" i="20"/>
  <c r="D31" i="20"/>
  <c r="D30" i="20"/>
  <c r="D24" i="20"/>
  <c r="D44" i="20"/>
  <c r="D43" i="20"/>
  <c r="W38" i="20"/>
  <c r="W37" i="20"/>
  <c r="W32" i="20"/>
  <c r="V27" i="20"/>
  <c r="V26" i="20"/>
  <c r="V19" i="20"/>
  <c r="V18" i="20"/>
  <c r="V11" i="20"/>
  <c r="V43" i="20"/>
  <c r="V42" i="20"/>
  <c r="V35" i="20"/>
  <c r="V34" i="20"/>
  <c r="V46" i="20"/>
  <c r="V41" i="20"/>
  <c r="V40" i="20"/>
  <c r="V28" i="20"/>
  <c r="V17" i="20"/>
  <c r="V31" i="20"/>
  <c r="V14" i="20"/>
  <c r="V22" i="20"/>
  <c r="V21" i="20"/>
  <c r="V12" i="20"/>
  <c r="V20" i="20"/>
  <c r="V37" i="20"/>
  <c r="V13" i="20"/>
  <c r="V39" i="20"/>
  <c r="V33" i="20"/>
  <c r="V16" i="20"/>
  <c r="V15" i="20"/>
  <c r="V38" i="20"/>
  <c r="V32" i="20"/>
  <c r="V44" i="20"/>
  <c r="V45" i="20"/>
  <c r="Q27" i="20"/>
  <c r="Q44" i="20"/>
  <c r="Q43" i="20"/>
  <c r="F32" i="20"/>
  <c r="F30" i="20"/>
  <c r="F28" i="20"/>
  <c r="F26" i="20"/>
  <c r="F24" i="20"/>
  <c r="F22" i="20"/>
  <c r="F20" i="20"/>
  <c r="F18" i="20"/>
  <c r="F16" i="20"/>
  <c r="F14" i="20"/>
  <c r="F40" i="20"/>
  <c r="F38" i="20"/>
  <c r="F36" i="20"/>
  <c r="F34" i="20"/>
  <c r="F27" i="20"/>
  <c r="F19" i="20"/>
  <c r="F43" i="20"/>
  <c r="F35" i="20"/>
  <c r="F41" i="20"/>
  <c r="F37" i="20"/>
  <c r="F31" i="20"/>
  <c r="F13" i="20"/>
  <c r="F12" i="20"/>
  <c r="F29" i="20"/>
  <c r="F23" i="20"/>
  <c r="F25" i="20"/>
  <c r="F45" i="20"/>
  <c r="AB30" i="20"/>
  <c r="AB29" i="20"/>
  <c r="AB22" i="20"/>
  <c r="AB21" i="20"/>
  <c r="AB14" i="20"/>
  <c r="AB13" i="20"/>
  <c r="AB12" i="20"/>
  <c r="AB46" i="20"/>
  <c r="AB45" i="20"/>
  <c r="AB38" i="20"/>
  <c r="AB37" i="20"/>
  <c r="AB44" i="20"/>
  <c r="AB43" i="20"/>
  <c r="AB36" i="20"/>
  <c r="AB35" i="20"/>
  <c r="AB39" i="20"/>
  <c r="AB33" i="20"/>
  <c r="AB32" i="20"/>
  <c r="AB15" i="20"/>
  <c r="AB25" i="20"/>
  <c r="AB19" i="20"/>
  <c r="AB42" i="20"/>
  <c r="AB41" i="20"/>
  <c r="AB27" i="20"/>
  <c r="AB26" i="20"/>
  <c r="AB18" i="20"/>
  <c r="AB31" i="20"/>
  <c r="AB20" i="20"/>
  <c r="AB24" i="20"/>
  <c r="AB40" i="20"/>
  <c r="I17" i="20"/>
  <c r="O12" i="20"/>
  <c r="O11" i="20"/>
  <c r="D14" i="16"/>
  <c r="G14" i="16" s="1"/>
  <c r="C4" i="17"/>
  <c r="C4" i="19"/>
  <c r="C6" i="19" s="1"/>
  <c r="B13" i="19" s="1"/>
  <c r="F11" i="20"/>
  <c r="L12" i="20"/>
  <c r="P14" i="20"/>
  <c r="AA16" i="20"/>
  <c r="F21" i="20"/>
  <c r="V23" i="20"/>
  <c r="V25" i="20"/>
  <c r="C28" i="20"/>
  <c r="U30" i="20"/>
  <c r="L32" i="20"/>
  <c r="AC34" i="20"/>
  <c r="Q37" i="20"/>
  <c r="J39" i="20"/>
  <c r="C42" i="20"/>
  <c r="I45" i="20"/>
  <c r="P43" i="20"/>
  <c r="O42" i="20"/>
  <c r="P41" i="20"/>
  <c r="P42" i="20"/>
  <c r="D18" i="16"/>
  <c r="G18" i="16" s="1"/>
  <c r="C19" i="20"/>
  <c r="O34" i="20"/>
  <c r="R32" i="20"/>
  <c r="R30" i="20"/>
  <c r="R28" i="20"/>
  <c r="R26" i="20"/>
  <c r="R24" i="20"/>
  <c r="R22" i="20"/>
  <c r="R20" i="20"/>
  <c r="R18" i="20"/>
  <c r="R16" i="20"/>
  <c r="R14" i="20"/>
  <c r="R40" i="20"/>
  <c r="R38" i="20"/>
  <c r="R36" i="20"/>
  <c r="R34" i="20"/>
  <c r="R33" i="20"/>
  <c r="R25" i="20"/>
  <c r="R17" i="20"/>
  <c r="R41" i="20"/>
  <c r="R45" i="20"/>
  <c r="R39" i="20"/>
  <c r="W33" i="20"/>
  <c r="W31" i="20"/>
  <c r="W29" i="20"/>
  <c r="W27" i="20"/>
  <c r="W25" i="20"/>
  <c r="W23" i="20"/>
  <c r="W21" i="20"/>
  <c r="W19" i="20"/>
  <c r="W17" i="20"/>
  <c r="W15" i="20"/>
  <c r="W13" i="20"/>
  <c r="W43" i="20"/>
  <c r="W42" i="20"/>
  <c r="W35" i="20"/>
  <c r="W34" i="20"/>
  <c r="W28" i="20"/>
  <c r="W20" i="20"/>
  <c r="W46" i="20"/>
  <c r="W41" i="20"/>
  <c r="W40" i="20"/>
  <c r="W26" i="20"/>
  <c r="W18" i="20"/>
  <c r="W11" i="20"/>
  <c r="C11" i="20"/>
  <c r="Q11" i="20"/>
  <c r="C12" i="20"/>
  <c r="C14" i="20"/>
  <c r="O17" i="20"/>
  <c r="AA26" i="20"/>
  <c r="R27" i="20"/>
  <c r="P28" i="20"/>
  <c r="P29" i="20"/>
  <c r="I30" i="20"/>
  <c r="P34" i="20"/>
  <c r="C38" i="20"/>
  <c r="O40" i="20"/>
  <c r="Q41" i="20"/>
  <c r="W44" i="20"/>
  <c r="Q32" i="20"/>
  <c r="Q30" i="20"/>
  <c r="Q28" i="20"/>
  <c r="Q26" i="20"/>
  <c r="Q24" i="20"/>
  <c r="Q22" i="20"/>
  <c r="Q20" i="20"/>
  <c r="Q18" i="20"/>
  <c r="Q16" i="20"/>
  <c r="Q14" i="20"/>
  <c r="Q40" i="20"/>
  <c r="Q39" i="20"/>
  <c r="Q33" i="20"/>
  <c r="Q25" i="20"/>
  <c r="Q17" i="20"/>
  <c r="Q46" i="20"/>
  <c r="Q45" i="20"/>
  <c r="Q31" i="20"/>
  <c r="Q23" i="20"/>
  <c r="Q15" i="20"/>
  <c r="Q12" i="20"/>
  <c r="P32" i="20"/>
  <c r="P31" i="20"/>
  <c r="P24" i="20"/>
  <c r="P23" i="20"/>
  <c r="P16" i="20"/>
  <c r="P15" i="20"/>
  <c r="P12" i="20"/>
  <c r="P40" i="20"/>
  <c r="P39" i="20"/>
  <c r="P46" i="20"/>
  <c r="P45" i="20"/>
  <c r="P38" i="20"/>
  <c r="P37" i="20"/>
  <c r="R11" i="20"/>
  <c r="AA15" i="20"/>
  <c r="W16" i="20"/>
  <c r="P17" i="20"/>
  <c r="C20" i="20"/>
  <c r="R23" i="20"/>
  <c r="Q29" i="20"/>
  <c r="AA32" i="20"/>
  <c r="AA33" i="20"/>
  <c r="Q34" i="20"/>
  <c r="Q35" i="20"/>
  <c r="W39" i="20"/>
  <c r="C41" i="20"/>
  <c r="C39" i="20"/>
  <c r="C37" i="20"/>
  <c r="C35" i="20"/>
  <c r="C40" i="20"/>
  <c r="C33" i="20"/>
  <c r="C26" i="20"/>
  <c r="C25" i="20"/>
  <c r="C18" i="20"/>
  <c r="C17" i="20"/>
  <c r="C46" i="20"/>
  <c r="C32" i="20"/>
  <c r="C31" i="20"/>
  <c r="C24" i="20"/>
  <c r="C23" i="20"/>
  <c r="C16" i="20"/>
  <c r="C15" i="20"/>
  <c r="AA41" i="20"/>
  <c r="AA39" i="20"/>
  <c r="AA37" i="20"/>
  <c r="AA35" i="20"/>
  <c r="AA44" i="20"/>
  <c r="AA36" i="20"/>
  <c r="AA30" i="20"/>
  <c r="AA29" i="20"/>
  <c r="AA22" i="20"/>
  <c r="AA21" i="20"/>
  <c r="AA14" i="20"/>
  <c r="AA13" i="20"/>
  <c r="AA46" i="20"/>
  <c r="AA42" i="20"/>
  <c r="AA28" i="20"/>
  <c r="AA27" i="20"/>
  <c r="AA20" i="20"/>
  <c r="AA19" i="20"/>
  <c r="I42" i="20"/>
  <c r="I40" i="20"/>
  <c r="I38" i="20"/>
  <c r="I36" i="20"/>
  <c r="I34" i="20"/>
  <c r="I43" i="20"/>
  <c r="I35" i="20"/>
  <c r="I29" i="20"/>
  <c r="I28" i="20"/>
  <c r="I21" i="20"/>
  <c r="I20" i="20"/>
  <c r="I13" i="20"/>
  <c r="I41" i="20"/>
  <c r="I27" i="20"/>
  <c r="I26" i="20"/>
  <c r="I19" i="20"/>
  <c r="I18" i="20"/>
  <c r="O41" i="20"/>
  <c r="O39" i="20"/>
  <c r="O37" i="20"/>
  <c r="O35" i="20"/>
  <c r="O46" i="20"/>
  <c r="O38" i="20"/>
  <c r="O32" i="20"/>
  <c r="O31" i="20"/>
  <c r="O24" i="20"/>
  <c r="O23" i="20"/>
  <c r="O16" i="20"/>
  <c r="O15" i="20"/>
  <c r="O44" i="20"/>
  <c r="O30" i="20"/>
  <c r="O29" i="20"/>
  <c r="O22" i="20"/>
  <c r="O21" i="20"/>
  <c r="O14" i="20"/>
  <c r="O13" i="20"/>
  <c r="D3" i="16"/>
  <c r="G3" i="16" s="1"/>
  <c r="I12" i="20"/>
  <c r="W12" i="20"/>
  <c r="P13" i="20"/>
  <c r="I14" i="20"/>
  <c r="O18" i="20"/>
  <c r="O19" i="20"/>
  <c r="W22" i="20"/>
  <c r="C27" i="20"/>
  <c r="R29" i="20"/>
  <c r="P30" i="20"/>
  <c r="I31" i="20"/>
  <c r="I32" i="20"/>
  <c r="AA34" i="20"/>
  <c r="R35" i="20"/>
  <c r="P36" i="20"/>
  <c r="I37" i="20"/>
  <c r="AA40" i="20"/>
  <c r="C44" i="20"/>
  <c r="K28" i="15"/>
  <c r="Q28" i="15"/>
  <c r="M28" i="15"/>
  <c r="O28" i="15"/>
  <c r="K3" i="15"/>
  <c r="Q13" i="15"/>
  <c r="Q11" i="15"/>
  <c r="Q9" i="15"/>
  <c r="Q7" i="15"/>
  <c r="Q5" i="15"/>
  <c r="K15" i="15"/>
  <c r="Q25" i="15"/>
  <c r="Q23" i="15"/>
  <c r="Q21" i="15"/>
  <c r="Q19" i="15"/>
  <c r="Q17" i="15"/>
  <c r="K27" i="15"/>
  <c r="Q37" i="15"/>
  <c r="Q35" i="15"/>
  <c r="Q33" i="15"/>
  <c r="Q31" i="15"/>
  <c r="Q29" i="15"/>
  <c r="M3" i="15"/>
  <c r="O13" i="15"/>
  <c r="O11" i="15"/>
  <c r="O9" i="15"/>
  <c r="O7" i="15"/>
  <c r="O5" i="15"/>
  <c r="M15" i="15"/>
  <c r="O25" i="15"/>
  <c r="O23" i="15"/>
  <c r="O21" i="15"/>
  <c r="O19" i="15"/>
  <c r="O17" i="15"/>
  <c r="M27" i="15"/>
  <c r="O37" i="15"/>
  <c r="O35" i="15"/>
  <c r="O33" i="15"/>
  <c r="O31" i="15"/>
  <c r="O29" i="15"/>
  <c r="O3" i="15"/>
  <c r="M13" i="15"/>
  <c r="M11" i="15"/>
  <c r="M9" i="15"/>
  <c r="M7" i="15"/>
  <c r="M5" i="15"/>
  <c r="O15" i="15"/>
  <c r="M25" i="15"/>
  <c r="M23" i="15"/>
  <c r="M21" i="15"/>
  <c r="M19" i="15"/>
  <c r="M17" i="15"/>
  <c r="O27" i="15"/>
  <c r="M37" i="15"/>
  <c r="M35" i="15"/>
  <c r="M33" i="15"/>
  <c r="M31" i="15"/>
  <c r="M29" i="15"/>
  <c r="Q3" i="15"/>
  <c r="K13" i="15"/>
  <c r="K11" i="15"/>
  <c r="K9" i="15"/>
  <c r="K7" i="15"/>
  <c r="K5" i="15"/>
  <c r="Q15" i="15"/>
  <c r="K25" i="15"/>
  <c r="K23" i="15"/>
  <c r="K21" i="15"/>
  <c r="K19" i="15"/>
  <c r="K17" i="15"/>
  <c r="Q27" i="15"/>
  <c r="K37" i="15"/>
  <c r="K35" i="15"/>
  <c r="K33" i="15"/>
  <c r="K31" i="15"/>
  <c r="K29" i="15"/>
  <c r="Q14" i="15"/>
  <c r="Q12" i="15"/>
  <c r="Q10" i="15"/>
  <c r="Q8" i="15"/>
  <c r="Q6" i="15"/>
  <c r="Q4" i="15"/>
  <c r="Q26" i="15"/>
  <c r="Q24" i="15"/>
  <c r="Q22" i="15"/>
  <c r="Q20" i="15"/>
  <c r="Q18" i="15"/>
  <c r="Q16" i="15"/>
  <c r="Q38" i="15"/>
  <c r="Q36" i="15"/>
  <c r="Q34" i="15"/>
  <c r="Q32" i="15"/>
  <c r="Q30" i="15"/>
  <c r="O14" i="15"/>
  <c r="O12" i="15"/>
  <c r="O10" i="15"/>
  <c r="O8" i="15"/>
  <c r="O6" i="15"/>
  <c r="O4" i="15"/>
  <c r="O26" i="15"/>
  <c r="O24" i="15"/>
  <c r="O22" i="15"/>
  <c r="O20" i="15"/>
  <c r="O18" i="15"/>
  <c r="O16" i="15"/>
  <c r="O38" i="15"/>
  <c r="O36" i="15"/>
  <c r="O34" i="15"/>
  <c r="O32" i="15"/>
  <c r="O30" i="15"/>
  <c r="M14" i="15"/>
  <c r="M12" i="15"/>
  <c r="M10" i="15"/>
  <c r="M8" i="15"/>
  <c r="M6" i="15"/>
  <c r="M4" i="15"/>
  <c r="M26" i="15"/>
  <c r="M24" i="15"/>
  <c r="M22" i="15"/>
  <c r="M20" i="15"/>
  <c r="M18" i="15"/>
  <c r="M16" i="15"/>
  <c r="M38" i="15"/>
  <c r="M36" i="15"/>
  <c r="M34" i="15"/>
  <c r="M32" i="15"/>
  <c r="M30" i="15"/>
  <c r="K14" i="15"/>
  <c r="K12" i="15"/>
  <c r="K10" i="15"/>
  <c r="K8" i="15"/>
  <c r="K6" i="15"/>
  <c r="K4" i="15"/>
  <c r="K26" i="15"/>
  <c r="K24" i="15"/>
  <c r="K22" i="15"/>
  <c r="K20" i="15"/>
  <c r="K18" i="15"/>
  <c r="K16" i="15"/>
  <c r="K38" i="15"/>
  <c r="K36" i="15"/>
  <c r="K34" i="15"/>
  <c r="K32" i="15"/>
  <c r="K30" i="15"/>
  <c r="G33" i="14"/>
  <c r="G23" i="27" s="1"/>
  <c r="L42" i="27" s="1"/>
  <c r="I20" i="14"/>
  <c r="H10" i="27" s="1"/>
  <c r="G9" i="14"/>
  <c r="I18" i="14"/>
  <c r="H8" i="27" s="1"/>
  <c r="I7" i="14"/>
  <c r="I24" i="14"/>
  <c r="H14" i="27" s="1"/>
  <c r="M45" i="27" s="1"/>
  <c r="C27" i="14"/>
  <c r="E17" i="27" s="1"/>
  <c r="C17" i="27" s="1"/>
  <c r="I15" i="14"/>
  <c r="H5" i="27" s="1"/>
  <c r="G14" i="14"/>
  <c r="G4" i="27" s="1"/>
  <c r="G26" i="14"/>
  <c r="G16" i="27" s="1"/>
  <c r="G27" i="14"/>
  <c r="G17" i="27" s="1"/>
  <c r="G22" i="14"/>
  <c r="G12" i="27" s="1"/>
  <c r="C14" i="14"/>
  <c r="E4" i="27" s="1"/>
  <c r="I8" i="14"/>
  <c r="E33" i="14"/>
  <c r="F23" i="27" s="1"/>
  <c r="I22" i="14"/>
  <c r="H12" i="27" s="1"/>
  <c r="M43" i="27" s="1"/>
  <c r="I16" i="14"/>
  <c r="H6" i="27" s="1"/>
  <c r="C26" i="14"/>
  <c r="E16" i="27" s="1"/>
  <c r="C16" i="27" s="1"/>
  <c r="I36" i="14"/>
  <c r="H26" i="27" s="1"/>
  <c r="I34" i="14"/>
  <c r="H24" i="27" s="1"/>
  <c r="I32" i="14"/>
  <c r="H22" i="27" s="1"/>
  <c r="I30" i="14"/>
  <c r="H20" i="27" s="1"/>
  <c r="M39" i="27" s="1"/>
  <c r="I28" i="14"/>
  <c r="H18" i="27" s="1"/>
  <c r="G20" i="14"/>
  <c r="G10" i="27" s="1"/>
  <c r="L41" i="27" s="1"/>
  <c r="G18" i="14"/>
  <c r="G8" i="27" s="1"/>
  <c r="G16" i="14"/>
  <c r="G6" i="27" s="1"/>
  <c r="E26" i="14"/>
  <c r="F16" i="27" s="1"/>
  <c r="G36" i="14"/>
  <c r="G26" i="27" s="1"/>
  <c r="G34" i="14"/>
  <c r="G24" i="27" s="1"/>
  <c r="G32" i="14"/>
  <c r="G22" i="27" s="1"/>
  <c r="G30" i="14"/>
  <c r="G20" i="27" s="1"/>
  <c r="G28" i="14"/>
  <c r="G18" i="27" s="1"/>
  <c r="E20" i="14"/>
  <c r="F10" i="27" s="1"/>
  <c r="E18" i="14"/>
  <c r="F8" i="27" s="1"/>
  <c r="E16" i="14"/>
  <c r="F6" i="27" s="1"/>
  <c r="E36" i="14"/>
  <c r="F26" i="27" s="1"/>
  <c r="E34" i="14"/>
  <c r="F24" i="27" s="1"/>
  <c r="C24" i="27" s="1"/>
  <c r="E32" i="14"/>
  <c r="F22" i="27" s="1"/>
  <c r="E30" i="14"/>
  <c r="F20" i="27" s="1"/>
  <c r="E28" i="14"/>
  <c r="F18" i="27" s="1"/>
  <c r="C16" i="14"/>
  <c r="E6" i="27" s="1"/>
  <c r="I26" i="14"/>
  <c r="H16" i="27" s="1"/>
  <c r="C36" i="14"/>
  <c r="E26" i="27" s="1"/>
  <c r="C26" i="27" s="1"/>
  <c r="C34" i="14"/>
  <c r="E24" i="27" s="1"/>
  <c r="C32" i="14"/>
  <c r="E22" i="27" s="1"/>
  <c r="C30" i="14"/>
  <c r="E20" i="27" s="1"/>
  <c r="C28" i="14"/>
  <c r="E18" i="27" s="1"/>
  <c r="C2" i="14"/>
  <c r="I37" i="14"/>
  <c r="H27" i="27" s="1"/>
  <c r="I35" i="14"/>
  <c r="H25" i="27" s="1"/>
  <c r="I33" i="14"/>
  <c r="H23" i="27" s="1"/>
  <c r="I31" i="14"/>
  <c r="H21" i="27" s="1"/>
  <c r="I29" i="14"/>
  <c r="H19" i="27" s="1"/>
  <c r="I27" i="14"/>
  <c r="H17" i="27" s="1"/>
  <c r="I10" i="14"/>
  <c r="I4" i="14"/>
  <c r="G12" i="14"/>
  <c r="G10" i="14"/>
  <c r="G24" i="14"/>
  <c r="G14" i="27" s="1"/>
  <c r="G2" i="14"/>
  <c r="E6" i="14"/>
  <c r="E22" i="14"/>
  <c r="F12" i="27" s="1"/>
  <c r="K43" i="27" s="1"/>
  <c r="C10" i="14"/>
  <c r="I14" i="14"/>
  <c r="H4" i="27" s="1"/>
  <c r="C22" i="14"/>
  <c r="E12" i="27" s="1"/>
  <c r="H43" i="27" s="1"/>
  <c r="I13" i="14"/>
  <c r="I9" i="14"/>
  <c r="I5" i="14"/>
  <c r="I23" i="14"/>
  <c r="H13" i="27" s="1"/>
  <c r="I17" i="14"/>
  <c r="H7" i="27" s="1"/>
  <c r="G13" i="14"/>
  <c r="G11" i="14"/>
  <c r="G5" i="14"/>
  <c r="G3" i="14"/>
  <c r="G25" i="14"/>
  <c r="G15" i="27" s="1"/>
  <c r="G23" i="14"/>
  <c r="G13" i="27" s="1"/>
  <c r="G21" i="14"/>
  <c r="G11" i="27" s="1"/>
  <c r="G19" i="14"/>
  <c r="G9" i="27" s="1"/>
  <c r="L40" i="27" s="1"/>
  <c r="G17" i="14"/>
  <c r="G7" i="27" s="1"/>
  <c r="G15" i="14"/>
  <c r="G5" i="27" s="1"/>
  <c r="L36" i="27" s="1"/>
  <c r="G37" i="14"/>
  <c r="G27" i="27" s="1"/>
  <c r="L46" i="27" s="1"/>
  <c r="G35" i="14"/>
  <c r="G25" i="27" s="1"/>
  <c r="G31" i="14"/>
  <c r="G21" i="27" s="1"/>
  <c r="G29" i="14"/>
  <c r="G19" i="27" s="1"/>
  <c r="I6" i="14"/>
  <c r="E2" i="14"/>
  <c r="G6" i="14"/>
  <c r="E14" i="14"/>
  <c r="F4" i="27" s="1"/>
  <c r="E12" i="14"/>
  <c r="E4" i="14"/>
  <c r="C12" i="14"/>
  <c r="C8" i="14"/>
  <c r="C24" i="14"/>
  <c r="E14" i="27" s="1"/>
  <c r="C18" i="14"/>
  <c r="E8" i="27" s="1"/>
  <c r="I11" i="14"/>
  <c r="I3" i="14"/>
  <c r="I21" i="14"/>
  <c r="H11" i="27" s="1"/>
  <c r="M42" i="27" s="1"/>
  <c r="I19" i="14"/>
  <c r="H9" i="27" s="1"/>
  <c r="G7" i="14"/>
  <c r="E31" i="14"/>
  <c r="F21" i="27" s="1"/>
  <c r="E29" i="14"/>
  <c r="F19" i="27" s="1"/>
  <c r="K38" i="27" s="1"/>
  <c r="E27" i="14"/>
  <c r="F17" i="27" s="1"/>
  <c r="K36" i="27" s="1"/>
  <c r="I12" i="14"/>
  <c r="G8" i="14"/>
  <c r="G4" i="14"/>
  <c r="E10" i="14"/>
  <c r="E8" i="14"/>
  <c r="E24" i="14"/>
  <c r="F14" i="27" s="1"/>
  <c r="K45" i="27" s="1"/>
  <c r="I2" i="14"/>
  <c r="C6" i="14"/>
  <c r="C4" i="14"/>
  <c r="C20" i="14"/>
  <c r="E10" i="27" s="1"/>
  <c r="J41" i="27" s="1"/>
  <c r="I25" i="14"/>
  <c r="H15" i="27" s="1"/>
  <c r="E13" i="14"/>
  <c r="E11" i="14"/>
  <c r="E9" i="14"/>
  <c r="E7" i="14"/>
  <c r="E5" i="14"/>
  <c r="E3" i="14"/>
  <c r="E25" i="14"/>
  <c r="F15" i="27" s="1"/>
  <c r="E23" i="14"/>
  <c r="F13" i="27" s="1"/>
  <c r="E21" i="14"/>
  <c r="F11" i="27" s="1"/>
  <c r="E19" i="14"/>
  <c r="F9" i="27" s="1"/>
  <c r="E17" i="14"/>
  <c r="F7" i="27" s="1"/>
  <c r="E15" i="14"/>
  <c r="F5" i="27" s="1"/>
  <c r="E37" i="14"/>
  <c r="F27" i="27" s="1"/>
  <c r="E35" i="14"/>
  <c r="F25" i="27" s="1"/>
  <c r="C13" i="14"/>
  <c r="C11" i="14"/>
  <c r="C9" i="14"/>
  <c r="C7" i="14"/>
  <c r="C5" i="14"/>
  <c r="C3" i="14"/>
  <c r="C25" i="14"/>
  <c r="E15" i="27" s="1"/>
  <c r="J46" i="27" s="1"/>
  <c r="C23" i="14"/>
  <c r="E13" i="27" s="1"/>
  <c r="J44" i="27" s="1"/>
  <c r="C21" i="14"/>
  <c r="E11" i="27" s="1"/>
  <c r="C19" i="14"/>
  <c r="E9" i="27" s="1"/>
  <c r="C17" i="14"/>
  <c r="E7" i="27" s="1"/>
  <c r="H38" i="27" s="1"/>
  <c r="C15" i="14"/>
  <c r="E5" i="27" s="1"/>
  <c r="C37" i="14"/>
  <c r="E27" i="27" s="1"/>
  <c r="C35" i="14"/>
  <c r="E25" i="27" s="1"/>
  <c r="C33" i="14"/>
  <c r="E23" i="27" s="1"/>
  <c r="C31" i="14"/>
  <c r="E21" i="27" s="1"/>
  <c r="C21" i="27" s="1"/>
  <c r="C29" i="14"/>
  <c r="E19" i="27" s="1"/>
  <c r="C19" i="27" s="1"/>
  <c r="U22" i="12"/>
  <c r="W23" i="12"/>
  <c r="F23" i="12"/>
  <c r="J31" i="12"/>
  <c r="O34" i="12"/>
  <c r="E45" i="12"/>
  <c r="C28" i="12"/>
  <c r="I16" i="12"/>
  <c r="K17" i="12"/>
  <c r="J15" i="12"/>
  <c r="E17" i="12"/>
  <c r="W26" i="12"/>
  <c r="P20" i="12"/>
  <c r="AA11" i="12"/>
  <c r="I29" i="12"/>
  <c r="O37" i="12"/>
  <c r="I32" i="12"/>
  <c r="K33" i="12"/>
  <c r="L17" i="12"/>
  <c r="L29" i="12"/>
  <c r="L31" i="12"/>
  <c r="L33" i="12"/>
  <c r="L43" i="12"/>
  <c r="V36" i="12"/>
  <c r="V38" i="12"/>
  <c r="V40" i="12"/>
  <c r="X44" i="12"/>
  <c r="X42" i="12"/>
  <c r="X40" i="12"/>
  <c r="X32" i="12"/>
  <c r="X26" i="12"/>
  <c r="X24" i="12"/>
  <c r="X18" i="12"/>
  <c r="X12" i="12"/>
  <c r="X38" i="12"/>
  <c r="X36" i="12"/>
  <c r="X34" i="12"/>
  <c r="X30" i="12"/>
  <c r="X28" i="12"/>
  <c r="X22" i="12"/>
  <c r="X20" i="12"/>
  <c r="X16" i="12"/>
  <c r="X14" i="12"/>
  <c r="X46" i="12"/>
  <c r="X45" i="12"/>
  <c r="X43" i="12"/>
  <c r="X27" i="12"/>
  <c r="X11" i="12"/>
  <c r="X33" i="12"/>
  <c r="X35" i="12"/>
  <c r="X21" i="12"/>
  <c r="X23" i="12"/>
  <c r="X29" i="12"/>
  <c r="X13" i="12"/>
  <c r="X31" i="12"/>
  <c r="X15" i="12"/>
  <c r="X17" i="12"/>
  <c r="X19" i="12"/>
  <c r="X37" i="12"/>
  <c r="X39" i="12"/>
  <c r="X41" i="12"/>
  <c r="D46" i="12"/>
  <c r="D39" i="12"/>
  <c r="D32" i="12"/>
  <c r="D23" i="12"/>
  <c r="D34" i="12"/>
  <c r="D25" i="12"/>
  <c r="D41" i="12"/>
  <c r="D43" i="12"/>
  <c r="D36" i="12"/>
  <c r="D27" i="12"/>
  <c r="D45" i="12"/>
  <c r="D16" i="12"/>
  <c r="D40" i="12"/>
  <c r="D33" i="12"/>
  <c r="D19" i="12"/>
  <c r="D12" i="12"/>
  <c r="D18" i="12"/>
  <c r="D24" i="12"/>
  <c r="D14" i="12"/>
  <c r="D38" i="12"/>
  <c r="D30" i="12"/>
  <c r="D26" i="12"/>
  <c r="D22" i="12"/>
  <c r="D13" i="12"/>
  <c r="D44" i="12"/>
  <c r="D37" i="12"/>
  <c r="D29" i="12"/>
  <c r="D15" i="12"/>
  <c r="D28" i="12"/>
  <c r="D21" i="12"/>
  <c r="D42" i="12"/>
  <c r="W19" i="12"/>
  <c r="W21" i="12"/>
  <c r="W22" i="12"/>
  <c r="U20" i="12"/>
  <c r="V20" i="12"/>
  <c r="V22" i="12"/>
  <c r="F17" i="12"/>
  <c r="AB11" i="12"/>
  <c r="AB13" i="12"/>
  <c r="J43" i="12"/>
  <c r="E21" i="12"/>
  <c r="U16" i="12"/>
  <c r="L13" i="12"/>
  <c r="C20" i="12"/>
  <c r="C35" i="12"/>
  <c r="W31" i="12"/>
  <c r="U32" i="12"/>
  <c r="E28" i="12"/>
  <c r="V42" i="12"/>
  <c r="AB33" i="12"/>
  <c r="C12" i="12"/>
  <c r="V16" i="12"/>
  <c r="D20" i="12"/>
  <c r="D35" i="12"/>
  <c r="V24" i="12"/>
  <c r="L39" i="12"/>
  <c r="P12" i="12"/>
  <c r="W12" i="12"/>
  <c r="C38" i="12"/>
  <c r="X25" i="12"/>
  <c r="D11" i="12"/>
  <c r="C24" i="12"/>
  <c r="C42" i="12"/>
  <c r="O18" i="12"/>
  <c r="L35" i="12"/>
  <c r="F13" i="12"/>
  <c r="C27" i="12"/>
  <c r="L19" i="12"/>
  <c r="AA27" i="12"/>
  <c r="P36" i="12"/>
  <c r="W43" i="12"/>
  <c r="P40" i="12"/>
  <c r="C14" i="12"/>
  <c r="AB27" i="12"/>
  <c r="E35" i="12"/>
  <c r="E31" i="12"/>
  <c r="E42" i="12"/>
  <c r="E39" i="12"/>
  <c r="C41" i="12"/>
  <c r="C34" i="12"/>
  <c r="C25" i="12"/>
  <c r="C26" i="12"/>
  <c r="C40" i="12"/>
  <c r="C33" i="12"/>
  <c r="C45" i="12"/>
  <c r="C44" i="12"/>
  <c r="C36" i="12"/>
  <c r="C29" i="12"/>
  <c r="C43" i="12"/>
  <c r="AC46" i="12"/>
  <c r="K42" i="12"/>
  <c r="K38" i="12"/>
  <c r="K34" i="12"/>
  <c r="K30" i="12"/>
  <c r="K26" i="12"/>
  <c r="K22" i="12"/>
  <c r="K18" i="12"/>
  <c r="K14" i="12"/>
  <c r="K46" i="12"/>
  <c r="K44" i="12"/>
  <c r="K40" i="12"/>
  <c r="K36" i="12"/>
  <c r="K32" i="12"/>
  <c r="K28" i="12"/>
  <c r="K24" i="12"/>
  <c r="K20" i="12"/>
  <c r="K16" i="12"/>
  <c r="K12" i="12"/>
  <c r="K45" i="12"/>
  <c r="K35" i="12"/>
  <c r="K19" i="12"/>
  <c r="K25" i="12"/>
  <c r="K11" i="12"/>
  <c r="K13" i="12"/>
  <c r="K15" i="12"/>
  <c r="K37" i="12"/>
  <c r="K21" i="12"/>
  <c r="K39" i="12"/>
  <c r="K41" i="12"/>
  <c r="K27" i="12"/>
  <c r="K29" i="12"/>
  <c r="K31" i="12"/>
  <c r="K23" i="12"/>
  <c r="K43" i="12"/>
  <c r="D31" i="12"/>
  <c r="AB25" i="12"/>
  <c r="W38" i="12"/>
  <c r="W24" i="12"/>
  <c r="W35" i="12"/>
  <c r="W37" i="12"/>
  <c r="W40" i="12"/>
  <c r="W39" i="12"/>
  <c r="U34" i="12"/>
  <c r="U36" i="12"/>
  <c r="P30" i="12"/>
  <c r="P32" i="12"/>
  <c r="P34" i="12"/>
  <c r="P28" i="12"/>
  <c r="P14" i="12"/>
  <c r="P16" i="12"/>
  <c r="P18" i="12"/>
  <c r="P26" i="12"/>
  <c r="P44" i="12"/>
  <c r="AA44" i="12"/>
  <c r="AA40" i="12"/>
  <c r="AA36" i="12"/>
  <c r="AA32" i="12"/>
  <c r="AA28" i="12"/>
  <c r="AA24" i="12"/>
  <c r="AA20" i="12"/>
  <c r="AA16" i="12"/>
  <c r="AA12" i="12"/>
  <c r="AA46" i="12"/>
  <c r="AA42" i="12"/>
  <c r="AA38" i="12"/>
  <c r="AA34" i="12"/>
  <c r="AA30" i="12"/>
  <c r="AA26" i="12"/>
  <c r="AA22" i="12"/>
  <c r="AA18" i="12"/>
  <c r="AA14" i="12"/>
  <c r="AA45" i="12"/>
  <c r="AA29" i="12"/>
  <c r="AA13" i="12"/>
  <c r="AA17" i="12"/>
  <c r="AA35" i="12"/>
  <c r="AA37" i="12"/>
  <c r="AA23" i="12"/>
  <c r="AA31" i="12"/>
  <c r="AA15" i="12"/>
  <c r="AA33" i="12"/>
  <c r="AA19" i="12"/>
  <c r="AA21" i="12"/>
  <c r="AA39" i="12"/>
  <c r="AA25" i="12"/>
  <c r="AA41" i="12"/>
  <c r="AA43" i="12"/>
  <c r="J29" i="12"/>
  <c r="I46" i="12"/>
  <c r="I45" i="12"/>
  <c r="I34" i="12"/>
  <c r="I31" i="12"/>
  <c r="I18" i="12"/>
  <c r="I15" i="12"/>
  <c r="I22" i="12"/>
  <c r="I40" i="12"/>
  <c r="I21" i="12"/>
  <c r="I26" i="12"/>
  <c r="I23" i="12"/>
  <c r="I28" i="12"/>
  <c r="I30" i="12"/>
  <c r="I11" i="12"/>
  <c r="I36" i="12"/>
  <c r="I33" i="12"/>
  <c r="I20" i="12"/>
  <c r="I17" i="12"/>
  <c r="I38" i="12"/>
  <c r="I35" i="12"/>
  <c r="I19" i="12"/>
  <c r="I37" i="12"/>
  <c r="I24" i="12"/>
  <c r="I39" i="12"/>
  <c r="I25" i="12"/>
  <c r="I12" i="12"/>
  <c r="I27" i="12"/>
  <c r="I14" i="12"/>
  <c r="I42" i="12"/>
  <c r="I44" i="12"/>
  <c r="I41" i="12"/>
  <c r="I43" i="12"/>
  <c r="O45" i="12"/>
  <c r="O46" i="12"/>
  <c r="O39" i="12"/>
  <c r="O36" i="12"/>
  <c r="O23" i="12"/>
  <c r="O20" i="12"/>
  <c r="O11" i="12"/>
  <c r="O42" i="12"/>
  <c r="O29" i="12"/>
  <c r="O28" i="12"/>
  <c r="O15" i="12"/>
  <c r="O30" i="12"/>
  <c r="O17" i="12"/>
  <c r="O32" i="12"/>
  <c r="O19" i="12"/>
  <c r="O41" i="12"/>
  <c r="O38" i="12"/>
  <c r="O25" i="12"/>
  <c r="O22" i="12"/>
  <c r="O43" i="12"/>
  <c r="O40" i="12"/>
  <c r="O27" i="12"/>
  <c r="O24" i="12"/>
  <c r="O26" i="12"/>
  <c r="O13" i="12"/>
  <c r="O31" i="12"/>
  <c r="O12" i="12"/>
  <c r="O33" i="12"/>
  <c r="O14" i="12"/>
  <c r="O35" i="12"/>
  <c r="O16" i="12"/>
  <c r="O44" i="12"/>
  <c r="J13" i="12"/>
  <c r="D17" i="12"/>
  <c r="C31" i="12"/>
  <c r="I13" i="12"/>
  <c r="O21" i="12"/>
  <c r="AB29" i="12"/>
  <c r="U38" i="12"/>
  <c r="W42" i="12"/>
  <c r="AB43" i="12"/>
  <c r="AB41" i="12"/>
  <c r="J44" i="12"/>
  <c r="J42" i="12"/>
  <c r="J36" i="12"/>
  <c r="J34" i="12"/>
  <c r="J28" i="12"/>
  <c r="J22" i="12"/>
  <c r="J20" i="12"/>
  <c r="J14" i="12"/>
  <c r="J40" i="12"/>
  <c r="J38" i="12"/>
  <c r="J32" i="12"/>
  <c r="J30" i="12"/>
  <c r="J26" i="12"/>
  <c r="J24" i="12"/>
  <c r="J18" i="12"/>
  <c r="J16" i="12"/>
  <c r="J12" i="12"/>
  <c r="J46" i="12"/>
  <c r="J45" i="12"/>
  <c r="E11" i="12"/>
  <c r="U18" i="12"/>
  <c r="J27" i="12"/>
  <c r="F46" i="12"/>
  <c r="F44" i="12"/>
  <c r="F42" i="12"/>
  <c r="F40" i="12"/>
  <c r="F38" i="12"/>
  <c r="F36" i="12"/>
  <c r="F34" i="12"/>
  <c r="F32" i="12"/>
  <c r="F30" i="12"/>
  <c r="F28" i="12"/>
  <c r="F26" i="12"/>
  <c r="F24" i="12"/>
  <c r="F22" i="12"/>
  <c r="F43" i="12"/>
  <c r="F27" i="12"/>
  <c r="F29" i="12"/>
  <c r="F20" i="12"/>
  <c r="F16" i="12"/>
  <c r="F12" i="12"/>
  <c r="F45" i="12"/>
  <c r="F18" i="12"/>
  <c r="F14" i="12"/>
  <c r="F31" i="12"/>
  <c r="C18" i="12"/>
  <c r="E24" i="12"/>
  <c r="E32" i="12"/>
  <c r="F39" i="12"/>
  <c r="W17" i="12"/>
  <c r="AB23" i="12"/>
  <c r="J25" i="12"/>
  <c r="V34" i="12"/>
  <c r="W36" i="12"/>
  <c r="AB39" i="12"/>
  <c r="E46" i="12"/>
  <c r="E44" i="12"/>
  <c r="E41" i="12"/>
  <c r="E34" i="12"/>
  <c r="E25" i="12"/>
  <c r="E43" i="12"/>
  <c r="E29" i="12"/>
  <c r="E18" i="12"/>
  <c r="E14" i="12"/>
  <c r="E36" i="12"/>
  <c r="E27" i="12"/>
  <c r="E38" i="12"/>
  <c r="E22" i="12"/>
  <c r="E20" i="12"/>
  <c r="E16" i="12"/>
  <c r="E12" i="12"/>
  <c r="U45" i="12"/>
  <c r="U43" i="12"/>
  <c r="U39" i="12"/>
  <c r="U35" i="12"/>
  <c r="U31" i="12"/>
  <c r="U27" i="12"/>
  <c r="U23" i="12"/>
  <c r="U19" i="12"/>
  <c r="U15" i="12"/>
  <c r="U11" i="12"/>
  <c r="U41" i="12"/>
  <c r="U37" i="12"/>
  <c r="U33" i="12"/>
  <c r="U29" i="12"/>
  <c r="U25" i="12"/>
  <c r="U21" i="12"/>
  <c r="U17" i="12"/>
  <c r="U13" i="12"/>
  <c r="U46" i="12"/>
  <c r="E15" i="12"/>
  <c r="F21" i="12"/>
  <c r="W15" i="12"/>
  <c r="AB21" i="12"/>
  <c r="U30" i="12"/>
  <c r="V32" i="12"/>
  <c r="W34" i="12"/>
  <c r="J39" i="12"/>
  <c r="C37" i="12"/>
  <c r="F15" i="12"/>
  <c r="C22" i="12"/>
  <c r="U12" i="12"/>
  <c r="V14" i="12"/>
  <c r="AB19" i="12"/>
  <c r="J21" i="12"/>
  <c r="L25" i="12"/>
  <c r="U28" i="12"/>
  <c r="W29" i="12"/>
  <c r="V30" i="12"/>
  <c r="W32" i="12"/>
  <c r="AB35" i="12"/>
  <c r="J37" i="12"/>
  <c r="L41" i="12"/>
  <c r="P42" i="12"/>
  <c r="U44" i="12"/>
  <c r="C16" i="12"/>
  <c r="E19" i="12"/>
  <c r="E33" i="12"/>
  <c r="E37" i="12"/>
  <c r="E40" i="12"/>
  <c r="W11" i="12"/>
  <c r="V12" i="12"/>
  <c r="W14" i="12"/>
  <c r="AB17" i="12"/>
  <c r="J19" i="12"/>
  <c r="L23" i="12"/>
  <c r="P24" i="12"/>
  <c r="U26" i="12"/>
  <c r="W27" i="12"/>
  <c r="V28" i="12"/>
  <c r="W30" i="12"/>
  <c r="J35" i="12"/>
  <c r="U42" i="12"/>
  <c r="V44" i="12"/>
  <c r="AD40" i="12"/>
  <c r="AD39" i="12"/>
  <c r="AD38" i="12"/>
  <c r="AD37" i="12"/>
  <c r="AD36" i="12"/>
  <c r="AD35" i="12"/>
  <c r="AD34" i="12"/>
  <c r="AD33" i="12"/>
  <c r="AD32" i="12"/>
  <c r="AD31" i="12"/>
  <c r="AD30" i="12"/>
  <c r="AD29" i="12"/>
  <c r="AD28" i="12"/>
  <c r="AD27" i="12"/>
  <c r="AD26" i="12"/>
  <c r="AD25" i="12"/>
  <c r="AD24" i="12"/>
  <c r="AD23" i="12"/>
  <c r="AD22" i="12"/>
  <c r="AD21" i="12"/>
  <c r="AD20" i="12"/>
  <c r="AD19" i="12"/>
  <c r="AD18" i="12"/>
  <c r="AD17" i="12"/>
  <c r="AD16" i="12"/>
  <c r="AD15" i="12"/>
  <c r="AD14" i="12"/>
  <c r="AD13" i="12"/>
  <c r="AD12" i="12"/>
  <c r="AD11" i="12"/>
  <c r="J11" i="12"/>
  <c r="L15" i="12"/>
  <c r="AD46" i="12"/>
  <c r="R46" i="12"/>
  <c r="AD45" i="12"/>
  <c r="R45" i="12"/>
  <c r="AD44" i="12"/>
  <c r="R44" i="12"/>
  <c r="AD43" i="12"/>
  <c r="R43" i="12"/>
  <c r="AD42" i="12"/>
  <c r="R42" i="12"/>
  <c r="AD41" i="12"/>
  <c r="R41" i="12"/>
  <c r="AB46" i="12"/>
  <c r="AB44" i="12"/>
  <c r="AB42" i="12"/>
  <c r="AB40" i="12"/>
  <c r="AB38" i="12"/>
  <c r="AB36" i="12"/>
  <c r="AB34" i="12"/>
  <c r="AB32" i="12"/>
  <c r="AB30" i="12"/>
  <c r="AB28" i="12"/>
  <c r="AB26" i="12"/>
  <c r="AB24" i="12"/>
  <c r="AB22" i="12"/>
  <c r="AB20" i="12"/>
  <c r="AB18" i="12"/>
  <c r="AB16" i="12"/>
  <c r="AB14" i="12"/>
  <c r="AB12" i="12"/>
  <c r="AB45" i="12"/>
  <c r="F11" i="12"/>
  <c r="F35" i="12"/>
  <c r="V18" i="12"/>
  <c r="W20" i="12"/>
  <c r="W33" i="12"/>
  <c r="J41" i="12"/>
  <c r="AC45" i="12"/>
  <c r="AC44" i="12"/>
  <c r="AC43" i="12"/>
  <c r="AC42" i="12"/>
  <c r="AC41" i="12"/>
  <c r="AC40" i="12"/>
  <c r="AC39" i="12"/>
  <c r="AC38" i="12"/>
  <c r="AC37" i="12"/>
  <c r="AC36" i="12"/>
  <c r="AC35" i="12"/>
  <c r="AC34" i="12"/>
  <c r="AC33" i="12"/>
  <c r="AC32" i="12"/>
  <c r="AC31" i="12"/>
  <c r="AC30" i="12"/>
  <c r="AC29" i="12"/>
  <c r="AC28" i="12"/>
  <c r="AC27" i="12"/>
  <c r="AC26" i="12"/>
  <c r="AC25" i="12"/>
  <c r="AC24" i="12"/>
  <c r="AC23" i="12"/>
  <c r="AC22" i="12"/>
  <c r="AC21" i="12"/>
  <c r="AC20" i="12"/>
  <c r="AC19" i="12"/>
  <c r="AC18" i="12"/>
  <c r="AC17" i="12"/>
  <c r="AC16" i="12"/>
  <c r="AC15" i="12"/>
  <c r="AC14" i="12"/>
  <c r="AC13" i="12"/>
  <c r="AC12" i="12"/>
  <c r="AC11" i="12"/>
  <c r="L46" i="12"/>
  <c r="L44" i="12"/>
  <c r="L42" i="12"/>
  <c r="L40" i="12"/>
  <c r="L38" i="12"/>
  <c r="L36" i="12"/>
  <c r="L34" i="12"/>
  <c r="L32" i="12"/>
  <c r="L30" i="12"/>
  <c r="L28" i="12"/>
  <c r="L26" i="12"/>
  <c r="L24" i="12"/>
  <c r="L22" i="12"/>
  <c r="L20" i="12"/>
  <c r="L18" i="12"/>
  <c r="L16" i="12"/>
  <c r="L14" i="12"/>
  <c r="L12" i="12"/>
  <c r="L45" i="12"/>
  <c r="F25" i="12"/>
  <c r="L11" i="12"/>
  <c r="U14" i="12"/>
  <c r="W18" i="12"/>
  <c r="J23" i="12"/>
  <c r="L27" i="12"/>
  <c r="AB37" i="12"/>
  <c r="V45" i="12"/>
  <c r="W13" i="12"/>
  <c r="W16" i="12"/>
  <c r="W46" i="12"/>
  <c r="W45" i="12"/>
  <c r="Q46" i="12"/>
  <c r="Q45" i="12"/>
  <c r="Q44" i="12"/>
  <c r="Q43" i="12"/>
  <c r="Q42" i="12"/>
  <c r="Q41" i="12"/>
  <c r="Q40" i="12"/>
  <c r="Q39" i="12"/>
  <c r="Q38" i="12"/>
  <c r="Q37" i="12"/>
  <c r="Q36" i="12"/>
  <c r="Q35" i="12"/>
  <c r="Q34" i="12"/>
  <c r="Q33" i="12"/>
  <c r="Q32" i="12"/>
  <c r="Q31" i="12"/>
  <c r="Q30" i="12"/>
  <c r="Q29" i="12"/>
  <c r="Q28" i="12"/>
  <c r="Q27" i="12"/>
  <c r="Q26" i="12"/>
  <c r="Q25" i="12"/>
  <c r="Q24" i="12"/>
  <c r="Q23" i="12"/>
  <c r="Q22" i="12"/>
  <c r="Q21" i="12"/>
  <c r="Q20" i="12"/>
  <c r="Q19" i="12"/>
  <c r="Q18" i="12"/>
  <c r="Q17" i="12"/>
  <c r="Q16" i="12"/>
  <c r="Q15" i="12"/>
  <c r="Q14" i="12"/>
  <c r="Q13" i="12"/>
  <c r="Q12" i="12"/>
  <c r="Q11" i="12"/>
  <c r="P39" i="12"/>
  <c r="P37" i="12"/>
  <c r="P31" i="12"/>
  <c r="P29" i="12"/>
  <c r="P23" i="12"/>
  <c r="P17" i="12"/>
  <c r="P15" i="12"/>
  <c r="P43" i="12"/>
  <c r="P41" i="12"/>
  <c r="P35" i="12"/>
  <c r="P33" i="12"/>
  <c r="P27" i="12"/>
  <c r="P25" i="12"/>
  <c r="P21" i="12"/>
  <c r="P19" i="12"/>
  <c r="P13" i="12"/>
  <c r="P11" i="12"/>
  <c r="P45" i="12"/>
  <c r="P46" i="12"/>
  <c r="E13" i="12"/>
  <c r="F19" i="12"/>
  <c r="E23" i="12"/>
  <c r="E26" i="12"/>
  <c r="E30" i="12"/>
  <c r="F33" i="12"/>
  <c r="F37" i="12"/>
  <c r="F41" i="12"/>
  <c r="AB15" i="12"/>
  <c r="J17" i="12"/>
  <c r="L21" i="12"/>
  <c r="P22" i="12"/>
  <c r="U24" i="12"/>
  <c r="W25" i="12"/>
  <c r="V26" i="12"/>
  <c r="W28" i="12"/>
  <c r="AB31" i="12"/>
  <c r="J33" i="12"/>
  <c r="L37" i="12"/>
  <c r="P38" i="12"/>
  <c r="U40" i="12"/>
  <c r="W41" i="12"/>
  <c r="W44" i="12"/>
  <c r="V46" i="12"/>
  <c r="C23" i="12"/>
  <c r="C32" i="12"/>
  <c r="C46" i="12"/>
  <c r="C39" i="12"/>
  <c r="R40" i="12"/>
  <c r="R39" i="12"/>
  <c r="R38" i="12"/>
  <c r="R37" i="12"/>
  <c r="R36" i="12"/>
  <c r="R35" i="12"/>
  <c r="R34" i="12"/>
  <c r="R33" i="12"/>
  <c r="R32" i="12"/>
  <c r="R31" i="12"/>
  <c r="R30" i="12"/>
  <c r="R29" i="12"/>
  <c r="R28" i="12"/>
  <c r="R27" i="12"/>
  <c r="R26" i="12"/>
  <c r="R25" i="12"/>
  <c r="R24" i="12"/>
  <c r="R23" i="12"/>
  <c r="R22" i="12"/>
  <c r="R21" i="12"/>
  <c r="R20" i="12"/>
  <c r="R19" i="12"/>
  <c r="R18" i="12"/>
  <c r="R17" i="12"/>
  <c r="R16" i="12"/>
  <c r="R15" i="12"/>
  <c r="R14" i="12"/>
  <c r="R13" i="12"/>
  <c r="R12" i="12"/>
  <c r="R11" i="12"/>
  <c r="C11" i="12"/>
  <c r="C13" i="12"/>
  <c r="C15" i="12"/>
  <c r="C17" i="12"/>
  <c r="C19" i="12"/>
  <c r="C21" i="12"/>
  <c r="C30" i="12"/>
  <c r="V11" i="12"/>
  <c r="V13" i="12"/>
  <c r="V15" i="12"/>
  <c r="V17" i="12"/>
  <c r="V19" i="12"/>
  <c r="V21" i="12"/>
  <c r="V23" i="12"/>
  <c r="V25" i="12"/>
  <c r="V27" i="12"/>
  <c r="V29" i="12"/>
  <c r="V31" i="12"/>
  <c r="V33" i="12"/>
  <c r="V35" i="12"/>
  <c r="V37" i="12"/>
  <c r="V39" i="12"/>
  <c r="V41" i="12"/>
  <c r="V43" i="12"/>
  <c r="U30" i="6"/>
  <c r="R41" i="6"/>
  <c r="L17" i="6"/>
  <c r="AC30" i="6"/>
  <c r="V28" i="6"/>
  <c r="C30" i="6"/>
  <c r="I37" i="6"/>
  <c r="X12" i="6"/>
  <c r="AD11" i="6"/>
  <c r="O21" i="6"/>
  <c r="V13" i="6"/>
  <c r="F12" i="6"/>
  <c r="AB34" i="6"/>
  <c r="O35" i="6"/>
  <c r="R13" i="6"/>
  <c r="O18" i="6"/>
  <c r="L18" i="6"/>
  <c r="Q46" i="6"/>
  <c r="P19" i="6"/>
  <c r="O14" i="6"/>
  <c r="R35" i="6"/>
  <c r="AC20" i="6"/>
  <c r="E24" i="6"/>
  <c r="R18" i="6"/>
  <c r="W21" i="6"/>
  <c r="AD38" i="6"/>
  <c r="P26" i="6"/>
  <c r="P17" i="6"/>
  <c r="E11" i="6"/>
  <c r="Q20" i="6"/>
  <c r="AB14" i="6"/>
  <c r="AD37" i="6"/>
  <c r="AC22" i="6"/>
  <c r="E22" i="6"/>
  <c r="U13" i="6"/>
  <c r="W45" i="6"/>
  <c r="U40" i="6"/>
  <c r="V25" i="6"/>
  <c r="AB16" i="6"/>
  <c r="C21" i="6"/>
  <c r="V20" i="6"/>
  <c r="P31" i="6"/>
  <c r="U11" i="6"/>
  <c r="P21" i="6"/>
  <c r="P36" i="6"/>
  <c r="AA42" i="6"/>
  <c r="AA28" i="6"/>
  <c r="AA31" i="6"/>
  <c r="AA37" i="6"/>
  <c r="AA38" i="6"/>
  <c r="I17" i="6"/>
  <c r="I30" i="6"/>
  <c r="I36" i="6"/>
  <c r="I41" i="6"/>
  <c r="D39" i="6"/>
  <c r="D41" i="6"/>
  <c r="D43" i="6"/>
  <c r="D45" i="6"/>
  <c r="D13" i="6"/>
  <c r="D35" i="6"/>
  <c r="D33" i="6"/>
  <c r="D36" i="6"/>
  <c r="D38" i="6"/>
  <c r="D46" i="6"/>
  <c r="D23" i="6"/>
  <c r="D28" i="6"/>
  <c r="D44" i="6"/>
  <c r="D27" i="6"/>
  <c r="D24" i="6"/>
  <c r="D17" i="6"/>
  <c r="D18" i="6"/>
  <c r="D12" i="6"/>
  <c r="D22" i="6"/>
  <c r="D40" i="6"/>
  <c r="D29" i="6"/>
  <c r="D26" i="6"/>
  <c r="D42" i="6"/>
  <c r="D34" i="6"/>
  <c r="D14" i="6"/>
  <c r="D25" i="6"/>
  <c r="D31" i="6"/>
  <c r="I22" i="6"/>
  <c r="I12" i="6"/>
  <c r="K34" i="6"/>
  <c r="K32" i="6"/>
  <c r="K30" i="6"/>
  <c r="K28" i="6"/>
  <c r="K26" i="6"/>
  <c r="K24" i="6"/>
  <c r="W38" i="6"/>
  <c r="E39" i="6"/>
  <c r="Q39" i="6"/>
  <c r="AC39" i="6"/>
  <c r="K40" i="6"/>
  <c r="K42" i="6"/>
  <c r="K44" i="6"/>
  <c r="K46" i="6"/>
  <c r="K35" i="6"/>
  <c r="K31" i="6"/>
  <c r="K15" i="6"/>
  <c r="K17" i="6"/>
  <c r="K19" i="6"/>
  <c r="K41" i="6"/>
  <c r="K25" i="6"/>
  <c r="K13" i="6"/>
  <c r="K43" i="6"/>
  <c r="K22" i="6"/>
  <c r="K39" i="6"/>
  <c r="K20" i="6"/>
  <c r="K27" i="6"/>
  <c r="K45" i="6"/>
  <c r="K11" i="6"/>
  <c r="K33" i="6"/>
  <c r="K18" i="6"/>
  <c r="R20" i="6"/>
  <c r="P18" i="6"/>
  <c r="X24" i="6"/>
  <c r="L32" i="6"/>
  <c r="AA45" i="6"/>
  <c r="J40" i="6"/>
  <c r="J42" i="6"/>
  <c r="J44" i="6"/>
  <c r="J46" i="6"/>
  <c r="J12" i="6"/>
  <c r="J34" i="6"/>
  <c r="J41" i="6"/>
  <c r="J26" i="6"/>
  <c r="J13" i="6"/>
  <c r="J35" i="6"/>
  <c r="J31" i="6"/>
  <c r="J39" i="6"/>
  <c r="J30" i="6"/>
  <c r="J25" i="6"/>
  <c r="J23" i="6"/>
  <c r="J20" i="6"/>
  <c r="J24" i="6"/>
  <c r="J45" i="6"/>
  <c r="J28" i="6"/>
  <c r="J21" i="6"/>
  <c r="J11" i="6"/>
  <c r="J15" i="6"/>
  <c r="J18" i="6"/>
  <c r="J19" i="6"/>
  <c r="J33" i="6"/>
  <c r="AD22" i="6"/>
  <c r="L21" i="6"/>
  <c r="Q19" i="6"/>
  <c r="V30" i="6"/>
  <c r="AB32" i="6"/>
  <c r="O41" i="6"/>
  <c r="F39" i="6"/>
  <c r="F40" i="6"/>
  <c r="F34" i="6"/>
  <c r="F33" i="6"/>
  <c r="F32" i="6"/>
  <c r="F27" i="6"/>
  <c r="F14" i="6"/>
  <c r="F16" i="6"/>
  <c r="F36" i="6"/>
  <c r="F37" i="6"/>
  <c r="F38" i="6"/>
  <c r="F45" i="6"/>
  <c r="F46" i="6"/>
  <c r="F26" i="6"/>
  <c r="F29" i="6"/>
  <c r="F13" i="6"/>
  <c r="F15" i="6"/>
  <c r="F19" i="6"/>
  <c r="F30" i="6"/>
  <c r="F35" i="6"/>
  <c r="F31" i="6"/>
  <c r="F18" i="6"/>
  <c r="F21" i="6"/>
  <c r="F28" i="6"/>
  <c r="F25" i="6"/>
  <c r="F23" i="6"/>
  <c r="F17" i="6"/>
  <c r="F41" i="6"/>
  <c r="I11" i="6"/>
  <c r="P20" i="6"/>
  <c r="J17" i="6"/>
  <c r="C25" i="6"/>
  <c r="AC32" i="6"/>
  <c r="O36" i="6"/>
  <c r="O32" i="6"/>
  <c r="O46" i="6"/>
  <c r="O45" i="6"/>
  <c r="L42" i="6"/>
  <c r="L43" i="6"/>
  <c r="L25" i="6"/>
  <c r="L12" i="6"/>
  <c r="L30" i="6"/>
  <c r="L15" i="6"/>
  <c r="L40" i="6"/>
  <c r="L41" i="6"/>
  <c r="L29" i="6"/>
  <c r="L24" i="6"/>
  <c r="L13" i="6"/>
  <c r="L37" i="6"/>
  <c r="L38" i="6"/>
  <c r="L35" i="6"/>
  <c r="L31" i="6"/>
  <c r="L28" i="6"/>
  <c r="L45" i="6"/>
  <c r="L44" i="6"/>
  <c r="L22" i="6"/>
  <c r="L11" i="6"/>
  <c r="L46" i="6"/>
  <c r="L19" i="6"/>
  <c r="L39" i="6"/>
  <c r="L34" i="6"/>
  <c r="L33" i="6"/>
  <c r="L20" i="6"/>
  <c r="L27" i="6"/>
  <c r="AB21" i="6"/>
  <c r="E19" i="6"/>
  <c r="V15" i="6"/>
  <c r="L23" i="6"/>
  <c r="J29" i="6"/>
  <c r="O31" i="6"/>
  <c r="F43" i="6"/>
  <c r="R40" i="6"/>
  <c r="V43" i="6"/>
  <c r="Q13" i="6"/>
  <c r="Q11" i="6"/>
  <c r="D20" i="6"/>
  <c r="U15" i="6"/>
  <c r="C13" i="6"/>
  <c r="X27" i="6"/>
  <c r="U35" i="6"/>
  <c r="Q42" i="6"/>
  <c r="C38" i="6"/>
  <c r="R11" i="6"/>
  <c r="R22" i="6"/>
  <c r="X21" i="6"/>
  <c r="AD20" i="6"/>
  <c r="C20" i="6"/>
  <c r="AD18" i="6"/>
  <c r="AC17" i="6"/>
  <c r="AA16" i="6"/>
  <c r="R15" i="6"/>
  <c r="K14" i="6"/>
  <c r="AD12" i="6"/>
  <c r="AA27" i="6"/>
  <c r="R31" i="6"/>
  <c r="AA33" i="6"/>
  <c r="AA46" i="6"/>
  <c r="AA44" i="6"/>
  <c r="I42" i="6"/>
  <c r="AD39" i="6"/>
  <c r="C43" i="6"/>
  <c r="C34" i="6"/>
  <c r="R19" i="6"/>
  <c r="D15" i="6"/>
  <c r="U28" i="6"/>
  <c r="AA43" i="6"/>
  <c r="AD36" i="6"/>
  <c r="AD43" i="6"/>
  <c r="AD44" i="6"/>
  <c r="AD29" i="6"/>
  <c r="AD28" i="6"/>
  <c r="AD23" i="6"/>
  <c r="AD14" i="6"/>
  <c r="AD41" i="6"/>
  <c r="AD42" i="6"/>
  <c r="AD45" i="6"/>
  <c r="AD34" i="6"/>
  <c r="AD25" i="6"/>
  <c r="AD40" i="6"/>
  <c r="AD31" i="6"/>
  <c r="AD13" i="6"/>
  <c r="AD21" i="6"/>
  <c r="AD46" i="6"/>
  <c r="AD15" i="6"/>
  <c r="AD35" i="6"/>
  <c r="AD30" i="6"/>
  <c r="AD27" i="6"/>
  <c r="F11" i="6"/>
  <c r="F22" i="6"/>
  <c r="J16" i="6"/>
  <c r="AD24" i="6"/>
  <c r="AD26" i="6"/>
  <c r="X45" i="6"/>
  <c r="J43" i="6"/>
  <c r="W23" i="6"/>
  <c r="W43" i="6"/>
  <c r="V35" i="6"/>
  <c r="V23" i="6"/>
  <c r="K36" i="6"/>
  <c r="V36" i="6"/>
  <c r="D37" i="6"/>
  <c r="P37" i="6"/>
  <c r="AB37" i="6"/>
  <c r="J38" i="6"/>
  <c r="AB39" i="6"/>
  <c r="AB41" i="6"/>
  <c r="AB43" i="6"/>
  <c r="AB45" i="6"/>
  <c r="C36" i="6"/>
  <c r="L36" i="6"/>
  <c r="W36" i="6"/>
  <c r="E37" i="6"/>
  <c r="Q37" i="6"/>
  <c r="AC37" i="6"/>
  <c r="K38" i="6"/>
  <c r="AB35" i="6"/>
  <c r="AB33" i="6"/>
  <c r="AB42" i="6"/>
  <c r="AB30" i="6"/>
  <c r="AB29" i="6"/>
  <c r="AB24" i="6"/>
  <c r="AB12" i="6"/>
  <c r="AB40" i="6"/>
  <c r="AB23" i="6"/>
  <c r="AB46" i="6"/>
  <c r="AB15" i="6"/>
  <c r="AB11" i="6"/>
  <c r="AB20" i="6"/>
  <c r="AB26" i="6"/>
  <c r="AB31" i="6"/>
  <c r="AB28" i="6"/>
  <c r="AB19" i="6"/>
  <c r="AB22" i="6"/>
  <c r="AB25" i="6"/>
  <c r="AB36" i="6"/>
  <c r="D16" i="6"/>
  <c r="K23" i="6"/>
  <c r="I29" i="6"/>
  <c r="AB38" i="6"/>
  <c r="P40" i="6"/>
  <c r="E35" i="6"/>
  <c r="E33" i="6"/>
  <c r="E31" i="6"/>
  <c r="E29" i="6"/>
  <c r="E27" i="6"/>
  <c r="E25" i="6"/>
  <c r="E23" i="6"/>
  <c r="E41" i="6"/>
  <c r="E43" i="6"/>
  <c r="E45" i="6"/>
  <c r="E28" i="6"/>
  <c r="E14" i="6"/>
  <c r="E16" i="6"/>
  <c r="E18" i="6"/>
  <c r="E20" i="6"/>
  <c r="E36" i="6"/>
  <c r="E38" i="6"/>
  <c r="E46" i="6"/>
  <c r="E34" i="6"/>
  <c r="E32" i="6"/>
  <c r="E26" i="6"/>
  <c r="E21" i="6"/>
  <c r="E17" i="6"/>
  <c r="E12" i="6"/>
  <c r="E40" i="6"/>
  <c r="E42" i="6"/>
  <c r="V22" i="6"/>
  <c r="F20" i="6"/>
  <c r="AD16" i="6"/>
  <c r="J27" i="6"/>
  <c r="AC44" i="6"/>
  <c r="J36" i="6"/>
  <c r="C41" i="6"/>
  <c r="AA18" i="6"/>
  <c r="U22" i="6"/>
  <c r="AA21" i="6"/>
  <c r="AD17" i="6"/>
  <c r="L14" i="6"/>
  <c r="U25" i="6"/>
  <c r="K29" i="6"/>
  <c r="X33" i="6"/>
  <c r="AB44" i="6"/>
  <c r="Q40" i="6"/>
  <c r="Q32" i="6"/>
  <c r="P38" i="6"/>
  <c r="Q22" i="6"/>
  <c r="AD19" i="6"/>
  <c r="AB18" i="6"/>
  <c r="AB17" i="6"/>
  <c r="X16" i="6"/>
  <c r="Q15" i="6"/>
  <c r="J14" i="6"/>
  <c r="F24" i="6"/>
  <c r="L26" i="6"/>
  <c r="AB27" i="6"/>
  <c r="D30" i="6"/>
  <c r="D32" i="6"/>
  <c r="AD33" i="6"/>
  <c r="F44" i="6"/>
  <c r="F42" i="6"/>
  <c r="AA39" i="6"/>
  <c r="K37" i="6"/>
  <c r="X40" i="6"/>
  <c r="X41" i="6"/>
  <c r="X31" i="6"/>
  <c r="X26" i="6"/>
  <c r="X35" i="6"/>
  <c r="X34" i="6"/>
  <c r="X25" i="6"/>
  <c r="X13" i="6"/>
  <c r="X15" i="6"/>
  <c r="X38" i="6"/>
  <c r="X39" i="6"/>
  <c r="X46" i="6"/>
  <c r="X30" i="6"/>
  <c r="X29" i="6"/>
  <c r="X43" i="6"/>
  <c r="X44" i="6"/>
  <c r="X28" i="6"/>
  <c r="X36" i="6"/>
  <c r="X32" i="6"/>
  <c r="X19" i="6"/>
  <c r="X20" i="6"/>
  <c r="X22" i="6"/>
  <c r="X11" i="6"/>
  <c r="X17" i="6"/>
  <c r="X42" i="6"/>
  <c r="X23" i="6"/>
  <c r="X18" i="6"/>
  <c r="X14" i="6"/>
  <c r="X37" i="6"/>
  <c r="K16" i="6"/>
  <c r="R34" i="6"/>
  <c r="AC38" i="6"/>
  <c r="Q26" i="6"/>
  <c r="Q24" i="6"/>
  <c r="Q38" i="6"/>
  <c r="K21" i="6"/>
  <c r="AA14" i="6"/>
  <c r="C27" i="6"/>
  <c r="I43" i="6"/>
  <c r="R26" i="6"/>
  <c r="R29" i="6"/>
  <c r="R39" i="6"/>
  <c r="AC35" i="6"/>
  <c r="AC33" i="6"/>
  <c r="AC31" i="6"/>
  <c r="AC29" i="6"/>
  <c r="AC27" i="6"/>
  <c r="AC25" i="6"/>
  <c r="AC23" i="6"/>
  <c r="AC41" i="6"/>
  <c r="AC43" i="6"/>
  <c r="AC45" i="6"/>
  <c r="AC24" i="6"/>
  <c r="AC14" i="6"/>
  <c r="AC16" i="6"/>
  <c r="AC18" i="6"/>
  <c r="AC42" i="6"/>
  <c r="AC28" i="6"/>
  <c r="AC12" i="6"/>
  <c r="AC40" i="6"/>
  <c r="AC26" i="6"/>
  <c r="AC13" i="6"/>
  <c r="AC21" i="6"/>
  <c r="AC19" i="6"/>
  <c r="AC46" i="6"/>
  <c r="AC15" i="6"/>
  <c r="AC34" i="6"/>
  <c r="AC36" i="6"/>
  <c r="U37" i="6"/>
  <c r="U38" i="6"/>
  <c r="U45" i="6"/>
  <c r="U46" i="6"/>
  <c r="U32" i="6"/>
  <c r="U27" i="6"/>
  <c r="U34" i="6"/>
  <c r="U33" i="6"/>
  <c r="U26" i="6"/>
  <c r="U14" i="6"/>
  <c r="U16" i="6"/>
  <c r="U18" i="6"/>
  <c r="U20" i="6"/>
  <c r="U36" i="6"/>
  <c r="U42" i="6"/>
  <c r="U43" i="6"/>
  <c r="U24" i="6"/>
  <c r="U17" i="6"/>
  <c r="U31" i="6"/>
  <c r="U12" i="6"/>
  <c r="U21" i="6"/>
  <c r="U44" i="6"/>
  <c r="U29" i="6"/>
  <c r="W12" i="6"/>
  <c r="W16" i="6"/>
  <c r="P11" i="6"/>
  <c r="D21" i="6"/>
  <c r="C18" i="6"/>
  <c r="E13" i="6"/>
  <c r="R25" i="6"/>
  <c r="AD32" i="6"/>
  <c r="I38" i="6"/>
  <c r="P32" i="6"/>
  <c r="O20" i="6"/>
  <c r="P15" i="6"/>
  <c r="D19" i="6"/>
  <c r="U23" i="6"/>
  <c r="AA23" i="6"/>
  <c r="I23" i="6"/>
  <c r="O37" i="6"/>
  <c r="D11" i="6"/>
  <c r="AC11" i="6"/>
  <c r="J22" i="6"/>
  <c r="U19" i="6"/>
  <c r="Q17" i="6"/>
  <c r="L16" i="6"/>
  <c r="E15" i="6"/>
  <c r="AB13" i="6"/>
  <c r="K12" i="6"/>
  <c r="I24" i="6"/>
  <c r="O26" i="6"/>
  <c r="O28" i="6"/>
  <c r="E30" i="6"/>
  <c r="J32" i="6"/>
  <c r="Q34" i="6"/>
  <c r="P46" i="6"/>
  <c r="E44" i="6"/>
  <c r="U41" i="6"/>
  <c r="U39" i="6"/>
  <c r="J37" i="6"/>
  <c r="O40" i="6"/>
  <c r="O39" i="6"/>
  <c r="V21" i="6"/>
  <c r="R37" i="6"/>
  <c r="R38" i="6"/>
  <c r="R45" i="6"/>
  <c r="R46" i="6"/>
  <c r="R28" i="6"/>
  <c r="R23" i="6"/>
  <c r="R36" i="6"/>
  <c r="R14" i="6"/>
  <c r="R16" i="6"/>
  <c r="R43" i="6"/>
  <c r="R44" i="6"/>
  <c r="R32" i="6"/>
  <c r="R27" i="6"/>
  <c r="W34" i="6"/>
  <c r="W32" i="6"/>
  <c r="W30" i="6"/>
  <c r="W28" i="6"/>
  <c r="W26" i="6"/>
  <c r="W24" i="6"/>
  <c r="W40" i="6"/>
  <c r="W42" i="6"/>
  <c r="W44" i="6"/>
  <c r="W46" i="6"/>
  <c r="W33" i="6"/>
  <c r="W13" i="6"/>
  <c r="W15" i="6"/>
  <c r="W17" i="6"/>
  <c r="W19" i="6"/>
  <c r="W39" i="6"/>
  <c r="W31" i="6"/>
  <c r="W35" i="6"/>
  <c r="W25" i="6"/>
  <c r="W11" i="6"/>
  <c r="AA22" i="6"/>
  <c r="O22" i="6"/>
  <c r="C22" i="6"/>
  <c r="I21" i="6"/>
  <c r="AA20" i="6"/>
  <c r="V17" i="6"/>
  <c r="V16" i="6"/>
  <c r="W14" i="6"/>
  <c r="C14" i="6"/>
  <c r="O13" i="6"/>
  <c r="R24" i="6"/>
  <c r="I25" i="6"/>
  <c r="C26" i="6"/>
  <c r="AA26" i="6"/>
  <c r="O27" i="6"/>
  <c r="I28" i="6"/>
  <c r="V29" i="6"/>
  <c r="P30" i="6"/>
  <c r="C35" i="6"/>
  <c r="I46" i="6"/>
  <c r="O44" i="6"/>
  <c r="C42" i="6"/>
  <c r="W37" i="6"/>
  <c r="AA36" i="6"/>
  <c r="C29" i="6"/>
  <c r="C24" i="6"/>
  <c r="C37" i="6"/>
  <c r="C44" i="6"/>
  <c r="C45" i="6"/>
  <c r="C23" i="6"/>
  <c r="C33" i="6"/>
  <c r="C28" i="6"/>
  <c r="C12" i="6"/>
  <c r="C15" i="6"/>
  <c r="C17" i="6"/>
  <c r="C19" i="6"/>
  <c r="V38" i="6"/>
  <c r="V40" i="6"/>
  <c r="V42" i="6"/>
  <c r="V44" i="6"/>
  <c r="V46" i="6"/>
  <c r="V12" i="6"/>
  <c r="V34" i="6"/>
  <c r="V39" i="6"/>
  <c r="V32" i="6"/>
  <c r="V27" i="6"/>
  <c r="V33" i="6"/>
  <c r="V26" i="6"/>
  <c r="V37" i="6"/>
  <c r="V45" i="6"/>
  <c r="V31" i="6"/>
  <c r="P22" i="6"/>
  <c r="Q35" i="6"/>
  <c r="Q33" i="6"/>
  <c r="Q31" i="6"/>
  <c r="Q29" i="6"/>
  <c r="Q27" i="6"/>
  <c r="Q25" i="6"/>
  <c r="Q23" i="6"/>
  <c r="Q41" i="6"/>
  <c r="Q43" i="6"/>
  <c r="Q45" i="6"/>
  <c r="Q36" i="6"/>
  <c r="Q14" i="6"/>
  <c r="Q16" i="6"/>
  <c r="Q18" i="6"/>
  <c r="Q44" i="6"/>
  <c r="Q28" i="6"/>
  <c r="P39" i="6"/>
  <c r="P41" i="6"/>
  <c r="P43" i="6"/>
  <c r="P45" i="6"/>
  <c r="P13" i="6"/>
  <c r="P35" i="6"/>
  <c r="P33" i="6"/>
  <c r="P44" i="6"/>
  <c r="P29" i="6"/>
  <c r="P24" i="6"/>
  <c r="P23" i="6"/>
  <c r="P42" i="6"/>
  <c r="P28" i="6"/>
  <c r="P12" i="6"/>
  <c r="R21" i="6"/>
  <c r="I19" i="6"/>
  <c r="W18" i="6"/>
  <c r="P16" i="6"/>
  <c r="I15" i="6"/>
  <c r="V14" i="6"/>
  <c r="I13" i="6"/>
  <c r="R12" i="6"/>
  <c r="O25" i="6"/>
  <c r="P27" i="6"/>
  <c r="W29" i="6"/>
  <c r="Q30" i="6"/>
  <c r="O33" i="6"/>
  <c r="O34" i="6"/>
  <c r="C46" i="6"/>
  <c r="W41" i="6"/>
  <c r="O38" i="6"/>
  <c r="V11" i="6"/>
  <c r="C16" i="6"/>
  <c r="C31" i="6"/>
  <c r="AA35" i="6"/>
  <c r="AA34" i="6"/>
  <c r="AA25" i="6"/>
  <c r="AA12" i="6"/>
  <c r="AA40" i="6"/>
  <c r="AA41" i="6"/>
  <c r="AA30" i="6"/>
  <c r="AA11" i="6"/>
  <c r="AA29" i="6"/>
  <c r="AA24" i="6"/>
  <c r="AA13" i="6"/>
  <c r="AA15" i="6"/>
  <c r="AA17" i="6"/>
  <c r="AA19" i="6"/>
  <c r="I34" i="6"/>
  <c r="I33" i="6"/>
  <c r="I32" i="6"/>
  <c r="I27" i="6"/>
  <c r="I39" i="6"/>
  <c r="I40" i="6"/>
  <c r="I26" i="6"/>
  <c r="I35" i="6"/>
  <c r="I31" i="6"/>
  <c r="I14" i="6"/>
  <c r="I16" i="6"/>
  <c r="I18" i="6"/>
  <c r="I20" i="6"/>
  <c r="O30" i="6"/>
  <c r="O42" i="6"/>
  <c r="O43" i="6"/>
  <c r="O29" i="6"/>
  <c r="O24" i="6"/>
  <c r="O12" i="6"/>
  <c r="O23" i="6"/>
  <c r="O15" i="6"/>
  <c r="O17" i="6"/>
  <c r="O19" i="6"/>
  <c r="C11" i="6"/>
  <c r="O11" i="6"/>
  <c r="W22" i="6"/>
  <c r="Q21" i="6"/>
  <c r="W20" i="6"/>
  <c r="V19" i="6"/>
  <c r="V18" i="6"/>
  <c r="R17" i="6"/>
  <c r="O16" i="6"/>
  <c r="P14" i="6"/>
  <c r="Q12" i="6"/>
  <c r="V24" i="6"/>
  <c r="P25" i="6"/>
  <c r="W27" i="6"/>
  <c r="R30" i="6"/>
  <c r="C32" i="6"/>
  <c r="AA32" i="6"/>
  <c r="R33" i="6"/>
  <c r="P34" i="6"/>
  <c r="I45" i="6"/>
  <c r="I44" i="6"/>
  <c r="R42" i="6"/>
  <c r="V41" i="6"/>
  <c r="C40" i="6"/>
  <c r="C39" i="6"/>
  <c r="C11" i="17" l="1"/>
  <c r="H37" i="27"/>
  <c r="C8" i="27"/>
  <c r="L35" i="27"/>
  <c r="H46" i="27"/>
  <c r="F2" i="27"/>
  <c r="M35" i="27"/>
  <c r="K39" i="27"/>
  <c r="H45" i="27"/>
  <c r="C25" i="27"/>
  <c r="H36" i="27"/>
  <c r="M44" i="27"/>
  <c r="L44" i="27"/>
  <c r="L45" i="27"/>
  <c r="C10" i="27"/>
  <c r="J36" i="27"/>
  <c r="H40" i="27"/>
  <c r="J40" i="27"/>
  <c r="H42" i="27"/>
  <c r="K44" i="27"/>
  <c r="J37" i="27"/>
  <c r="L39" i="27"/>
  <c r="K46" i="27"/>
  <c r="M36" i="27"/>
  <c r="E2" i="27"/>
  <c r="C18" i="27"/>
  <c r="L33" i="27"/>
  <c r="J35" i="27"/>
  <c r="C4" i="27"/>
  <c r="K41" i="27"/>
  <c r="L38" i="27"/>
  <c r="L43" i="27"/>
  <c r="J43" i="27"/>
  <c r="H2" i="27"/>
  <c r="M46" i="27"/>
  <c r="H39" i="27"/>
  <c r="H41" i="27"/>
  <c r="C23" i="27"/>
  <c r="K33" i="27"/>
  <c r="M38" i="27"/>
  <c r="H44" i="27"/>
  <c r="C5" i="27"/>
  <c r="C9" i="27"/>
  <c r="K40" i="27"/>
  <c r="C6" i="27"/>
  <c r="K37" i="27"/>
  <c r="K35" i="27"/>
  <c r="M33" i="27"/>
  <c r="C11" i="27"/>
  <c r="C12" i="27"/>
  <c r="C13" i="27"/>
  <c r="M37" i="27"/>
  <c r="C27" i="27"/>
  <c r="C20" i="27"/>
  <c r="G2" i="27"/>
  <c r="C15" i="27"/>
  <c r="J33" i="27"/>
  <c r="J39" i="27"/>
  <c r="J42" i="27"/>
  <c r="C14" i="27"/>
  <c r="C22" i="27"/>
  <c r="C7" i="27"/>
  <c r="K42" i="27"/>
  <c r="M40" i="27"/>
  <c r="L37" i="27"/>
  <c r="H35" i="27"/>
  <c r="M41" i="27"/>
  <c r="J38" i="27"/>
  <c r="J45" i="27"/>
  <c r="Q9" i="16"/>
  <c r="Q34" i="16"/>
  <c r="W34" i="16"/>
  <c r="W31" i="16"/>
  <c r="W16" i="16"/>
  <c r="W19" i="16"/>
  <c r="Q8" i="16"/>
  <c r="Q7" i="16"/>
  <c r="Q33" i="16"/>
  <c r="V27" i="16"/>
  <c r="G6" i="19"/>
  <c r="H12" i="19" s="1"/>
  <c r="V34" i="16"/>
  <c r="B6" i="19"/>
  <c r="F6" i="19"/>
  <c r="C13" i="19" s="1"/>
  <c r="C14" i="19" s="1"/>
  <c r="D6" i="19"/>
  <c r="G12" i="19" s="1"/>
  <c r="V25" i="16"/>
  <c r="E6" i="19"/>
  <c r="D10" i="17"/>
  <c r="C10" i="17"/>
  <c r="D11" i="17"/>
  <c r="D9" i="17"/>
  <c r="C9" i="17"/>
  <c r="Q16" i="16"/>
  <c r="N27" i="15"/>
  <c r="P17" i="15"/>
  <c r="R17" i="15"/>
  <c r="P30" i="15"/>
  <c r="W5" i="16"/>
  <c r="O3" i="14"/>
  <c r="L29" i="15"/>
  <c r="R15" i="15"/>
  <c r="P28" i="15"/>
  <c r="R16" i="15"/>
  <c r="P31" i="15"/>
  <c r="P34" i="15"/>
  <c r="N32" i="15"/>
  <c r="L23" i="15"/>
  <c r="P19" i="15"/>
  <c r="R26" i="15"/>
  <c r="X3" i="15"/>
  <c r="Y34" i="15" s="1"/>
  <c r="L35" i="15"/>
  <c r="N25" i="15"/>
  <c r="R21" i="15"/>
  <c r="R30" i="15"/>
  <c r="L28" i="15"/>
  <c r="N16" i="15"/>
  <c r="L21" i="15"/>
  <c r="N24" i="15"/>
  <c r="N29" i="15"/>
  <c r="N34" i="15"/>
  <c r="R18" i="15"/>
  <c r="R29" i="15"/>
  <c r="L18" i="15"/>
  <c r="R22" i="15"/>
  <c r="P33" i="15"/>
  <c r="R31" i="15"/>
  <c r="L20" i="15"/>
  <c r="R32" i="15"/>
  <c r="R19" i="16"/>
  <c r="V38" i="16"/>
  <c r="O2" i="14"/>
  <c r="O4" i="14" s="1"/>
  <c r="L15" i="15"/>
  <c r="R33" i="15"/>
  <c r="L22" i="15"/>
  <c r="R34" i="15"/>
  <c r="Q19" i="16"/>
  <c r="Q3" i="14"/>
  <c r="L36" i="15"/>
  <c r="N21" i="15"/>
  <c r="P22" i="15"/>
  <c r="N33" i="15"/>
  <c r="P23" i="15"/>
  <c r="X4" i="15"/>
  <c r="Y35" i="15" s="1"/>
  <c r="R38" i="15"/>
  <c r="P26" i="15"/>
  <c r="W3" i="15"/>
  <c r="X34" i="15" s="1"/>
  <c r="N14" i="15"/>
  <c r="L37" i="15"/>
  <c r="N35" i="15"/>
  <c r="P25" i="15"/>
  <c r="R23" i="15"/>
  <c r="P36" i="15"/>
  <c r="R24" i="15"/>
  <c r="R22" i="16"/>
  <c r="P35" i="15"/>
  <c r="R25" i="15"/>
  <c r="W4" i="15"/>
  <c r="X35" i="15" s="1"/>
  <c r="P38" i="15"/>
  <c r="N26" i="15"/>
  <c r="V3" i="15"/>
  <c r="W34" i="15" s="1"/>
  <c r="L14" i="15"/>
  <c r="V11" i="16"/>
  <c r="L17" i="15"/>
  <c r="N15" i="15"/>
  <c r="P37" i="15"/>
  <c r="R35" i="15"/>
  <c r="L32" i="15"/>
  <c r="N28" i="15"/>
  <c r="N37" i="15"/>
  <c r="L30" i="15"/>
  <c r="N18" i="15"/>
  <c r="R15" i="16"/>
  <c r="L24" i="15"/>
  <c r="N20" i="15"/>
  <c r="P16" i="15"/>
  <c r="R36" i="15"/>
  <c r="V15" i="16"/>
  <c r="W36" i="16"/>
  <c r="P3" i="14"/>
  <c r="L27" i="15"/>
  <c r="L19" i="15"/>
  <c r="N17" i="15"/>
  <c r="P15" i="15"/>
  <c r="R37" i="15"/>
  <c r="L34" i="15"/>
  <c r="R14" i="15"/>
  <c r="N30" i="15"/>
  <c r="N22" i="15"/>
  <c r="V4" i="15"/>
  <c r="W35" i="15" s="1"/>
  <c r="N38" i="15"/>
  <c r="P18" i="15"/>
  <c r="U3" i="15"/>
  <c r="V34" i="15" s="1"/>
  <c r="L26" i="15"/>
  <c r="R16" i="16"/>
  <c r="W38" i="16"/>
  <c r="Q14" i="16"/>
  <c r="Q25" i="16"/>
  <c r="V30" i="16"/>
  <c r="Q20" i="16"/>
  <c r="V18" i="16"/>
  <c r="V7" i="16"/>
  <c r="V33" i="16"/>
  <c r="P2" i="14"/>
  <c r="P4" i="14" s="1"/>
  <c r="L33" i="15"/>
  <c r="L25" i="15"/>
  <c r="N31" i="15"/>
  <c r="N23" i="15"/>
  <c r="P29" i="15"/>
  <c r="P21" i="15"/>
  <c r="R27" i="15"/>
  <c r="R19" i="15"/>
  <c r="L16" i="15"/>
  <c r="N36" i="15"/>
  <c r="P32" i="15"/>
  <c r="P24" i="15"/>
  <c r="R28" i="15"/>
  <c r="R20" i="15"/>
  <c r="R31" i="16"/>
  <c r="W24" i="16"/>
  <c r="N19" i="15"/>
  <c r="P20" i="15"/>
  <c r="L31" i="15"/>
  <c r="P27" i="15"/>
  <c r="P14" i="15"/>
  <c r="U4" i="15"/>
  <c r="V35" i="15" s="1"/>
  <c r="L38" i="15"/>
  <c r="R34" i="16"/>
  <c r="R9" i="16"/>
  <c r="Q13" i="16"/>
  <c r="Q22" i="16"/>
  <c r="W15" i="16"/>
  <c r="R8" i="16"/>
  <c r="Q15" i="16"/>
  <c r="Q12" i="16"/>
  <c r="R7" i="16"/>
  <c r="Q21" i="16"/>
  <c r="V32" i="16"/>
  <c r="V36" i="16"/>
  <c r="V22" i="16"/>
  <c r="V8" i="16"/>
  <c r="W22" i="16"/>
  <c r="R21" i="16"/>
  <c r="Q30" i="16"/>
  <c r="Q28" i="16"/>
  <c r="W30" i="16"/>
  <c r="R38" i="16"/>
  <c r="Q11" i="16"/>
  <c r="R6" i="16"/>
  <c r="Q10" i="16"/>
  <c r="R35" i="16"/>
  <c r="W20" i="16"/>
  <c r="W11" i="16"/>
  <c r="V31" i="16"/>
  <c r="R33" i="16"/>
  <c r="W12" i="16"/>
  <c r="R36" i="16"/>
  <c r="R32" i="16"/>
  <c r="V14" i="16"/>
  <c r="V13" i="16"/>
  <c r="W14" i="16"/>
  <c r="W25" i="16"/>
  <c r="W6" i="16"/>
  <c r="V37" i="16"/>
  <c r="Q27" i="16"/>
  <c r="Q23" i="16"/>
  <c r="W26" i="16"/>
  <c r="V26" i="16"/>
  <c r="R23" i="16"/>
  <c r="Q29" i="16"/>
  <c r="W37" i="16"/>
  <c r="V35" i="16"/>
  <c r="W35" i="16"/>
  <c r="V10" i="16"/>
  <c r="V20" i="16"/>
  <c r="V21" i="16"/>
  <c r="W7" i="16"/>
  <c r="R28" i="16"/>
  <c r="W4" i="16"/>
  <c r="R18" i="16"/>
  <c r="R37" i="16"/>
  <c r="Q26" i="16"/>
  <c r="W33" i="16"/>
  <c r="R4" i="16"/>
  <c r="W13" i="16"/>
  <c r="Q3" i="16"/>
  <c r="Q6" i="16"/>
  <c r="R14" i="16"/>
  <c r="Q5" i="16"/>
  <c r="R5" i="16"/>
  <c r="Q38" i="16"/>
  <c r="V12" i="16"/>
  <c r="W3" i="16"/>
  <c r="V28" i="16"/>
  <c r="R24" i="16"/>
  <c r="Q31" i="16"/>
  <c r="V6" i="16"/>
  <c r="V9" i="16"/>
  <c r="Q32" i="16"/>
  <c r="Q36" i="16"/>
  <c r="W21" i="16"/>
  <c r="V29" i="16"/>
  <c r="R26" i="16"/>
  <c r="V23" i="16"/>
  <c r="R13" i="16"/>
  <c r="Q4" i="16"/>
  <c r="R12" i="16"/>
  <c r="Q17" i="16"/>
  <c r="Q18" i="16"/>
  <c r="Q37" i="16"/>
  <c r="R20" i="16"/>
  <c r="W9" i="16"/>
  <c r="W32" i="16"/>
  <c r="V4" i="16"/>
  <c r="W8" i="16"/>
  <c r="R17" i="16"/>
  <c r="W18" i="16"/>
  <c r="V19" i="16"/>
  <c r="Q35" i="16"/>
  <c r="R30" i="16"/>
  <c r="R11" i="16"/>
  <c r="R3" i="16"/>
  <c r="R10" i="16"/>
  <c r="R27" i="16"/>
  <c r="V5" i="16"/>
  <c r="W28" i="16"/>
  <c r="W10" i="16"/>
  <c r="R29" i="16"/>
  <c r="W17" i="16"/>
  <c r="R25" i="16"/>
  <c r="Q24" i="16"/>
  <c r="W29" i="16"/>
  <c r="S20" i="20"/>
  <c r="G23" i="20"/>
  <c r="M33" i="20"/>
  <c r="AG42" i="20"/>
  <c r="AE23" i="20"/>
  <c r="Y24" i="20"/>
  <c r="AG28" i="20"/>
  <c r="AG33" i="20"/>
  <c r="AG19" i="20"/>
  <c r="S25" i="20"/>
  <c r="H4" i="16"/>
  <c r="AE34" i="20"/>
  <c r="S18" i="20"/>
  <c r="S21" i="20"/>
  <c r="S24" i="20"/>
  <c r="S41" i="20"/>
  <c r="M21" i="20"/>
  <c r="AE13" i="20"/>
  <c r="G31" i="20"/>
  <c r="G40" i="20"/>
  <c r="M30" i="20"/>
  <c r="Y38" i="20"/>
  <c r="G27" i="20"/>
  <c r="S33" i="20"/>
  <c r="Y42" i="20"/>
  <c r="Y22" i="20"/>
  <c r="AG24" i="20"/>
  <c r="AG12" i="20"/>
  <c r="AG20" i="20"/>
  <c r="AG22" i="20"/>
  <c r="M18" i="20"/>
  <c r="M42" i="20"/>
  <c r="AE37" i="20"/>
  <c r="Y26" i="20"/>
  <c r="M16" i="20"/>
  <c r="Y13" i="20"/>
  <c r="G29" i="20"/>
  <c r="S32" i="20"/>
  <c r="AE21" i="20"/>
  <c r="G46" i="20"/>
  <c r="S31" i="20"/>
  <c r="AE32" i="20"/>
  <c r="Y46" i="20"/>
  <c r="AE20" i="20"/>
  <c r="M15" i="20"/>
  <c r="S22" i="20"/>
  <c r="S36" i="20"/>
  <c r="AG38" i="20"/>
  <c r="G22" i="20"/>
  <c r="G45" i="20"/>
  <c r="Y15" i="20"/>
  <c r="Y34" i="20"/>
  <c r="M31" i="20"/>
  <c r="S42" i="20"/>
  <c r="AG36" i="20"/>
  <c r="AE35" i="20"/>
  <c r="AE33" i="20"/>
  <c r="Y35" i="20"/>
  <c r="M32" i="20"/>
  <c r="AG32" i="20"/>
  <c r="G11" i="20"/>
  <c r="M17" i="20"/>
  <c r="AG14" i="20"/>
  <c r="G25" i="20"/>
  <c r="G37" i="20"/>
  <c r="Y30" i="20"/>
  <c r="AG15" i="20"/>
  <c r="G21" i="20"/>
  <c r="M35" i="20"/>
  <c r="G17" i="20"/>
  <c r="AE11" i="20"/>
  <c r="I4" i="16"/>
  <c r="Y20" i="20"/>
  <c r="M40" i="20"/>
  <c r="Y43" i="20"/>
  <c r="M14" i="20"/>
  <c r="M28" i="20"/>
  <c r="AG35" i="20"/>
  <c r="AG44" i="20"/>
  <c r="AG23" i="20"/>
  <c r="Y25" i="20"/>
  <c r="M29" i="20"/>
  <c r="AE39" i="20"/>
  <c r="AG29" i="20"/>
  <c r="G28" i="20"/>
  <c r="M43" i="20"/>
  <c r="G20" i="20"/>
  <c r="G38" i="20"/>
  <c r="AG43" i="20"/>
  <c r="AG13" i="20"/>
  <c r="Y11" i="20"/>
  <c r="G44" i="20"/>
  <c r="AG39" i="20"/>
  <c r="G19" i="20"/>
  <c r="AG34" i="20"/>
  <c r="AG21" i="20"/>
  <c r="S34" i="20"/>
  <c r="S27" i="20"/>
  <c r="G35" i="20"/>
  <c r="AE18" i="20"/>
  <c r="AE14" i="20"/>
  <c r="M19" i="20"/>
  <c r="S38" i="20"/>
  <c r="M25" i="20"/>
  <c r="AG17" i="20"/>
  <c r="S29" i="20"/>
  <c r="G36" i="20"/>
  <c r="AG40" i="20"/>
  <c r="M26" i="20"/>
  <c r="AE22" i="20"/>
  <c r="M11" i="20"/>
  <c r="Y36" i="20"/>
  <c r="S26" i="20"/>
  <c r="AE40" i="20"/>
  <c r="S44" i="20"/>
  <c r="G15" i="20"/>
  <c r="G41" i="20"/>
  <c r="AE26" i="20"/>
  <c r="M46" i="20"/>
  <c r="Y45" i="20"/>
  <c r="M23" i="20"/>
  <c r="Y14" i="20"/>
  <c r="S28" i="20"/>
  <c r="Y41" i="20"/>
  <c r="AE19" i="20"/>
  <c r="S45" i="20"/>
  <c r="S30" i="20"/>
  <c r="AE41" i="20"/>
  <c r="Y28" i="20"/>
  <c r="S46" i="20"/>
  <c r="AE27" i="20"/>
  <c r="G18" i="20"/>
  <c r="M45" i="20"/>
  <c r="G30" i="20"/>
  <c r="G32" i="20"/>
  <c r="AG45" i="20"/>
  <c r="AG25" i="20"/>
  <c r="AG11" i="20"/>
  <c r="AG31" i="20"/>
  <c r="AG27" i="20"/>
  <c r="M37" i="20"/>
  <c r="S15" i="20"/>
  <c r="S35" i="20"/>
  <c r="M41" i="20"/>
  <c r="M34" i="20"/>
  <c r="AE28" i="20"/>
  <c r="AE30" i="20"/>
  <c r="G16" i="20"/>
  <c r="S40" i="20"/>
  <c r="S17" i="20"/>
  <c r="G42" i="20"/>
  <c r="G13" i="20"/>
  <c r="S43" i="20"/>
  <c r="AE25" i="20"/>
  <c r="Y39" i="20"/>
  <c r="Y18" i="20"/>
  <c r="Y40" i="20"/>
  <c r="AE17" i="20"/>
  <c r="Y31" i="20"/>
  <c r="AE45" i="20"/>
  <c r="Y32" i="20"/>
  <c r="M24" i="20"/>
  <c r="M12" i="20"/>
  <c r="M27" i="20"/>
  <c r="AE29" i="20"/>
  <c r="Y33" i="20"/>
  <c r="AG46" i="20"/>
  <c r="AG30" i="20"/>
  <c r="AG41" i="20"/>
  <c r="G39" i="20"/>
  <c r="G43" i="20"/>
  <c r="S13" i="20"/>
  <c r="S16" i="20"/>
  <c r="S37" i="20"/>
  <c r="M13" i="20"/>
  <c r="M36" i="20"/>
  <c r="AE42" i="20"/>
  <c r="AE36" i="20"/>
  <c r="G26" i="20"/>
  <c r="G14" i="20"/>
  <c r="AE43" i="20"/>
  <c r="G34" i="20"/>
  <c r="AE24" i="20"/>
  <c r="Y12" i="20"/>
  <c r="Y23" i="20"/>
  <c r="Y19" i="20"/>
  <c r="Y29" i="20"/>
  <c r="AG26" i="20"/>
  <c r="AG37" i="20"/>
  <c r="AG18" i="20"/>
  <c r="AG16" i="20"/>
  <c r="S19" i="20"/>
  <c r="S14" i="20"/>
  <c r="S23" i="20"/>
  <c r="S39" i="20"/>
  <c r="M20" i="20"/>
  <c r="M38" i="20"/>
  <c r="AE46" i="20"/>
  <c r="AE44" i="20"/>
  <c r="G24" i="20"/>
  <c r="G33" i="20"/>
  <c r="AE15" i="20"/>
  <c r="G12" i="20"/>
  <c r="AE16" i="20"/>
  <c r="S11" i="20"/>
  <c r="M39" i="20"/>
  <c r="M44" i="20"/>
  <c r="AE31" i="20"/>
  <c r="Y21" i="20"/>
  <c r="Y16" i="20"/>
  <c r="AE38" i="20"/>
  <c r="S12" i="20"/>
  <c r="Y44" i="20"/>
  <c r="AE12" i="20"/>
  <c r="Y17" i="20"/>
  <c r="Y27" i="20"/>
  <c r="M22" i="20"/>
  <c r="Y37" i="20"/>
  <c r="D26" i="14"/>
  <c r="F30" i="14"/>
  <c r="H18" i="14"/>
  <c r="F37" i="14"/>
  <c r="D28" i="14"/>
  <c r="F32" i="14"/>
  <c r="J30" i="14"/>
  <c r="H21" i="14"/>
  <c r="D16" i="14"/>
  <c r="F28" i="14"/>
  <c r="F20" i="14"/>
  <c r="F35" i="14"/>
  <c r="D19" i="14"/>
  <c r="H34" i="14"/>
  <c r="J16" i="14"/>
  <c r="H13" i="14"/>
  <c r="H33" i="14"/>
  <c r="J29" i="14"/>
  <c r="D18" i="14"/>
  <c r="F22" i="14"/>
  <c r="F19" i="14"/>
  <c r="D23" i="14"/>
  <c r="H36" i="14"/>
  <c r="J20" i="14"/>
  <c r="H35" i="14"/>
  <c r="F27" i="14"/>
  <c r="H20" i="14"/>
  <c r="D20" i="14"/>
  <c r="F24" i="14"/>
  <c r="F21" i="14"/>
  <c r="F15" i="14"/>
  <c r="H14" i="14"/>
  <c r="J24" i="14"/>
  <c r="J37" i="14"/>
  <c r="F29" i="14"/>
  <c r="H27" i="14"/>
  <c r="D37" i="14"/>
  <c r="H37" i="14"/>
  <c r="J31" i="14"/>
  <c r="D22" i="14"/>
  <c r="H15" i="14"/>
  <c r="H16" i="14"/>
  <c r="H29" i="14"/>
  <c r="D32" i="14"/>
  <c r="D24" i="14"/>
  <c r="F36" i="14"/>
  <c r="D31" i="14"/>
  <c r="H19" i="14"/>
  <c r="J14" i="14"/>
  <c r="F25" i="14"/>
  <c r="H26" i="14"/>
  <c r="H22" i="14"/>
  <c r="J25" i="14"/>
  <c r="J15" i="14"/>
  <c r="D13" i="14"/>
  <c r="H31" i="14"/>
  <c r="J33" i="14"/>
  <c r="J26" i="14"/>
  <c r="J36" i="14"/>
  <c r="H23" i="14"/>
  <c r="J27" i="14"/>
  <c r="S19" i="6"/>
  <c r="J11" i="13" s="1"/>
  <c r="J7" i="15"/>
  <c r="J28" i="15"/>
  <c r="D34" i="14"/>
  <c r="F14" i="14"/>
  <c r="D15" i="14"/>
  <c r="J23" i="14"/>
  <c r="J22" i="14"/>
  <c r="H17" i="14"/>
  <c r="H28" i="14"/>
  <c r="H24" i="14"/>
  <c r="D21" i="14"/>
  <c r="J21" i="14"/>
  <c r="F34" i="14"/>
  <c r="F23" i="14"/>
  <c r="F31" i="14"/>
  <c r="H28" i="15"/>
  <c r="D36" i="14"/>
  <c r="F16" i="14"/>
  <c r="D17" i="14"/>
  <c r="D29" i="14"/>
  <c r="F13" i="14"/>
  <c r="H30" i="14"/>
  <c r="J28" i="14"/>
  <c r="F33" i="14"/>
  <c r="J19" i="14"/>
  <c r="J35" i="14"/>
  <c r="D30" i="14"/>
  <c r="J32" i="14"/>
  <c r="D33" i="14"/>
  <c r="D27" i="14"/>
  <c r="H25" i="14"/>
  <c r="G16" i="15"/>
  <c r="D14" i="14"/>
  <c r="F26" i="14"/>
  <c r="F18" i="14"/>
  <c r="J13" i="14"/>
  <c r="D35" i="14"/>
  <c r="J17" i="14"/>
  <c r="H32" i="14"/>
  <c r="J34" i="14"/>
  <c r="F17" i="14"/>
  <c r="D25" i="14"/>
  <c r="J18" i="14"/>
  <c r="E17" i="15"/>
  <c r="J34" i="15"/>
  <c r="H13" i="15"/>
  <c r="J31" i="15"/>
  <c r="F6" i="15"/>
  <c r="C26" i="15"/>
  <c r="D10" i="15"/>
  <c r="G19" i="15"/>
  <c r="C13" i="15"/>
  <c r="M17" i="6"/>
  <c r="G9" i="13" s="1"/>
  <c r="H34" i="15"/>
  <c r="AE17" i="6"/>
  <c r="P9" i="13" s="1"/>
  <c r="J12" i="15"/>
  <c r="H9" i="15"/>
  <c r="S13" i="12"/>
  <c r="I5" i="13" s="1"/>
  <c r="E26" i="15"/>
  <c r="G31" i="15"/>
  <c r="G3" i="15"/>
  <c r="G36" i="15"/>
  <c r="H11" i="15"/>
  <c r="G10" i="15"/>
  <c r="I13" i="15"/>
  <c r="G30" i="15"/>
  <c r="J15" i="15"/>
  <c r="J11" i="15"/>
  <c r="J29" i="15"/>
  <c r="J32" i="15"/>
  <c r="H17" i="15"/>
  <c r="H38" i="15"/>
  <c r="C24" i="15"/>
  <c r="E25" i="15"/>
  <c r="E8" i="15"/>
  <c r="E21" i="15"/>
  <c r="C10" i="15"/>
  <c r="F21" i="15"/>
  <c r="F5" i="15"/>
  <c r="D6" i="15"/>
  <c r="D37" i="15"/>
  <c r="D24" i="15"/>
  <c r="G32" i="15"/>
  <c r="G29" i="15"/>
  <c r="G14" i="15"/>
  <c r="J14" i="15"/>
  <c r="H6" i="15"/>
  <c r="H10" i="15"/>
  <c r="I16" i="15"/>
  <c r="C22" i="15"/>
  <c r="M19" i="12"/>
  <c r="F11" i="13" s="1"/>
  <c r="F23" i="15"/>
  <c r="E13" i="15"/>
  <c r="D29" i="15"/>
  <c r="D31" i="15"/>
  <c r="C20" i="15"/>
  <c r="I26" i="15"/>
  <c r="I38" i="15"/>
  <c r="I10" i="15"/>
  <c r="H33" i="15"/>
  <c r="C18" i="15"/>
  <c r="G9" i="15"/>
  <c r="I8" i="15"/>
  <c r="H31" i="15"/>
  <c r="E11" i="15"/>
  <c r="C6" i="15"/>
  <c r="D19" i="15"/>
  <c r="G7" i="15"/>
  <c r="I21" i="15"/>
  <c r="J20" i="15"/>
  <c r="H26" i="15"/>
  <c r="G22" i="15"/>
  <c r="F35" i="15"/>
  <c r="E20" i="15"/>
  <c r="D36" i="15"/>
  <c r="D38" i="15"/>
  <c r="H3" i="15"/>
  <c r="J6" i="15"/>
  <c r="H25" i="15"/>
  <c r="E7" i="15"/>
  <c r="E30" i="15"/>
  <c r="F10" i="15"/>
  <c r="C28" i="15"/>
  <c r="G42" i="12"/>
  <c r="C34" i="13" s="1"/>
  <c r="C34" i="15"/>
  <c r="D4" i="15"/>
  <c r="I34" i="15"/>
  <c r="G5" i="15"/>
  <c r="J18" i="15"/>
  <c r="H18" i="15"/>
  <c r="H19" i="15"/>
  <c r="H27" i="15"/>
  <c r="J4" i="15"/>
  <c r="C9" i="15"/>
  <c r="F25" i="15"/>
  <c r="F17" i="15"/>
  <c r="E19" i="15"/>
  <c r="E33" i="15"/>
  <c r="F37" i="15"/>
  <c r="F16" i="15"/>
  <c r="F32" i="15"/>
  <c r="C36" i="15"/>
  <c r="E31" i="15"/>
  <c r="C16" i="15"/>
  <c r="D27" i="15"/>
  <c r="D34" i="15"/>
  <c r="D14" i="15"/>
  <c r="D11" i="15"/>
  <c r="D33" i="15"/>
  <c r="I11" i="15"/>
  <c r="D21" i="15"/>
  <c r="G24" i="15"/>
  <c r="I19" i="15"/>
  <c r="J17" i="15"/>
  <c r="G22" i="12"/>
  <c r="C14" i="13" s="1"/>
  <c r="C14" i="15"/>
  <c r="E12" i="15"/>
  <c r="C17" i="15"/>
  <c r="D16" i="15"/>
  <c r="I6" i="15"/>
  <c r="J5" i="15"/>
  <c r="G41" i="12"/>
  <c r="C33" i="13" s="1"/>
  <c r="F33" i="15"/>
  <c r="C8" i="15"/>
  <c r="F13" i="15"/>
  <c r="E14" i="15"/>
  <c r="E3" i="15"/>
  <c r="D28" i="15"/>
  <c r="E37" i="15"/>
  <c r="G4" i="15"/>
  <c r="G6" i="15"/>
  <c r="I36" i="15"/>
  <c r="I23" i="15"/>
  <c r="J35" i="15"/>
  <c r="J21" i="15"/>
  <c r="H16" i="15"/>
  <c r="F29" i="15"/>
  <c r="F14" i="15"/>
  <c r="D5" i="15"/>
  <c r="G20" i="15"/>
  <c r="I37" i="15"/>
  <c r="I32" i="15"/>
  <c r="I30" i="15"/>
  <c r="I35" i="15"/>
  <c r="I27" i="15"/>
  <c r="G28" i="15"/>
  <c r="H29" i="15"/>
  <c r="G35" i="15"/>
  <c r="J23" i="15"/>
  <c r="J38" i="15"/>
  <c r="J24" i="15"/>
  <c r="I31" i="15"/>
  <c r="H21" i="15"/>
  <c r="H36" i="15"/>
  <c r="H5" i="15"/>
  <c r="C7" i="15"/>
  <c r="E22" i="15"/>
  <c r="E28" i="15"/>
  <c r="E36" i="15"/>
  <c r="F31" i="15"/>
  <c r="F4" i="15"/>
  <c r="F18" i="15"/>
  <c r="F34" i="15"/>
  <c r="C23" i="15"/>
  <c r="D23" i="15"/>
  <c r="C37" i="15"/>
  <c r="E34" i="15"/>
  <c r="D3" i="15"/>
  <c r="D12" i="15"/>
  <c r="C27" i="15"/>
  <c r="F9" i="15"/>
  <c r="D13" i="15"/>
  <c r="D18" i="15"/>
  <c r="D25" i="15"/>
  <c r="D17" i="15"/>
  <c r="E9" i="15"/>
  <c r="F15" i="15"/>
  <c r="G19" i="6"/>
  <c r="D11" i="13" s="1"/>
  <c r="G11" i="15"/>
  <c r="H4" i="15"/>
  <c r="G13" i="15"/>
  <c r="F24" i="15"/>
  <c r="H30" i="15"/>
  <c r="E5" i="15"/>
  <c r="E35" i="15"/>
  <c r="F26" i="15"/>
  <c r="C35" i="15"/>
  <c r="G26" i="15"/>
  <c r="J19" i="15"/>
  <c r="I7" i="15"/>
  <c r="H24" i="15"/>
  <c r="G33" i="15"/>
  <c r="G23" i="15"/>
  <c r="G15" i="15"/>
  <c r="G34" i="15"/>
  <c r="H22" i="15"/>
  <c r="I4" i="15"/>
  <c r="I28" i="15"/>
  <c r="I33" i="15"/>
  <c r="H12" i="15"/>
  <c r="J33" i="15"/>
  <c r="J27" i="15"/>
  <c r="J37" i="15"/>
  <c r="J25" i="15"/>
  <c r="H32" i="15"/>
  <c r="H20" i="15"/>
  <c r="H37" i="15"/>
  <c r="I14" i="15"/>
  <c r="C5" i="15"/>
  <c r="C31" i="15"/>
  <c r="E18" i="15"/>
  <c r="E32" i="15"/>
  <c r="E6" i="15"/>
  <c r="E38" i="15"/>
  <c r="E24" i="15"/>
  <c r="F8" i="15"/>
  <c r="F20" i="15"/>
  <c r="F36" i="15"/>
  <c r="D9" i="15"/>
  <c r="C25" i="15"/>
  <c r="E23" i="15"/>
  <c r="C12" i="15"/>
  <c r="D20" i="15"/>
  <c r="D22" i="15"/>
  <c r="D32" i="15"/>
  <c r="D26" i="15"/>
  <c r="I17" i="15"/>
  <c r="F11" i="15"/>
  <c r="F3" i="15"/>
  <c r="G27" i="15"/>
  <c r="J16" i="15"/>
  <c r="I18" i="15"/>
  <c r="G23" i="12"/>
  <c r="C15" i="13" s="1"/>
  <c r="C15" i="15"/>
  <c r="F19" i="15"/>
  <c r="I24" i="15"/>
  <c r="H8" i="15"/>
  <c r="I29" i="15"/>
  <c r="J3" i="15"/>
  <c r="H7" i="15"/>
  <c r="G17" i="15"/>
  <c r="J8" i="15"/>
  <c r="F7" i="15"/>
  <c r="F28" i="15"/>
  <c r="C21" i="15"/>
  <c r="G38" i="15"/>
  <c r="G21" i="15"/>
  <c r="J36" i="15"/>
  <c r="I20" i="15"/>
  <c r="G12" i="15"/>
  <c r="J13" i="15"/>
  <c r="I3" i="15"/>
  <c r="C11" i="15"/>
  <c r="C29" i="15"/>
  <c r="F30" i="15"/>
  <c r="C33" i="15"/>
  <c r="D35" i="15"/>
  <c r="I25" i="15"/>
  <c r="J10" i="15"/>
  <c r="G25" i="15"/>
  <c r="G8" i="15"/>
  <c r="G37" i="15"/>
  <c r="G18" i="15"/>
  <c r="I22" i="15"/>
  <c r="I5" i="15"/>
  <c r="I9" i="15"/>
  <c r="I12" i="15"/>
  <c r="I15" i="15"/>
  <c r="J9" i="15"/>
  <c r="J22" i="15"/>
  <c r="J30" i="15"/>
  <c r="J26" i="15"/>
  <c r="H23" i="15"/>
  <c r="H14" i="15"/>
  <c r="H15" i="15"/>
  <c r="H35" i="15"/>
  <c r="C3" i="15"/>
  <c r="C38" i="15"/>
  <c r="E15" i="15"/>
  <c r="F27" i="15"/>
  <c r="E29" i="15"/>
  <c r="E4" i="15"/>
  <c r="E10" i="15"/>
  <c r="E16" i="15"/>
  <c r="F12" i="15"/>
  <c r="F22" i="15"/>
  <c r="F38" i="15"/>
  <c r="C32" i="15"/>
  <c r="E27" i="15"/>
  <c r="C19" i="15"/>
  <c r="C30" i="15"/>
  <c r="C4" i="15"/>
  <c r="D7" i="15"/>
  <c r="D30" i="15"/>
  <c r="D8" i="15"/>
  <c r="D15" i="15"/>
  <c r="S38" i="6"/>
  <c r="J30" i="13" s="1"/>
  <c r="S37" i="6"/>
  <c r="J29" i="13" s="1"/>
  <c r="S34" i="12"/>
  <c r="I26" i="13" s="1"/>
  <c r="G24" i="12"/>
  <c r="C16" i="13" s="1"/>
  <c r="G44" i="12"/>
  <c r="C36" i="13" s="1"/>
  <c r="AE24" i="12"/>
  <c r="O16" i="13" s="1"/>
  <c r="S42" i="6"/>
  <c r="J34" i="13" s="1"/>
  <c r="Y16" i="6"/>
  <c r="M8" i="13" s="1"/>
  <c r="M36" i="12"/>
  <c r="F28" i="13" s="1"/>
  <c r="G25" i="12"/>
  <c r="C17" i="13" s="1"/>
  <c r="S18" i="12"/>
  <c r="I10" i="13" s="1"/>
  <c r="Y33" i="6"/>
  <c r="M25" i="13" s="1"/>
  <c r="S14" i="12"/>
  <c r="I6" i="13" s="1"/>
  <c r="AE21" i="12"/>
  <c r="O13" i="13" s="1"/>
  <c r="S41" i="12"/>
  <c r="I33" i="13" s="1"/>
  <c r="M14" i="12"/>
  <c r="F6" i="13" s="1"/>
  <c r="AE27" i="12"/>
  <c r="O19" i="13" s="1"/>
  <c r="M35" i="12"/>
  <c r="F27" i="13" s="1"/>
  <c r="AE29" i="12"/>
  <c r="O21" i="13" s="1"/>
  <c r="Y13" i="6"/>
  <c r="M5" i="13" s="1"/>
  <c r="G29" i="12"/>
  <c r="C21" i="13" s="1"/>
  <c r="AG15" i="12"/>
  <c r="S20" i="6"/>
  <c r="J12" i="13" s="1"/>
  <c r="Y14" i="6"/>
  <c r="M6" i="13" s="1"/>
  <c r="G29" i="6"/>
  <c r="D21" i="13" s="1"/>
  <c r="AE33" i="6"/>
  <c r="P25" i="13" s="1"/>
  <c r="AE20" i="12"/>
  <c r="O12" i="13" s="1"/>
  <c r="AG37" i="12"/>
  <c r="AE25" i="12"/>
  <c r="O17" i="13" s="1"/>
  <c r="AG30" i="12"/>
  <c r="G19" i="12"/>
  <c r="C11" i="13" s="1"/>
  <c r="AG40" i="12"/>
  <c r="Y28" i="12"/>
  <c r="L20" i="13" s="1"/>
  <c r="AE17" i="12"/>
  <c r="O9" i="13" s="1"/>
  <c r="G14" i="12"/>
  <c r="C6" i="13" s="1"/>
  <c r="AG36" i="12"/>
  <c r="AG29" i="12"/>
  <c r="G11" i="12"/>
  <c r="C3" i="13" s="1"/>
  <c r="AG23" i="12"/>
  <c r="S21" i="12"/>
  <c r="I13" i="13" s="1"/>
  <c r="S37" i="12"/>
  <c r="I29" i="13" s="1"/>
  <c r="Y30" i="12"/>
  <c r="Y21" i="12"/>
  <c r="Y19" i="12"/>
  <c r="L11" i="13" s="1"/>
  <c r="AG18" i="12"/>
  <c r="AG24" i="12"/>
  <c r="M32" i="12"/>
  <c r="F24" i="13" s="1"/>
  <c r="AG41" i="12"/>
  <c r="AG32" i="12"/>
  <c r="AG19" i="12"/>
  <c r="AE11" i="12"/>
  <c r="O3" i="13" s="1"/>
  <c r="Y23" i="12"/>
  <c r="L15" i="13" s="1"/>
  <c r="M39" i="12"/>
  <c r="F31" i="13" s="1"/>
  <c r="M33" i="12"/>
  <c r="F25" i="13" s="1"/>
  <c r="M29" i="12"/>
  <c r="F21" i="13" s="1"/>
  <c r="AG26" i="12"/>
  <c r="AG45" i="12"/>
  <c r="AG43" i="12"/>
  <c r="AG34" i="12"/>
  <c r="G43" i="12"/>
  <c r="C35" i="13" s="1"/>
  <c r="G15" i="12"/>
  <c r="C7" i="13" s="1"/>
  <c r="Y40" i="12"/>
  <c r="L32" i="13" s="1"/>
  <c r="Y24" i="12"/>
  <c r="M41" i="12"/>
  <c r="F33" i="13" s="1"/>
  <c r="Y43" i="12"/>
  <c r="L35" i="13" s="1"/>
  <c r="G36" i="12"/>
  <c r="C28" i="13" s="1"/>
  <c r="Y32" i="6"/>
  <c r="M24" i="13" s="1"/>
  <c r="AG11" i="12"/>
  <c r="Y31" i="12"/>
  <c r="L23" i="13" s="1"/>
  <c r="AG33" i="12"/>
  <c r="G39" i="12"/>
  <c r="C31" i="13" s="1"/>
  <c r="AG22" i="12"/>
  <c r="G26" i="12"/>
  <c r="Y26" i="12"/>
  <c r="Y32" i="12"/>
  <c r="L24" i="13" s="1"/>
  <c r="Y17" i="12"/>
  <c r="L9" i="13" s="1"/>
  <c r="Y45" i="12"/>
  <c r="L37" i="13" s="1"/>
  <c r="G32" i="12"/>
  <c r="C24" i="13" s="1"/>
  <c r="M16" i="12"/>
  <c r="F8" i="13" s="1"/>
  <c r="S31" i="12"/>
  <c r="I23" i="13" s="1"/>
  <c r="M17" i="12"/>
  <c r="F9" i="13" s="1"/>
  <c r="M26" i="12"/>
  <c r="F18" i="13" s="1"/>
  <c r="M45" i="12"/>
  <c r="F37" i="13" s="1"/>
  <c r="AE13" i="12"/>
  <c r="O5" i="13" s="1"/>
  <c r="AE28" i="12"/>
  <c r="O20" i="13" s="1"/>
  <c r="G33" i="12"/>
  <c r="C25" i="13" s="1"/>
  <c r="Y22" i="12"/>
  <c r="L14" i="13" s="1"/>
  <c r="AE19" i="6"/>
  <c r="P11" i="13" s="1"/>
  <c r="M46" i="6"/>
  <c r="G38" i="13" s="1"/>
  <c r="AE44" i="6"/>
  <c r="P36" i="13" s="1"/>
  <c r="G41" i="6"/>
  <c r="D33" i="13" s="1"/>
  <c r="S25" i="6"/>
  <c r="J17" i="13" s="1"/>
  <c r="G37" i="12"/>
  <c r="C29" i="13" s="1"/>
  <c r="AG39" i="12"/>
  <c r="M35" i="6"/>
  <c r="G27" i="13" s="1"/>
  <c r="M29" i="6"/>
  <c r="G21" i="13" s="1"/>
  <c r="AE16" i="12"/>
  <c r="O8" i="13" s="1"/>
  <c r="Y13" i="12"/>
  <c r="L5" i="13" s="1"/>
  <c r="Y11" i="12"/>
  <c r="L3" i="13" s="1"/>
  <c r="AG44" i="12"/>
  <c r="AG42" i="12"/>
  <c r="AE41" i="6"/>
  <c r="P33" i="13" s="1"/>
  <c r="M21" i="6"/>
  <c r="G13" i="13" s="1"/>
  <c r="AE43" i="6"/>
  <c r="P35" i="13" s="1"/>
  <c r="M33" i="6"/>
  <c r="G25" i="13" s="1"/>
  <c r="G13" i="12"/>
  <c r="C5" i="13" s="1"/>
  <c r="AG13" i="12"/>
  <c r="Y15" i="12"/>
  <c r="L7" i="13" s="1"/>
  <c r="AG17" i="12"/>
  <c r="S25" i="12"/>
  <c r="I17" i="13" s="1"/>
  <c r="S28" i="12"/>
  <c r="I20" i="13" s="1"/>
  <c r="S46" i="12"/>
  <c r="I38" i="13" s="1"/>
  <c r="M12" i="12"/>
  <c r="F4" i="13" s="1"/>
  <c r="AE19" i="12"/>
  <c r="O11" i="13" s="1"/>
  <c r="AE34" i="12"/>
  <c r="O26" i="13" s="1"/>
  <c r="AG31" i="12"/>
  <c r="G31" i="12"/>
  <c r="C23" i="13" s="1"/>
  <c r="G20" i="12"/>
  <c r="C12" i="13" s="1"/>
  <c r="AG20" i="12"/>
  <c r="AG28" i="12"/>
  <c r="G28" i="12"/>
  <c r="C20" i="13" s="1"/>
  <c r="G46" i="12"/>
  <c r="C38" i="13" s="1"/>
  <c r="AG46" i="12"/>
  <c r="S17" i="12"/>
  <c r="I9" i="13" s="1"/>
  <c r="S38" i="12"/>
  <c r="I30" i="13" s="1"/>
  <c r="S29" i="12"/>
  <c r="I21" i="13" s="1"/>
  <c r="S45" i="12"/>
  <c r="I37" i="13" s="1"/>
  <c r="M25" i="12"/>
  <c r="F17" i="13" s="1"/>
  <c r="AG25" i="12"/>
  <c r="M20" i="12"/>
  <c r="F12" i="13" s="1"/>
  <c r="M21" i="12"/>
  <c r="F13" i="13" s="1"/>
  <c r="M46" i="12"/>
  <c r="F38" i="13" s="1"/>
  <c r="AE33" i="12"/>
  <c r="O25" i="13" s="1"/>
  <c r="AE38" i="12"/>
  <c r="O30" i="13" s="1"/>
  <c r="AE32" i="12"/>
  <c r="O24" i="13" s="1"/>
  <c r="G40" i="12"/>
  <c r="C32" i="13" s="1"/>
  <c r="AG35" i="12"/>
  <c r="G35" i="12"/>
  <c r="AG27" i="12"/>
  <c r="G27" i="12"/>
  <c r="C19" i="13" s="1"/>
  <c r="AG38" i="12"/>
  <c r="G38" i="12"/>
  <c r="C30" i="13" s="1"/>
  <c r="G12" i="12"/>
  <c r="C4" i="13" s="1"/>
  <c r="AG12" i="12"/>
  <c r="Y34" i="6"/>
  <c r="M26" i="13" s="1"/>
  <c r="G17" i="6"/>
  <c r="D9" i="13" s="1"/>
  <c r="S24" i="6"/>
  <c r="J16" i="13" s="1"/>
  <c r="S46" i="6"/>
  <c r="J38" i="13" s="1"/>
  <c r="M22" i="6"/>
  <c r="G14" i="13" s="1"/>
  <c r="M43" i="6"/>
  <c r="G35" i="13" s="1"/>
  <c r="S34" i="6"/>
  <c r="J26" i="13" s="1"/>
  <c r="AE26" i="6"/>
  <c r="P18" i="13" s="1"/>
  <c r="Y35" i="6"/>
  <c r="M27" i="13" s="1"/>
  <c r="Y28" i="6"/>
  <c r="M20" i="13" s="1"/>
  <c r="AE45" i="6"/>
  <c r="P37" i="13" s="1"/>
  <c r="M28" i="6"/>
  <c r="G20" i="13" s="1"/>
  <c r="Y12" i="12"/>
  <c r="L4" i="13" s="1"/>
  <c r="Y25" i="12"/>
  <c r="L17" i="13" s="1"/>
  <c r="S44" i="12"/>
  <c r="I36" i="13" s="1"/>
  <c r="M43" i="12"/>
  <c r="AE45" i="12"/>
  <c r="O37" i="13" s="1"/>
  <c r="AE36" i="12"/>
  <c r="O28" i="13" s="1"/>
  <c r="Y20" i="12"/>
  <c r="L12" i="13" s="1"/>
  <c r="Y38" i="6"/>
  <c r="M30" i="13" s="1"/>
  <c r="Y27" i="12"/>
  <c r="L19" i="13" s="1"/>
  <c r="Y38" i="12"/>
  <c r="L30" i="13" s="1"/>
  <c r="S24" i="12"/>
  <c r="I16" i="13" s="1"/>
  <c r="S11" i="12"/>
  <c r="M24" i="12"/>
  <c r="F16" i="13" s="1"/>
  <c r="M22" i="12"/>
  <c r="AE31" i="12"/>
  <c r="O23" i="13" s="1"/>
  <c r="AE46" i="12"/>
  <c r="O38" i="13" s="1"/>
  <c r="AE22" i="6"/>
  <c r="P14" i="13" s="1"/>
  <c r="Y36" i="6"/>
  <c r="M28" i="13" s="1"/>
  <c r="M36" i="6"/>
  <c r="G28" i="13" s="1"/>
  <c r="G45" i="12"/>
  <c r="C37" i="13" s="1"/>
  <c r="G30" i="12"/>
  <c r="C22" i="13" s="1"/>
  <c r="S35" i="12"/>
  <c r="I27" i="13" s="1"/>
  <c r="S27" i="12"/>
  <c r="I19" i="13" s="1"/>
  <c r="S32" i="12"/>
  <c r="I24" i="13" s="1"/>
  <c r="S20" i="12"/>
  <c r="I12" i="13" s="1"/>
  <c r="M44" i="12"/>
  <c r="F36" i="13" s="1"/>
  <c r="M37" i="12"/>
  <c r="F29" i="13" s="1"/>
  <c r="M11" i="12"/>
  <c r="F3" i="13" s="1"/>
  <c r="M15" i="12"/>
  <c r="F7" i="13" s="1"/>
  <c r="AE41" i="12"/>
  <c r="O33" i="13" s="1"/>
  <c r="AE23" i="12"/>
  <c r="O15" i="13" s="1"/>
  <c r="AE18" i="12"/>
  <c r="O10" i="13" s="1"/>
  <c r="AE12" i="12"/>
  <c r="AE44" i="12"/>
  <c r="O36" i="13" s="1"/>
  <c r="AE39" i="6"/>
  <c r="P31" i="13" s="1"/>
  <c r="G18" i="12"/>
  <c r="C10" i="13" s="1"/>
  <c r="S26" i="12"/>
  <c r="I18" i="13" s="1"/>
  <c r="S42" i="12"/>
  <c r="I34" i="13" s="1"/>
  <c r="M40" i="12"/>
  <c r="F32" i="13" s="1"/>
  <c r="AE15" i="12"/>
  <c r="O7" i="13" s="1"/>
  <c r="AE42" i="12"/>
  <c r="O34" i="13" s="1"/>
  <c r="Y16" i="12"/>
  <c r="L8" i="13" s="1"/>
  <c r="AE15" i="6"/>
  <c r="P7" i="13" s="1"/>
  <c r="G42" i="6"/>
  <c r="D34" i="13" s="1"/>
  <c r="M18" i="6"/>
  <c r="G10" i="13" s="1"/>
  <c r="AE42" i="6"/>
  <c r="P34" i="13" s="1"/>
  <c r="Y42" i="12"/>
  <c r="L34" i="13" s="1"/>
  <c r="Y29" i="12"/>
  <c r="L21" i="13" s="1"/>
  <c r="Y18" i="12"/>
  <c r="L10" i="13" s="1"/>
  <c r="S16" i="12"/>
  <c r="I8" i="13" s="1"/>
  <c r="S19" i="12"/>
  <c r="I11" i="13" s="1"/>
  <c r="AE43" i="12"/>
  <c r="O35" i="13" s="1"/>
  <c r="AE14" i="12"/>
  <c r="O6" i="13" s="1"/>
  <c r="AE40" i="12"/>
  <c r="O32" i="13" s="1"/>
  <c r="Y27" i="6"/>
  <c r="M19" i="13" s="1"/>
  <c r="M39" i="6"/>
  <c r="G31" i="13" s="1"/>
  <c r="Y30" i="6"/>
  <c r="M22" i="13" s="1"/>
  <c r="S31" i="6"/>
  <c r="J23" i="13" s="1"/>
  <c r="G33" i="6"/>
  <c r="D25" i="13" s="1"/>
  <c r="G21" i="12"/>
  <c r="C13" i="13" s="1"/>
  <c r="Y14" i="12"/>
  <c r="L6" i="13" s="1"/>
  <c r="G16" i="12"/>
  <c r="C8" i="13" s="1"/>
  <c r="Y33" i="12"/>
  <c r="L25" i="13" s="1"/>
  <c r="G34" i="12"/>
  <c r="C26" i="13" s="1"/>
  <c r="AG16" i="12"/>
  <c r="Y44" i="12"/>
  <c r="L36" i="13" s="1"/>
  <c r="Y37" i="12"/>
  <c r="L29" i="13" s="1"/>
  <c r="Y35" i="12"/>
  <c r="L27" i="13" s="1"/>
  <c r="S40" i="12"/>
  <c r="I32" i="13" s="1"/>
  <c r="S23" i="12"/>
  <c r="M42" i="12"/>
  <c r="F34" i="13" s="1"/>
  <c r="M30" i="12"/>
  <c r="F22" i="13" s="1"/>
  <c r="M18" i="12"/>
  <c r="F10" i="13" s="1"/>
  <c r="AE37" i="12"/>
  <c r="O29" i="13" s="1"/>
  <c r="AE22" i="12"/>
  <c r="O14" i="13" s="1"/>
  <c r="AE35" i="6"/>
  <c r="P27" i="13" s="1"/>
  <c r="AG21" i="12"/>
  <c r="G17" i="12"/>
  <c r="Y46" i="12"/>
  <c r="L38" i="13" s="1"/>
  <c r="Y41" i="12"/>
  <c r="L33" i="13" s="1"/>
  <c r="Y39" i="12"/>
  <c r="L31" i="13" s="1"/>
  <c r="M13" i="12"/>
  <c r="F5" i="13" s="1"/>
  <c r="S33" i="12"/>
  <c r="I25" i="13" s="1"/>
  <c r="S43" i="12"/>
  <c r="I35" i="13" s="1"/>
  <c r="S30" i="12"/>
  <c r="I22" i="13" s="1"/>
  <c r="S36" i="12"/>
  <c r="I28" i="13" s="1"/>
  <c r="AG14" i="12"/>
  <c r="M28" i="12"/>
  <c r="F20" i="13" s="1"/>
  <c r="M31" i="12"/>
  <c r="F23" i="13" s="1"/>
  <c r="AE39" i="12"/>
  <c r="O31" i="13" s="1"/>
  <c r="AE35" i="12"/>
  <c r="O27" i="13" s="1"/>
  <c r="AE26" i="12"/>
  <c r="O18" i="13" s="1"/>
  <c r="Y36" i="12"/>
  <c r="L28" i="13" s="1"/>
  <c r="S12" i="12"/>
  <c r="S22" i="12"/>
  <c r="I14" i="13" s="1"/>
  <c r="S15" i="12"/>
  <c r="I7" i="13" s="1"/>
  <c r="S39" i="12"/>
  <c r="I31" i="13" s="1"/>
  <c r="M27" i="12"/>
  <c r="F19" i="13" s="1"/>
  <c r="M38" i="12"/>
  <c r="F30" i="13" s="1"/>
  <c r="M23" i="12"/>
  <c r="F15" i="13" s="1"/>
  <c r="M34" i="12"/>
  <c r="F26" i="13" s="1"/>
  <c r="AE30" i="12"/>
  <c r="Y34" i="12"/>
  <c r="L26" i="13" s="1"/>
  <c r="Y45" i="6"/>
  <c r="M37" i="13" s="1"/>
  <c r="G27" i="6"/>
  <c r="D19" i="13" s="1"/>
  <c r="M12" i="6"/>
  <c r="G4" i="13" s="1"/>
  <c r="M41" i="6"/>
  <c r="G33" i="13" s="1"/>
  <c r="G14" i="6"/>
  <c r="D6" i="13" s="1"/>
  <c r="AE28" i="6"/>
  <c r="P20" i="13" s="1"/>
  <c r="G28" i="6"/>
  <c r="D20" i="13" s="1"/>
  <c r="G34" i="6"/>
  <c r="D26" i="13" s="1"/>
  <c r="AE34" i="6"/>
  <c r="P26" i="13" s="1"/>
  <c r="Y43" i="6"/>
  <c r="M35" i="13" s="1"/>
  <c r="Y37" i="6"/>
  <c r="M29" i="13" s="1"/>
  <c r="S22" i="6"/>
  <c r="J14" i="13" s="1"/>
  <c r="Y24" i="6"/>
  <c r="M16" i="13" s="1"/>
  <c r="G37" i="6"/>
  <c r="D29" i="13" s="1"/>
  <c r="S13" i="6"/>
  <c r="J5" i="13" s="1"/>
  <c r="Y26" i="6"/>
  <c r="M18" i="13" s="1"/>
  <c r="AE32" i="6"/>
  <c r="P24" i="13" s="1"/>
  <c r="S16" i="6"/>
  <c r="J8" i="13" s="1"/>
  <c r="S43" i="6"/>
  <c r="J35" i="13" s="1"/>
  <c r="Y11" i="6"/>
  <c r="M3" i="13" s="1"/>
  <c r="S27" i="6"/>
  <c r="J19" i="13" s="1"/>
  <c r="M25" i="6"/>
  <c r="G17" i="13" s="1"/>
  <c r="S28" i="6"/>
  <c r="J20" i="13" s="1"/>
  <c r="Y19" i="6"/>
  <c r="M11" i="13" s="1"/>
  <c r="Y12" i="6"/>
  <c r="M4" i="13" s="1"/>
  <c r="Y18" i="6"/>
  <c r="M10" i="13" s="1"/>
  <c r="Y46" i="6"/>
  <c r="M38" i="13" s="1"/>
  <c r="AE18" i="6"/>
  <c r="P10" i="13" s="1"/>
  <c r="AE25" i="6"/>
  <c r="P17" i="13" s="1"/>
  <c r="M27" i="6"/>
  <c r="G19" i="13" s="1"/>
  <c r="AE16" i="6"/>
  <c r="P8" i="13" s="1"/>
  <c r="S36" i="6"/>
  <c r="J28" i="13" s="1"/>
  <c r="M13" i="6"/>
  <c r="G5" i="13" s="1"/>
  <c r="M40" i="6"/>
  <c r="G32" i="13" s="1"/>
  <c r="M11" i="6"/>
  <c r="G3" i="13" s="1"/>
  <c r="G25" i="6"/>
  <c r="D17" i="13" s="1"/>
  <c r="G12" i="6"/>
  <c r="D4" i="13" s="1"/>
  <c r="G46" i="6"/>
  <c r="D38" i="13" s="1"/>
  <c r="M37" i="6"/>
  <c r="G29" i="13" s="1"/>
  <c r="S12" i="6"/>
  <c r="J4" i="13" s="1"/>
  <c r="G15" i="6"/>
  <c r="D7" i="13" s="1"/>
  <c r="M20" i="6"/>
  <c r="G12" i="13" s="1"/>
  <c r="AE13" i="6"/>
  <c r="P5" i="13" s="1"/>
  <c r="M32" i="6"/>
  <c r="G24" i="13" s="1"/>
  <c r="S45" i="6"/>
  <c r="J37" i="13" s="1"/>
  <c r="G24" i="6"/>
  <c r="D16" i="13" s="1"/>
  <c r="S35" i="6"/>
  <c r="J27" i="13" s="1"/>
  <c r="Y22" i="6"/>
  <c r="M14" i="13" s="1"/>
  <c r="AE11" i="6"/>
  <c r="P3" i="13" s="1"/>
  <c r="S14" i="6"/>
  <c r="J6" i="13" s="1"/>
  <c r="K6" i="13" s="1"/>
  <c r="S29" i="6"/>
  <c r="J21" i="13" s="1"/>
  <c r="M31" i="6"/>
  <c r="G23" i="13" s="1"/>
  <c r="S39" i="6"/>
  <c r="J31" i="13" s="1"/>
  <c r="AE12" i="6"/>
  <c r="P4" i="13" s="1"/>
  <c r="S18" i="6"/>
  <c r="J10" i="13" s="1"/>
  <c r="Y17" i="6"/>
  <c r="M9" i="13" s="1"/>
  <c r="AE14" i="6"/>
  <c r="P6" i="13" s="1"/>
  <c r="M14" i="6"/>
  <c r="G6" i="13" s="1"/>
  <c r="M44" i="6"/>
  <c r="G36" i="13" s="1"/>
  <c r="S26" i="6"/>
  <c r="J18" i="13" s="1"/>
  <c r="AE21" i="6"/>
  <c r="P13" i="13" s="1"/>
  <c r="M45" i="6"/>
  <c r="G37" i="13" s="1"/>
  <c r="S21" i="6"/>
  <c r="J13" i="13" s="1"/>
  <c r="M16" i="6"/>
  <c r="G8" i="13" s="1"/>
  <c r="AE29" i="6"/>
  <c r="P21" i="13" s="1"/>
  <c r="S33" i="6"/>
  <c r="J25" i="13" s="1"/>
  <c r="G21" i="6"/>
  <c r="D13" i="13" s="1"/>
  <c r="S30" i="6"/>
  <c r="J22" i="13" s="1"/>
  <c r="M23" i="6"/>
  <c r="G15" i="13" s="1"/>
  <c r="AG30" i="6"/>
  <c r="AE31" i="6"/>
  <c r="P23" i="13" s="1"/>
  <c r="M26" i="6"/>
  <c r="G18" i="13" s="1"/>
  <c r="Y39" i="6"/>
  <c r="M31" i="13" s="1"/>
  <c r="Y41" i="6"/>
  <c r="M33" i="13" s="1"/>
  <c r="M38" i="6"/>
  <c r="G30" i="13" s="1"/>
  <c r="S41" i="6"/>
  <c r="J33" i="13" s="1"/>
  <c r="M30" i="6"/>
  <c r="G22" i="13" s="1"/>
  <c r="S11" i="6"/>
  <c r="J3" i="13" s="1"/>
  <c r="M34" i="6"/>
  <c r="G26" i="13" s="1"/>
  <c r="AE30" i="6"/>
  <c r="P22" i="13" s="1"/>
  <c r="AG16" i="6"/>
  <c r="Y29" i="6"/>
  <c r="M21" i="13" s="1"/>
  <c r="AG45" i="6"/>
  <c r="S44" i="6"/>
  <c r="J36" i="13" s="1"/>
  <c r="AG26" i="6"/>
  <c r="AE20" i="6"/>
  <c r="P12" i="13" s="1"/>
  <c r="Y31" i="6"/>
  <c r="M23" i="13" s="1"/>
  <c r="Y44" i="6"/>
  <c r="M36" i="13" s="1"/>
  <c r="S23" i="6"/>
  <c r="J15" i="13" s="1"/>
  <c r="S40" i="6"/>
  <c r="J32" i="13" s="1"/>
  <c r="G30" i="6"/>
  <c r="D22" i="13" s="1"/>
  <c r="S17" i="6"/>
  <c r="J9" i="13" s="1"/>
  <c r="Y23" i="6"/>
  <c r="M15" i="13" s="1"/>
  <c r="G13" i="6"/>
  <c r="D5" i="13" s="1"/>
  <c r="Y21" i="6"/>
  <c r="M13" i="13" s="1"/>
  <c r="Y20" i="6"/>
  <c r="M12" i="13" s="1"/>
  <c r="AE46" i="6"/>
  <c r="P38" i="13" s="1"/>
  <c r="AE23" i="6"/>
  <c r="P15" i="13" s="1"/>
  <c r="Y42" i="6"/>
  <c r="M34" i="13" s="1"/>
  <c r="Y40" i="6"/>
  <c r="M32" i="13" s="1"/>
  <c r="AE27" i="6"/>
  <c r="P19" i="13" s="1"/>
  <c r="Y25" i="6"/>
  <c r="M17" i="13" s="1"/>
  <c r="G20" i="6"/>
  <c r="D12" i="13" s="1"/>
  <c r="AE38" i="6"/>
  <c r="P30" i="13" s="1"/>
  <c r="AE40" i="6"/>
  <c r="P32" i="13" s="1"/>
  <c r="AE24" i="6"/>
  <c r="P16" i="13" s="1"/>
  <c r="AE36" i="6"/>
  <c r="P28" i="13" s="1"/>
  <c r="M42" i="6"/>
  <c r="G34" i="13" s="1"/>
  <c r="S15" i="6"/>
  <c r="J7" i="13" s="1"/>
  <c r="Y15" i="6"/>
  <c r="M7" i="13" s="1"/>
  <c r="M19" i="6"/>
  <c r="G11" i="13" s="1"/>
  <c r="M15" i="6"/>
  <c r="G7" i="13" s="1"/>
  <c r="S32" i="6"/>
  <c r="J24" i="13" s="1"/>
  <c r="M24" i="6"/>
  <c r="G16" i="13" s="1"/>
  <c r="G31" i="6"/>
  <c r="D23" i="13" s="1"/>
  <c r="G23" i="6"/>
  <c r="D15" i="13" s="1"/>
  <c r="G43" i="6"/>
  <c r="D35" i="13" s="1"/>
  <c r="AE37" i="6"/>
  <c r="P29" i="13" s="1"/>
  <c r="AG39" i="6"/>
  <c r="AG44" i="6"/>
  <c r="AG18" i="6"/>
  <c r="AG38" i="6"/>
  <c r="AG32" i="6"/>
  <c r="AG17" i="6"/>
  <c r="G44" i="6"/>
  <c r="D36" i="13" s="1"/>
  <c r="AG46" i="6"/>
  <c r="AG12" i="6"/>
  <c r="AG29" i="6"/>
  <c r="AG14" i="6"/>
  <c r="AG20" i="6"/>
  <c r="AG35" i="6"/>
  <c r="AG24" i="6"/>
  <c r="G32" i="6"/>
  <c r="D24" i="13" s="1"/>
  <c r="AG28" i="6"/>
  <c r="AG34" i="6"/>
  <c r="AG13" i="6"/>
  <c r="AG21" i="6"/>
  <c r="G16" i="6"/>
  <c r="D8" i="13" s="1"/>
  <c r="AG11" i="6"/>
  <c r="AG19" i="6"/>
  <c r="AG40" i="6"/>
  <c r="AG37" i="6"/>
  <c r="AG22" i="6"/>
  <c r="G26" i="6"/>
  <c r="D18" i="13" s="1"/>
  <c r="G38" i="6"/>
  <c r="D30" i="13" s="1"/>
  <c r="G35" i="6"/>
  <c r="D27" i="13" s="1"/>
  <c r="AG33" i="6"/>
  <c r="AG41" i="6"/>
  <c r="AG36" i="6"/>
  <c r="G36" i="6"/>
  <c r="D28" i="13" s="1"/>
  <c r="AG43" i="6"/>
  <c r="G40" i="6"/>
  <c r="D32" i="13" s="1"/>
  <c r="G45" i="6"/>
  <c r="D37" i="13" s="1"/>
  <c r="AG15" i="6"/>
  <c r="AG27" i="6"/>
  <c r="AG25" i="6"/>
  <c r="G11" i="6"/>
  <c r="D3" i="13" s="1"/>
  <c r="G18" i="6"/>
  <c r="D10" i="13" s="1"/>
  <c r="G39" i="6"/>
  <c r="D31" i="13" s="1"/>
  <c r="G22" i="6"/>
  <c r="D14" i="13" s="1"/>
  <c r="E14" i="13" s="1"/>
  <c r="AG31" i="6"/>
  <c r="AG23" i="6"/>
  <c r="AG42" i="6"/>
  <c r="Q18" i="13" l="1"/>
  <c r="AB16" i="16"/>
  <c r="AA17" i="16"/>
  <c r="B14" i="19"/>
  <c r="AB17" i="16"/>
  <c r="Y41" i="15"/>
  <c r="V40" i="15"/>
  <c r="AA16" i="16"/>
  <c r="W41" i="15"/>
  <c r="X41" i="15"/>
  <c r="V41" i="15"/>
  <c r="X40" i="15"/>
  <c r="W40" i="15"/>
  <c r="Y40" i="15"/>
  <c r="V5" i="15"/>
  <c r="U5" i="15"/>
  <c r="Q2" i="14"/>
  <c r="Q4" i="14" s="1"/>
  <c r="R2" i="14"/>
  <c r="R3" i="14"/>
  <c r="X5" i="15"/>
  <c r="W5" i="15"/>
  <c r="K5" i="13"/>
  <c r="Q13" i="13"/>
  <c r="Z44" i="20"/>
  <c r="AH23" i="20"/>
  <c r="Z45" i="20"/>
  <c r="AF27" i="20"/>
  <c r="Z39" i="20"/>
  <c r="Z43" i="20"/>
  <c r="Z30" i="20"/>
  <c r="T28" i="20"/>
  <c r="AH44" i="20"/>
  <c r="H28" i="20"/>
  <c r="AF22" i="20"/>
  <c r="AH30" i="20"/>
  <c r="H27" i="20"/>
  <c r="H45" i="20"/>
  <c r="Z32" i="20"/>
  <c r="T29" i="20"/>
  <c r="AH41" i="20"/>
  <c r="AH45" i="20"/>
  <c r="Z46" i="20"/>
  <c r="AH31" i="20"/>
  <c r="AH33" i="20"/>
  <c r="Z37" i="20"/>
  <c r="H24" i="20"/>
  <c r="H25" i="20"/>
  <c r="AF46" i="20"/>
  <c r="N24" i="20"/>
  <c r="AH38" i="20"/>
  <c r="H30" i="20"/>
  <c r="H44" i="20"/>
  <c r="AF24" i="20"/>
  <c r="T26" i="20"/>
  <c r="H40" i="20"/>
  <c r="AF37" i="20"/>
  <c r="H22" i="20"/>
  <c r="AH40" i="20"/>
  <c r="T25" i="20"/>
  <c r="H23" i="20"/>
  <c r="Z33" i="20"/>
  <c r="H37" i="20"/>
  <c r="AH42" i="20"/>
  <c r="T24" i="20"/>
  <c r="AF35" i="20"/>
  <c r="AH29" i="20"/>
  <c r="AF43" i="20"/>
  <c r="AF40" i="20"/>
  <c r="N40" i="20"/>
  <c r="AF29" i="20"/>
  <c r="H46" i="20"/>
  <c r="N25" i="20"/>
  <c r="AF25" i="20"/>
  <c r="H29" i="20"/>
  <c r="Z27" i="20"/>
  <c r="AF45" i="20"/>
  <c r="Z24" i="20"/>
  <c r="Z28" i="20"/>
  <c r="AH46" i="20"/>
  <c r="Z42" i="20"/>
  <c r="H42" i="20"/>
  <c r="N22" i="20"/>
  <c r="N36" i="20"/>
  <c r="AF23" i="20"/>
  <c r="T22" i="20"/>
  <c r="T27" i="20"/>
  <c r="AH37" i="20"/>
  <c r="Z29" i="20"/>
  <c r="Q9" i="13"/>
  <c r="T45" i="20"/>
  <c r="T46" i="20"/>
  <c r="T43" i="20"/>
  <c r="T44" i="20"/>
  <c r="T41" i="20"/>
  <c r="AH27" i="20"/>
  <c r="H33" i="20"/>
  <c r="AH22" i="20"/>
  <c r="H43" i="20"/>
  <c r="AH25" i="20"/>
  <c r="T23" i="20"/>
  <c r="N31" i="20"/>
  <c r="N38" i="20"/>
  <c r="H26" i="20"/>
  <c r="N32" i="20"/>
  <c r="AH36" i="20"/>
  <c r="Z35" i="20"/>
  <c r="AH24" i="20"/>
  <c r="AH34" i="20"/>
  <c r="Z26" i="20"/>
  <c r="Z25" i="20"/>
  <c r="N23" i="20"/>
  <c r="Z34" i="20"/>
  <c r="H41" i="20"/>
  <c r="Z41" i="20"/>
  <c r="AF41" i="20"/>
  <c r="AF38" i="20"/>
  <c r="T39" i="20"/>
  <c r="N27" i="20"/>
  <c r="N39" i="20"/>
  <c r="T35" i="20"/>
  <c r="H39" i="20"/>
  <c r="Z22" i="20"/>
  <c r="AF28" i="20"/>
  <c r="N37" i="20"/>
  <c r="AH43" i="20"/>
  <c r="N26" i="20"/>
  <c r="AH32" i="20"/>
  <c r="AH35" i="20"/>
  <c r="H38" i="20"/>
  <c r="H31" i="20"/>
  <c r="AF26" i="20"/>
  <c r="T33" i="20"/>
  <c r="T34" i="20"/>
  <c r="N35" i="20"/>
  <c r="AF36" i="20"/>
  <c r="AF39" i="20"/>
  <c r="T40" i="20"/>
  <c r="N44" i="20"/>
  <c r="N29" i="20"/>
  <c r="AF44" i="20"/>
  <c r="H34" i="20"/>
  <c r="Z36" i="20"/>
  <c r="H32" i="20"/>
  <c r="AF33" i="20"/>
  <c r="AF32" i="20"/>
  <c r="AH39" i="20"/>
  <c r="T38" i="20"/>
  <c r="AH28" i="20"/>
  <c r="AF30" i="20"/>
  <c r="AH26" i="20"/>
  <c r="N33" i="20"/>
  <c r="N45" i="20"/>
  <c r="N43" i="20"/>
  <c r="N34" i="20"/>
  <c r="T37" i="20"/>
  <c r="AF31" i="20"/>
  <c r="AF34" i="20"/>
  <c r="N42" i="20"/>
  <c r="T36" i="20"/>
  <c r="T31" i="20"/>
  <c r="T42" i="20"/>
  <c r="Z40" i="20"/>
  <c r="Z31" i="20"/>
  <c r="N28" i="20"/>
  <c r="N30" i="20"/>
  <c r="H36" i="20"/>
  <c r="Z38" i="20"/>
  <c r="AF42" i="20"/>
  <c r="H35" i="20"/>
  <c r="T30" i="20"/>
  <c r="Z23" i="20"/>
  <c r="N46" i="20"/>
  <c r="T32" i="20"/>
  <c r="N41" i="20"/>
  <c r="Q35" i="13"/>
  <c r="K11" i="13"/>
  <c r="H20" i="13"/>
  <c r="H9" i="13"/>
  <c r="E34" i="13"/>
  <c r="N24" i="13"/>
  <c r="K26" i="13"/>
  <c r="H11" i="13"/>
  <c r="K10" i="13"/>
  <c r="N25" i="13"/>
  <c r="E16" i="13"/>
  <c r="K29" i="13"/>
  <c r="Q19" i="13"/>
  <c r="K30" i="13"/>
  <c r="E15" i="13"/>
  <c r="E17" i="13"/>
  <c r="H28" i="13"/>
  <c r="E11" i="13"/>
  <c r="N26" i="13"/>
  <c r="E33" i="13"/>
  <c r="Q16" i="13"/>
  <c r="N8" i="13"/>
  <c r="E36" i="13"/>
  <c r="K34" i="13"/>
  <c r="H6" i="13"/>
  <c r="K33" i="13"/>
  <c r="K17" i="13"/>
  <c r="N27" i="13"/>
  <c r="H27" i="13"/>
  <c r="N5" i="13"/>
  <c r="H19" i="13"/>
  <c r="Q36" i="13"/>
  <c r="N30" i="13"/>
  <c r="E24" i="13"/>
  <c r="N32" i="13"/>
  <c r="H25" i="13"/>
  <c r="E3" i="13"/>
  <c r="Q21" i="13"/>
  <c r="H10" i="13"/>
  <c r="Q34" i="13"/>
  <c r="N19" i="13"/>
  <c r="Q25" i="13"/>
  <c r="E29" i="13"/>
  <c r="Q20" i="13"/>
  <c r="H31" i="13"/>
  <c r="H38" i="13"/>
  <c r="H15" i="13"/>
  <c r="K35" i="13"/>
  <c r="E13" i="13"/>
  <c r="E10" i="13"/>
  <c r="H3" i="13"/>
  <c r="E37" i="13"/>
  <c r="H17" i="13"/>
  <c r="K38" i="13"/>
  <c r="K23" i="13"/>
  <c r="H33" i="13"/>
  <c r="K13" i="13"/>
  <c r="K25" i="13"/>
  <c r="Q14" i="13"/>
  <c r="N29" i="13"/>
  <c r="H29" i="13"/>
  <c r="K16" i="13"/>
  <c r="K36" i="13"/>
  <c r="K20" i="13"/>
  <c r="N14" i="13"/>
  <c r="H30" i="13"/>
  <c r="E4" i="13"/>
  <c r="K37" i="13"/>
  <c r="H24" i="13"/>
  <c r="H36" i="13"/>
  <c r="E30" i="13"/>
  <c r="K21" i="13"/>
  <c r="K31" i="13"/>
  <c r="H23" i="13"/>
  <c r="N31" i="13"/>
  <c r="E23" i="13"/>
  <c r="N33" i="13"/>
  <c r="N21" i="13"/>
  <c r="Q10" i="13"/>
  <c r="K24" i="13"/>
  <c r="Q38" i="13"/>
  <c r="Q5" i="13"/>
  <c r="Q17" i="13"/>
  <c r="K14" i="13"/>
  <c r="N38" i="13"/>
  <c r="Q15" i="13"/>
  <c r="N3" i="13"/>
  <c r="Q32" i="13"/>
  <c r="N20" i="13"/>
  <c r="Q24" i="13"/>
  <c r="Q29" i="13"/>
  <c r="K8" i="13"/>
  <c r="N17" i="13"/>
  <c r="E12" i="13"/>
  <c r="H31" i="12"/>
  <c r="N10" i="13"/>
  <c r="N4" i="13"/>
  <c r="N23" i="13"/>
  <c r="T22" i="12"/>
  <c r="I3" i="13"/>
  <c r="K3" i="13" s="1"/>
  <c r="N46" i="12"/>
  <c r="F35" i="13"/>
  <c r="H35" i="13" s="1"/>
  <c r="E32" i="13"/>
  <c r="Q31" i="13"/>
  <c r="Q30" i="13"/>
  <c r="E25" i="13"/>
  <c r="K7" i="13"/>
  <c r="H22" i="13"/>
  <c r="Q7" i="13"/>
  <c r="N11" i="13"/>
  <c r="H34" i="13"/>
  <c r="N34" i="13"/>
  <c r="H32" i="13"/>
  <c r="K19" i="13"/>
  <c r="Q23" i="13"/>
  <c r="N12" i="13"/>
  <c r="H13" i="13"/>
  <c r="Q26" i="13"/>
  <c r="H37" i="13"/>
  <c r="AH44" i="12"/>
  <c r="Q3" i="13"/>
  <c r="Z30" i="12"/>
  <c r="L13" i="13"/>
  <c r="N13" i="13" s="1"/>
  <c r="E6" i="13"/>
  <c r="AH33" i="12"/>
  <c r="N36" i="13"/>
  <c r="AF23" i="12"/>
  <c r="O4" i="13"/>
  <c r="Q4" i="13" s="1"/>
  <c r="N38" i="12"/>
  <c r="AF41" i="12"/>
  <c r="O22" i="13"/>
  <c r="Q22" i="13" s="1"/>
  <c r="T23" i="12"/>
  <c r="I4" i="13"/>
  <c r="K4" i="13" s="1"/>
  <c r="K28" i="13"/>
  <c r="H28" i="12"/>
  <c r="C9" i="13"/>
  <c r="E9" i="13" s="1"/>
  <c r="T34" i="12"/>
  <c r="I15" i="13"/>
  <c r="K15" i="13" s="1"/>
  <c r="E8" i="13"/>
  <c r="Q33" i="13"/>
  <c r="K27" i="13"/>
  <c r="N33" i="12"/>
  <c r="F14" i="13"/>
  <c r="H14" i="13" s="1"/>
  <c r="Q28" i="13"/>
  <c r="H35" i="12"/>
  <c r="C27" i="13"/>
  <c r="E27" i="13" s="1"/>
  <c r="H12" i="13"/>
  <c r="E38" i="13"/>
  <c r="Q11" i="13"/>
  <c r="E5" i="13"/>
  <c r="H18" i="13"/>
  <c r="Z33" i="12"/>
  <c r="L18" i="13"/>
  <c r="N18" i="13" s="1"/>
  <c r="E28" i="13"/>
  <c r="Z40" i="12"/>
  <c r="L22" i="13"/>
  <c r="N22" i="13" s="1"/>
  <c r="Q12" i="13"/>
  <c r="AH33" i="6"/>
  <c r="Q27" i="13"/>
  <c r="H8" i="13"/>
  <c r="E31" i="13"/>
  <c r="Z34" i="12"/>
  <c r="L16" i="13"/>
  <c r="N16" i="13" s="1"/>
  <c r="H21" i="13"/>
  <c r="H41" i="12"/>
  <c r="H5" i="13"/>
  <c r="K12" i="13"/>
  <c r="N37" i="13"/>
  <c r="E7" i="13"/>
  <c r="E26" i="13"/>
  <c r="E19" i="13"/>
  <c r="K9" i="13"/>
  <c r="N7" i="13"/>
  <c r="N9" i="13"/>
  <c r="E35" i="13"/>
  <c r="N15" i="13"/>
  <c r="E21" i="13"/>
  <c r="H26" i="13"/>
  <c r="N28" i="13"/>
  <c r="K22" i="13"/>
  <c r="AH30" i="12"/>
  <c r="K32" i="13"/>
  <c r="N6" i="13"/>
  <c r="Q6" i="13"/>
  <c r="K18" i="13"/>
  <c r="H7" i="13"/>
  <c r="E22" i="13"/>
  <c r="H16" i="13"/>
  <c r="Q37" i="13"/>
  <c r="E20" i="13"/>
  <c r="H4" i="13"/>
  <c r="Q8" i="13"/>
  <c r="H33" i="12"/>
  <c r="C18" i="13"/>
  <c r="E18" i="13" s="1"/>
  <c r="N35" i="13"/>
  <c r="AH40" i="12"/>
  <c r="H26" i="12"/>
  <c r="T45" i="12"/>
  <c r="N31" i="12"/>
  <c r="AF30" i="12"/>
  <c r="Z27" i="12"/>
  <c r="AF22" i="12"/>
  <c r="AH46" i="12"/>
  <c r="H27" i="12"/>
  <c r="AF32" i="12"/>
  <c r="H22" i="12"/>
  <c r="Z37" i="12"/>
  <c r="Z26" i="12"/>
  <c r="N45" i="12"/>
  <c r="Z24" i="12"/>
  <c r="H40" i="12"/>
  <c r="N35" i="12"/>
  <c r="AH34" i="12"/>
  <c r="H38" i="12"/>
  <c r="N23" i="12"/>
  <c r="AF25" i="12"/>
  <c r="Z31" i="12"/>
  <c r="Z32" i="12"/>
  <c r="AF34" i="12"/>
  <c r="Z41" i="12"/>
  <c r="H32" i="12"/>
  <c r="H29" i="12"/>
  <c r="N22" i="12"/>
  <c r="AH23" i="12"/>
  <c r="Z28" i="12"/>
  <c r="Z29" i="12"/>
  <c r="AH22" i="12"/>
  <c r="AH39" i="12"/>
  <c r="AF28" i="12"/>
  <c r="N26" i="12"/>
  <c r="N25" i="12"/>
  <c r="T29" i="12"/>
  <c r="Z43" i="12"/>
  <c r="AH24" i="12"/>
  <c r="N34" i="12"/>
  <c r="AH38" i="6"/>
  <c r="AH44" i="6"/>
  <c r="AH22" i="6"/>
  <c r="AH46" i="6"/>
  <c r="AH43" i="6"/>
  <c r="AH32" i="12"/>
  <c r="AH28" i="12"/>
  <c r="AH35" i="12"/>
  <c r="T28" i="12"/>
  <c r="AH45" i="12"/>
  <c r="AH36" i="12"/>
  <c r="N29" i="12"/>
  <c r="AH42" i="12"/>
  <c r="H25" i="12"/>
  <c r="H36" i="12"/>
  <c r="AF39" i="12"/>
  <c r="T26" i="12"/>
  <c r="T40" i="12"/>
  <c r="AH41" i="6"/>
  <c r="AH25" i="12"/>
  <c r="H23" i="12"/>
  <c r="H24" i="12"/>
  <c r="AH31" i="12"/>
  <c r="H46" i="12"/>
  <c r="AF31" i="12"/>
  <c r="T41" i="12"/>
  <c r="AF37" i="12"/>
  <c r="T31" i="12"/>
  <c r="H44" i="12"/>
  <c r="N36" i="12"/>
  <c r="Z46" i="12"/>
  <c r="AH36" i="6"/>
  <c r="AH30" i="6"/>
  <c r="AH35" i="6"/>
  <c r="AH28" i="6"/>
  <c r="Z25" i="12"/>
  <c r="AF29" i="12"/>
  <c r="H30" i="12"/>
  <c r="AF36" i="12"/>
  <c r="AF46" i="12"/>
  <c r="AH34" i="6"/>
  <c r="AH26" i="6"/>
  <c r="AH31" i="6"/>
  <c r="H39" i="12"/>
  <c r="N28" i="12"/>
  <c r="AH37" i="12"/>
  <c r="H45" i="12"/>
  <c r="N39" i="12"/>
  <c r="N30" i="12"/>
  <c r="Z42" i="12"/>
  <c r="AH27" i="12"/>
  <c r="H34" i="12"/>
  <c r="N40" i="12"/>
  <c r="AF26" i="12"/>
  <c r="Z23" i="12"/>
  <c r="AF44" i="12"/>
  <c r="T39" i="12"/>
  <c r="AF24" i="12"/>
  <c r="AF40" i="12"/>
  <c r="AH45" i="6"/>
  <c r="AH23" i="6"/>
  <c r="T46" i="12"/>
  <c r="AH39" i="6"/>
  <c r="AF35" i="12"/>
  <c r="AH37" i="6"/>
  <c r="H43" i="12"/>
  <c r="AH29" i="12"/>
  <c r="N42" i="12"/>
  <c r="AH26" i="12"/>
  <c r="AF33" i="12"/>
  <c r="T44" i="12"/>
  <c r="T30" i="12"/>
  <c r="T35" i="12"/>
  <c r="AF43" i="12"/>
  <c r="AH42" i="6"/>
  <c r="AH32" i="6"/>
  <c r="AH25" i="6"/>
  <c r="AH29" i="6"/>
  <c r="AH27" i="6"/>
  <c r="AH38" i="12"/>
  <c r="Z35" i="12"/>
  <c r="Z39" i="12"/>
  <c r="H37" i="12"/>
  <c r="N27" i="12"/>
  <c r="H42" i="12"/>
  <c r="AH43" i="12"/>
  <c r="T43" i="12"/>
  <c r="T36" i="12"/>
  <c r="Z22" i="12"/>
  <c r="AF38" i="12"/>
  <c r="Z25" i="6"/>
  <c r="AF27" i="12"/>
  <c r="N24" i="12"/>
  <c r="T37" i="12"/>
  <c r="AF45" i="12"/>
  <c r="N44" i="12"/>
  <c r="N41" i="12"/>
  <c r="T24" i="12"/>
  <c r="T25" i="12"/>
  <c r="AH24" i="6"/>
  <c r="AH40" i="6"/>
  <c r="T27" i="12"/>
  <c r="AH41" i="12"/>
  <c r="Z38" i="12"/>
  <c r="Z36" i="12"/>
  <c r="N37" i="12"/>
  <c r="N43" i="12"/>
  <c r="Z45" i="12"/>
  <c r="T33" i="12"/>
  <c r="Z44" i="12"/>
  <c r="T38" i="12"/>
  <c r="AF42" i="12"/>
  <c r="N32" i="12"/>
  <c r="T32" i="12"/>
  <c r="T42" i="12"/>
  <c r="N43" i="6"/>
  <c r="N23" i="6"/>
  <c r="Z44" i="6"/>
  <c r="N32" i="6"/>
  <c r="AF39" i="6"/>
  <c r="Z36" i="6"/>
  <c r="AF25" i="6"/>
  <c r="Z28" i="6"/>
  <c r="Z32" i="6"/>
  <c r="H23" i="6"/>
  <c r="T25" i="6"/>
  <c r="AF38" i="6"/>
  <c r="N38" i="6"/>
  <c r="Z24" i="6"/>
  <c r="T22" i="6"/>
  <c r="Z45" i="6"/>
  <c r="T28" i="6"/>
  <c r="N37" i="6"/>
  <c r="H25" i="6"/>
  <c r="AF46" i="6"/>
  <c r="AF32" i="6"/>
  <c r="N33" i="6"/>
  <c r="AF35" i="6"/>
  <c r="AF34" i="6"/>
  <c r="T46" i="6"/>
  <c r="Z40" i="6"/>
  <c r="Z46" i="6"/>
  <c r="T37" i="6"/>
  <c r="T43" i="6"/>
  <c r="T26" i="6"/>
  <c r="Z43" i="6"/>
  <c r="H45" i="6"/>
  <c r="Z23" i="6"/>
  <c r="T27" i="6"/>
  <c r="AF45" i="6"/>
  <c r="N46" i="6"/>
  <c r="T41" i="6"/>
  <c r="AF24" i="6"/>
  <c r="N26" i="6"/>
  <c r="AF44" i="6"/>
  <c r="Z22" i="6"/>
  <c r="AF37" i="6"/>
  <c r="N36" i="6"/>
  <c r="N22" i="6"/>
  <c r="Z37" i="6"/>
  <c r="AF42" i="6"/>
  <c r="N39" i="6"/>
  <c r="AF23" i="6"/>
  <c r="N28" i="6"/>
  <c r="T39" i="6"/>
  <c r="T42" i="6"/>
  <c r="AF33" i="6"/>
  <c r="AF27" i="6"/>
  <c r="N25" i="6"/>
  <c r="N29" i="6"/>
  <c r="N35" i="6"/>
  <c r="T44" i="6"/>
  <c r="T23" i="6"/>
  <c r="Z41" i="6"/>
  <c r="T24" i="6"/>
  <c r="N45" i="6"/>
  <c r="T31" i="6"/>
  <c r="N44" i="6"/>
  <c r="N30" i="6"/>
  <c r="Z42" i="6"/>
  <c r="AF40" i="6"/>
  <c r="Z38" i="6"/>
  <c r="Z39" i="6"/>
  <c r="Z35" i="6"/>
  <c r="T40" i="6"/>
  <c r="T29" i="6"/>
  <c r="N40" i="6"/>
  <c r="T45" i="6"/>
  <c r="T30" i="6"/>
  <c r="N42" i="6"/>
  <c r="N27" i="6"/>
  <c r="T35" i="6"/>
  <c r="H33" i="6"/>
  <c r="AF22" i="6"/>
  <c r="T33" i="6"/>
  <c r="Z26" i="6"/>
  <c r="N41" i="6"/>
  <c r="Z27" i="6"/>
  <c r="T32" i="6"/>
  <c r="N31" i="6"/>
  <c r="T34" i="6"/>
  <c r="N24" i="6"/>
  <c r="AF30" i="6"/>
  <c r="T36" i="6"/>
  <c r="AF31" i="6"/>
  <c r="AF41" i="6"/>
  <c r="H24" i="6"/>
  <c r="Z33" i="6"/>
  <c r="AF28" i="6"/>
  <c r="AF29" i="6"/>
  <c r="N34" i="6"/>
  <c r="AF26" i="6"/>
  <c r="AF36" i="6"/>
  <c r="Z31" i="6"/>
  <c r="Z30" i="6"/>
  <c r="T38" i="6"/>
  <c r="AF43" i="6"/>
  <c r="Z29" i="6"/>
  <c r="Z34" i="6"/>
  <c r="H44" i="6"/>
  <c r="H43" i="6"/>
  <c r="H34" i="6"/>
  <c r="H29" i="6"/>
  <c r="H38" i="6"/>
  <c r="H22" i="6"/>
  <c r="H46" i="6"/>
  <c r="H28" i="6"/>
  <c r="H30" i="6"/>
  <c r="H31" i="6"/>
  <c r="H35" i="6"/>
  <c r="H42" i="6"/>
  <c r="H41" i="6"/>
  <c r="H27" i="6"/>
  <c r="H39" i="6"/>
  <c r="H37" i="6"/>
  <c r="H26" i="6"/>
  <c r="H40" i="6"/>
  <c r="H32" i="6"/>
  <c r="H36" i="6"/>
  <c r="AC16" i="16" l="1"/>
  <c r="AC17" i="16"/>
  <c r="Y3" i="13"/>
  <c r="U4" i="13"/>
  <c r="Y4" i="13"/>
  <c r="W5" i="13"/>
  <c r="U3" i="13"/>
  <c r="V5" i="13"/>
  <c r="X3" i="13"/>
  <c r="V4" i="13"/>
  <c r="W3" i="13"/>
  <c r="X5" i="13"/>
  <c r="R4" i="14"/>
  <c r="Y5" i="13"/>
  <c r="V3" i="13"/>
  <c r="X4" i="13"/>
  <c r="U5" i="13"/>
  <c r="W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2973AD-53E5-4610-B771-E7B8D5D266D3}" keepAlive="1" name="Query - sales_data" description="Connection to the 'sales_data' query in the workbook." type="5" refreshedVersion="8" background="1" saveData="1">
    <dbPr connection="Provider=Microsoft.Mashup.OleDb.1;Data Source=$Workbook$;Location=sales_data;Extended Properties=&quot;&quot;" command="SELECT * FROM [sales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<sst xmlns="http://schemas.openxmlformats.org/spreadsheetml/2006/main" count="40101" uniqueCount="527">
  <si>
    <t>Product_ID</t>
  </si>
  <si>
    <t>Sale_Date</t>
  </si>
  <si>
    <t>Sales_Rep</t>
  </si>
  <si>
    <t>Region</t>
  </si>
  <si>
    <t>Sales_Amount</t>
  </si>
  <si>
    <t>Quantity_Sold</t>
  </si>
  <si>
    <t>Product_Category</t>
  </si>
  <si>
    <t>Unit_Cost</t>
  </si>
  <si>
    <t>Unit_Price</t>
  </si>
  <si>
    <t>Customer_Type</t>
  </si>
  <si>
    <t>Discount</t>
  </si>
  <si>
    <t>Payment_Method</t>
  </si>
  <si>
    <t>Sales_Channel</t>
  </si>
  <si>
    <t>Region_and_Sales_Rep</t>
  </si>
  <si>
    <t>Bob</t>
  </si>
  <si>
    <t>North</t>
  </si>
  <si>
    <t>Furniture</t>
  </si>
  <si>
    <t>Returning</t>
  </si>
  <si>
    <t>Cash</t>
  </si>
  <si>
    <t>Online</t>
  </si>
  <si>
    <t>West</t>
  </si>
  <si>
    <t>Retail</t>
  </si>
  <si>
    <t>David</t>
  </si>
  <si>
    <t>South</t>
  </si>
  <si>
    <t>Food</t>
  </si>
  <si>
    <t>Bank Transfer</t>
  </si>
  <si>
    <t>Clothing</t>
  </si>
  <si>
    <t>New</t>
  </si>
  <si>
    <t>Credit Card</t>
  </si>
  <si>
    <t>Charlie</t>
  </si>
  <si>
    <t>East</t>
  </si>
  <si>
    <t>Electronics</t>
  </si>
  <si>
    <t>Eve</t>
  </si>
  <si>
    <t>Alice</t>
  </si>
  <si>
    <t>Row Labels</t>
  </si>
  <si>
    <t>Grand Total</t>
  </si>
  <si>
    <t>new_product_id</t>
  </si>
  <si>
    <t>id</t>
  </si>
  <si>
    <t>product_category</t>
  </si>
  <si>
    <t>fnt</t>
  </si>
  <si>
    <t>fd</t>
  </si>
  <si>
    <t>ctg</t>
  </si>
  <si>
    <t>etc</t>
  </si>
  <si>
    <t>month</t>
  </si>
  <si>
    <t>Year</t>
  </si>
  <si>
    <t>Jan</t>
  </si>
  <si>
    <t>Feb</t>
  </si>
  <si>
    <t>Mar</t>
  </si>
  <si>
    <t>Apr</t>
  </si>
  <si>
    <t>May</t>
  </si>
  <si>
    <t>Jun</t>
  </si>
  <si>
    <t>Jul</t>
  </si>
  <si>
    <t>Aug</t>
  </si>
  <si>
    <t>Sep</t>
  </si>
  <si>
    <t>Oct</t>
  </si>
  <si>
    <t>Nov</t>
  </si>
  <si>
    <t>Dec</t>
  </si>
  <si>
    <t>Month</t>
  </si>
  <si>
    <t>Total</t>
  </si>
  <si>
    <t>2023</t>
  </si>
  <si>
    <t>2022</t>
  </si>
  <si>
    <t>AMA (Alice)</t>
  </si>
  <si>
    <t>AMA (Bob)</t>
  </si>
  <si>
    <t>AMA (Charlie)</t>
  </si>
  <si>
    <t>AMA (David)</t>
  </si>
  <si>
    <t>AMA (Eve)</t>
  </si>
  <si>
    <t>AMA</t>
  </si>
  <si>
    <t>Total Sale Amount</t>
  </si>
  <si>
    <t>Total Qty</t>
  </si>
  <si>
    <t>Avg Sale Value</t>
  </si>
  <si>
    <t>Sales_amount</t>
  </si>
  <si>
    <t>Qty</t>
  </si>
  <si>
    <t>Profit_Margin</t>
  </si>
  <si>
    <t>AMA West</t>
  </si>
  <si>
    <t>AMA South</t>
  </si>
  <si>
    <t>AMA East</t>
  </si>
  <si>
    <t>AMA North</t>
  </si>
  <si>
    <t>Profit</t>
  </si>
  <si>
    <t>Discount (%)</t>
  </si>
  <si>
    <t>No Discount</t>
  </si>
  <si>
    <t>Avg_Sale_Amount</t>
  </si>
  <si>
    <t>Avg_Profit</t>
  </si>
  <si>
    <t>Revenue</t>
  </si>
  <si>
    <t>Avg_Revenue</t>
  </si>
  <si>
    <t>Column Labels</t>
  </si>
  <si>
    <t>Sum of Quantity_Sold</t>
  </si>
  <si>
    <t>AMA Clothing</t>
  </si>
  <si>
    <t>AMA Electronics</t>
  </si>
  <si>
    <t>AMA Food</t>
  </si>
  <si>
    <t>AMA Furniture</t>
  </si>
  <si>
    <t>Average of Unit_Price</t>
  </si>
  <si>
    <t>Average of Unit_Cost</t>
  </si>
  <si>
    <t>Effective Units Sold</t>
  </si>
  <si>
    <t>Actual Units Sold</t>
  </si>
  <si>
    <t>Average Profit (Discount)</t>
  </si>
  <si>
    <t>Average Profit (No Discount)</t>
  </si>
  <si>
    <t xml:space="preserve"> Returning</t>
  </si>
  <si>
    <t>Sum of Profit_Margin</t>
  </si>
  <si>
    <t>Eve-South</t>
  </si>
  <si>
    <t>Charlie-East</t>
  </si>
  <si>
    <t>Eve-West</t>
  </si>
  <si>
    <t>Bob-North</t>
  </si>
  <si>
    <t>Alice-North</t>
  </si>
  <si>
    <t>Eve-North</t>
  </si>
  <si>
    <t>David-East</t>
  </si>
  <si>
    <t>Charlie-North</t>
  </si>
  <si>
    <t>Bob-East</t>
  </si>
  <si>
    <t>Alice-West</t>
  </si>
  <si>
    <t>Charlie-South</t>
  </si>
  <si>
    <t>Alice-South</t>
  </si>
  <si>
    <t>David-North</t>
  </si>
  <si>
    <t>David-South</t>
  </si>
  <si>
    <t>Bob-West</t>
  </si>
  <si>
    <t>Charlie-West</t>
  </si>
  <si>
    <t>Alice-East</t>
  </si>
  <si>
    <t>David-West</t>
  </si>
  <si>
    <t>Bob-South</t>
  </si>
  <si>
    <t>Eve-East</t>
  </si>
  <si>
    <t>fnt-1042</t>
  </si>
  <si>
    <t>ctg-1092</t>
  </si>
  <si>
    <t>etc-1063</t>
  </si>
  <si>
    <t>fd-1027</t>
  </si>
  <si>
    <t>etc-1053</t>
  </si>
  <si>
    <t>fnt-1085</t>
  </si>
  <si>
    <t>fnt-1038</t>
  </si>
  <si>
    <t>fd-1025</t>
  </si>
  <si>
    <t>fnt-1001</t>
  </si>
  <si>
    <t>fd-1076</t>
  </si>
  <si>
    <t>etc-1093</t>
  </si>
  <si>
    <t>ctg-1085</t>
  </si>
  <si>
    <t>etc-1007</t>
  </si>
  <si>
    <t>etc-1037</t>
  </si>
  <si>
    <t>fd-1091</t>
  </si>
  <si>
    <t>fnt-1013</t>
  </si>
  <si>
    <t>ctg-1099</t>
  </si>
  <si>
    <t>ctg-1074</t>
  </si>
  <si>
    <t>fnt-1062</t>
  </si>
  <si>
    <t>fd-1075</t>
  </si>
  <si>
    <t>etc-1094</t>
  </si>
  <si>
    <t>etc-1078</t>
  </si>
  <si>
    <t>etc-1079</t>
  </si>
  <si>
    <t>ctg-1086</t>
  </si>
  <si>
    <t>ctg-1041</t>
  </si>
  <si>
    <t>ctg-1088</t>
  </si>
  <si>
    <t>fd-1089</t>
  </si>
  <si>
    <t>fnt-1096</t>
  </si>
  <si>
    <t>fnt-1075</t>
  </si>
  <si>
    <t>fnt-1010</t>
  </si>
  <si>
    <t>fd-1098</t>
  </si>
  <si>
    <t>fnt-1050</t>
  </si>
  <si>
    <t>fd-1019</t>
  </si>
  <si>
    <t>ctg-1063</t>
  </si>
  <si>
    <t>etc-1085</t>
  </si>
  <si>
    <t>fnt-1077</t>
  </si>
  <si>
    <t>etc-1091</t>
  </si>
  <si>
    <t>ctg-1090</t>
  </si>
  <si>
    <t>etc-1021</t>
  </si>
  <si>
    <t>fd-1009</t>
  </si>
  <si>
    <t>ctg-1095</t>
  </si>
  <si>
    <t>ctg-1057</t>
  </si>
  <si>
    <t>ctg-1097</t>
  </si>
  <si>
    <t>fd-1005</t>
  </si>
  <si>
    <t>ctg-1050</t>
  </si>
  <si>
    <t>ctg-1040</t>
  </si>
  <si>
    <t>fnt-1097</t>
  </si>
  <si>
    <t>fd-1073</t>
  </si>
  <si>
    <t>fd-1020</t>
  </si>
  <si>
    <t>etc-1080</t>
  </si>
  <si>
    <t>ctg-1026</t>
  </si>
  <si>
    <t>fnt-1094</t>
  </si>
  <si>
    <t>ctg-1052</t>
  </si>
  <si>
    <t>fnt-1002</t>
  </si>
  <si>
    <t>fnt-1025</t>
  </si>
  <si>
    <t>fd-1090</t>
  </si>
  <si>
    <t>etc-1070</t>
  </si>
  <si>
    <t>ctg-1081</t>
  </si>
  <si>
    <t>fd-1042</t>
  </si>
  <si>
    <t>ctg-1024</t>
  </si>
  <si>
    <t>ctg-1091</t>
  </si>
  <si>
    <t>fd-1084</t>
  </si>
  <si>
    <t>fnt-1070</t>
  </si>
  <si>
    <t>ctg-1019</t>
  </si>
  <si>
    <t>ctg-1084</t>
  </si>
  <si>
    <t>fd-1010</t>
  </si>
  <si>
    <t>fd-1003</t>
  </si>
  <si>
    <t>fnt-1079</t>
  </si>
  <si>
    <t>etc-1020</t>
  </si>
  <si>
    <t>fd-1044</t>
  </si>
  <si>
    <t>fd-1006</t>
  </si>
  <si>
    <t>etc-1065</t>
  </si>
  <si>
    <t>ctg-1043</t>
  </si>
  <si>
    <t>fd-1040</t>
  </si>
  <si>
    <t>fd-1035</t>
  </si>
  <si>
    <t>fnt-1017</t>
  </si>
  <si>
    <t>fnt-1035</t>
  </si>
  <si>
    <t>etc-1055</t>
  </si>
  <si>
    <t>ctg-1068</t>
  </si>
  <si>
    <t>fd-1022</t>
  </si>
  <si>
    <t>etc-1074</t>
  </si>
  <si>
    <t>ctg-1006</t>
  </si>
  <si>
    <t>fd-1086</t>
  </si>
  <si>
    <t>fnt-1088</t>
  </si>
  <si>
    <t>ctg-1062</t>
  </si>
  <si>
    <t>etc-1081</t>
  </si>
  <si>
    <t>etc-1052</t>
  </si>
  <si>
    <t>fnt-1086</t>
  </si>
  <si>
    <t>fd-1064</t>
  </si>
  <si>
    <t>fd-1047</t>
  </si>
  <si>
    <t>etc-1012</t>
  </si>
  <si>
    <t>fnt-1015</t>
  </si>
  <si>
    <t>fnt-1036</t>
  </si>
  <si>
    <t>fnt-1037</t>
  </si>
  <si>
    <t>etc-1095</t>
  </si>
  <si>
    <t>ctg-1008</t>
  </si>
  <si>
    <t>etc-1088</t>
  </si>
  <si>
    <t>etc-1036</t>
  </si>
  <si>
    <t>fnt-1014</t>
  </si>
  <si>
    <t>fnt-1033</t>
  </si>
  <si>
    <t>fd-1083</t>
  </si>
  <si>
    <t>ctg-1056</t>
  </si>
  <si>
    <t>etc-1004</t>
  </si>
  <si>
    <t>fnt-1084</t>
  </si>
  <si>
    <t>fnt-1003</t>
  </si>
  <si>
    <t>fnt-1039</t>
  </si>
  <si>
    <t>etc-1098</t>
  </si>
  <si>
    <t>fnt-1074</t>
  </si>
  <si>
    <t>fd-1077</t>
  </si>
  <si>
    <t>etc-1062</t>
  </si>
  <si>
    <t>fnt-1021</t>
  </si>
  <si>
    <t>fnt-1089</t>
  </si>
  <si>
    <t>etc-1082</t>
  </si>
  <si>
    <t>etc-1039</t>
  </si>
  <si>
    <t>etc-1049</t>
  </si>
  <si>
    <t>ctg-1013</t>
  </si>
  <si>
    <t>fnt-1022</t>
  </si>
  <si>
    <t>fd-1039</t>
  </si>
  <si>
    <t>fd-1051</t>
  </si>
  <si>
    <t>etc-1067</t>
  </si>
  <si>
    <t>ctg-1035</t>
  </si>
  <si>
    <t>ctg-1045</t>
  </si>
  <si>
    <t>fnt-1099</t>
  </si>
  <si>
    <t>etc-1084</t>
  </si>
  <si>
    <t>etc-1073</t>
  </si>
  <si>
    <t>fd-1014</t>
  </si>
  <si>
    <t>ctg-1064</t>
  </si>
  <si>
    <t>ctg-1098</t>
  </si>
  <si>
    <t>fnt-1008</t>
  </si>
  <si>
    <t>ctg-1076</t>
  </si>
  <si>
    <t>etc-1014</t>
  </si>
  <si>
    <t>fnt-1083</t>
  </si>
  <si>
    <t>etc-1010</t>
  </si>
  <si>
    <t>fnt-1012</t>
  </si>
  <si>
    <t>fnt-1023</t>
  </si>
  <si>
    <t>fd-1031</t>
  </si>
  <si>
    <t>fnt-1056</t>
  </si>
  <si>
    <t>etc-1047</t>
  </si>
  <si>
    <t>etc-1042</t>
  </si>
  <si>
    <t>fd-1034</t>
  </si>
  <si>
    <t>fd-1024</t>
  </si>
  <si>
    <t>etc-1059</t>
  </si>
  <si>
    <t>etc-1076</t>
  </si>
  <si>
    <t>fnt-1041</t>
  </si>
  <si>
    <t>fd-1015</t>
  </si>
  <si>
    <t>etc-1056</t>
  </si>
  <si>
    <t>ctg-1029</t>
  </si>
  <si>
    <t>ctg-1015</t>
  </si>
  <si>
    <t>fnt-1032</t>
  </si>
  <si>
    <t>ctg-1075</t>
  </si>
  <si>
    <t>ctg-1046</t>
  </si>
  <si>
    <t>fd-1032</t>
  </si>
  <si>
    <t>fd-1029</t>
  </si>
  <si>
    <t>fnt-1071</t>
  </si>
  <si>
    <t>ctg-1100</t>
  </si>
  <si>
    <t>ctg-1025</t>
  </si>
  <si>
    <t>fd-1088</t>
  </si>
  <si>
    <t>ctg-1049</t>
  </si>
  <si>
    <t>fd-1074</t>
  </si>
  <si>
    <t>etc-1090</t>
  </si>
  <si>
    <t>ctg-1066</t>
  </si>
  <si>
    <t>fnt-1093</t>
  </si>
  <si>
    <t>etc-1008</t>
  </si>
  <si>
    <t>etc-1071</t>
  </si>
  <si>
    <t>etc-1068</t>
  </si>
  <si>
    <t>ctg-1010</t>
  </si>
  <si>
    <t>fd-1038</t>
  </si>
  <si>
    <t>ctg-1017</t>
  </si>
  <si>
    <t>fd-1099</t>
  </si>
  <si>
    <t>fnt-1040</t>
  </si>
  <si>
    <t>etc-1075</t>
  </si>
  <si>
    <t>fd-1028</t>
  </si>
  <si>
    <t>etc-1077</t>
  </si>
  <si>
    <t>fd-1008</t>
  </si>
  <si>
    <t>etc-1097</t>
  </si>
  <si>
    <t>fd-1041</t>
  </si>
  <si>
    <t>ctg-1021</t>
  </si>
  <si>
    <t>fnt-1019</t>
  </si>
  <si>
    <t>etc-1061</t>
  </si>
  <si>
    <t>ctg-1096</t>
  </si>
  <si>
    <t>ctg-1093</t>
  </si>
  <si>
    <t>fnt-1034</t>
  </si>
  <si>
    <t>etc-1027</t>
  </si>
  <si>
    <t>fnt-1082</t>
  </si>
  <si>
    <t>fd-1069</t>
  </si>
  <si>
    <t>ctg-1034</t>
  </si>
  <si>
    <t>ctg-1071</t>
  </si>
  <si>
    <t>ctg-1014</t>
  </si>
  <si>
    <t>etc-1058</t>
  </si>
  <si>
    <t>fd-1013</t>
  </si>
  <si>
    <t>fnt-1065</t>
  </si>
  <si>
    <t>ctg-1067</t>
  </si>
  <si>
    <t>ctg-1007</t>
  </si>
  <si>
    <t>etc-1016</t>
  </si>
  <si>
    <t>etc-1087</t>
  </si>
  <si>
    <t>fd-1030</t>
  </si>
  <si>
    <t>fd-1096</t>
  </si>
  <si>
    <t>fnt-1026</t>
  </si>
  <si>
    <t>etc-1100</t>
  </si>
  <si>
    <t>fnt-1031</t>
  </si>
  <si>
    <t>etc-1064</t>
  </si>
  <si>
    <t>fnt-1061</t>
  </si>
  <si>
    <t>fd-1033</t>
  </si>
  <si>
    <t>fnt-1029</t>
  </si>
  <si>
    <t>fd-1049</t>
  </si>
  <si>
    <t>fnt-1007</t>
  </si>
  <si>
    <t>etc-1029</t>
  </si>
  <si>
    <t>fnt-1024</t>
  </si>
  <si>
    <t>fnt-1057</t>
  </si>
  <si>
    <t>fnt-1044</t>
  </si>
  <si>
    <t>ctg-1069</t>
  </si>
  <si>
    <t>fnt-1004</t>
  </si>
  <si>
    <t>fd-1001</t>
  </si>
  <si>
    <t>fnt-1051</t>
  </si>
  <si>
    <t>etc-1089</t>
  </si>
  <si>
    <t>etc-1019</t>
  </si>
  <si>
    <t>etc-1057</t>
  </si>
  <si>
    <t>fnt-1078</t>
  </si>
  <si>
    <t>ctg-1005</t>
  </si>
  <si>
    <t>ctg-1018</t>
  </si>
  <si>
    <t>ctg-1033</t>
  </si>
  <si>
    <t>fd-1007</t>
  </si>
  <si>
    <t>fd-1058</t>
  </si>
  <si>
    <t>ctg-1011</t>
  </si>
  <si>
    <t>etc-1031</t>
  </si>
  <si>
    <t>ctg-1038</t>
  </si>
  <si>
    <t>fnt-1027</t>
  </si>
  <si>
    <t>etc-1083</t>
  </si>
  <si>
    <t>etc-1050</t>
  </si>
  <si>
    <t>fnt-1059</t>
  </si>
  <si>
    <t>fd-1094</t>
  </si>
  <si>
    <t>etc-1013</t>
  </si>
  <si>
    <t>fd-1057</t>
  </si>
  <si>
    <t>ctg-1053</t>
  </si>
  <si>
    <t>fd-1085</t>
  </si>
  <si>
    <t>ctg-1020</t>
  </si>
  <si>
    <t>etc-1011</t>
  </si>
  <si>
    <t>fd-1011</t>
  </si>
  <si>
    <t>fd-1071</t>
  </si>
  <si>
    <t>fd-1045</t>
  </si>
  <si>
    <t>fd-1080</t>
  </si>
  <si>
    <t>ctg-1044</t>
  </si>
  <si>
    <t>ctg-1036</t>
  </si>
  <si>
    <t>etc-1009</t>
  </si>
  <si>
    <t>fd-1079</t>
  </si>
  <si>
    <t>etc-1060</t>
  </si>
  <si>
    <t>fnt-1081</t>
  </si>
  <si>
    <t>fnt-1064</t>
  </si>
  <si>
    <t>etc-1022</t>
  </si>
  <si>
    <t>fd-1072</t>
  </si>
  <si>
    <t>fd-1081</t>
  </si>
  <si>
    <t>fd-1054</t>
  </si>
  <si>
    <t>ctg-1054</t>
  </si>
  <si>
    <t>etc-1005</t>
  </si>
  <si>
    <t>fd-1050</t>
  </si>
  <si>
    <t>etc-1038</t>
  </si>
  <si>
    <t>etc-1034</t>
  </si>
  <si>
    <t>etc-1072</t>
  </si>
  <si>
    <t>fd-1087</t>
  </si>
  <si>
    <t>fnt-1016</t>
  </si>
  <si>
    <t>ctg-1004</t>
  </si>
  <si>
    <t>etc-1046</t>
  </si>
  <si>
    <t>ctg-1002</t>
  </si>
  <si>
    <t>fnt-1046</t>
  </si>
  <si>
    <t>ctg-1073</t>
  </si>
  <si>
    <t>fnt-1053</t>
  </si>
  <si>
    <t>etc-1045</t>
  </si>
  <si>
    <t>fnt-1067</t>
  </si>
  <si>
    <t>fd-1078</t>
  </si>
  <si>
    <t>ctg-1027</t>
  </si>
  <si>
    <t>ctg-1016</t>
  </si>
  <si>
    <t>ctg-1079</t>
  </si>
  <si>
    <t>fnt-1045</t>
  </si>
  <si>
    <t>etc-1043</t>
  </si>
  <si>
    <t>fd-1043</t>
  </si>
  <si>
    <t>etc-1015</t>
  </si>
  <si>
    <t>fnt-1009</t>
  </si>
  <si>
    <t>ctg-1039</t>
  </si>
  <si>
    <t>ctg-1077</t>
  </si>
  <si>
    <t>fnt-1073</t>
  </si>
  <si>
    <t>fnt-1048</t>
  </si>
  <si>
    <t>etc-1051</t>
  </si>
  <si>
    <t>fd-1062</t>
  </si>
  <si>
    <t>ctg-1082</t>
  </si>
  <si>
    <t>etc-1033</t>
  </si>
  <si>
    <t>fnt-1095</t>
  </si>
  <si>
    <t>fd-1046</t>
  </si>
  <si>
    <t>fnt-1047</t>
  </si>
  <si>
    <t>etc-1099</t>
  </si>
  <si>
    <t>ctg-1058</t>
  </si>
  <si>
    <t>etc-1024</t>
  </si>
  <si>
    <t>fd-1063</t>
  </si>
  <si>
    <t>ctg-1001</t>
  </si>
  <si>
    <t>fd-1026</t>
  </si>
  <si>
    <t>ctg-1048</t>
  </si>
  <si>
    <t>ctg-1028</t>
  </si>
  <si>
    <t>fd-1012</t>
  </si>
  <si>
    <t>fnt-1049</t>
  </si>
  <si>
    <t>fnt-1090</t>
  </si>
  <si>
    <t>fnt-1006</t>
  </si>
  <si>
    <t>fnt-1005</t>
  </si>
  <si>
    <t>fd-1036</t>
  </si>
  <si>
    <t>etc-1069</t>
  </si>
  <si>
    <t>etc-1018</t>
  </si>
  <si>
    <t>fd-1060</t>
  </si>
  <si>
    <t>fd-1016</t>
  </si>
  <si>
    <t>fd-1097</t>
  </si>
  <si>
    <t>fnt-1068</t>
  </si>
  <si>
    <t>ctg-1078</t>
  </si>
  <si>
    <t>fd-1053</t>
  </si>
  <si>
    <t>fd-1065</t>
  </si>
  <si>
    <t>ctg-1032</t>
  </si>
  <si>
    <t>fd-1055</t>
  </si>
  <si>
    <t>fnt-1092</t>
  </si>
  <si>
    <t>etc-1026</t>
  </si>
  <si>
    <t>etc-1001</t>
  </si>
  <si>
    <t>fnt-1091</t>
  </si>
  <si>
    <t>ctg-1003</t>
  </si>
  <si>
    <t>ctg-1070</t>
  </si>
  <si>
    <t>fd-1093</t>
  </si>
  <si>
    <t>fnt-1018</t>
  </si>
  <si>
    <t>fnt-1076</t>
  </si>
  <si>
    <t>ctg-1080</t>
  </si>
  <si>
    <t>fd-1095</t>
  </si>
  <si>
    <t>etc-1092</t>
  </si>
  <si>
    <t>fnt-1072</t>
  </si>
  <si>
    <t>fnt-1098</t>
  </si>
  <si>
    <t>ctg-1051</t>
  </si>
  <si>
    <t>ctg-1087</t>
  </si>
  <si>
    <t>ctg-1059</t>
  </si>
  <si>
    <t>fd-1017</t>
  </si>
  <si>
    <t>fd-1067</t>
  </si>
  <si>
    <t>etc-1028</t>
  </si>
  <si>
    <t>fnt-1052</t>
  </si>
  <si>
    <t>fd-1004</t>
  </si>
  <si>
    <t>etc-1002</t>
  </si>
  <si>
    <t>ctg-1094</t>
  </si>
  <si>
    <t>fnt-1069</t>
  </si>
  <si>
    <t>etc-1086</t>
  </si>
  <si>
    <t>etc-1096</t>
  </si>
  <si>
    <t>etc-1030</t>
  </si>
  <si>
    <t>fnt-1020</t>
  </si>
  <si>
    <t>fnt-1054</t>
  </si>
  <si>
    <t>fd-1100</t>
  </si>
  <si>
    <t>etc-1040</t>
  </si>
  <si>
    <t>fnt-1058</t>
  </si>
  <si>
    <t>fd-1066</t>
  </si>
  <si>
    <t>etc-1006</t>
  </si>
  <si>
    <t>ctg-1089</t>
  </si>
  <si>
    <t>fnt-1080</t>
  </si>
  <si>
    <t>fnt-1100</t>
  </si>
  <si>
    <t>etc-1054</t>
  </si>
  <si>
    <t>ctg-1072</t>
  </si>
  <si>
    <t>fd-1056</t>
  </si>
  <si>
    <t>etc-1048</t>
  </si>
  <si>
    <t>ctg-1009</t>
  </si>
  <si>
    <t>ctg-1022</t>
  </si>
  <si>
    <t>etc-1044</t>
  </si>
  <si>
    <t>fd-1070</t>
  </si>
  <si>
    <t>ctg-1031</t>
  </si>
  <si>
    <t>fd-1082</t>
  </si>
  <si>
    <t>etc-1023</t>
  </si>
  <si>
    <t>etc-1066</t>
  </si>
  <si>
    <t>fd-1061</t>
  </si>
  <si>
    <t>fd-1048</t>
  </si>
  <si>
    <t>ctg-1037</t>
  </si>
  <si>
    <t>ctg-1060</t>
  </si>
  <si>
    <t>etc-1003</t>
  </si>
  <si>
    <t>fd-1002</t>
  </si>
  <si>
    <t>fnt-1060</t>
  </si>
  <si>
    <t>fd-1092</t>
  </si>
  <si>
    <t>ctg-1030</t>
  </si>
  <si>
    <t>fnt-1087</t>
  </si>
  <si>
    <t>ctg-1023</t>
  </si>
  <si>
    <t>ctg-1065</t>
  </si>
  <si>
    <t>fd-1037</t>
  </si>
  <si>
    <t>etc-1017</t>
  </si>
  <si>
    <t>ctg-1083</t>
  </si>
  <si>
    <t>fd-1018</t>
  </si>
  <si>
    <t>fnt-1030</t>
  </si>
  <si>
    <t>fd-1021</t>
  </si>
  <si>
    <t>etc-1025</t>
  </si>
  <si>
    <t>etc-1041</t>
  </si>
  <si>
    <t>fd-1023</t>
  </si>
  <si>
    <t>etc-1035</t>
  </si>
  <si>
    <t>ctg-1061</t>
  </si>
  <si>
    <t>etc-1032</t>
  </si>
  <si>
    <t>fnt-1011</t>
  </si>
  <si>
    <t>fd-1059</t>
  </si>
  <si>
    <t>ctg-1047</t>
  </si>
  <si>
    <t>fd-1052</t>
  </si>
  <si>
    <t>fnt-1055</t>
  </si>
  <si>
    <t>fnt-1028</t>
  </si>
  <si>
    <t>ctg-1012</t>
  </si>
  <si>
    <t>fnt-1066</t>
  </si>
  <si>
    <t>ctg-1055</t>
  </si>
  <si>
    <t>fd-1068</t>
  </si>
  <si>
    <t>ctg-1042</t>
  </si>
  <si>
    <t>fnt-1063</t>
  </si>
  <si>
    <t>fnt-1043</t>
  </si>
  <si>
    <t>Top Product</t>
  </si>
  <si>
    <t>Profit Margin</t>
  </si>
  <si>
    <t>Top Products</t>
  </si>
  <si>
    <t>Index</t>
  </si>
  <si>
    <t>QA_Check</t>
  </si>
  <si>
    <t>Average Discount Rate</t>
  </si>
  <si>
    <t>% Change in profit</t>
  </si>
  <si>
    <t>Difference</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</si>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</sst>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quot;£&quot;#,##0.00"/>
    <numFmt numFmtId="165" formatCode="0.0"/>
    <numFmt numFmtId="166" formatCode=";;;"/>
  </numFmts>
  <fonts count="5" x14ac:knownFonts="1">
    <font>
      <sz val="11"/>
      <color theme="1"/>
      <name val="Aptos Narrow"/>
      <family val="2"/>
      <scheme val="minor"/>
    </font>
    <font>
      <b/>
      <sz val="11"/>
      <color theme="1"/>
      <name val="Aptos Narrow"/>
      <family val="2"/>
      <scheme val="minor"/>
    </font>
    <font>
      <sz val="8"/>
      <name val="Aptos Narrow"/>
      <family val="2"/>
      <scheme val="minor"/>
    </font>
    <font>
      <b/>
      <sz val="11"/>
      <color theme="0"/>
      <name val="Aptos Narrow"/>
      <family val="2"/>
      <scheme val="minor"/>
    </font>
    <font>
      <sz val="11"/>
      <color theme="1"/>
      <name val="Aptos Narrow"/>
      <family val="2"/>
      <scheme val="minor"/>
    </font>
  </fonts>
  <fills count="12">
    <fill>
      <patternFill patternType="none"/>
    </fill>
    <fill>
      <patternFill patternType="gray125"/>
    </fill>
    <fill>
      <patternFill patternType="solid">
        <fgColor rgb="FFFFFF00"/>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
      <patternFill patternType="solid">
        <fgColor rgb="FFC00000"/>
        <bgColor indexed="64"/>
      </patternFill>
    </fill>
    <fill>
      <patternFill patternType="solid">
        <fgColor theme="3" tint="9.9978637043366805E-2"/>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9" fontId="4" fillId="0" borderId="0" applyFont="0" applyFill="0" applyBorder="0" applyAlignment="0" applyProtection="0"/>
  </cellStyleXfs>
  <cellXfs count="10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horizontal="left"/>
    </xf>
    <xf numFmtId="0" fontId="0" fillId="0" borderId="1" xfId="0" applyBorder="1"/>
    <xf numFmtId="0" fontId="1" fillId="0" borderId="1" xfId="0" applyFont="1" applyBorder="1"/>
    <xf numFmtId="0" fontId="0" fillId="2" borderId="1" xfId="0" applyFill="1" applyBorder="1"/>
    <xf numFmtId="14" fontId="0" fillId="0" borderId="1" xfId="0" applyNumberFormat="1" applyBorder="1"/>
    <xf numFmtId="0" fontId="0" fillId="0" borderId="4" xfId="0" applyBorder="1"/>
    <xf numFmtId="0" fontId="0" fillId="0" borderId="6" xfId="0" applyBorder="1"/>
    <xf numFmtId="0" fontId="0" fillId="2" borderId="7" xfId="0" applyFill="1" applyBorder="1"/>
    <xf numFmtId="0" fontId="0" fillId="0" borderId="7" xfId="0" applyBorder="1"/>
    <xf numFmtId="0" fontId="0" fillId="0" borderId="9" xfId="0" applyBorder="1"/>
    <xf numFmtId="0" fontId="0" fillId="2" borderId="10" xfId="0" applyFill="1" applyBorder="1"/>
    <xf numFmtId="0" fontId="1" fillId="0" borderId="0" xfId="0" applyFont="1"/>
    <xf numFmtId="49" fontId="0" fillId="0" borderId="0" xfId="0" applyNumberFormat="1"/>
    <xf numFmtId="49" fontId="0" fillId="0" borderId="1" xfId="0" applyNumberFormat="1" applyBorder="1"/>
    <xf numFmtId="14" fontId="0" fillId="0" borderId="10" xfId="0" applyNumberFormat="1" applyBorder="1"/>
    <xf numFmtId="2" fontId="0" fillId="0" borderId="1" xfId="0" applyNumberFormat="1" applyBorder="1"/>
    <xf numFmtId="0" fontId="0" fillId="0" borderId="10" xfId="0" applyBorder="1" applyAlignment="1">
      <alignment horizontal="left"/>
    </xf>
    <xf numFmtId="0" fontId="1" fillId="0" borderId="10" xfId="0" applyFont="1" applyBorder="1"/>
    <xf numFmtId="49" fontId="0" fillId="0" borderId="10" xfId="0" applyNumberFormat="1" applyBorder="1"/>
    <xf numFmtId="0" fontId="0" fillId="0" borderId="2" xfId="0" applyBorder="1"/>
    <xf numFmtId="44" fontId="0" fillId="0" borderId="1" xfId="0" applyNumberFormat="1" applyBorder="1"/>
    <xf numFmtId="44" fontId="0" fillId="0" borderId="0" xfId="0" applyNumberFormat="1"/>
    <xf numFmtId="9" fontId="0" fillId="0" borderId="1" xfId="1" applyFont="1" applyBorder="1"/>
    <xf numFmtId="9" fontId="0" fillId="0" borderId="10" xfId="1" applyFont="1" applyBorder="1"/>
    <xf numFmtId="49" fontId="0" fillId="2" borderId="1" xfId="0" applyNumberFormat="1" applyFill="1" applyBorder="1"/>
    <xf numFmtId="49" fontId="0" fillId="2" borderId="10" xfId="0" applyNumberFormat="1" applyFill="1" applyBorder="1"/>
    <xf numFmtId="49" fontId="0" fillId="0" borderId="7" xfId="0" applyNumberFormat="1" applyBorder="1"/>
    <xf numFmtId="44" fontId="0" fillId="0" borderId="10" xfId="0" applyNumberFormat="1" applyBorder="1"/>
    <xf numFmtId="1" fontId="0" fillId="0" borderId="1" xfId="0" applyNumberFormat="1" applyBorder="1"/>
    <xf numFmtId="1" fontId="0" fillId="0" borderId="10" xfId="0" applyNumberFormat="1" applyBorder="1"/>
    <xf numFmtId="44" fontId="0" fillId="2" borderId="1" xfId="0" applyNumberFormat="1" applyFill="1" applyBorder="1"/>
    <xf numFmtId="44" fontId="0" fillId="2" borderId="10" xfId="0" applyNumberFormat="1" applyFill="1" applyBorder="1"/>
    <xf numFmtId="49" fontId="0" fillId="2" borderId="8" xfId="0" applyNumberFormat="1" applyFill="1" applyBorder="1"/>
    <xf numFmtId="164" fontId="0" fillId="0" borderId="1" xfId="0" applyNumberFormat="1" applyBorder="1"/>
    <xf numFmtId="0" fontId="0" fillId="0" borderId="0" xfId="0" applyAlignment="1">
      <alignment horizontal="center"/>
    </xf>
    <xf numFmtId="0" fontId="1" fillId="0" borderId="11" xfId="0" applyFont="1" applyBorder="1"/>
    <xf numFmtId="1" fontId="0" fillId="0" borderId="0" xfId="0" applyNumberFormat="1"/>
    <xf numFmtId="0" fontId="0" fillId="0" borderId="0" xfId="0" applyAlignment="1">
      <alignment horizontal="left" indent="1"/>
    </xf>
    <xf numFmtId="165" fontId="0" fillId="0" borderId="1" xfId="0" applyNumberFormat="1" applyBorder="1"/>
    <xf numFmtId="0" fontId="0" fillId="0" borderId="13" xfId="0" applyBorder="1"/>
    <xf numFmtId="2" fontId="0" fillId="0" borderId="0" xfId="0" applyNumberFormat="1"/>
    <xf numFmtId="0" fontId="1" fillId="10" borderId="1" xfId="0" applyFont="1" applyFill="1" applyBorder="1"/>
    <xf numFmtId="0" fontId="1" fillId="0" borderId="1" xfId="0" applyFont="1" applyBorder="1" applyAlignment="1">
      <alignment horizontal="left"/>
    </xf>
    <xf numFmtId="10" fontId="0" fillId="0" borderId="1" xfId="0" applyNumberFormat="1" applyBorder="1"/>
    <xf numFmtId="166" fontId="0" fillId="0" borderId="0" xfId="0" applyNumberFormat="1"/>
    <xf numFmtId="0" fontId="0" fillId="2" borderId="2" xfId="0" applyFill="1" applyBorder="1"/>
    <xf numFmtId="0" fontId="0" fillId="2" borderId="11" xfId="0" applyFill="1" applyBorder="1"/>
    <xf numFmtId="166" fontId="0" fillId="0" borderId="16" xfId="0" applyNumberFormat="1" applyBorder="1"/>
    <xf numFmtId="166" fontId="0" fillId="0" borderId="17" xfId="0" applyNumberFormat="1" applyBorder="1"/>
    <xf numFmtId="166" fontId="0" fillId="0" borderId="18" xfId="0" applyNumberFormat="1" applyBorder="1"/>
    <xf numFmtId="166" fontId="0" fillId="0" borderId="19" xfId="0" applyNumberFormat="1" applyBorder="1"/>
    <xf numFmtId="166" fontId="0" fillId="0" borderId="20" xfId="0" applyNumberFormat="1" applyBorder="1"/>
    <xf numFmtId="166" fontId="0" fillId="0" borderId="21" xfId="0" applyNumberFormat="1" applyBorder="1"/>
    <xf numFmtId="164" fontId="0" fillId="0" borderId="0" xfId="0" applyNumberFormat="1"/>
    <xf numFmtId="10" fontId="0" fillId="0" borderId="0" xfId="1" applyNumberFormat="1" applyFont="1"/>
    <xf numFmtId="0" fontId="0" fillId="2" borderId="0" xfId="0" applyFill="1"/>
    <xf numFmtId="49" fontId="0" fillId="2" borderId="7" xfId="0" applyNumberFormat="1" applyFill="1" applyBorder="1"/>
    <xf numFmtId="0" fontId="0" fillId="11" borderId="0" xfId="0" applyFill="1"/>
    <xf numFmtId="166" fontId="0" fillId="11" borderId="0" xfId="0" applyNumberFormat="1" applyFill="1"/>
    <xf numFmtId="166" fontId="0" fillId="11" borderId="14" xfId="0" applyNumberFormat="1" applyFill="1" applyBorder="1"/>
    <xf numFmtId="166" fontId="0" fillId="11" borderId="8" xfId="0" applyNumberFormat="1" applyFill="1" applyBorder="1"/>
    <xf numFmtId="166" fontId="0" fillId="11" borderId="5" xfId="0" applyNumberFormat="1" applyFill="1" applyBorder="1"/>
    <xf numFmtId="166" fontId="0" fillId="11" borderId="6" xfId="0" applyNumberFormat="1" applyFill="1" applyBorder="1"/>
    <xf numFmtId="0" fontId="0" fillId="11" borderId="5" xfId="0" applyFill="1" applyBorder="1"/>
    <xf numFmtId="0" fontId="1" fillId="11" borderId="6" xfId="0" applyFont="1" applyFill="1" applyBorder="1"/>
    <xf numFmtId="166" fontId="1" fillId="11" borderId="10" xfId="0" applyNumberFormat="1" applyFont="1" applyFill="1" applyBorder="1"/>
    <xf numFmtId="166" fontId="1" fillId="11" borderId="0" xfId="0" applyNumberFormat="1" applyFont="1" applyFill="1"/>
    <xf numFmtId="166" fontId="0" fillId="11" borderId="11" xfId="0" applyNumberFormat="1" applyFill="1" applyBorder="1"/>
    <xf numFmtId="166" fontId="0" fillId="11" borderId="13" xfId="0" applyNumberFormat="1" applyFill="1" applyBorder="1"/>
    <xf numFmtId="166" fontId="0" fillId="11" borderId="9" xfId="0" applyNumberFormat="1" applyFill="1" applyBorder="1"/>
    <xf numFmtId="166" fontId="1" fillId="11" borderId="15" xfId="0" applyNumberFormat="1" applyFont="1" applyFill="1" applyBorder="1"/>
    <xf numFmtId="166" fontId="0" fillId="11" borderId="12" xfId="0" applyNumberFormat="1" applyFill="1" applyBorder="1"/>
    <xf numFmtId="166" fontId="1" fillId="11" borderId="7" xfId="0" applyNumberFormat="1" applyFont="1" applyFill="1" applyBorder="1"/>
    <xf numFmtId="0" fontId="1" fillId="11" borderId="1" xfId="0" applyFont="1" applyFill="1" applyBorder="1"/>
    <xf numFmtId="10" fontId="0" fillId="0" borderId="1" xfId="1" applyNumberFormat="1" applyFont="1" applyBorder="1"/>
    <xf numFmtId="2" fontId="0" fillId="0" borderId="2" xfId="0" applyNumberFormat="1" applyBorder="1"/>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9" borderId="3" xfId="0" applyFont="1" applyFill="1" applyBorder="1" applyAlignment="1">
      <alignment horizontal="center"/>
    </xf>
    <xf numFmtId="0" fontId="3" fillId="5" borderId="3" xfId="0" applyFont="1" applyFill="1" applyBorder="1" applyAlignment="1">
      <alignment horizontal="center"/>
    </xf>
    <xf numFmtId="0" fontId="3" fillId="5" borderId="4" xfId="0" applyFont="1" applyFill="1" applyBorder="1" applyAlignment="1">
      <alignment horizontal="center"/>
    </xf>
    <xf numFmtId="0" fontId="3" fillId="6" borderId="2" xfId="0" applyFont="1" applyFill="1" applyBorder="1" applyAlignment="1">
      <alignment horizontal="center"/>
    </xf>
    <xf numFmtId="0" fontId="3" fillId="6" borderId="3" xfId="0" applyFont="1" applyFill="1" applyBorder="1" applyAlignment="1">
      <alignment horizontal="center"/>
    </xf>
    <xf numFmtId="0" fontId="3" fillId="6" borderId="4" xfId="0" applyFont="1" applyFill="1" applyBorder="1" applyAlignment="1">
      <alignment horizontal="center"/>
    </xf>
    <xf numFmtId="0" fontId="3" fillId="8" borderId="12" xfId="0" applyFont="1" applyFill="1" applyBorder="1" applyAlignment="1">
      <alignment horizontal="center"/>
    </xf>
    <xf numFmtId="0" fontId="3" fillId="8" borderId="0" xfId="0" applyFont="1" applyFill="1" applyAlignment="1">
      <alignment horizontal="center"/>
    </xf>
    <xf numFmtId="0" fontId="0" fillId="0" borderId="0" xfId="0"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1" xfId="0" applyBorder="1" applyAlignment="1">
      <alignment horizontal="center" vertical="center"/>
    </xf>
    <xf numFmtId="0" fontId="3" fillId="4" borderId="3" xfId="0" applyFont="1" applyFill="1" applyBorder="1" applyAlignment="1">
      <alignment horizontal="center"/>
    </xf>
    <xf numFmtId="0" fontId="3" fillId="7" borderId="12" xfId="0" applyFont="1" applyFill="1" applyBorder="1" applyAlignment="1">
      <alignment horizontal="center"/>
    </xf>
    <xf numFmtId="0" fontId="3" fillId="7" borderId="0" xfId="0" applyFont="1" applyFill="1" applyAlignment="1">
      <alignment horizontal="center"/>
    </xf>
    <xf numFmtId="0" fontId="0" fillId="0" borderId="14" xfId="0"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1" xfId="0" applyFont="1" applyBorder="1" applyAlignment="1">
      <alignment horizontal="center"/>
    </xf>
    <xf numFmtId="44" fontId="0" fillId="0" borderId="2" xfId="0" applyNumberFormat="1" applyBorder="1"/>
    <xf numFmtId="0" fontId="0" fillId="0" borderId="1" xfId="0" applyBorder="1" applyAlignment="1">
      <alignment horizontal="center"/>
    </xf>
  </cellXfs>
  <cellStyles count="2">
    <cellStyle name="Normal" xfId="0" builtinId="0"/>
    <cellStyle name="Per cent" xfId="1" builtinId="5"/>
  </cellStyles>
  <dxfs count="33">
    <dxf>
      <font>
        <color rgb="FF9C0006"/>
      </font>
      <fill>
        <patternFill>
          <bgColor rgb="FFFFC7CE"/>
        </patternFill>
      </fill>
    </dxf>
    <dxf>
      <font>
        <color rgb="FF9C0006"/>
      </font>
      <fill>
        <patternFill>
          <bgColor rgb="FFFFC7CE"/>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border diagonalUp="0" diagonalDown="0">
        <left style="thin">
          <color indexed="64"/>
        </left>
        <right/>
        <top style="thin">
          <color indexed="64"/>
        </top>
        <bottom style="thin">
          <color indexed="64"/>
        </bottom>
      </border>
    </dxf>
    <dxf>
      <numFmt numFmtId="30" formatCode="@"/>
      <border diagonalUp="0" diagonalDown="0" outline="0">
        <left style="thin">
          <color indexed="64"/>
        </left>
        <right style="thin">
          <color indexed="64"/>
        </right>
        <top style="thin">
          <color indexed="64"/>
        </top>
        <bottom style="thin">
          <color indexed="64"/>
        </bottom>
      </border>
    </dxf>
    <dxf>
      <numFmt numFmtId="30" formatCode="@"/>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30" formatCode="@"/>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numFmt numFmtId="34" formatCode="_-&quot;£&quot;* #,##0.00_-;\-&quot;£&quot;* #,##0.00_-;_-&quot;£&quot;* &quot;-&quot;??_-;_-@_-"/>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34" formatCode="_-&quot;£&quot;* #,##0.00_-;\-&quot;£&quot;* #,##0.00_-;_-&quot;£&quot;* &quot;-&quot;??_-;_-@_-"/>
      <border diagonalUp="0" diagonalDown="0" outline="0">
        <left style="thin">
          <color indexed="64"/>
        </left>
        <right style="thin">
          <color indexed="64"/>
        </right>
        <top style="thin">
          <color indexed="64"/>
        </top>
        <bottom style="thin">
          <color indexed="64"/>
        </bottom>
      </border>
    </dxf>
    <dxf>
      <numFmt numFmtId="34" formatCode="_-&quot;£&quot;* #,##0.00_-;\-&quot;£&quot;* #,##0.00_-;_-&quot;£&quot;* &quot;-&quot;??_-;_-@_-"/>
      <border diagonalUp="0" diagonalDown="0" outline="0">
        <left style="thin">
          <color indexed="64"/>
        </left>
        <right style="thin">
          <color indexed="64"/>
        </right>
        <top style="thin">
          <color indexed="64"/>
        </top>
        <bottom style="thin">
          <color indexed="64"/>
        </bottom>
      </border>
    </dxf>
    <dxf>
      <numFmt numFmtId="30" formatCode="@"/>
      <border diagonalUp="0" diagonalDown="0" outline="0">
        <left style="thin">
          <color indexed="64"/>
        </left>
        <right style="thin">
          <color indexed="64"/>
        </right>
        <top style="thin">
          <color indexed="64"/>
        </top>
        <bottom style="thin">
          <color indexed="64"/>
        </bottom>
      </border>
    </dxf>
    <dxf>
      <numFmt numFmtId="1" formatCode="0"/>
      <border diagonalUp="0" diagonalDown="0" outline="0">
        <left style="thin">
          <color indexed="64"/>
        </left>
        <right style="thin">
          <color indexed="64"/>
        </right>
        <top style="thin">
          <color indexed="64"/>
        </top>
        <bottom style="thin">
          <color indexed="64"/>
        </bottom>
      </border>
    </dxf>
    <dxf>
      <numFmt numFmtId="34" formatCode="_-&quot;£&quot;* #,##0.00_-;\-&quot;£&quot;* #,##0.00_-;_-&quot;£&quot;* &quot;-&quot;??_-;_-@_-"/>
      <border diagonalUp="0" diagonalDown="0" outline="0">
        <left style="thin">
          <color indexed="64"/>
        </left>
        <right style="thin">
          <color indexed="64"/>
        </right>
        <top style="thin">
          <color indexed="64"/>
        </top>
        <bottom style="thin">
          <color indexed="64"/>
        </bottom>
      </border>
    </dxf>
    <dxf>
      <numFmt numFmtId="30" formatCode="@"/>
      <border diagonalUp="0" diagonalDown="0" outline="0">
        <left style="thin">
          <color indexed="64"/>
        </left>
        <right style="thin">
          <color indexed="64"/>
        </right>
        <top style="thin">
          <color indexed="64"/>
        </top>
        <bottom style="thin">
          <color indexed="64"/>
        </bottom>
      </border>
    </dxf>
    <dxf>
      <numFmt numFmtId="30" formatCode="@"/>
      <border diagonalUp="0" diagonalDown="0" outline="0">
        <left style="thin">
          <color indexed="64"/>
        </left>
        <right style="thin">
          <color indexed="64"/>
        </right>
        <top style="thin">
          <color indexed="64"/>
        </top>
        <bottom style="thin">
          <color indexed="64"/>
        </bottom>
      </border>
    </dxf>
    <dxf>
      <numFmt numFmtId="30" formatCode="@"/>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rgb="FFFFFF00"/>
        </patternFill>
      </fill>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 Sales Region Tables.xlsx]Pivot!PivotTable1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Alice</c:v>
                </c:pt>
              </c:strCache>
            </c:strRef>
          </c:tx>
          <c:spPr>
            <a:solidFill>
              <a:schemeClr val="accent1"/>
            </a:solidFill>
            <a:ln>
              <a:solidFill>
                <a:schemeClr val="tx1"/>
              </a:solidFill>
            </a:ln>
            <a:effectLst/>
          </c:spPr>
          <c:invertIfNegative val="0"/>
          <c:cat>
            <c:strRef>
              <c:f>Pivot!$A$5:$A$9</c:f>
              <c:strCache>
                <c:ptCount val="4"/>
                <c:pt idx="0">
                  <c:v>East</c:v>
                </c:pt>
                <c:pt idx="1">
                  <c:v>North</c:v>
                </c:pt>
                <c:pt idx="2">
                  <c:v>South</c:v>
                </c:pt>
                <c:pt idx="3">
                  <c:v>West</c:v>
                </c:pt>
              </c:strCache>
            </c:strRef>
          </c:cat>
          <c:val>
            <c:numRef>
              <c:f>Pivot!$B$5:$B$9</c:f>
              <c:numCache>
                <c:formatCode>0</c:formatCode>
                <c:ptCount val="4"/>
                <c:pt idx="0">
                  <c:v>4259</c:v>
                </c:pt>
                <c:pt idx="1">
                  <c:v>4879</c:v>
                </c:pt>
                <c:pt idx="2">
                  <c:v>3839</c:v>
                </c:pt>
                <c:pt idx="3">
                  <c:v>4021</c:v>
                </c:pt>
              </c:numCache>
            </c:numRef>
          </c:val>
          <c:extLst>
            <c:ext xmlns:c16="http://schemas.microsoft.com/office/drawing/2014/chart" uri="{C3380CC4-5D6E-409C-BE32-E72D297353CC}">
              <c16:uniqueId val="{00000000-A5D4-4ED6-B9D1-A66FE8B90EF6}"/>
            </c:ext>
          </c:extLst>
        </c:ser>
        <c:ser>
          <c:idx val="1"/>
          <c:order val="1"/>
          <c:tx>
            <c:strRef>
              <c:f>Pivot!$C$3:$C$4</c:f>
              <c:strCache>
                <c:ptCount val="1"/>
                <c:pt idx="0">
                  <c:v>Bob</c:v>
                </c:pt>
              </c:strCache>
            </c:strRef>
          </c:tx>
          <c:spPr>
            <a:solidFill>
              <a:schemeClr val="accent2"/>
            </a:solidFill>
            <a:ln>
              <a:solidFill>
                <a:schemeClr val="tx1"/>
              </a:solidFill>
            </a:ln>
            <a:effectLst/>
          </c:spPr>
          <c:invertIfNegative val="0"/>
          <c:cat>
            <c:strRef>
              <c:f>Pivot!$A$5:$A$9</c:f>
              <c:strCache>
                <c:ptCount val="4"/>
                <c:pt idx="0">
                  <c:v>East</c:v>
                </c:pt>
                <c:pt idx="1">
                  <c:v>North</c:v>
                </c:pt>
                <c:pt idx="2">
                  <c:v>South</c:v>
                </c:pt>
                <c:pt idx="3">
                  <c:v>West</c:v>
                </c:pt>
              </c:strCache>
            </c:strRef>
          </c:cat>
          <c:val>
            <c:numRef>
              <c:f>Pivot!$C$5:$C$9</c:f>
              <c:numCache>
                <c:formatCode>0</c:formatCode>
                <c:ptCount val="4"/>
                <c:pt idx="0">
                  <c:v>3853</c:v>
                </c:pt>
                <c:pt idx="1">
                  <c:v>4002</c:v>
                </c:pt>
                <c:pt idx="2">
                  <c:v>3840</c:v>
                </c:pt>
                <c:pt idx="3">
                  <c:v>3848</c:v>
                </c:pt>
              </c:numCache>
            </c:numRef>
          </c:val>
          <c:extLst>
            <c:ext xmlns:c16="http://schemas.microsoft.com/office/drawing/2014/chart" uri="{C3380CC4-5D6E-409C-BE32-E72D297353CC}">
              <c16:uniqueId val="{00000000-EBBB-422B-ABB3-37CA28595D16}"/>
            </c:ext>
          </c:extLst>
        </c:ser>
        <c:ser>
          <c:idx val="2"/>
          <c:order val="2"/>
          <c:tx>
            <c:strRef>
              <c:f>Pivot!$D$3:$D$4</c:f>
              <c:strCache>
                <c:ptCount val="1"/>
                <c:pt idx="0">
                  <c:v>Charlie</c:v>
                </c:pt>
              </c:strCache>
            </c:strRef>
          </c:tx>
          <c:spPr>
            <a:solidFill>
              <a:schemeClr val="accent3"/>
            </a:solidFill>
            <a:ln>
              <a:solidFill>
                <a:schemeClr val="tx1"/>
              </a:solidFill>
            </a:ln>
            <a:effectLst/>
          </c:spPr>
          <c:invertIfNegative val="0"/>
          <c:cat>
            <c:strRef>
              <c:f>Pivot!$A$5:$A$9</c:f>
              <c:strCache>
                <c:ptCount val="4"/>
                <c:pt idx="0">
                  <c:v>East</c:v>
                </c:pt>
                <c:pt idx="1">
                  <c:v>North</c:v>
                </c:pt>
                <c:pt idx="2">
                  <c:v>South</c:v>
                </c:pt>
                <c:pt idx="3">
                  <c:v>West</c:v>
                </c:pt>
              </c:strCache>
            </c:strRef>
          </c:cat>
          <c:val>
            <c:numRef>
              <c:f>Pivot!$D$5:$D$9</c:f>
              <c:numCache>
                <c:formatCode>0</c:formatCode>
                <c:ptCount val="4"/>
                <c:pt idx="0">
                  <c:v>4004</c:v>
                </c:pt>
                <c:pt idx="1">
                  <c:v>3996</c:v>
                </c:pt>
                <c:pt idx="2">
                  <c:v>3332</c:v>
                </c:pt>
                <c:pt idx="3">
                  <c:v>3552</c:v>
                </c:pt>
              </c:numCache>
            </c:numRef>
          </c:val>
          <c:extLst>
            <c:ext xmlns:c16="http://schemas.microsoft.com/office/drawing/2014/chart" uri="{C3380CC4-5D6E-409C-BE32-E72D297353CC}">
              <c16:uniqueId val="{00000001-EBBB-422B-ABB3-37CA28595D16}"/>
            </c:ext>
          </c:extLst>
        </c:ser>
        <c:ser>
          <c:idx val="3"/>
          <c:order val="3"/>
          <c:tx>
            <c:strRef>
              <c:f>Pivot!$E$3:$E$4</c:f>
              <c:strCache>
                <c:ptCount val="1"/>
                <c:pt idx="0">
                  <c:v>David</c:v>
                </c:pt>
              </c:strCache>
            </c:strRef>
          </c:tx>
          <c:spPr>
            <a:solidFill>
              <a:schemeClr val="accent4"/>
            </a:solidFill>
            <a:ln>
              <a:solidFill>
                <a:schemeClr val="tx1"/>
              </a:solidFill>
            </a:ln>
            <a:effectLst/>
          </c:spPr>
          <c:invertIfNegative val="0"/>
          <c:cat>
            <c:strRef>
              <c:f>Pivot!$A$5:$A$9</c:f>
              <c:strCache>
                <c:ptCount val="4"/>
                <c:pt idx="0">
                  <c:v>East</c:v>
                </c:pt>
                <c:pt idx="1">
                  <c:v>North</c:v>
                </c:pt>
                <c:pt idx="2">
                  <c:v>South</c:v>
                </c:pt>
                <c:pt idx="3">
                  <c:v>West</c:v>
                </c:pt>
              </c:strCache>
            </c:strRef>
          </c:cat>
          <c:val>
            <c:numRef>
              <c:f>Pivot!$E$5:$E$9</c:f>
              <c:numCache>
                <c:formatCode>0</c:formatCode>
                <c:ptCount val="4"/>
                <c:pt idx="0">
                  <c:v>3981</c:v>
                </c:pt>
                <c:pt idx="1">
                  <c:v>4556</c:v>
                </c:pt>
                <c:pt idx="2">
                  <c:v>3932</c:v>
                </c:pt>
                <c:pt idx="3">
                  <c:v>4164</c:v>
                </c:pt>
              </c:numCache>
            </c:numRef>
          </c:val>
          <c:extLst>
            <c:ext xmlns:c16="http://schemas.microsoft.com/office/drawing/2014/chart" uri="{C3380CC4-5D6E-409C-BE32-E72D297353CC}">
              <c16:uniqueId val="{00000002-EBBB-422B-ABB3-37CA28595D16}"/>
            </c:ext>
          </c:extLst>
        </c:ser>
        <c:ser>
          <c:idx val="4"/>
          <c:order val="4"/>
          <c:tx>
            <c:strRef>
              <c:f>Pivot!$F$3:$F$4</c:f>
              <c:strCache>
                <c:ptCount val="1"/>
                <c:pt idx="0">
                  <c:v>Eve</c:v>
                </c:pt>
              </c:strCache>
            </c:strRef>
          </c:tx>
          <c:spPr>
            <a:solidFill>
              <a:schemeClr val="accent5"/>
            </a:solidFill>
            <a:ln>
              <a:solidFill>
                <a:schemeClr val="tx1"/>
              </a:solidFill>
            </a:ln>
            <a:effectLst/>
          </c:spPr>
          <c:invertIfNegative val="0"/>
          <c:cat>
            <c:strRef>
              <c:f>Pivot!$A$5:$A$9</c:f>
              <c:strCache>
                <c:ptCount val="4"/>
                <c:pt idx="0">
                  <c:v>East</c:v>
                </c:pt>
                <c:pt idx="1">
                  <c:v>North</c:v>
                </c:pt>
                <c:pt idx="2">
                  <c:v>South</c:v>
                </c:pt>
                <c:pt idx="3">
                  <c:v>West</c:v>
                </c:pt>
              </c:strCache>
            </c:strRef>
          </c:cat>
          <c:val>
            <c:numRef>
              <c:f>Pivot!$F$5:$F$9</c:f>
              <c:numCache>
                <c:formatCode>0</c:formatCode>
                <c:ptCount val="4"/>
                <c:pt idx="0">
                  <c:v>3959</c:v>
                </c:pt>
                <c:pt idx="1">
                  <c:v>5215</c:v>
                </c:pt>
                <c:pt idx="2">
                  <c:v>3693</c:v>
                </c:pt>
                <c:pt idx="3">
                  <c:v>4235</c:v>
                </c:pt>
              </c:numCache>
            </c:numRef>
          </c:val>
          <c:extLst>
            <c:ext xmlns:c16="http://schemas.microsoft.com/office/drawing/2014/chart" uri="{C3380CC4-5D6E-409C-BE32-E72D297353CC}">
              <c16:uniqueId val="{00000003-EBBB-422B-ABB3-37CA28595D16}"/>
            </c:ext>
          </c:extLst>
        </c:ser>
        <c:dLbls>
          <c:showLegendKey val="0"/>
          <c:showVal val="0"/>
          <c:showCatName val="0"/>
          <c:showSerName val="0"/>
          <c:showPercent val="0"/>
          <c:showBubbleSize val="0"/>
        </c:dLbls>
        <c:gapWidth val="150"/>
        <c:axId val="1430913520"/>
        <c:axId val="1430913040"/>
      </c:barChart>
      <c:catAx>
        <c:axId val="1430913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0913040"/>
        <c:crosses val="autoZero"/>
        <c:auto val="1"/>
        <c:lblAlgn val="ctr"/>
        <c:lblOffset val="100"/>
        <c:noMultiLvlLbl val="0"/>
      </c:catAx>
      <c:valAx>
        <c:axId val="143091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30913520"/>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12-Month</a:t>
            </a:r>
            <a:r>
              <a:rPr lang="en-GB" baseline="0">
                <a:solidFill>
                  <a:schemeClr val="tx1"/>
                </a:solidFill>
              </a:rPr>
              <a:t> Moving Average of Revenue by Sales Rep vs. Total Monthly Units Sold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5"/>
          <c:order val="5"/>
          <c:tx>
            <c:v>Qty Sold</c:v>
          </c:tx>
          <c:spPr>
            <a:solidFill>
              <a:schemeClr val="accent6">
                <a:lumMod val="75000"/>
              </a:schemeClr>
            </a:solidFill>
            <a:ln>
              <a:solidFill>
                <a:schemeClr val="tx1"/>
              </a:solidFill>
            </a:ln>
            <a:effectLst/>
          </c:spPr>
          <c:invertIfNegative val="0"/>
          <c:val>
            <c:numRef>
              <c:f>qty_sales_by_rep!$AG$23:$AG$46</c:f>
              <c:numCache>
                <c:formatCode>General</c:formatCode>
                <c:ptCount val="24"/>
                <c:pt idx="0">
                  <c:v>2472</c:v>
                </c:pt>
                <c:pt idx="1">
                  <c:v>2064</c:v>
                </c:pt>
                <c:pt idx="2">
                  <c:v>2069</c:v>
                </c:pt>
                <c:pt idx="3">
                  <c:v>1977</c:v>
                </c:pt>
                <c:pt idx="4">
                  <c:v>1968</c:v>
                </c:pt>
                <c:pt idx="5">
                  <c:v>2276</c:v>
                </c:pt>
                <c:pt idx="6">
                  <c:v>1603</c:v>
                </c:pt>
                <c:pt idx="7">
                  <c:v>2336</c:v>
                </c:pt>
                <c:pt idx="8">
                  <c:v>1815</c:v>
                </c:pt>
                <c:pt idx="9">
                  <c:v>2386</c:v>
                </c:pt>
                <c:pt idx="10">
                  <c:v>2129</c:v>
                </c:pt>
                <c:pt idx="11">
                  <c:v>2183</c:v>
                </c:pt>
                <c:pt idx="12">
                  <c:v>2495</c:v>
                </c:pt>
                <c:pt idx="13">
                  <c:v>2106</c:v>
                </c:pt>
                <c:pt idx="14">
                  <c:v>2836</c:v>
                </c:pt>
                <c:pt idx="15">
                  <c:v>2126</c:v>
                </c:pt>
                <c:pt idx="16">
                  <c:v>2776</c:v>
                </c:pt>
                <c:pt idx="17">
                  <c:v>2155</c:v>
                </c:pt>
                <c:pt idx="18">
                  <c:v>2038</c:v>
                </c:pt>
                <c:pt idx="19">
                  <c:v>1960</c:v>
                </c:pt>
                <c:pt idx="20">
                  <c:v>2117</c:v>
                </c:pt>
                <c:pt idx="21">
                  <c:v>2451</c:v>
                </c:pt>
                <c:pt idx="22">
                  <c:v>2086</c:v>
                </c:pt>
                <c:pt idx="23">
                  <c:v>2467</c:v>
                </c:pt>
              </c:numCache>
            </c:numRef>
          </c:val>
          <c:extLst>
            <c:ext xmlns:c16="http://schemas.microsoft.com/office/drawing/2014/chart" uri="{C3380CC4-5D6E-409C-BE32-E72D297353CC}">
              <c16:uniqueId val="{00000000-9ED1-4570-9F8E-CE2B78501399}"/>
            </c:ext>
          </c:extLst>
        </c:ser>
        <c:dLbls>
          <c:showLegendKey val="0"/>
          <c:showVal val="0"/>
          <c:showCatName val="0"/>
          <c:showSerName val="0"/>
          <c:showPercent val="0"/>
          <c:showBubbleSize val="0"/>
        </c:dLbls>
        <c:gapWidth val="150"/>
        <c:axId val="2081452752"/>
        <c:axId val="2081464272"/>
      </c:barChart>
      <c:lineChart>
        <c:grouping val="standard"/>
        <c:varyColors val="0"/>
        <c:ser>
          <c:idx val="2"/>
          <c:order val="0"/>
          <c:tx>
            <c:v>AMA Alice</c:v>
          </c:tx>
          <c:spPr>
            <a:ln w="28575" cap="rnd">
              <a:solidFill>
                <a:schemeClr val="accent5">
                  <a:lumMod val="50000"/>
                </a:schemeClr>
              </a:solidFill>
              <a:round/>
            </a:ln>
            <a:effectLst/>
          </c:spPr>
          <c:marker>
            <c:symbol val="none"/>
          </c:marker>
          <c:cat>
            <c:multiLvlStrRef>
              <c:f>revenue_by_rep!$A$23:$B$46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revenue_by_rep!$H$23:$H$46</c:f>
              <c:numCache>
                <c:formatCode>_("£"* #,##0.00_);_("£"* \(#,##0.00\);_("£"* "-"??_);_(@_)</c:formatCode>
                <c:ptCount val="24"/>
                <c:pt idx="0">
                  <c:v>1532540.4724012641</c:v>
                </c:pt>
                <c:pt idx="1">
                  <c:v>1533740.018978182</c:v>
                </c:pt>
                <c:pt idx="2">
                  <c:v>1460773.9799924621</c:v>
                </c:pt>
                <c:pt idx="3">
                  <c:v>1453515.0336495049</c:v>
                </c:pt>
                <c:pt idx="4">
                  <c:v>1436978.5199354731</c:v>
                </c:pt>
                <c:pt idx="5">
                  <c:v>1299756.4439777536</c:v>
                </c:pt>
                <c:pt idx="6">
                  <c:v>1246553.4002554386</c:v>
                </c:pt>
                <c:pt idx="7">
                  <c:v>1269968.8551950112</c:v>
                </c:pt>
                <c:pt idx="8">
                  <c:v>1154647.5608512403</c:v>
                </c:pt>
                <c:pt idx="9">
                  <c:v>1104684.8018315134</c:v>
                </c:pt>
                <c:pt idx="10">
                  <c:v>1080303.6776029677</c:v>
                </c:pt>
                <c:pt idx="11">
                  <c:v>1073758.5279760768</c:v>
                </c:pt>
                <c:pt idx="12">
                  <c:v>1071444.4869036025</c:v>
                </c:pt>
                <c:pt idx="13">
                  <c:v>1101667.5504804254</c:v>
                </c:pt>
                <c:pt idx="14">
                  <c:v>1144160.7090189985</c:v>
                </c:pt>
                <c:pt idx="15">
                  <c:v>1188523.6711333746</c:v>
                </c:pt>
                <c:pt idx="16">
                  <c:v>1311963.0448656282</c:v>
                </c:pt>
                <c:pt idx="17">
                  <c:v>1357097.3951664248</c:v>
                </c:pt>
                <c:pt idx="18">
                  <c:v>1418354.6010944361</c:v>
                </c:pt>
                <c:pt idx="19">
                  <c:v>1396942.5928594659</c:v>
                </c:pt>
                <c:pt idx="20">
                  <c:v>1498248.7499228579</c:v>
                </c:pt>
                <c:pt idx="21">
                  <c:v>1561933.8019609945</c:v>
                </c:pt>
                <c:pt idx="22">
                  <c:v>1560791.2487815048</c:v>
                </c:pt>
                <c:pt idx="23">
                  <c:v>1535937.2406661948</c:v>
                </c:pt>
              </c:numCache>
            </c:numRef>
          </c:val>
          <c:smooth val="0"/>
          <c:extLst>
            <c:ext xmlns:c16="http://schemas.microsoft.com/office/drawing/2014/chart" uri="{C3380CC4-5D6E-409C-BE32-E72D297353CC}">
              <c16:uniqueId val="{00000000-227C-4D87-85D5-AD3C84CF1634}"/>
            </c:ext>
          </c:extLst>
        </c:ser>
        <c:ser>
          <c:idx val="0"/>
          <c:order val="1"/>
          <c:tx>
            <c:v>AMA Bob</c:v>
          </c:tx>
          <c:spPr>
            <a:ln w="28575" cap="rnd">
              <a:solidFill>
                <a:schemeClr val="accent4">
                  <a:lumMod val="60000"/>
                  <a:lumOff val="40000"/>
                </a:schemeClr>
              </a:solidFill>
              <a:round/>
            </a:ln>
            <a:effectLst/>
          </c:spPr>
          <c:marker>
            <c:symbol val="none"/>
          </c:marker>
          <c:val>
            <c:numRef>
              <c:f>revenue_by_rep!$N$23:$N$46</c:f>
              <c:numCache>
                <c:formatCode>_("£"* #,##0.00_);_("£"* \(#,##0.00\);_("£"* "-"??_);_(@_)</c:formatCode>
                <c:ptCount val="24"/>
                <c:pt idx="0">
                  <c:v>1391114.3998238167</c:v>
                </c:pt>
                <c:pt idx="1">
                  <c:v>1376850.7321746557</c:v>
                </c:pt>
                <c:pt idx="2">
                  <c:v>1393278.7028608066</c:v>
                </c:pt>
                <c:pt idx="3">
                  <c:v>1318189.26831125</c:v>
                </c:pt>
                <c:pt idx="4">
                  <c:v>1330826.3741383143</c:v>
                </c:pt>
                <c:pt idx="5">
                  <c:v>1266853.2310965892</c:v>
                </c:pt>
                <c:pt idx="6">
                  <c:v>1230302.3796436272</c:v>
                </c:pt>
                <c:pt idx="7">
                  <c:v>1261991.4486681665</c:v>
                </c:pt>
                <c:pt idx="8">
                  <c:v>1257962.3019081245</c:v>
                </c:pt>
                <c:pt idx="9">
                  <c:v>1175589.3021619001</c:v>
                </c:pt>
                <c:pt idx="10">
                  <c:v>1121957.921660684</c:v>
                </c:pt>
                <c:pt idx="11">
                  <c:v>1103538.74981982</c:v>
                </c:pt>
                <c:pt idx="12">
                  <c:v>1104383.4640486601</c:v>
                </c:pt>
                <c:pt idx="13">
                  <c:v>1159963.7696679053</c:v>
                </c:pt>
                <c:pt idx="14">
                  <c:v>1196644.8673182742</c:v>
                </c:pt>
                <c:pt idx="15">
                  <c:v>1247174.0353981545</c:v>
                </c:pt>
                <c:pt idx="16">
                  <c:v>1200617.0038365757</c:v>
                </c:pt>
                <c:pt idx="17">
                  <c:v>1205761.4512246761</c:v>
                </c:pt>
                <c:pt idx="18">
                  <c:v>1255795.4651154685</c:v>
                </c:pt>
                <c:pt idx="19">
                  <c:v>1304574.9704597814</c:v>
                </c:pt>
                <c:pt idx="20">
                  <c:v>1288175.611988513</c:v>
                </c:pt>
                <c:pt idx="21">
                  <c:v>1322097.3351142255</c:v>
                </c:pt>
                <c:pt idx="22">
                  <c:v>1335122.504057762</c:v>
                </c:pt>
                <c:pt idx="23">
                  <c:v>1430148.9051993897</c:v>
                </c:pt>
              </c:numCache>
            </c:numRef>
          </c:val>
          <c:smooth val="0"/>
          <c:extLst>
            <c:ext xmlns:c16="http://schemas.microsoft.com/office/drawing/2014/chart" uri="{C3380CC4-5D6E-409C-BE32-E72D297353CC}">
              <c16:uniqueId val="{00000001-227C-4D87-85D5-AD3C84CF1634}"/>
            </c:ext>
          </c:extLst>
        </c:ser>
        <c:ser>
          <c:idx val="1"/>
          <c:order val="2"/>
          <c:tx>
            <c:v>AMA Charlie</c:v>
          </c:tx>
          <c:spPr>
            <a:ln w="28575" cap="rnd">
              <a:solidFill>
                <a:schemeClr val="accent2"/>
              </a:solidFill>
              <a:round/>
            </a:ln>
            <a:effectLst/>
          </c:spPr>
          <c:marker>
            <c:symbol val="none"/>
          </c:marker>
          <c:val>
            <c:numRef>
              <c:f>revenue_by_rep!$T$23:$T$46</c:f>
              <c:numCache>
                <c:formatCode>_("£"* #,##0.00_);_("£"* \(#,##0.00\);_("£"* "-"??_);_(@_)</c:formatCode>
                <c:ptCount val="24"/>
                <c:pt idx="0">
                  <c:v>1505468.6437780212</c:v>
                </c:pt>
                <c:pt idx="1">
                  <c:v>1398254.8839761149</c:v>
                </c:pt>
                <c:pt idx="2">
                  <c:v>1322272.2565096836</c:v>
                </c:pt>
                <c:pt idx="3">
                  <c:v>1207137.8408704859</c:v>
                </c:pt>
                <c:pt idx="4">
                  <c:v>1103939.6305751454</c:v>
                </c:pt>
                <c:pt idx="5">
                  <c:v>1123333.4672475278</c:v>
                </c:pt>
                <c:pt idx="6">
                  <c:v>1094925.3436793929</c:v>
                </c:pt>
                <c:pt idx="7">
                  <c:v>1112652.1697083451</c:v>
                </c:pt>
                <c:pt idx="8">
                  <c:v>1149317.7244773328</c:v>
                </c:pt>
                <c:pt idx="9">
                  <c:v>1104667.7707900004</c:v>
                </c:pt>
                <c:pt idx="10">
                  <c:v>1013500.6737473415</c:v>
                </c:pt>
                <c:pt idx="11">
                  <c:v>931697.63007779198</c:v>
                </c:pt>
                <c:pt idx="12">
                  <c:v>893578.39951270691</c:v>
                </c:pt>
                <c:pt idx="13">
                  <c:v>933308.6951058805</c:v>
                </c:pt>
                <c:pt idx="14">
                  <c:v>1111946.1740003445</c:v>
                </c:pt>
                <c:pt idx="15">
                  <c:v>1035960.1260397254</c:v>
                </c:pt>
                <c:pt idx="16">
                  <c:v>1088156.0589857951</c:v>
                </c:pt>
                <c:pt idx="17">
                  <c:v>1124616.6450976783</c:v>
                </c:pt>
                <c:pt idx="18">
                  <c:v>1126162.963019429</c:v>
                </c:pt>
                <c:pt idx="19">
                  <c:v>1106668.157725685</c:v>
                </c:pt>
                <c:pt idx="20">
                  <c:v>1139927.0198209861</c:v>
                </c:pt>
                <c:pt idx="21">
                  <c:v>1178445.2470839808</c:v>
                </c:pt>
                <c:pt idx="22">
                  <c:v>1233883.4148613226</c:v>
                </c:pt>
                <c:pt idx="23">
                  <c:v>1290321.2715831811</c:v>
                </c:pt>
              </c:numCache>
            </c:numRef>
          </c:val>
          <c:smooth val="0"/>
          <c:extLst>
            <c:ext xmlns:c16="http://schemas.microsoft.com/office/drawing/2014/chart" uri="{C3380CC4-5D6E-409C-BE32-E72D297353CC}">
              <c16:uniqueId val="{00000002-227C-4D87-85D5-AD3C84CF1634}"/>
            </c:ext>
          </c:extLst>
        </c:ser>
        <c:ser>
          <c:idx val="3"/>
          <c:order val="3"/>
          <c:tx>
            <c:v>AMA David</c:v>
          </c:tx>
          <c:spPr>
            <a:ln w="28575" cap="rnd">
              <a:solidFill>
                <a:srgbClr val="C00000"/>
              </a:solidFill>
              <a:round/>
            </a:ln>
            <a:effectLst/>
          </c:spPr>
          <c:marker>
            <c:symbol val="none"/>
          </c:marker>
          <c:val>
            <c:numRef>
              <c:f>revenue_by_rep!$Z$23:$Z$46</c:f>
              <c:numCache>
                <c:formatCode>_("£"* #,##0.00_);_("£"* \(#,##0.00\);_("£"* "-"??_);_(@_)</c:formatCode>
                <c:ptCount val="24"/>
                <c:pt idx="0">
                  <c:v>1328515.0929254226</c:v>
                </c:pt>
                <c:pt idx="1">
                  <c:v>1289624.7659072371</c:v>
                </c:pt>
                <c:pt idx="2">
                  <c:v>1343029.2503369416</c:v>
                </c:pt>
                <c:pt idx="3">
                  <c:v>1321339.2747433095</c:v>
                </c:pt>
                <c:pt idx="4">
                  <c:v>1301723.274999503</c:v>
                </c:pt>
                <c:pt idx="5">
                  <c:v>1271681.2897666858</c:v>
                </c:pt>
                <c:pt idx="6">
                  <c:v>1271220.3735347807</c:v>
                </c:pt>
                <c:pt idx="7">
                  <c:v>1220439.7380961969</c:v>
                </c:pt>
                <c:pt idx="8">
                  <c:v>1164976.3738201561</c:v>
                </c:pt>
                <c:pt idx="9">
                  <c:v>1299390.0918989275</c:v>
                </c:pt>
                <c:pt idx="10">
                  <c:v>1270145.3324525189</c:v>
                </c:pt>
                <c:pt idx="11">
                  <c:v>1320324.1732663219</c:v>
                </c:pt>
                <c:pt idx="12">
                  <c:v>1385885.9118107178</c:v>
                </c:pt>
                <c:pt idx="13">
                  <c:v>1363291.6354412755</c:v>
                </c:pt>
                <c:pt idx="14">
                  <c:v>1350021.4888612593</c:v>
                </c:pt>
                <c:pt idx="15">
                  <c:v>1387093.1313106844</c:v>
                </c:pt>
                <c:pt idx="16">
                  <c:v>1396166.3336170448</c:v>
                </c:pt>
                <c:pt idx="17">
                  <c:v>1419809.6807393844</c:v>
                </c:pt>
                <c:pt idx="18">
                  <c:v>1474045.393077648</c:v>
                </c:pt>
                <c:pt idx="19">
                  <c:v>1467329.6791259544</c:v>
                </c:pt>
                <c:pt idx="20">
                  <c:v>1521414.8556199176</c:v>
                </c:pt>
                <c:pt idx="21">
                  <c:v>1492395.9669115993</c:v>
                </c:pt>
                <c:pt idx="22">
                  <c:v>1481082.6499733047</c:v>
                </c:pt>
                <c:pt idx="23">
                  <c:v>1436954.5072679629</c:v>
                </c:pt>
              </c:numCache>
            </c:numRef>
          </c:val>
          <c:smooth val="0"/>
          <c:extLst>
            <c:ext xmlns:c16="http://schemas.microsoft.com/office/drawing/2014/chart" uri="{C3380CC4-5D6E-409C-BE32-E72D297353CC}">
              <c16:uniqueId val="{00000003-227C-4D87-85D5-AD3C84CF1634}"/>
            </c:ext>
          </c:extLst>
        </c:ser>
        <c:ser>
          <c:idx val="4"/>
          <c:order val="4"/>
          <c:tx>
            <c:v>AMA Eve</c:v>
          </c:tx>
          <c:spPr>
            <a:ln w="28575" cap="rnd">
              <a:solidFill>
                <a:srgbClr val="FFC000"/>
              </a:solidFill>
              <a:round/>
            </a:ln>
            <a:effectLst/>
          </c:spPr>
          <c:marker>
            <c:symbol val="none"/>
          </c:marker>
          <c:val>
            <c:numRef>
              <c:f>revenue_by_rep!$AF$23:$AF$46</c:f>
              <c:numCache>
                <c:formatCode>_("£"* #,##0.00_);_("£"* \(#,##0.00\);_("£"* "-"??_);_(@_)</c:formatCode>
                <c:ptCount val="24"/>
                <c:pt idx="0">
                  <c:v>1555740.2135890245</c:v>
                </c:pt>
                <c:pt idx="1">
                  <c:v>1510977.399898106</c:v>
                </c:pt>
                <c:pt idx="2">
                  <c:v>1531015.459801743</c:v>
                </c:pt>
                <c:pt idx="3">
                  <c:v>1478757.9437866209</c:v>
                </c:pt>
                <c:pt idx="4">
                  <c:v>1397471.0682348975</c:v>
                </c:pt>
                <c:pt idx="5">
                  <c:v>1432211.6207707494</c:v>
                </c:pt>
                <c:pt idx="6">
                  <c:v>1372941.4904384492</c:v>
                </c:pt>
                <c:pt idx="7">
                  <c:v>1359029.1222849365</c:v>
                </c:pt>
                <c:pt idx="8">
                  <c:v>1322972.1148643452</c:v>
                </c:pt>
                <c:pt idx="9">
                  <c:v>1277909.4201286058</c:v>
                </c:pt>
                <c:pt idx="10">
                  <c:v>1233573.8365627362</c:v>
                </c:pt>
                <c:pt idx="11">
                  <c:v>1225731.4136886522</c:v>
                </c:pt>
                <c:pt idx="12">
                  <c:v>1245250.2978847215</c:v>
                </c:pt>
                <c:pt idx="13">
                  <c:v>1248058.3512821498</c:v>
                </c:pt>
                <c:pt idx="14">
                  <c:v>1271593.8910550305</c:v>
                </c:pt>
                <c:pt idx="15">
                  <c:v>1319624.5545606245</c:v>
                </c:pt>
                <c:pt idx="16">
                  <c:v>1481954.4838869132</c:v>
                </c:pt>
                <c:pt idx="17">
                  <c:v>1446028.674719465</c:v>
                </c:pt>
                <c:pt idx="18">
                  <c:v>1437132.9682074839</c:v>
                </c:pt>
                <c:pt idx="19">
                  <c:v>1417947.5683427623</c:v>
                </c:pt>
                <c:pt idx="20">
                  <c:v>1454496.5169124503</c:v>
                </c:pt>
                <c:pt idx="21">
                  <c:v>1482897.452751033</c:v>
                </c:pt>
                <c:pt idx="22">
                  <c:v>1572878.9188488077</c:v>
                </c:pt>
                <c:pt idx="23">
                  <c:v>1595617.1152571535</c:v>
                </c:pt>
              </c:numCache>
            </c:numRef>
          </c:val>
          <c:smooth val="0"/>
          <c:extLst>
            <c:ext xmlns:c16="http://schemas.microsoft.com/office/drawing/2014/chart" uri="{C3380CC4-5D6E-409C-BE32-E72D297353CC}">
              <c16:uniqueId val="{00000004-227C-4D87-85D5-AD3C84CF1634}"/>
            </c:ext>
          </c:extLst>
        </c:ser>
        <c:dLbls>
          <c:showLegendKey val="0"/>
          <c:showVal val="0"/>
          <c:showCatName val="0"/>
          <c:showSerName val="0"/>
          <c:showPercent val="0"/>
          <c:showBubbleSize val="0"/>
        </c:dLbls>
        <c:marker val="1"/>
        <c:smooth val="0"/>
        <c:axId val="1515744448"/>
        <c:axId val="1515742528"/>
      </c:lineChart>
      <c:catAx>
        <c:axId val="1515744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min val="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12-Month Avg</a:t>
                </a:r>
                <a:r>
                  <a:rPr lang="en-GB" baseline="0">
                    <a:solidFill>
                      <a:schemeClr val="tx1"/>
                    </a:solidFill>
                  </a:rPr>
                  <a:t> 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valAx>
        <c:axId val="2081464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Quantity</a:t>
                </a:r>
                <a:r>
                  <a:rPr lang="en-GB" baseline="0">
                    <a:solidFill>
                      <a:schemeClr val="tx1"/>
                    </a:solidFill>
                  </a:rPr>
                  <a:t> Sold (Units)</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81452752"/>
        <c:crosses val="max"/>
        <c:crossBetween val="between"/>
      </c:valAx>
      <c:catAx>
        <c:axId val="2081452752"/>
        <c:scaling>
          <c:orientation val="minMax"/>
        </c:scaling>
        <c:delete val="1"/>
        <c:axPos val="b"/>
        <c:majorTickMark val="out"/>
        <c:minorTickMark val="none"/>
        <c:tickLblPos val="nextTo"/>
        <c:crossAx val="2081464272"/>
        <c:crosses val="autoZero"/>
        <c:auto val="1"/>
        <c:lblAlgn val="ctr"/>
        <c:lblOffset val="100"/>
        <c:noMultiLvlLbl val="0"/>
      </c:cat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Monthly Revenue by Sales</a:t>
            </a:r>
            <a:r>
              <a:rPr lang="en-GB" baseline="0">
                <a:solidFill>
                  <a:schemeClr val="tx1"/>
                </a:solidFill>
              </a:rPr>
              <a:t> Representative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lineChart>
        <c:grouping val="standard"/>
        <c:varyColors val="0"/>
        <c:ser>
          <c:idx val="2"/>
          <c:order val="0"/>
          <c:tx>
            <c:v>Alice</c:v>
          </c:tx>
          <c:spPr>
            <a:ln w="28575" cap="rnd">
              <a:solidFill>
                <a:schemeClr val="accent5">
                  <a:lumMod val="50000"/>
                </a:schemeClr>
              </a:solidFill>
              <a:round/>
            </a:ln>
            <a:effectLst/>
          </c:spPr>
          <c:marker>
            <c:symbol val="none"/>
          </c:marker>
          <c:cat>
            <c:multiLvlStrRef>
              <c:f>revenue_by_rep!$A$23:$B$46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revenue_by_rep!$G$23:$G$46</c:f>
              <c:numCache>
                <c:formatCode>_("£"* #,##0.00_);_("£"* \(#,##0.00\);_("£"* "-"??_);_(@_)</c:formatCode>
                <c:ptCount val="24"/>
                <c:pt idx="0">
                  <c:v>732662.61994099128</c:v>
                </c:pt>
                <c:pt idx="1">
                  <c:v>1399643.7079230153</c:v>
                </c:pt>
                <c:pt idx="2">
                  <c:v>1124008.8877942776</c:v>
                </c:pt>
                <c:pt idx="3">
                  <c:v>1221362.7276046854</c:v>
                </c:pt>
                <c:pt idx="4">
                  <c:v>1227588.8700532983</c:v>
                </c:pt>
                <c:pt idx="5">
                  <c:v>930682.63853611611</c:v>
                </c:pt>
                <c:pt idx="6">
                  <c:v>1018671.3733196212</c:v>
                </c:pt>
                <c:pt idx="7">
                  <c:v>1434111.6470487486</c:v>
                </c:pt>
                <c:pt idx="8">
                  <c:v>349972.33527536667</c:v>
                </c:pt>
                <c:pt idx="9">
                  <c:v>698688.88579102524</c:v>
                </c:pt>
                <c:pt idx="10">
                  <c:v>1142281.3083428279</c:v>
                </c:pt>
                <c:pt idx="11">
                  <c:v>1605427.3340829464</c:v>
                </c:pt>
                <c:pt idx="12">
                  <c:v>704894.12707130157</c:v>
                </c:pt>
                <c:pt idx="13">
                  <c:v>1762320.4708448895</c:v>
                </c:pt>
                <c:pt idx="14">
                  <c:v>1633926.7902571533</c:v>
                </c:pt>
                <c:pt idx="15">
                  <c:v>1753718.2729771989</c:v>
                </c:pt>
                <c:pt idx="16">
                  <c:v>2708861.354840342</c:v>
                </c:pt>
                <c:pt idx="17">
                  <c:v>1472294.8421456758</c:v>
                </c:pt>
                <c:pt idx="18">
                  <c:v>1753757.8444557586</c:v>
                </c:pt>
                <c:pt idx="19">
                  <c:v>1177167.5482291041</c:v>
                </c:pt>
                <c:pt idx="20">
                  <c:v>1565646.2200360717</c:v>
                </c:pt>
                <c:pt idx="21">
                  <c:v>1462909.5102486643</c:v>
                </c:pt>
                <c:pt idx="22">
                  <c:v>1128570.6701889508</c:v>
                </c:pt>
                <c:pt idx="23">
                  <c:v>1307179.2366992272</c:v>
                </c:pt>
              </c:numCache>
            </c:numRef>
          </c:val>
          <c:smooth val="0"/>
          <c:extLst>
            <c:ext xmlns:c16="http://schemas.microsoft.com/office/drawing/2014/chart" uri="{C3380CC4-5D6E-409C-BE32-E72D297353CC}">
              <c16:uniqueId val="{00000000-BD6B-4EB3-9396-36ED4EE0729B}"/>
            </c:ext>
          </c:extLst>
        </c:ser>
        <c:ser>
          <c:idx val="0"/>
          <c:order val="1"/>
          <c:tx>
            <c:v>Bob</c:v>
          </c:tx>
          <c:spPr>
            <a:ln w="28575" cap="rnd">
              <a:solidFill>
                <a:schemeClr val="accent4">
                  <a:lumMod val="60000"/>
                  <a:lumOff val="40000"/>
                </a:schemeClr>
              </a:solidFill>
              <a:round/>
            </a:ln>
            <a:effectLst/>
          </c:spPr>
          <c:marker>
            <c:symbol val="none"/>
          </c:marker>
          <c:val>
            <c:numRef>
              <c:f>revenue_by_rep!$M$23:$M$46</c:f>
              <c:numCache>
                <c:formatCode>_("£"* #,##0.00_);_("£"* \(#,##0.00\);_("£"* "-"??_);_(@_)</c:formatCode>
                <c:ptCount val="24"/>
                <c:pt idx="0">
                  <c:v>1757650.681568895</c:v>
                </c:pt>
                <c:pt idx="1">
                  <c:v>967494.15907065279</c:v>
                </c:pt>
                <c:pt idx="2">
                  <c:v>1070047.7529338114</c:v>
                </c:pt>
                <c:pt idx="3">
                  <c:v>545471.91244143399</c:v>
                </c:pt>
                <c:pt idx="4">
                  <c:v>1685718.4448449563</c:v>
                </c:pt>
                <c:pt idx="5">
                  <c:v>1230283.488474634</c:v>
                </c:pt>
                <c:pt idx="6">
                  <c:v>667287.96969527623</c:v>
                </c:pt>
                <c:pt idx="7">
                  <c:v>1280106.6284944711</c:v>
                </c:pt>
                <c:pt idx="8">
                  <c:v>1244839.5497635524</c:v>
                </c:pt>
                <c:pt idx="9">
                  <c:v>916825.52054643887</c:v>
                </c:pt>
                <c:pt idx="10">
                  <c:v>750956.19320325088</c:v>
                </c:pt>
                <c:pt idx="11">
                  <c:v>1125782.6968004678</c:v>
                </c:pt>
                <c:pt idx="12">
                  <c:v>1767787.2523149773</c:v>
                </c:pt>
                <c:pt idx="13">
                  <c:v>1634457.8265015935</c:v>
                </c:pt>
                <c:pt idx="14">
                  <c:v>1510220.9247382367</c:v>
                </c:pt>
                <c:pt idx="15">
                  <c:v>1151821.9294</c:v>
                </c:pt>
                <c:pt idx="16">
                  <c:v>1127034.0661060098</c:v>
                </c:pt>
                <c:pt idx="17">
                  <c:v>1292016.857131836</c:v>
                </c:pt>
                <c:pt idx="18">
                  <c:v>1267696.1363847877</c:v>
                </c:pt>
                <c:pt idx="19">
                  <c:v>1865460.6926262244</c:v>
                </c:pt>
                <c:pt idx="20">
                  <c:v>1048047.248108333</c:v>
                </c:pt>
                <c:pt idx="21">
                  <c:v>1323886.1980549912</c:v>
                </c:pt>
                <c:pt idx="22">
                  <c:v>907258.22052568546</c:v>
                </c:pt>
                <c:pt idx="23">
                  <c:v>2266099.5104999999</c:v>
                </c:pt>
              </c:numCache>
            </c:numRef>
          </c:val>
          <c:smooth val="0"/>
          <c:extLst>
            <c:ext xmlns:c16="http://schemas.microsoft.com/office/drawing/2014/chart" uri="{C3380CC4-5D6E-409C-BE32-E72D297353CC}">
              <c16:uniqueId val="{00000001-BD6B-4EB3-9396-36ED4EE0729B}"/>
            </c:ext>
          </c:extLst>
        </c:ser>
        <c:ser>
          <c:idx val="1"/>
          <c:order val="2"/>
          <c:tx>
            <c:v>Charlie</c:v>
          </c:tx>
          <c:spPr>
            <a:ln w="28575" cap="rnd">
              <a:solidFill>
                <a:schemeClr val="accent2"/>
              </a:solidFill>
              <a:round/>
            </a:ln>
            <a:effectLst/>
          </c:spPr>
          <c:marker>
            <c:symbol val="none"/>
          </c:marker>
          <c:val>
            <c:numRef>
              <c:f>revenue_by_rep!$S$23:$S$46</c:f>
              <c:numCache>
                <c:formatCode>_("£"* #,##0.00_);_("£"* \(#,##0.00\);_("£"* "-"??_);_(@_)</c:formatCode>
                <c:ptCount val="24"/>
                <c:pt idx="0">
                  <c:v>1890302.1605248644</c:v>
                </c:pt>
                <c:pt idx="1">
                  <c:v>917185.57998915901</c:v>
                </c:pt>
                <c:pt idx="2">
                  <c:v>542951.95947669109</c:v>
                </c:pt>
                <c:pt idx="3">
                  <c:v>1234735.1175274279</c:v>
                </c:pt>
                <c:pt idx="4">
                  <c:v>642960.66715799004</c:v>
                </c:pt>
                <c:pt idx="5">
                  <c:v>1119124.538168588</c:v>
                </c:pt>
                <c:pt idx="6">
                  <c:v>841098.72890650784</c:v>
                </c:pt>
                <c:pt idx="7">
                  <c:v>1069515.1919958692</c:v>
                </c:pt>
                <c:pt idx="8">
                  <c:v>861492.22083010676</c:v>
                </c:pt>
                <c:pt idx="9">
                  <c:v>1015152.5750161156</c:v>
                </c:pt>
                <c:pt idx="10">
                  <c:v>560240.18658716488</c:v>
                </c:pt>
                <c:pt idx="11">
                  <c:v>485612.63475302252</c:v>
                </c:pt>
                <c:pt idx="12">
                  <c:v>1432871.3937438412</c:v>
                </c:pt>
                <c:pt idx="13">
                  <c:v>1393949.1271072412</c:v>
                </c:pt>
                <c:pt idx="14">
                  <c:v>2686601.706210257</c:v>
                </c:pt>
                <c:pt idx="15">
                  <c:v>322902.54200000002</c:v>
                </c:pt>
                <c:pt idx="16">
                  <c:v>1269311.8625108288</c:v>
                </c:pt>
                <c:pt idx="17">
                  <c:v>1556651.5715111867</c:v>
                </c:pt>
                <c:pt idx="18">
                  <c:v>859654.54396751733</c:v>
                </c:pt>
                <c:pt idx="19">
                  <c:v>835577.52847093903</c:v>
                </c:pt>
                <c:pt idx="20">
                  <c:v>1260598.56597372</c:v>
                </c:pt>
                <c:pt idx="21">
                  <c:v>1477371.302172051</c:v>
                </c:pt>
                <c:pt idx="22">
                  <c:v>1225498.1999152668</c:v>
                </c:pt>
                <c:pt idx="23">
                  <c:v>1162866.9154153229</c:v>
                </c:pt>
              </c:numCache>
            </c:numRef>
          </c:val>
          <c:smooth val="0"/>
          <c:extLst>
            <c:ext xmlns:c16="http://schemas.microsoft.com/office/drawing/2014/chart" uri="{C3380CC4-5D6E-409C-BE32-E72D297353CC}">
              <c16:uniqueId val="{00000002-BD6B-4EB3-9396-36ED4EE0729B}"/>
            </c:ext>
          </c:extLst>
        </c:ser>
        <c:ser>
          <c:idx val="3"/>
          <c:order val="3"/>
          <c:tx>
            <c:v>David</c:v>
          </c:tx>
          <c:spPr>
            <a:ln w="28575" cap="rnd">
              <a:solidFill>
                <a:srgbClr val="C00000"/>
              </a:solidFill>
              <a:round/>
            </a:ln>
            <a:effectLst/>
          </c:spPr>
          <c:marker>
            <c:symbol val="none"/>
          </c:marker>
          <c:val>
            <c:numRef>
              <c:f>revenue_by_rep!$Y$23:$Y$46</c:f>
              <c:numCache>
                <c:formatCode>_("£"* #,##0.00_);_("£"* \(#,##0.00\);_("£"* "-"??_);_(@_)</c:formatCode>
                <c:ptCount val="24"/>
                <c:pt idx="0">
                  <c:v>900764.96508421446</c:v>
                </c:pt>
                <c:pt idx="1">
                  <c:v>1354673.2614348892</c:v>
                </c:pt>
                <c:pt idx="2">
                  <c:v>1409219.8345183062</c:v>
                </c:pt>
                <c:pt idx="3">
                  <c:v>1348163.5006406172</c:v>
                </c:pt>
                <c:pt idx="4">
                  <c:v>1428357.9011684544</c:v>
                </c:pt>
                <c:pt idx="5">
                  <c:v>905434.2796752078</c:v>
                </c:pt>
                <c:pt idx="6">
                  <c:v>889107.14472166391</c:v>
                </c:pt>
                <c:pt idx="7">
                  <c:v>1319627.6077764663</c:v>
                </c:pt>
                <c:pt idx="8">
                  <c:v>841550.2344807497</c:v>
                </c:pt>
                <c:pt idx="9">
                  <c:v>2374224.2886668788</c:v>
                </c:pt>
                <c:pt idx="10">
                  <c:v>1556234.8950799676</c:v>
                </c:pt>
                <c:pt idx="11">
                  <c:v>1516532.1659484492</c:v>
                </c:pt>
                <c:pt idx="12">
                  <c:v>1687505.8276169656</c:v>
                </c:pt>
                <c:pt idx="13">
                  <c:v>1083541.9450015828</c:v>
                </c:pt>
                <c:pt idx="14">
                  <c:v>1249978.0755581106</c:v>
                </c:pt>
                <c:pt idx="15">
                  <c:v>1793023.2100337157</c:v>
                </c:pt>
                <c:pt idx="16">
                  <c:v>1537236.3288447785</c:v>
                </c:pt>
                <c:pt idx="17">
                  <c:v>1189154.4451432808</c:v>
                </c:pt>
                <c:pt idx="18">
                  <c:v>1539935.6927808276</c:v>
                </c:pt>
                <c:pt idx="19">
                  <c:v>1239039.0403561438</c:v>
                </c:pt>
                <c:pt idx="20">
                  <c:v>1490572.3524083118</c:v>
                </c:pt>
                <c:pt idx="21">
                  <c:v>2025997.6241670579</c:v>
                </c:pt>
                <c:pt idx="22">
                  <c:v>1420475.091820427</c:v>
                </c:pt>
                <c:pt idx="23">
                  <c:v>986994.45348434919</c:v>
                </c:pt>
              </c:numCache>
            </c:numRef>
          </c:val>
          <c:smooth val="0"/>
          <c:extLst>
            <c:ext xmlns:c16="http://schemas.microsoft.com/office/drawing/2014/chart" uri="{C3380CC4-5D6E-409C-BE32-E72D297353CC}">
              <c16:uniqueId val="{00000003-BD6B-4EB3-9396-36ED4EE0729B}"/>
            </c:ext>
          </c:extLst>
        </c:ser>
        <c:ser>
          <c:idx val="4"/>
          <c:order val="4"/>
          <c:tx>
            <c:v>Eve</c:v>
          </c:tx>
          <c:spPr>
            <a:ln w="28575" cap="rnd">
              <a:solidFill>
                <a:srgbClr val="FFC000"/>
              </a:solidFill>
              <a:round/>
            </a:ln>
            <a:effectLst/>
          </c:spPr>
          <c:marker>
            <c:symbol val="none"/>
          </c:marker>
          <c:val>
            <c:numRef>
              <c:f>revenue_by_rep!$AE$23:$AE$46</c:f>
              <c:numCache>
                <c:formatCode>_("£"* #,##0.00_);_("£"* \(#,##0.00\);_("£"* "-"??_);_(@_)</c:formatCode>
                <c:ptCount val="24"/>
                <c:pt idx="0">
                  <c:v>1924099.3294926707</c:v>
                </c:pt>
                <c:pt idx="1">
                  <c:v>842458.34755145432</c:v>
                </c:pt>
                <c:pt idx="2">
                  <c:v>1651097.1490221121</c:v>
                </c:pt>
                <c:pt idx="3">
                  <c:v>932786.22723247577</c:v>
                </c:pt>
                <c:pt idx="4">
                  <c:v>639415.53768549091</c:v>
                </c:pt>
                <c:pt idx="5">
                  <c:v>1721296.6057093784</c:v>
                </c:pt>
                <c:pt idx="6">
                  <c:v>1128673.8938080007</c:v>
                </c:pt>
                <c:pt idx="7">
                  <c:v>1406505.3422934567</c:v>
                </c:pt>
                <c:pt idx="8">
                  <c:v>1071154.0858165787</c:v>
                </c:pt>
                <c:pt idx="9">
                  <c:v>1337215.1439437908</c:v>
                </c:pt>
                <c:pt idx="10">
                  <c:v>758167.78779387136</c:v>
                </c:pt>
                <c:pt idx="11">
                  <c:v>1295907.5139145455</c:v>
                </c:pt>
                <c:pt idx="12">
                  <c:v>2158325.9398455033</c:v>
                </c:pt>
                <c:pt idx="13">
                  <c:v>876154.98832059174</c:v>
                </c:pt>
                <c:pt idx="14">
                  <c:v>1933523.6262966848</c:v>
                </c:pt>
                <c:pt idx="15">
                  <c:v>1509154.1892996025</c:v>
                </c:pt>
                <c:pt idx="16">
                  <c:v>2587374.6896009543</c:v>
                </c:pt>
                <c:pt idx="17">
                  <c:v>1290186.8957</c:v>
                </c:pt>
                <c:pt idx="18">
                  <c:v>1021925.4156642292</c:v>
                </c:pt>
                <c:pt idx="19">
                  <c:v>1176280.5439167989</c:v>
                </c:pt>
                <c:pt idx="20">
                  <c:v>1509741.4686528305</c:v>
                </c:pt>
                <c:pt idx="21">
                  <c:v>1678026.3740067815</c:v>
                </c:pt>
                <c:pt idx="22">
                  <c:v>1837945.3809671709</c:v>
                </c:pt>
                <c:pt idx="23">
                  <c:v>1568765.8708146943</c:v>
                </c:pt>
              </c:numCache>
            </c:numRef>
          </c:val>
          <c:smooth val="0"/>
          <c:extLst>
            <c:ext xmlns:c16="http://schemas.microsoft.com/office/drawing/2014/chart" uri="{C3380CC4-5D6E-409C-BE32-E72D297353CC}">
              <c16:uniqueId val="{00000004-BD6B-4EB3-9396-36ED4EE0729B}"/>
            </c:ext>
          </c:extLst>
        </c:ser>
        <c:dLbls>
          <c:showLegendKey val="0"/>
          <c:showVal val="0"/>
          <c:showCatName val="0"/>
          <c:showSerName val="0"/>
          <c:showPercent val="0"/>
          <c:showBubbleSize val="0"/>
        </c:dLbls>
        <c:smooth val="0"/>
        <c:axId val="1515744448"/>
        <c:axId val="1515742528"/>
      </c:lineChart>
      <c:catAx>
        <c:axId val="15157444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Yearly Revenue by Sales Representative and Total</a:t>
            </a:r>
            <a:r>
              <a:rPr lang="en-GB" baseline="0">
                <a:solidFill>
                  <a:schemeClr val="tx1"/>
                </a:solidFill>
              </a:rPr>
              <a:t>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strRef>
              <c:f>yearly_revenue_by_rep!$U$2</c:f>
              <c:strCache>
                <c:ptCount val="1"/>
                <c:pt idx="0">
                  <c:v>Alice</c:v>
                </c:pt>
              </c:strCache>
            </c:strRef>
          </c:tx>
          <c:spPr>
            <a:solidFill>
              <a:schemeClr val="accent1"/>
            </a:solidFill>
            <a:ln>
              <a:solidFill>
                <a:schemeClr val="tx1"/>
              </a:solidFill>
            </a:ln>
            <a:effectLst/>
          </c:spPr>
          <c:invertIfNegative val="0"/>
          <c:cat>
            <c:strRef>
              <c:extLst>
                <c:ext xmlns:c15="http://schemas.microsoft.com/office/drawing/2012/chart" uri="{02D57815-91ED-43cb-92C2-25804820EDAC}">
                  <c15:fullRef>
                    <c15:sqref>yearly_revenue_by_rep!$T$3:$T$6</c15:sqref>
                  </c15:fullRef>
                </c:ext>
              </c:extLst>
              <c:f>yearly_revenue_by_rep!$T$4:$T$6</c:f>
              <c:strCache>
                <c:ptCount val="3"/>
                <c:pt idx="0">
                  <c:v>2023</c:v>
                </c:pt>
                <c:pt idx="1">
                  <c:v>2024</c:v>
                </c:pt>
                <c:pt idx="2">
                  <c:v>Total</c:v>
                </c:pt>
              </c:strCache>
            </c:strRef>
          </c:cat>
          <c:val>
            <c:numRef>
              <c:extLst>
                <c:ext xmlns:c15="http://schemas.microsoft.com/office/drawing/2012/chart" uri="{02D57815-91ED-43cb-92C2-25804820EDAC}">
                  <c15:fullRef>
                    <c15:sqref>yearly_revenue_by_rep!$U$3:$U$6</c15:sqref>
                  </c15:fullRef>
                </c:ext>
              </c:extLst>
              <c:f>yearly_revenue_by_rep!$U$4:$U$6</c:f>
              <c:numCache>
                <c:formatCode>_("£"* #,##0.00_);_("£"* \(#,##0.00\);_("£"* "-"??_);_(@_)</c:formatCode>
                <c:ptCount val="3"/>
                <c:pt idx="0">
                  <c:v>12885102.335712921</c:v>
                </c:pt>
                <c:pt idx="1">
                  <c:v>18431246.887994338</c:v>
                </c:pt>
                <c:pt idx="2">
                  <c:v>31316349.223707259</c:v>
                </c:pt>
              </c:numCache>
            </c:numRef>
          </c:val>
          <c:extLst>
            <c:ext xmlns:c16="http://schemas.microsoft.com/office/drawing/2014/chart" uri="{C3380CC4-5D6E-409C-BE32-E72D297353CC}">
              <c16:uniqueId val="{00000000-DD3B-47F6-B9FE-9F0BA1943B16}"/>
            </c:ext>
          </c:extLst>
        </c:ser>
        <c:ser>
          <c:idx val="1"/>
          <c:order val="1"/>
          <c:tx>
            <c:strRef>
              <c:f>yearly_revenue_by_rep!$V$2</c:f>
              <c:strCache>
                <c:ptCount val="1"/>
                <c:pt idx="0">
                  <c:v>Bob</c:v>
                </c:pt>
              </c:strCache>
            </c:strRef>
          </c:tx>
          <c:spPr>
            <a:solidFill>
              <a:schemeClr val="accent2"/>
            </a:solidFill>
            <a:ln>
              <a:solidFill>
                <a:schemeClr val="tx1"/>
              </a:solidFill>
            </a:ln>
            <a:effectLst/>
          </c:spPr>
          <c:invertIfNegative val="0"/>
          <c:cat>
            <c:strRef>
              <c:extLst>
                <c:ext xmlns:c15="http://schemas.microsoft.com/office/drawing/2012/chart" uri="{02D57815-91ED-43cb-92C2-25804820EDAC}">
                  <c15:fullRef>
                    <c15:sqref>yearly_revenue_by_rep!$T$3:$T$6</c15:sqref>
                  </c15:fullRef>
                </c:ext>
              </c:extLst>
              <c:f>yearly_revenue_by_rep!$T$4:$T$6</c:f>
              <c:strCache>
                <c:ptCount val="3"/>
                <c:pt idx="0">
                  <c:v>2023</c:v>
                </c:pt>
                <c:pt idx="1">
                  <c:v>2024</c:v>
                </c:pt>
                <c:pt idx="2">
                  <c:v>Total</c:v>
                </c:pt>
              </c:strCache>
            </c:strRef>
          </c:cat>
          <c:val>
            <c:numRef>
              <c:extLst>
                <c:ext xmlns:c15="http://schemas.microsoft.com/office/drawing/2012/chart" uri="{02D57815-91ED-43cb-92C2-25804820EDAC}">
                  <c15:fullRef>
                    <c15:sqref>yearly_revenue_by_rep!$V$3:$V$6</c15:sqref>
                  </c15:fullRef>
                </c:ext>
              </c:extLst>
              <c:f>yearly_revenue_by_rep!$V$4:$V$6</c:f>
              <c:numCache>
                <c:formatCode>_("£"* #,##0.00_);_("£"* \(#,##0.00\);_("£"* "-"??_);_(@_)</c:formatCode>
                <c:ptCount val="3"/>
                <c:pt idx="0">
                  <c:v>13242464.99783784</c:v>
                </c:pt>
                <c:pt idx="1">
                  <c:v>17161786.862392675</c:v>
                </c:pt>
                <c:pt idx="2">
                  <c:v>30404251.860230513</c:v>
                </c:pt>
              </c:numCache>
            </c:numRef>
          </c:val>
          <c:extLst>
            <c:ext xmlns:c16="http://schemas.microsoft.com/office/drawing/2014/chart" uri="{C3380CC4-5D6E-409C-BE32-E72D297353CC}">
              <c16:uniqueId val="{00000001-DD3B-47F6-B9FE-9F0BA1943B16}"/>
            </c:ext>
          </c:extLst>
        </c:ser>
        <c:ser>
          <c:idx val="2"/>
          <c:order val="2"/>
          <c:tx>
            <c:strRef>
              <c:f>yearly_revenue_by_rep!$W$2</c:f>
              <c:strCache>
                <c:ptCount val="1"/>
                <c:pt idx="0">
                  <c:v>Charlie</c:v>
                </c:pt>
              </c:strCache>
            </c:strRef>
          </c:tx>
          <c:spPr>
            <a:solidFill>
              <a:schemeClr val="accent3"/>
            </a:solidFill>
            <a:ln>
              <a:solidFill>
                <a:schemeClr val="tx1"/>
              </a:solidFill>
            </a:ln>
            <a:effectLst/>
          </c:spPr>
          <c:invertIfNegative val="0"/>
          <c:cat>
            <c:strRef>
              <c:extLst>
                <c:ext xmlns:c15="http://schemas.microsoft.com/office/drawing/2012/chart" uri="{02D57815-91ED-43cb-92C2-25804820EDAC}">
                  <c15:fullRef>
                    <c15:sqref>yearly_revenue_by_rep!$T$3:$T$6</c15:sqref>
                  </c15:fullRef>
                </c:ext>
              </c:extLst>
              <c:f>yearly_revenue_by_rep!$T$4:$T$6</c:f>
              <c:strCache>
                <c:ptCount val="3"/>
                <c:pt idx="0">
                  <c:v>2023</c:v>
                </c:pt>
                <c:pt idx="1">
                  <c:v>2024</c:v>
                </c:pt>
                <c:pt idx="2">
                  <c:v>Total</c:v>
                </c:pt>
              </c:strCache>
            </c:strRef>
          </c:cat>
          <c:val>
            <c:numRef>
              <c:extLst>
                <c:ext xmlns:c15="http://schemas.microsoft.com/office/drawing/2012/chart" uri="{02D57815-91ED-43cb-92C2-25804820EDAC}">
                  <c15:fullRef>
                    <c15:sqref>yearly_revenue_by_rep!$W$3:$W$6</c15:sqref>
                  </c15:fullRef>
                </c:ext>
              </c:extLst>
              <c:f>yearly_revenue_by_rep!$W$4:$W$6</c:f>
              <c:numCache>
                <c:formatCode>_("£"* #,##0.00_);_("£"* \(#,##0.00\);_("£"* "-"??_);_(@_)</c:formatCode>
                <c:ptCount val="3"/>
                <c:pt idx="0">
                  <c:v>11180371.560933504</c:v>
                </c:pt>
                <c:pt idx="1">
                  <c:v>15483855.258998172</c:v>
                </c:pt>
                <c:pt idx="2">
                  <c:v>26664226.819931678</c:v>
                </c:pt>
              </c:numCache>
            </c:numRef>
          </c:val>
          <c:extLst>
            <c:ext xmlns:c16="http://schemas.microsoft.com/office/drawing/2014/chart" uri="{C3380CC4-5D6E-409C-BE32-E72D297353CC}">
              <c16:uniqueId val="{00000002-DD3B-47F6-B9FE-9F0BA1943B16}"/>
            </c:ext>
          </c:extLst>
        </c:ser>
        <c:ser>
          <c:idx val="3"/>
          <c:order val="3"/>
          <c:tx>
            <c:strRef>
              <c:f>yearly_revenue_by_rep!$X$2</c:f>
              <c:strCache>
                <c:ptCount val="1"/>
                <c:pt idx="0">
                  <c:v>David</c:v>
                </c:pt>
              </c:strCache>
            </c:strRef>
          </c:tx>
          <c:spPr>
            <a:solidFill>
              <a:schemeClr val="accent4"/>
            </a:solidFill>
            <a:ln>
              <a:solidFill>
                <a:schemeClr val="tx1"/>
              </a:solidFill>
            </a:ln>
            <a:effectLst/>
          </c:spPr>
          <c:invertIfNegative val="0"/>
          <c:cat>
            <c:strRef>
              <c:extLst>
                <c:ext xmlns:c15="http://schemas.microsoft.com/office/drawing/2012/chart" uri="{02D57815-91ED-43cb-92C2-25804820EDAC}">
                  <c15:fullRef>
                    <c15:sqref>yearly_revenue_by_rep!$T$3:$T$6</c15:sqref>
                  </c15:fullRef>
                </c:ext>
              </c:extLst>
              <c:f>yearly_revenue_by_rep!$T$4:$T$6</c:f>
              <c:strCache>
                <c:ptCount val="3"/>
                <c:pt idx="0">
                  <c:v>2023</c:v>
                </c:pt>
                <c:pt idx="1">
                  <c:v>2024</c:v>
                </c:pt>
                <c:pt idx="2">
                  <c:v>Total</c:v>
                </c:pt>
              </c:strCache>
            </c:strRef>
          </c:cat>
          <c:val>
            <c:numRef>
              <c:extLst>
                <c:ext xmlns:c15="http://schemas.microsoft.com/office/drawing/2012/chart" uri="{02D57815-91ED-43cb-92C2-25804820EDAC}">
                  <c15:fullRef>
                    <c15:sqref>yearly_revenue_by_rep!$X$3:$X$6</c15:sqref>
                  </c15:fullRef>
                </c:ext>
              </c:extLst>
              <c:f>yearly_revenue_by_rep!$X$4:$X$6</c:f>
              <c:numCache>
                <c:formatCode>_("£"* #,##0.00_);_("£"* \(#,##0.00\);_("£"* "-"??_);_(@_)</c:formatCode>
                <c:ptCount val="3"/>
                <c:pt idx="0">
                  <c:v>15843890.079195863</c:v>
                </c:pt>
                <c:pt idx="1">
                  <c:v>17243454.087215554</c:v>
                </c:pt>
                <c:pt idx="2">
                  <c:v>33087344.166411415</c:v>
                </c:pt>
              </c:numCache>
            </c:numRef>
          </c:val>
          <c:extLst>
            <c:ext xmlns:c16="http://schemas.microsoft.com/office/drawing/2014/chart" uri="{C3380CC4-5D6E-409C-BE32-E72D297353CC}">
              <c16:uniqueId val="{00000003-DD3B-47F6-B9FE-9F0BA1943B16}"/>
            </c:ext>
          </c:extLst>
        </c:ser>
        <c:ser>
          <c:idx val="4"/>
          <c:order val="4"/>
          <c:tx>
            <c:strRef>
              <c:f>yearly_revenue_by_rep!$Y$2</c:f>
              <c:strCache>
                <c:ptCount val="1"/>
                <c:pt idx="0">
                  <c:v>Eve</c:v>
                </c:pt>
              </c:strCache>
            </c:strRef>
          </c:tx>
          <c:spPr>
            <a:solidFill>
              <a:schemeClr val="accent5"/>
            </a:solidFill>
            <a:ln>
              <a:solidFill>
                <a:schemeClr val="tx1"/>
              </a:solidFill>
            </a:ln>
            <a:effectLst/>
          </c:spPr>
          <c:invertIfNegative val="0"/>
          <c:cat>
            <c:strRef>
              <c:extLst>
                <c:ext xmlns:c15="http://schemas.microsoft.com/office/drawing/2012/chart" uri="{02D57815-91ED-43cb-92C2-25804820EDAC}">
                  <c15:fullRef>
                    <c15:sqref>yearly_revenue_by_rep!$T$3:$T$6</c15:sqref>
                  </c15:fullRef>
                </c:ext>
              </c:extLst>
              <c:f>yearly_revenue_by_rep!$T$4:$T$6</c:f>
              <c:strCache>
                <c:ptCount val="3"/>
                <c:pt idx="0">
                  <c:v>2023</c:v>
                </c:pt>
                <c:pt idx="1">
                  <c:v>2024</c:v>
                </c:pt>
                <c:pt idx="2">
                  <c:v>Total</c:v>
                </c:pt>
              </c:strCache>
            </c:strRef>
          </c:cat>
          <c:val>
            <c:numRef>
              <c:extLst>
                <c:ext xmlns:c15="http://schemas.microsoft.com/office/drawing/2012/chart" uri="{02D57815-91ED-43cb-92C2-25804820EDAC}">
                  <c15:fullRef>
                    <c15:sqref>yearly_revenue_by_rep!$Y$3:$Y$6</c15:sqref>
                  </c15:fullRef>
                </c:ext>
              </c:extLst>
              <c:f>yearly_revenue_by_rep!$Y$4:$Y$6</c:f>
              <c:numCache>
                <c:formatCode>_("£"* #,##0.00_);_("£"* \(#,##0.00\);_("£"* "-"??_);_(@_)</c:formatCode>
                <c:ptCount val="3"/>
                <c:pt idx="0">
                  <c:v>14708776.964263827</c:v>
                </c:pt>
                <c:pt idx="1">
                  <c:v>19147405.383085843</c:v>
                </c:pt>
                <c:pt idx="2">
                  <c:v>33856182.347349674</c:v>
                </c:pt>
              </c:numCache>
            </c:numRef>
          </c:val>
          <c:extLst>
            <c:ext xmlns:c16="http://schemas.microsoft.com/office/drawing/2014/chart" uri="{C3380CC4-5D6E-409C-BE32-E72D297353CC}">
              <c16:uniqueId val="{00000004-DD3B-47F6-B9FE-9F0BA1943B16}"/>
            </c:ext>
          </c:extLst>
        </c:ser>
        <c:dLbls>
          <c:showLegendKey val="0"/>
          <c:showVal val="0"/>
          <c:showCatName val="0"/>
          <c:showSerName val="0"/>
          <c:showPercent val="0"/>
          <c:showBubbleSize val="0"/>
        </c:dLbls>
        <c:gapWidth val="219"/>
        <c:overlap val="-27"/>
        <c:axId val="2030669008"/>
        <c:axId val="2030669488"/>
      </c:barChart>
      <c:catAx>
        <c:axId val="203066900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669488"/>
        <c:crosses val="autoZero"/>
        <c:auto val="1"/>
        <c:lblAlgn val="ctr"/>
        <c:lblOffset val="100"/>
        <c:noMultiLvlLbl val="0"/>
      </c:catAx>
      <c:valAx>
        <c:axId val="2030669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r>
                  <a:rPr lang="en-GB" baseline="0">
                    <a:solidFill>
                      <a:schemeClr val="tx1"/>
                    </a:solidFill>
                  </a:rPr>
                  <a:t> </a:t>
                </a:r>
                <a:r>
                  <a:rPr lang="en-GB">
                    <a:solidFill>
                      <a:schemeClr val="tx1"/>
                    </a:solidFill>
                  </a:rPr>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66900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Average Sale Value by Sales Rep</a:t>
            </a:r>
            <a:r>
              <a:rPr lang="en-GB" baseline="0">
                <a:solidFill>
                  <a:schemeClr val="tx1"/>
                </a:solidFill>
              </a:rPr>
              <a:t>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strRef>
              <c:f>avg_sale_value_by_rep!$U$2</c:f>
              <c:strCache>
                <c:ptCount val="1"/>
                <c:pt idx="0">
                  <c:v>Alice</c:v>
                </c:pt>
              </c:strCache>
            </c:strRef>
          </c:tx>
          <c:spPr>
            <a:solidFill>
              <a:schemeClr val="accent1"/>
            </a:solidFill>
            <a:ln>
              <a:solidFill>
                <a:schemeClr val="tx1"/>
              </a:solidFill>
            </a:ln>
            <a:effectLst/>
          </c:spPr>
          <c:invertIfNegative val="0"/>
          <c:cat>
            <c:numRef>
              <c:extLst>
                <c:ext xmlns:c15="http://schemas.microsoft.com/office/drawing/2012/chart" uri="{02D57815-91ED-43cb-92C2-25804820EDAC}">
                  <c15:fullRef>
                    <c15:sqref>avg_sale_value_by_rep!$T$3:$T$5</c15:sqref>
                  </c15:fullRef>
                </c:ext>
              </c:extLst>
              <c:f>avg_sale_value_by_rep!$T$4:$T$5</c:f>
              <c:numCache>
                <c:formatCode>General</c:formatCode>
                <c:ptCount val="2"/>
                <c:pt idx="0">
                  <c:v>2023</c:v>
                </c:pt>
                <c:pt idx="1">
                  <c:v>2024</c:v>
                </c:pt>
              </c:numCache>
            </c:numRef>
          </c:cat>
          <c:val>
            <c:numRef>
              <c:extLst>
                <c:ext xmlns:c15="http://schemas.microsoft.com/office/drawing/2012/chart" uri="{02D57815-91ED-43cb-92C2-25804820EDAC}">
                  <c15:fullRef>
                    <c15:sqref>avg_sale_value_by_rep!$U$3:$U$5</c15:sqref>
                  </c15:fullRef>
                </c:ext>
              </c:extLst>
              <c:f>avg_sale_value_by_rep!$U$4:$U$5</c:f>
              <c:numCache>
                <c:formatCode>_("£"* #,##0.00_);_("£"* \(#,##0.00\);_("£"* "-"??_);_(@_)</c:formatCode>
                <c:ptCount val="2"/>
                <c:pt idx="0">
                  <c:v>2643.4784971685676</c:v>
                </c:pt>
                <c:pt idx="1">
                  <c:v>3137.4375469616621</c:v>
                </c:pt>
              </c:numCache>
            </c:numRef>
          </c:val>
          <c:extLst>
            <c:ext xmlns:c16="http://schemas.microsoft.com/office/drawing/2014/chart" uri="{C3380CC4-5D6E-409C-BE32-E72D297353CC}">
              <c16:uniqueId val="{00000000-A495-418A-A3C3-8B122142DDB3}"/>
            </c:ext>
          </c:extLst>
        </c:ser>
        <c:ser>
          <c:idx val="1"/>
          <c:order val="1"/>
          <c:tx>
            <c:strRef>
              <c:f>avg_sale_value_by_rep!$V$2</c:f>
              <c:strCache>
                <c:ptCount val="1"/>
                <c:pt idx="0">
                  <c:v>Bob</c:v>
                </c:pt>
              </c:strCache>
            </c:strRef>
          </c:tx>
          <c:spPr>
            <a:solidFill>
              <a:schemeClr val="accent2"/>
            </a:solidFill>
            <a:ln>
              <a:solidFill>
                <a:schemeClr val="tx1"/>
              </a:solidFill>
            </a:ln>
            <a:effectLst/>
          </c:spPr>
          <c:invertIfNegative val="0"/>
          <c:cat>
            <c:numRef>
              <c:extLst>
                <c:ext xmlns:c15="http://schemas.microsoft.com/office/drawing/2012/chart" uri="{02D57815-91ED-43cb-92C2-25804820EDAC}">
                  <c15:fullRef>
                    <c15:sqref>avg_sale_value_by_rep!$T$3:$T$5</c15:sqref>
                  </c15:fullRef>
                </c:ext>
              </c:extLst>
              <c:f>avg_sale_value_by_rep!$T$4:$T$5</c:f>
              <c:numCache>
                <c:formatCode>General</c:formatCode>
                <c:ptCount val="2"/>
                <c:pt idx="0">
                  <c:v>2023</c:v>
                </c:pt>
                <c:pt idx="1">
                  <c:v>2024</c:v>
                </c:pt>
              </c:numCache>
            </c:numRef>
          </c:cat>
          <c:val>
            <c:numRef>
              <c:extLst>
                <c:ext xmlns:c15="http://schemas.microsoft.com/office/drawing/2012/chart" uri="{02D57815-91ED-43cb-92C2-25804820EDAC}">
                  <c15:fullRef>
                    <c15:sqref>avg_sale_value_by_rep!$V$3:$V$5</c15:sqref>
                  </c15:fullRef>
                </c:ext>
              </c:extLst>
              <c:f>avg_sale_value_by_rep!$V$4:$V$5</c:f>
              <c:numCache>
                <c:formatCode>_("£"* #,##0.00_);_("£"* \(#,##0.00\);_("£"* "-"??_);_(@_)</c:formatCode>
                <c:ptCount val="2"/>
                <c:pt idx="0">
                  <c:v>2679.0204349614896</c:v>
                </c:pt>
                <c:pt idx="1">
                  <c:v>3136.7059792165442</c:v>
                </c:pt>
              </c:numCache>
            </c:numRef>
          </c:val>
          <c:extLst>
            <c:ext xmlns:c16="http://schemas.microsoft.com/office/drawing/2014/chart" uri="{C3380CC4-5D6E-409C-BE32-E72D297353CC}">
              <c16:uniqueId val="{00000001-A495-418A-A3C3-8B122142DDB3}"/>
            </c:ext>
          </c:extLst>
        </c:ser>
        <c:ser>
          <c:idx val="2"/>
          <c:order val="2"/>
          <c:tx>
            <c:strRef>
              <c:f>avg_sale_value_by_rep!$W$2</c:f>
              <c:strCache>
                <c:ptCount val="1"/>
                <c:pt idx="0">
                  <c:v>Charlie</c:v>
                </c:pt>
              </c:strCache>
            </c:strRef>
          </c:tx>
          <c:spPr>
            <a:solidFill>
              <a:schemeClr val="accent3"/>
            </a:solidFill>
            <a:ln>
              <a:solidFill>
                <a:schemeClr val="tx1"/>
              </a:solidFill>
            </a:ln>
            <a:effectLst/>
          </c:spPr>
          <c:invertIfNegative val="0"/>
          <c:cat>
            <c:numRef>
              <c:extLst>
                <c:ext xmlns:c15="http://schemas.microsoft.com/office/drawing/2012/chart" uri="{02D57815-91ED-43cb-92C2-25804820EDAC}">
                  <c15:fullRef>
                    <c15:sqref>avg_sale_value_by_rep!$T$3:$T$5</c15:sqref>
                  </c15:fullRef>
                </c:ext>
              </c:extLst>
              <c:f>avg_sale_value_by_rep!$T$4:$T$5</c:f>
              <c:numCache>
                <c:formatCode>General</c:formatCode>
                <c:ptCount val="2"/>
                <c:pt idx="0">
                  <c:v>2023</c:v>
                </c:pt>
                <c:pt idx="1">
                  <c:v>2024</c:v>
                </c:pt>
              </c:numCache>
            </c:numRef>
          </c:cat>
          <c:val>
            <c:numRef>
              <c:extLst>
                <c:ext xmlns:c15="http://schemas.microsoft.com/office/drawing/2012/chart" uri="{02D57815-91ED-43cb-92C2-25804820EDAC}">
                  <c15:fullRef>
                    <c15:sqref>avg_sale_value_by_rep!$W$3:$W$5</c15:sqref>
                  </c15:fullRef>
                </c:ext>
              </c:extLst>
              <c:f>avg_sale_value_by_rep!$W$4:$W$5</c:f>
              <c:numCache>
                <c:formatCode>_("£"* #,##0.00_);_("£"* \(#,##0.00\);_("£"* "-"??_);_(@_)</c:formatCode>
                <c:ptCount val="2"/>
                <c:pt idx="0">
                  <c:v>2628.0000035402263</c:v>
                </c:pt>
                <c:pt idx="1">
                  <c:v>3096.6670684112946</c:v>
                </c:pt>
              </c:numCache>
            </c:numRef>
          </c:val>
          <c:extLst>
            <c:ext xmlns:c16="http://schemas.microsoft.com/office/drawing/2014/chart" uri="{C3380CC4-5D6E-409C-BE32-E72D297353CC}">
              <c16:uniqueId val="{00000002-A495-418A-A3C3-8B122142DDB3}"/>
            </c:ext>
          </c:extLst>
        </c:ser>
        <c:ser>
          <c:idx val="3"/>
          <c:order val="3"/>
          <c:tx>
            <c:strRef>
              <c:f>avg_sale_value_by_rep!$X$2</c:f>
              <c:strCache>
                <c:ptCount val="1"/>
                <c:pt idx="0">
                  <c:v>David</c:v>
                </c:pt>
              </c:strCache>
            </c:strRef>
          </c:tx>
          <c:spPr>
            <a:solidFill>
              <a:schemeClr val="accent4"/>
            </a:solidFill>
            <a:ln>
              <a:solidFill>
                <a:schemeClr val="tx1"/>
              </a:solidFill>
            </a:ln>
            <a:effectLst/>
          </c:spPr>
          <c:invertIfNegative val="0"/>
          <c:cat>
            <c:numRef>
              <c:extLst>
                <c:ext xmlns:c15="http://schemas.microsoft.com/office/drawing/2012/chart" uri="{02D57815-91ED-43cb-92C2-25804820EDAC}">
                  <c15:fullRef>
                    <c15:sqref>avg_sale_value_by_rep!$T$3:$T$5</c15:sqref>
                  </c15:fullRef>
                </c:ext>
              </c:extLst>
              <c:f>avg_sale_value_by_rep!$T$4:$T$5</c:f>
              <c:numCache>
                <c:formatCode>General</c:formatCode>
                <c:ptCount val="2"/>
                <c:pt idx="0">
                  <c:v>2023</c:v>
                </c:pt>
                <c:pt idx="1">
                  <c:v>2024</c:v>
                </c:pt>
              </c:numCache>
            </c:numRef>
          </c:cat>
          <c:val>
            <c:numRef>
              <c:extLst>
                <c:ext xmlns:c15="http://schemas.microsoft.com/office/drawing/2012/chart" uri="{02D57815-91ED-43cb-92C2-25804820EDAC}">
                  <c15:fullRef>
                    <c15:sqref>avg_sale_value_by_rep!$X$3:$X$5</c15:sqref>
                  </c15:fullRef>
                </c:ext>
              </c:extLst>
              <c:f>avg_sale_value_by_rep!$X$4:$X$5</c:f>
              <c:numCache>
                <c:formatCode>_("£"* #,##0.00_);_("£"* \(#,##0.00\);_("£"* "-"??_);_(@_)</c:formatCode>
                <c:ptCount val="2"/>
                <c:pt idx="0">
                  <c:v>2662.6599620070938</c:v>
                </c:pt>
                <c:pt idx="1">
                  <c:v>3247.7204420514317</c:v>
                </c:pt>
              </c:numCache>
            </c:numRef>
          </c:val>
          <c:extLst>
            <c:ext xmlns:c16="http://schemas.microsoft.com/office/drawing/2014/chart" uri="{C3380CC4-5D6E-409C-BE32-E72D297353CC}">
              <c16:uniqueId val="{00000005-A495-418A-A3C3-8B122142DDB3}"/>
            </c:ext>
          </c:extLst>
        </c:ser>
        <c:ser>
          <c:idx val="4"/>
          <c:order val="4"/>
          <c:tx>
            <c:strRef>
              <c:f>avg_sale_value_by_rep!$Y$2</c:f>
              <c:strCache>
                <c:ptCount val="1"/>
                <c:pt idx="0">
                  <c:v>Eve</c:v>
                </c:pt>
              </c:strCache>
            </c:strRef>
          </c:tx>
          <c:spPr>
            <a:solidFill>
              <a:schemeClr val="accent5"/>
            </a:solidFill>
            <a:ln>
              <a:solidFill>
                <a:schemeClr val="tx1"/>
              </a:solidFill>
            </a:ln>
            <a:effectLst/>
          </c:spPr>
          <c:invertIfNegative val="0"/>
          <c:cat>
            <c:numRef>
              <c:extLst>
                <c:ext xmlns:c15="http://schemas.microsoft.com/office/drawing/2012/chart" uri="{02D57815-91ED-43cb-92C2-25804820EDAC}">
                  <c15:fullRef>
                    <c15:sqref>avg_sale_value_by_rep!$T$3:$T$5</c15:sqref>
                  </c15:fullRef>
                </c:ext>
              </c:extLst>
              <c:f>avg_sale_value_by_rep!$T$4:$T$5</c:f>
              <c:numCache>
                <c:formatCode>General</c:formatCode>
                <c:ptCount val="2"/>
                <c:pt idx="0">
                  <c:v>2023</c:v>
                </c:pt>
                <c:pt idx="1">
                  <c:v>2024</c:v>
                </c:pt>
              </c:numCache>
            </c:numRef>
          </c:cat>
          <c:val>
            <c:numRef>
              <c:extLst>
                <c:ext xmlns:c15="http://schemas.microsoft.com/office/drawing/2012/chart" uri="{02D57815-91ED-43cb-92C2-25804820EDAC}">
                  <c15:fullRef>
                    <c15:sqref>avg_sale_value_by_rep!$Y$3:$Y$5</c15:sqref>
                  </c15:fullRef>
                </c:ext>
              </c:extLst>
              <c:f>avg_sale_value_by_rep!$Y$4:$Y$5</c:f>
              <c:numCache>
                <c:formatCode>_("£"* #,##0.00_);_("£"* \(#,##0.00\);_("£"* "-"??_);_(@_)</c:formatCode>
                <c:ptCount val="2"/>
                <c:pt idx="0">
                  <c:v>2759.3898889393145</c:v>
                </c:pt>
                <c:pt idx="1">
                  <c:v>3119.0973557077918</c:v>
                </c:pt>
              </c:numCache>
            </c:numRef>
          </c:val>
          <c:extLst>
            <c:ext xmlns:c16="http://schemas.microsoft.com/office/drawing/2014/chart" uri="{C3380CC4-5D6E-409C-BE32-E72D297353CC}">
              <c16:uniqueId val="{00000006-A495-418A-A3C3-8B122142DDB3}"/>
            </c:ext>
          </c:extLst>
        </c:ser>
        <c:dLbls>
          <c:showLegendKey val="0"/>
          <c:showVal val="0"/>
          <c:showCatName val="0"/>
          <c:showSerName val="0"/>
          <c:showPercent val="0"/>
          <c:showBubbleSize val="0"/>
        </c:dLbls>
        <c:gapWidth val="219"/>
        <c:overlap val="-27"/>
        <c:axId val="2030669008"/>
        <c:axId val="2030669488"/>
      </c:barChart>
      <c:catAx>
        <c:axId val="203066900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669488"/>
        <c:crosses val="autoZero"/>
        <c:auto val="1"/>
        <c:lblAlgn val="ctr"/>
        <c:lblOffset val="100"/>
        <c:noMultiLvlLbl val="0"/>
      </c:catAx>
      <c:valAx>
        <c:axId val="2030669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Average Sale Value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66900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AMA Profit by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2"/>
          <c:order val="0"/>
          <c:tx>
            <c:v>AMA Alice</c:v>
          </c:tx>
          <c:spPr>
            <a:ln w="28575" cap="rnd">
              <a:solidFill>
                <a:schemeClr val="accent5">
                  <a:lumMod val="50000"/>
                </a:schemeClr>
              </a:solidFill>
              <a:round/>
            </a:ln>
            <a:effectLst/>
          </c:spPr>
          <c:marker>
            <c:symbol val="none"/>
          </c:marker>
          <c:cat>
            <c:multiLvlStrRef>
              <c:f>profit_by_rep!$A$23:$B$46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profit_by_rep!$H$23:$H$46</c:f>
              <c:numCache>
                <c:formatCode>_("£"* #,##0.00_);_("£"* \(#,##0.00\);_("£"* "-"??_);_(@_)</c:formatCode>
                <c:ptCount val="24"/>
                <c:pt idx="0">
                  <c:v>597542.17329166655</c:v>
                </c:pt>
                <c:pt idx="1">
                  <c:v>554991.58030833339</c:v>
                </c:pt>
                <c:pt idx="2">
                  <c:v>499294.23759999993</c:v>
                </c:pt>
                <c:pt idx="3">
                  <c:v>451159.70640833332</c:v>
                </c:pt>
                <c:pt idx="4">
                  <c:v>418262.3373833333</c:v>
                </c:pt>
                <c:pt idx="5">
                  <c:v>326799.66083333333</c:v>
                </c:pt>
                <c:pt idx="6">
                  <c:v>275755.79772500001</c:v>
                </c:pt>
                <c:pt idx="7">
                  <c:v>235403.4589083333</c:v>
                </c:pt>
                <c:pt idx="8">
                  <c:v>180115.02580000003</c:v>
                </c:pt>
                <c:pt idx="9">
                  <c:v>133805.394875</c:v>
                </c:pt>
                <c:pt idx="10">
                  <c:v>96940.850774999984</c:v>
                </c:pt>
                <c:pt idx="11">
                  <c:v>67962.220991666647</c:v>
                </c:pt>
                <c:pt idx="12">
                  <c:v>100665.44305</c:v>
                </c:pt>
                <c:pt idx="13">
                  <c:v>148523.33004166666</c:v>
                </c:pt>
                <c:pt idx="14">
                  <c:v>210155.87933333335</c:v>
                </c:pt>
                <c:pt idx="15">
                  <c:v>276580.74562499998</c:v>
                </c:pt>
                <c:pt idx="16">
                  <c:v>362050.89536666666</c:v>
                </c:pt>
                <c:pt idx="17">
                  <c:v>410517.66055833321</c:v>
                </c:pt>
                <c:pt idx="18">
                  <c:v>477638.79529999994</c:v>
                </c:pt>
                <c:pt idx="19">
                  <c:v>500466.58185000002</c:v>
                </c:pt>
                <c:pt idx="20">
                  <c:v>548433.08620833338</c:v>
                </c:pt>
                <c:pt idx="21">
                  <c:v>614522.61477500002</c:v>
                </c:pt>
                <c:pt idx="22">
                  <c:v>644798.15444166667</c:v>
                </c:pt>
                <c:pt idx="23">
                  <c:v>669619.10564166668</c:v>
                </c:pt>
              </c:numCache>
            </c:numRef>
          </c:val>
          <c:smooth val="0"/>
          <c:extLst>
            <c:ext xmlns:c16="http://schemas.microsoft.com/office/drawing/2014/chart" uri="{C3380CC4-5D6E-409C-BE32-E72D297353CC}">
              <c16:uniqueId val="{00000000-34C5-4920-9312-9E5D291B8F8C}"/>
            </c:ext>
          </c:extLst>
        </c:ser>
        <c:ser>
          <c:idx val="0"/>
          <c:order val="1"/>
          <c:tx>
            <c:v>AMA Bob</c:v>
          </c:tx>
          <c:spPr>
            <a:ln w="28575" cap="rnd">
              <a:solidFill>
                <a:schemeClr val="accent4">
                  <a:lumMod val="60000"/>
                  <a:lumOff val="40000"/>
                </a:schemeClr>
              </a:solidFill>
              <a:round/>
            </a:ln>
            <a:effectLst/>
          </c:spPr>
          <c:marker>
            <c:symbol val="none"/>
          </c:marker>
          <c:val>
            <c:numRef>
              <c:f>profit_by_rep!$N$23:$N$46</c:f>
              <c:numCache>
                <c:formatCode>_("£"* #,##0.00_);_("£"* \(#,##0.00\);_("£"* "-"??_);_(@_)</c:formatCode>
                <c:ptCount val="24"/>
                <c:pt idx="0">
                  <c:v>475846.31075833325</c:v>
                </c:pt>
                <c:pt idx="1">
                  <c:v>444507.29431666667</c:v>
                </c:pt>
                <c:pt idx="2">
                  <c:v>422628.06939999998</c:v>
                </c:pt>
                <c:pt idx="3">
                  <c:v>373581.13911666669</c:v>
                </c:pt>
                <c:pt idx="4">
                  <c:v>342036.19667499996</c:v>
                </c:pt>
                <c:pt idx="5">
                  <c:v>293366.98354999995</c:v>
                </c:pt>
                <c:pt idx="6">
                  <c:v>257994.23341666663</c:v>
                </c:pt>
                <c:pt idx="7">
                  <c:v>228582.4445333333</c:v>
                </c:pt>
                <c:pt idx="8">
                  <c:v>189782.22297499995</c:v>
                </c:pt>
                <c:pt idx="9">
                  <c:v>142784.90881666666</c:v>
                </c:pt>
                <c:pt idx="10">
                  <c:v>110349.05898333331</c:v>
                </c:pt>
                <c:pt idx="11">
                  <c:v>58830.155349999994</c:v>
                </c:pt>
                <c:pt idx="12">
                  <c:v>95400.048183333318</c:v>
                </c:pt>
                <c:pt idx="13">
                  <c:v>126484.89842499998</c:v>
                </c:pt>
                <c:pt idx="14">
                  <c:v>194670.38919999998</c:v>
                </c:pt>
                <c:pt idx="15">
                  <c:v>235761.89587499996</c:v>
                </c:pt>
                <c:pt idx="16">
                  <c:v>271306.69091666664</c:v>
                </c:pt>
                <c:pt idx="17">
                  <c:v>300066.20931666665</c:v>
                </c:pt>
                <c:pt idx="18">
                  <c:v>347323.82407500001</c:v>
                </c:pt>
                <c:pt idx="19">
                  <c:v>406193.36348333332</c:v>
                </c:pt>
                <c:pt idx="20">
                  <c:v>441950.04896666668</c:v>
                </c:pt>
                <c:pt idx="21">
                  <c:v>476168.41300833336</c:v>
                </c:pt>
                <c:pt idx="22">
                  <c:v>506730.71879166667</c:v>
                </c:pt>
                <c:pt idx="23">
                  <c:v>613076.84574166662</c:v>
                </c:pt>
              </c:numCache>
            </c:numRef>
          </c:val>
          <c:smooth val="0"/>
          <c:extLst>
            <c:ext xmlns:c16="http://schemas.microsoft.com/office/drawing/2014/chart" uri="{C3380CC4-5D6E-409C-BE32-E72D297353CC}">
              <c16:uniqueId val="{00000001-34C5-4920-9312-9E5D291B8F8C}"/>
            </c:ext>
          </c:extLst>
        </c:ser>
        <c:ser>
          <c:idx val="1"/>
          <c:order val="2"/>
          <c:tx>
            <c:v>AMA Charlie</c:v>
          </c:tx>
          <c:spPr>
            <a:ln w="28575" cap="rnd">
              <a:solidFill>
                <a:schemeClr val="accent3">
                  <a:lumMod val="50000"/>
                </a:schemeClr>
              </a:solidFill>
              <a:round/>
            </a:ln>
            <a:effectLst/>
          </c:spPr>
          <c:marker>
            <c:symbol val="none"/>
          </c:marker>
          <c:val>
            <c:numRef>
              <c:f>profit_by_rep!$T$23:$T$46</c:f>
              <c:numCache>
                <c:formatCode>_("£"* #,##0.00_);_("£"* \(#,##0.00\);_("£"* "-"??_);_(@_)</c:formatCode>
                <c:ptCount val="24"/>
                <c:pt idx="0">
                  <c:v>518709.01435833325</c:v>
                </c:pt>
                <c:pt idx="1">
                  <c:v>481235.46307500004</c:v>
                </c:pt>
                <c:pt idx="2">
                  <c:v>432297.43185833329</c:v>
                </c:pt>
                <c:pt idx="3">
                  <c:v>360449.83526666666</c:v>
                </c:pt>
                <c:pt idx="4">
                  <c:v>292232.04041666671</c:v>
                </c:pt>
                <c:pt idx="5">
                  <c:v>254751.48037500004</c:v>
                </c:pt>
                <c:pt idx="6">
                  <c:v>213212.25821666667</c:v>
                </c:pt>
                <c:pt idx="7">
                  <c:v>175613.99222500002</c:v>
                </c:pt>
                <c:pt idx="8">
                  <c:v>168045.10788333332</c:v>
                </c:pt>
                <c:pt idx="9">
                  <c:v>121237.6902833333</c:v>
                </c:pt>
                <c:pt idx="10">
                  <c:v>80232.58455</c:v>
                </c:pt>
                <c:pt idx="11">
                  <c:v>58064.068766666664</c:v>
                </c:pt>
                <c:pt idx="12">
                  <c:v>101516.35109166666</c:v>
                </c:pt>
                <c:pt idx="13">
                  <c:v>139233.06820833331</c:v>
                </c:pt>
                <c:pt idx="14">
                  <c:v>236928.69560833331</c:v>
                </c:pt>
                <c:pt idx="15">
                  <c:v>239063.93190833332</c:v>
                </c:pt>
                <c:pt idx="16">
                  <c:v>270757.174275</c:v>
                </c:pt>
                <c:pt idx="17">
                  <c:v>311158.63310000004</c:v>
                </c:pt>
                <c:pt idx="18">
                  <c:v>330251.47513333336</c:v>
                </c:pt>
                <c:pt idx="19">
                  <c:v>354839.74444999994</c:v>
                </c:pt>
                <c:pt idx="20">
                  <c:v>401301.25158333336</c:v>
                </c:pt>
                <c:pt idx="21">
                  <c:v>460920.33778333338</c:v>
                </c:pt>
                <c:pt idx="22">
                  <c:v>498363.01244166674</c:v>
                </c:pt>
                <c:pt idx="23">
                  <c:v>523829.71680833335</c:v>
                </c:pt>
              </c:numCache>
            </c:numRef>
          </c:val>
          <c:smooth val="0"/>
          <c:extLst>
            <c:ext xmlns:c16="http://schemas.microsoft.com/office/drawing/2014/chart" uri="{C3380CC4-5D6E-409C-BE32-E72D297353CC}">
              <c16:uniqueId val="{00000002-34C5-4920-9312-9E5D291B8F8C}"/>
            </c:ext>
          </c:extLst>
        </c:ser>
        <c:ser>
          <c:idx val="3"/>
          <c:order val="3"/>
          <c:tx>
            <c:v>AMA David</c:v>
          </c:tx>
          <c:spPr>
            <a:ln w="28575" cap="rnd">
              <a:solidFill>
                <a:srgbClr val="C00000"/>
              </a:solidFill>
              <a:round/>
            </a:ln>
            <a:effectLst/>
          </c:spPr>
          <c:marker>
            <c:symbol val="none"/>
          </c:marker>
          <c:val>
            <c:numRef>
              <c:f>profit_by_rep!$Z$23:$Z$46</c:f>
              <c:numCache>
                <c:formatCode>_("£"* #,##0.00_);_("£"* \(#,##0.00\);_("£"* "-"??_);_(@_)</c:formatCode>
                <c:ptCount val="24"/>
                <c:pt idx="0">
                  <c:v>546528.11955833342</c:v>
                </c:pt>
                <c:pt idx="1">
                  <c:v>477599.71180000011</c:v>
                </c:pt>
                <c:pt idx="2">
                  <c:v>464473.01815000013</c:v>
                </c:pt>
                <c:pt idx="3">
                  <c:v>410338.59787500015</c:v>
                </c:pt>
                <c:pt idx="4">
                  <c:v>356305.41202500003</c:v>
                </c:pt>
                <c:pt idx="5">
                  <c:v>335011.1133416667</c:v>
                </c:pt>
                <c:pt idx="6">
                  <c:v>306326.89295000007</c:v>
                </c:pt>
                <c:pt idx="7">
                  <c:v>241457.57531666671</c:v>
                </c:pt>
                <c:pt idx="8">
                  <c:v>187897.33235833337</c:v>
                </c:pt>
                <c:pt idx="9">
                  <c:v>165328.14673333327</c:v>
                </c:pt>
                <c:pt idx="10">
                  <c:v>98732.729391666653</c:v>
                </c:pt>
                <c:pt idx="11">
                  <c:v>79143.168983333322</c:v>
                </c:pt>
                <c:pt idx="12">
                  <c:v>143596.60981666666</c:v>
                </c:pt>
                <c:pt idx="13">
                  <c:v>162362.19734166667</c:v>
                </c:pt>
                <c:pt idx="14">
                  <c:v>200018.49474166668</c:v>
                </c:pt>
                <c:pt idx="15">
                  <c:v>238200.94943333336</c:v>
                </c:pt>
                <c:pt idx="16">
                  <c:v>285186.82767500001</c:v>
                </c:pt>
                <c:pt idx="17">
                  <c:v>328674.32924999995</c:v>
                </c:pt>
                <c:pt idx="18">
                  <c:v>374830.00749166665</c:v>
                </c:pt>
                <c:pt idx="19">
                  <c:v>396299.11423333338</c:v>
                </c:pt>
                <c:pt idx="20">
                  <c:v>451359.47437499993</c:v>
                </c:pt>
                <c:pt idx="21">
                  <c:v>512370.16306666663</c:v>
                </c:pt>
                <c:pt idx="22">
                  <c:v>564269.01275000011</c:v>
                </c:pt>
                <c:pt idx="23">
                  <c:v>591899.22956666665</c:v>
                </c:pt>
              </c:numCache>
            </c:numRef>
          </c:val>
          <c:smooth val="0"/>
          <c:extLst>
            <c:ext xmlns:c16="http://schemas.microsoft.com/office/drawing/2014/chart" uri="{C3380CC4-5D6E-409C-BE32-E72D297353CC}">
              <c16:uniqueId val="{00000003-34C5-4920-9312-9E5D291B8F8C}"/>
            </c:ext>
          </c:extLst>
        </c:ser>
        <c:ser>
          <c:idx val="4"/>
          <c:order val="4"/>
          <c:tx>
            <c:v>AMA Eve</c:v>
          </c:tx>
          <c:spPr>
            <a:ln w="28575" cap="rnd">
              <a:solidFill>
                <a:srgbClr val="FFC000"/>
              </a:solidFill>
              <a:round/>
            </a:ln>
            <a:effectLst/>
          </c:spPr>
          <c:marker>
            <c:symbol val="none"/>
          </c:marker>
          <c:val>
            <c:numRef>
              <c:f>profit_by_rep!$AF$23:$AF$46</c:f>
              <c:numCache>
                <c:formatCode>_("£"* #,##0.00_);_("£"* \(#,##0.00\);_("£"* "-"??_);_(@_)</c:formatCode>
                <c:ptCount val="24"/>
                <c:pt idx="0">
                  <c:v>562789.17607499997</c:v>
                </c:pt>
                <c:pt idx="1">
                  <c:v>526078.37982499984</c:v>
                </c:pt>
                <c:pt idx="2">
                  <c:v>466429.3734499999</c:v>
                </c:pt>
                <c:pt idx="3">
                  <c:v>427859.82158333325</c:v>
                </c:pt>
                <c:pt idx="4">
                  <c:v>383473.93762499996</c:v>
                </c:pt>
                <c:pt idx="5">
                  <c:v>345891.39634166664</c:v>
                </c:pt>
                <c:pt idx="6">
                  <c:v>277904.94511666667</c:v>
                </c:pt>
                <c:pt idx="7">
                  <c:v>229477.39820833332</c:v>
                </c:pt>
                <c:pt idx="8">
                  <c:v>183931.16072499999</c:v>
                </c:pt>
                <c:pt idx="9">
                  <c:v>138820.69339999999</c:v>
                </c:pt>
                <c:pt idx="10">
                  <c:v>122895.68284166662</c:v>
                </c:pt>
                <c:pt idx="11">
                  <c:v>74160.252599999978</c:v>
                </c:pt>
                <c:pt idx="12">
                  <c:v>134298.69454166666</c:v>
                </c:pt>
                <c:pt idx="13">
                  <c:v>161009.16375833334</c:v>
                </c:pt>
                <c:pt idx="14">
                  <c:v>216716.398525</c:v>
                </c:pt>
                <c:pt idx="15">
                  <c:v>261852.20528333334</c:v>
                </c:pt>
                <c:pt idx="16">
                  <c:v>346357.408925</c:v>
                </c:pt>
                <c:pt idx="17">
                  <c:v>373388.96880833333</c:v>
                </c:pt>
                <c:pt idx="18">
                  <c:v>410941.64649166662</c:v>
                </c:pt>
                <c:pt idx="19">
                  <c:v>445409.32964999997</c:v>
                </c:pt>
                <c:pt idx="20">
                  <c:v>504082.25559999997</c:v>
                </c:pt>
                <c:pt idx="21">
                  <c:v>552520.26184166665</c:v>
                </c:pt>
                <c:pt idx="22">
                  <c:v>607404.84443333338</c:v>
                </c:pt>
                <c:pt idx="23">
                  <c:v>656298.35798333341</c:v>
                </c:pt>
              </c:numCache>
            </c:numRef>
          </c:val>
          <c:smooth val="0"/>
          <c:extLst>
            <c:ext xmlns:c16="http://schemas.microsoft.com/office/drawing/2014/chart" uri="{C3380CC4-5D6E-409C-BE32-E72D297353CC}">
              <c16:uniqueId val="{00000004-34C5-4920-9312-9E5D291B8F8C}"/>
            </c:ext>
          </c:extLst>
        </c:ser>
        <c:dLbls>
          <c:showLegendKey val="0"/>
          <c:showVal val="0"/>
          <c:showCatName val="0"/>
          <c:showSerName val="0"/>
          <c:showPercent val="0"/>
          <c:showBubbleSize val="0"/>
        </c:dLbls>
        <c:smooth val="0"/>
        <c:axId val="1515744448"/>
        <c:axId val="1515742528"/>
      </c:lineChart>
      <c:catAx>
        <c:axId val="15157444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Profit</a:t>
            </a:r>
            <a:r>
              <a:rPr lang="en-GB" baseline="0">
                <a:solidFill>
                  <a:schemeClr val="tx1"/>
                </a:solidFill>
              </a:rPr>
              <a:t> by Rep</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lineChart>
        <c:grouping val="standard"/>
        <c:varyColors val="0"/>
        <c:ser>
          <c:idx val="2"/>
          <c:order val="0"/>
          <c:tx>
            <c:v>Alice</c:v>
          </c:tx>
          <c:spPr>
            <a:ln w="28575" cap="rnd">
              <a:solidFill>
                <a:schemeClr val="accent3"/>
              </a:solidFill>
              <a:round/>
            </a:ln>
            <a:effectLst/>
          </c:spPr>
          <c:marker>
            <c:symbol val="none"/>
          </c:marker>
          <c:cat>
            <c:multiLvlStrRef>
              <c:f>profit_by_rep!$A$23:$B$46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profit_by_rep!$G$23:$G$46</c:f>
              <c:numCache>
                <c:formatCode>_("£"* #,##0.00_);_("£"* \(#,##0.00\);_("£"* "-"??_);_(@_)</c:formatCode>
                <c:ptCount val="24"/>
                <c:pt idx="0">
                  <c:v>44110.243000000031</c:v>
                </c:pt>
                <c:pt idx="1">
                  <c:v>82258.053200000009</c:v>
                </c:pt>
                <c:pt idx="2">
                  <c:v>61243.414599999982</c:v>
                </c:pt>
                <c:pt idx="3">
                  <c:v>59173.254200000025</c:v>
                </c:pt>
                <c:pt idx="4">
                  <c:v>63529.200699999958</c:v>
                </c:pt>
                <c:pt idx="5">
                  <c:v>60991.705499999989</c:v>
                </c:pt>
                <c:pt idx="6">
                  <c:v>65308.816199999987</c:v>
                </c:pt>
                <c:pt idx="7">
                  <c:v>82183.843599999949</c:v>
                </c:pt>
                <c:pt idx="8">
                  <c:v>34301.9522</c:v>
                </c:pt>
                <c:pt idx="9">
                  <c:v>66064.437799999985</c:v>
                </c:pt>
                <c:pt idx="10">
                  <c:v>94715.571199999977</c:v>
                </c:pt>
                <c:pt idx="11">
                  <c:v>101666.15969999992</c:v>
                </c:pt>
                <c:pt idx="12">
                  <c:v>436548.90769999998</c:v>
                </c:pt>
                <c:pt idx="13">
                  <c:v>656552.69709999999</c:v>
                </c:pt>
                <c:pt idx="14">
                  <c:v>800834.00610000012</c:v>
                </c:pt>
                <c:pt idx="15">
                  <c:v>856271.64969999995</c:v>
                </c:pt>
                <c:pt idx="16">
                  <c:v>1089170.9975999999</c:v>
                </c:pt>
                <c:pt idx="17">
                  <c:v>642592.88779999991</c:v>
                </c:pt>
                <c:pt idx="18">
                  <c:v>870762.43309999991</c:v>
                </c:pt>
                <c:pt idx="19">
                  <c:v>356117.28219999996</c:v>
                </c:pt>
                <c:pt idx="20">
                  <c:v>609900.00450000004</c:v>
                </c:pt>
                <c:pt idx="21">
                  <c:v>859138.78059999994</c:v>
                </c:pt>
                <c:pt idx="22">
                  <c:v>458022.04720000003</c:v>
                </c:pt>
                <c:pt idx="23">
                  <c:v>399517.57409999997</c:v>
                </c:pt>
              </c:numCache>
            </c:numRef>
          </c:val>
          <c:smooth val="0"/>
          <c:extLst>
            <c:ext xmlns:c16="http://schemas.microsoft.com/office/drawing/2014/chart" uri="{C3380CC4-5D6E-409C-BE32-E72D297353CC}">
              <c16:uniqueId val="{00000000-43E3-4406-AD53-C604980D40C2}"/>
            </c:ext>
          </c:extLst>
        </c:ser>
        <c:ser>
          <c:idx val="0"/>
          <c:order val="1"/>
          <c:tx>
            <c:v>Bob</c:v>
          </c:tx>
          <c:spPr>
            <a:ln w="28575" cap="rnd">
              <a:solidFill>
                <a:schemeClr val="accent1"/>
              </a:solidFill>
              <a:round/>
            </a:ln>
            <a:effectLst/>
          </c:spPr>
          <c:marker>
            <c:symbol val="none"/>
          </c:marker>
          <c:val>
            <c:numRef>
              <c:f>profit_by_rep!$M$23:$M$46</c:f>
              <c:numCache>
                <c:formatCode>_("£"* #,##0.00_);_("£"* \(#,##0.00\);_("£"* "-"??_);_(@_)</c:formatCode>
                <c:ptCount val="24"/>
                <c:pt idx="0">
                  <c:v>108736.77779999997</c:v>
                </c:pt>
                <c:pt idx="1">
                  <c:v>45912.477299999999</c:v>
                </c:pt>
                <c:pt idx="2">
                  <c:v>41801.1057</c:v>
                </c:pt>
                <c:pt idx="3">
                  <c:v>24318.359300000007</c:v>
                </c:pt>
                <c:pt idx="4">
                  <c:v>67832.64469999999</c:v>
                </c:pt>
                <c:pt idx="5">
                  <c:v>76742.751999999949</c:v>
                </c:pt>
                <c:pt idx="6">
                  <c:v>25899.830399999984</c:v>
                </c:pt>
                <c:pt idx="7">
                  <c:v>71219.443600000013</c:v>
                </c:pt>
                <c:pt idx="8">
                  <c:v>57175.620699999919</c:v>
                </c:pt>
                <c:pt idx="9">
                  <c:v>65676.67270000001</c:v>
                </c:pt>
                <c:pt idx="10">
                  <c:v>53138.702899999982</c:v>
                </c:pt>
                <c:pt idx="11">
                  <c:v>67507.477099999989</c:v>
                </c:pt>
                <c:pt idx="12">
                  <c:v>547575.49179999996</c:v>
                </c:pt>
                <c:pt idx="13">
                  <c:v>418930.6802</c:v>
                </c:pt>
                <c:pt idx="14">
                  <c:v>860026.99499999988</c:v>
                </c:pt>
                <c:pt idx="15">
                  <c:v>517416.43940000009</c:v>
                </c:pt>
                <c:pt idx="16">
                  <c:v>494370.18520000001</c:v>
                </c:pt>
                <c:pt idx="17">
                  <c:v>421856.97279999999</c:v>
                </c:pt>
                <c:pt idx="18">
                  <c:v>592991.20750000002</c:v>
                </c:pt>
                <c:pt idx="19">
                  <c:v>777653.91649999982</c:v>
                </c:pt>
                <c:pt idx="20">
                  <c:v>486255.84650000004</c:v>
                </c:pt>
                <c:pt idx="21">
                  <c:v>476297.04119999998</c:v>
                </c:pt>
                <c:pt idx="22">
                  <c:v>419886.37230000005</c:v>
                </c:pt>
                <c:pt idx="23">
                  <c:v>1343661.0004999998</c:v>
                </c:pt>
              </c:numCache>
            </c:numRef>
          </c:val>
          <c:smooth val="0"/>
          <c:extLst>
            <c:ext xmlns:c16="http://schemas.microsoft.com/office/drawing/2014/chart" uri="{C3380CC4-5D6E-409C-BE32-E72D297353CC}">
              <c16:uniqueId val="{00000001-43E3-4406-AD53-C604980D40C2}"/>
            </c:ext>
          </c:extLst>
        </c:ser>
        <c:ser>
          <c:idx val="1"/>
          <c:order val="2"/>
          <c:tx>
            <c:v>Charlie</c:v>
          </c:tx>
          <c:spPr>
            <a:ln w="28575" cap="rnd">
              <a:solidFill>
                <a:schemeClr val="accent2"/>
              </a:solidFill>
              <a:round/>
            </a:ln>
            <a:effectLst/>
          </c:spPr>
          <c:marker>
            <c:symbol val="none"/>
          </c:marker>
          <c:val>
            <c:numRef>
              <c:f>profit_by_rep!$S$23:$S$46</c:f>
              <c:numCache>
                <c:formatCode>_("£"* #,##0.00_);_("£"* \(#,##0.00\);_("£"* "-"??_);_(@_)</c:formatCode>
                <c:ptCount val="24"/>
                <c:pt idx="0">
                  <c:v>110166.81290000002</c:v>
                </c:pt>
                <c:pt idx="1">
                  <c:v>45483.079999999987</c:v>
                </c:pt>
                <c:pt idx="2">
                  <c:v>32300.037</c:v>
                </c:pt>
                <c:pt idx="3">
                  <c:v>86088.596399999937</c:v>
                </c:pt>
                <c:pt idx="4">
                  <c:v>50425.591800000002</c:v>
                </c:pt>
                <c:pt idx="5">
                  <c:v>47102.727599999969</c:v>
                </c:pt>
                <c:pt idx="6">
                  <c:v>41236.516000000032</c:v>
                </c:pt>
                <c:pt idx="7">
                  <c:v>38443.148899999993</c:v>
                </c:pt>
                <c:pt idx="8">
                  <c:v>76357.964599999978</c:v>
                </c:pt>
                <c:pt idx="9">
                  <c:v>48777.426600000006</c:v>
                </c:pt>
                <c:pt idx="10">
                  <c:v>63455.999400000001</c:v>
                </c:pt>
                <c:pt idx="11">
                  <c:v>56930.923999999985</c:v>
                </c:pt>
                <c:pt idx="12">
                  <c:v>631594.20079999999</c:v>
                </c:pt>
                <c:pt idx="13">
                  <c:v>498083.68539999996</c:v>
                </c:pt>
                <c:pt idx="14">
                  <c:v>1204647.5658</c:v>
                </c:pt>
                <c:pt idx="15">
                  <c:v>111711.432</c:v>
                </c:pt>
                <c:pt idx="16">
                  <c:v>430744.50020000001</c:v>
                </c:pt>
                <c:pt idx="17">
                  <c:v>531920.23350000009</c:v>
                </c:pt>
                <c:pt idx="18">
                  <c:v>270350.62039999996</c:v>
                </c:pt>
                <c:pt idx="19">
                  <c:v>333502.38069999998</c:v>
                </c:pt>
                <c:pt idx="20">
                  <c:v>633896.05020000006</c:v>
                </c:pt>
                <c:pt idx="21">
                  <c:v>764206.46100000013</c:v>
                </c:pt>
                <c:pt idx="22">
                  <c:v>512768.09529999999</c:v>
                </c:pt>
                <c:pt idx="23">
                  <c:v>362531.37639999995</c:v>
                </c:pt>
              </c:numCache>
            </c:numRef>
          </c:val>
          <c:smooth val="0"/>
          <c:extLst>
            <c:ext xmlns:c16="http://schemas.microsoft.com/office/drawing/2014/chart" uri="{C3380CC4-5D6E-409C-BE32-E72D297353CC}">
              <c16:uniqueId val="{00000002-43E3-4406-AD53-C604980D40C2}"/>
            </c:ext>
          </c:extLst>
        </c:ser>
        <c:ser>
          <c:idx val="3"/>
          <c:order val="3"/>
          <c:tx>
            <c:v>David</c:v>
          </c:tx>
          <c:spPr>
            <a:ln w="28575" cap="rnd">
              <a:solidFill>
                <a:schemeClr val="accent4"/>
              </a:solidFill>
              <a:round/>
            </a:ln>
            <a:effectLst/>
          </c:spPr>
          <c:marker>
            <c:symbol val="none"/>
          </c:marker>
          <c:val>
            <c:numRef>
              <c:f>profit_by_rep!$Y$23:$Y$46</c:f>
              <c:numCache>
                <c:formatCode>_("£"* #,##0.00_);_("£"* \(#,##0.00\);_("£"* "-"??_);_(@_)</c:formatCode>
                <c:ptCount val="24"/>
                <c:pt idx="0">
                  <c:v>68003.486599999975</c:v>
                </c:pt>
                <c:pt idx="1">
                  <c:v>89442.393999999957</c:v>
                </c:pt>
                <c:pt idx="2">
                  <c:v>96796.528699999995</c:v>
                </c:pt>
                <c:pt idx="3">
                  <c:v>62074.16080000002</c:v>
                </c:pt>
                <c:pt idx="4">
                  <c:v>75315.080399999977</c:v>
                </c:pt>
                <c:pt idx="5">
                  <c:v>70404.802800000034</c:v>
                </c:pt>
                <c:pt idx="6">
                  <c:v>37756.844899999989</c:v>
                </c:pt>
                <c:pt idx="7">
                  <c:v>84263.139700000014</c:v>
                </c:pt>
                <c:pt idx="8">
                  <c:v>48869.913799999995</c:v>
                </c:pt>
                <c:pt idx="9">
                  <c:v>115916.45459999991</c:v>
                </c:pt>
                <c:pt idx="10">
                  <c:v>108426.01679999994</c:v>
                </c:pt>
                <c:pt idx="11">
                  <c:v>92449.204699999987</c:v>
                </c:pt>
                <c:pt idx="12">
                  <c:v>841444.7766000001</c:v>
                </c:pt>
                <c:pt idx="13">
                  <c:v>314629.44429999997</c:v>
                </c:pt>
                <c:pt idx="14">
                  <c:v>548672.09749999992</c:v>
                </c:pt>
                <c:pt idx="15">
                  <c:v>520263.61710000003</c:v>
                </c:pt>
                <c:pt idx="16">
                  <c:v>639145.6192999999</c:v>
                </c:pt>
                <c:pt idx="17">
                  <c:v>592254.82169999997</c:v>
                </c:pt>
                <c:pt idx="18">
                  <c:v>591624.98380000005</c:v>
                </c:pt>
                <c:pt idx="19">
                  <c:v>341892.42060000007</c:v>
                </c:pt>
                <c:pt idx="20">
                  <c:v>709594.23549999995</c:v>
                </c:pt>
                <c:pt idx="21">
                  <c:v>848044.71889999998</c:v>
                </c:pt>
                <c:pt idx="22">
                  <c:v>731212.21300000022</c:v>
                </c:pt>
                <c:pt idx="23">
                  <c:v>424011.80649999995</c:v>
                </c:pt>
              </c:numCache>
            </c:numRef>
          </c:val>
          <c:smooth val="0"/>
          <c:extLst>
            <c:ext xmlns:c16="http://schemas.microsoft.com/office/drawing/2014/chart" uri="{C3380CC4-5D6E-409C-BE32-E72D297353CC}">
              <c16:uniqueId val="{00000003-43E3-4406-AD53-C604980D40C2}"/>
            </c:ext>
          </c:extLst>
        </c:ser>
        <c:ser>
          <c:idx val="4"/>
          <c:order val="4"/>
          <c:tx>
            <c:v>Eve</c:v>
          </c:tx>
          <c:spPr>
            <a:ln w="28575" cap="rnd">
              <a:solidFill>
                <a:schemeClr val="accent5"/>
              </a:solidFill>
              <a:round/>
            </a:ln>
            <a:effectLst/>
          </c:spPr>
          <c:marker>
            <c:symbol val="none"/>
          </c:marker>
          <c:val>
            <c:numRef>
              <c:f>profit_by_rep!$AE$23:$AE$46</c:f>
              <c:numCache>
                <c:formatCode>_("£"* #,##0.00_);_("£"* \(#,##0.00\);_("£"* "-"??_);_(@_)</c:formatCode>
                <c:ptCount val="24"/>
                <c:pt idx="0">
                  <c:v>101578.17719999998</c:v>
                </c:pt>
                <c:pt idx="1">
                  <c:v>68551.289999999964</c:v>
                </c:pt>
                <c:pt idx="2">
                  <c:v>83909.223699999959</c:v>
                </c:pt>
                <c:pt idx="3">
                  <c:v>76265.829099999988</c:v>
                </c:pt>
                <c:pt idx="4">
                  <c:v>57701.873799999994</c:v>
                </c:pt>
                <c:pt idx="5">
                  <c:v>112682.71709999995</c:v>
                </c:pt>
                <c:pt idx="6">
                  <c:v>69775.25589999996</c:v>
                </c:pt>
                <c:pt idx="7">
                  <c:v>78335.70580000004</c:v>
                </c:pt>
                <c:pt idx="8">
                  <c:v>68904.494999999923</c:v>
                </c:pt>
                <c:pt idx="9">
                  <c:v>68962.652000000046</c:v>
                </c:pt>
                <c:pt idx="10">
                  <c:v>50404.987399999969</c:v>
                </c:pt>
                <c:pt idx="11">
                  <c:v>52850.824199999988</c:v>
                </c:pt>
                <c:pt idx="12">
                  <c:v>823239.48050000006</c:v>
                </c:pt>
                <c:pt idx="13">
                  <c:v>389076.92060000001</c:v>
                </c:pt>
                <c:pt idx="14">
                  <c:v>752396.04090000002</c:v>
                </c:pt>
                <c:pt idx="15">
                  <c:v>617895.5101999999</c:v>
                </c:pt>
                <c:pt idx="16">
                  <c:v>1071764.3174999999</c:v>
                </c:pt>
                <c:pt idx="17">
                  <c:v>437061.43570000003</c:v>
                </c:pt>
                <c:pt idx="18">
                  <c:v>520407.38809999998</c:v>
                </c:pt>
                <c:pt idx="19">
                  <c:v>491947.90369999991</c:v>
                </c:pt>
                <c:pt idx="20">
                  <c:v>772979.60639999993</c:v>
                </c:pt>
                <c:pt idx="21">
                  <c:v>650218.72690000013</c:v>
                </c:pt>
                <c:pt idx="22">
                  <c:v>709019.97849999997</c:v>
                </c:pt>
                <c:pt idx="23">
                  <c:v>639572.98680000007</c:v>
                </c:pt>
              </c:numCache>
            </c:numRef>
          </c:val>
          <c:smooth val="0"/>
          <c:extLst>
            <c:ext xmlns:c16="http://schemas.microsoft.com/office/drawing/2014/chart" uri="{C3380CC4-5D6E-409C-BE32-E72D297353CC}">
              <c16:uniqueId val="{00000004-43E3-4406-AD53-C604980D40C2}"/>
            </c:ext>
          </c:extLst>
        </c:ser>
        <c:dLbls>
          <c:showLegendKey val="0"/>
          <c:showVal val="0"/>
          <c:showCatName val="0"/>
          <c:showSerName val="0"/>
          <c:showPercent val="0"/>
          <c:showBubbleSize val="0"/>
        </c:dLbls>
        <c:smooth val="0"/>
        <c:axId val="1515744448"/>
        <c:axId val="1515742528"/>
      </c:lineChart>
      <c:catAx>
        <c:axId val="15157444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Revenue</a:t>
            </a:r>
            <a:r>
              <a:rPr lang="en-GB" baseline="0">
                <a:solidFill>
                  <a:schemeClr val="tx1"/>
                </a:solidFill>
              </a:rPr>
              <a:t> by Region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lineChart>
        <c:grouping val="standard"/>
        <c:varyColors val="0"/>
        <c:ser>
          <c:idx val="0"/>
          <c:order val="0"/>
          <c:tx>
            <c:v>West</c:v>
          </c:tx>
          <c:spPr>
            <a:ln w="28575" cap="rnd">
              <a:solidFill>
                <a:schemeClr val="accent1"/>
              </a:solidFill>
              <a:round/>
            </a:ln>
            <a:effectLst/>
          </c:spPr>
          <c:marker>
            <c:symbol val="none"/>
          </c:marker>
          <c:cat>
            <c:multiLvlStrRef>
              <c:extLst>
                <c:ext xmlns:c15="http://schemas.microsoft.com/office/drawing/2012/chart" uri="{02D57815-91ED-43cb-92C2-25804820EDAC}">
                  <c15:fullRef>
                    <c15:sqref>revenue_by_region!$A$2:$B$37</c15:sqref>
                  </c15:fullRef>
                </c:ext>
              </c:extLst>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extLst>
                <c:ext xmlns:c15="http://schemas.microsoft.com/office/drawing/2012/chart" uri="{02D57815-91ED-43cb-92C2-25804820EDAC}">
                  <c15:fullRef>
                    <c15:sqref>revenue_by_region!$C$2:$C$37</c15:sqref>
                  </c15:fullRef>
                </c:ext>
              </c:extLst>
              <c:f>revenue_by_region!$C$14:$C$37</c:f>
              <c:numCache>
                <c:formatCode>_("£"* #,##0.00_);_("£"* \(#,##0.00\);_("£"* "-"??_);_(@_)</c:formatCode>
                <c:ptCount val="24"/>
                <c:pt idx="0">
                  <c:v>1313298.3451045689</c:v>
                </c:pt>
                <c:pt idx="1">
                  <c:v>1469328.0661647981</c:v>
                </c:pt>
                <c:pt idx="2">
                  <c:v>1596011.6901289874</c:v>
                </c:pt>
                <c:pt idx="3">
                  <c:v>1470145.5355810034</c:v>
                </c:pt>
                <c:pt idx="4">
                  <c:v>1150076.4529988712</c:v>
                </c:pt>
                <c:pt idx="5">
                  <c:v>1160646.7909126424</c:v>
                </c:pt>
                <c:pt idx="6">
                  <c:v>1212199.6968264894</c:v>
                </c:pt>
                <c:pt idx="7">
                  <c:v>1868291.7482795075</c:v>
                </c:pt>
                <c:pt idx="8">
                  <c:v>1354967.281836417</c:v>
                </c:pt>
                <c:pt idx="9">
                  <c:v>1660763.1236036015</c:v>
                </c:pt>
                <c:pt idx="10">
                  <c:v>1224110.5494815207</c:v>
                </c:pt>
                <c:pt idx="11">
                  <c:v>1651746.8903533989</c:v>
                </c:pt>
                <c:pt idx="12">
                  <c:v>1538067.9504918393</c:v>
                </c:pt>
                <c:pt idx="13">
                  <c:v>1696498.5727913636</c:v>
                </c:pt>
                <c:pt idx="14">
                  <c:v>1718546.123275066</c:v>
                </c:pt>
                <c:pt idx="15">
                  <c:v>2318826.3233053889</c:v>
                </c:pt>
                <c:pt idx="16">
                  <c:v>1277210.7198673652</c:v>
                </c:pt>
                <c:pt idx="17">
                  <c:v>1853700.4193979045</c:v>
                </c:pt>
                <c:pt idx="18">
                  <c:v>1557740.4029106293</c:v>
                </c:pt>
                <c:pt idx="19">
                  <c:v>1764651.974493755</c:v>
                </c:pt>
                <c:pt idx="20">
                  <c:v>1108183.490349588</c:v>
                </c:pt>
                <c:pt idx="21">
                  <c:v>2270698.7028171108</c:v>
                </c:pt>
                <c:pt idx="22">
                  <c:v>935028.52825854858</c:v>
                </c:pt>
                <c:pt idx="23">
                  <c:v>1636887.4537109507</c:v>
                </c:pt>
              </c:numCache>
            </c:numRef>
          </c:val>
          <c:smooth val="0"/>
          <c:extLst>
            <c:ext xmlns:c16="http://schemas.microsoft.com/office/drawing/2014/chart" uri="{C3380CC4-5D6E-409C-BE32-E72D297353CC}">
              <c16:uniqueId val="{00000000-9C80-44F3-8D5F-5C85EAF8B547}"/>
            </c:ext>
          </c:extLst>
        </c:ser>
        <c:ser>
          <c:idx val="1"/>
          <c:order val="1"/>
          <c:tx>
            <c:v>South</c:v>
          </c:tx>
          <c:spPr>
            <a:ln w="28575" cap="rnd">
              <a:solidFill>
                <a:schemeClr val="accent2"/>
              </a:solidFill>
              <a:round/>
            </a:ln>
            <a:effectLst/>
          </c:spPr>
          <c:marker>
            <c:symbol val="none"/>
          </c:marker>
          <c:cat>
            <c:strLit>
              <c:ptCount val="24"/>
              <c:pt idx="0">
                <c:v>2023 Jan</c:v>
              </c:pt>
              <c:pt idx="1">
                <c:v>2023 Feb</c:v>
              </c:pt>
              <c:pt idx="2">
                <c:v>2023 Mar</c:v>
              </c:pt>
              <c:pt idx="3">
                <c:v>2023 Apr</c:v>
              </c:pt>
              <c:pt idx="4">
                <c:v>2023 May</c:v>
              </c:pt>
              <c:pt idx="5">
                <c:v>2023 Jun</c:v>
              </c:pt>
              <c:pt idx="6">
                <c:v>2023 Jul</c:v>
              </c:pt>
              <c:pt idx="7">
                <c:v>2023 Aug</c:v>
              </c:pt>
              <c:pt idx="8">
                <c:v>2023 Sep</c:v>
              </c:pt>
              <c:pt idx="9">
                <c:v>2023 Oct</c:v>
              </c:pt>
              <c:pt idx="10">
                <c:v>2023 Nov</c:v>
              </c:pt>
              <c:pt idx="11">
                <c:v>2023 Dec</c:v>
              </c:pt>
              <c:pt idx="12">
                <c:v>2024 Jan</c:v>
              </c:pt>
              <c:pt idx="13">
                <c:v>2024 Feb</c:v>
              </c:pt>
              <c:pt idx="14">
                <c:v>2024 Mar</c:v>
              </c:pt>
              <c:pt idx="15">
                <c:v>2024 Apr</c:v>
              </c:pt>
              <c:pt idx="16">
                <c:v>2024 May</c:v>
              </c:pt>
              <c:pt idx="17">
                <c:v>2024 Jun</c:v>
              </c:pt>
              <c:pt idx="18">
                <c:v>2024 Jul</c:v>
              </c:pt>
              <c:pt idx="19">
                <c:v>2024 Aug</c:v>
              </c:pt>
              <c:pt idx="20">
                <c:v>2024 Sep</c:v>
              </c:pt>
              <c:pt idx="21">
                <c:v>2024 Oct</c:v>
              </c:pt>
              <c:pt idx="22">
                <c:v>2024 Nov</c:v>
              </c:pt>
              <c:pt idx="23">
                <c:v>2024 Dec</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revenue_by_region!$E$2:$E$37</c15:sqref>
                  </c15:fullRef>
                </c:ext>
              </c:extLst>
              <c:f>revenue_by_region!$E$14:$E$37</c:f>
              <c:numCache>
                <c:formatCode>_("£"* #,##0.00_);_("£"* \(#,##0.00\);_("£"* "-"??_);_(@_)</c:formatCode>
                <c:ptCount val="24"/>
                <c:pt idx="0">
                  <c:v>1485330.1073239185</c:v>
                </c:pt>
                <c:pt idx="1">
                  <c:v>885007.63224663283</c:v>
                </c:pt>
                <c:pt idx="2">
                  <c:v>1317364.5040097458</c:v>
                </c:pt>
                <c:pt idx="3">
                  <c:v>1685007.0915487446</c:v>
                </c:pt>
                <c:pt idx="4">
                  <c:v>1528837.4357423829</c:v>
                </c:pt>
                <c:pt idx="5">
                  <c:v>1328222.4325507137</c:v>
                </c:pt>
                <c:pt idx="6">
                  <c:v>896041.07281016489</c:v>
                </c:pt>
                <c:pt idx="7">
                  <c:v>1689757.9871172209</c:v>
                </c:pt>
                <c:pt idx="8">
                  <c:v>1081341.4092928956</c:v>
                </c:pt>
                <c:pt idx="9">
                  <c:v>1426346.217751178</c:v>
                </c:pt>
                <c:pt idx="10">
                  <c:v>912551.77851438767</c:v>
                </c:pt>
                <c:pt idx="11">
                  <c:v>1486483.3689270783</c:v>
                </c:pt>
                <c:pt idx="12">
                  <c:v>1974013.2516510694</c:v>
                </c:pt>
                <c:pt idx="13">
                  <c:v>1646382.6363424866</c:v>
                </c:pt>
                <c:pt idx="14">
                  <c:v>2328409.1049276418</c:v>
                </c:pt>
                <c:pt idx="15">
                  <c:v>1201284.253725596</c:v>
                </c:pt>
                <c:pt idx="16">
                  <c:v>2639100.6213051314</c:v>
                </c:pt>
                <c:pt idx="17">
                  <c:v>1512364.3277432774</c:v>
                </c:pt>
                <c:pt idx="18">
                  <c:v>1392545.2216147154</c:v>
                </c:pt>
                <c:pt idx="19">
                  <c:v>1421707.5165097686</c:v>
                </c:pt>
                <c:pt idx="20">
                  <c:v>2523605.7972657834</c:v>
                </c:pt>
                <c:pt idx="21">
                  <c:v>2301448.3085401319</c:v>
                </c:pt>
                <c:pt idx="22">
                  <c:v>1377008.0396540898</c:v>
                </c:pt>
                <c:pt idx="23">
                  <c:v>1177214.4683008974</c:v>
                </c:pt>
              </c:numCache>
            </c:numRef>
          </c:val>
          <c:smooth val="0"/>
          <c:extLst>
            <c:ext xmlns:c16="http://schemas.microsoft.com/office/drawing/2014/chart" uri="{C3380CC4-5D6E-409C-BE32-E72D297353CC}">
              <c16:uniqueId val="{00000001-9C80-44F3-8D5F-5C85EAF8B547}"/>
            </c:ext>
          </c:extLst>
        </c:ser>
        <c:ser>
          <c:idx val="2"/>
          <c:order val="2"/>
          <c:tx>
            <c:v>East</c:v>
          </c:tx>
          <c:spPr>
            <a:ln w="28575" cap="rnd">
              <a:solidFill>
                <a:schemeClr val="accent3"/>
              </a:solidFill>
              <a:round/>
            </a:ln>
            <a:effectLst/>
          </c:spPr>
          <c:marker>
            <c:symbol val="none"/>
          </c:marker>
          <c:cat>
            <c:strLit>
              <c:ptCount val="24"/>
              <c:pt idx="0">
                <c:v>2023 Jan</c:v>
              </c:pt>
              <c:pt idx="1">
                <c:v>2023 Feb</c:v>
              </c:pt>
              <c:pt idx="2">
                <c:v>2023 Mar</c:v>
              </c:pt>
              <c:pt idx="3">
                <c:v>2023 Apr</c:v>
              </c:pt>
              <c:pt idx="4">
                <c:v>2023 May</c:v>
              </c:pt>
              <c:pt idx="5">
                <c:v>2023 Jun</c:v>
              </c:pt>
              <c:pt idx="6">
                <c:v>2023 Jul</c:v>
              </c:pt>
              <c:pt idx="7">
                <c:v>2023 Aug</c:v>
              </c:pt>
              <c:pt idx="8">
                <c:v>2023 Sep</c:v>
              </c:pt>
              <c:pt idx="9">
                <c:v>2023 Oct</c:v>
              </c:pt>
              <c:pt idx="10">
                <c:v>2023 Nov</c:v>
              </c:pt>
              <c:pt idx="11">
                <c:v>2023 Dec</c:v>
              </c:pt>
              <c:pt idx="12">
                <c:v>2024 Jan</c:v>
              </c:pt>
              <c:pt idx="13">
                <c:v>2024 Feb</c:v>
              </c:pt>
              <c:pt idx="14">
                <c:v>2024 Mar</c:v>
              </c:pt>
              <c:pt idx="15">
                <c:v>2024 Apr</c:v>
              </c:pt>
              <c:pt idx="16">
                <c:v>2024 May</c:v>
              </c:pt>
              <c:pt idx="17">
                <c:v>2024 Jun</c:v>
              </c:pt>
              <c:pt idx="18">
                <c:v>2024 Jul</c:v>
              </c:pt>
              <c:pt idx="19">
                <c:v>2024 Aug</c:v>
              </c:pt>
              <c:pt idx="20">
                <c:v>2024 Sep</c:v>
              </c:pt>
              <c:pt idx="21">
                <c:v>2024 Oct</c:v>
              </c:pt>
              <c:pt idx="22">
                <c:v>2024 Nov</c:v>
              </c:pt>
              <c:pt idx="23">
                <c:v>2024 Dec</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revenue_by_region!$G$2:$G$37</c15:sqref>
                  </c15:fullRef>
                </c:ext>
              </c:extLst>
              <c:f>revenue_by_region!$G$14:$G$37</c:f>
              <c:numCache>
                <c:formatCode>_("£"* #,##0.00_);_("£"* \(#,##0.00\);_("£"* "-"??_);_(@_)</c:formatCode>
                <c:ptCount val="24"/>
                <c:pt idx="0">
                  <c:v>2168103.5591325397</c:v>
                </c:pt>
                <c:pt idx="1">
                  <c:v>1954427.0148931481</c:v>
                </c:pt>
                <c:pt idx="2">
                  <c:v>2058805.8723477561</c:v>
                </c:pt>
                <c:pt idx="3">
                  <c:v>803535.98364632879</c:v>
                </c:pt>
                <c:pt idx="4">
                  <c:v>1283954.6461184197</c:v>
                </c:pt>
                <c:pt idx="5">
                  <c:v>1589577.954652623</c:v>
                </c:pt>
                <c:pt idx="6">
                  <c:v>1310194.7414546707</c:v>
                </c:pt>
                <c:pt idx="7">
                  <c:v>1172990.2858483607</c:v>
                </c:pt>
                <c:pt idx="8">
                  <c:v>815290.47655509762</c:v>
                </c:pt>
                <c:pt idx="9">
                  <c:v>1660009.2503541147</c:v>
                </c:pt>
                <c:pt idx="10">
                  <c:v>1329693.7265726917</c:v>
                </c:pt>
                <c:pt idx="11">
                  <c:v>1246255.9256688186</c:v>
                </c:pt>
                <c:pt idx="12">
                  <c:v>1632111.0704269987</c:v>
                </c:pt>
                <c:pt idx="13">
                  <c:v>1479350.9044524073</c:v>
                </c:pt>
                <c:pt idx="14">
                  <c:v>2832166.1324795955</c:v>
                </c:pt>
                <c:pt idx="15">
                  <c:v>2034886.2101488628</c:v>
                </c:pt>
                <c:pt idx="16">
                  <c:v>1885515.7660589721</c:v>
                </c:pt>
                <c:pt idx="17">
                  <c:v>1325773.9305000936</c:v>
                </c:pt>
                <c:pt idx="18">
                  <c:v>1424479.0439905319</c:v>
                </c:pt>
                <c:pt idx="19">
                  <c:v>1334599.0568240222</c:v>
                </c:pt>
                <c:pt idx="20">
                  <c:v>1865413.9927009533</c:v>
                </c:pt>
                <c:pt idx="21">
                  <c:v>1534674.9482000002</c:v>
                </c:pt>
                <c:pt idx="22">
                  <c:v>1916862.9984745844</c:v>
                </c:pt>
                <c:pt idx="23">
                  <c:v>2408595.7768696263</c:v>
                </c:pt>
              </c:numCache>
            </c:numRef>
          </c:val>
          <c:smooth val="0"/>
          <c:extLst>
            <c:ext xmlns:c16="http://schemas.microsoft.com/office/drawing/2014/chart" uri="{C3380CC4-5D6E-409C-BE32-E72D297353CC}">
              <c16:uniqueId val="{00000002-9C80-44F3-8D5F-5C85EAF8B547}"/>
            </c:ext>
          </c:extLst>
        </c:ser>
        <c:ser>
          <c:idx val="3"/>
          <c:order val="3"/>
          <c:tx>
            <c:v>North</c:v>
          </c:tx>
          <c:spPr>
            <a:ln w="28575" cap="rnd">
              <a:solidFill>
                <a:schemeClr val="accent4"/>
              </a:solidFill>
              <a:round/>
            </a:ln>
            <a:effectLst/>
          </c:spPr>
          <c:marker>
            <c:symbol val="none"/>
          </c:marker>
          <c:cat>
            <c:strLit>
              <c:ptCount val="24"/>
              <c:pt idx="0">
                <c:v>2023 Jan</c:v>
              </c:pt>
              <c:pt idx="1">
                <c:v>2023 Feb</c:v>
              </c:pt>
              <c:pt idx="2">
                <c:v>2023 Mar</c:v>
              </c:pt>
              <c:pt idx="3">
                <c:v>2023 Apr</c:v>
              </c:pt>
              <c:pt idx="4">
                <c:v>2023 May</c:v>
              </c:pt>
              <c:pt idx="5">
                <c:v>2023 Jun</c:v>
              </c:pt>
              <c:pt idx="6">
                <c:v>2023 Jul</c:v>
              </c:pt>
              <c:pt idx="7">
                <c:v>2023 Aug</c:v>
              </c:pt>
              <c:pt idx="8">
                <c:v>2023 Sep</c:v>
              </c:pt>
              <c:pt idx="9">
                <c:v>2023 Oct</c:v>
              </c:pt>
              <c:pt idx="10">
                <c:v>2023 Nov</c:v>
              </c:pt>
              <c:pt idx="11">
                <c:v>2023 Dec</c:v>
              </c:pt>
              <c:pt idx="12">
                <c:v>2024 Jan</c:v>
              </c:pt>
              <c:pt idx="13">
                <c:v>2024 Feb</c:v>
              </c:pt>
              <c:pt idx="14">
                <c:v>2024 Mar</c:v>
              </c:pt>
              <c:pt idx="15">
                <c:v>2024 Apr</c:v>
              </c:pt>
              <c:pt idx="16">
                <c:v>2024 May</c:v>
              </c:pt>
              <c:pt idx="17">
                <c:v>2024 Jun</c:v>
              </c:pt>
              <c:pt idx="18">
                <c:v>2024 Jul</c:v>
              </c:pt>
              <c:pt idx="19">
                <c:v>2024 Aug</c:v>
              </c:pt>
              <c:pt idx="20">
                <c:v>2024 Sep</c:v>
              </c:pt>
              <c:pt idx="21">
                <c:v>2024 Oct</c:v>
              </c:pt>
              <c:pt idx="22">
                <c:v>2024 Nov</c:v>
              </c:pt>
              <c:pt idx="23">
                <c:v>2024 Dec</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revenue_by_region!$I$2:$I$37</c15:sqref>
                  </c15:fullRef>
                </c:ext>
              </c:extLst>
              <c:f>revenue_by_region!$I$14:$I$37</c:f>
              <c:numCache>
                <c:formatCode>_("£"* #,##0.00_);_("£"* \(#,##0.00\);_("£"* "-"??_);_(@_)</c:formatCode>
                <c:ptCount val="24"/>
                <c:pt idx="0">
                  <c:v>2238747.7450506077</c:v>
                </c:pt>
                <c:pt idx="1">
                  <c:v>1172692.342664592</c:v>
                </c:pt>
                <c:pt idx="2">
                  <c:v>825143.51725871011</c:v>
                </c:pt>
                <c:pt idx="3">
                  <c:v>1323830.8746705626</c:v>
                </c:pt>
                <c:pt idx="4">
                  <c:v>1661172.8860505165</c:v>
                </c:pt>
                <c:pt idx="5">
                  <c:v>1828374.3724479452</c:v>
                </c:pt>
                <c:pt idx="6">
                  <c:v>1126403.5993597454</c:v>
                </c:pt>
                <c:pt idx="7">
                  <c:v>1778826.3963639231</c:v>
                </c:pt>
                <c:pt idx="8">
                  <c:v>1117409.2584819447</c:v>
                </c:pt>
                <c:pt idx="9">
                  <c:v>1594987.8222553551</c:v>
                </c:pt>
                <c:pt idx="10">
                  <c:v>1301524.3164384826</c:v>
                </c:pt>
                <c:pt idx="11">
                  <c:v>1644776.1605501364</c:v>
                </c:pt>
                <c:pt idx="12">
                  <c:v>2607192.2680226816</c:v>
                </c:pt>
                <c:pt idx="13">
                  <c:v>1928192.2441896414</c:v>
                </c:pt>
                <c:pt idx="14">
                  <c:v>2135129.7623781385</c:v>
                </c:pt>
                <c:pt idx="15">
                  <c:v>975623.35653066938</c:v>
                </c:pt>
                <c:pt idx="16">
                  <c:v>3427991.1946714437</c:v>
                </c:pt>
                <c:pt idx="17">
                  <c:v>2108465.933990703</c:v>
                </c:pt>
                <c:pt idx="18">
                  <c:v>2068204.964737244</c:v>
                </c:pt>
                <c:pt idx="19">
                  <c:v>1772566.8057716645</c:v>
                </c:pt>
                <c:pt idx="20">
                  <c:v>1377402.5748629426</c:v>
                </c:pt>
                <c:pt idx="21">
                  <c:v>1861369.0490923044</c:v>
                </c:pt>
                <c:pt idx="22">
                  <c:v>2290847.9970302773</c:v>
                </c:pt>
                <c:pt idx="23">
                  <c:v>2069208.2880321192</c:v>
                </c:pt>
              </c:numCache>
            </c:numRef>
          </c:val>
          <c:smooth val="0"/>
          <c:extLst>
            <c:ext xmlns:c16="http://schemas.microsoft.com/office/drawing/2014/chart" uri="{C3380CC4-5D6E-409C-BE32-E72D297353CC}">
              <c16:uniqueId val="{00000003-9C80-44F3-8D5F-5C85EAF8B547}"/>
            </c:ext>
          </c:extLst>
        </c:ser>
        <c:dLbls>
          <c:showLegendKey val="0"/>
          <c:showVal val="0"/>
          <c:showCatName val="0"/>
          <c:showSerName val="0"/>
          <c:showPercent val="0"/>
          <c:showBubbleSize val="0"/>
        </c:dLbls>
        <c:smooth val="0"/>
        <c:axId val="142733151"/>
        <c:axId val="142737471"/>
      </c:lineChart>
      <c:catAx>
        <c:axId val="14273315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7471"/>
        <c:crosses val="autoZero"/>
        <c:auto val="1"/>
        <c:lblAlgn val="ctr"/>
        <c:lblOffset val="100"/>
        <c:noMultiLvlLbl val="0"/>
      </c:catAx>
      <c:valAx>
        <c:axId val="142737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3151"/>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12 point annual moving average for Revenue</a:t>
            </a:r>
            <a:r>
              <a:rPr lang="en-GB" baseline="0">
                <a:solidFill>
                  <a:schemeClr val="tx1"/>
                </a:solidFill>
              </a:rPr>
              <a:t> by Region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lineChart>
        <c:grouping val="standard"/>
        <c:varyColors val="0"/>
        <c:ser>
          <c:idx val="0"/>
          <c:order val="0"/>
          <c:tx>
            <c:v>AMA West</c:v>
          </c:tx>
          <c:spPr>
            <a:ln w="28575" cap="rnd">
              <a:solidFill>
                <a:schemeClr val="accent1"/>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revenue_by_region!$D$14:$D$37</c:f>
              <c:numCache>
                <c:formatCode>_("£"* #,##0.00_);_("£"* \(#,##0.00\);_("£"* "-"??_);_(@_)</c:formatCode>
                <c:ptCount val="24"/>
                <c:pt idx="0">
                  <c:v>1731359.1297716608</c:v>
                </c:pt>
                <c:pt idx="1">
                  <c:v>1697381.0366204844</c:v>
                </c:pt>
                <c:pt idx="2">
                  <c:v>1688971.0972957856</c:v>
                </c:pt>
                <c:pt idx="3">
                  <c:v>1634500.5140761761</c:v>
                </c:pt>
                <c:pt idx="4">
                  <c:v>1538878.533422861</c:v>
                </c:pt>
                <c:pt idx="5">
                  <c:v>1421578.8769389139</c:v>
                </c:pt>
                <c:pt idx="6">
                  <c:v>1397525.9189430492</c:v>
                </c:pt>
                <c:pt idx="7">
                  <c:v>1436759.8063490738</c:v>
                </c:pt>
                <c:pt idx="8">
                  <c:v>1397579.3096337595</c:v>
                </c:pt>
                <c:pt idx="9">
                  <c:v>1392221.6815399567</c:v>
                </c:pt>
                <c:pt idx="10">
                  <c:v>1416256.642326534</c:v>
                </c:pt>
                <c:pt idx="11">
                  <c:v>1427632.180939317</c:v>
                </c:pt>
                <c:pt idx="12">
                  <c:v>1446362.9813882562</c:v>
                </c:pt>
                <c:pt idx="13">
                  <c:v>1465293.8569404699</c:v>
                </c:pt>
                <c:pt idx="14">
                  <c:v>1475505.0597026434</c:v>
                </c:pt>
                <c:pt idx="15">
                  <c:v>1546228.4586796754</c:v>
                </c:pt>
                <c:pt idx="16">
                  <c:v>1556822.9809187166</c:v>
                </c:pt>
                <c:pt idx="17">
                  <c:v>1614577.4499591552</c:v>
                </c:pt>
                <c:pt idx="18">
                  <c:v>1643372.5087995001</c:v>
                </c:pt>
                <c:pt idx="19">
                  <c:v>1634735.8609840211</c:v>
                </c:pt>
                <c:pt idx="20">
                  <c:v>1614170.545026785</c:v>
                </c:pt>
                <c:pt idx="21">
                  <c:v>1664998.5099612444</c:v>
                </c:pt>
                <c:pt idx="22">
                  <c:v>1640908.3415259963</c:v>
                </c:pt>
                <c:pt idx="23">
                  <c:v>1639670.0551391256</c:v>
                </c:pt>
              </c:numCache>
            </c:numRef>
          </c:val>
          <c:smooth val="0"/>
          <c:extLst>
            <c:ext xmlns:c16="http://schemas.microsoft.com/office/drawing/2014/chart" uri="{C3380CC4-5D6E-409C-BE32-E72D297353CC}">
              <c16:uniqueId val="{00000000-85D8-4371-98D6-1FECA1AFD52D}"/>
            </c:ext>
          </c:extLst>
        </c:ser>
        <c:ser>
          <c:idx val="1"/>
          <c:order val="1"/>
          <c:tx>
            <c:v>AMA South</c:v>
          </c:tx>
          <c:spPr>
            <a:ln w="28575" cap="rnd">
              <a:solidFill>
                <a:schemeClr val="accent2"/>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revenue_by_region!$F$14:$F$37</c:f>
              <c:numCache>
                <c:formatCode>_("£"* #,##0.00_);_("£"* \(#,##0.00\);_("£"* "-"??_);_(@_)</c:formatCode>
                <c:ptCount val="24"/>
                <c:pt idx="0">
                  <c:v>1596367.8182034763</c:v>
                </c:pt>
                <c:pt idx="1">
                  <c:v>1557168.2934458293</c:v>
                </c:pt>
                <c:pt idx="2">
                  <c:v>1553196.7511466416</c:v>
                </c:pt>
                <c:pt idx="3">
                  <c:v>1506702.5688152991</c:v>
                </c:pt>
                <c:pt idx="4">
                  <c:v>1488012.9207267354</c:v>
                </c:pt>
                <c:pt idx="5">
                  <c:v>1437951.1317853949</c:v>
                </c:pt>
                <c:pt idx="6">
                  <c:v>1348090.8173905723</c:v>
                </c:pt>
                <c:pt idx="7">
                  <c:v>1420903.9245633159</c:v>
                </c:pt>
                <c:pt idx="8">
                  <c:v>1404866.6107302606</c:v>
                </c:pt>
                <c:pt idx="9">
                  <c:v>1363000.7655504902</c:v>
                </c:pt>
                <c:pt idx="10">
                  <c:v>1269375.6825591645</c:v>
                </c:pt>
                <c:pt idx="11">
                  <c:v>1310190.9198195888</c:v>
                </c:pt>
                <c:pt idx="12">
                  <c:v>1350914.5151801843</c:v>
                </c:pt>
                <c:pt idx="13">
                  <c:v>1414362.4321881721</c:v>
                </c:pt>
                <c:pt idx="14">
                  <c:v>1498616.1489313301</c:v>
                </c:pt>
                <c:pt idx="15">
                  <c:v>1458305.9124460679</c:v>
                </c:pt>
                <c:pt idx="16">
                  <c:v>1550827.8445762971</c:v>
                </c:pt>
                <c:pt idx="17">
                  <c:v>1566173.0025090107</c:v>
                </c:pt>
                <c:pt idx="18">
                  <c:v>1607548.3482427232</c:v>
                </c:pt>
                <c:pt idx="19">
                  <c:v>1585210.8090254355</c:v>
                </c:pt>
                <c:pt idx="20">
                  <c:v>1705399.5080231761</c:v>
                </c:pt>
                <c:pt idx="21">
                  <c:v>1778324.6822555887</c:v>
                </c:pt>
                <c:pt idx="22">
                  <c:v>1817029.3706838973</c:v>
                </c:pt>
                <c:pt idx="23">
                  <c:v>1791256.9622983823</c:v>
                </c:pt>
              </c:numCache>
            </c:numRef>
          </c:val>
          <c:smooth val="0"/>
          <c:extLst>
            <c:ext xmlns:c16="http://schemas.microsoft.com/office/drawing/2014/chart" uri="{C3380CC4-5D6E-409C-BE32-E72D297353CC}">
              <c16:uniqueId val="{00000001-85D8-4371-98D6-1FECA1AFD52D}"/>
            </c:ext>
          </c:extLst>
        </c:ser>
        <c:ser>
          <c:idx val="2"/>
          <c:order val="2"/>
          <c:tx>
            <c:v>AMA East</c:v>
          </c:tx>
          <c:spPr>
            <a:ln w="28575" cap="rnd">
              <a:solidFill>
                <a:schemeClr val="accent3"/>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revenue_by_region!$H$14:$H$37</c:f>
              <c:numCache>
                <c:formatCode>_("£"* #,##0.00_);_("£"* \(#,##0.00\);_("£"* "-"??_);_(@_)</c:formatCode>
                <c:ptCount val="24"/>
                <c:pt idx="0">
                  <c:v>1790962.2448792448</c:v>
                </c:pt>
                <c:pt idx="1">
                  <c:v>1799313.3992284965</c:v>
                </c:pt>
                <c:pt idx="2">
                  <c:v>1816526.0967236646</c:v>
                </c:pt>
                <c:pt idx="3">
                  <c:v>1665076.6320535913</c:v>
                </c:pt>
                <c:pt idx="4">
                  <c:v>1657594.872257035</c:v>
                </c:pt>
                <c:pt idx="5">
                  <c:v>1700861.1781368004</c:v>
                </c:pt>
                <c:pt idx="6">
                  <c:v>1671591.3339087174</c:v>
                </c:pt>
                <c:pt idx="7">
                  <c:v>1622050.0237996934</c:v>
                </c:pt>
                <c:pt idx="8">
                  <c:v>1564531.4748795831</c:v>
                </c:pt>
                <c:pt idx="9">
                  <c:v>1560844.6559791875</c:v>
                </c:pt>
                <c:pt idx="10">
                  <c:v>1475904.8130372476</c:v>
                </c:pt>
                <c:pt idx="11">
                  <c:v>1449403.2864370474</c:v>
                </c:pt>
                <c:pt idx="12">
                  <c:v>1404737.2457115857</c:v>
                </c:pt>
                <c:pt idx="13">
                  <c:v>1365147.5698415241</c:v>
                </c:pt>
                <c:pt idx="14">
                  <c:v>1429594.2581858439</c:v>
                </c:pt>
                <c:pt idx="15">
                  <c:v>1532206.7770610552</c:v>
                </c:pt>
                <c:pt idx="16">
                  <c:v>1582336.8703894343</c:v>
                </c:pt>
                <c:pt idx="17">
                  <c:v>1560353.2017100572</c:v>
                </c:pt>
                <c:pt idx="18">
                  <c:v>1569876.8935880456</c:v>
                </c:pt>
                <c:pt idx="19">
                  <c:v>1583344.2911693503</c:v>
                </c:pt>
                <c:pt idx="20">
                  <c:v>1670854.5841815053</c:v>
                </c:pt>
                <c:pt idx="21">
                  <c:v>1660410.0590019955</c:v>
                </c:pt>
                <c:pt idx="22">
                  <c:v>1709340.8316604868</c:v>
                </c:pt>
                <c:pt idx="23">
                  <c:v>1806202.4859272204</c:v>
                </c:pt>
              </c:numCache>
            </c:numRef>
          </c:val>
          <c:smooth val="0"/>
          <c:extLst>
            <c:ext xmlns:c16="http://schemas.microsoft.com/office/drawing/2014/chart" uri="{C3380CC4-5D6E-409C-BE32-E72D297353CC}">
              <c16:uniqueId val="{00000002-85D8-4371-98D6-1FECA1AFD52D}"/>
            </c:ext>
          </c:extLst>
        </c:ser>
        <c:ser>
          <c:idx val="3"/>
          <c:order val="3"/>
          <c:tx>
            <c:v>AMA North</c:v>
          </c:tx>
          <c:spPr>
            <a:ln w="28575" cap="rnd">
              <a:solidFill>
                <a:schemeClr val="accent4"/>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revenue_by_region!$J$14:$J$37</c:f>
              <c:numCache>
                <c:formatCode>_("£"* #,##0.00_);_("£"* \(#,##0.00\);_("£"* "-"??_);_(@_)</c:formatCode>
                <c:ptCount val="24"/>
                <c:pt idx="0">
                  <c:v>2194689.6296631666</c:v>
                </c:pt>
                <c:pt idx="1">
                  <c:v>2055585.0716394857</c:v>
                </c:pt>
                <c:pt idx="2">
                  <c:v>1991675.7043355452</c:v>
                </c:pt>
                <c:pt idx="3">
                  <c:v>1972659.6464161044</c:v>
                </c:pt>
                <c:pt idx="4">
                  <c:v>1886452.541476703</c:v>
                </c:pt>
                <c:pt idx="5">
                  <c:v>1833444.8659981964</c:v>
                </c:pt>
                <c:pt idx="6">
                  <c:v>1798734.9173093492</c:v>
                </c:pt>
                <c:pt idx="7">
                  <c:v>1744367.5792405726</c:v>
                </c:pt>
                <c:pt idx="8">
                  <c:v>1682898.6806775955</c:v>
                </c:pt>
                <c:pt idx="9">
                  <c:v>1646174.2837413128</c:v>
                </c:pt>
                <c:pt idx="10">
                  <c:v>1557944.3041033021</c:v>
                </c:pt>
                <c:pt idx="11">
                  <c:v>1467824.1076327099</c:v>
                </c:pt>
                <c:pt idx="12">
                  <c:v>1498527.8178803828</c:v>
                </c:pt>
                <c:pt idx="13">
                  <c:v>1561486.1430074703</c:v>
                </c:pt>
                <c:pt idx="14">
                  <c:v>1670651.6634340894</c:v>
                </c:pt>
                <c:pt idx="15">
                  <c:v>1641634.3702557653</c:v>
                </c:pt>
                <c:pt idx="16">
                  <c:v>1788869.229307509</c:v>
                </c:pt>
                <c:pt idx="17">
                  <c:v>1812210.1927694054</c:v>
                </c:pt>
                <c:pt idx="18">
                  <c:v>1890693.6398841969</c:v>
                </c:pt>
                <c:pt idx="19">
                  <c:v>1890172.0073348421</c:v>
                </c:pt>
                <c:pt idx="20">
                  <c:v>1911838.1170332583</c:v>
                </c:pt>
                <c:pt idx="21">
                  <c:v>1934036.5526030043</c:v>
                </c:pt>
                <c:pt idx="22">
                  <c:v>2016480.1926523203</c:v>
                </c:pt>
                <c:pt idx="23">
                  <c:v>2051849.5366091521</c:v>
                </c:pt>
              </c:numCache>
            </c:numRef>
          </c:val>
          <c:smooth val="0"/>
          <c:extLst>
            <c:ext xmlns:c16="http://schemas.microsoft.com/office/drawing/2014/chart" uri="{C3380CC4-5D6E-409C-BE32-E72D297353CC}">
              <c16:uniqueId val="{00000003-85D8-4371-98D6-1FECA1AFD52D}"/>
            </c:ext>
          </c:extLst>
        </c:ser>
        <c:dLbls>
          <c:showLegendKey val="0"/>
          <c:showVal val="0"/>
          <c:showCatName val="0"/>
          <c:showSerName val="0"/>
          <c:showPercent val="0"/>
          <c:showBubbleSize val="0"/>
        </c:dLbls>
        <c:smooth val="0"/>
        <c:axId val="142733151"/>
        <c:axId val="142737471"/>
      </c:lineChart>
      <c:catAx>
        <c:axId val="14273315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7471"/>
        <c:crosses val="autoZero"/>
        <c:auto val="1"/>
        <c:lblAlgn val="ctr"/>
        <c:lblOffset val="100"/>
        <c:noMultiLvlLbl val="0"/>
      </c:catAx>
      <c:valAx>
        <c:axId val="142737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3151"/>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Revenue by Region</a:t>
            </a:r>
            <a:r>
              <a:rPr lang="en-GB" baseline="0">
                <a:solidFill>
                  <a:schemeClr val="tx1"/>
                </a:solidFill>
              </a:rPr>
              <a:t>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v>West</c:v>
          </c:tx>
          <c:spPr>
            <a:solidFill>
              <a:schemeClr val="accent1"/>
            </a:solidFill>
            <a:ln>
              <a:solidFill>
                <a:schemeClr val="tx1"/>
              </a:solidFill>
            </a:ln>
            <a:effectLst/>
          </c:spPr>
          <c:invertIfNegative val="0"/>
          <c:cat>
            <c:strRef>
              <c:f>revenue_by_region!$N$2:$N$4</c:f>
              <c:strCache>
                <c:ptCount val="3"/>
                <c:pt idx="0">
                  <c:v>2023</c:v>
                </c:pt>
                <c:pt idx="1">
                  <c:v>2024</c:v>
                </c:pt>
                <c:pt idx="2">
                  <c:v>Total</c:v>
                </c:pt>
              </c:strCache>
            </c:strRef>
          </c:cat>
          <c:val>
            <c:numRef>
              <c:f>revenue_by_region!$O$2:$O$4</c:f>
              <c:numCache>
                <c:formatCode>_("£"* #,##0.00_);_("£"* \(#,##0.00\);_("£"* "-"??_);_(@_)</c:formatCode>
                <c:ptCount val="3"/>
                <c:pt idx="0">
                  <c:v>17131586.171271805</c:v>
                </c:pt>
                <c:pt idx="1">
                  <c:v>19676040.661669508</c:v>
                </c:pt>
                <c:pt idx="2">
                  <c:v>36807626.832941309</c:v>
                </c:pt>
              </c:numCache>
            </c:numRef>
          </c:val>
          <c:extLst>
            <c:ext xmlns:c16="http://schemas.microsoft.com/office/drawing/2014/chart" uri="{C3380CC4-5D6E-409C-BE32-E72D297353CC}">
              <c16:uniqueId val="{00000000-9BA4-42DC-8ED8-60F7FCF20ABF}"/>
            </c:ext>
          </c:extLst>
        </c:ser>
        <c:ser>
          <c:idx val="1"/>
          <c:order val="1"/>
          <c:tx>
            <c:v>South</c:v>
          </c:tx>
          <c:spPr>
            <a:solidFill>
              <a:schemeClr val="accent2"/>
            </a:solidFill>
            <a:ln>
              <a:solidFill>
                <a:schemeClr val="tx1"/>
              </a:solidFill>
            </a:ln>
            <a:effectLst/>
          </c:spPr>
          <c:invertIfNegative val="0"/>
          <c:cat>
            <c:strRef>
              <c:f>revenue_by_region!$N$2:$N$4</c:f>
              <c:strCache>
                <c:ptCount val="3"/>
                <c:pt idx="0">
                  <c:v>2023</c:v>
                </c:pt>
                <c:pt idx="1">
                  <c:v>2024</c:v>
                </c:pt>
                <c:pt idx="2">
                  <c:v>Total</c:v>
                </c:pt>
              </c:strCache>
            </c:strRef>
          </c:cat>
          <c:val>
            <c:numRef>
              <c:f>revenue_by_region!$P$2:$P$4</c:f>
              <c:numCache>
                <c:formatCode>_("£"* #,##0.00_);_("£"* \(#,##0.00\);_("£"* "-"??_);_(@_)</c:formatCode>
                <c:ptCount val="3"/>
                <c:pt idx="0">
                  <c:v>15722291.037835065</c:v>
                </c:pt>
                <c:pt idx="1">
                  <c:v>21495083.547580589</c:v>
                </c:pt>
                <c:pt idx="2">
                  <c:v>37217374.585415654</c:v>
                </c:pt>
              </c:numCache>
            </c:numRef>
          </c:val>
          <c:extLst>
            <c:ext xmlns:c16="http://schemas.microsoft.com/office/drawing/2014/chart" uri="{C3380CC4-5D6E-409C-BE32-E72D297353CC}">
              <c16:uniqueId val="{00000002-9BA4-42DC-8ED8-60F7FCF20ABF}"/>
            </c:ext>
          </c:extLst>
        </c:ser>
        <c:ser>
          <c:idx val="2"/>
          <c:order val="2"/>
          <c:tx>
            <c:v>East</c:v>
          </c:tx>
          <c:spPr>
            <a:solidFill>
              <a:schemeClr val="accent3"/>
            </a:solidFill>
            <a:ln>
              <a:solidFill>
                <a:schemeClr val="tx1"/>
              </a:solidFill>
            </a:ln>
            <a:effectLst/>
          </c:spPr>
          <c:invertIfNegative val="0"/>
          <c:cat>
            <c:strRef>
              <c:f>revenue_by_region!$N$2:$N$4</c:f>
              <c:strCache>
                <c:ptCount val="3"/>
                <c:pt idx="0">
                  <c:v>2023</c:v>
                </c:pt>
                <c:pt idx="1">
                  <c:v>2024</c:v>
                </c:pt>
                <c:pt idx="2">
                  <c:v>Total</c:v>
                </c:pt>
              </c:strCache>
            </c:strRef>
          </c:cat>
          <c:val>
            <c:numRef>
              <c:f>revenue_by_region!$Q$2:$Q$4</c:f>
              <c:numCache>
                <c:formatCode>_("£"* #,##0.00_);_("£"* \(#,##0.00\);_("£"* "-"??_);_(@_)</c:formatCode>
                <c:ptCount val="3"/>
                <c:pt idx="0">
                  <c:v>19774660.011320304</c:v>
                </c:pt>
                <c:pt idx="1">
                  <c:v>21674429.831126645</c:v>
                </c:pt>
                <c:pt idx="2">
                  <c:v>41449089.842446953</c:v>
                </c:pt>
              </c:numCache>
            </c:numRef>
          </c:val>
          <c:extLst>
            <c:ext xmlns:c16="http://schemas.microsoft.com/office/drawing/2014/chart" uri="{C3380CC4-5D6E-409C-BE32-E72D297353CC}">
              <c16:uniqueId val="{00000003-9BA4-42DC-8ED8-60F7FCF20ABF}"/>
            </c:ext>
          </c:extLst>
        </c:ser>
        <c:ser>
          <c:idx val="3"/>
          <c:order val="3"/>
          <c:tx>
            <c:v>North</c:v>
          </c:tx>
          <c:spPr>
            <a:solidFill>
              <a:schemeClr val="accent4"/>
            </a:solidFill>
            <a:ln>
              <a:solidFill>
                <a:schemeClr val="tx1"/>
              </a:solidFill>
            </a:ln>
            <a:effectLst/>
          </c:spPr>
          <c:invertIfNegative val="0"/>
          <c:cat>
            <c:strRef>
              <c:f>revenue_by_region!$N$2:$N$4</c:f>
              <c:strCache>
                <c:ptCount val="3"/>
                <c:pt idx="0">
                  <c:v>2023</c:v>
                </c:pt>
                <c:pt idx="1">
                  <c:v>2024</c:v>
                </c:pt>
                <c:pt idx="2">
                  <c:v>Total</c:v>
                </c:pt>
              </c:strCache>
            </c:strRef>
          </c:cat>
          <c:val>
            <c:numRef>
              <c:f>revenue_by_region!$R$2:$R$4</c:f>
              <c:numCache>
                <c:formatCode>_("£"* #,##0.00_);_("£"* \(#,##0.00\);_("£"* "-"??_);_(@_)</c:formatCode>
                <c:ptCount val="3"/>
                <c:pt idx="0">
                  <c:v>21832451.332234051</c:v>
                </c:pt>
                <c:pt idx="1">
                  <c:v>21668449.46277139</c:v>
                </c:pt>
                <c:pt idx="2">
                  <c:v>43500900.795005441</c:v>
                </c:pt>
              </c:numCache>
            </c:numRef>
          </c:val>
          <c:extLst>
            <c:ext xmlns:c16="http://schemas.microsoft.com/office/drawing/2014/chart" uri="{C3380CC4-5D6E-409C-BE32-E72D297353CC}">
              <c16:uniqueId val="{00000004-9BA4-42DC-8ED8-60F7FCF20ABF}"/>
            </c:ext>
          </c:extLst>
        </c:ser>
        <c:dLbls>
          <c:showLegendKey val="0"/>
          <c:showVal val="0"/>
          <c:showCatName val="0"/>
          <c:showSerName val="0"/>
          <c:showPercent val="0"/>
          <c:showBubbleSize val="0"/>
        </c:dLbls>
        <c:gapWidth val="219"/>
        <c:overlap val="-27"/>
        <c:axId val="1754419279"/>
        <c:axId val="1754424559"/>
      </c:barChart>
      <c:catAx>
        <c:axId val="175441927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4424559"/>
        <c:crosses val="autoZero"/>
        <c:auto val="1"/>
        <c:lblAlgn val="ctr"/>
        <c:lblOffset val="100"/>
        <c:noMultiLvlLbl val="0"/>
      </c:catAx>
      <c:valAx>
        <c:axId val="1754424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r>
                  <a:rPr lang="en-GB" baseline="0">
                    <a:solidFill>
                      <a:schemeClr val="tx1"/>
                    </a:solidFill>
                  </a:rPr>
                  <a:t> (£)</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4419279"/>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12 point annual moving average for Revenue</a:t>
            </a:r>
            <a:r>
              <a:rPr lang="en-GB" baseline="0">
                <a:solidFill>
                  <a:schemeClr val="tx1"/>
                </a:solidFill>
              </a:rPr>
              <a:t> by Region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stacked"/>
        <c:varyColors val="0"/>
        <c:dLbls>
          <c:showLegendKey val="0"/>
          <c:showVal val="0"/>
          <c:showCatName val="0"/>
          <c:showSerName val="0"/>
          <c:showPercent val="0"/>
          <c:showBubbleSize val="0"/>
        </c:dLbls>
        <c:gapWidth val="150"/>
        <c:overlap val="100"/>
        <c:axId val="142733151"/>
        <c:axId val="142737471"/>
        <c:extLst>
          <c:ext xmlns:c15="http://schemas.microsoft.com/office/drawing/2012/chart" uri="{02D57815-91ED-43cb-92C2-25804820EDAC}">
            <c15:filteredBarSeries>
              <c15:ser>
                <c:idx val="4"/>
                <c:order val="4"/>
                <c:tx>
                  <c:v>West</c:v>
                </c:tx>
                <c:spPr>
                  <a:solidFill>
                    <a:schemeClr val="accent5"/>
                  </a:solidFill>
                  <a:ln>
                    <a:noFill/>
                  </a:ln>
                  <a:effectLst/>
                </c:spPr>
                <c:invertIfNegative val="0"/>
                <c:val>
                  <c:numRef>
                    <c:extLst>
                      <c:ext uri="{02D57815-91ED-43cb-92C2-25804820EDAC}">
                        <c15:formulaRef>
                          <c15:sqref>revenue_by_region!$C$14:$C$37</c15:sqref>
                        </c15:formulaRef>
                      </c:ext>
                    </c:extLst>
                    <c:numCache>
                      <c:formatCode>_("£"* #,##0.00_);_("£"* \(#,##0.00\);_("£"* "-"??_);_(@_)</c:formatCode>
                      <c:ptCount val="24"/>
                      <c:pt idx="0">
                        <c:v>1313298.3451045689</c:v>
                      </c:pt>
                      <c:pt idx="1">
                        <c:v>1469328.0661647981</c:v>
                      </c:pt>
                      <c:pt idx="2">
                        <c:v>1596011.6901289874</c:v>
                      </c:pt>
                      <c:pt idx="3">
                        <c:v>1470145.5355810034</c:v>
                      </c:pt>
                      <c:pt idx="4">
                        <c:v>1150076.4529988712</c:v>
                      </c:pt>
                      <c:pt idx="5">
                        <c:v>1160646.7909126424</c:v>
                      </c:pt>
                      <c:pt idx="6">
                        <c:v>1212199.6968264894</c:v>
                      </c:pt>
                      <c:pt idx="7">
                        <c:v>1868291.7482795075</c:v>
                      </c:pt>
                      <c:pt idx="8">
                        <c:v>1354967.281836417</c:v>
                      </c:pt>
                      <c:pt idx="9">
                        <c:v>1660763.1236036015</c:v>
                      </c:pt>
                      <c:pt idx="10">
                        <c:v>1224110.5494815207</c:v>
                      </c:pt>
                      <c:pt idx="11">
                        <c:v>1651746.8903533989</c:v>
                      </c:pt>
                      <c:pt idx="12">
                        <c:v>1538067.9504918393</c:v>
                      </c:pt>
                      <c:pt idx="13">
                        <c:v>1696498.5727913636</c:v>
                      </c:pt>
                      <c:pt idx="14">
                        <c:v>1718546.123275066</c:v>
                      </c:pt>
                      <c:pt idx="15">
                        <c:v>2318826.3233053889</c:v>
                      </c:pt>
                      <c:pt idx="16">
                        <c:v>1277210.7198673652</c:v>
                      </c:pt>
                      <c:pt idx="17">
                        <c:v>1853700.4193979045</c:v>
                      </c:pt>
                      <c:pt idx="18">
                        <c:v>1557740.4029106293</c:v>
                      </c:pt>
                      <c:pt idx="19">
                        <c:v>1764651.974493755</c:v>
                      </c:pt>
                      <c:pt idx="20">
                        <c:v>1108183.490349588</c:v>
                      </c:pt>
                      <c:pt idx="21">
                        <c:v>2270698.7028171108</c:v>
                      </c:pt>
                      <c:pt idx="22">
                        <c:v>935028.52825854858</c:v>
                      </c:pt>
                      <c:pt idx="23">
                        <c:v>1636887.4537109507</c:v>
                      </c:pt>
                    </c:numCache>
                  </c:numRef>
                </c:val>
                <c:extLst>
                  <c:ext xmlns:c16="http://schemas.microsoft.com/office/drawing/2014/chart" uri="{C3380CC4-5D6E-409C-BE32-E72D297353CC}">
                    <c16:uniqueId val="{00000004-C464-44FC-90A8-8DCF3E978C57}"/>
                  </c:ext>
                </c:extLst>
              </c15:ser>
            </c15:filteredBarSeries>
            <c15:filteredBarSeries>
              <c15:ser>
                <c:idx val="6"/>
                <c:order val="6"/>
                <c:tx>
                  <c:v>East</c:v>
                </c:tx>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revenue_by_region!$G$14:$G$37</c15:sqref>
                        </c15:formulaRef>
                      </c:ext>
                    </c:extLst>
                    <c:numCache>
                      <c:formatCode>_("£"* #,##0.00_);_("£"* \(#,##0.00\);_("£"* "-"??_);_(@_)</c:formatCode>
                      <c:ptCount val="24"/>
                      <c:pt idx="0">
                        <c:v>2168103.5591325397</c:v>
                      </c:pt>
                      <c:pt idx="1">
                        <c:v>1954427.0148931481</c:v>
                      </c:pt>
                      <c:pt idx="2">
                        <c:v>2058805.8723477561</c:v>
                      </c:pt>
                      <c:pt idx="3">
                        <c:v>803535.98364632879</c:v>
                      </c:pt>
                      <c:pt idx="4">
                        <c:v>1283954.6461184197</c:v>
                      </c:pt>
                      <c:pt idx="5">
                        <c:v>1589577.954652623</c:v>
                      </c:pt>
                      <c:pt idx="6">
                        <c:v>1310194.7414546707</c:v>
                      </c:pt>
                      <c:pt idx="7">
                        <c:v>1172990.2858483607</c:v>
                      </c:pt>
                      <c:pt idx="8">
                        <c:v>815290.47655509762</c:v>
                      </c:pt>
                      <c:pt idx="9">
                        <c:v>1660009.2503541147</c:v>
                      </c:pt>
                      <c:pt idx="10">
                        <c:v>1329693.7265726917</c:v>
                      </c:pt>
                      <c:pt idx="11">
                        <c:v>1246255.9256688186</c:v>
                      </c:pt>
                      <c:pt idx="12">
                        <c:v>1632111.0704269987</c:v>
                      </c:pt>
                      <c:pt idx="13">
                        <c:v>1479350.9044524073</c:v>
                      </c:pt>
                      <c:pt idx="14">
                        <c:v>2832166.1324795955</c:v>
                      </c:pt>
                      <c:pt idx="15">
                        <c:v>2034886.2101488628</c:v>
                      </c:pt>
                      <c:pt idx="16">
                        <c:v>1885515.7660589721</c:v>
                      </c:pt>
                      <c:pt idx="17">
                        <c:v>1325773.9305000936</c:v>
                      </c:pt>
                      <c:pt idx="18">
                        <c:v>1424479.0439905319</c:v>
                      </c:pt>
                      <c:pt idx="19">
                        <c:v>1334599.0568240222</c:v>
                      </c:pt>
                      <c:pt idx="20">
                        <c:v>1865413.9927009533</c:v>
                      </c:pt>
                      <c:pt idx="21">
                        <c:v>1534674.9482000002</c:v>
                      </c:pt>
                      <c:pt idx="22">
                        <c:v>1916862.9984745844</c:v>
                      </c:pt>
                      <c:pt idx="23">
                        <c:v>2408595.7768696263</c:v>
                      </c:pt>
                    </c:numCache>
                  </c:numRef>
                </c:val>
                <c:extLst xmlns:c15="http://schemas.microsoft.com/office/drawing/2012/chart">
                  <c:ext xmlns:c16="http://schemas.microsoft.com/office/drawing/2014/chart" uri="{C3380CC4-5D6E-409C-BE32-E72D297353CC}">
                    <c16:uniqueId val="{00000006-C464-44FC-90A8-8DCF3E978C57}"/>
                  </c:ext>
                </c:extLst>
              </c15:ser>
            </c15:filteredBarSeries>
            <c15:filteredBarSeries>
              <c15:ser>
                <c:idx val="7"/>
                <c:order val="7"/>
                <c:tx>
                  <c:v>North</c:v>
                </c:tx>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revenue_by_region!$I$14:$I$37</c15:sqref>
                        </c15:formulaRef>
                      </c:ext>
                    </c:extLst>
                    <c:numCache>
                      <c:formatCode>_("£"* #,##0.00_);_("£"* \(#,##0.00\);_("£"* "-"??_);_(@_)</c:formatCode>
                      <c:ptCount val="24"/>
                      <c:pt idx="0">
                        <c:v>2238747.7450506077</c:v>
                      </c:pt>
                      <c:pt idx="1">
                        <c:v>1172692.342664592</c:v>
                      </c:pt>
                      <c:pt idx="2">
                        <c:v>825143.51725871011</c:v>
                      </c:pt>
                      <c:pt idx="3">
                        <c:v>1323830.8746705626</c:v>
                      </c:pt>
                      <c:pt idx="4">
                        <c:v>1661172.8860505165</c:v>
                      </c:pt>
                      <c:pt idx="5">
                        <c:v>1828374.3724479452</c:v>
                      </c:pt>
                      <c:pt idx="6">
                        <c:v>1126403.5993597454</c:v>
                      </c:pt>
                      <c:pt idx="7">
                        <c:v>1778826.3963639231</c:v>
                      </c:pt>
                      <c:pt idx="8">
                        <c:v>1117409.2584819447</c:v>
                      </c:pt>
                      <c:pt idx="9">
                        <c:v>1594987.8222553551</c:v>
                      </c:pt>
                      <c:pt idx="10">
                        <c:v>1301524.3164384826</c:v>
                      </c:pt>
                      <c:pt idx="11">
                        <c:v>1644776.1605501364</c:v>
                      </c:pt>
                      <c:pt idx="12">
                        <c:v>2607192.2680226816</c:v>
                      </c:pt>
                      <c:pt idx="13">
                        <c:v>1928192.2441896414</c:v>
                      </c:pt>
                      <c:pt idx="14">
                        <c:v>2135129.7623781385</c:v>
                      </c:pt>
                      <c:pt idx="15">
                        <c:v>975623.35653066938</c:v>
                      </c:pt>
                      <c:pt idx="16">
                        <c:v>3427991.1946714437</c:v>
                      </c:pt>
                      <c:pt idx="17">
                        <c:v>2108465.933990703</c:v>
                      </c:pt>
                      <c:pt idx="18">
                        <c:v>2068204.964737244</c:v>
                      </c:pt>
                      <c:pt idx="19">
                        <c:v>1772566.8057716645</c:v>
                      </c:pt>
                      <c:pt idx="20">
                        <c:v>1377402.5748629426</c:v>
                      </c:pt>
                      <c:pt idx="21">
                        <c:v>1861369.0490923044</c:v>
                      </c:pt>
                      <c:pt idx="22">
                        <c:v>2290847.9970302773</c:v>
                      </c:pt>
                      <c:pt idx="23">
                        <c:v>2069208.2880321192</c:v>
                      </c:pt>
                    </c:numCache>
                  </c:numRef>
                </c:val>
                <c:extLst xmlns:c15="http://schemas.microsoft.com/office/drawing/2012/chart">
                  <c:ext xmlns:c16="http://schemas.microsoft.com/office/drawing/2014/chart" uri="{C3380CC4-5D6E-409C-BE32-E72D297353CC}">
                    <c16:uniqueId val="{00000007-C464-44FC-90A8-8DCF3E978C57}"/>
                  </c:ext>
                </c:extLst>
              </c15:ser>
            </c15:filteredBarSeries>
          </c:ext>
        </c:extLst>
      </c:barChart>
      <c:barChart>
        <c:barDir val="col"/>
        <c:grouping val="stacked"/>
        <c:varyColors val="0"/>
        <c:dLbls>
          <c:showLegendKey val="0"/>
          <c:showVal val="0"/>
          <c:showCatName val="0"/>
          <c:showSerName val="0"/>
          <c:showPercent val="0"/>
          <c:showBubbleSize val="0"/>
        </c:dLbls>
        <c:gapWidth val="150"/>
        <c:overlap val="100"/>
        <c:axId val="2010049039"/>
        <c:axId val="2010048559"/>
        <c:extLst>
          <c:ext xmlns:c15="http://schemas.microsoft.com/office/drawing/2012/chart" uri="{02D57815-91ED-43cb-92C2-25804820EDAC}">
            <c15:filteredBarSeries>
              <c15:ser>
                <c:idx val="5"/>
                <c:order val="5"/>
                <c:tx>
                  <c:v>South</c:v>
                </c:tx>
                <c:spPr>
                  <a:solidFill>
                    <a:schemeClr val="accent6"/>
                  </a:solidFill>
                  <a:ln>
                    <a:noFill/>
                  </a:ln>
                  <a:effectLst/>
                </c:spPr>
                <c:invertIfNegative val="0"/>
                <c:val>
                  <c:numRef>
                    <c:extLst>
                      <c:ext uri="{02D57815-91ED-43cb-92C2-25804820EDAC}">
                        <c15:formulaRef>
                          <c15:sqref>revenue_by_region!$E$14:$E$37</c15:sqref>
                        </c15:formulaRef>
                      </c:ext>
                    </c:extLst>
                    <c:numCache>
                      <c:formatCode>_("£"* #,##0.00_);_("£"* \(#,##0.00\);_("£"* "-"??_);_(@_)</c:formatCode>
                      <c:ptCount val="24"/>
                      <c:pt idx="0">
                        <c:v>1485330.1073239185</c:v>
                      </c:pt>
                      <c:pt idx="1">
                        <c:v>885007.63224663283</c:v>
                      </c:pt>
                      <c:pt idx="2">
                        <c:v>1317364.5040097458</c:v>
                      </c:pt>
                      <c:pt idx="3">
                        <c:v>1685007.0915487446</c:v>
                      </c:pt>
                      <c:pt idx="4">
                        <c:v>1528837.4357423829</c:v>
                      </c:pt>
                      <c:pt idx="5">
                        <c:v>1328222.4325507137</c:v>
                      </c:pt>
                      <c:pt idx="6">
                        <c:v>896041.07281016489</c:v>
                      </c:pt>
                      <c:pt idx="7">
                        <c:v>1689757.9871172209</c:v>
                      </c:pt>
                      <c:pt idx="8">
                        <c:v>1081341.4092928956</c:v>
                      </c:pt>
                      <c:pt idx="9">
                        <c:v>1426346.217751178</c:v>
                      </c:pt>
                      <c:pt idx="10">
                        <c:v>912551.77851438767</c:v>
                      </c:pt>
                      <c:pt idx="11">
                        <c:v>1486483.3689270783</c:v>
                      </c:pt>
                      <c:pt idx="12">
                        <c:v>1974013.2516510694</c:v>
                      </c:pt>
                      <c:pt idx="13">
                        <c:v>1646382.6363424866</c:v>
                      </c:pt>
                      <c:pt idx="14">
                        <c:v>2328409.1049276418</c:v>
                      </c:pt>
                      <c:pt idx="15">
                        <c:v>1201284.253725596</c:v>
                      </c:pt>
                      <c:pt idx="16">
                        <c:v>2639100.6213051314</c:v>
                      </c:pt>
                      <c:pt idx="17">
                        <c:v>1512364.3277432774</c:v>
                      </c:pt>
                      <c:pt idx="18">
                        <c:v>1392545.2216147154</c:v>
                      </c:pt>
                      <c:pt idx="19">
                        <c:v>1421707.5165097686</c:v>
                      </c:pt>
                      <c:pt idx="20">
                        <c:v>2523605.7972657834</c:v>
                      </c:pt>
                      <c:pt idx="21">
                        <c:v>2301448.3085401319</c:v>
                      </c:pt>
                      <c:pt idx="22">
                        <c:v>1377008.0396540898</c:v>
                      </c:pt>
                      <c:pt idx="23">
                        <c:v>1177214.4683008974</c:v>
                      </c:pt>
                    </c:numCache>
                  </c:numRef>
                </c:val>
                <c:extLst>
                  <c:ext xmlns:c16="http://schemas.microsoft.com/office/drawing/2014/chart" uri="{C3380CC4-5D6E-409C-BE32-E72D297353CC}">
                    <c16:uniqueId val="{00000005-C464-44FC-90A8-8DCF3E978C57}"/>
                  </c:ext>
                </c:extLst>
              </c15:ser>
            </c15:filteredBarSeries>
          </c:ext>
        </c:extLst>
      </c:barChart>
      <c:lineChart>
        <c:grouping val="standard"/>
        <c:varyColors val="0"/>
        <c:ser>
          <c:idx val="0"/>
          <c:order val="0"/>
          <c:tx>
            <c:v>AMA West</c:v>
          </c:tx>
          <c:spPr>
            <a:ln w="28575" cap="rnd">
              <a:solidFill>
                <a:schemeClr val="accent1"/>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revenue_by_region!$D$14:$D$37</c:f>
              <c:numCache>
                <c:formatCode>_("£"* #,##0.00_);_("£"* \(#,##0.00\);_("£"* "-"??_);_(@_)</c:formatCode>
                <c:ptCount val="24"/>
                <c:pt idx="0">
                  <c:v>1731359.1297716608</c:v>
                </c:pt>
                <c:pt idx="1">
                  <c:v>1697381.0366204844</c:v>
                </c:pt>
                <c:pt idx="2">
                  <c:v>1688971.0972957856</c:v>
                </c:pt>
                <c:pt idx="3">
                  <c:v>1634500.5140761761</c:v>
                </c:pt>
                <c:pt idx="4">
                  <c:v>1538878.533422861</c:v>
                </c:pt>
                <c:pt idx="5">
                  <c:v>1421578.8769389139</c:v>
                </c:pt>
                <c:pt idx="6">
                  <c:v>1397525.9189430492</c:v>
                </c:pt>
                <c:pt idx="7">
                  <c:v>1436759.8063490738</c:v>
                </c:pt>
                <c:pt idx="8">
                  <c:v>1397579.3096337595</c:v>
                </c:pt>
                <c:pt idx="9">
                  <c:v>1392221.6815399567</c:v>
                </c:pt>
                <c:pt idx="10">
                  <c:v>1416256.642326534</c:v>
                </c:pt>
                <c:pt idx="11">
                  <c:v>1427632.180939317</c:v>
                </c:pt>
                <c:pt idx="12">
                  <c:v>1446362.9813882562</c:v>
                </c:pt>
                <c:pt idx="13">
                  <c:v>1465293.8569404699</c:v>
                </c:pt>
                <c:pt idx="14">
                  <c:v>1475505.0597026434</c:v>
                </c:pt>
                <c:pt idx="15">
                  <c:v>1546228.4586796754</c:v>
                </c:pt>
                <c:pt idx="16">
                  <c:v>1556822.9809187166</c:v>
                </c:pt>
                <c:pt idx="17">
                  <c:v>1614577.4499591552</c:v>
                </c:pt>
                <c:pt idx="18">
                  <c:v>1643372.5087995001</c:v>
                </c:pt>
                <c:pt idx="19">
                  <c:v>1634735.8609840211</c:v>
                </c:pt>
                <c:pt idx="20">
                  <c:v>1614170.545026785</c:v>
                </c:pt>
                <c:pt idx="21">
                  <c:v>1664998.5099612444</c:v>
                </c:pt>
                <c:pt idx="22">
                  <c:v>1640908.3415259963</c:v>
                </c:pt>
                <c:pt idx="23">
                  <c:v>1639670.0551391256</c:v>
                </c:pt>
              </c:numCache>
            </c:numRef>
          </c:val>
          <c:smooth val="0"/>
          <c:extLst>
            <c:ext xmlns:c16="http://schemas.microsoft.com/office/drawing/2014/chart" uri="{C3380CC4-5D6E-409C-BE32-E72D297353CC}">
              <c16:uniqueId val="{00000000-C464-44FC-90A8-8DCF3E978C57}"/>
            </c:ext>
          </c:extLst>
        </c:ser>
        <c:ser>
          <c:idx val="1"/>
          <c:order val="1"/>
          <c:tx>
            <c:v>AMA South</c:v>
          </c:tx>
          <c:spPr>
            <a:ln w="28575" cap="rnd">
              <a:solidFill>
                <a:schemeClr val="accent2"/>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revenue_by_region!$F$14:$F$37</c:f>
              <c:numCache>
                <c:formatCode>_("£"* #,##0.00_);_("£"* \(#,##0.00\);_("£"* "-"??_);_(@_)</c:formatCode>
                <c:ptCount val="24"/>
                <c:pt idx="0">
                  <c:v>1596367.8182034763</c:v>
                </c:pt>
                <c:pt idx="1">
                  <c:v>1557168.2934458293</c:v>
                </c:pt>
                <c:pt idx="2">
                  <c:v>1553196.7511466416</c:v>
                </c:pt>
                <c:pt idx="3">
                  <c:v>1506702.5688152991</c:v>
                </c:pt>
                <c:pt idx="4">
                  <c:v>1488012.9207267354</c:v>
                </c:pt>
                <c:pt idx="5">
                  <c:v>1437951.1317853949</c:v>
                </c:pt>
                <c:pt idx="6">
                  <c:v>1348090.8173905723</c:v>
                </c:pt>
                <c:pt idx="7">
                  <c:v>1420903.9245633159</c:v>
                </c:pt>
                <c:pt idx="8">
                  <c:v>1404866.6107302606</c:v>
                </c:pt>
                <c:pt idx="9">
                  <c:v>1363000.7655504902</c:v>
                </c:pt>
                <c:pt idx="10">
                  <c:v>1269375.6825591645</c:v>
                </c:pt>
                <c:pt idx="11">
                  <c:v>1310190.9198195888</c:v>
                </c:pt>
                <c:pt idx="12">
                  <c:v>1350914.5151801843</c:v>
                </c:pt>
                <c:pt idx="13">
                  <c:v>1414362.4321881721</c:v>
                </c:pt>
                <c:pt idx="14">
                  <c:v>1498616.1489313301</c:v>
                </c:pt>
                <c:pt idx="15">
                  <c:v>1458305.9124460679</c:v>
                </c:pt>
                <c:pt idx="16">
                  <c:v>1550827.8445762971</c:v>
                </c:pt>
                <c:pt idx="17">
                  <c:v>1566173.0025090107</c:v>
                </c:pt>
                <c:pt idx="18">
                  <c:v>1607548.3482427232</c:v>
                </c:pt>
                <c:pt idx="19">
                  <c:v>1585210.8090254355</c:v>
                </c:pt>
                <c:pt idx="20">
                  <c:v>1705399.5080231761</c:v>
                </c:pt>
                <c:pt idx="21">
                  <c:v>1778324.6822555887</c:v>
                </c:pt>
                <c:pt idx="22">
                  <c:v>1817029.3706838973</c:v>
                </c:pt>
                <c:pt idx="23">
                  <c:v>1791256.9622983823</c:v>
                </c:pt>
              </c:numCache>
            </c:numRef>
          </c:val>
          <c:smooth val="0"/>
          <c:extLst>
            <c:ext xmlns:c16="http://schemas.microsoft.com/office/drawing/2014/chart" uri="{C3380CC4-5D6E-409C-BE32-E72D297353CC}">
              <c16:uniqueId val="{00000001-C464-44FC-90A8-8DCF3E978C57}"/>
            </c:ext>
          </c:extLst>
        </c:ser>
        <c:ser>
          <c:idx val="2"/>
          <c:order val="2"/>
          <c:tx>
            <c:v>AMA East</c:v>
          </c:tx>
          <c:spPr>
            <a:ln w="28575" cap="rnd">
              <a:solidFill>
                <a:schemeClr val="accent3"/>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revenue_by_region!$H$14:$H$37</c:f>
              <c:numCache>
                <c:formatCode>_("£"* #,##0.00_);_("£"* \(#,##0.00\);_("£"* "-"??_);_(@_)</c:formatCode>
                <c:ptCount val="24"/>
                <c:pt idx="0">
                  <c:v>1790962.2448792448</c:v>
                </c:pt>
                <c:pt idx="1">
                  <c:v>1799313.3992284965</c:v>
                </c:pt>
                <c:pt idx="2">
                  <c:v>1816526.0967236646</c:v>
                </c:pt>
                <c:pt idx="3">
                  <c:v>1665076.6320535913</c:v>
                </c:pt>
                <c:pt idx="4">
                  <c:v>1657594.872257035</c:v>
                </c:pt>
                <c:pt idx="5">
                  <c:v>1700861.1781368004</c:v>
                </c:pt>
                <c:pt idx="6">
                  <c:v>1671591.3339087174</c:v>
                </c:pt>
                <c:pt idx="7">
                  <c:v>1622050.0237996934</c:v>
                </c:pt>
                <c:pt idx="8">
                  <c:v>1564531.4748795831</c:v>
                </c:pt>
                <c:pt idx="9">
                  <c:v>1560844.6559791875</c:v>
                </c:pt>
                <c:pt idx="10">
                  <c:v>1475904.8130372476</c:v>
                </c:pt>
                <c:pt idx="11">
                  <c:v>1449403.2864370474</c:v>
                </c:pt>
                <c:pt idx="12">
                  <c:v>1404737.2457115857</c:v>
                </c:pt>
                <c:pt idx="13">
                  <c:v>1365147.5698415241</c:v>
                </c:pt>
                <c:pt idx="14">
                  <c:v>1429594.2581858439</c:v>
                </c:pt>
                <c:pt idx="15">
                  <c:v>1532206.7770610552</c:v>
                </c:pt>
                <c:pt idx="16">
                  <c:v>1582336.8703894343</c:v>
                </c:pt>
                <c:pt idx="17">
                  <c:v>1560353.2017100572</c:v>
                </c:pt>
                <c:pt idx="18">
                  <c:v>1569876.8935880456</c:v>
                </c:pt>
                <c:pt idx="19">
                  <c:v>1583344.2911693503</c:v>
                </c:pt>
                <c:pt idx="20">
                  <c:v>1670854.5841815053</c:v>
                </c:pt>
                <c:pt idx="21">
                  <c:v>1660410.0590019955</c:v>
                </c:pt>
                <c:pt idx="22">
                  <c:v>1709340.8316604868</c:v>
                </c:pt>
                <c:pt idx="23">
                  <c:v>1806202.4859272204</c:v>
                </c:pt>
              </c:numCache>
            </c:numRef>
          </c:val>
          <c:smooth val="0"/>
          <c:extLst>
            <c:ext xmlns:c16="http://schemas.microsoft.com/office/drawing/2014/chart" uri="{C3380CC4-5D6E-409C-BE32-E72D297353CC}">
              <c16:uniqueId val="{00000002-C464-44FC-90A8-8DCF3E978C57}"/>
            </c:ext>
          </c:extLst>
        </c:ser>
        <c:ser>
          <c:idx val="3"/>
          <c:order val="3"/>
          <c:tx>
            <c:v>AMA North</c:v>
          </c:tx>
          <c:spPr>
            <a:ln w="28575" cap="rnd">
              <a:solidFill>
                <a:schemeClr val="accent4"/>
              </a:solidFill>
              <a:round/>
            </a:ln>
            <a:effectLst/>
          </c:spPr>
          <c:marker>
            <c:symbol val="none"/>
          </c:marker>
          <c:cat>
            <c:multiLvlStrRef>
              <c:f>revenue_by_region!$A$14:$B$37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revenue_by_region!$J$14:$J$37</c:f>
              <c:numCache>
                <c:formatCode>_("£"* #,##0.00_);_("£"* \(#,##0.00\);_("£"* "-"??_);_(@_)</c:formatCode>
                <c:ptCount val="24"/>
                <c:pt idx="0">
                  <c:v>2194689.6296631666</c:v>
                </c:pt>
                <c:pt idx="1">
                  <c:v>2055585.0716394857</c:v>
                </c:pt>
                <c:pt idx="2">
                  <c:v>1991675.7043355452</c:v>
                </c:pt>
                <c:pt idx="3">
                  <c:v>1972659.6464161044</c:v>
                </c:pt>
                <c:pt idx="4">
                  <c:v>1886452.541476703</c:v>
                </c:pt>
                <c:pt idx="5">
                  <c:v>1833444.8659981964</c:v>
                </c:pt>
                <c:pt idx="6">
                  <c:v>1798734.9173093492</c:v>
                </c:pt>
                <c:pt idx="7">
                  <c:v>1744367.5792405726</c:v>
                </c:pt>
                <c:pt idx="8">
                  <c:v>1682898.6806775955</c:v>
                </c:pt>
                <c:pt idx="9">
                  <c:v>1646174.2837413128</c:v>
                </c:pt>
                <c:pt idx="10">
                  <c:v>1557944.3041033021</c:v>
                </c:pt>
                <c:pt idx="11">
                  <c:v>1467824.1076327099</c:v>
                </c:pt>
                <c:pt idx="12">
                  <c:v>1498527.8178803828</c:v>
                </c:pt>
                <c:pt idx="13">
                  <c:v>1561486.1430074703</c:v>
                </c:pt>
                <c:pt idx="14">
                  <c:v>1670651.6634340894</c:v>
                </c:pt>
                <c:pt idx="15">
                  <c:v>1641634.3702557653</c:v>
                </c:pt>
                <c:pt idx="16">
                  <c:v>1788869.229307509</c:v>
                </c:pt>
                <c:pt idx="17">
                  <c:v>1812210.1927694054</c:v>
                </c:pt>
                <c:pt idx="18">
                  <c:v>1890693.6398841969</c:v>
                </c:pt>
                <c:pt idx="19">
                  <c:v>1890172.0073348421</c:v>
                </c:pt>
                <c:pt idx="20">
                  <c:v>1911838.1170332583</c:v>
                </c:pt>
                <c:pt idx="21">
                  <c:v>1934036.5526030043</c:v>
                </c:pt>
                <c:pt idx="22">
                  <c:v>2016480.1926523203</c:v>
                </c:pt>
                <c:pt idx="23">
                  <c:v>2051849.5366091521</c:v>
                </c:pt>
              </c:numCache>
            </c:numRef>
          </c:val>
          <c:smooth val="0"/>
          <c:extLst>
            <c:ext xmlns:c16="http://schemas.microsoft.com/office/drawing/2014/chart" uri="{C3380CC4-5D6E-409C-BE32-E72D297353CC}">
              <c16:uniqueId val="{00000003-C464-44FC-90A8-8DCF3E978C57}"/>
            </c:ext>
          </c:extLst>
        </c:ser>
        <c:dLbls>
          <c:showLegendKey val="0"/>
          <c:showVal val="0"/>
          <c:showCatName val="0"/>
          <c:showSerName val="0"/>
          <c:showPercent val="0"/>
          <c:showBubbleSize val="0"/>
        </c:dLbls>
        <c:marker val="1"/>
        <c:smooth val="0"/>
        <c:axId val="142733151"/>
        <c:axId val="142737471"/>
      </c:lineChart>
      <c:catAx>
        <c:axId val="14273315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7471"/>
        <c:crosses val="autoZero"/>
        <c:auto val="1"/>
        <c:lblAlgn val="ctr"/>
        <c:lblOffset val="100"/>
        <c:noMultiLvlLbl val="0"/>
      </c:catAx>
      <c:valAx>
        <c:axId val="142737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33151"/>
        <c:crosses val="autoZero"/>
        <c:crossBetween val="between"/>
      </c:valAx>
      <c:valAx>
        <c:axId val="2010048559"/>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049039"/>
        <c:crosses val="max"/>
        <c:crossBetween val="between"/>
      </c:valAx>
      <c:catAx>
        <c:axId val="2010049039"/>
        <c:scaling>
          <c:orientation val="minMax"/>
        </c:scaling>
        <c:delete val="1"/>
        <c:axPos val="b"/>
        <c:majorTickMark val="out"/>
        <c:minorTickMark val="none"/>
        <c:tickLblPos val="nextTo"/>
        <c:crossAx val="2010048559"/>
        <c:crosses val="autoZero"/>
        <c:auto val="1"/>
        <c:lblAlgn val="ctr"/>
        <c:lblOffset val="100"/>
        <c:noMultiLvlLbl val="0"/>
      </c:cat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v>AMA Alice</c:v>
          </c:tx>
          <c:spPr>
            <a:ln w="28575" cap="rnd">
              <a:solidFill>
                <a:schemeClr val="accent3"/>
              </a:solidFill>
              <a:round/>
            </a:ln>
            <a:effectLst/>
          </c:spPr>
          <c:marker>
            <c:symbol val="none"/>
          </c:marker>
          <c:cat>
            <c:multiLvlStrRef>
              <c:f>qty_sales_by_rep!$A$23:$B$46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qty_sales_by_rep!$H$23:$H$46</c:f>
              <c:numCache>
                <c:formatCode>0.00</c:formatCode>
                <c:ptCount val="24"/>
                <c:pt idx="0">
                  <c:v>512.5</c:v>
                </c:pt>
                <c:pt idx="1">
                  <c:v>510.08333333333331</c:v>
                </c:pt>
                <c:pt idx="2">
                  <c:v>497.16666666666669</c:v>
                </c:pt>
                <c:pt idx="3">
                  <c:v>491.16666666666669</c:v>
                </c:pt>
                <c:pt idx="4">
                  <c:v>483.66666666666669</c:v>
                </c:pt>
                <c:pt idx="5">
                  <c:v>450.33333333333331</c:v>
                </c:pt>
                <c:pt idx="6">
                  <c:v>434.66666666666669</c:v>
                </c:pt>
                <c:pt idx="7">
                  <c:v>448.91666666666669</c:v>
                </c:pt>
                <c:pt idx="8">
                  <c:v>412.25</c:v>
                </c:pt>
                <c:pt idx="9">
                  <c:v>403.5</c:v>
                </c:pt>
                <c:pt idx="10">
                  <c:v>405.25</c:v>
                </c:pt>
                <c:pt idx="11">
                  <c:v>400.66666666666669</c:v>
                </c:pt>
                <c:pt idx="12">
                  <c:v>398.58333333333331</c:v>
                </c:pt>
                <c:pt idx="13">
                  <c:v>404.91666666666669</c:v>
                </c:pt>
                <c:pt idx="14">
                  <c:v>411.33333333333331</c:v>
                </c:pt>
                <c:pt idx="15">
                  <c:v>425.25</c:v>
                </c:pt>
                <c:pt idx="16">
                  <c:v>458.75</c:v>
                </c:pt>
                <c:pt idx="17">
                  <c:v>464.66666666666669</c:v>
                </c:pt>
                <c:pt idx="18">
                  <c:v>477.91666666666669</c:v>
                </c:pt>
                <c:pt idx="19">
                  <c:v>462.5</c:v>
                </c:pt>
                <c:pt idx="20">
                  <c:v>487.58333333333331</c:v>
                </c:pt>
                <c:pt idx="21">
                  <c:v>505.58333333333331</c:v>
                </c:pt>
                <c:pt idx="22">
                  <c:v>489.58333333333331</c:v>
                </c:pt>
                <c:pt idx="23">
                  <c:v>485.91666666666669</c:v>
                </c:pt>
              </c:numCache>
            </c:numRef>
          </c:val>
          <c:smooth val="0"/>
          <c:extLst>
            <c:ext xmlns:c16="http://schemas.microsoft.com/office/drawing/2014/chart" uri="{C3380CC4-5D6E-409C-BE32-E72D297353CC}">
              <c16:uniqueId val="{00000002-67E0-4929-893C-CC9FD4656CD4}"/>
            </c:ext>
          </c:extLst>
        </c:ser>
        <c:ser>
          <c:idx val="0"/>
          <c:order val="1"/>
          <c:tx>
            <c:v>AMA Bob</c:v>
          </c:tx>
          <c:spPr>
            <a:ln w="28575" cap="rnd">
              <a:solidFill>
                <a:schemeClr val="accent1"/>
              </a:solidFill>
              <a:round/>
            </a:ln>
            <a:effectLst/>
          </c:spPr>
          <c:marker>
            <c:symbol val="none"/>
          </c:marker>
          <c:val>
            <c:numRef>
              <c:f>qty_sales_by_rep!$N$23:$N$46</c:f>
              <c:numCache>
                <c:formatCode>0.00</c:formatCode>
                <c:ptCount val="24"/>
                <c:pt idx="0">
                  <c:v>455.66666666666669</c:v>
                </c:pt>
                <c:pt idx="1">
                  <c:v>453.66666666666669</c:v>
                </c:pt>
                <c:pt idx="2">
                  <c:v>458.83333333333331</c:v>
                </c:pt>
                <c:pt idx="3">
                  <c:v>439.25</c:v>
                </c:pt>
                <c:pt idx="4">
                  <c:v>444.75</c:v>
                </c:pt>
                <c:pt idx="5">
                  <c:v>435.33333333333331</c:v>
                </c:pt>
                <c:pt idx="6">
                  <c:v>420</c:v>
                </c:pt>
                <c:pt idx="7">
                  <c:v>428.66666666666669</c:v>
                </c:pt>
                <c:pt idx="8">
                  <c:v>429.66666666666669</c:v>
                </c:pt>
                <c:pt idx="9">
                  <c:v>418.16666666666669</c:v>
                </c:pt>
                <c:pt idx="10">
                  <c:v>409.58333333333331</c:v>
                </c:pt>
                <c:pt idx="11">
                  <c:v>413.83333333333331</c:v>
                </c:pt>
                <c:pt idx="12">
                  <c:v>411.75</c:v>
                </c:pt>
                <c:pt idx="13">
                  <c:v>425.66666666666669</c:v>
                </c:pt>
                <c:pt idx="14">
                  <c:v>436.83333333333331</c:v>
                </c:pt>
                <c:pt idx="15">
                  <c:v>449.25</c:v>
                </c:pt>
                <c:pt idx="16">
                  <c:v>433.75</c:v>
                </c:pt>
                <c:pt idx="17">
                  <c:v>429.83333333333331</c:v>
                </c:pt>
                <c:pt idx="18">
                  <c:v>450.25</c:v>
                </c:pt>
                <c:pt idx="19">
                  <c:v>452.33333333333331</c:v>
                </c:pt>
                <c:pt idx="20">
                  <c:v>444.08333333333331</c:v>
                </c:pt>
                <c:pt idx="21">
                  <c:v>446.5</c:v>
                </c:pt>
                <c:pt idx="22">
                  <c:v>437</c:v>
                </c:pt>
                <c:pt idx="23">
                  <c:v>454.66666666666669</c:v>
                </c:pt>
              </c:numCache>
            </c:numRef>
          </c:val>
          <c:smooth val="0"/>
          <c:extLst>
            <c:ext xmlns:c16="http://schemas.microsoft.com/office/drawing/2014/chart" uri="{C3380CC4-5D6E-409C-BE32-E72D297353CC}">
              <c16:uniqueId val="{00000004-67E0-4929-893C-CC9FD4656CD4}"/>
            </c:ext>
          </c:extLst>
        </c:ser>
        <c:ser>
          <c:idx val="1"/>
          <c:order val="2"/>
          <c:tx>
            <c:v>AMA Charlie</c:v>
          </c:tx>
          <c:spPr>
            <a:ln w="28575" cap="rnd">
              <a:solidFill>
                <a:schemeClr val="accent2"/>
              </a:solidFill>
              <a:round/>
            </a:ln>
            <a:effectLst/>
          </c:spPr>
          <c:marker>
            <c:symbol val="none"/>
          </c:marker>
          <c:val>
            <c:numRef>
              <c:f>qty_sales_by_rep!$T$23:$T$46</c:f>
              <c:numCache>
                <c:formatCode>0.00</c:formatCode>
                <c:ptCount val="24"/>
                <c:pt idx="0">
                  <c:v>473.41666666666669</c:v>
                </c:pt>
                <c:pt idx="1">
                  <c:v>450.16666666666669</c:v>
                </c:pt>
                <c:pt idx="2">
                  <c:v>427</c:v>
                </c:pt>
                <c:pt idx="3">
                  <c:v>407</c:v>
                </c:pt>
                <c:pt idx="4">
                  <c:v>389</c:v>
                </c:pt>
                <c:pt idx="5">
                  <c:v>391.5</c:v>
                </c:pt>
                <c:pt idx="6">
                  <c:v>377.33333333333331</c:v>
                </c:pt>
                <c:pt idx="7">
                  <c:v>380.66666666666669</c:v>
                </c:pt>
                <c:pt idx="8">
                  <c:v>404.75</c:v>
                </c:pt>
                <c:pt idx="9">
                  <c:v>382.75</c:v>
                </c:pt>
                <c:pt idx="10">
                  <c:v>366.41666666666669</c:v>
                </c:pt>
                <c:pt idx="11">
                  <c:v>351.41666666666669</c:v>
                </c:pt>
                <c:pt idx="12">
                  <c:v>340.08333333333331</c:v>
                </c:pt>
                <c:pt idx="13">
                  <c:v>342</c:v>
                </c:pt>
                <c:pt idx="14">
                  <c:v>395.25</c:v>
                </c:pt>
                <c:pt idx="15">
                  <c:v>365.58333333333331</c:v>
                </c:pt>
                <c:pt idx="16">
                  <c:v>373.08333333333331</c:v>
                </c:pt>
                <c:pt idx="17">
                  <c:v>387.91666666666669</c:v>
                </c:pt>
                <c:pt idx="18">
                  <c:v>385.33333333333331</c:v>
                </c:pt>
                <c:pt idx="19">
                  <c:v>382.25</c:v>
                </c:pt>
                <c:pt idx="20">
                  <c:v>378.16666666666669</c:v>
                </c:pt>
                <c:pt idx="21">
                  <c:v>386.83333333333331</c:v>
                </c:pt>
                <c:pt idx="22">
                  <c:v>394.83333333333331</c:v>
                </c:pt>
                <c:pt idx="23">
                  <c:v>411</c:v>
                </c:pt>
              </c:numCache>
            </c:numRef>
          </c:val>
          <c:smooth val="0"/>
          <c:extLst>
            <c:ext xmlns:c16="http://schemas.microsoft.com/office/drawing/2014/chart" uri="{C3380CC4-5D6E-409C-BE32-E72D297353CC}">
              <c16:uniqueId val="{00000005-67E0-4929-893C-CC9FD4656CD4}"/>
            </c:ext>
          </c:extLst>
        </c:ser>
        <c:ser>
          <c:idx val="3"/>
          <c:order val="3"/>
          <c:tx>
            <c:v>AMA David</c:v>
          </c:tx>
          <c:spPr>
            <a:ln w="28575" cap="rnd">
              <a:solidFill>
                <a:schemeClr val="accent4"/>
              </a:solidFill>
              <a:round/>
            </a:ln>
            <a:effectLst/>
          </c:spPr>
          <c:marker>
            <c:symbol val="none"/>
          </c:marker>
          <c:val>
            <c:numRef>
              <c:f>qty_sales_by_rep!$Z$23:$Z$46</c:f>
              <c:numCache>
                <c:formatCode>0.00</c:formatCode>
                <c:ptCount val="24"/>
                <c:pt idx="0">
                  <c:v>432.33333333333331</c:v>
                </c:pt>
                <c:pt idx="1">
                  <c:v>426.08333333333331</c:v>
                </c:pt>
                <c:pt idx="2">
                  <c:v>443.5</c:v>
                </c:pt>
                <c:pt idx="3">
                  <c:v>440.75</c:v>
                </c:pt>
                <c:pt idx="4">
                  <c:v>426.25</c:v>
                </c:pt>
                <c:pt idx="5">
                  <c:v>426.75</c:v>
                </c:pt>
                <c:pt idx="6">
                  <c:v>432.66666666666669</c:v>
                </c:pt>
                <c:pt idx="7">
                  <c:v>422.25</c:v>
                </c:pt>
                <c:pt idx="8">
                  <c:v>415.58333333333331</c:v>
                </c:pt>
                <c:pt idx="9">
                  <c:v>470.58333333333331</c:v>
                </c:pt>
                <c:pt idx="10">
                  <c:v>475.08333333333331</c:v>
                </c:pt>
                <c:pt idx="11">
                  <c:v>500</c:v>
                </c:pt>
                <c:pt idx="12">
                  <c:v>511.58333333333331</c:v>
                </c:pt>
                <c:pt idx="13">
                  <c:v>494.08333333333331</c:v>
                </c:pt>
                <c:pt idx="14">
                  <c:v>492.41666666666669</c:v>
                </c:pt>
                <c:pt idx="15">
                  <c:v>498.83333333333331</c:v>
                </c:pt>
                <c:pt idx="16">
                  <c:v>504.83333333333331</c:v>
                </c:pt>
                <c:pt idx="17">
                  <c:v>495.5</c:v>
                </c:pt>
                <c:pt idx="18">
                  <c:v>509.5</c:v>
                </c:pt>
                <c:pt idx="19">
                  <c:v>497.5</c:v>
                </c:pt>
                <c:pt idx="20">
                  <c:v>503</c:v>
                </c:pt>
                <c:pt idx="21">
                  <c:v>469.5</c:v>
                </c:pt>
                <c:pt idx="22">
                  <c:v>460.66666666666669</c:v>
                </c:pt>
                <c:pt idx="23">
                  <c:v>443.33333333333331</c:v>
                </c:pt>
              </c:numCache>
            </c:numRef>
          </c:val>
          <c:smooth val="0"/>
          <c:extLst>
            <c:ext xmlns:c16="http://schemas.microsoft.com/office/drawing/2014/chart" uri="{C3380CC4-5D6E-409C-BE32-E72D297353CC}">
              <c16:uniqueId val="{00000006-67E0-4929-893C-CC9FD4656CD4}"/>
            </c:ext>
          </c:extLst>
        </c:ser>
        <c:ser>
          <c:idx val="4"/>
          <c:order val="4"/>
          <c:tx>
            <c:v>AMA Eve</c:v>
          </c:tx>
          <c:spPr>
            <a:ln w="28575" cap="rnd">
              <a:solidFill>
                <a:schemeClr val="accent5"/>
              </a:solidFill>
              <a:round/>
            </a:ln>
            <a:effectLst/>
          </c:spPr>
          <c:marker>
            <c:symbol val="none"/>
          </c:marker>
          <c:val>
            <c:numRef>
              <c:f>qty_sales_by_rep!$AF$23:$AF$46</c:f>
              <c:numCache>
                <c:formatCode>0.00</c:formatCode>
                <c:ptCount val="24"/>
                <c:pt idx="0">
                  <c:v>503.58333333333331</c:v>
                </c:pt>
                <c:pt idx="1">
                  <c:v>492.58333333333331</c:v>
                </c:pt>
                <c:pt idx="2">
                  <c:v>502.41666666666669</c:v>
                </c:pt>
                <c:pt idx="3">
                  <c:v>496.66666666666669</c:v>
                </c:pt>
                <c:pt idx="4">
                  <c:v>479.08333333333331</c:v>
                </c:pt>
                <c:pt idx="5">
                  <c:v>498.83333333333331</c:v>
                </c:pt>
                <c:pt idx="6">
                  <c:v>487.25</c:v>
                </c:pt>
                <c:pt idx="7">
                  <c:v>482.41666666666669</c:v>
                </c:pt>
                <c:pt idx="8">
                  <c:v>476.66666666666669</c:v>
                </c:pt>
                <c:pt idx="9">
                  <c:v>459.91666666666669</c:v>
                </c:pt>
                <c:pt idx="10">
                  <c:v>450.41666666666669</c:v>
                </c:pt>
                <c:pt idx="11">
                  <c:v>440.58333333333331</c:v>
                </c:pt>
                <c:pt idx="12">
                  <c:v>446.41666666666669</c:v>
                </c:pt>
                <c:pt idx="13">
                  <c:v>445.25</c:v>
                </c:pt>
                <c:pt idx="14">
                  <c:v>440</c:v>
                </c:pt>
                <c:pt idx="15">
                  <c:v>449.33333333333331</c:v>
                </c:pt>
                <c:pt idx="16">
                  <c:v>485.16666666666669</c:v>
                </c:pt>
                <c:pt idx="17">
                  <c:v>467.58333333333331</c:v>
                </c:pt>
                <c:pt idx="18">
                  <c:v>458.75</c:v>
                </c:pt>
                <c:pt idx="19">
                  <c:v>455.83333333333331</c:v>
                </c:pt>
                <c:pt idx="20">
                  <c:v>462.75</c:v>
                </c:pt>
                <c:pt idx="21">
                  <c:v>472.58333333333331</c:v>
                </c:pt>
                <c:pt idx="22">
                  <c:v>495.33333333333331</c:v>
                </c:pt>
                <c:pt idx="23">
                  <c:v>506.16666666666669</c:v>
                </c:pt>
              </c:numCache>
            </c:numRef>
          </c:val>
          <c:smooth val="0"/>
          <c:extLst>
            <c:ext xmlns:c16="http://schemas.microsoft.com/office/drawing/2014/chart" uri="{C3380CC4-5D6E-409C-BE32-E72D297353CC}">
              <c16:uniqueId val="{00000007-67E0-4929-893C-CC9FD4656CD4}"/>
            </c:ext>
          </c:extLst>
        </c:ser>
        <c:dLbls>
          <c:showLegendKey val="0"/>
          <c:showVal val="0"/>
          <c:showCatName val="0"/>
          <c:showSerName val="0"/>
          <c:showPercent val="0"/>
          <c:showBubbleSize val="0"/>
        </c:dLbls>
        <c:smooth val="0"/>
        <c:axId val="1515744448"/>
        <c:axId val="1515742528"/>
      </c:lineChart>
      <c:catAx>
        <c:axId val="15157444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v>Alice</c:v>
          </c:tx>
          <c:spPr>
            <a:ln w="28575" cap="rnd">
              <a:solidFill>
                <a:schemeClr val="accent3"/>
              </a:solidFill>
              <a:round/>
            </a:ln>
            <a:effectLst/>
          </c:spPr>
          <c:marker>
            <c:symbol val="none"/>
          </c:marker>
          <c:cat>
            <c:multiLvlStrRef>
              <c:f>qty_sales_by_rep!$A$23:$B$46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qty_sales_by_rep!$G$23:$G$46</c:f>
              <c:numCache>
                <c:formatCode>General</c:formatCode>
                <c:ptCount val="24"/>
                <c:pt idx="0">
                  <c:v>274</c:v>
                </c:pt>
                <c:pt idx="1">
                  <c:v>465</c:v>
                </c:pt>
                <c:pt idx="2">
                  <c:v>424</c:v>
                </c:pt>
                <c:pt idx="3">
                  <c:v>390</c:v>
                </c:pt>
                <c:pt idx="4">
                  <c:v>412</c:v>
                </c:pt>
                <c:pt idx="5">
                  <c:v>392</c:v>
                </c:pt>
                <c:pt idx="6">
                  <c:v>358</c:v>
                </c:pt>
                <c:pt idx="7">
                  <c:v>575</c:v>
                </c:pt>
                <c:pt idx="8">
                  <c:v>195</c:v>
                </c:pt>
                <c:pt idx="9">
                  <c:v>285</c:v>
                </c:pt>
                <c:pt idx="10">
                  <c:v>530</c:v>
                </c:pt>
                <c:pt idx="11">
                  <c:v>508</c:v>
                </c:pt>
                <c:pt idx="12">
                  <c:v>249</c:v>
                </c:pt>
                <c:pt idx="13">
                  <c:v>541</c:v>
                </c:pt>
                <c:pt idx="14">
                  <c:v>501</c:v>
                </c:pt>
                <c:pt idx="15">
                  <c:v>557</c:v>
                </c:pt>
                <c:pt idx="16">
                  <c:v>814</c:v>
                </c:pt>
                <c:pt idx="17">
                  <c:v>463</c:v>
                </c:pt>
                <c:pt idx="18">
                  <c:v>517</c:v>
                </c:pt>
                <c:pt idx="19">
                  <c:v>390</c:v>
                </c:pt>
                <c:pt idx="20">
                  <c:v>496</c:v>
                </c:pt>
                <c:pt idx="21">
                  <c:v>501</c:v>
                </c:pt>
                <c:pt idx="22">
                  <c:v>338</c:v>
                </c:pt>
                <c:pt idx="23">
                  <c:v>464</c:v>
                </c:pt>
              </c:numCache>
            </c:numRef>
          </c:val>
          <c:smooth val="0"/>
          <c:extLst>
            <c:ext xmlns:c16="http://schemas.microsoft.com/office/drawing/2014/chart" uri="{C3380CC4-5D6E-409C-BE32-E72D297353CC}">
              <c16:uniqueId val="{00000000-7E4D-47ED-8DB9-22F74446F6AC}"/>
            </c:ext>
          </c:extLst>
        </c:ser>
        <c:ser>
          <c:idx val="0"/>
          <c:order val="1"/>
          <c:tx>
            <c:v>Bob</c:v>
          </c:tx>
          <c:spPr>
            <a:ln w="28575" cap="rnd">
              <a:solidFill>
                <a:schemeClr val="accent1"/>
              </a:solidFill>
              <a:round/>
            </a:ln>
            <a:effectLst/>
          </c:spPr>
          <c:marker>
            <c:symbol val="none"/>
          </c:marker>
          <c:val>
            <c:numRef>
              <c:f>qty_sales_by_rep!$M$23:$M$46</c:f>
              <c:numCache>
                <c:formatCode>General</c:formatCode>
                <c:ptCount val="24"/>
                <c:pt idx="0">
                  <c:v>588</c:v>
                </c:pt>
                <c:pt idx="1">
                  <c:v>332</c:v>
                </c:pt>
                <c:pt idx="2">
                  <c:v>364</c:v>
                </c:pt>
                <c:pt idx="3">
                  <c:v>212</c:v>
                </c:pt>
                <c:pt idx="4">
                  <c:v>554</c:v>
                </c:pt>
                <c:pt idx="5">
                  <c:v>473</c:v>
                </c:pt>
                <c:pt idx="6">
                  <c:v>204</c:v>
                </c:pt>
                <c:pt idx="7">
                  <c:v>486</c:v>
                </c:pt>
                <c:pt idx="8">
                  <c:v>434</c:v>
                </c:pt>
                <c:pt idx="9">
                  <c:v>422</c:v>
                </c:pt>
                <c:pt idx="10">
                  <c:v>400</c:v>
                </c:pt>
                <c:pt idx="11">
                  <c:v>497</c:v>
                </c:pt>
                <c:pt idx="12">
                  <c:v>563</c:v>
                </c:pt>
                <c:pt idx="13">
                  <c:v>499</c:v>
                </c:pt>
                <c:pt idx="14">
                  <c:v>498</c:v>
                </c:pt>
                <c:pt idx="15">
                  <c:v>361</c:v>
                </c:pt>
                <c:pt idx="16">
                  <c:v>368</c:v>
                </c:pt>
                <c:pt idx="17">
                  <c:v>426</c:v>
                </c:pt>
                <c:pt idx="18">
                  <c:v>449</c:v>
                </c:pt>
                <c:pt idx="19">
                  <c:v>511</c:v>
                </c:pt>
                <c:pt idx="20">
                  <c:v>335</c:v>
                </c:pt>
                <c:pt idx="21">
                  <c:v>451</c:v>
                </c:pt>
                <c:pt idx="22">
                  <c:v>286</c:v>
                </c:pt>
                <c:pt idx="23">
                  <c:v>709</c:v>
                </c:pt>
              </c:numCache>
            </c:numRef>
          </c:val>
          <c:smooth val="0"/>
          <c:extLst>
            <c:ext xmlns:c16="http://schemas.microsoft.com/office/drawing/2014/chart" uri="{C3380CC4-5D6E-409C-BE32-E72D297353CC}">
              <c16:uniqueId val="{00000001-7E4D-47ED-8DB9-22F74446F6AC}"/>
            </c:ext>
          </c:extLst>
        </c:ser>
        <c:ser>
          <c:idx val="1"/>
          <c:order val="2"/>
          <c:tx>
            <c:v>Charlie</c:v>
          </c:tx>
          <c:spPr>
            <a:ln w="28575" cap="rnd">
              <a:solidFill>
                <a:schemeClr val="accent2"/>
              </a:solidFill>
              <a:round/>
            </a:ln>
            <a:effectLst/>
          </c:spPr>
          <c:marker>
            <c:symbol val="none"/>
          </c:marker>
          <c:val>
            <c:numRef>
              <c:f>qty_sales_by_rep!$S$23:$S$46</c:f>
              <c:numCache>
                <c:formatCode>General</c:formatCode>
                <c:ptCount val="24"/>
                <c:pt idx="0">
                  <c:v>608</c:v>
                </c:pt>
                <c:pt idx="1">
                  <c:v>387</c:v>
                </c:pt>
                <c:pt idx="2">
                  <c:v>213</c:v>
                </c:pt>
                <c:pt idx="3">
                  <c:v>499</c:v>
                </c:pt>
                <c:pt idx="4">
                  <c:v>284</c:v>
                </c:pt>
                <c:pt idx="5">
                  <c:v>340</c:v>
                </c:pt>
                <c:pt idx="6">
                  <c:v>297</c:v>
                </c:pt>
                <c:pt idx="7">
                  <c:v>319</c:v>
                </c:pt>
                <c:pt idx="8">
                  <c:v>448</c:v>
                </c:pt>
                <c:pt idx="9">
                  <c:v>309</c:v>
                </c:pt>
                <c:pt idx="10">
                  <c:v>280</c:v>
                </c:pt>
                <c:pt idx="11">
                  <c:v>233</c:v>
                </c:pt>
                <c:pt idx="12">
                  <c:v>472</c:v>
                </c:pt>
                <c:pt idx="13">
                  <c:v>410</c:v>
                </c:pt>
                <c:pt idx="14">
                  <c:v>852</c:v>
                </c:pt>
                <c:pt idx="15">
                  <c:v>143</c:v>
                </c:pt>
                <c:pt idx="16">
                  <c:v>374</c:v>
                </c:pt>
                <c:pt idx="17">
                  <c:v>518</c:v>
                </c:pt>
                <c:pt idx="18">
                  <c:v>266</c:v>
                </c:pt>
                <c:pt idx="19">
                  <c:v>282</c:v>
                </c:pt>
                <c:pt idx="20">
                  <c:v>399</c:v>
                </c:pt>
                <c:pt idx="21">
                  <c:v>413</c:v>
                </c:pt>
                <c:pt idx="22">
                  <c:v>376</c:v>
                </c:pt>
                <c:pt idx="23">
                  <c:v>427</c:v>
                </c:pt>
              </c:numCache>
            </c:numRef>
          </c:val>
          <c:smooth val="0"/>
          <c:extLst>
            <c:ext xmlns:c16="http://schemas.microsoft.com/office/drawing/2014/chart" uri="{C3380CC4-5D6E-409C-BE32-E72D297353CC}">
              <c16:uniqueId val="{00000002-7E4D-47ED-8DB9-22F74446F6AC}"/>
            </c:ext>
          </c:extLst>
        </c:ser>
        <c:ser>
          <c:idx val="3"/>
          <c:order val="3"/>
          <c:tx>
            <c:v>David</c:v>
          </c:tx>
          <c:spPr>
            <a:ln w="28575" cap="rnd">
              <a:solidFill>
                <a:schemeClr val="accent4"/>
              </a:solidFill>
              <a:round/>
            </a:ln>
            <a:effectLst/>
          </c:spPr>
          <c:marker>
            <c:symbol val="none"/>
          </c:marker>
          <c:val>
            <c:numRef>
              <c:f>qty_sales_by_rep!$Y$23:$Y$46</c:f>
              <c:numCache>
                <c:formatCode>General</c:formatCode>
                <c:ptCount val="24"/>
                <c:pt idx="0">
                  <c:v>369</c:v>
                </c:pt>
                <c:pt idx="1">
                  <c:v>534</c:v>
                </c:pt>
                <c:pt idx="2">
                  <c:v>456</c:v>
                </c:pt>
                <c:pt idx="3">
                  <c:v>448</c:v>
                </c:pt>
                <c:pt idx="4">
                  <c:v>422</c:v>
                </c:pt>
                <c:pt idx="5">
                  <c:v>435</c:v>
                </c:pt>
                <c:pt idx="6">
                  <c:v>319</c:v>
                </c:pt>
                <c:pt idx="7">
                  <c:v>503</c:v>
                </c:pt>
                <c:pt idx="8">
                  <c:v>350</c:v>
                </c:pt>
                <c:pt idx="9">
                  <c:v>965</c:v>
                </c:pt>
                <c:pt idx="10">
                  <c:v>626</c:v>
                </c:pt>
                <c:pt idx="11">
                  <c:v>573</c:v>
                </c:pt>
                <c:pt idx="12">
                  <c:v>508</c:v>
                </c:pt>
                <c:pt idx="13">
                  <c:v>324</c:v>
                </c:pt>
                <c:pt idx="14">
                  <c:v>436</c:v>
                </c:pt>
                <c:pt idx="15">
                  <c:v>525</c:v>
                </c:pt>
                <c:pt idx="16">
                  <c:v>494</c:v>
                </c:pt>
                <c:pt idx="17">
                  <c:v>323</c:v>
                </c:pt>
                <c:pt idx="18">
                  <c:v>487</c:v>
                </c:pt>
                <c:pt idx="19">
                  <c:v>359</c:v>
                </c:pt>
                <c:pt idx="20">
                  <c:v>416</c:v>
                </c:pt>
                <c:pt idx="21">
                  <c:v>563</c:v>
                </c:pt>
                <c:pt idx="22">
                  <c:v>520</c:v>
                </c:pt>
                <c:pt idx="23">
                  <c:v>365</c:v>
                </c:pt>
              </c:numCache>
            </c:numRef>
          </c:val>
          <c:smooth val="0"/>
          <c:extLst>
            <c:ext xmlns:c16="http://schemas.microsoft.com/office/drawing/2014/chart" uri="{C3380CC4-5D6E-409C-BE32-E72D297353CC}">
              <c16:uniqueId val="{00000003-7E4D-47ED-8DB9-22F74446F6AC}"/>
            </c:ext>
          </c:extLst>
        </c:ser>
        <c:ser>
          <c:idx val="4"/>
          <c:order val="4"/>
          <c:tx>
            <c:v>Eve</c:v>
          </c:tx>
          <c:spPr>
            <a:ln w="28575" cap="rnd">
              <a:solidFill>
                <a:schemeClr val="accent5"/>
              </a:solidFill>
              <a:round/>
            </a:ln>
            <a:effectLst/>
          </c:spPr>
          <c:marker>
            <c:symbol val="none"/>
          </c:marker>
          <c:val>
            <c:numRef>
              <c:f>qty_sales_by_rep!$AE$23:$AE$46</c:f>
              <c:numCache>
                <c:formatCode>General</c:formatCode>
                <c:ptCount val="24"/>
                <c:pt idx="0">
                  <c:v>633</c:v>
                </c:pt>
                <c:pt idx="1">
                  <c:v>346</c:v>
                </c:pt>
                <c:pt idx="2">
                  <c:v>612</c:v>
                </c:pt>
                <c:pt idx="3">
                  <c:v>428</c:v>
                </c:pt>
                <c:pt idx="4">
                  <c:v>296</c:v>
                </c:pt>
                <c:pt idx="5">
                  <c:v>636</c:v>
                </c:pt>
                <c:pt idx="6">
                  <c:v>425</c:v>
                </c:pt>
                <c:pt idx="7">
                  <c:v>453</c:v>
                </c:pt>
                <c:pt idx="8">
                  <c:v>388</c:v>
                </c:pt>
                <c:pt idx="9">
                  <c:v>405</c:v>
                </c:pt>
                <c:pt idx="10">
                  <c:v>293</c:v>
                </c:pt>
                <c:pt idx="11">
                  <c:v>372</c:v>
                </c:pt>
                <c:pt idx="12">
                  <c:v>703</c:v>
                </c:pt>
                <c:pt idx="13">
                  <c:v>332</c:v>
                </c:pt>
                <c:pt idx="14">
                  <c:v>549</c:v>
                </c:pt>
                <c:pt idx="15">
                  <c:v>540</c:v>
                </c:pt>
                <c:pt idx="16">
                  <c:v>726</c:v>
                </c:pt>
                <c:pt idx="17">
                  <c:v>425</c:v>
                </c:pt>
                <c:pt idx="18">
                  <c:v>319</c:v>
                </c:pt>
                <c:pt idx="19">
                  <c:v>418</c:v>
                </c:pt>
                <c:pt idx="20">
                  <c:v>471</c:v>
                </c:pt>
                <c:pt idx="21">
                  <c:v>523</c:v>
                </c:pt>
                <c:pt idx="22">
                  <c:v>566</c:v>
                </c:pt>
                <c:pt idx="23">
                  <c:v>502</c:v>
                </c:pt>
              </c:numCache>
            </c:numRef>
          </c:val>
          <c:smooth val="0"/>
          <c:extLst>
            <c:ext xmlns:c16="http://schemas.microsoft.com/office/drawing/2014/chart" uri="{C3380CC4-5D6E-409C-BE32-E72D297353CC}">
              <c16:uniqueId val="{00000004-7E4D-47ED-8DB9-22F74446F6AC}"/>
            </c:ext>
          </c:extLst>
        </c:ser>
        <c:dLbls>
          <c:showLegendKey val="0"/>
          <c:showVal val="0"/>
          <c:showCatName val="0"/>
          <c:showSerName val="0"/>
          <c:showPercent val="0"/>
          <c:showBubbleSize val="0"/>
        </c:dLbls>
        <c:smooth val="0"/>
        <c:axId val="1515744448"/>
        <c:axId val="1515742528"/>
      </c:lineChart>
      <c:catAx>
        <c:axId val="15157444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2528"/>
        <c:crosses val="autoZero"/>
        <c:auto val="1"/>
        <c:lblAlgn val="ctr"/>
        <c:lblOffset val="100"/>
        <c:noMultiLvlLbl val="0"/>
      </c:catAx>
      <c:valAx>
        <c:axId val="151574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5744448"/>
        <c:crosses val="autoZero"/>
        <c:crossBetween val="between"/>
      </c:valAx>
      <c:spPr>
        <a:noFill/>
        <a:ln>
          <a:solidFill>
            <a:schemeClr val="tx1"/>
          </a:solidFill>
        </a:ln>
        <a:effectLst/>
      </c:spPr>
    </c:plotArea>
    <c:legend>
      <c:legendPos val="b"/>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AMA Clothing</c:v>
          </c:tx>
          <c:spPr>
            <a:ln w="28575" cap="rnd">
              <a:solidFill>
                <a:schemeClr val="accent1"/>
              </a:solidFill>
              <a:round/>
            </a:ln>
            <a:effectLst/>
          </c:spPr>
          <c:marker>
            <c:symbol val="none"/>
          </c:marker>
          <c:cat>
            <c:multiLvlStrRef>
              <c:f>product_category!$A$15:$B$38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product_category!$L$15:$L$38</c:f>
              <c:numCache>
                <c:formatCode>_("£"* #,##0.00_);_("£"* \(#,##0.00\);_("£"* "-"??_);_(@_)</c:formatCode>
                <c:ptCount val="24"/>
                <c:pt idx="0">
                  <c:v>714653.53239166655</c:v>
                </c:pt>
                <c:pt idx="1">
                  <c:v>665585.17744999996</c:v>
                </c:pt>
                <c:pt idx="2">
                  <c:v>618548.06316666654</c:v>
                </c:pt>
                <c:pt idx="3">
                  <c:v>557060.1001583332</c:v>
                </c:pt>
                <c:pt idx="4">
                  <c:v>483109.68785833335</c:v>
                </c:pt>
                <c:pt idx="5">
                  <c:v>380420.38284166669</c:v>
                </c:pt>
                <c:pt idx="6">
                  <c:v>318386.78749999992</c:v>
                </c:pt>
                <c:pt idx="7">
                  <c:v>269003.06569999998</c:v>
                </c:pt>
                <c:pt idx="8">
                  <c:v>235267.77388333331</c:v>
                </c:pt>
                <c:pt idx="9">
                  <c:v>170694.16245833336</c:v>
                </c:pt>
                <c:pt idx="10">
                  <c:v>130789.94406666666</c:v>
                </c:pt>
                <c:pt idx="11">
                  <c:v>84254.333974999972</c:v>
                </c:pt>
                <c:pt idx="12">
                  <c:v>165890.35287499998</c:v>
                </c:pt>
                <c:pt idx="13">
                  <c:v>222834.74400833333</c:v>
                </c:pt>
                <c:pt idx="14">
                  <c:v>316242.36391666671</c:v>
                </c:pt>
                <c:pt idx="15">
                  <c:v>372521.608175</c:v>
                </c:pt>
                <c:pt idx="16">
                  <c:v>429865.81671666674</c:v>
                </c:pt>
                <c:pt idx="17">
                  <c:v>473612.66749166668</c:v>
                </c:pt>
                <c:pt idx="18">
                  <c:v>502212.4981583333</c:v>
                </c:pt>
                <c:pt idx="19">
                  <c:v>527194.96549999993</c:v>
                </c:pt>
                <c:pt idx="20">
                  <c:v>565876.25006666663</c:v>
                </c:pt>
                <c:pt idx="21">
                  <c:v>655111.57369166659</c:v>
                </c:pt>
                <c:pt idx="22">
                  <c:v>706252.37009999994</c:v>
                </c:pt>
                <c:pt idx="23">
                  <c:v>778460.69955833338</c:v>
                </c:pt>
              </c:numCache>
            </c:numRef>
          </c:val>
          <c:smooth val="0"/>
          <c:extLst>
            <c:ext xmlns:c16="http://schemas.microsoft.com/office/drawing/2014/chart" uri="{C3380CC4-5D6E-409C-BE32-E72D297353CC}">
              <c16:uniqueId val="{00000000-08D9-4CDC-A186-0CB8CE539ABA}"/>
            </c:ext>
          </c:extLst>
        </c:ser>
        <c:ser>
          <c:idx val="1"/>
          <c:order val="1"/>
          <c:tx>
            <c:v>AMA Electronics</c:v>
          </c:tx>
          <c:spPr>
            <a:ln w="28575" cap="rnd">
              <a:solidFill>
                <a:schemeClr val="accent2"/>
              </a:solidFill>
              <a:round/>
            </a:ln>
            <a:effectLst/>
          </c:spPr>
          <c:marker>
            <c:symbol val="none"/>
          </c:marker>
          <c:val>
            <c:numRef>
              <c:f>product_category!$N$15:$N$38</c:f>
              <c:numCache>
                <c:formatCode>_("£"* #,##0.00_);_("£"* \(#,##0.00\);_("£"* "-"??_);_(@_)</c:formatCode>
                <c:ptCount val="24"/>
                <c:pt idx="0">
                  <c:v>656884.26049999997</c:v>
                </c:pt>
                <c:pt idx="1">
                  <c:v>613830.66634166671</c:v>
                </c:pt>
                <c:pt idx="2">
                  <c:v>567184.52156666678</c:v>
                </c:pt>
                <c:pt idx="3">
                  <c:v>513281.05858333345</c:v>
                </c:pt>
                <c:pt idx="4">
                  <c:v>467173.60595</c:v>
                </c:pt>
                <c:pt idx="5">
                  <c:v>410606.38705000002</c:v>
                </c:pt>
                <c:pt idx="6">
                  <c:v>356323.22101666662</c:v>
                </c:pt>
                <c:pt idx="7">
                  <c:v>310618.79613333329</c:v>
                </c:pt>
                <c:pt idx="8">
                  <c:v>247606.14906666664</c:v>
                </c:pt>
                <c:pt idx="9">
                  <c:v>196076.14234166665</c:v>
                </c:pt>
                <c:pt idx="10">
                  <c:v>126190.53091666668</c:v>
                </c:pt>
                <c:pt idx="11">
                  <c:v>82565.444758333324</c:v>
                </c:pt>
                <c:pt idx="12">
                  <c:v>145097.3257833333</c:v>
                </c:pt>
                <c:pt idx="13">
                  <c:v>184306.04469999997</c:v>
                </c:pt>
                <c:pt idx="14">
                  <c:v>255467.9239583333</c:v>
                </c:pt>
                <c:pt idx="15">
                  <c:v>316219.66729999997</c:v>
                </c:pt>
                <c:pt idx="16">
                  <c:v>367314.33321666665</c:v>
                </c:pt>
                <c:pt idx="17">
                  <c:v>417447.49790000002</c:v>
                </c:pt>
                <c:pt idx="18">
                  <c:v>461891.96174999996</c:v>
                </c:pt>
                <c:pt idx="19">
                  <c:v>514949.58392499998</c:v>
                </c:pt>
                <c:pt idx="20">
                  <c:v>574823.88824166672</c:v>
                </c:pt>
                <c:pt idx="21">
                  <c:v>619621.28809999989</c:v>
                </c:pt>
                <c:pt idx="22">
                  <c:v>650365.59196666663</c:v>
                </c:pt>
                <c:pt idx="23">
                  <c:v>723137.00493333337</c:v>
                </c:pt>
              </c:numCache>
            </c:numRef>
          </c:val>
          <c:smooth val="0"/>
          <c:extLst>
            <c:ext xmlns:c16="http://schemas.microsoft.com/office/drawing/2014/chart" uri="{C3380CC4-5D6E-409C-BE32-E72D297353CC}">
              <c16:uniqueId val="{00000002-08D9-4CDC-A186-0CB8CE539ABA}"/>
            </c:ext>
          </c:extLst>
        </c:ser>
        <c:ser>
          <c:idx val="2"/>
          <c:order val="2"/>
          <c:tx>
            <c:v>AMA Food</c:v>
          </c:tx>
          <c:spPr>
            <a:ln w="28575" cap="rnd">
              <a:solidFill>
                <a:schemeClr val="accent3"/>
              </a:solidFill>
              <a:round/>
            </a:ln>
            <a:effectLst/>
          </c:spPr>
          <c:marker>
            <c:symbol val="none"/>
          </c:marker>
          <c:val>
            <c:numRef>
              <c:f>product_category!$P$15:$P$38</c:f>
              <c:numCache>
                <c:formatCode>_("£"* #,##0.00_);_("£"* \(#,##0.00\);_("£"* "-"??_);_(@_)</c:formatCode>
                <c:ptCount val="24"/>
                <c:pt idx="0">
                  <c:v>691816.82520833332</c:v>
                </c:pt>
                <c:pt idx="1">
                  <c:v>637468.82958333322</c:v>
                </c:pt>
                <c:pt idx="2">
                  <c:v>581153.60096666648</c:v>
                </c:pt>
                <c:pt idx="3">
                  <c:v>507904.90079999994</c:v>
                </c:pt>
                <c:pt idx="4">
                  <c:v>458176.3609749999</c:v>
                </c:pt>
                <c:pt idx="5">
                  <c:v>418216.45174999995</c:v>
                </c:pt>
                <c:pt idx="6">
                  <c:v>359772.13334999996</c:v>
                </c:pt>
                <c:pt idx="7">
                  <c:v>286730.09631666663</c:v>
                </c:pt>
                <c:pt idx="8">
                  <c:v>221514.9069583333</c:v>
                </c:pt>
                <c:pt idx="9">
                  <c:v>185202.13427499999</c:v>
                </c:pt>
                <c:pt idx="10">
                  <c:v>142262.78097499997</c:v>
                </c:pt>
                <c:pt idx="11">
                  <c:v>75427.392674999981</c:v>
                </c:pt>
                <c:pt idx="12">
                  <c:v>124038.49316666664</c:v>
                </c:pt>
                <c:pt idx="13">
                  <c:v>148280.94548333331</c:v>
                </c:pt>
                <c:pt idx="14">
                  <c:v>187572.35699166663</c:v>
                </c:pt>
                <c:pt idx="15">
                  <c:v>236020.50493333329</c:v>
                </c:pt>
                <c:pt idx="16">
                  <c:v>311180.73157499993</c:v>
                </c:pt>
                <c:pt idx="17">
                  <c:v>365534.31670000002</c:v>
                </c:pt>
                <c:pt idx="18">
                  <c:v>450506.9378916666</c:v>
                </c:pt>
                <c:pt idx="19">
                  <c:v>502605.9754083333</c:v>
                </c:pt>
                <c:pt idx="20">
                  <c:v>599555.68069166655</c:v>
                </c:pt>
                <c:pt idx="21">
                  <c:v>678690.22324999992</c:v>
                </c:pt>
                <c:pt idx="22">
                  <c:v>741734.71805833327</c:v>
                </c:pt>
                <c:pt idx="23">
                  <c:v>793580.0034583332</c:v>
                </c:pt>
              </c:numCache>
            </c:numRef>
          </c:val>
          <c:smooth val="0"/>
          <c:extLst>
            <c:ext xmlns:c16="http://schemas.microsoft.com/office/drawing/2014/chart" uri="{C3380CC4-5D6E-409C-BE32-E72D297353CC}">
              <c16:uniqueId val="{00000003-08D9-4CDC-A186-0CB8CE539ABA}"/>
            </c:ext>
          </c:extLst>
        </c:ser>
        <c:ser>
          <c:idx val="3"/>
          <c:order val="3"/>
          <c:tx>
            <c:v>AMA Furniture</c:v>
          </c:tx>
          <c:spPr>
            <a:ln w="28575" cap="rnd">
              <a:solidFill>
                <a:schemeClr val="accent4"/>
              </a:solidFill>
              <a:round/>
            </a:ln>
            <a:effectLst/>
          </c:spPr>
          <c:marker>
            <c:symbol val="none"/>
          </c:marker>
          <c:val>
            <c:numRef>
              <c:f>product_category!$R$15:$R$38</c:f>
              <c:numCache>
                <c:formatCode>_("£"* #,##0.00_);_("£"* \(#,##0.00\);_("£"* "-"??_);_(@_)</c:formatCode>
                <c:ptCount val="24"/>
                <c:pt idx="0">
                  <c:v>638060.17594166659</c:v>
                </c:pt>
                <c:pt idx="1">
                  <c:v>567527.75595000002</c:v>
                </c:pt>
                <c:pt idx="2">
                  <c:v>518235.94475833332</c:v>
                </c:pt>
                <c:pt idx="3">
                  <c:v>445143.04070833331</c:v>
                </c:pt>
                <c:pt idx="4">
                  <c:v>383850.26934166654</c:v>
                </c:pt>
                <c:pt idx="5">
                  <c:v>346577.41279999999</c:v>
                </c:pt>
                <c:pt idx="6">
                  <c:v>296711.98555833328</c:v>
                </c:pt>
                <c:pt idx="7">
                  <c:v>244182.91104166664</c:v>
                </c:pt>
                <c:pt idx="8">
                  <c:v>205382.01983333324</c:v>
                </c:pt>
                <c:pt idx="9">
                  <c:v>150004.39503333333</c:v>
                </c:pt>
                <c:pt idx="10">
                  <c:v>109907.65058333329</c:v>
                </c:pt>
                <c:pt idx="11">
                  <c:v>95912.695283333305</c:v>
                </c:pt>
                <c:pt idx="12">
                  <c:v>140450.97485833327</c:v>
                </c:pt>
                <c:pt idx="13">
                  <c:v>182190.92358333329</c:v>
                </c:pt>
                <c:pt idx="14">
                  <c:v>299207.21254166664</c:v>
                </c:pt>
                <c:pt idx="15">
                  <c:v>326697.94771666662</c:v>
                </c:pt>
                <c:pt idx="16">
                  <c:v>427298.11564999999</c:v>
                </c:pt>
                <c:pt idx="17">
                  <c:v>467211.31894166657</c:v>
                </c:pt>
                <c:pt idx="18">
                  <c:v>526374.35069166659</c:v>
                </c:pt>
                <c:pt idx="19">
                  <c:v>558457.60883333336</c:v>
                </c:pt>
                <c:pt idx="20">
                  <c:v>606870.29773333331</c:v>
                </c:pt>
                <c:pt idx="21">
                  <c:v>663078.70543333329</c:v>
                </c:pt>
                <c:pt idx="22">
                  <c:v>723213.06273333321</c:v>
                </c:pt>
                <c:pt idx="23">
                  <c:v>759545.5477916667</c:v>
                </c:pt>
              </c:numCache>
            </c:numRef>
          </c:val>
          <c:smooth val="0"/>
          <c:extLst>
            <c:ext xmlns:c16="http://schemas.microsoft.com/office/drawing/2014/chart" uri="{C3380CC4-5D6E-409C-BE32-E72D297353CC}">
              <c16:uniqueId val="{00000004-08D9-4CDC-A186-0CB8CE539ABA}"/>
            </c:ext>
          </c:extLst>
        </c:ser>
        <c:dLbls>
          <c:showLegendKey val="0"/>
          <c:showVal val="0"/>
          <c:showCatName val="0"/>
          <c:showSerName val="0"/>
          <c:showPercent val="0"/>
          <c:showBubbleSize val="0"/>
        </c:dLbls>
        <c:smooth val="0"/>
        <c:axId val="2037692320"/>
        <c:axId val="2037688960"/>
      </c:lineChart>
      <c:catAx>
        <c:axId val="20376923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7688960"/>
        <c:crosses val="autoZero"/>
        <c:auto val="1"/>
        <c:lblAlgn val="ctr"/>
        <c:lblOffset val="100"/>
        <c:noMultiLvlLbl val="0"/>
      </c:catAx>
      <c:valAx>
        <c:axId val="20376889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7692320"/>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Qty sold by</a:t>
            </a:r>
            <a:r>
              <a:rPr lang="en-GB" baseline="0"/>
              <a:t>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stacked"/>
        <c:varyColors val="0"/>
        <c:ser>
          <c:idx val="0"/>
          <c:order val="0"/>
          <c:tx>
            <c:v>Clothing</c:v>
          </c:tx>
          <c:spPr>
            <a:solidFill>
              <a:schemeClr val="accent1"/>
            </a:solidFill>
            <a:ln>
              <a:noFill/>
            </a:ln>
            <a:effectLst/>
          </c:spPr>
          <c:invertIfNegative val="0"/>
          <c:cat>
            <c:multiLvlStrRef>
              <c:f>product_category!$A$15:$B$38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product_category!$G$15:$G$38</c:f>
              <c:numCache>
                <c:formatCode>General</c:formatCode>
                <c:ptCount val="24"/>
                <c:pt idx="0">
                  <c:v>659</c:v>
                </c:pt>
                <c:pt idx="1">
                  <c:v>457</c:v>
                </c:pt>
                <c:pt idx="2">
                  <c:v>510</c:v>
                </c:pt>
                <c:pt idx="3">
                  <c:v>503</c:v>
                </c:pt>
                <c:pt idx="4">
                  <c:v>465</c:v>
                </c:pt>
                <c:pt idx="5">
                  <c:v>689</c:v>
                </c:pt>
                <c:pt idx="6">
                  <c:v>325</c:v>
                </c:pt>
                <c:pt idx="7">
                  <c:v>955</c:v>
                </c:pt>
                <c:pt idx="8">
                  <c:v>490</c:v>
                </c:pt>
                <c:pt idx="9">
                  <c:v>641</c:v>
                </c:pt>
                <c:pt idx="10">
                  <c:v>601</c:v>
                </c:pt>
                <c:pt idx="11">
                  <c:v>616</c:v>
                </c:pt>
                <c:pt idx="12">
                  <c:v>750</c:v>
                </c:pt>
                <c:pt idx="13">
                  <c:v>568</c:v>
                </c:pt>
                <c:pt idx="14">
                  <c:v>699</c:v>
                </c:pt>
                <c:pt idx="15">
                  <c:v>628</c:v>
                </c:pt>
                <c:pt idx="16">
                  <c:v>584</c:v>
                </c:pt>
                <c:pt idx="17">
                  <c:v>514</c:v>
                </c:pt>
                <c:pt idx="18">
                  <c:v>429</c:v>
                </c:pt>
                <c:pt idx="19">
                  <c:v>351</c:v>
                </c:pt>
                <c:pt idx="20">
                  <c:v>508</c:v>
                </c:pt>
                <c:pt idx="21">
                  <c:v>715</c:v>
                </c:pt>
                <c:pt idx="22">
                  <c:v>414</c:v>
                </c:pt>
                <c:pt idx="23">
                  <c:v>697</c:v>
                </c:pt>
              </c:numCache>
            </c:numRef>
          </c:val>
          <c:extLst>
            <c:ext xmlns:c16="http://schemas.microsoft.com/office/drawing/2014/chart" uri="{C3380CC4-5D6E-409C-BE32-E72D297353CC}">
              <c16:uniqueId val="{00000000-3B3F-408B-89C0-5D6ACD196495}"/>
            </c:ext>
          </c:extLst>
        </c:ser>
        <c:ser>
          <c:idx val="1"/>
          <c:order val="1"/>
          <c:tx>
            <c:v>Electronics</c:v>
          </c:tx>
          <c:spPr>
            <a:solidFill>
              <a:schemeClr val="accent2"/>
            </a:solidFill>
            <a:ln>
              <a:noFill/>
            </a:ln>
            <a:effectLst/>
          </c:spPr>
          <c:invertIfNegative val="0"/>
          <c:val>
            <c:numRef>
              <c:f>product_category!$H$15:$H$38</c:f>
              <c:numCache>
                <c:formatCode>General</c:formatCode>
                <c:ptCount val="24"/>
                <c:pt idx="0">
                  <c:v>518</c:v>
                </c:pt>
                <c:pt idx="1">
                  <c:v>515</c:v>
                </c:pt>
                <c:pt idx="2">
                  <c:v>513</c:v>
                </c:pt>
                <c:pt idx="3">
                  <c:v>529</c:v>
                </c:pt>
                <c:pt idx="4">
                  <c:v>361</c:v>
                </c:pt>
                <c:pt idx="5">
                  <c:v>448</c:v>
                </c:pt>
                <c:pt idx="6">
                  <c:v>561</c:v>
                </c:pt>
                <c:pt idx="7">
                  <c:v>335</c:v>
                </c:pt>
                <c:pt idx="8">
                  <c:v>470</c:v>
                </c:pt>
                <c:pt idx="9">
                  <c:v>749</c:v>
                </c:pt>
                <c:pt idx="10">
                  <c:v>450</c:v>
                </c:pt>
                <c:pt idx="11">
                  <c:v>623</c:v>
                </c:pt>
                <c:pt idx="12">
                  <c:v>629</c:v>
                </c:pt>
                <c:pt idx="13">
                  <c:v>503</c:v>
                </c:pt>
                <c:pt idx="14">
                  <c:v>720</c:v>
                </c:pt>
                <c:pt idx="15">
                  <c:v>431</c:v>
                </c:pt>
                <c:pt idx="16">
                  <c:v>434</c:v>
                </c:pt>
                <c:pt idx="17">
                  <c:v>516</c:v>
                </c:pt>
                <c:pt idx="18">
                  <c:v>501</c:v>
                </c:pt>
                <c:pt idx="19">
                  <c:v>505</c:v>
                </c:pt>
                <c:pt idx="20">
                  <c:v>432</c:v>
                </c:pt>
                <c:pt idx="21">
                  <c:v>548</c:v>
                </c:pt>
                <c:pt idx="22">
                  <c:v>443</c:v>
                </c:pt>
                <c:pt idx="23">
                  <c:v>556</c:v>
                </c:pt>
              </c:numCache>
            </c:numRef>
          </c:val>
          <c:extLst>
            <c:ext xmlns:c16="http://schemas.microsoft.com/office/drawing/2014/chart" uri="{C3380CC4-5D6E-409C-BE32-E72D297353CC}">
              <c16:uniqueId val="{00000003-3B3F-408B-89C0-5D6ACD196495}"/>
            </c:ext>
          </c:extLst>
        </c:ser>
        <c:ser>
          <c:idx val="2"/>
          <c:order val="2"/>
          <c:tx>
            <c:v>Food</c:v>
          </c:tx>
          <c:spPr>
            <a:solidFill>
              <a:schemeClr val="accent3"/>
            </a:solidFill>
            <a:ln>
              <a:noFill/>
            </a:ln>
            <a:effectLst/>
          </c:spPr>
          <c:invertIfNegative val="0"/>
          <c:val>
            <c:numRef>
              <c:f>product_category!$I$15:$I$38</c:f>
              <c:numCache>
                <c:formatCode>General</c:formatCode>
                <c:ptCount val="24"/>
                <c:pt idx="0">
                  <c:v>535</c:v>
                </c:pt>
                <c:pt idx="1">
                  <c:v>461</c:v>
                </c:pt>
                <c:pt idx="2">
                  <c:v>571</c:v>
                </c:pt>
                <c:pt idx="3">
                  <c:v>406</c:v>
                </c:pt>
                <c:pt idx="4">
                  <c:v>461</c:v>
                </c:pt>
                <c:pt idx="5">
                  <c:v>322</c:v>
                </c:pt>
                <c:pt idx="6">
                  <c:v>327</c:v>
                </c:pt>
                <c:pt idx="7">
                  <c:v>626</c:v>
                </c:pt>
                <c:pt idx="8">
                  <c:v>434</c:v>
                </c:pt>
                <c:pt idx="9">
                  <c:v>509</c:v>
                </c:pt>
                <c:pt idx="10">
                  <c:v>489</c:v>
                </c:pt>
                <c:pt idx="11">
                  <c:v>425</c:v>
                </c:pt>
                <c:pt idx="12">
                  <c:v>596</c:v>
                </c:pt>
                <c:pt idx="13">
                  <c:v>402</c:v>
                </c:pt>
                <c:pt idx="14">
                  <c:v>520</c:v>
                </c:pt>
                <c:pt idx="15">
                  <c:v>527</c:v>
                </c:pt>
                <c:pt idx="16">
                  <c:v>862</c:v>
                </c:pt>
                <c:pt idx="17">
                  <c:v>588</c:v>
                </c:pt>
                <c:pt idx="18">
                  <c:v>538</c:v>
                </c:pt>
                <c:pt idx="19">
                  <c:v>673</c:v>
                </c:pt>
                <c:pt idx="20">
                  <c:v>591</c:v>
                </c:pt>
                <c:pt idx="21">
                  <c:v>712</c:v>
                </c:pt>
                <c:pt idx="22">
                  <c:v>644</c:v>
                </c:pt>
                <c:pt idx="23">
                  <c:v>550</c:v>
                </c:pt>
              </c:numCache>
            </c:numRef>
          </c:val>
          <c:extLst>
            <c:ext xmlns:c16="http://schemas.microsoft.com/office/drawing/2014/chart" uri="{C3380CC4-5D6E-409C-BE32-E72D297353CC}">
              <c16:uniqueId val="{00000004-3B3F-408B-89C0-5D6ACD196495}"/>
            </c:ext>
          </c:extLst>
        </c:ser>
        <c:ser>
          <c:idx val="3"/>
          <c:order val="3"/>
          <c:tx>
            <c:v>Furniture</c:v>
          </c:tx>
          <c:spPr>
            <a:solidFill>
              <a:schemeClr val="accent4"/>
            </a:solidFill>
            <a:ln>
              <a:noFill/>
            </a:ln>
            <a:effectLst/>
          </c:spPr>
          <c:invertIfNegative val="0"/>
          <c:val>
            <c:numRef>
              <c:f>product_category!$J$15:$J$38</c:f>
              <c:numCache>
                <c:formatCode>General</c:formatCode>
                <c:ptCount val="24"/>
                <c:pt idx="0">
                  <c:v>760</c:v>
                </c:pt>
                <c:pt idx="1">
                  <c:v>631</c:v>
                </c:pt>
                <c:pt idx="2">
                  <c:v>475</c:v>
                </c:pt>
                <c:pt idx="3">
                  <c:v>539</c:v>
                </c:pt>
                <c:pt idx="4">
                  <c:v>681</c:v>
                </c:pt>
                <c:pt idx="5">
                  <c:v>817</c:v>
                </c:pt>
                <c:pt idx="6">
                  <c:v>390</c:v>
                </c:pt>
                <c:pt idx="7">
                  <c:v>420</c:v>
                </c:pt>
                <c:pt idx="8">
                  <c:v>421</c:v>
                </c:pt>
                <c:pt idx="9">
                  <c:v>487</c:v>
                </c:pt>
                <c:pt idx="10">
                  <c:v>589</c:v>
                </c:pt>
                <c:pt idx="11">
                  <c:v>519</c:v>
                </c:pt>
                <c:pt idx="12">
                  <c:v>520</c:v>
                </c:pt>
                <c:pt idx="13">
                  <c:v>633</c:v>
                </c:pt>
                <c:pt idx="14">
                  <c:v>897</c:v>
                </c:pt>
                <c:pt idx="15">
                  <c:v>540</c:v>
                </c:pt>
                <c:pt idx="16">
                  <c:v>896</c:v>
                </c:pt>
                <c:pt idx="17">
                  <c:v>537</c:v>
                </c:pt>
                <c:pt idx="18">
                  <c:v>570</c:v>
                </c:pt>
                <c:pt idx="19">
                  <c:v>431</c:v>
                </c:pt>
                <c:pt idx="20">
                  <c:v>586</c:v>
                </c:pt>
                <c:pt idx="21">
                  <c:v>476</c:v>
                </c:pt>
                <c:pt idx="22">
                  <c:v>585</c:v>
                </c:pt>
                <c:pt idx="23">
                  <c:v>664</c:v>
                </c:pt>
              </c:numCache>
            </c:numRef>
          </c:val>
          <c:extLst>
            <c:ext xmlns:c16="http://schemas.microsoft.com/office/drawing/2014/chart" uri="{C3380CC4-5D6E-409C-BE32-E72D297353CC}">
              <c16:uniqueId val="{00000006-3B3F-408B-89C0-5D6ACD196495}"/>
            </c:ext>
          </c:extLst>
        </c:ser>
        <c:dLbls>
          <c:showLegendKey val="0"/>
          <c:showVal val="0"/>
          <c:showCatName val="0"/>
          <c:showSerName val="0"/>
          <c:showPercent val="0"/>
          <c:showBubbleSize val="0"/>
        </c:dLbls>
        <c:gapWidth val="219"/>
        <c:overlap val="100"/>
        <c:axId val="1701065072"/>
        <c:axId val="1701065552"/>
      </c:barChart>
      <c:catAx>
        <c:axId val="170106507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1065552"/>
        <c:crosses val="autoZero"/>
        <c:auto val="1"/>
        <c:lblAlgn val="ctr"/>
        <c:lblOffset val="100"/>
        <c:noMultiLvlLbl val="0"/>
      </c:catAx>
      <c:valAx>
        <c:axId val="1701065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1065072"/>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t>
            </a:r>
            <a:r>
              <a:rPr lang="en-GB" baseline="0"/>
              <a:t>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v>Clothing</c:v>
          </c:tx>
          <c:spPr>
            <a:ln w="28575" cap="rnd">
              <a:solidFill>
                <a:schemeClr val="accent1"/>
              </a:solidFill>
              <a:round/>
            </a:ln>
            <a:effectLst/>
          </c:spPr>
          <c:marker>
            <c:symbol val="none"/>
          </c:marker>
          <c:cat>
            <c:multiLvlStrRef>
              <c:f>product_category!$A$15:$B$38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product_category!$K$15:$K$38</c:f>
              <c:numCache>
                <c:formatCode>_("£"* #,##0.00_);_("£"* \(#,##0.00\);_("£"* "-"??_);_(@_)</c:formatCode>
                <c:ptCount val="24"/>
                <c:pt idx="0">
                  <c:v>120822.91939999998</c:v>
                </c:pt>
                <c:pt idx="1">
                  <c:v>56001.602599999998</c:v>
                </c:pt>
                <c:pt idx="2">
                  <c:v>78999.263699999923</c:v>
                </c:pt>
                <c:pt idx="3">
                  <c:v>79110.491199999975</c:v>
                </c:pt>
                <c:pt idx="4">
                  <c:v>53854.26160000002</c:v>
                </c:pt>
                <c:pt idx="5">
                  <c:v>103990.9433</c:v>
                </c:pt>
                <c:pt idx="6">
                  <c:v>52118.299699999989</c:v>
                </c:pt>
                <c:pt idx="7">
                  <c:v>122979.9014</c:v>
                </c:pt>
                <c:pt idx="8">
                  <c:v>87570.728799999939</c:v>
                </c:pt>
                <c:pt idx="9">
                  <c:v>64522.881300000023</c:v>
                </c:pt>
                <c:pt idx="10">
                  <c:v>72366.335099999938</c:v>
                </c:pt>
                <c:pt idx="11">
                  <c:v>118714.37959999996</c:v>
                </c:pt>
                <c:pt idx="12">
                  <c:v>1100455.1462000001</c:v>
                </c:pt>
                <c:pt idx="13">
                  <c:v>739334.2962000001</c:v>
                </c:pt>
                <c:pt idx="14">
                  <c:v>1199890.7026000002</c:v>
                </c:pt>
                <c:pt idx="15">
                  <c:v>754461.42230000009</c:v>
                </c:pt>
                <c:pt idx="16">
                  <c:v>741984.76410000003</c:v>
                </c:pt>
                <c:pt idx="17">
                  <c:v>628953.15260000003</c:v>
                </c:pt>
                <c:pt idx="18">
                  <c:v>395316.26769999997</c:v>
                </c:pt>
                <c:pt idx="19">
                  <c:v>422769.50949999999</c:v>
                </c:pt>
                <c:pt idx="20">
                  <c:v>551746.14359999995</c:v>
                </c:pt>
                <c:pt idx="21">
                  <c:v>1135346.7647999998</c:v>
                </c:pt>
                <c:pt idx="22">
                  <c:v>686055.89200000011</c:v>
                </c:pt>
                <c:pt idx="23">
                  <c:v>985214.33309999981</c:v>
                </c:pt>
              </c:numCache>
            </c:numRef>
          </c:val>
          <c:smooth val="0"/>
          <c:extLst>
            <c:ext xmlns:c16="http://schemas.microsoft.com/office/drawing/2014/chart" uri="{C3380CC4-5D6E-409C-BE32-E72D297353CC}">
              <c16:uniqueId val="{00000000-2B8A-4E29-8394-CA2724203F7C}"/>
            </c:ext>
          </c:extLst>
        </c:ser>
        <c:ser>
          <c:idx val="1"/>
          <c:order val="1"/>
          <c:tx>
            <c:v>Electronics</c:v>
          </c:tx>
          <c:spPr>
            <a:ln w="28575" cap="rnd">
              <a:solidFill>
                <a:schemeClr val="accent2"/>
              </a:solidFill>
              <a:round/>
            </a:ln>
            <a:effectLst/>
          </c:spPr>
          <c:marker>
            <c:symbol val="none"/>
          </c:marker>
          <c:val>
            <c:numRef>
              <c:f>product_category!$M$15:$M$38</c:f>
              <c:numCache>
                <c:formatCode>_("£"* #,##0.00_);_("£"* \(#,##0.00\);_("£"* "-"??_);_(@_)</c:formatCode>
                <c:ptCount val="24"/>
                <c:pt idx="0">
                  <c:v>73832.926299999992</c:v>
                </c:pt>
                <c:pt idx="1">
                  <c:v>95805.980699999956</c:v>
                </c:pt>
                <c:pt idx="2">
                  <c:v>80611.175800000026</c:v>
                </c:pt>
                <c:pt idx="3">
                  <c:v>90562.29949999995</c:v>
                </c:pt>
                <c:pt idx="4">
                  <c:v>70481.025899999979</c:v>
                </c:pt>
                <c:pt idx="5">
                  <c:v>57741.10169999997</c:v>
                </c:pt>
                <c:pt idx="6">
                  <c:v>86288.473200000037</c:v>
                </c:pt>
                <c:pt idx="7">
                  <c:v>53268.771299999986</c:v>
                </c:pt>
                <c:pt idx="8">
                  <c:v>71272.473499999964</c:v>
                </c:pt>
                <c:pt idx="9">
                  <c:v>119593.48499999999</c:v>
                </c:pt>
                <c:pt idx="10">
                  <c:v>120291.45199999996</c:v>
                </c:pt>
                <c:pt idx="11">
                  <c:v>71036.172199999972</c:v>
                </c:pt>
                <c:pt idx="12">
                  <c:v>824215.49860000005</c:v>
                </c:pt>
                <c:pt idx="13">
                  <c:v>566310.60770000005</c:v>
                </c:pt>
                <c:pt idx="14">
                  <c:v>934553.72689999978</c:v>
                </c:pt>
                <c:pt idx="15">
                  <c:v>819583.21959999984</c:v>
                </c:pt>
                <c:pt idx="16">
                  <c:v>683617.01689999993</c:v>
                </c:pt>
                <c:pt idx="17">
                  <c:v>659339.07790000003</c:v>
                </c:pt>
                <c:pt idx="18">
                  <c:v>619622.03940000001</c:v>
                </c:pt>
                <c:pt idx="19">
                  <c:v>689960.23739999998</c:v>
                </c:pt>
                <c:pt idx="20">
                  <c:v>789764.12529999996</c:v>
                </c:pt>
                <c:pt idx="21">
                  <c:v>657162.28329999989</c:v>
                </c:pt>
                <c:pt idx="22">
                  <c:v>489223.09840000008</c:v>
                </c:pt>
                <c:pt idx="23">
                  <c:v>944293.1277999999</c:v>
                </c:pt>
              </c:numCache>
            </c:numRef>
          </c:val>
          <c:smooth val="0"/>
          <c:extLst>
            <c:ext xmlns:c16="http://schemas.microsoft.com/office/drawing/2014/chart" uri="{C3380CC4-5D6E-409C-BE32-E72D297353CC}">
              <c16:uniqueId val="{00000001-2B8A-4E29-8394-CA2724203F7C}"/>
            </c:ext>
          </c:extLst>
        </c:ser>
        <c:ser>
          <c:idx val="2"/>
          <c:order val="2"/>
          <c:tx>
            <c:v>Food</c:v>
          </c:tx>
          <c:spPr>
            <a:ln w="28575" cap="rnd">
              <a:solidFill>
                <a:schemeClr val="accent3"/>
              </a:solidFill>
              <a:round/>
            </a:ln>
            <a:effectLst/>
          </c:spPr>
          <c:marker>
            <c:symbol val="none"/>
          </c:marker>
          <c:val>
            <c:numRef>
              <c:f>product_category!$O$15:$O$38</c:f>
              <c:numCache>
                <c:formatCode>_("£"* #,##0.00_);_("£"* \(#,##0.00\);_("£"* "-"??_);_(@_)</c:formatCode>
                <c:ptCount val="24"/>
                <c:pt idx="0">
                  <c:v>100460.80650000004</c:v>
                </c:pt>
                <c:pt idx="1">
                  <c:v>71772.046700000006</c:v>
                </c:pt>
                <c:pt idx="2">
                  <c:v>91676.643299999967</c:v>
                </c:pt>
                <c:pt idx="3">
                  <c:v>47653.163400000012</c:v>
                </c:pt>
                <c:pt idx="4">
                  <c:v>83123.990199999957</c:v>
                </c:pt>
                <c:pt idx="5">
                  <c:v>67264.888199999958</c:v>
                </c:pt>
                <c:pt idx="6">
                  <c:v>44414.077000000005</c:v>
                </c:pt>
                <c:pt idx="7">
                  <c:v>95430.73520000001</c:v>
                </c:pt>
                <c:pt idx="8">
                  <c:v>67849.72769999993</c:v>
                </c:pt>
                <c:pt idx="9">
                  <c:v>90363.963699999993</c:v>
                </c:pt>
                <c:pt idx="10">
                  <c:v>65576.943199999994</c:v>
                </c:pt>
                <c:pt idx="11">
                  <c:v>79541.726999999999</c:v>
                </c:pt>
                <c:pt idx="12">
                  <c:v>683794.01239999989</c:v>
                </c:pt>
                <c:pt idx="13">
                  <c:v>362681.47449999995</c:v>
                </c:pt>
                <c:pt idx="14">
                  <c:v>563173.58140000002</c:v>
                </c:pt>
                <c:pt idx="15">
                  <c:v>629030.93869999994</c:v>
                </c:pt>
                <c:pt idx="16">
                  <c:v>985046.70989999978</c:v>
                </c:pt>
                <c:pt idx="17">
                  <c:v>719507.90970000019</c:v>
                </c:pt>
                <c:pt idx="18">
                  <c:v>1064085.5313000001</c:v>
                </c:pt>
                <c:pt idx="19">
                  <c:v>720619.18539999996</c:v>
                </c:pt>
                <c:pt idx="20">
                  <c:v>1231246.1910999999</c:v>
                </c:pt>
                <c:pt idx="21">
                  <c:v>1039978.4743999999</c:v>
                </c:pt>
                <c:pt idx="22">
                  <c:v>822110.88090000011</c:v>
                </c:pt>
                <c:pt idx="23">
                  <c:v>701685.15180000011</c:v>
                </c:pt>
              </c:numCache>
            </c:numRef>
          </c:val>
          <c:smooth val="0"/>
          <c:extLst>
            <c:ext xmlns:c16="http://schemas.microsoft.com/office/drawing/2014/chart" uri="{C3380CC4-5D6E-409C-BE32-E72D297353CC}">
              <c16:uniqueId val="{00000002-2B8A-4E29-8394-CA2724203F7C}"/>
            </c:ext>
          </c:extLst>
        </c:ser>
        <c:ser>
          <c:idx val="3"/>
          <c:order val="3"/>
          <c:tx>
            <c:v>Furniture</c:v>
          </c:tx>
          <c:spPr>
            <a:ln w="28575" cap="rnd">
              <a:solidFill>
                <a:schemeClr val="accent4"/>
              </a:solidFill>
              <a:round/>
            </a:ln>
            <a:effectLst/>
          </c:spPr>
          <c:marker>
            <c:symbol val="none"/>
          </c:marker>
          <c:val>
            <c:numRef>
              <c:f>product_category!$Q$15:$Q$38</c:f>
              <c:numCache>
                <c:formatCode>_("£"* #,##0.00_);_("£"* \(#,##0.00\);_("£"* "-"??_);_(@_)</c:formatCode>
                <c:ptCount val="24"/>
                <c:pt idx="0">
                  <c:v>137478.84530000002</c:v>
                </c:pt>
                <c:pt idx="1">
                  <c:v>108067.66449999997</c:v>
                </c:pt>
                <c:pt idx="2">
                  <c:v>64763.226900000001</c:v>
                </c:pt>
                <c:pt idx="3">
                  <c:v>90594.245700000014</c:v>
                </c:pt>
                <c:pt idx="4">
                  <c:v>107345.1137</c:v>
                </c:pt>
                <c:pt idx="5">
                  <c:v>138927.77179999993</c:v>
                </c:pt>
                <c:pt idx="6">
                  <c:v>57156.413499999908</c:v>
                </c:pt>
                <c:pt idx="7">
                  <c:v>82765.873700000011</c:v>
                </c:pt>
                <c:pt idx="8">
                  <c:v>58917.016299999974</c:v>
                </c:pt>
                <c:pt idx="9">
                  <c:v>90917.313699999926</c:v>
                </c:pt>
                <c:pt idx="10">
                  <c:v>111906.54739999997</c:v>
                </c:pt>
                <c:pt idx="11">
                  <c:v>102112.31089999997</c:v>
                </c:pt>
                <c:pt idx="12">
                  <c:v>671938.20019999985</c:v>
                </c:pt>
                <c:pt idx="13">
                  <c:v>608947.04920000001</c:v>
                </c:pt>
                <c:pt idx="14">
                  <c:v>1468958.6944000002</c:v>
                </c:pt>
                <c:pt idx="15">
                  <c:v>420483.06780000008</c:v>
                </c:pt>
                <c:pt idx="16">
                  <c:v>1314547.1289000001</c:v>
                </c:pt>
                <c:pt idx="17">
                  <c:v>617886.21129999997</c:v>
                </c:pt>
                <c:pt idx="18">
                  <c:v>767112.79449999984</c:v>
                </c:pt>
                <c:pt idx="19">
                  <c:v>467764.97139999992</c:v>
                </c:pt>
                <c:pt idx="20">
                  <c:v>639869.28309999988</c:v>
                </c:pt>
                <c:pt idx="21">
                  <c:v>765418.20610000018</c:v>
                </c:pt>
                <c:pt idx="22">
                  <c:v>833518.83499999996</c:v>
                </c:pt>
                <c:pt idx="23">
                  <c:v>538102.13159999996</c:v>
                </c:pt>
              </c:numCache>
            </c:numRef>
          </c:val>
          <c:smooth val="0"/>
          <c:extLst>
            <c:ext xmlns:c16="http://schemas.microsoft.com/office/drawing/2014/chart" uri="{C3380CC4-5D6E-409C-BE32-E72D297353CC}">
              <c16:uniqueId val="{00000003-2B8A-4E29-8394-CA2724203F7C}"/>
            </c:ext>
          </c:extLst>
        </c:ser>
        <c:dLbls>
          <c:showLegendKey val="0"/>
          <c:showVal val="0"/>
          <c:showCatName val="0"/>
          <c:showSerName val="0"/>
          <c:showPercent val="0"/>
          <c:showBubbleSize val="0"/>
        </c:dLbls>
        <c:smooth val="0"/>
        <c:axId val="1701065072"/>
        <c:axId val="1701065552"/>
      </c:lineChart>
      <c:catAx>
        <c:axId val="170106507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1065552"/>
        <c:crosses val="autoZero"/>
        <c:auto val="1"/>
        <c:lblAlgn val="ctr"/>
        <c:lblOffset val="100"/>
        <c:noMultiLvlLbl val="0"/>
      </c:catAx>
      <c:valAx>
        <c:axId val="1701065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1065072"/>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Total</a:t>
            </a:r>
            <a:r>
              <a:rPr lang="en-GB" baseline="0">
                <a:solidFill>
                  <a:schemeClr val="tx1"/>
                </a:solidFill>
              </a:rPr>
              <a:t> Profit per Product Category (2023, 2024 and Overall)</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v>Clothing</c:v>
          </c:tx>
          <c:spPr>
            <a:solidFill>
              <a:schemeClr val="accent1"/>
            </a:solidFill>
            <a:ln>
              <a:solidFill>
                <a:schemeClr val="tx1"/>
              </a:solidFill>
            </a:ln>
            <a:effectLst/>
          </c:spPr>
          <c:invertIfNegative val="0"/>
          <c:cat>
            <c:strRef>
              <c:f>product_category!$T$3:$T$5</c:f>
              <c:strCache>
                <c:ptCount val="3"/>
                <c:pt idx="0">
                  <c:v>2023</c:v>
                </c:pt>
                <c:pt idx="1">
                  <c:v>2024</c:v>
                </c:pt>
                <c:pt idx="2">
                  <c:v>Total</c:v>
                </c:pt>
              </c:strCache>
            </c:strRef>
          </c:cat>
          <c:val>
            <c:numRef>
              <c:f>product_category!$U$3:$U$5</c:f>
              <c:numCache>
                <c:formatCode>_("£"* #,##0.00_);_("£"* \(#,##0.00\);_("£"* "-"??_);_(@_)</c:formatCode>
                <c:ptCount val="3"/>
                <c:pt idx="0">
                  <c:v>1011052.0076999997</c:v>
                </c:pt>
                <c:pt idx="1">
                  <c:v>9341528.3947000001</c:v>
                </c:pt>
                <c:pt idx="2">
                  <c:v>10352580.4024</c:v>
                </c:pt>
              </c:numCache>
            </c:numRef>
          </c:val>
          <c:extLst>
            <c:ext xmlns:c16="http://schemas.microsoft.com/office/drawing/2014/chart" uri="{C3380CC4-5D6E-409C-BE32-E72D297353CC}">
              <c16:uniqueId val="{00000000-4AB4-44A8-8F30-C33DFB2CE3C4}"/>
            </c:ext>
          </c:extLst>
        </c:ser>
        <c:ser>
          <c:idx val="1"/>
          <c:order val="1"/>
          <c:tx>
            <c:v>Electronics</c:v>
          </c:tx>
          <c:spPr>
            <a:solidFill>
              <a:schemeClr val="accent2"/>
            </a:solidFill>
            <a:ln>
              <a:solidFill>
                <a:schemeClr val="tx1"/>
              </a:solidFill>
            </a:ln>
            <a:effectLst/>
          </c:spPr>
          <c:invertIfNegative val="0"/>
          <c:val>
            <c:numRef>
              <c:f>product_category!$V$3:$V$5</c:f>
              <c:numCache>
                <c:formatCode>_("£"* #,##0.00_);_("£"* \(#,##0.00\);_("£"* "-"??_);_(@_)</c:formatCode>
                <c:ptCount val="3"/>
                <c:pt idx="0">
                  <c:v>990785.33709999989</c:v>
                </c:pt>
                <c:pt idx="1">
                  <c:v>8677644.0592</c:v>
                </c:pt>
                <c:pt idx="2">
                  <c:v>9668429.3962999992</c:v>
                </c:pt>
              </c:numCache>
            </c:numRef>
          </c:val>
          <c:extLst>
            <c:ext xmlns:c16="http://schemas.microsoft.com/office/drawing/2014/chart" uri="{C3380CC4-5D6E-409C-BE32-E72D297353CC}">
              <c16:uniqueId val="{00000002-4AB4-44A8-8F30-C33DFB2CE3C4}"/>
            </c:ext>
          </c:extLst>
        </c:ser>
        <c:ser>
          <c:idx val="2"/>
          <c:order val="2"/>
          <c:tx>
            <c:v>Food</c:v>
          </c:tx>
          <c:spPr>
            <a:solidFill>
              <a:schemeClr val="accent3"/>
            </a:solidFill>
            <a:ln>
              <a:solidFill>
                <a:schemeClr val="tx1"/>
              </a:solidFill>
            </a:ln>
            <a:effectLst/>
          </c:spPr>
          <c:invertIfNegative val="0"/>
          <c:val>
            <c:numRef>
              <c:f>product_category!$W$3:$W$5</c:f>
              <c:numCache>
                <c:formatCode>_("£"* #,##0.00_);_("£"* \(#,##0.00\);_("£"* "-"??_);_(@_)</c:formatCode>
                <c:ptCount val="3"/>
                <c:pt idx="0">
                  <c:v>905128.71209999977</c:v>
                </c:pt>
                <c:pt idx="1">
                  <c:v>9522960.0414999984</c:v>
                </c:pt>
                <c:pt idx="2">
                  <c:v>10428088.753599998</c:v>
                </c:pt>
              </c:numCache>
            </c:numRef>
          </c:val>
          <c:extLst>
            <c:ext xmlns:c16="http://schemas.microsoft.com/office/drawing/2014/chart" uri="{C3380CC4-5D6E-409C-BE32-E72D297353CC}">
              <c16:uniqueId val="{00000003-4AB4-44A8-8F30-C33DFB2CE3C4}"/>
            </c:ext>
          </c:extLst>
        </c:ser>
        <c:ser>
          <c:idx val="3"/>
          <c:order val="3"/>
          <c:tx>
            <c:v>Furniture</c:v>
          </c:tx>
          <c:spPr>
            <a:solidFill>
              <a:schemeClr val="accent4"/>
            </a:solidFill>
            <a:ln>
              <a:solidFill>
                <a:schemeClr val="tx1"/>
              </a:solidFill>
            </a:ln>
            <a:effectLst/>
          </c:spPr>
          <c:invertIfNegative val="0"/>
          <c:val>
            <c:numRef>
              <c:f>product_category!$X$3:$X$5</c:f>
              <c:numCache>
                <c:formatCode>_("£"* #,##0.00_);_("£"* \(#,##0.00\);_("£"* "-"??_);_(@_)</c:formatCode>
                <c:ptCount val="3"/>
                <c:pt idx="0">
                  <c:v>1150952.3433999997</c:v>
                </c:pt>
                <c:pt idx="1">
                  <c:v>9114546.5734999999</c:v>
                </c:pt>
                <c:pt idx="2">
                  <c:v>10265498.9169</c:v>
                </c:pt>
              </c:numCache>
            </c:numRef>
          </c:val>
          <c:extLst>
            <c:ext xmlns:c16="http://schemas.microsoft.com/office/drawing/2014/chart" uri="{C3380CC4-5D6E-409C-BE32-E72D297353CC}">
              <c16:uniqueId val="{00000004-4AB4-44A8-8F30-C33DFB2CE3C4}"/>
            </c:ext>
          </c:extLst>
        </c:ser>
        <c:dLbls>
          <c:showLegendKey val="0"/>
          <c:showVal val="0"/>
          <c:showCatName val="0"/>
          <c:showSerName val="0"/>
          <c:showPercent val="0"/>
          <c:showBubbleSize val="0"/>
        </c:dLbls>
        <c:gapWidth val="219"/>
        <c:axId val="1679124016"/>
        <c:axId val="1679124496"/>
      </c:barChart>
      <c:catAx>
        <c:axId val="16791240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9124496"/>
        <c:crosses val="autoZero"/>
        <c:auto val="1"/>
        <c:lblAlgn val="ctr"/>
        <c:lblOffset val="100"/>
        <c:noMultiLvlLbl val="0"/>
      </c:catAx>
      <c:valAx>
        <c:axId val="1679124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9124016"/>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Average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v>Clothing</c:v>
          </c:tx>
          <c:spPr>
            <a:solidFill>
              <a:schemeClr val="accent1"/>
            </a:solidFill>
            <a:ln>
              <a:solidFill>
                <a:schemeClr val="tx1"/>
              </a:solidFill>
            </a:ln>
            <a:effectLst/>
          </c:spPr>
          <c:invertIfNegative val="0"/>
          <c:cat>
            <c:numRef>
              <c:f>product_category!$U$29:$U$30</c:f>
              <c:numCache>
                <c:formatCode>General</c:formatCode>
                <c:ptCount val="2"/>
                <c:pt idx="0">
                  <c:v>2023</c:v>
                </c:pt>
                <c:pt idx="1">
                  <c:v>2024</c:v>
                </c:pt>
              </c:numCache>
            </c:numRef>
          </c:cat>
          <c:val>
            <c:numRef>
              <c:f>product_category!$V$29:$V$30</c:f>
              <c:numCache>
                <c:formatCode>_("£"* #,##0.00_);_("£"* \(#,##0.00\);_("£"* "-"??_);_(@_)</c:formatCode>
                <c:ptCount val="2"/>
                <c:pt idx="0">
                  <c:v>250.521947565544</c:v>
                </c:pt>
                <c:pt idx="1">
                  <c:v>1768.168833922261</c:v>
                </c:pt>
              </c:numCache>
            </c:numRef>
          </c:val>
          <c:extLst>
            <c:ext xmlns:c16="http://schemas.microsoft.com/office/drawing/2014/chart" uri="{C3380CC4-5D6E-409C-BE32-E72D297353CC}">
              <c16:uniqueId val="{00000000-2069-4259-864F-F984867E8177}"/>
            </c:ext>
          </c:extLst>
        </c:ser>
        <c:ser>
          <c:idx val="1"/>
          <c:order val="1"/>
          <c:tx>
            <c:v>Electronics</c:v>
          </c:tx>
          <c:spPr>
            <a:solidFill>
              <a:schemeClr val="accent2"/>
            </a:solidFill>
            <a:ln>
              <a:solidFill>
                <a:schemeClr val="tx1"/>
              </a:solidFill>
            </a:ln>
            <a:effectLst/>
          </c:spPr>
          <c:invertIfNegative val="0"/>
          <c:val>
            <c:numRef>
              <c:f>product_category!$W$29:$W$30</c:f>
              <c:numCache>
                <c:formatCode>_("£"* #,##0.00_);_("£"* \(#,##0.00\);_("£"* "-"??_);_(@_)</c:formatCode>
                <c:ptCount val="2"/>
                <c:pt idx="0">
                  <c:v>249.39893877551003</c:v>
                </c:pt>
                <c:pt idx="1">
                  <c:v>1819.3412549019604</c:v>
                </c:pt>
              </c:numCache>
            </c:numRef>
          </c:val>
          <c:extLst>
            <c:ext xmlns:c16="http://schemas.microsoft.com/office/drawing/2014/chart" uri="{C3380CC4-5D6E-409C-BE32-E72D297353CC}">
              <c16:uniqueId val="{00000002-2069-4259-864F-F984867E8177}"/>
            </c:ext>
          </c:extLst>
        </c:ser>
        <c:ser>
          <c:idx val="2"/>
          <c:order val="2"/>
          <c:tx>
            <c:v>Food</c:v>
          </c:tx>
          <c:spPr>
            <a:solidFill>
              <a:schemeClr val="accent3"/>
            </a:solidFill>
            <a:ln>
              <a:solidFill>
                <a:schemeClr val="tx1"/>
              </a:solidFill>
            </a:ln>
            <a:effectLst/>
          </c:spPr>
          <c:invertIfNegative val="0"/>
          <c:val>
            <c:numRef>
              <c:f>product_category!$X$29:$X$30</c:f>
              <c:numCache>
                <c:formatCode>_("£"* #,##0.00_);_("£"* \(#,##0.00\);_("£"* "-"??_);_(@_)</c:formatCode>
                <c:ptCount val="2"/>
                <c:pt idx="0">
                  <c:v>249.80519999999979</c:v>
                </c:pt>
                <c:pt idx="1">
                  <c:v>1741.5177372262769</c:v>
                </c:pt>
              </c:numCache>
            </c:numRef>
          </c:val>
          <c:extLst>
            <c:ext xmlns:c16="http://schemas.microsoft.com/office/drawing/2014/chart" uri="{C3380CC4-5D6E-409C-BE32-E72D297353CC}">
              <c16:uniqueId val="{00000003-2069-4259-864F-F984867E8177}"/>
            </c:ext>
          </c:extLst>
        </c:ser>
        <c:ser>
          <c:idx val="3"/>
          <c:order val="3"/>
          <c:tx>
            <c:v>Furniture</c:v>
          </c:tx>
          <c:spPr>
            <a:solidFill>
              <a:schemeClr val="accent4"/>
            </a:solidFill>
            <a:ln>
              <a:solidFill>
                <a:schemeClr val="tx1"/>
              </a:solidFill>
            </a:ln>
            <a:effectLst/>
          </c:spPr>
          <c:invertIfNegative val="0"/>
          <c:val>
            <c:numRef>
              <c:f>product_category!$Y$29:$Y$30</c:f>
              <c:numCache>
                <c:formatCode>_("£"* #,##0.00_);_("£"* \(#,##0.00\);_("£"* "-"??_);_(@_)</c:formatCode>
                <c:ptCount val="2"/>
                <c:pt idx="0">
                  <c:v>261.64923076923196</c:v>
                </c:pt>
                <c:pt idx="1">
                  <c:v>1739.9338909090886</c:v>
                </c:pt>
              </c:numCache>
            </c:numRef>
          </c:val>
          <c:extLst>
            <c:ext xmlns:c16="http://schemas.microsoft.com/office/drawing/2014/chart" uri="{C3380CC4-5D6E-409C-BE32-E72D297353CC}">
              <c16:uniqueId val="{00000004-2069-4259-864F-F984867E8177}"/>
            </c:ext>
          </c:extLst>
        </c:ser>
        <c:dLbls>
          <c:showLegendKey val="0"/>
          <c:showVal val="0"/>
          <c:showCatName val="0"/>
          <c:showSerName val="0"/>
          <c:showPercent val="0"/>
          <c:showBubbleSize val="0"/>
        </c:dLbls>
        <c:gapWidth val="219"/>
        <c:overlap val="-27"/>
        <c:axId val="1802782399"/>
        <c:axId val="1802784799"/>
      </c:barChart>
      <c:catAx>
        <c:axId val="180278239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84799"/>
        <c:crosses val="autoZero"/>
        <c:auto val="1"/>
        <c:lblAlgn val="ctr"/>
        <c:lblOffset val="100"/>
        <c:noMultiLvlLbl val="0"/>
      </c:catAx>
      <c:valAx>
        <c:axId val="1802784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82399"/>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Actual vs. Effective Units Sold by</a:t>
            </a:r>
            <a:r>
              <a:rPr lang="en-GB" baseline="0">
                <a:solidFill>
                  <a:schemeClr val="tx1"/>
                </a:solidFill>
              </a:rPr>
              <a:t> Product Category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v>Actual Units Sold</c:v>
          </c:tx>
          <c:spPr>
            <a:solidFill>
              <a:srgbClr val="00B050"/>
            </a:solidFill>
            <a:ln>
              <a:solidFill>
                <a:schemeClr val="tx1"/>
              </a:solidFill>
            </a:ln>
            <a:effectLst/>
          </c:spPr>
          <c:invertIfNegative val="0"/>
          <c:dLbls>
            <c:delete val="1"/>
          </c:dLbls>
          <c:cat>
            <c:multiLvlStrRef>
              <c:f>product_category!$U$47:$V$54</c:f>
              <c:multiLvlStrCache>
                <c:ptCount val="8"/>
                <c:lvl>
                  <c:pt idx="0">
                    <c:v>Clothing</c:v>
                  </c:pt>
                  <c:pt idx="1">
                    <c:v>Electronics</c:v>
                  </c:pt>
                  <c:pt idx="2">
                    <c:v>Food</c:v>
                  </c:pt>
                  <c:pt idx="3">
                    <c:v>Furniture</c:v>
                  </c:pt>
                  <c:pt idx="4">
                    <c:v>Clothing</c:v>
                  </c:pt>
                  <c:pt idx="5">
                    <c:v>Electronics</c:v>
                  </c:pt>
                  <c:pt idx="6">
                    <c:v>Food</c:v>
                  </c:pt>
                  <c:pt idx="7">
                    <c:v>Furniture</c:v>
                  </c:pt>
                </c:lvl>
                <c:lvl>
                  <c:pt idx="0">
                    <c:v>2023</c:v>
                  </c:pt>
                  <c:pt idx="4">
                    <c:v>2024</c:v>
                  </c:pt>
                </c:lvl>
              </c:multiLvlStrCache>
            </c:multiLvlStrRef>
          </c:cat>
          <c:val>
            <c:numRef>
              <c:f>product_category!$W$47:$W$54</c:f>
              <c:numCache>
                <c:formatCode>General</c:formatCode>
                <c:ptCount val="8"/>
                <c:pt idx="0">
                  <c:v>6911</c:v>
                </c:pt>
                <c:pt idx="1">
                  <c:v>6072</c:v>
                </c:pt>
                <c:pt idx="2">
                  <c:v>5566</c:v>
                </c:pt>
                <c:pt idx="3">
                  <c:v>6729</c:v>
                </c:pt>
                <c:pt idx="4">
                  <c:v>6857</c:v>
                </c:pt>
                <c:pt idx="5">
                  <c:v>6218</c:v>
                </c:pt>
                <c:pt idx="6">
                  <c:v>7203</c:v>
                </c:pt>
                <c:pt idx="7">
                  <c:v>7335</c:v>
                </c:pt>
              </c:numCache>
            </c:numRef>
          </c:val>
          <c:extLst>
            <c:ext xmlns:c16="http://schemas.microsoft.com/office/drawing/2014/chart" uri="{C3380CC4-5D6E-409C-BE32-E72D297353CC}">
              <c16:uniqueId val="{00000000-D2C7-4276-A8AD-7C53745BCEBC}"/>
            </c:ext>
          </c:extLst>
        </c:ser>
        <c:ser>
          <c:idx val="1"/>
          <c:order val="1"/>
          <c:tx>
            <c:v>Effective Units Sold</c:v>
          </c:tx>
          <c:spPr>
            <a:solidFill>
              <a:srgbClr val="00B0F0"/>
            </a:solidFill>
            <a:ln>
              <a:solidFill>
                <a:schemeClr val="tx1"/>
              </a:solidFill>
            </a:ln>
            <a:effectLst/>
          </c:spPr>
          <c:invertIfNegative val="0"/>
          <c:dLbls>
            <c:delete val="1"/>
          </c:dLbls>
          <c:val>
            <c:numRef>
              <c:f>product_category!$X$47:$X$54</c:f>
              <c:numCache>
                <c:formatCode>0</c:formatCode>
                <c:ptCount val="8"/>
                <c:pt idx="0">
                  <c:v>4035.7821640975326</c:v>
                </c:pt>
                <c:pt idx="1">
                  <c:v>3972.6926744938137</c:v>
                </c:pt>
                <c:pt idx="2">
                  <c:v>3623.338153489201</c:v>
                </c:pt>
                <c:pt idx="3">
                  <c:v>4398.8370996401309</c:v>
                </c:pt>
                <c:pt idx="4">
                  <c:v>5283.1653943238252</c:v>
                </c:pt>
                <c:pt idx="5">
                  <c:v>4769.6626654396487</c:v>
                </c:pt>
                <c:pt idx="6">
                  <c:v>5468.1958374235446</c:v>
                </c:pt>
                <c:pt idx="7">
                  <c:v>5238.4441852200425</c:v>
                </c:pt>
              </c:numCache>
            </c:numRef>
          </c:val>
          <c:extLst>
            <c:ext xmlns:c16="http://schemas.microsoft.com/office/drawing/2014/chart" uri="{C3380CC4-5D6E-409C-BE32-E72D297353CC}">
              <c16:uniqueId val="{00000002-D2C7-4276-A8AD-7C53745BCEBC}"/>
            </c:ext>
          </c:extLst>
        </c:ser>
        <c:ser>
          <c:idx val="2"/>
          <c:order val="2"/>
          <c:tx>
            <c:v>Difference</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product_category!$Y$47:$Y$54</c:f>
              <c:numCache>
                <c:formatCode>0</c:formatCode>
                <c:ptCount val="8"/>
                <c:pt idx="0">
                  <c:v>2875.2178359024674</c:v>
                </c:pt>
                <c:pt idx="1">
                  <c:v>2099.3073255061863</c:v>
                </c:pt>
                <c:pt idx="2">
                  <c:v>1942.661846510799</c:v>
                </c:pt>
                <c:pt idx="3">
                  <c:v>2330.1629003598691</c:v>
                </c:pt>
                <c:pt idx="4">
                  <c:v>1573.8346056761748</c:v>
                </c:pt>
                <c:pt idx="5">
                  <c:v>1448.3373345603513</c:v>
                </c:pt>
                <c:pt idx="6">
                  <c:v>1734.8041625764554</c:v>
                </c:pt>
                <c:pt idx="7">
                  <c:v>2096.5558147799575</c:v>
                </c:pt>
              </c:numCache>
            </c:numRef>
          </c:val>
          <c:extLst>
            <c:ext xmlns:c16="http://schemas.microsoft.com/office/drawing/2014/chart" uri="{C3380CC4-5D6E-409C-BE32-E72D297353CC}">
              <c16:uniqueId val="{00000000-C05F-49D5-996A-CA37F876B4E0}"/>
            </c:ext>
          </c:extLst>
        </c:ser>
        <c:dLbls>
          <c:dLblPos val="outEnd"/>
          <c:showLegendKey val="0"/>
          <c:showVal val="1"/>
          <c:showCatName val="0"/>
          <c:showSerName val="0"/>
          <c:showPercent val="0"/>
          <c:showBubbleSize val="0"/>
        </c:dLbls>
        <c:gapWidth val="219"/>
        <c:overlap val="-27"/>
        <c:axId val="1802768959"/>
        <c:axId val="1802778559"/>
      </c:barChart>
      <c:catAx>
        <c:axId val="18027689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78559"/>
        <c:crosses val="autoZero"/>
        <c:auto val="1"/>
        <c:lblAlgn val="ctr"/>
        <c:lblOffset val="100"/>
        <c:noMultiLvlLbl val="0"/>
      </c:catAx>
      <c:valAx>
        <c:axId val="1802778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Number</a:t>
                </a:r>
                <a:r>
                  <a:rPr lang="en-GB" baseline="0">
                    <a:solidFill>
                      <a:schemeClr val="tx1"/>
                    </a:solidFill>
                  </a:rPr>
                  <a:t> of Units</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68959"/>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Actual vs. Effective Units Sold by</a:t>
            </a:r>
            <a:r>
              <a:rPr lang="en-GB" baseline="0">
                <a:solidFill>
                  <a:schemeClr val="tx1"/>
                </a:solidFill>
              </a:rPr>
              <a:t> Product Category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v>Actual Units Sold</c:v>
          </c:tx>
          <c:spPr>
            <a:solidFill>
              <a:srgbClr val="00B050"/>
            </a:solidFill>
            <a:ln>
              <a:solidFill>
                <a:schemeClr val="tx1"/>
              </a:solidFill>
            </a:ln>
            <a:effectLst/>
          </c:spPr>
          <c:invertIfNegative val="0"/>
          <c:dLbls>
            <c:delete val="1"/>
          </c:dLbls>
          <c:cat>
            <c:multiLvlStrRef>
              <c:f>product_category!$U$47:$V$54</c:f>
              <c:multiLvlStrCache>
                <c:ptCount val="8"/>
                <c:lvl>
                  <c:pt idx="0">
                    <c:v>Clothing</c:v>
                  </c:pt>
                  <c:pt idx="1">
                    <c:v>Electronics</c:v>
                  </c:pt>
                  <c:pt idx="2">
                    <c:v>Food</c:v>
                  </c:pt>
                  <c:pt idx="3">
                    <c:v>Furniture</c:v>
                  </c:pt>
                  <c:pt idx="4">
                    <c:v>Clothing</c:v>
                  </c:pt>
                  <c:pt idx="5">
                    <c:v>Electronics</c:v>
                  </c:pt>
                  <c:pt idx="6">
                    <c:v>Food</c:v>
                  </c:pt>
                  <c:pt idx="7">
                    <c:v>Furniture</c:v>
                  </c:pt>
                </c:lvl>
                <c:lvl>
                  <c:pt idx="0">
                    <c:v>2023</c:v>
                  </c:pt>
                  <c:pt idx="4">
                    <c:v>2024</c:v>
                  </c:pt>
                </c:lvl>
              </c:multiLvlStrCache>
            </c:multiLvlStrRef>
          </c:cat>
          <c:val>
            <c:numRef>
              <c:f>product_category!$W$47:$W$54</c:f>
              <c:numCache>
                <c:formatCode>General</c:formatCode>
                <c:ptCount val="8"/>
                <c:pt idx="0">
                  <c:v>6911</c:v>
                </c:pt>
                <c:pt idx="1">
                  <c:v>6072</c:v>
                </c:pt>
                <c:pt idx="2">
                  <c:v>5566</c:v>
                </c:pt>
                <c:pt idx="3">
                  <c:v>6729</c:v>
                </c:pt>
                <c:pt idx="4">
                  <c:v>6857</c:v>
                </c:pt>
                <c:pt idx="5">
                  <c:v>6218</c:v>
                </c:pt>
                <c:pt idx="6">
                  <c:v>7203</c:v>
                </c:pt>
                <c:pt idx="7">
                  <c:v>7335</c:v>
                </c:pt>
              </c:numCache>
            </c:numRef>
          </c:val>
          <c:extLst>
            <c:ext xmlns:c16="http://schemas.microsoft.com/office/drawing/2014/chart" uri="{C3380CC4-5D6E-409C-BE32-E72D297353CC}">
              <c16:uniqueId val="{00000000-560D-43A7-9D7E-441AB0248706}"/>
            </c:ext>
          </c:extLst>
        </c:ser>
        <c:ser>
          <c:idx val="1"/>
          <c:order val="1"/>
          <c:tx>
            <c:v>Effective Units Sold</c:v>
          </c:tx>
          <c:spPr>
            <a:solidFill>
              <a:srgbClr val="00B0F0"/>
            </a:solidFill>
            <a:ln>
              <a:solidFill>
                <a:schemeClr val="tx1"/>
              </a:solidFill>
            </a:ln>
            <a:effectLst/>
          </c:spPr>
          <c:invertIfNegative val="0"/>
          <c:dLbls>
            <c:delete val="1"/>
          </c:dLbls>
          <c:val>
            <c:numRef>
              <c:f>product_category!$X$47:$X$54</c:f>
              <c:numCache>
                <c:formatCode>0</c:formatCode>
                <c:ptCount val="8"/>
                <c:pt idx="0">
                  <c:v>4035.7821640975326</c:v>
                </c:pt>
                <c:pt idx="1">
                  <c:v>3972.6926744938137</c:v>
                </c:pt>
                <c:pt idx="2">
                  <c:v>3623.338153489201</c:v>
                </c:pt>
                <c:pt idx="3">
                  <c:v>4398.8370996401309</c:v>
                </c:pt>
                <c:pt idx="4">
                  <c:v>5283.1653943238252</c:v>
                </c:pt>
                <c:pt idx="5">
                  <c:v>4769.6626654396487</c:v>
                </c:pt>
                <c:pt idx="6">
                  <c:v>5468.1958374235446</c:v>
                </c:pt>
                <c:pt idx="7">
                  <c:v>5238.4441852200425</c:v>
                </c:pt>
              </c:numCache>
            </c:numRef>
          </c:val>
          <c:extLst>
            <c:ext xmlns:c16="http://schemas.microsoft.com/office/drawing/2014/chart" uri="{C3380CC4-5D6E-409C-BE32-E72D297353CC}">
              <c16:uniqueId val="{00000001-560D-43A7-9D7E-441AB0248706}"/>
            </c:ext>
          </c:extLst>
        </c:ser>
        <c:dLbls>
          <c:dLblPos val="outEnd"/>
          <c:showLegendKey val="0"/>
          <c:showVal val="1"/>
          <c:showCatName val="0"/>
          <c:showSerName val="0"/>
          <c:showPercent val="0"/>
          <c:showBubbleSize val="0"/>
        </c:dLbls>
        <c:gapWidth val="219"/>
        <c:overlap val="-27"/>
        <c:axId val="1802768959"/>
        <c:axId val="1802778559"/>
      </c:barChart>
      <c:catAx>
        <c:axId val="18027689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78559"/>
        <c:crosses val="autoZero"/>
        <c:auto val="1"/>
        <c:lblAlgn val="ctr"/>
        <c:lblOffset val="100"/>
        <c:noMultiLvlLbl val="0"/>
      </c:catAx>
      <c:valAx>
        <c:axId val="1802778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Number</a:t>
                </a:r>
                <a:r>
                  <a:rPr lang="en-GB" baseline="0">
                    <a:solidFill>
                      <a:schemeClr val="tx1"/>
                    </a:solidFill>
                  </a:rPr>
                  <a:t> of Units</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768959"/>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sz="1400" b="0" i="0" u="none" strike="noStrike" baseline="0"/>
              <a:t>Comparative Profit Margins by Customer Type Across 2023–2024 and Combined Average</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barChart>
        <c:barDir val="col"/>
        <c:grouping val="clustered"/>
        <c:varyColors val="0"/>
        <c:ser>
          <c:idx val="0"/>
          <c:order val="0"/>
          <c:tx>
            <c:v>New Customers</c:v>
          </c:tx>
          <c:spPr>
            <a:solidFill>
              <a:schemeClr val="accent1"/>
            </a:solidFill>
            <a:ln>
              <a:solidFill>
                <a:schemeClr val="tx1"/>
              </a:solidFill>
            </a:ln>
            <a:effectLst/>
          </c:spPr>
          <c:invertIfNegative val="0"/>
          <c:cat>
            <c:strRef>
              <c:f>Returning_v_New_Customers!$B$9:$B$11</c:f>
              <c:strCache>
                <c:ptCount val="3"/>
                <c:pt idx="0">
                  <c:v>2023</c:v>
                </c:pt>
                <c:pt idx="1">
                  <c:v>2024</c:v>
                </c:pt>
                <c:pt idx="2">
                  <c:v>Average</c:v>
                </c:pt>
              </c:strCache>
            </c:strRef>
          </c:cat>
          <c:val>
            <c:numRef>
              <c:f>Returning_v_New_Customers!$C$9:$C$11</c:f>
              <c:numCache>
                <c:formatCode>_("£"* #,##0.00_);_("£"* \(#,##0.00\);_("£"* "-"??_);_(@_)</c:formatCode>
                <c:ptCount val="3"/>
                <c:pt idx="0">
                  <c:v>161.89616094224914</c:v>
                </c:pt>
                <c:pt idx="1">
                  <c:v>1248.5875218427045</c:v>
                </c:pt>
                <c:pt idx="2">
                  <c:v>715.0331320561138</c:v>
                </c:pt>
              </c:numCache>
            </c:numRef>
          </c:val>
          <c:extLst>
            <c:ext xmlns:c16="http://schemas.microsoft.com/office/drawing/2014/chart" uri="{C3380CC4-5D6E-409C-BE32-E72D297353CC}">
              <c16:uniqueId val="{00000000-8160-434B-B350-34E549E9BEBF}"/>
            </c:ext>
          </c:extLst>
        </c:ser>
        <c:ser>
          <c:idx val="1"/>
          <c:order val="1"/>
          <c:tx>
            <c:v>Returning Customers</c:v>
          </c:tx>
          <c:spPr>
            <a:solidFill>
              <a:schemeClr val="accent2"/>
            </a:solidFill>
            <a:ln>
              <a:solidFill>
                <a:schemeClr val="tx1"/>
              </a:solidFill>
            </a:ln>
            <a:effectLst/>
          </c:spPr>
          <c:invertIfNegative val="0"/>
          <c:cat>
            <c:strRef>
              <c:f>Returning_v_New_Customers!$B$9:$B$11</c:f>
              <c:strCache>
                <c:ptCount val="3"/>
                <c:pt idx="0">
                  <c:v>2023</c:v>
                </c:pt>
                <c:pt idx="1">
                  <c:v>2024</c:v>
                </c:pt>
                <c:pt idx="2">
                  <c:v>Average</c:v>
                </c:pt>
              </c:strCache>
            </c:strRef>
          </c:cat>
          <c:val>
            <c:numRef>
              <c:f>Returning_v_New_Customers!$D$9:$D$11</c:f>
              <c:numCache>
                <c:formatCode>_("£"* #,##0.00_);_("£"* \(#,##0.00\);_("£"* "-"??_);_(@_)</c:formatCode>
                <c:ptCount val="3"/>
                <c:pt idx="0">
                  <c:v>159.04975427463282</c:v>
                </c:pt>
                <c:pt idx="1">
                  <c:v>1404.5955267287047</c:v>
                </c:pt>
                <c:pt idx="2">
                  <c:v>826.03359516636021</c:v>
                </c:pt>
              </c:numCache>
            </c:numRef>
          </c:val>
          <c:extLst>
            <c:ext xmlns:c16="http://schemas.microsoft.com/office/drawing/2014/chart" uri="{C3380CC4-5D6E-409C-BE32-E72D297353CC}">
              <c16:uniqueId val="{00000002-8160-434B-B350-34E549E9BEBF}"/>
            </c:ext>
          </c:extLst>
        </c:ser>
        <c:dLbls>
          <c:showLegendKey val="0"/>
          <c:showVal val="0"/>
          <c:showCatName val="0"/>
          <c:showSerName val="0"/>
          <c:showPercent val="0"/>
          <c:showBubbleSize val="0"/>
        </c:dLbls>
        <c:gapWidth val="219"/>
        <c:overlap val="-27"/>
        <c:axId val="136520368"/>
        <c:axId val="136529488"/>
      </c:barChart>
      <c:catAx>
        <c:axId val="1365203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6529488"/>
        <c:crosses val="autoZero"/>
        <c:auto val="1"/>
        <c:lblAlgn val="ctr"/>
        <c:lblOffset val="100"/>
        <c:noMultiLvlLbl val="0"/>
      </c:catAx>
      <c:valAx>
        <c:axId val="136529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6520368"/>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Total Profit</a:t>
            </a:r>
            <a:r>
              <a:rPr lang="en-GB" baseline="0">
                <a:solidFill>
                  <a:schemeClr val="tx1"/>
                </a:solidFill>
              </a:rPr>
              <a:t> Split by Sales Channel (Online vs Retail 2023-2024)</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pieChart>
        <c:varyColors val="1"/>
        <c:ser>
          <c:idx val="0"/>
          <c:order val="0"/>
          <c:spPr>
            <a:ln>
              <a:solidFill>
                <a:schemeClr val="lt1"/>
              </a:solidFill>
            </a:ln>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2-DB79-44F3-8972-FDDB444CF71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DB79-44F3-8972-FDDB444CF71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Online_v_Retail!$B$12:$C$12</c:f>
              <c:strCache>
                <c:ptCount val="2"/>
                <c:pt idx="0">
                  <c:v>Online</c:v>
                </c:pt>
                <c:pt idx="1">
                  <c:v>Retail</c:v>
                </c:pt>
              </c:strCache>
            </c:strRef>
          </c:cat>
          <c:val>
            <c:numRef>
              <c:f>Online_v_Retail!$B$13:$C$13</c:f>
              <c:numCache>
                <c:formatCode>"£"#,##0.00</c:formatCode>
                <c:ptCount val="2"/>
                <c:pt idx="0">
                  <c:v>20970455.107500024</c:v>
                </c:pt>
                <c:pt idx="1">
                  <c:v>19744142.361699991</c:v>
                </c:pt>
              </c:numCache>
            </c:numRef>
          </c:val>
          <c:extLst>
            <c:ext xmlns:c16="http://schemas.microsoft.com/office/drawing/2014/chart" uri="{C3380CC4-5D6E-409C-BE32-E72D297353CC}">
              <c16:uniqueId val="{00000000-DB79-44F3-8972-FDDB444CF712}"/>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21E2-4CC9-9F20-E52AFBE2A1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21E2-4CC9-9F20-E52AFBE2A1C1}"/>
              </c:ext>
            </c:extLst>
          </c:dPt>
          <c:val>
            <c:numRef>
              <c:f>Online_v_Retail!$G$12:$H$12</c:f>
              <c:numCache>
                <c:formatCode>0.00</c:formatCode>
                <c:ptCount val="2"/>
                <c:pt idx="0">
                  <c:v>26627</c:v>
                </c:pt>
                <c:pt idx="1">
                  <c:v>26264</c:v>
                </c:pt>
              </c:numCache>
            </c:numRef>
          </c:val>
          <c:extLst>
            <c:ext xmlns:c16="http://schemas.microsoft.com/office/drawing/2014/chart" uri="{C3380CC4-5D6E-409C-BE32-E72D297353CC}">
              <c16:uniqueId val="{00000003-DB79-44F3-8972-FDDB444CF71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t" anchorCtr="0"/>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Most Profitable Products by Category (2023-2024)</cx:v>
        </cx:txData>
      </cx:tx>
      <cx:txPr>
        <a:bodyPr spcFirstLastPara="1" vertOverflow="ellipsis" horzOverflow="overflow" wrap="square" lIns="0" tIns="0" rIns="0" bIns="0" anchor="ctr" anchorCtr="1"/>
        <a:lstStyle/>
        <a:p>
          <a:pPr algn="ctr" rtl="0">
            <a:defRPr/>
          </a:pPr>
          <a:r>
            <a:rPr lang="en-GB" sz="1600" b="1" i="0" u="none" strike="noStrike" baseline="0">
              <a:solidFill>
                <a:schemeClr val="tx1"/>
              </a:solidFill>
              <a:latin typeface="Aptos Narrow" panose="02110004020202020204"/>
            </a:rPr>
            <a:t>Top 5 Most Profitable Products by Category (2023-2024)</a:t>
          </a:r>
        </a:p>
      </cx:txPr>
    </cx:title>
    <cx:plotArea>
      <cx:plotAreaRegion>
        <cx:series layoutId="treemap" uniqueId="{EF5B3FAB-A43C-4DB9-A0FF-58B6BB54C8C0}">
          <cx:spPr>
            <a:ln>
              <a:solidFill>
                <a:schemeClr val="tx1"/>
              </a:solidFill>
            </a:ln>
          </cx:spPr>
          <cx:dataPt idx="0">
            <cx:spPr>
              <a:solidFill>
                <a:sysClr val="window" lastClr="FFFFFF">
                  <a:lumMod val="85000"/>
                </a:sysClr>
              </a:solidFill>
              <a:ln>
                <a:solidFill>
                  <a:sysClr val="window" lastClr="FFFFFF">
                    <a:lumMod val="85000"/>
                  </a:sysClr>
                </a:solidFill>
              </a:ln>
            </cx:spPr>
          </cx:dataPt>
          <cx:dataPt idx="1">
            <cx:spPr>
              <a:solidFill>
                <a:sysClr val="window" lastClr="FFFFFF">
                  <a:lumMod val="50000"/>
                </a:sysClr>
              </a:solidFill>
            </cx:spPr>
          </cx:dataPt>
          <cx:dataPt idx="2">
            <cx:spPr>
              <a:solidFill>
                <a:sysClr val="window" lastClr="FFFFFF">
                  <a:lumMod val="65000"/>
                </a:sysClr>
              </a:solidFill>
            </cx:spPr>
          </cx:dataPt>
          <cx:dataPt idx="3">
            <cx:spPr>
              <a:solidFill>
                <a:sysClr val="window" lastClr="FFFFFF">
                  <a:lumMod val="75000"/>
                </a:sysClr>
              </a:solidFill>
            </cx:spPr>
          </cx:dataPt>
          <cx:dataPt idx="4">
            <cx:spPr>
              <a:solidFill>
                <a:sysClr val="window" lastClr="FFFFFF">
                  <a:lumMod val="85000"/>
                </a:sysClr>
              </a:solidFill>
            </cx:spPr>
          </cx:dataPt>
          <cx:dataPt idx="5">
            <cx:spPr>
              <a:solidFill>
                <a:srgbClr val="E97132"/>
              </a:solidFill>
              <a:ln>
                <a:solidFill>
                  <a:sysClr val="window" lastClr="FFFFFF">
                    <a:lumMod val="85000"/>
                  </a:sysClr>
                </a:solidFill>
              </a:ln>
            </cx:spPr>
          </cx:dataPt>
          <cx:dataPt idx="6">
            <cx:spPr>
              <a:solidFill>
                <a:srgbClr val="E97132">
                  <a:lumMod val="50000"/>
                </a:srgbClr>
              </a:solidFill>
            </cx:spPr>
          </cx:dataPt>
          <cx:dataPt idx="7">
            <cx:spPr>
              <a:solidFill>
                <a:srgbClr val="E97132">
                  <a:lumMod val="75000"/>
                </a:srgbClr>
              </a:solidFill>
            </cx:spPr>
          </cx:dataPt>
          <cx:dataPt idx="8">
            <cx:spPr>
              <a:solidFill>
                <a:srgbClr val="E97132">
                  <a:lumMod val="60000"/>
                  <a:lumOff val="40000"/>
                </a:srgbClr>
              </a:solidFill>
            </cx:spPr>
          </cx:dataPt>
          <cx:dataPt idx="9">
            <cx:spPr>
              <a:solidFill>
                <a:srgbClr val="E97132">
                  <a:lumMod val="40000"/>
                  <a:lumOff val="60000"/>
                </a:srgbClr>
              </a:solidFill>
            </cx:spPr>
          </cx:dataPt>
          <cx:dataPt idx="10">
            <cx:spPr>
              <a:solidFill>
                <a:srgbClr val="E97132">
                  <a:lumMod val="20000"/>
                  <a:lumOff val="80000"/>
                </a:srgbClr>
              </a:solidFill>
            </cx:spPr>
          </cx:dataPt>
          <cx:dataPt idx="11">
            <cx:spPr>
              <a:solidFill>
                <a:srgbClr val="196B24"/>
              </a:solidFill>
              <a:ln>
                <a:solidFill>
                  <a:sysClr val="window" lastClr="FFFFFF">
                    <a:lumMod val="85000"/>
                  </a:sysClr>
                </a:solidFill>
              </a:ln>
            </cx:spPr>
          </cx:dataPt>
          <cx:dataPt idx="12">
            <cx:spPr>
              <a:solidFill>
                <a:srgbClr val="196B24">
                  <a:lumMod val="50000"/>
                </a:srgbClr>
              </a:solidFill>
            </cx:spPr>
          </cx:dataPt>
          <cx:dataPt idx="13">
            <cx:spPr>
              <a:solidFill>
                <a:srgbClr val="196B24">
                  <a:lumMod val="75000"/>
                </a:srgbClr>
              </a:solidFill>
            </cx:spPr>
          </cx:dataPt>
          <cx:dataPt idx="14">
            <cx:spPr>
              <a:solidFill>
                <a:srgbClr val="196B24">
                  <a:lumMod val="60000"/>
                  <a:lumOff val="40000"/>
                </a:srgbClr>
              </a:solidFill>
            </cx:spPr>
          </cx:dataPt>
          <cx:dataPt idx="15">
            <cx:spPr>
              <a:solidFill>
                <a:srgbClr val="196B24">
                  <a:lumMod val="40000"/>
                  <a:lumOff val="60000"/>
                </a:srgbClr>
              </a:solidFill>
            </cx:spPr>
          </cx:dataPt>
          <cx:dataPt idx="16">
            <cx:spPr>
              <a:solidFill>
                <a:srgbClr val="196B24">
                  <a:lumMod val="20000"/>
                  <a:lumOff val="80000"/>
                </a:srgbClr>
              </a:solidFill>
            </cx:spPr>
          </cx:dataPt>
          <cx:dataPt idx="17">
            <cx:spPr>
              <a:solidFill>
                <a:srgbClr val="00B0F0"/>
              </a:solidFill>
              <a:ln>
                <a:solidFill>
                  <a:sysClr val="window" lastClr="FFFFFF">
                    <a:lumMod val="85000"/>
                  </a:sysClr>
                </a:solidFill>
              </a:ln>
            </cx:spPr>
          </cx:dataPt>
          <cx:dataPt idx="18">
            <cx:spPr>
              <a:solidFill>
                <a:srgbClr val="156082">
                  <a:lumMod val="50000"/>
                </a:srgbClr>
              </a:solidFill>
            </cx:spPr>
          </cx:dataPt>
          <cx:dataPt idx="19">
            <cx:spPr>
              <a:solidFill>
                <a:srgbClr val="156082">
                  <a:lumMod val="75000"/>
                </a:srgbClr>
              </a:solidFill>
            </cx:spPr>
          </cx:dataPt>
          <cx:dataPt idx="20">
            <cx:spPr>
              <a:solidFill>
                <a:srgbClr val="156082">
                  <a:lumMod val="60000"/>
                  <a:lumOff val="40000"/>
                </a:srgbClr>
              </a:solidFill>
            </cx:spPr>
          </cx:dataPt>
          <cx:dataPt idx="21">
            <cx:spPr>
              <a:solidFill>
                <a:srgbClr val="156082">
                  <a:lumMod val="40000"/>
                  <a:lumOff val="60000"/>
                </a:srgbClr>
              </a:solidFill>
            </cx:spPr>
          </cx:dataPt>
          <cx:dataPt idx="22">
            <cx:spPr>
              <a:solidFill>
                <a:srgbClr val="156082">
                  <a:lumMod val="20000"/>
                  <a:lumOff val="80000"/>
                </a:srgbClr>
              </a:solidFill>
            </cx:spPr>
          </cx:dataPt>
          <cx:dataPt idx="23">
            <cx:spPr>
              <a:solidFill>
                <a:srgbClr val="A02B93"/>
              </a:solidFill>
              <a:ln>
                <a:solidFill>
                  <a:sysClr val="window" lastClr="FFFFFF">
                    <a:lumMod val="75000"/>
                  </a:sysClr>
                </a:solidFill>
              </a:ln>
            </cx:spPr>
          </cx:dataPt>
          <cx:dataPt idx="24">
            <cx:spPr>
              <a:solidFill>
                <a:srgbClr val="A02B93">
                  <a:lumMod val="50000"/>
                </a:srgbClr>
              </a:solidFill>
            </cx:spPr>
          </cx:dataPt>
          <cx:dataPt idx="25">
            <cx:spPr>
              <a:solidFill>
                <a:srgbClr val="A02B93">
                  <a:lumMod val="75000"/>
                </a:srgbClr>
              </a:solidFill>
            </cx:spPr>
          </cx:dataPt>
          <cx:dataPt idx="26">
            <cx:spPr>
              <a:solidFill>
                <a:srgbClr val="A02B93">
                  <a:lumMod val="60000"/>
                  <a:lumOff val="40000"/>
                </a:srgbClr>
              </a:solidFill>
            </cx:spPr>
          </cx:dataPt>
          <cx:dataPt idx="27">
            <cx:spPr>
              <a:solidFill>
                <a:srgbClr val="A02B93">
                  <a:lumMod val="40000"/>
                  <a:lumOff val="60000"/>
                </a:srgbClr>
              </a:solidFill>
            </cx:spPr>
          </cx:dataPt>
          <cx:dataPt idx="28">
            <cx:spPr>
              <a:solidFill>
                <a:srgbClr val="A02B93">
                  <a:lumMod val="20000"/>
                  <a:lumOff val="80000"/>
                </a:srgbClr>
              </a:solidFill>
            </cx:spPr>
          </cx:dataPt>
          <cx:dataLabels pos="inEnd">
            <cx:visibility seriesName="0" categoryName="1" value="0"/>
            <cx:separator>, </cx:separator>
          </cx:dataLabels>
          <cx:dataId val="0"/>
          <cx:layoutPr>
            <cx:parentLabelLayout val="banner"/>
          </cx:layoutPr>
        </cx:series>
      </cx:plotAreaRegion>
    </cx:plotArea>
    <cx:legend pos="b" align="ctr" overlay="0">
      <cx:txPr>
        <a:bodyPr spcFirstLastPara="1" vertOverflow="ellipsis" horzOverflow="overflow" wrap="square" lIns="0" tIns="0" rIns="0" bIns="0" anchor="ctr" anchorCtr="1"/>
        <a:lstStyle/>
        <a:p>
          <a:pPr algn="ctr" rtl="0">
            <a:defRPr/>
          </a:pPr>
          <a:endParaRPr lang="en-GB" sz="900" b="0" i="0" u="none" strike="noStrike" baseline="0">
            <a:solidFill>
              <a:srgbClr val="0E2841"/>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7</xdr:col>
      <xdr:colOff>561975</xdr:colOff>
      <xdr:row>1</xdr:row>
      <xdr:rowOff>123825</xdr:rowOff>
    </xdr:from>
    <xdr:to>
      <xdr:col>15</xdr:col>
      <xdr:colOff>717325</xdr:colOff>
      <xdr:row>20</xdr:row>
      <xdr:rowOff>57150</xdr:rowOff>
    </xdr:to>
    <xdr:grpSp>
      <xdr:nvGrpSpPr>
        <xdr:cNvPr id="8" name="Group 7">
          <a:extLst>
            <a:ext uri="{FF2B5EF4-FFF2-40B4-BE49-F238E27FC236}">
              <a16:creationId xmlns:a16="http://schemas.microsoft.com/office/drawing/2014/main" id="{2CB94A80-0A06-48A7-ED07-642DCE17220C}"/>
            </a:ext>
          </a:extLst>
        </xdr:cNvPr>
        <xdr:cNvGrpSpPr/>
      </xdr:nvGrpSpPr>
      <xdr:grpSpPr>
        <a:xfrm>
          <a:off x="5549900" y="301625"/>
          <a:ext cx="8089675" cy="3375025"/>
          <a:chOff x="5667375" y="0"/>
          <a:chExt cx="7946800" cy="3247798"/>
        </a:xfrm>
      </xdr:grpSpPr>
      <xdr:graphicFrame macro="">
        <xdr:nvGraphicFramePr>
          <xdr:cNvPr id="2" name="Chart 1">
            <a:extLst>
              <a:ext uri="{FF2B5EF4-FFF2-40B4-BE49-F238E27FC236}">
                <a16:creationId xmlns:a16="http://schemas.microsoft.com/office/drawing/2014/main" id="{1AF020F6-91E9-77A5-D4CC-7F76B9C8DE3A}"/>
              </a:ext>
            </a:extLst>
          </xdr:cNvPr>
          <xdr:cNvGraphicFramePr/>
        </xdr:nvGraphicFramePr>
        <xdr:xfrm>
          <a:off x="5667375" y="1586"/>
          <a:ext cx="6130925" cy="323682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9E0AD41-269F-FEFA-C53B-D7CE11EBD38F}"/>
                  </a:ext>
                </a:extLst>
              </xdr:cNvPr>
              <xdr:cNvGraphicFramePr/>
            </xdr:nvGraphicFramePr>
            <xdr:xfrm>
              <a:off x="11811000" y="0"/>
              <a:ext cx="1800000" cy="144000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03981" y="301625"/>
                <a:ext cx="1832362" cy="14964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ales_Rep">
                <a:extLst>
                  <a:ext uri="{FF2B5EF4-FFF2-40B4-BE49-F238E27FC236}">
                    <a16:creationId xmlns:a16="http://schemas.microsoft.com/office/drawing/2014/main" id="{F6EC9E0F-87AC-F947-85E7-3C644EA0C234}"/>
                  </a:ext>
                </a:extLst>
              </xdr:cNvPr>
              <xdr:cNvGraphicFramePr/>
            </xdr:nvGraphicFramePr>
            <xdr:xfrm>
              <a:off x="11807825" y="1450973"/>
              <a:ext cx="1806350" cy="1796825"/>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11800749" y="1809437"/>
                <a:ext cx="1838826" cy="18672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444500</xdr:colOff>
      <xdr:row>21</xdr:row>
      <xdr:rowOff>19957</xdr:rowOff>
    </xdr:from>
    <xdr:to>
      <xdr:col>6</xdr:col>
      <xdr:colOff>750662</xdr:colOff>
      <xdr:row>40</xdr:row>
      <xdr:rowOff>63500</xdr:rowOff>
    </xdr:to>
    <xdr:graphicFrame macro="">
      <xdr:nvGraphicFramePr>
        <xdr:cNvPr id="2" name="Chart 1">
          <a:extLst>
            <a:ext uri="{FF2B5EF4-FFF2-40B4-BE49-F238E27FC236}">
              <a16:creationId xmlns:a16="http://schemas.microsoft.com/office/drawing/2014/main" id="{A4249273-DB24-45E9-851E-566459E9E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771525</xdr:colOff>
      <xdr:row>20</xdr:row>
      <xdr:rowOff>75293</xdr:rowOff>
    </xdr:from>
    <xdr:to>
      <xdr:col>13</xdr:col>
      <xdr:colOff>466726</xdr:colOff>
      <xdr:row>38</xdr:row>
      <xdr:rowOff>158750</xdr:rowOff>
    </xdr:to>
    <xdr:graphicFrame macro="">
      <xdr:nvGraphicFramePr>
        <xdr:cNvPr id="3" name="Chart 2">
          <a:extLst>
            <a:ext uri="{FF2B5EF4-FFF2-40B4-BE49-F238E27FC236}">
              <a16:creationId xmlns:a16="http://schemas.microsoft.com/office/drawing/2014/main" id="{B55183C8-2791-466A-8097-D7C3BCD03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609599</xdr:colOff>
      <xdr:row>10</xdr:row>
      <xdr:rowOff>141282</xdr:rowOff>
    </xdr:from>
    <xdr:to>
      <xdr:col>24</xdr:col>
      <xdr:colOff>374274</xdr:colOff>
      <xdr:row>28</xdr:row>
      <xdr:rowOff>177732</xdr:rowOff>
    </xdr:to>
    <xdr:graphicFrame macro="">
      <xdr:nvGraphicFramePr>
        <xdr:cNvPr id="2" name="Chart 1">
          <a:extLst>
            <a:ext uri="{FF2B5EF4-FFF2-40B4-BE49-F238E27FC236}">
              <a16:creationId xmlns:a16="http://schemas.microsoft.com/office/drawing/2014/main" id="{A5456B08-B23C-491C-B79D-2205F0E89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0</xdr:colOff>
      <xdr:row>10</xdr:row>
      <xdr:rowOff>141287</xdr:rowOff>
    </xdr:from>
    <xdr:to>
      <xdr:col>24</xdr:col>
      <xdr:colOff>301625</xdr:colOff>
      <xdr:row>26</xdr:row>
      <xdr:rowOff>1587</xdr:rowOff>
    </xdr:to>
    <xdr:graphicFrame macro="">
      <xdr:nvGraphicFramePr>
        <xdr:cNvPr id="2" name="Chart 1">
          <a:extLst>
            <a:ext uri="{FF2B5EF4-FFF2-40B4-BE49-F238E27FC236}">
              <a16:creationId xmlns:a16="http://schemas.microsoft.com/office/drawing/2014/main" id="{D4713559-632E-3ACA-FD31-A14179F37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114300</xdr:colOff>
      <xdr:row>12</xdr:row>
      <xdr:rowOff>171450</xdr:rowOff>
    </xdr:from>
    <xdr:to>
      <xdr:col>6</xdr:col>
      <xdr:colOff>368300</xdr:colOff>
      <xdr:row>30</xdr:row>
      <xdr:rowOff>28575</xdr:rowOff>
    </xdr:to>
    <xdr:graphicFrame macro="">
      <xdr:nvGraphicFramePr>
        <xdr:cNvPr id="2" name="Chart 1">
          <a:extLst>
            <a:ext uri="{FF2B5EF4-FFF2-40B4-BE49-F238E27FC236}">
              <a16:creationId xmlns:a16="http://schemas.microsoft.com/office/drawing/2014/main" id="{E9A4C6BC-81D6-47CD-A218-691A414CE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209550</xdr:colOff>
      <xdr:row>12</xdr:row>
      <xdr:rowOff>123825</xdr:rowOff>
    </xdr:from>
    <xdr:to>
      <xdr:col>20</xdr:col>
      <xdr:colOff>730250</xdr:colOff>
      <xdr:row>29</xdr:row>
      <xdr:rowOff>44450</xdr:rowOff>
    </xdr:to>
    <xdr:graphicFrame macro="">
      <xdr:nvGraphicFramePr>
        <xdr:cNvPr id="3" name="Chart 2">
          <a:extLst>
            <a:ext uri="{FF2B5EF4-FFF2-40B4-BE49-F238E27FC236}">
              <a16:creationId xmlns:a16="http://schemas.microsoft.com/office/drawing/2014/main" id="{8A98B86C-E4BC-4FC4-B229-7013828B6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600076</xdr:colOff>
      <xdr:row>41</xdr:row>
      <xdr:rowOff>9525</xdr:rowOff>
    </xdr:from>
    <xdr:to>
      <xdr:col>7</xdr:col>
      <xdr:colOff>539750</xdr:colOff>
      <xdr:row>57</xdr:row>
      <xdr:rowOff>115889</xdr:rowOff>
    </xdr:to>
    <xdr:graphicFrame macro="">
      <xdr:nvGraphicFramePr>
        <xdr:cNvPr id="2" name="Chart 1">
          <a:extLst>
            <a:ext uri="{FF2B5EF4-FFF2-40B4-BE49-F238E27FC236}">
              <a16:creationId xmlns:a16="http://schemas.microsoft.com/office/drawing/2014/main" id="{D5171FF9-B41A-DEF1-83A5-E2D3AADC2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507999</xdr:colOff>
      <xdr:row>41</xdr:row>
      <xdr:rowOff>50798</xdr:rowOff>
    </xdr:from>
    <xdr:to>
      <xdr:col>16</xdr:col>
      <xdr:colOff>704850</xdr:colOff>
      <xdr:row>60</xdr:row>
      <xdr:rowOff>66674</xdr:rowOff>
    </xdr:to>
    <xdr:graphicFrame macro="">
      <xdr:nvGraphicFramePr>
        <xdr:cNvPr id="3" name="Chart 2">
          <a:extLst>
            <a:ext uri="{FF2B5EF4-FFF2-40B4-BE49-F238E27FC236}">
              <a16:creationId xmlns:a16="http://schemas.microsoft.com/office/drawing/2014/main" id="{425643F3-2C28-431B-8E50-0758F96DC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123826</xdr:colOff>
      <xdr:row>7</xdr:row>
      <xdr:rowOff>139699</xdr:rowOff>
    </xdr:from>
    <xdr:to>
      <xdr:col>16</xdr:col>
      <xdr:colOff>77788</xdr:colOff>
      <xdr:row>20</xdr:row>
      <xdr:rowOff>133349</xdr:rowOff>
    </xdr:to>
    <xdr:graphicFrame macro="">
      <xdr:nvGraphicFramePr>
        <xdr:cNvPr id="5" name="Chart 4">
          <a:extLst>
            <a:ext uri="{FF2B5EF4-FFF2-40B4-BE49-F238E27FC236}">
              <a16:creationId xmlns:a16="http://schemas.microsoft.com/office/drawing/2014/main" id="{E3B2E5CE-E6A1-15F1-6526-4668DA0D2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44</xdr:row>
      <xdr:rowOff>0</xdr:rowOff>
    </xdr:from>
    <xdr:to>
      <xdr:col>28</xdr:col>
      <xdr:colOff>542926</xdr:colOff>
      <xdr:row>63</xdr:row>
      <xdr:rowOff>22226</xdr:rowOff>
    </xdr:to>
    <xdr:graphicFrame macro="">
      <xdr:nvGraphicFramePr>
        <xdr:cNvPr id="4" name="Chart 3">
          <a:extLst>
            <a:ext uri="{FF2B5EF4-FFF2-40B4-BE49-F238E27FC236}">
              <a16:creationId xmlns:a16="http://schemas.microsoft.com/office/drawing/2014/main" id="{3C6B5131-C4FB-4C0F-B63F-9AF73CC23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311150</xdr:colOff>
      <xdr:row>20</xdr:row>
      <xdr:rowOff>19050</xdr:rowOff>
    </xdr:from>
    <xdr:to>
      <xdr:col>11</xdr:col>
      <xdr:colOff>196851</xdr:colOff>
      <xdr:row>38</xdr:row>
      <xdr:rowOff>95250</xdr:rowOff>
    </xdr:to>
    <xdr:graphicFrame macro="">
      <xdr:nvGraphicFramePr>
        <xdr:cNvPr id="4" name="Chart 3">
          <a:extLst>
            <a:ext uri="{FF2B5EF4-FFF2-40B4-BE49-F238E27FC236}">
              <a16:creationId xmlns:a16="http://schemas.microsoft.com/office/drawing/2014/main" id="{C2B3460D-5822-18EB-34B5-7C0205E40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530225</xdr:colOff>
      <xdr:row>25</xdr:row>
      <xdr:rowOff>53975</xdr:rowOff>
    </xdr:from>
    <xdr:to>
      <xdr:col>28</xdr:col>
      <xdr:colOff>44451</xdr:colOff>
      <xdr:row>43</xdr:row>
      <xdr:rowOff>133350</xdr:rowOff>
    </xdr:to>
    <xdr:graphicFrame macro="">
      <xdr:nvGraphicFramePr>
        <xdr:cNvPr id="2" name="Chart 1">
          <a:extLst>
            <a:ext uri="{FF2B5EF4-FFF2-40B4-BE49-F238E27FC236}">
              <a16:creationId xmlns:a16="http://schemas.microsoft.com/office/drawing/2014/main" id="{7167ECB1-8DA7-4740-A5B6-2C7F3F399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33</xdr:col>
      <xdr:colOff>358775</xdr:colOff>
      <xdr:row>2</xdr:row>
      <xdr:rowOff>104775</xdr:rowOff>
    </xdr:from>
    <xdr:to>
      <xdr:col>46</xdr:col>
      <xdr:colOff>454025</xdr:colOff>
      <xdr:row>20</xdr:row>
      <xdr:rowOff>11113</xdr:rowOff>
    </xdr:to>
    <xdr:graphicFrame macro="">
      <xdr:nvGraphicFramePr>
        <xdr:cNvPr id="3" name="Chart 2">
          <a:extLst>
            <a:ext uri="{FF2B5EF4-FFF2-40B4-BE49-F238E27FC236}">
              <a16:creationId xmlns:a16="http://schemas.microsoft.com/office/drawing/2014/main" id="{516D92D9-A105-CCC4-B138-1F435A6DD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363537</xdr:colOff>
      <xdr:row>42</xdr:row>
      <xdr:rowOff>96837</xdr:rowOff>
    </xdr:from>
    <xdr:to>
      <xdr:col>8</xdr:col>
      <xdr:colOff>177800</xdr:colOff>
      <xdr:row>59</xdr:row>
      <xdr:rowOff>76200</xdr:rowOff>
    </xdr:to>
    <xdr:graphicFrame macro="">
      <xdr:nvGraphicFramePr>
        <xdr:cNvPr id="2" name="Chart 1">
          <a:extLst>
            <a:ext uri="{FF2B5EF4-FFF2-40B4-BE49-F238E27FC236}">
              <a16:creationId xmlns:a16="http://schemas.microsoft.com/office/drawing/2014/main" id="{8E84C34F-7D36-EC17-1D1F-7F961E2004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215900</xdr:colOff>
      <xdr:row>7</xdr:row>
      <xdr:rowOff>149225</xdr:rowOff>
    </xdr:from>
    <xdr:to>
      <xdr:col>6</xdr:col>
      <xdr:colOff>190500</xdr:colOff>
      <xdr:row>21</xdr:row>
      <xdr:rowOff>66675</xdr:rowOff>
    </xdr:to>
    <xdr:graphicFrame macro="">
      <xdr:nvGraphicFramePr>
        <xdr:cNvPr id="4" name="Chart 3">
          <a:extLst>
            <a:ext uri="{FF2B5EF4-FFF2-40B4-BE49-F238E27FC236}">
              <a16:creationId xmlns:a16="http://schemas.microsoft.com/office/drawing/2014/main" id="{CE9E9C28-1E81-472E-BCF5-FA28CDFDF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244475</xdr:colOff>
      <xdr:row>72</xdr:row>
      <xdr:rowOff>134937</xdr:rowOff>
    </xdr:from>
    <xdr:to>
      <xdr:col>14</xdr:col>
      <xdr:colOff>95250</xdr:colOff>
      <xdr:row>89</xdr:row>
      <xdr:rowOff>161925</xdr:rowOff>
    </xdr:to>
    <xdr:graphicFrame macro="">
      <xdr:nvGraphicFramePr>
        <xdr:cNvPr id="5" name="Chart 4">
          <a:extLst>
            <a:ext uri="{FF2B5EF4-FFF2-40B4-BE49-F238E27FC236}">
              <a16:creationId xmlns:a16="http://schemas.microsoft.com/office/drawing/2014/main" id="{2518A98C-BC63-FCD5-82E2-ECAA4816B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611187</xdr:colOff>
      <xdr:row>8</xdr:row>
      <xdr:rowOff>84137</xdr:rowOff>
    </xdr:from>
    <xdr:to>
      <xdr:col>32</xdr:col>
      <xdr:colOff>315912</xdr:colOff>
      <xdr:row>23</xdr:row>
      <xdr:rowOff>125412</xdr:rowOff>
    </xdr:to>
    <xdr:graphicFrame macro="">
      <xdr:nvGraphicFramePr>
        <xdr:cNvPr id="6" name="Chart 5">
          <a:extLst>
            <a:ext uri="{FF2B5EF4-FFF2-40B4-BE49-F238E27FC236}">
              <a16:creationId xmlns:a16="http://schemas.microsoft.com/office/drawing/2014/main" id="{6F423BD6-DC31-701C-4A6B-18E201BA9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333375</xdr:colOff>
      <xdr:row>24</xdr:row>
      <xdr:rowOff>20638</xdr:rowOff>
    </xdr:from>
    <xdr:to>
      <xdr:col>37</xdr:col>
      <xdr:colOff>539750</xdr:colOff>
      <xdr:row>40</xdr:row>
      <xdr:rowOff>85725</xdr:rowOff>
    </xdr:to>
    <xdr:graphicFrame macro="">
      <xdr:nvGraphicFramePr>
        <xdr:cNvPr id="9" name="Chart 8">
          <a:extLst>
            <a:ext uri="{FF2B5EF4-FFF2-40B4-BE49-F238E27FC236}">
              <a16:creationId xmlns:a16="http://schemas.microsoft.com/office/drawing/2014/main" id="{C05AD144-7C7E-CB17-693A-A52FE75E6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42</xdr:row>
      <xdr:rowOff>0</xdr:rowOff>
    </xdr:from>
    <xdr:to>
      <xdr:col>37</xdr:col>
      <xdr:colOff>212725</xdr:colOff>
      <xdr:row>58</xdr:row>
      <xdr:rowOff>61912</xdr:rowOff>
    </xdr:to>
    <xdr:graphicFrame macro="">
      <xdr:nvGraphicFramePr>
        <xdr:cNvPr id="12" name="Chart 11">
          <a:extLst>
            <a:ext uri="{FF2B5EF4-FFF2-40B4-BE49-F238E27FC236}">
              <a16:creationId xmlns:a16="http://schemas.microsoft.com/office/drawing/2014/main" id="{DF396C52-1BC6-4CCE-83BD-E8473F10A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225427</xdr:colOff>
      <xdr:row>29</xdr:row>
      <xdr:rowOff>115883</xdr:rowOff>
    </xdr:from>
    <xdr:to>
      <xdr:col>8</xdr:col>
      <xdr:colOff>523875</xdr:colOff>
      <xdr:row>47</xdr:row>
      <xdr:rowOff>104775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D9993-1051-9285-6B9C-7D4D4C0A7D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5427" y="5364158"/>
              <a:ext cx="5572123" cy="324326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406400</xdr:colOff>
      <xdr:row>9</xdr:row>
      <xdr:rowOff>144462</xdr:rowOff>
    </xdr:from>
    <xdr:to>
      <xdr:col>13</xdr:col>
      <xdr:colOff>85725</xdr:colOff>
      <xdr:row>24</xdr:row>
      <xdr:rowOff>179387</xdr:rowOff>
    </xdr:to>
    <xdr:graphicFrame macro="">
      <xdr:nvGraphicFramePr>
        <xdr:cNvPr id="2" name="Chart 1">
          <a:extLst>
            <a:ext uri="{FF2B5EF4-FFF2-40B4-BE49-F238E27FC236}">
              <a16:creationId xmlns:a16="http://schemas.microsoft.com/office/drawing/2014/main" id="{7B96467E-D5EF-098C-4569-27B13B1C2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15</xdr:row>
      <xdr:rowOff>122237</xdr:rowOff>
    </xdr:from>
    <xdr:to>
      <xdr:col>5</xdr:col>
      <xdr:colOff>187325</xdr:colOff>
      <xdr:row>30</xdr:row>
      <xdr:rowOff>144462</xdr:rowOff>
    </xdr:to>
    <xdr:graphicFrame macro="">
      <xdr:nvGraphicFramePr>
        <xdr:cNvPr id="5" name="Chart 4">
          <a:extLst>
            <a:ext uri="{FF2B5EF4-FFF2-40B4-BE49-F238E27FC236}">
              <a16:creationId xmlns:a16="http://schemas.microsoft.com/office/drawing/2014/main" id="{EB43DAC3-7921-40EE-1576-0900AB38A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Ofori Yeboah Moore" refreshedDate="45761.993425000001" createdVersion="8" refreshedVersion="8" minRefreshableVersion="3" recordCount="1000" xr:uid="{62154A2E-40FA-41DB-B6AB-36F8A3656E89}">
  <cacheSource type="worksheet">
    <worksheetSource ref="B1:S3204" sheet="sales_data_1"/>
  </cacheSource>
  <cacheFields count="15">
    <cacheField name="Product_ID" numFmtId="0">
      <sharedItems containsSemiMixedTypes="0" containsString="0" containsNumber="1" containsInteger="1" minValue="1001" maxValue="1100" count="100">
        <n v="1052"/>
        <n v="1093"/>
        <n v="1015"/>
        <n v="1072"/>
        <n v="1061"/>
        <n v="1021"/>
        <n v="1083"/>
        <n v="1087"/>
        <n v="1075"/>
        <n v="1088"/>
        <n v="1100"/>
        <n v="1024"/>
        <n v="1003"/>
        <n v="1022"/>
        <n v="1053"/>
        <n v="1002"/>
        <n v="1030"/>
        <n v="1038"/>
        <n v="1064"/>
        <n v="1060"/>
        <n v="1033"/>
        <n v="1076"/>
        <n v="1058"/>
        <n v="1089"/>
        <n v="1049"/>
        <n v="1091"/>
        <n v="1059"/>
        <n v="1042"/>
        <n v="1092"/>
        <n v="1080"/>
        <n v="1062"/>
        <n v="1047"/>
        <n v="1051"/>
        <n v="1055"/>
        <n v="1007"/>
        <n v="1073"/>
        <n v="1039"/>
        <n v="1018"/>
        <n v="1004"/>
        <n v="1014"/>
        <n v="1009"/>
        <n v="1090"/>
        <n v="1084"/>
        <n v="1071"/>
        <n v="1044"/>
        <n v="1008"/>
        <n v="1035"/>
        <n v="1078"/>
        <n v="1081"/>
        <n v="1036"/>
        <n v="1050"/>
        <n v="1006"/>
        <n v="1054"/>
        <n v="1063"/>
        <n v="1034"/>
        <n v="1074"/>
        <n v="1095"/>
        <n v="1048"/>
        <n v="1040"/>
        <n v="1085"/>
        <n v="1082"/>
        <n v="1026"/>
        <n v="1041"/>
        <n v="1029"/>
        <n v="1045"/>
        <n v="1065"/>
        <n v="1001"/>
        <n v="1011"/>
        <n v="1005"/>
        <n v="1028"/>
        <n v="1012"/>
        <n v="1023"/>
        <n v="1037"/>
        <n v="1099"/>
        <n v="1086"/>
        <n v="1027"/>
        <n v="1079"/>
        <n v="1077"/>
        <n v="1096"/>
        <n v="1094"/>
        <n v="1043"/>
        <n v="1013"/>
        <n v="1032"/>
        <n v="1066"/>
        <n v="1057"/>
        <n v="1097"/>
        <n v="1070"/>
        <n v="1056"/>
        <n v="1019"/>
        <n v="1068"/>
        <n v="1017"/>
        <n v="1069"/>
        <n v="1098"/>
        <n v="1016"/>
        <n v="1020"/>
        <n v="1067"/>
        <n v="1031"/>
        <n v="1025"/>
        <n v="1046"/>
        <n v="1010"/>
      </sharedItems>
    </cacheField>
    <cacheField name="new_product_id" numFmtId="0">
      <sharedItems count="365">
        <s v="1052-fnt"/>
        <s v="1093-fnt"/>
        <s v="1015-fd"/>
        <s v="1072-ctg"/>
        <s v="1061-etc"/>
        <s v="1021-fd"/>
        <s v="1083-fnt"/>
        <s v="1087-fnt"/>
        <s v="1075-fnt"/>
        <s v="1075-ctg"/>
        <s v="1088-fnt"/>
        <s v="1100-fd"/>
        <s v="1024-fd"/>
        <s v="1003-fnt"/>
        <s v="1022-fd"/>
        <s v="1053-fnt"/>
        <s v="1002-fnt"/>
        <s v="1088-etc"/>
        <s v="1030-ctg"/>
        <s v="1038-ctg"/>
        <s v="1002-etc"/>
        <s v="1064-etc"/>
        <s v="1060-ctg"/>
        <s v="1021-fnt"/>
        <s v="1033-fnt"/>
        <s v="1076-ctg"/>
        <s v="1058-fnt"/>
        <s v="1022-etc"/>
        <s v="1089-fnt"/>
        <s v="1049-fnt"/>
        <s v="1091-fd"/>
        <s v="1059-fd"/>
        <s v="1042-fd"/>
        <s v="1092-fnt"/>
        <s v="1080-etc"/>
        <s v="1015-fnt"/>
        <s v="1062-ctg"/>
        <s v="1062-fnt"/>
        <s v="1047-etc"/>
        <s v="1051-etc"/>
        <s v="1055-fnt"/>
        <s v="1007-fd"/>
        <s v="1073-fnt"/>
        <s v="1039-ctg"/>
        <s v="1018-ctg"/>
        <s v="1004-etc"/>
        <s v="1060-etc"/>
        <s v="1014-fd"/>
        <s v="1009-ctg"/>
        <s v="1090-etc"/>
        <s v="1053-etc"/>
        <s v="1002-ctg"/>
        <s v="1084-fnt"/>
        <s v="1092-etc"/>
        <s v="1071-fnt"/>
        <s v="1044-fd"/>
        <s v="1008-ctg"/>
        <s v="1035-fd"/>
        <s v="1078-fnt"/>
        <s v="1081-fnt"/>
        <s v="1036-ctg"/>
        <s v="1050-ctg"/>
        <s v="1004-ctg"/>
        <s v="1006-fd"/>
        <s v="1054-fnt"/>
        <s v="1093-etc"/>
        <s v="1063-fd"/>
        <s v="1090-ctg"/>
        <s v="1044-fnt"/>
        <s v="1034-ctg"/>
        <s v="1074-fd"/>
        <s v="1100-fnt"/>
        <s v="1095-etc"/>
        <s v="1048-fnt"/>
        <s v="1015-etc"/>
        <s v="1072-fd"/>
        <s v="1062-fd"/>
        <s v="1040-ctg"/>
        <s v="1085-fnt"/>
        <s v="1080-fnt"/>
        <s v="1082-etc"/>
        <s v="1053-ctg"/>
        <s v="1024-etc"/>
        <s v="1026-etc"/>
        <s v="1089-ctg"/>
        <s v="1041-fd"/>
        <s v="1029-ctg"/>
        <s v="1045-ctg"/>
        <s v="1065-fd"/>
        <s v="1089-fd"/>
        <s v="1071-fd"/>
        <s v="1088-ctg"/>
        <s v="1001-etc"/>
        <s v="1008-etc"/>
        <s v="1063-etc"/>
        <s v="1011-fnt"/>
        <s v="1081-fd"/>
        <s v="1035-ctg"/>
        <s v="1035-etc"/>
        <s v="1005-etc"/>
        <s v="1028-ctg"/>
        <s v="1007-fnt"/>
        <s v="1073-ctg"/>
        <s v="1012-fnt"/>
        <s v="1033-ctg"/>
        <s v="1048-etc"/>
        <s v="1023-ctg"/>
        <s v="1037-ctg"/>
        <s v="1099-fnt"/>
        <s v="1086-etc"/>
        <s v="1091-ctg"/>
        <s v="1065-fnt"/>
        <s v="1099-fd"/>
        <s v="1047-ctg"/>
        <s v="1003-etc"/>
        <s v="1005-ctg"/>
        <s v="1027-fd"/>
        <s v="1079-fnt"/>
        <s v="1077-ctg"/>
        <s v="1063-ctg"/>
        <s v="1096-etc"/>
        <s v="1052-fd"/>
        <s v="1096-ctg"/>
        <s v="1004-fd"/>
        <s v="1094-etc"/>
        <s v="1043-etc"/>
        <s v="1029-fd"/>
        <s v="1036-fnt"/>
        <s v="1013-etc"/>
        <s v="1032-etc"/>
        <s v="1071-etc"/>
        <s v="1059-ctg"/>
        <s v="1086-ctg"/>
        <s v="1066-fnt"/>
        <s v="1042-fnt"/>
        <s v="1045-etc"/>
        <s v="1057-fd"/>
        <s v="1006-etc"/>
        <s v="1028-etc"/>
        <s v="1028-fd"/>
        <s v="1044-etc"/>
        <s v="1092-fd"/>
        <s v="1062-etc"/>
        <s v="1097-etc"/>
        <s v="1001-fnt"/>
        <s v="1077-etc"/>
        <s v="1003-fd"/>
        <s v="1070-fnt"/>
        <s v="1072-fnt"/>
        <s v="1009-fnt"/>
        <s v="1037-fd"/>
        <s v="1051-ctg"/>
        <s v="1044-ctg"/>
        <s v="1024-fnt"/>
        <s v="1079-ctg"/>
        <s v="1059-etc"/>
        <s v="1032-ctg"/>
        <s v="1058-ctg"/>
        <s v="1012-fd"/>
        <s v="1039-fnt"/>
        <s v="1056-ctg"/>
        <s v="1081-etc"/>
        <s v="1002-fd"/>
        <s v="1092-ctg"/>
        <s v="1054-fd"/>
        <s v="1087-ctg"/>
        <s v="1097-fd"/>
        <s v="1001-fd"/>
        <s v="1019-fd"/>
        <s v="1090-fnt"/>
        <s v="1032-fd"/>
        <s v="1068-ctg"/>
        <s v="1075-fd"/>
        <s v="1056-fnt"/>
        <s v="1017-fd"/>
        <s v="1038-fd"/>
        <s v="1069-ctg"/>
        <s v="1098-fnt"/>
        <s v="1070-etc"/>
        <s v="1011-etc"/>
        <s v="1016-etc"/>
        <s v="1059-fnt"/>
        <s v="1070-ctg"/>
        <s v="1020-ctg"/>
        <s v="1019-ctg"/>
        <s v="1067-fd"/>
        <s v="1020-etc"/>
        <s v="1096-fnt"/>
        <s v="1071-ctg"/>
        <s v="1052-etc"/>
        <s v="1082-ctg"/>
        <s v="1001-ctg"/>
        <s v="1057-fnt"/>
        <s v="1050-fnt"/>
        <s v="1023-etc"/>
        <s v="1031-fd"/>
        <s v="1094-fd"/>
        <s v="1042-etc"/>
        <s v="1099-etc"/>
        <s v="1007-ctg"/>
        <s v="1016-ctg"/>
        <s v="1060-fnt"/>
        <s v="1012-ctg"/>
        <s v="1069-fnt"/>
        <s v="1009-fd"/>
        <s v="1048-ctg"/>
        <s v="1003-ctg"/>
        <s v="1020-fd"/>
        <s v="1024-ctg"/>
        <s v="1033-etc"/>
        <s v="1075-etc"/>
        <s v="1072-etc"/>
        <s v="1099-ctg"/>
        <s v="1025-fd"/>
        <s v="1018-etc"/>
        <s v="1082-fnt"/>
        <s v="1066-ctg"/>
        <s v="1035-fnt"/>
        <s v="1061-fd"/>
        <s v="1068-fd"/>
        <s v="1014-fnt"/>
        <s v="1048-fd"/>
        <s v="1067-etc"/>
        <s v="1017-fnt"/>
        <s v="1033-fd"/>
        <s v="1076-etc"/>
        <s v="1022-fnt"/>
        <s v="1051-fd"/>
        <s v="1054-ctg"/>
        <s v="1027-ctg"/>
        <s v="1098-fd"/>
        <s v="1030-etc"/>
        <s v="1097-ctg"/>
        <s v="1028-fnt"/>
        <s v="1064-ctg"/>
        <s v="1069-etc"/>
        <s v="1049-fd"/>
        <s v="1093-fd"/>
        <s v="1046-ctg"/>
        <s v="1006-fnt"/>
        <s v="1037-fnt"/>
        <s v="1095-ctg"/>
        <s v="1085-ctg"/>
        <s v="1025-etc"/>
        <s v="1058-fd"/>
        <s v="1046-fnt"/>
        <s v="1086-fd"/>
        <s v="1027-etc"/>
        <s v="1017-etc"/>
        <s v="1026-ctg"/>
        <s v="1013-ctg"/>
        <s v="1057-etc"/>
        <s v="1036-fd"/>
        <s v="1020-fnt"/>
        <s v="1016-fd"/>
        <s v="1014-etc"/>
        <s v="1076-fd"/>
        <s v="1087-etc"/>
        <s v="1015-ctg"/>
        <s v="1098-etc"/>
        <s v="1066-fd"/>
        <s v="1051-fnt"/>
        <s v="1025-ctg"/>
        <s v="1058-etc"/>
        <s v="1049-ctg"/>
        <s v="1054-etc"/>
        <s v="1097-fnt"/>
        <s v="1005-fd"/>
        <s v="1094-fnt"/>
        <s v="1047-fnt"/>
        <s v="1055-etc"/>
        <s v="1040-etc"/>
        <s v="1013-fnt"/>
        <s v="1030-fnt"/>
        <s v="1023-fd"/>
        <s v="1034-etc"/>
        <s v="1057-ctg"/>
        <s v="1029-etc"/>
        <s v="1078-fd"/>
        <s v="1016-fnt"/>
        <s v="1039-etc"/>
        <s v="1010-fnt"/>
        <s v="1069-fd"/>
        <s v="1100-etc"/>
        <s v="1034-fnt"/>
        <s v="1010-ctg"/>
        <s v="1019-etc"/>
        <s v="1091-etc"/>
        <s v="1084-fd"/>
        <s v="1061-ctg"/>
        <s v="1043-fd"/>
        <s v="1065-ctg"/>
        <s v="1040-fnt"/>
        <s v="1074-fnt"/>
        <s v="1043-ctg"/>
        <s v="1012-etc"/>
        <s v="1008-fnt"/>
        <s v="1034-fd"/>
        <s v="1029-fnt"/>
        <s v="1021-ctg"/>
        <s v="1010-fd"/>
        <s v="1073-fd"/>
        <s v="1096-fd"/>
        <s v="1037-etc"/>
        <s v="1055-ctg"/>
        <s v="1084-ctg"/>
        <s v="1049-etc"/>
        <s v="1019-fnt"/>
        <s v="1095-fd"/>
        <s v="1083-ctg"/>
        <s v="1052-ctg"/>
        <s v="1039-fd"/>
        <s v="1042-ctg"/>
        <s v="1018-fnt"/>
        <s v="1066-etc"/>
        <s v="1005-fnt"/>
        <s v="1038-fnt"/>
        <s v="1008-fd"/>
        <s v="1036-etc"/>
        <s v="1031-etc"/>
        <s v="1091-fnt"/>
        <s v="1067-fnt"/>
        <s v="1013-fd"/>
        <s v="1061-fnt"/>
        <s v="1063-fnt"/>
        <s v="1056-etc"/>
        <s v="1047-fd"/>
        <s v="1021-etc"/>
        <s v="1080-fd"/>
        <s v="1085-fd"/>
        <s v="1031-ctg"/>
        <s v="1087-fd"/>
        <s v="1041-etc"/>
        <s v="1064-fd"/>
        <s v="1077-fd"/>
        <s v="1006-ctg"/>
        <s v="1082-fd"/>
        <s v="1018-fd"/>
        <s v="1026-fd"/>
        <s v="1086-fnt"/>
        <s v="1081-ctg"/>
        <s v="1053-fd"/>
        <s v="1078-etc"/>
        <s v="1045-fnt"/>
        <s v="1065-etc"/>
        <s v="1023-fnt"/>
        <s v="1085-etc"/>
        <s v="1050-etc"/>
        <s v="1030-fd"/>
        <s v="1079-fd"/>
        <s v="1098-ctg"/>
        <s v="1088-fd"/>
        <s v="1004-fnt"/>
        <s v="1017-ctg"/>
        <s v="1095-fnt"/>
        <s v="1025-fnt"/>
        <s v="1093-ctg"/>
        <s v="1050-fd"/>
        <s v="1070-fd"/>
        <s v="1078-ctg"/>
        <s v="1045-fd"/>
        <s v="1027-fnt"/>
        <s v="1056-fd"/>
        <s v="1014-ctg"/>
        <s v="1067-ctg"/>
      </sharedItems>
    </cacheField>
    <cacheField name="Sale_Date" numFmtId="14">
      <sharedItems containsSemiMixedTypes="0" containsNonDate="0" containsDate="1" containsString="0" minDate="2023-01-01T00:00:00" maxDate="2024-01-02T00:00:00"/>
    </cacheField>
    <cacheField name="Sales_Rep" numFmtId="0">
      <sharedItems count="5">
        <s v="Bob"/>
        <s v="David"/>
        <s v="Charlie"/>
        <s v="Eve"/>
        <s v="Alice"/>
      </sharedItems>
    </cacheField>
    <cacheField name="Region" numFmtId="0">
      <sharedItems/>
    </cacheField>
    <cacheField name="Sales_Amount" numFmtId="0">
      <sharedItems containsSemiMixedTypes="0" containsString="0" containsNumber="1" minValue="100.12" maxValue="9989.0400000000009"/>
    </cacheField>
    <cacheField name="Quantity_Sold" numFmtId="0">
      <sharedItems containsSemiMixedTypes="0" containsString="0" containsNumber="1" containsInteger="1" minValue="1" maxValue="49"/>
    </cacheField>
    <cacheField name="Product_Category" numFmtId="0">
      <sharedItems count="4">
        <s v="Furniture"/>
        <s v="Food"/>
        <s v="Clothing"/>
        <s v="Electronics"/>
      </sharedItems>
    </cacheField>
    <cacheField name="Unit_Cost" numFmtId="0">
      <sharedItems containsSemiMixedTypes="0" containsString="0" containsNumber="1" minValue="60.28" maxValue="4995.3"/>
    </cacheField>
    <cacheField name="Unit_Price" numFmtId="0">
      <sharedItems containsSemiMixedTypes="0" containsString="0" containsNumber="1" minValue="167.12" maxValue="5442.15"/>
    </cacheField>
    <cacheField name="Customer_Type" numFmtId="0">
      <sharedItems/>
    </cacheField>
    <cacheField name="Discount" numFmtId="0">
      <sharedItems containsSemiMixedTypes="0" containsString="0" containsNumber="1" minValue="0" maxValue="0.3"/>
    </cacheField>
    <cacheField name="Payment_Method" numFmtId="0">
      <sharedItems/>
    </cacheField>
    <cacheField name="Sales_Channel" numFmtId="0">
      <sharedItems/>
    </cacheField>
    <cacheField name="Region_and_Sales_Rep"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Ofori Yeboah Moore" refreshedDate="45768.809504745368" createdVersion="8" refreshedVersion="8" minRefreshableVersion="3" recordCount="3203" xr:uid="{490CE5EF-B1F6-4643-84C2-4CC56FCCD4CF}">
  <cacheSource type="worksheet">
    <worksheetSource name="sales_data_1"/>
  </cacheSource>
  <cacheFields count="18">
    <cacheField name="Product_ID" numFmtId="0">
      <sharedItems containsSemiMixedTypes="0" containsString="0" containsNumber="1" containsInteger="1" minValue="1001" maxValue="1100"/>
    </cacheField>
    <cacheField name="new_product_id" numFmtId="0">
      <sharedItems count="800">
        <s v="fnt-1042"/>
        <s v="ctg-1092"/>
        <s v="etc-1063"/>
        <s v="fd-1027"/>
        <s v="etc-1053"/>
        <s v="fnt-1085"/>
        <s v="fnt-1038"/>
        <s v="fd-1025"/>
        <s v="fnt-1001"/>
        <s v="fd-1076"/>
        <s v="etc-1093"/>
        <s v="ctg-1085"/>
        <s v="etc-1007"/>
        <s v="etc-1037"/>
        <s v="fd-1091"/>
        <s v="fnt-1013"/>
        <s v="ctg-1099"/>
        <s v="ctg-1074"/>
        <s v="fnt-1062"/>
        <s v="fd-1075"/>
        <s v="etc-1094"/>
        <s v="etc-1078"/>
        <s v="etc-1079"/>
        <s v="ctg-1086"/>
        <s v="ctg-1041"/>
        <s v="ctg-1088"/>
        <s v="fd-1089"/>
        <s v="fnt-1096"/>
        <s v="fnt-1075"/>
        <s v="fnt-1010"/>
        <s v="fd-1098"/>
        <s v="fnt-1050"/>
        <s v="fd-1019"/>
        <s v="ctg-1063"/>
        <s v="etc-1085"/>
        <s v="fnt-1077"/>
        <s v="etc-1091"/>
        <s v="ctg-1090"/>
        <s v="etc-1021"/>
        <s v="fd-1009"/>
        <s v="ctg-1095"/>
        <s v="ctg-1057"/>
        <s v="ctg-1097"/>
        <s v="fd-1005"/>
        <s v="ctg-1050"/>
        <s v="ctg-1040"/>
        <s v="fnt-1097"/>
        <s v="fd-1073"/>
        <s v="fd-1020"/>
        <s v="etc-1080"/>
        <s v="ctg-1026"/>
        <s v="fnt-1094"/>
        <s v="ctg-1052"/>
        <s v="fnt-1002"/>
        <s v="fnt-1025"/>
        <s v="fd-1090"/>
        <s v="etc-1070"/>
        <s v="ctg-1081"/>
        <s v="fd-1042"/>
        <s v="ctg-1024"/>
        <s v="ctg-1091"/>
        <s v="fd-1084"/>
        <s v="fnt-1070"/>
        <s v="ctg-1019"/>
        <s v="ctg-1084"/>
        <s v="fd-1010"/>
        <s v="fd-1003"/>
        <s v="fnt-1079"/>
        <s v="etc-1020"/>
        <s v="fd-1044"/>
        <s v="fd-1006"/>
        <s v="etc-1065"/>
        <s v="ctg-1043"/>
        <s v="fd-1040"/>
        <s v="fd-1035"/>
        <s v="fnt-1017"/>
        <s v="fnt-1035"/>
        <s v="etc-1055"/>
        <s v="ctg-1068"/>
        <s v="fd-1022"/>
        <s v="etc-1074"/>
        <s v="ctg-1006"/>
        <s v="fd-1086"/>
        <s v="fnt-1088"/>
        <s v="ctg-1062"/>
        <s v="etc-1081"/>
        <s v="etc-1052"/>
        <s v="fnt-1086"/>
        <s v="fd-1064"/>
        <s v="fd-1047"/>
        <s v="etc-1012"/>
        <s v="fnt-1015"/>
        <s v="fnt-1036"/>
        <s v="fnt-1037"/>
        <s v="etc-1095"/>
        <s v="ctg-1008"/>
        <s v="etc-1088"/>
        <s v="etc-1036"/>
        <s v="fnt-1014"/>
        <s v="fnt-1033"/>
        <s v="fd-1083"/>
        <s v="ctg-1056"/>
        <s v="etc-1004"/>
        <s v="fnt-1084"/>
        <s v="fnt-1003"/>
        <s v="fnt-1039"/>
        <s v="etc-1098"/>
        <s v="fnt-1074"/>
        <s v="fd-1077"/>
        <s v="etc-1062"/>
        <s v="fnt-1021"/>
        <s v="fnt-1089"/>
        <s v="etc-1082"/>
        <s v="etc-1039"/>
        <s v="etc-1049"/>
        <s v="ctg-1013"/>
        <s v="fnt-1022"/>
        <s v="fd-1039"/>
        <s v="fd-1051"/>
        <s v="etc-1067"/>
        <s v="ctg-1035"/>
        <s v="ctg-1045"/>
        <s v="fnt-1099"/>
        <s v="etc-1084"/>
        <s v="etc-1073"/>
        <s v="fd-1014"/>
        <s v="ctg-1064"/>
        <s v="ctg-1098"/>
        <s v="fnt-1008"/>
        <s v="ctg-1076"/>
        <s v="etc-1014"/>
        <s v="fnt-1083"/>
        <s v="etc-1010"/>
        <s v="fnt-1012"/>
        <s v="fnt-1023"/>
        <s v="fd-1031"/>
        <s v="fnt-1056"/>
        <s v="etc-1047"/>
        <s v="etc-1042"/>
        <s v="fd-1034"/>
        <s v="fd-1024"/>
        <s v="etc-1059"/>
        <s v="etc-1076"/>
        <s v="fnt-1041"/>
        <s v="fd-1015"/>
        <s v="etc-1056"/>
        <s v="ctg-1029"/>
        <s v="ctg-1015"/>
        <s v="fnt-1032"/>
        <s v="ctg-1075"/>
        <s v="ctg-1046"/>
        <s v="fd-1032"/>
        <s v="fd-1029"/>
        <s v="fnt-1071"/>
        <s v="ctg-1100"/>
        <s v="ctg-1025"/>
        <s v="fd-1088"/>
        <s v="ctg-1049"/>
        <s v="fd-1074"/>
        <s v="etc-1090"/>
        <s v="ctg-1066"/>
        <s v="fnt-1093"/>
        <s v="etc-1008"/>
        <s v="etc-1071"/>
        <s v="etc-1068"/>
        <s v="ctg-1010"/>
        <s v="fd-1038"/>
        <s v="ctg-1017"/>
        <s v="fd-1099"/>
        <s v="fnt-1040"/>
        <s v="etc-1075"/>
        <s v="fd-1028"/>
        <s v="etc-1077"/>
        <s v="fd-1008"/>
        <s v="etc-1097"/>
        <s v="fd-1041"/>
        <s v="ctg-1021"/>
        <s v="fnt-1019"/>
        <s v="etc-1061"/>
        <s v="ctg-1096"/>
        <s v="ctg-1093"/>
        <s v="fnt-1034"/>
        <s v="etc-1027"/>
        <s v="fnt-1082"/>
        <s v="fd-1069"/>
        <s v="ctg-1034"/>
        <s v="ctg-1071"/>
        <s v="ctg-1014"/>
        <s v="etc-1058"/>
        <s v="fd-1013"/>
        <s v="fnt-1065"/>
        <s v="ctg-1067"/>
        <s v="ctg-1007"/>
        <s v="etc-1016"/>
        <s v="etc-1087"/>
        <s v="fd-1030"/>
        <s v="fd-1096"/>
        <s v="fnt-1026"/>
        <s v="etc-1100"/>
        <s v="fnt-1031"/>
        <s v="etc-1064"/>
        <s v="fnt-1061"/>
        <s v="fd-1033"/>
        <s v="fnt-1029"/>
        <s v="fd-1049"/>
        <s v="fnt-1007"/>
        <s v="etc-1029"/>
        <s v="fnt-1024"/>
        <s v="fnt-1057"/>
        <s v="fnt-1044"/>
        <s v="ctg-1069"/>
        <s v="fnt-1004"/>
        <s v="fd-1001"/>
        <s v="fnt-1051"/>
        <s v="etc-1089"/>
        <s v="etc-1019"/>
        <s v="etc-1057"/>
        <s v="fnt-1078"/>
        <s v="ctg-1005"/>
        <s v="ctg-1018"/>
        <s v="ctg-1033"/>
        <s v="fd-1007"/>
        <s v="fd-1058"/>
        <s v="ctg-1011"/>
        <s v="etc-1031"/>
        <s v="ctg-1038"/>
        <s v="fnt-1027"/>
        <s v="etc-1083"/>
        <s v="etc-1050"/>
        <s v="fnt-1059"/>
        <s v="fd-1094"/>
        <s v="etc-1013"/>
        <s v="fd-1057"/>
        <s v="ctg-1053"/>
        <s v="fd-1085"/>
        <s v="ctg-1020"/>
        <s v="etc-1011"/>
        <s v="fd-1011"/>
        <s v="fd-1071"/>
        <s v="fd-1045"/>
        <s v="fd-1080"/>
        <s v="ctg-1044"/>
        <s v="ctg-1036"/>
        <s v="etc-1009"/>
        <s v="fd-1079"/>
        <s v="etc-1060"/>
        <s v="fnt-1081"/>
        <s v="fnt-1064"/>
        <s v="etc-1022"/>
        <s v="fd-1072"/>
        <s v="fd-1081"/>
        <s v="fd-1054"/>
        <s v="ctg-1054"/>
        <s v="etc-1005"/>
        <s v="fd-1050"/>
        <s v="etc-1038"/>
        <s v="etc-1034"/>
        <s v="etc-1072"/>
        <s v="fd-1087"/>
        <s v="fnt-1016"/>
        <s v="ctg-1004"/>
        <s v="etc-1046"/>
        <s v="ctg-1002"/>
        <s v="fnt-1046"/>
        <s v="ctg-1073"/>
        <s v="fnt-1053"/>
        <s v="etc-1045"/>
        <s v="fnt-1067"/>
        <s v="fd-1078"/>
        <s v="ctg-1027"/>
        <s v="ctg-1016"/>
        <s v="ctg-1079"/>
        <s v="fnt-1045"/>
        <s v="etc-1043"/>
        <s v="fd-1043"/>
        <s v="etc-1015"/>
        <s v="fnt-1009"/>
        <s v="ctg-1039"/>
        <s v="ctg-1077"/>
        <s v="fnt-1073"/>
        <s v="fnt-1048"/>
        <s v="etc-1051"/>
        <s v="fd-1062"/>
        <s v="ctg-1082"/>
        <s v="etc-1033"/>
        <s v="fnt-1095"/>
        <s v="fd-1046"/>
        <s v="fnt-1047"/>
        <s v="etc-1099"/>
        <s v="ctg-1058"/>
        <s v="etc-1024"/>
        <s v="fd-1063"/>
        <s v="ctg-1001"/>
        <s v="fd-1026"/>
        <s v="ctg-1048"/>
        <s v="ctg-1028"/>
        <s v="fd-1012"/>
        <s v="fnt-1049"/>
        <s v="fnt-1090"/>
        <s v="fnt-1006"/>
        <s v="fnt-1005"/>
        <s v="fd-1036"/>
        <s v="etc-1069"/>
        <s v="etc-1018"/>
        <s v="fd-1060"/>
        <s v="fd-1016"/>
        <s v="fd-1097"/>
        <s v="fnt-1068"/>
        <s v="ctg-1078"/>
        <s v="fd-1053"/>
        <s v="fd-1065"/>
        <s v="ctg-1032"/>
        <s v="fd-1055"/>
        <s v="fnt-1092"/>
        <s v="etc-1026"/>
        <s v="etc-1001"/>
        <s v="fnt-1091"/>
        <s v="ctg-1003"/>
        <s v="ctg-1070"/>
        <s v="fd-1093"/>
        <s v="fnt-1018"/>
        <s v="fnt-1076"/>
        <s v="ctg-1080"/>
        <s v="fd-1095"/>
        <s v="etc-1092"/>
        <s v="fnt-1072"/>
        <s v="fnt-1098"/>
        <s v="ctg-1051"/>
        <s v="ctg-1087"/>
        <s v="ctg-1059"/>
        <s v="fd-1017"/>
        <s v="fd-1067"/>
        <s v="etc-1028"/>
        <s v="fnt-1052"/>
        <s v="fd-1004"/>
        <s v="etc-1002"/>
        <s v="ctg-1094"/>
        <s v="fnt-1069"/>
        <s v="etc-1086"/>
        <s v="etc-1096"/>
        <s v="etc-1030"/>
        <s v="fnt-1020"/>
        <s v="fnt-1054"/>
        <s v="fd-1100"/>
        <s v="etc-1040"/>
        <s v="fnt-1058"/>
        <s v="fd-1066"/>
        <s v="etc-1006"/>
        <s v="ctg-1089"/>
        <s v="fnt-1080"/>
        <s v="fnt-1100"/>
        <s v="etc-1054"/>
        <s v="ctg-1072"/>
        <s v="fd-1056"/>
        <s v="etc-1048"/>
        <s v="ctg-1009"/>
        <s v="ctg-1022"/>
        <s v="etc-1044"/>
        <s v="fd-1070"/>
        <s v="ctg-1031"/>
        <s v="fd-1082"/>
        <s v="etc-1023"/>
        <s v="etc-1066"/>
        <s v="fd-1061"/>
        <s v="fd-1048"/>
        <s v="ctg-1037"/>
        <s v="ctg-1060"/>
        <s v="etc-1003"/>
        <s v="fd-1002"/>
        <s v="fnt-1060"/>
        <s v="fd-1092"/>
        <s v="ctg-1030"/>
        <s v="fnt-1087"/>
        <s v="ctg-1023"/>
        <s v="ctg-1065"/>
        <s v="fd-1037"/>
        <s v="etc-1017"/>
        <s v="ctg-1083"/>
        <s v="fd-1018"/>
        <s v="fnt-1030"/>
        <s v="fd-1021"/>
        <s v="etc-1025"/>
        <s v="etc-1041"/>
        <s v="fd-1023"/>
        <s v="etc-1035"/>
        <s v="ctg-1061"/>
        <s v="etc-1032"/>
        <s v="fnt-1011"/>
        <s v="fd-1059"/>
        <s v="ctg-1047"/>
        <s v="fd-1052"/>
        <s v="fnt-1055"/>
        <s v="fnt-1028"/>
        <s v="ctg-1012"/>
        <s v="fnt-1066"/>
        <s v="ctg-1055"/>
        <s v="fd-1068"/>
        <s v="ctg-1042"/>
        <s v="fnt-1063"/>
        <s v="fnt-1043"/>
        <s v="1042-fnt" u="1"/>
        <s v="1092-ctg" u="1"/>
        <s v="1063-etc" u="1"/>
        <s v="1027-fd" u="1"/>
        <s v="1053-etc" u="1"/>
        <s v="1085-fnt" u="1"/>
        <s v="1038-fnt" u="1"/>
        <s v="1025-fd" u="1"/>
        <s v="1001-fnt" u="1"/>
        <s v="1076-fd" u="1"/>
        <s v="1093-etc" u="1"/>
        <s v="1085-ctg" u="1"/>
        <s v="1007-etc" u="1"/>
        <s v="1037-etc" u="1"/>
        <s v="1091-fd" u="1"/>
        <s v="1013-fnt" u="1"/>
        <s v="1099-ctg" u="1"/>
        <s v="1074-ctg" u="1"/>
        <s v="1062-fnt" u="1"/>
        <s v="1075-fd" u="1"/>
        <s v="1094-etc" u="1"/>
        <s v="1078-etc" u="1"/>
        <s v="1079-etc" u="1"/>
        <s v="1086-ctg" u="1"/>
        <s v="1041-ctg" u="1"/>
        <s v="1088-ctg" u="1"/>
        <s v="1089-fd" u="1"/>
        <s v="1096-fnt" u="1"/>
        <s v="1075-fnt" u="1"/>
        <s v="1010-fnt" u="1"/>
        <s v="1098-fd" u="1"/>
        <s v="1050-fnt" u="1"/>
        <s v="1019-fd" u="1"/>
        <s v="1063-ctg" u="1"/>
        <s v="1085-etc" u="1"/>
        <s v="1077-fnt" u="1"/>
        <s v="1091-etc" u="1"/>
        <s v="1090-ctg" u="1"/>
        <s v="1021-etc" u="1"/>
        <s v="1009-fd" u="1"/>
        <s v="1095-ctg" u="1"/>
        <s v="1057-ctg" u="1"/>
        <s v="1097-ctg" u="1"/>
        <s v="1005-fd" u="1"/>
        <s v="1050-ctg" u="1"/>
        <s v="1040-ctg" u="1"/>
        <s v="1097-fnt" u="1"/>
        <s v="1073-fd" u="1"/>
        <s v="1020-fd" u="1"/>
        <s v="1080-etc" u="1"/>
        <s v="1026-ctg" u="1"/>
        <s v="1094-fnt" u="1"/>
        <s v="1052-ctg" u="1"/>
        <s v="1002-fnt" u="1"/>
        <s v="1025-fnt" u="1"/>
        <s v="1090-fd" u="1"/>
        <s v="1070-etc" u="1"/>
        <s v="1081-ctg" u="1"/>
        <s v="1042-fd" u="1"/>
        <s v="1024-ctg" u="1"/>
        <s v="1091-ctg" u="1"/>
        <s v="1084-fd" u="1"/>
        <s v="1070-fnt" u="1"/>
        <s v="1019-ctg" u="1"/>
        <s v="1084-ctg" u="1"/>
        <s v="1010-fd" u="1"/>
        <s v="1003-fd" u="1"/>
        <s v="1079-fnt" u="1"/>
        <s v="1020-etc" u="1"/>
        <s v="1044-fd" u="1"/>
        <s v="1006-fd" u="1"/>
        <s v="1065-etc" u="1"/>
        <s v="1043-ctg" u="1"/>
        <s v="1040-fd" u="1"/>
        <s v="1035-fd" u="1"/>
        <s v="1017-fnt" u="1"/>
        <s v="1035-fnt" u="1"/>
        <s v="1055-etc" u="1"/>
        <s v="1068-ctg" u="1"/>
        <s v="1022-fd" u="1"/>
        <s v="1074-etc" u="1"/>
        <s v="1006-ctg" u="1"/>
        <s v="1086-fd" u="1"/>
        <s v="1088-fnt" u="1"/>
        <s v="1062-ctg" u="1"/>
        <s v="1081-etc" u="1"/>
        <s v="1052-etc" u="1"/>
        <s v="1086-fnt" u="1"/>
        <s v="1064-fd" u="1"/>
        <s v="1047-fd" u="1"/>
        <s v="1012-etc" u="1"/>
        <s v="1015-fnt" u="1"/>
        <s v="1036-fnt" u="1"/>
        <s v="1037-fnt" u="1"/>
        <s v="1095-etc" u="1"/>
        <s v="1008-ctg" u="1"/>
        <s v="1088-etc" u="1"/>
        <s v="1036-etc" u="1"/>
        <s v="1014-fnt" u="1"/>
        <s v="1033-fnt" u="1"/>
        <s v="1083-fd" u="1"/>
        <s v="1056-ctg" u="1"/>
        <s v="1004-etc" u="1"/>
        <s v="1084-fnt" u="1"/>
        <s v="1003-fnt" u="1"/>
        <s v="1039-fnt" u="1"/>
        <s v="1098-etc" u="1"/>
        <s v="1074-fnt" u="1"/>
        <s v="1077-fd" u="1"/>
        <s v="1062-etc" u="1"/>
        <s v="1021-fnt" u="1"/>
        <s v="1089-fnt" u="1"/>
        <s v="1082-etc" u="1"/>
        <s v="1039-etc" u="1"/>
        <s v="1049-etc" u="1"/>
        <s v="1013-ctg" u="1"/>
        <s v="1022-fnt" u="1"/>
        <s v="1039-fd" u="1"/>
        <s v="1051-fd" u="1"/>
        <s v="1067-etc" u="1"/>
        <s v="1035-ctg" u="1"/>
        <s v="1045-ctg" u="1"/>
        <s v="1099-fnt" u="1"/>
        <s v="1084-etc" u="1"/>
        <s v="1073-etc" u="1"/>
        <s v="1014-fd" u="1"/>
        <s v="1064-ctg" u="1"/>
        <s v="1098-ctg" u="1"/>
        <s v="1008-fnt" u="1"/>
        <s v="1076-ctg" u="1"/>
        <s v="1014-etc" u="1"/>
        <s v="1083-fnt" u="1"/>
        <s v="1010-etc" u="1"/>
        <s v="1012-fnt" u="1"/>
        <s v="1023-fnt" u="1"/>
        <s v="1031-fd" u="1"/>
        <s v="1056-fnt" u="1"/>
        <s v="1047-etc" u="1"/>
        <s v="1042-etc" u="1"/>
        <s v="1034-fd" u="1"/>
        <s v="1024-fd" u="1"/>
        <s v="1059-etc" u="1"/>
        <s v="1076-etc" u="1"/>
        <s v="1041-fnt" u="1"/>
        <s v="1015-fd" u="1"/>
        <s v="1056-etc" u="1"/>
        <s v="1029-ctg" u="1"/>
        <s v="1015-ctg" u="1"/>
        <s v="1032-fnt" u="1"/>
        <s v="1075-ctg" u="1"/>
        <s v="1046-ctg" u="1"/>
        <s v="1032-fd" u="1"/>
        <s v="1029-fd" u="1"/>
        <s v="1071-fnt" u="1"/>
        <s v="1100-ctg" u="1"/>
        <s v="1025-ctg" u="1"/>
        <s v="1088-fd" u="1"/>
        <s v="1049-ctg" u="1"/>
        <s v="1074-fd" u="1"/>
        <s v="1090-etc" u="1"/>
        <s v="1066-ctg" u="1"/>
        <s v="1093-fnt" u="1"/>
        <s v="1008-etc" u="1"/>
        <s v="1071-etc" u="1"/>
        <s v="1068-etc" u="1"/>
        <s v="1010-ctg" u="1"/>
        <s v="1038-fd" u="1"/>
        <s v="1017-ctg" u="1"/>
        <s v="1099-fd" u="1"/>
        <s v="1040-fnt" u="1"/>
        <s v="1075-etc" u="1"/>
        <s v="1028-fd" u="1"/>
        <s v="1077-etc" u="1"/>
        <s v="1008-fd" u="1"/>
        <s v="1097-etc" u="1"/>
        <s v="1041-fd" u="1"/>
        <s v="1021-ctg" u="1"/>
        <s v="1019-fnt" u="1"/>
        <s v="1061-etc" u="1"/>
        <s v="1096-ctg" u="1"/>
        <s v="1093-ctg" u="1"/>
        <s v="1034-fnt" u="1"/>
        <s v="1027-etc" u="1"/>
        <s v="1082-fnt" u="1"/>
        <s v="1069-fd" u="1"/>
        <s v="1034-ctg" u="1"/>
        <s v="1071-ctg" u="1"/>
        <s v="1014-ctg" u="1"/>
        <s v="1058-etc" u="1"/>
        <s v="1013-fd" u="1"/>
        <s v="1065-fnt" u="1"/>
        <s v="1067-ctg" u="1"/>
        <s v="1007-ctg" u="1"/>
        <s v="1016-etc" u="1"/>
        <s v="1087-etc" u="1"/>
        <s v="1030-fd" u="1"/>
        <s v="1096-fd" u="1"/>
        <s v="1026-fnt" u="1"/>
        <s v="1100-etc" u="1"/>
        <s v="1031-fnt" u="1"/>
        <s v="1064-etc" u="1"/>
        <s v="1061-fnt" u="1"/>
        <s v="1033-fd" u="1"/>
        <s v="1029-fnt" u="1"/>
        <s v="1049-fd" u="1"/>
        <s v="1007-fnt" u="1"/>
        <s v="1029-etc" u="1"/>
        <s v="1024-fnt" u="1"/>
        <s v="1057-fnt" u="1"/>
        <s v="1044-fnt" u="1"/>
        <s v="1069-ctg" u="1"/>
        <s v="1004-fnt" u="1"/>
        <s v="1001-fd" u="1"/>
        <s v="1051-fnt" u="1"/>
        <s v="1089-etc" u="1"/>
        <s v="1019-etc" u="1"/>
        <s v="1057-etc" u="1"/>
        <s v="1078-fnt" u="1"/>
        <s v="1005-ctg" u="1"/>
        <s v="1018-ctg" u="1"/>
        <s v="1033-ctg" u="1"/>
        <s v="1007-fd" u="1"/>
        <s v="1058-fd" u="1"/>
        <s v="1011-ctg" u="1"/>
        <s v="1031-etc" u="1"/>
        <s v="1038-ctg" u="1"/>
        <s v="1027-fnt" u="1"/>
        <s v="1083-etc" u="1"/>
        <s v="1050-etc" u="1"/>
        <s v="1059-fnt" u="1"/>
        <s v="1094-fd" u="1"/>
        <s v="1013-etc" u="1"/>
        <s v="1057-fd" u="1"/>
        <s v="1053-ctg" u="1"/>
        <s v="1085-fd" u="1"/>
        <s v="1020-ctg" u="1"/>
        <s v="1011-etc" u="1"/>
        <s v="1011-fd" u="1"/>
        <s v="1071-fd" u="1"/>
        <s v="1045-fd" u="1"/>
        <s v="1080-fd" u="1"/>
        <s v="1044-ctg" u="1"/>
        <s v="1036-ctg" u="1"/>
        <s v="1009-etc" u="1"/>
        <s v="1079-fd" u="1"/>
        <s v="1060-etc" u="1"/>
        <s v="1081-fnt" u="1"/>
        <s v="1064-fnt" u="1"/>
        <s v="1022-etc" u="1"/>
        <s v="1072-fd" u="1"/>
        <s v="1081-fd" u="1"/>
        <s v="1054-fd" u="1"/>
        <s v="1054-ctg" u="1"/>
        <s v="1005-etc" u="1"/>
        <s v="1050-fd" u="1"/>
        <s v="1038-etc" u="1"/>
        <s v="1034-etc" u="1"/>
        <s v="1072-etc" u="1"/>
        <s v="1087-fd" u="1"/>
        <s v="1016-fnt" u="1"/>
        <s v="1004-ctg" u="1"/>
        <s v="1046-etc" u="1"/>
        <s v="1002-ctg" u="1"/>
        <s v="1046-fnt" u="1"/>
        <s v="1073-ctg" u="1"/>
        <s v="1053-fnt" u="1"/>
        <s v="1045-etc" u="1"/>
        <s v="1067-fnt" u="1"/>
        <s v="1078-fd" u="1"/>
        <s v="1027-ctg" u="1"/>
        <s v="1016-ctg" u="1"/>
        <s v="1079-ctg" u="1"/>
        <s v="1045-fnt" u="1"/>
        <s v="1043-etc" u="1"/>
        <s v="1043-fd" u="1"/>
        <s v="1015-etc" u="1"/>
        <s v="1009-fnt" u="1"/>
        <s v="1039-ctg" u="1"/>
        <s v="1077-ctg" u="1"/>
        <s v="1073-fnt" u="1"/>
        <s v="1048-fnt" u="1"/>
        <s v="1051-etc" u="1"/>
        <s v="1062-fd" u="1"/>
        <s v="1082-ctg" u="1"/>
        <s v="1033-etc" u="1"/>
        <s v="1095-fnt" u="1"/>
        <s v="1046-fd" u="1"/>
        <s v="1047-fnt" u="1"/>
        <s v="1099-etc" u="1"/>
        <s v="1058-ctg" u="1"/>
        <s v="1024-etc" u="1"/>
        <s v="1063-fd" u="1"/>
        <s v="1001-ctg" u="1"/>
        <s v="1026-fd" u="1"/>
        <s v="1048-ctg" u="1"/>
        <s v="1028-ctg" u="1"/>
        <s v="1012-fd" u="1"/>
        <s v="1049-fnt" u="1"/>
        <s v="1090-fnt" u="1"/>
        <s v="1006-fnt" u="1"/>
        <s v="1005-fnt" u="1"/>
        <s v="1036-fd" u="1"/>
        <s v="1069-etc" u="1"/>
        <s v="1018-etc" u="1"/>
        <s v="1060-fd" u="1"/>
        <s v="1016-fd" u="1"/>
        <s v="1097-fd" u="1"/>
        <s v="1068-fnt" u="1"/>
        <s v="1078-ctg" u="1"/>
        <s v="1053-fd" u="1"/>
        <s v="1065-fd" u="1"/>
        <s v="1032-ctg" u="1"/>
        <s v="1055-fd" u="1"/>
        <s v="1092-fnt" u="1"/>
        <s v="1026-etc" u="1"/>
        <s v="1001-etc" u="1"/>
        <s v="1091-fnt" u="1"/>
        <s v="1003-ctg" u="1"/>
        <s v="1070-ctg" u="1"/>
        <s v="1093-fd" u="1"/>
        <s v="1018-fnt" u="1"/>
        <s v="1076-fnt" u="1"/>
        <s v="1080-ctg" u="1"/>
        <s v="1095-fd" u="1"/>
        <s v="1092-etc" u="1"/>
        <s v="1072-fnt" u="1"/>
        <s v="1098-fnt" u="1"/>
        <s v="1051-ctg" u="1"/>
        <s v="1087-ctg" u="1"/>
        <s v="1059-ctg" u="1"/>
        <s v="1017-fd" u="1"/>
        <s v="1067-fd" u="1"/>
        <s v="1028-etc" u="1"/>
        <s v="1052-fnt" u="1"/>
        <s v="1004-fd" u="1"/>
        <s v="1002-etc" u="1"/>
        <s v="1094-ctg" u="1"/>
        <s v="1069-fnt" u="1"/>
        <s v="1086-etc" u="1"/>
        <s v="1096-etc" u="1"/>
        <s v="1030-etc" u="1"/>
        <s v="1020-fnt" u="1"/>
        <s v="1054-fnt" u="1"/>
        <s v="1100-fd" u="1"/>
        <s v="1040-etc" u="1"/>
        <s v="1058-fnt" u="1"/>
        <s v="1066-fd" u="1"/>
        <s v="1006-etc" u="1"/>
        <s v="1089-ctg" u="1"/>
        <s v="1080-fnt" u="1"/>
        <s v="1100-fnt" u="1"/>
        <s v="1054-etc" u="1"/>
        <s v="1072-ctg" u="1"/>
        <s v="1056-fd" u="1"/>
        <s v="1048-etc" u="1"/>
        <s v="1009-ctg" u="1"/>
        <s v="1022-ctg" u="1"/>
        <s v="1044-etc" u="1"/>
        <s v="1070-fd" u="1"/>
        <s v="1031-ctg" u="1"/>
        <s v="1082-fd" u="1"/>
        <s v="1023-etc" u="1"/>
        <s v="1066-etc" u="1"/>
        <s v="1061-fd" u="1"/>
        <s v="1048-fd" u="1"/>
        <s v="1037-ctg" u="1"/>
        <s v="1060-ctg" u="1"/>
        <s v="1003-etc" u="1"/>
        <s v="1002-fd" u="1"/>
        <s v="1060-fnt" u="1"/>
        <s v="1092-fd" u="1"/>
        <s v="1030-ctg" u="1"/>
        <s v="1087-fnt" u="1"/>
        <s v="1023-ctg" u="1"/>
        <s v="1065-ctg" u="1"/>
        <s v="1037-fd" u="1"/>
        <s v="1017-etc" u="1"/>
        <s v="1083-ctg" u="1"/>
        <s v="1018-fd" u="1"/>
        <s v="1030-fnt" u="1"/>
        <s v="1021-fd" u="1"/>
        <s v="1025-etc" u="1"/>
        <s v="1041-etc" u="1"/>
        <s v="1023-fd" u="1"/>
        <s v="1035-etc" u="1"/>
        <s v="1061-ctg" u="1"/>
        <s v="1032-etc" u="1"/>
        <s v="1011-fnt" u="1"/>
        <s v="1059-fd" u="1"/>
        <s v="1047-ctg" u="1"/>
        <s v="1052-fd" u="1"/>
        <s v="1055-fnt" u="1"/>
        <s v="1028-fnt" u="1"/>
        <s v="1012-ctg" u="1"/>
        <s v="1066-fnt" u="1"/>
        <s v="1055-ctg" u="1"/>
        <s v="1068-fd" u="1"/>
        <s v="1042-ctg" u="1"/>
        <s v="1063-fnt" u="1"/>
        <s v="1043-fnt" u="1"/>
      </sharedItems>
    </cacheField>
    <cacheField name="Sale_Date" numFmtId="14">
      <sharedItems containsSemiMixedTypes="0" containsNonDate="0" containsDate="1" containsString="0" minDate="2022-01-01T00:00:00" maxDate="2025-01-01T00:00:00"/>
    </cacheField>
    <cacheField name="Year" numFmtId="0">
      <sharedItems containsSemiMixedTypes="0" containsString="0" containsNumber="1" containsInteger="1" minValue="2022" maxValue="2024" count="3">
        <n v="2022"/>
        <n v="2023"/>
        <n v="2024"/>
      </sharedItems>
    </cacheField>
    <cacheField name="month" numFmtId="49">
      <sharedItems/>
    </cacheField>
    <cacheField name="Sales_Rep" numFmtId="49">
      <sharedItems count="5">
        <s v="Eve"/>
        <s v="Charlie"/>
        <s v="Bob"/>
        <s v="Alice"/>
        <s v="David"/>
      </sharedItems>
    </cacheField>
    <cacheField name="Region" numFmtId="49">
      <sharedItems count="4">
        <s v="South"/>
        <s v="East"/>
        <s v="West"/>
        <s v="North"/>
      </sharedItems>
    </cacheField>
    <cacheField name="Sales_Amount" numFmtId="44">
      <sharedItems containsSemiMixedTypes="0" containsString="0" containsNumber="1" minValue="208.54516960520419" maxValue="260345.75999999998"/>
    </cacheField>
    <cacheField name="Quantity_Sold" numFmtId="1">
      <sharedItems containsSemiMixedTypes="0" containsString="0" containsNumber="1" containsInteger="1" minValue="1" maxValue="50"/>
    </cacheField>
    <cacheField name="Product_Category" numFmtId="49">
      <sharedItems count="4">
        <s v="Furniture"/>
        <s v="Clothing"/>
        <s v="Electronics"/>
        <s v="Food"/>
      </sharedItems>
    </cacheField>
    <cacheField name="Unit_Cost" numFmtId="44">
      <sharedItems containsSemiMixedTypes="0" containsString="0" containsNumber="1" minValue="60.28" maxValue="4995.3"/>
    </cacheField>
    <cacheField name="Unit_Price" numFmtId="44">
      <sharedItems containsSemiMixedTypes="0" containsString="0" containsNumber="1" minValue="167.12" maxValue="5498.55"/>
    </cacheField>
    <cacheField name="Profit_Margin" numFmtId="44">
      <sharedItems containsSemiMixedTypes="0" containsString="0" containsNumber="1" minValue="-617.77239999999074" maxValue="225595.75999999998"/>
    </cacheField>
    <cacheField name="Customer_Type" numFmtId="49">
      <sharedItems/>
    </cacheField>
    <cacheField name="Discount" numFmtId="9">
      <sharedItems containsSemiMixedTypes="0" containsString="0" containsNumber="1" minValue="0" maxValue="0.3"/>
    </cacheField>
    <cacheField name="Payment_Method" numFmtId="49">
      <sharedItems/>
    </cacheField>
    <cacheField name="Sales_Channel" numFmtId="49">
      <sharedItems/>
    </cacheField>
    <cacheField name="Region_and_Sales_Rep" numFmtId="0">
      <sharedItems count="40">
        <s v="Eve-South"/>
        <s v="Charlie-East"/>
        <s v="Eve-West"/>
        <s v="Bob-North"/>
        <s v="Alice-North"/>
        <s v="Eve-North"/>
        <s v="David-East"/>
        <s v="Charlie-North"/>
        <s v="Bob-East"/>
        <s v="Alice-West"/>
        <s v="Charlie-South"/>
        <s v="Alice-South"/>
        <s v="David-North"/>
        <s v="David-South"/>
        <s v="Bob-West"/>
        <s v="Charlie-West"/>
        <s v="Alice-East"/>
        <s v="David-West"/>
        <s v="Bob-South"/>
        <s v="Eve-East"/>
        <s v="South-Eve" u="1"/>
        <s v="East-Charlie" u="1"/>
        <s v="West-Eve" u="1"/>
        <s v="North-Bob" u="1"/>
        <s v="North-Alice" u="1"/>
        <s v="North-Eve" u="1"/>
        <s v="East-David" u="1"/>
        <s v="North-Charlie" u="1"/>
        <s v="East-Bob" u="1"/>
        <s v="West-Alice" u="1"/>
        <s v="South-Charlie" u="1"/>
        <s v="South-Alice" u="1"/>
        <s v="North-David" u="1"/>
        <s v="South-David" u="1"/>
        <s v="West-Bob" u="1"/>
        <s v="West-Charlie" u="1"/>
        <s v="East-Alice" u="1"/>
        <s v="West-David" u="1"/>
        <s v="South-Bob" u="1"/>
        <s v="East-Eve" u="1"/>
      </sharedItems>
    </cacheField>
  </cacheFields>
  <extLst>
    <ext xmlns:x14="http://schemas.microsoft.com/office/spreadsheetml/2009/9/main" uri="{725AE2AE-9491-48be-B2B4-4EB974FC3084}">
      <x14:pivotCacheDefinition pivotCacheId="2190329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d v="2023-02-03T00:00:00"/>
    <x v="0"/>
    <s v="North"/>
    <n v="5053.97"/>
    <n v="18"/>
    <x v="0"/>
    <n v="152.75"/>
    <n v="267.22000000000003"/>
    <s v="Returning"/>
    <n v="0.09"/>
    <s v="Cash"/>
    <s v="Online"/>
    <s v="North-Bob"/>
  </r>
  <r>
    <x v="1"/>
    <x v="1"/>
    <d v="2023-04-21T00:00:00"/>
    <x v="0"/>
    <s v="West"/>
    <n v="4384.0200000000004"/>
    <n v="17"/>
    <x v="0"/>
    <n v="3816.39"/>
    <n v="4209.4399999999996"/>
    <s v="Returning"/>
    <n v="0.11"/>
    <s v="Cash"/>
    <s v="Retail"/>
    <s v="West-Bob"/>
  </r>
  <r>
    <x v="2"/>
    <x v="2"/>
    <d v="2023-09-21T00:00:00"/>
    <x v="1"/>
    <s v="South"/>
    <n v="4631.2299999999996"/>
    <n v="30"/>
    <x v="1"/>
    <n v="261.56"/>
    <n v="371.4"/>
    <s v="Returning"/>
    <n v="0.2"/>
    <s v="Bank Transfer"/>
    <s v="Retail"/>
    <s v="South-David"/>
  </r>
  <r>
    <x v="3"/>
    <x v="3"/>
    <d v="2023-08-24T00:00:00"/>
    <x v="0"/>
    <s v="South"/>
    <n v="2167.94"/>
    <n v="39"/>
    <x v="2"/>
    <n v="4330.03"/>
    <n v="4467.75"/>
    <s v="New"/>
    <n v="0.02"/>
    <s v="Credit Card"/>
    <s v="Retail"/>
    <s v="South-Bob"/>
  </r>
  <r>
    <x v="4"/>
    <x v="4"/>
    <d v="2023-03-24T00:00:00"/>
    <x v="2"/>
    <s v="East"/>
    <n v="3750.2"/>
    <n v="13"/>
    <x v="3"/>
    <n v="637.37"/>
    <n v="692.71"/>
    <s v="New"/>
    <n v="0.08"/>
    <s v="Credit Card"/>
    <s v="Online"/>
    <s v="East-Charlie"/>
  </r>
  <r>
    <x v="5"/>
    <x v="5"/>
    <d v="2023-02-11T00:00:00"/>
    <x v="2"/>
    <s v="West"/>
    <n v="3761.15"/>
    <n v="32"/>
    <x v="1"/>
    <n v="900.79"/>
    <n v="1106.51"/>
    <s v="New"/>
    <n v="0.21"/>
    <s v="Cash"/>
    <s v="Online"/>
    <s v="West-Charlie"/>
  </r>
  <r>
    <x v="6"/>
    <x v="6"/>
    <d v="2023-04-11T00:00:00"/>
    <x v="0"/>
    <s v="West"/>
    <n v="618.30999999999995"/>
    <n v="29"/>
    <x v="0"/>
    <n v="2408.81"/>
    <n v="2624.09"/>
    <s v="Returning"/>
    <n v="0.14000000000000001"/>
    <s v="Cash"/>
    <s v="Online"/>
    <s v="West-Bob"/>
  </r>
  <r>
    <x v="7"/>
    <x v="7"/>
    <d v="2023-01-06T00:00:00"/>
    <x v="3"/>
    <s v="South"/>
    <n v="7698.92"/>
    <n v="46"/>
    <x v="0"/>
    <n v="3702.51"/>
    <n v="3964.65"/>
    <s v="New"/>
    <n v="0.12"/>
    <s v="Bank Transfer"/>
    <s v="Online"/>
    <s v="South-Eve"/>
  </r>
  <r>
    <x v="8"/>
    <x v="8"/>
    <d v="2023-06-29T00:00:00"/>
    <x v="1"/>
    <s v="South"/>
    <n v="4223.3900000000003"/>
    <n v="30"/>
    <x v="0"/>
    <n v="738.06"/>
    <n v="1095.4499999999998"/>
    <s v="New"/>
    <n v="0.05"/>
    <s v="Bank Transfer"/>
    <s v="Online"/>
    <s v="South-David"/>
  </r>
  <r>
    <x v="8"/>
    <x v="9"/>
    <d v="2023-10-09T00:00:00"/>
    <x v="2"/>
    <s v="West"/>
    <n v="8239.58"/>
    <n v="18"/>
    <x v="2"/>
    <n v="2228.35"/>
    <n v="2682.34"/>
    <s v="New"/>
    <n v="0.13"/>
    <s v="Bank Transfer"/>
    <s v="Online"/>
    <s v="West-Charlie"/>
  </r>
  <r>
    <x v="9"/>
    <x v="10"/>
    <d v="2023-11-16T00:00:00"/>
    <x v="3"/>
    <s v="North"/>
    <n v="8518.4500000000007"/>
    <n v="13"/>
    <x v="0"/>
    <n v="2440.11"/>
    <n v="2517.6"/>
    <s v="New"/>
    <n v="0.23"/>
    <s v="Bank Transfer"/>
    <s v="Retail"/>
    <s v="North-Eve"/>
  </r>
  <r>
    <x v="10"/>
    <x v="11"/>
    <d v="2023-08-14T00:00:00"/>
    <x v="0"/>
    <s v="West"/>
    <n v="2198.7399999999998"/>
    <n v="43"/>
    <x v="1"/>
    <n v="1100.81"/>
    <n v="1137.44"/>
    <s v="Returning"/>
    <n v="0.08"/>
    <s v="Bank Transfer"/>
    <s v="Online"/>
    <s v="West-Bob"/>
  </r>
  <r>
    <x v="11"/>
    <x v="12"/>
    <d v="2023-11-11T00:00:00"/>
    <x v="3"/>
    <s v="West"/>
    <n v="6607.8"/>
    <n v="21"/>
    <x v="1"/>
    <n v="622.01"/>
    <n v="641.09"/>
    <s v="Returning"/>
    <n v="0"/>
    <s v="Bank Transfer"/>
    <s v="Retail"/>
    <s v="West-Eve"/>
  </r>
  <r>
    <x v="12"/>
    <x v="13"/>
    <d v="2023-12-31T00:00:00"/>
    <x v="4"/>
    <s v="South"/>
    <n v="4775.59"/>
    <n v="30"/>
    <x v="0"/>
    <n v="4190.28"/>
    <n v="4270.6499999999996"/>
    <s v="New"/>
    <n v="0.2"/>
    <s v="Cash"/>
    <s v="Online"/>
    <s v="South-Alice"/>
  </r>
  <r>
    <x v="13"/>
    <x v="14"/>
    <d v="2023-08-17T00:00:00"/>
    <x v="2"/>
    <s v="South"/>
    <n v="8813.5499999999993"/>
    <n v="21"/>
    <x v="1"/>
    <n v="2537.1999999999998"/>
    <n v="2869.6"/>
    <s v="New"/>
    <n v="0.28999999999999998"/>
    <s v="Bank Transfer"/>
    <s v="Retail"/>
    <s v="South-Charlie"/>
  </r>
  <r>
    <x v="14"/>
    <x v="15"/>
    <d v="2023-10-16T00:00:00"/>
    <x v="0"/>
    <s v="North"/>
    <n v="2235.83"/>
    <n v="48"/>
    <x v="0"/>
    <n v="121.19"/>
    <n v="487.65"/>
    <s v="New"/>
    <n v="0.18"/>
    <s v="Cash"/>
    <s v="Retail"/>
    <s v="North-Bob"/>
  </r>
  <r>
    <x v="15"/>
    <x v="16"/>
    <d v="2023-05-30T00:00:00"/>
    <x v="1"/>
    <s v="North"/>
    <n v="6810.35"/>
    <n v="17"/>
    <x v="0"/>
    <n v="4024.76"/>
    <n v="4420.1500000000015"/>
    <s v="Returning"/>
    <n v="0.04"/>
    <s v="Cash"/>
    <s v="Online"/>
    <s v="North-David"/>
  </r>
  <r>
    <x v="9"/>
    <x v="17"/>
    <d v="2023-10-04T00:00:00"/>
    <x v="0"/>
    <s v="East"/>
    <n v="6116.75"/>
    <n v="40"/>
    <x v="3"/>
    <n v="4904.93"/>
    <n v="5034.3500000000004"/>
    <s v="New"/>
    <n v="0.1"/>
    <s v="Credit Card"/>
    <s v="Retail"/>
    <s v="East-Bob"/>
  </r>
  <r>
    <x v="16"/>
    <x v="18"/>
    <d v="2023-07-17T00:00:00"/>
    <x v="1"/>
    <s v="West"/>
    <n v="3023.48"/>
    <n v="19"/>
    <x v="2"/>
    <n v="3049.33"/>
    <n v="3209.22"/>
    <s v="Returning"/>
    <n v="0.26"/>
    <s v="Cash"/>
    <s v="Online"/>
    <s v="West-David"/>
  </r>
  <r>
    <x v="17"/>
    <x v="19"/>
    <d v="2023-03-11T00:00:00"/>
    <x v="0"/>
    <s v="South"/>
    <n v="1452.35"/>
    <n v="15"/>
    <x v="2"/>
    <n v="2543.36"/>
    <n v="2790.1000000000004"/>
    <s v="Returning"/>
    <n v="7.0000000000000007E-2"/>
    <s v="Cash"/>
    <s v="Online"/>
    <s v="South-Bob"/>
  </r>
  <r>
    <x v="15"/>
    <x v="20"/>
    <d v="2023-04-22T00:00:00"/>
    <x v="3"/>
    <s v="North"/>
    <n v="6551.23"/>
    <n v="9"/>
    <x v="3"/>
    <n v="4398.16"/>
    <n v="4439.12"/>
    <s v="New"/>
    <n v="0.18"/>
    <s v="Bank Transfer"/>
    <s v="Online"/>
    <s v="North-Eve"/>
  </r>
  <r>
    <x v="18"/>
    <x v="21"/>
    <d v="2023-01-04T00:00:00"/>
    <x v="3"/>
    <s v="East"/>
    <n v="7412.11"/>
    <n v="10"/>
    <x v="3"/>
    <n v="4764.96"/>
    <n v="5074.42"/>
    <s v="New"/>
    <n v="0.12"/>
    <s v="Cash"/>
    <s v="Online"/>
    <s v="East-Eve"/>
  </r>
  <r>
    <x v="19"/>
    <x v="22"/>
    <d v="2023-12-16T00:00:00"/>
    <x v="3"/>
    <s v="East"/>
    <n v="3224.71"/>
    <n v="44"/>
    <x v="2"/>
    <n v="3784.96"/>
    <n v="4276.99"/>
    <s v="New"/>
    <n v="0.06"/>
    <s v="Bank Transfer"/>
    <s v="Retail"/>
    <s v="East-Eve"/>
  </r>
  <r>
    <x v="5"/>
    <x v="23"/>
    <d v="2023-11-27T00:00:00"/>
    <x v="4"/>
    <s v="South"/>
    <n v="6483.84"/>
    <n v="31"/>
    <x v="0"/>
    <n v="2254.9899999999998"/>
    <n v="2441.79"/>
    <s v="Returning"/>
    <n v="0.24"/>
    <s v="Bank Transfer"/>
    <s v="Online"/>
    <s v="South-Alice"/>
  </r>
  <r>
    <x v="20"/>
    <x v="24"/>
    <d v="2023-11-14T00:00:00"/>
    <x v="1"/>
    <s v="South"/>
    <n v="4011.8"/>
    <n v="23"/>
    <x v="0"/>
    <n v="2981.5"/>
    <n v="3360.4"/>
    <s v="Returning"/>
    <n v="0.22"/>
    <s v="Bank Transfer"/>
    <s v="Retail"/>
    <s v="South-David"/>
  </r>
  <r>
    <x v="21"/>
    <x v="25"/>
    <d v="2023-12-16T00:00:00"/>
    <x v="3"/>
    <s v="East"/>
    <n v="7160.75"/>
    <n v="30"/>
    <x v="2"/>
    <n v="3519.63"/>
    <n v="3774.65"/>
    <s v="New"/>
    <n v="0.2"/>
    <s v="Credit Card"/>
    <s v="Retail"/>
    <s v="East-Eve"/>
  </r>
  <r>
    <x v="22"/>
    <x v="26"/>
    <d v="2023-04-05T00:00:00"/>
    <x v="4"/>
    <s v="North"/>
    <n v="2072.23"/>
    <n v="33"/>
    <x v="0"/>
    <n v="1011.65"/>
    <n v="1084.28"/>
    <s v="Returning"/>
    <n v="7.0000000000000007E-2"/>
    <s v="Bank Transfer"/>
    <s v="Retail"/>
    <s v="North-Alice"/>
  </r>
  <r>
    <x v="13"/>
    <x v="27"/>
    <d v="2023-06-01T00:00:00"/>
    <x v="1"/>
    <s v="East"/>
    <n v="8913.1299999999992"/>
    <n v="9"/>
    <x v="3"/>
    <n v="2263.65"/>
    <n v="2558.9500000000003"/>
    <s v="New"/>
    <n v="0.03"/>
    <s v="Cash"/>
    <s v="Online"/>
    <s v="East-David"/>
  </r>
  <r>
    <x v="23"/>
    <x v="28"/>
    <d v="2023-11-07T00:00:00"/>
    <x v="0"/>
    <s v="West"/>
    <n v="2945.36"/>
    <n v="47"/>
    <x v="0"/>
    <n v="4157.62"/>
    <n v="4314.5599999999995"/>
    <s v="New"/>
    <n v="0.17"/>
    <s v="Bank Transfer"/>
    <s v="Retail"/>
    <s v="West-Bob"/>
  </r>
  <r>
    <x v="24"/>
    <x v="29"/>
    <d v="2023-05-17T00:00:00"/>
    <x v="4"/>
    <s v="West"/>
    <n v="3741.08"/>
    <n v="1"/>
    <x v="0"/>
    <n v="3290.89"/>
    <n v="3317.75"/>
    <s v="Returning"/>
    <n v="0.17"/>
    <s v="Bank Transfer"/>
    <s v="Online"/>
    <s v="West-Alice"/>
  </r>
  <r>
    <x v="25"/>
    <x v="30"/>
    <d v="2023-09-04T00:00:00"/>
    <x v="2"/>
    <s v="South"/>
    <n v="675.11"/>
    <n v="44"/>
    <x v="1"/>
    <n v="2085.46"/>
    <n v="2406.58"/>
    <s v="Returning"/>
    <n v="0.06"/>
    <s v="Bank Transfer"/>
    <s v="Retail"/>
    <s v="South-Charlie"/>
  </r>
  <r>
    <x v="26"/>
    <x v="31"/>
    <d v="2023-08-31T00:00:00"/>
    <x v="4"/>
    <s v="North"/>
    <n v="1203.97"/>
    <n v="35"/>
    <x v="1"/>
    <n v="3333.64"/>
    <n v="3764.52"/>
    <s v="Returning"/>
    <n v="0.02"/>
    <s v="Credit Card"/>
    <s v="Online"/>
    <s v="North-Alice"/>
  </r>
  <r>
    <x v="27"/>
    <x v="32"/>
    <d v="2023-01-31T00:00:00"/>
    <x v="4"/>
    <s v="North"/>
    <n v="5207.03"/>
    <n v="11"/>
    <x v="1"/>
    <n v="635.20000000000005"/>
    <n v="814.1400000000001"/>
    <s v="Returning"/>
    <n v="0.02"/>
    <s v="Cash"/>
    <s v="Online"/>
    <s v="North-Alice"/>
  </r>
  <r>
    <x v="28"/>
    <x v="33"/>
    <d v="2023-02-09T00:00:00"/>
    <x v="1"/>
    <s v="West"/>
    <n v="2749.17"/>
    <n v="34"/>
    <x v="0"/>
    <n v="2037.41"/>
    <n v="2238.65"/>
    <s v="New"/>
    <n v="0.3"/>
    <s v="Credit Card"/>
    <s v="Online"/>
    <s v="West-David"/>
  </r>
  <r>
    <x v="19"/>
    <x v="22"/>
    <d v="2023-08-17T00:00:00"/>
    <x v="0"/>
    <s v="East"/>
    <n v="8371.25"/>
    <n v="16"/>
    <x v="2"/>
    <n v="3975.99"/>
    <n v="4422.59"/>
    <s v="New"/>
    <n v="0.24"/>
    <s v="Cash"/>
    <s v="Online"/>
    <s v="East-Bob"/>
  </r>
  <r>
    <x v="29"/>
    <x v="34"/>
    <d v="2023-02-05T00:00:00"/>
    <x v="2"/>
    <s v="South"/>
    <n v="245.46"/>
    <n v="9"/>
    <x v="3"/>
    <n v="1141.52"/>
    <n v="1550.19"/>
    <s v="New"/>
    <n v="0.28000000000000003"/>
    <s v="Credit Card"/>
    <s v="Retail"/>
    <s v="South-Charlie"/>
  </r>
  <r>
    <x v="2"/>
    <x v="35"/>
    <d v="2023-08-11T00:00:00"/>
    <x v="3"/>
    <s v="East"/>
    <n v="3853.03"/>
    <n v="32"/>
    <x v="0"/>
    <n v="970.51"/>
    <n v="1330.84"/>
    <s v="Returning"/>
    <n v="0.06"/>
    <s v="Cash"/>
    <s v="Retail"/>
    <s v="East-Eve"/>
  </r>
  <r>
    <x v="30"/>
    <x v="36"/>
    <d v="2023-01-06T00:00:00"/>
    <x v="3"/>
    <s v="East"/>
    <n v="3439.72"/>
    <n v="15"/>
    <x v="2"/>
    <n v="4756.55"/>
    <n v="4888.46"/>
    <s v="New"/>
    <n v="0.28999999999999998"/>
    <s v="Credit Card"/>
    <s v="Online"/>
    <s v="East-Eve"/>
  </r>
  <r>
    <x v="30"/>
    <x v="37"/>
    <d v="2023-11-18T00:00:00"/>
    <x v="4"/>
    <s v="East"/>
    <n v="291.33999999999997"/>
    <n v="12"/>
    <x v="0"/>
    <n v="1088.99"/>
    <n v="1545"/>
    <s v="Returning"/>
    <n v="0.04"/>
    <s v="Bank Transfer"/>
    <s v="Retail"/>
    <s v="East-Alice"/>
  </r>
  <r>
    <x v="31"/>
    <x v="38"/>
    <d v="2023-08-08T00:00:00"/>
    <x v="1"/>
    <s v="North"/>
    <n v="1331.25"/>
    <n v="33"/>
    <x v="3"/>
    <n v="1341.55"/>
    <n v="1427.21"/>
    <s v="Returning"/>
    <n v="0.15"/>
    <s v="Credit Card"/>
    <s v="Online"/>
    <s v="North-David"/>
  </r>
  <r>
    <x v="30"/>
    <x v="37"/>
    <d v="2023-03-16T00:00:00"/>
    <x v="1"/>
    <s v="West"/>
    <n v="4195.0600000000004"/>
    <n v="45"/>
    <x v="0"/>
    <n v="4849.6000000000004"/>
    <n v="5166.72"/>
    <s v="Returning"/>
    <n v="0.25"/>
    <s v="Credit Card"/>
    <s v="Online"/>
    <s v="West-David"/>
  </r>
  <r>
    <x v="32"/>
    <x v="39"/>
    <d v="2023-01-04T00:00:00"/>
    <x v="3"/>
    <s v="North"/>
    <n v="4979.3599999999997"/>
    <n v="14"/>
    <x v="3"/>
    <n v="3686.81"/>
    <n v="3710.92"/>
    <s v="New"/>
    <n v="0.1"/>
    <s v="Bank Transfer"/>
    <s v="Retail"/>
    <s v="North-Eve"/>
  </r>
  <r>
    <x v="33"/>
    <x v="40"/>
    <d v="2023-12-01T00:00:00"/>
    <x v="2"/>
    <s v="West"/>
    <n v="4102.47"/>
    <n v="8"/>
    <x v="0"/>
    <n v="3513"/>
    <n v="3838.42"/>
    <s v="Returning"/>
    <n v="0.13"/>
    <s v="Bank Transfer"/>
    <s v="Online"/>
    <s v="West-Charlie"/>
  </r>
  <r>
    <x v="18"/>
    <x v="21"/>
    <d v="2023-05-14T00:00:00"/>
    <x v="0"/>
    <s v="South"/>
    <n v="5356.28"/>
    <n v="8"/>
    <x v="3"/>
    <n v="4271.99"/>
    <n v="4417.79"/>
    <s v="Returning"/>
    <n v="0.04"/>
    <s v="Cash"/>
    <s v="Online"/>
    <s v="South-Bob"/>
  </r>
  <r>
    <x v="12"/>
    <x v="13"/>
    <d v="2023-04-28T00:00:00"/>
    <x v="2"/>
    <s v="South"/>
    <n v="5991.8"/>
    <n v="27"/>
    <x v="0"/>
    <n v="623.32000000000005"/>
    <n v="853.66000000000008"/>
    <s v="Returning"/>
    <n v="0.04"/>
    <s v="Cash"/>
    <s v="Online"/>
    <s v="South-Charlie"/>
  </r>
  <r>
    <x v="32"/>
    <x v="39"/>
    <d v="2023-04-04T00:00:00"/>
    <x v="0"/>
    <s v="East"/>
    <n v="198.25"/>
    <n v="12"/>
    <x v="3"/>
    <n v="3544.48"/>
    <n v="3723.66"/>
    <s v="Returning"/>
    <n v="0.19"/>
    <s v="Cash"/>
    <s v="Online"/>
    <s v="East-Bob"/>
  </r>
  <r>
    <x v="34"/>
    <x v="41"/>
    <d v="2023-03-03T00:00:00"/>
    <x v="3"/>
    <s v="West"/>
    <n v="4694.54"/>
    <n v="1"/>
    <x v="1"/>
    <n v="2543.2600000000002"/>
    <n v="2637.9100000000003"/>
    <s v="Returning"/>
    <n v="0.2"/>
    <s v="Credit Card"/>
    <s v="Online"/>
    <s v="West-Eve"/>
  </r>
  <r>
    <x v="5"/>
    <x v="23"/>
    <d v="2023-07-13T00:00:00"/>
    <x v="0"/>
    <s v="West"/>
    <n v="9638.64"/>
    <n v="43"/>
    <x v="0"/>
    <n v="4154.3"/>
    <n v="4469.07"/>
    <s v="Returning"/>
    <n v="0.23"/>
    <s v="Cash"/>
    <s v="Retail"/>
    <s v="West-Bob"/>
  </r>
  <r>
    <x v="35"/>
    <x v="42"/>
    <d v="2023-12-01T00:00:00"/>
    <x v="1"/>
    <s v="West"/>
    <n v="5238.42"/>
    <n v="40"/>
    <x v="0"/>
    <n v="2565.3000000000002"/>
    <n v="3007.4700000000003"/>
    <s v="Returning"/>
    <n v="0.17"/>
    <s v="Credit Card"/>
    <s v="Retail"/>
    <s v="West-David"/>
  </r>
  <r>
    <x v="36"/>
    <x v="43"/>
    <d v="2023-07-22T00:00:00"/>
    <x v="4"/>
    <s v="East"/>
    <n v="6807.67"/>
    <n v="42"/>
    <x v="2"/>
    <n v="3120.19"/>
    <n v="3600.14"/>
    <s v="Returning"/>
    <n v="0.19"/>
    <s v="Credit Card"/>
    <s v="Retail"/>
    <s v="East-Alice"/>
  </r>
  <r>
    <x v="37"/>
    <x v="44"/>
    <d v="2023-01-26T00:00:00"/>
    <x v="4"/>
    <s v="East"/>
    <n v="3187.45"/>
    <n v="11"/>
    <x v="2"/>
    <n v="2414.8200000000002"/>
    <n v="2519.0700000000002"/>
    <s v="Returning"/>
    <n v="0"/>
    <s v="Cash"/>
    <s v="Online"/>
    <s v="East-Alice"/>
  </r>
  <r>
    <x v="38"/>
    <x v="45"/>
    <d v="2023-06-22T00:00:00"/>
    <x v="3"/>
    <s v="South"/>
    <n v="7762.51"/>
    <n v="39"/>
    <x v="3"/>
    <n v="2416.89"/>
    <n v="2778.3999999999996"/>
    <s v="Returning"/>
    <n v="0.05"/>
    <s v="Cash"/>
    <s v="Online"/>
    <s v="South-Eve"/>
  </r>
  <r>
    <x v="23"/>
    <x v="28"/>
    <d v="2023-10-27T00:00:00"/>
    <x v="1"/>
    <s v="North"/>
    <n v="7751.92"/>
    <n v="43"/>
    <x v="0"/>
    <n v="3851.45"/>
    <n v="4186.9799999999996"/>
    <s v="Returning"/>
    <n v="0.3"/>
    <s v="Credit Card"/>
    <s v="Online"/>
    <s v="North-David"/>
  </r>
  <r>
    <x v="19"/>
    <x v="46"/>
    <d v="2023-05-13T00:00:00"/>
    <x v="2"/>
    <s v="West"/>
    <n v="5260.83"/>
    <n v="31"/>
    <x v="3"/>
    <n v="3161.4"/>
    <n v="3339.66"/>
    <s v="Returning"/>
    <n v="0.02"/>
    <s v="Bank Transfer"/>
    <s v="Online"/>
    <s v="West-Charlie"/>
  </r>
  <r>
    <x v="39"/>
    <x v="47"/>
    <d v="2023-11-22T00:00:00"/>
    <x v="1"/>
    <s v="West"/>
    <n v="9762.5400000000009"/>
    <n v="17"/>
    <x v="1"/>
    <n v="3184.65"/>
    <n v="3204.01"/>
    <s v="New"/>
    <n v="0.2"/>
    <s v="Bank Transfer"/>
    <s v="Online"/>
    <s v="West-David"/>
  </r>
  <r>
    <x v="40"/>
    <x v="48"/>
    <d v="2023-04-28T00:00:00"/>
    <x v="4"/>
    <s v="North"/>
    <n v="1342.95"/>
    <n v="33"/>
    <x v="2"/>
    <n v="2278.9"/>
    <n v="2626.9"/>
    <s v="New"/>
    <n v="0.05"/>
    <s v="Credit Card"/>
    <s v="Online"/>
    <s v="North-Alice"/>
  </r>
  <r>
    <x v="41"/>
    <x v="49"/>
    <d v="2023-11-20T00:00:00"/>
    <x v="4"/>
    <s v="West"/>
    <n v="267.77999999999997"/>
    <n v="32"/>
    <x v="3"/>
    <n v="2678.99"/>
    <n v="3152.2799999999997"/>
    <s v="Returning"/>
    <n v="0.22"/>
    <s v="Cash"/>
    <s v="Retail"/>
    <s v="West-Alice"/>
  </r>
  <r>
    <x v="14"/>
    <x v="50"/>
    <d v="2023-10-02T00:00:00"/>
    <x v="1"/>
    <s v="East"/>
    <n v="7724.57"/>
    <n v="29"/>
    <x v="3"/>
    <n v="3741.3"/>
    <n v="4061.04"/>
    <s v="Returning"/>
    <n v="0.21"/>
    <s v="Credit Card"/>
    <s v="Online"/>
    <s v="East-David"/>
  </r>
  <r>
    <x v="15"/>
    <x v="51"/>
    <d v="2023-07-31T00:00:00"/>
    <x v="1"/>
    <s v="East"/>
    <n v="8090.84"/>
    <n v="21"/>
    <x v="2"/>
    <n v="4138.41"/>
    <n v="4361.7"/>
    <s v="Returning"/>
    <n v="7.0000000000000007E-2"/>
    <s v="Credit Card"/>
    <s v="Retail"/>
    <s v="East-David"/>
  </r>
  <r>
    <x v="42"/>
    <x v="52"/>
    <d v="2023-08-13T00:00:00"/>
    <x v="4"/>
    <s v="West"/>
    <n v="1290.05"/>
    <n v="21"/>
    <x v="0"/>
    <n v="3497.98"/>
    <n v="3765.31"/>
    <s v="New"/>
    <n v="0.08"/>
    <s v="Cash"/>
    <s v="Online"/>
    <s v="West-Alice"/>
  </r>
  <r>
    <x v="28"/>
    <x v="53"/>
    <d v="2023-01-20T00:00:00"/>
    <x v="2"/>
    <s v="East"/>
    <n v="2729.27"/>
    <n v="40"/>
    <x v="3"/>
    <n v="4624.16"/>
    <n v="4731.9799999999996"/>
    <s v="New"/>
    <n v="0.2"/>
    <s v="Bank Transfer"/>
    <s v="Retail"/>
    <s v="East-Charlie"/>
  </r>
  <r>
    <x v="19"/>
    <x v="22"/>
    <d v="2023-04-23T00:00:00"/>
    <x v="3"/>
    <s v="East"/>
    <n v="273.77"/>
    <n v="23"/>
    <x v="2"/>
    <n v="4110.6000000000004"/>
    <n v="4488.3700000000008"/>
    <s v="New"/>
    <n v="0.12"/>
    <s v="Credit Card"/>
    <s v="Online"/>
    <s v="East-Eve"/>
  </r>
  <r>
    <x v="43"/>
    <x v="54"/>
    <d v="2023-05-20T00:00:00"/>
    <x v="3"/>
    <s v="West"/>
    <n v="3003.76"/>
    <n v="6"/>
    <x v="0"/>
    <n v="2831.23"/>
    <n v="3206.98"/>
    <s v="Returning"/>
    <n v="0.06"/>
    <s v="Bank Transfer"/>
    <s v="Retail"/>
    <s v="West-Eve"/>
  </r>
  <r>
    <x v="44"/>
    <x v="55"/>
    <d v="2023-02-16T00:00:00"/>
    <x v="1"/>
    <s v="South"/>
    <n v="7754.1"/>
    <n v="22"/>
    <x v="1"/>
    <n v="3373.46"/>
    <n v="3454.76"/>
    <s v="Returning"/>
    <n v="0.22"/>
    <s v="Bank Transfer"/>
    <s v="Retail"/>
    <s v="South-David"/>
  </r>
  <r>
    <x v="45"/>
    <x v="56"/>
    <d v="2023-01-01T00:00:00"/>
    <x v="3"/>
    <s v="North"/>
    <n v="5227.8100000000004"/>
    <n v="38"/>
    <x v="2"/>
    <n v="4635.2299999999996"/>
    <n v="5075.4399999999996"/>
    <s v="Returning"/>
    <n v="0.05"/>
    <s v="Cash"/>
    <s v="Online"/>
    <s v="North-Eve"/>
  </r>
  <r>
    <x v="31"/>
    <x v="38"/>
    <d v="2023-03-31T00:00:00"/>
    <x v="4"/>
    <s v="East"/>
    <n v="3546.15"/>
    <n v="37"/>
    <x v="3"/>
    <n v="3114.88"/>
    <n v="3256.78"/>
    <s v="Returning"/>
    <n v="0.26"/>
    <s v="Credit Card"/>
    <s v="Online"/>
    <s v="East-Alice"/>
  </r>
  <r>
    <x v="46"/>
    <x v="57"/>
    <d v="2023-05-22T00:00:00"/>
    <x v="4"/>
    <s v="South"/>
    <n v="3780.22"/>
    <n v="45"/>
    <x v="1"/>
    <n v="4132.79"/>
    <n v="4624.1000000000004"/>
    <s v="New"/>
    <n v="0.15"/>
    <s v="Credit Card"/>
    <s v="Retail"/>
    <s v="South-Alice"/>
  </r>
  <r>
    <x v="47"/>
    <x v="58"/>
    <d v="2023-11-16T00:00:00"/>
    <x v="1"/>
    <s v="East"/>
    <n v="113.4"/>
    <n v="8"/>
    <x v="0"/>
    <n v="3459.61"/>
    <n v="3657.23"/>
    <s v="Returning"/>
    <n v="0.03"/>
    <s v="Bank Transfer"/>
    <s v="Online"/>
    <s v="East-David"/>
  </r>
  <r>
    <x v="48"/>
    <x v="59"/>
    <d v="2023-02-07T00:00:00"/>
    <x v="1"/>
    <s v="East"/>
    <n v="3068.03"/>
    <n v="41"/>
    <x v="0"/>
    <n v="2782.08"/>
    <n v="2879.24"/>
    <s v="New"/>
    <n v="0.21"/>
    <s v="Bank Transfer"/>
    <s v="Online"/>
    <s v="East-David"/>
  </r>
  <r>
    <x v="49"/>
    <x v="60"/>
    <d v="2023-10-20T00:00:00"/>
    <x v="1"/>
    <s v="North"/>
    <n v="6499.94"/>
    <n v="49"/>
    <x v="2"/>
    <n v="1247.0999999999999"/>
    <n v="1429.4399999999998"/>
    <s v="New"/>
    <n v="0.16"/>
    <s v="Cash"/>
    <s v="Online"/>
    <s v="North-David"/>
  </r>
  <r>
    <x v="50"/>
    <x v="61"/>
    <d v="2023-05-19T00:00:00"/>
    <x v="2"/>
    <s v="East"/>
    <n v="9744.52"/>
    <n v="35"/>
    <x v="2"/>
    <n v="2158.69"/>
    <n v="2384.38"/>
    <s v="Returning"/>
    <n v="0.09"/>
    <s v="Bank Transfer"/>
    <s v="Retail"/>
    <s v="East-Charlie"/>
  </r>
  <r>
    <x v="38"/>
    <x v="62"/>
    <d v="2023-12-22T00:00:00"/>
    <x v="3"/>
    <s v="North"/>
    <n v="8485.9"/>
    <n v="11"/>
    <x v="2"/>
    <n v="4840.33"/>
    <n v="4884.29"/>
    <s v="New"/>
    <n v="0.13"/>
    <s v="Cash"/>
    <s v="Online"/>
    <s v="North-Eve"/>
  </r>
  <r>
    <x v="15"/>
    <x v="16"/>
    <d v="2023-11-29T00:00:00"/>
    <x v="1"/>
    <s v="North"/>
    <n v="333.59"/>
    <n v="24"/>
    <x v="0"/>
    <n v="3305.94"/>
    <n v="3599.27"/>
    <s v="New"/>
    <n v="0.09"/>
    <s v="Credit Card"/>
    <s v="Retail"/>
    <s v="North-David"/>
  </r>
  <r>
    <x v="51"/>
    <x v="63"/>
    <d v="2023-09-16T00:00:00"/>
    <x v="0"/>
    <s v="North"/>
    <n v="8995.75"/>
    <n v="49"/>
    <x v="1"/>
    <n v="2843.76"/>
    <n v="3146.6000000000004"/>
    <s v="New"/>
    <n v="0.08"/>
    <s v="Cash"/>
    <s v="Retail"/>
    <s v="North-Bob"/>
  </r>
  <r>
    <x v="52"/>
    <x v="64"/>
    <d v="2023-06-10T00:00:00"/>
    <x v="0"/>
    <s v="South"/>
    <n v="7853.66"/>
    <n v="21"/>
    <x v="0"/>
    <n v="4668.1400000000003"/>
    <n v="5040.22"/>
    <s v="New"/>
    <n v="0.05"/>
    <s v="Bank Transfer"/>
    <s v="Online"/>
    <s v="South-Bob"/>
  </r>
  <r>
    <x v="38"/>
    <x v="45"/>
    <d v="2023-06-27T00:00:00"/>
    <x v="4"/>
    <s v="West"/>
    <n v="7825.72"/>
    <n v="2"/>
    <x v="3"/>
    <n v="2953.23"/>
    <n v="2977.52"/>
    <s v="Returning"/>
    <n v="0.11"/>
    <s v="Credit Card"/>
    <s v="Retail"/>
    <s v="West-Alice"/>
  </r>
  <r>
    <x v="52"/>
    <x v="64"/>
    <d v="2023-01-10T00:00:00"/>
    <x v="3"/>
    <s v="South"/>
    <n v="4634.16"/>
    <n v="40"/>
    <x v="0"/>
    <n v="2654.11"/>
    <n v="2929.32"/>
    <s v="Returning"/>
    <n v="0.08"/>
    <s v="Cash"/>
    <s v="Online"/>
    <s v="South-Eve"/>
  </r>
  <r>
    <x v="1"/>
    <x v="65"/>
    <d v="2023-09-18T00:00:00"/>
    <x v="1"/>
    <s v="West"/>
    <n v="4040.25"/>
    <n v="19"/>
    <x v="3"/>
    <n v="3808.59"/>
    <n v="3844.51"/>
    <s v="New"/>
    <n v="0.21"/>
    <s v="Credit Card"/>
    <s v="Online"/>
    <s v="West-David"/>
  </r>
  <r>
    <x v="53"/>
    <x v="66"/>
    <d v="2023-05-18T00:00:00"/>
    <x v="0"/>
    <s v="West"/>
    <n v="3098.87"/>
    <n v="39"/>
    <x v="1"/>
    <n v="3577.69"/>
    <n v="3931.25"/>
    <s v="Returning"/>
    <n v="0.21"/>
    <s v="Cash"/>
    <s v="Retail"/>
    <s v="West-Bob"/>
  </r>
  <r>
    <x v="37"/>
    <x v="44"/>
    <d v="2023-06-21T00:00:00"/>
    <x v="3"/>
    <s v="North"/>
    <n v="750.38"/>
    <n v="28"/>
    <x v="2"/>
    <n v="1006.14"/>
    <n v="1043.45"/>
    <s v="New"/>
    <n v="0.15"/>
    <s v="Bank Transfer"/>
    <s v="Retail"/>
    <s v="North-Eve"/>
  </r>
  <r>
    <x v="41"/>
    <x v="67"/>
    <d v="2023-01-13T00:00:00"/>
    <x v="4"/>
    <s v="East"/>
    <n v="2359.5300000000002"/>
    <n v="17"/>
    <x v="2"/>
    <n v="2382.98"/>
    <n v="2839.73"/>
    <s v="Returning"/>
    <n v="0.23"/>
    <s v="Bank Transfer"/>
    <s v="Retail"/>
    <s v="East-Alice"/>
  </r>
  <r>
    <x v="44"/>
    <x v="68"/>
    <d v="2023-06-17T00:00:00"/>
    <x v="2"/>
    <s v="North"/>
    <n v="2541.38"/>
    <n v="6"/>
    <x v="0"/>
    <n v="2388.9499999999998"/>
    <n v="2742.97"/>
    <s v="Returning"/>
    <n v="0.25"/>
    <s v="Credit Card"/>
    <s v="Retail"/>
    <s v="North-Charlie"/>
  </r>
  <r>
    <x v="54"/>
    <x v="69"/>
    <d v="2023-05-10T00:00:00"/>
    <x v="3"/>
    <s v="East"/>
    <n v="4892.3599999999997"/>
    <n v="19"/>
    <x v="2"/>
    <n v="1922.21"/>
    <n v="2180.83"/>
    <s v="Returning"/>
    <n v="0.17"/>
    <s v="Credit Card"/>
    <s v="Retail"/>
    <s v="East-Eve"/>
  </r>
  <r>
    <x v="55"/>
    <x v="70"/>
    <d v="2023-03-25T00:00:00"/>
    <x v="3"/>
    <s v="West"/>
    <n v="7499.7"/>
    <n v="38"/>
    <x v="1"/>
    <n v="2610.6"/>
    <n v="2836.94"/>
    <s v="Returning"/>
    <n v="0.19"/>
    <s v="Credit Card"/>
    <s v="Online"/>
    <s v="West-Eve"/>
  </r>
  <r>
    <x v="30"/>
    <x v="36"/>
    <d v="2023-11-17T00:00:00"/>
    <x v="2"/>
    <s v="North"/>
    <n v="4790.72"/>
    <n v="28"/>
    <x v="2"/>
    <n v="2094.88"/>
    <n v="2168.9100000000003"/>
    <s v="Returning"/>
    <n v="0.08"/>
    <s v="Cash"/>
    <s v="Retail"/>
    <s v="North-Charlie"/>
  </r>
  <r>
    <x v="10"/>
    <x v="71"/>
    <d v="2023-11-15T00:00:00"/>
    <x v="3"/>
    <s v="East"/>
    <n v="672.66"/>
    <n v="2"/>
    <x v="0"/>
    <n v="1036.76"/>
    <n v="1189.3499999999999"/>
    <s v="New"/>
    <n v="0.27"/>
    <s v="Bank Transfer"/>
    <s v="Online"/>
    <s v="East-Eve"/>
  </r>
  <r>
    <x v="39"/>
    <x v="47"/>
    <d v="2023-04-11T00:00:00"/>
    <x v="4"/>
    <s v="South"/>
    <n v="9582.1200000000008"/>
    <n v="38"/>
    <x v="1"/>
    <n v="2091.21"/>
    <n v="2527"/>
    <s v="Returning"/>
    <n v="0.01"/>
    <s v="Credit Card"/>
    <s v="Online"/>
    <s v="South-Alice"/>
  </r>
  <r>
    <x v="56"/>
    <x v="72"/>
    <d v="2023-11-25T00:00:00"/>
    <x v="4"/>
    <s v="East"/>
    <n v="9432.9699999999993"/>
    <n v="37"/>
    <x v="3"/>
    <n v="407.77"/>
    <n v="860.95"/>
    <s v="New"/>
    <n v="0.1"/>
    <s v="Credit Card"/>
    <s v="Retail"/>
    <s v="East-Alice"/>
  </r>
  <r>
    <x v="57"/>
    <x v="73"/>
    <d v="2023-09-30T00:00:00"/>
    <x v="2"/>
    <s v="North"/>
    <n v="7873.38"/>
    <n v="4"/>
    <x v="0"/>
    <n v="2900.14"/>
    <n v="2910.5099999999998"/>
    <s v="New"/>
    <n v="0.22"/>
    <s v="Credit Card"/>
    <s v="Retail"/>
    <s v="North-Charlie"/>
  </r>
  <r>
    <x v="2"/>
    <x v="74"/>
    <d v="2023-09-22T00:00:00"/>
    <x v="1"/>
    <s v="South"/>
    <n v="9914.15"/>
    <n v="22"/>
    <x v="3"/>
    <n v="4275.59"/>
    <n v="4576.72"/>
    <s v="Returning"/>
    <n v="0.02"/>
    <s v="Cash"/>
    <s v="Retail"/>
    <s v="South-David"/>
  </r>
  <r>
    <x v="3"/>
    <x v="75"/>
    <d v="2023-02-07T00:00:00"/>
    <x v="0"/>
    <s v="East"/>
    <n v="5490.38"/>
    <n v="26"/>
    <x v="1"/>
    <n v="3640.17"/>
    <n v="4002.63"/>
    <s v="New"/>
    <n v="0.05"/>
    <s v="Credit Card"/>
    <s v="Retail"/>
    <s v="East-Bob"/>
  </r>
  <r>
    <x v="47"/>
    <x v="58"/>
    <d v="2023-04-04T00:00:00"/>
    <x v="1"/>
    <s v="East"/>
    <n v="9631.41"/>
    <n v="49"/>
    <x v="0"/>
    <n v="1833.95"/>
    <n v="2147.14"/>
    <s v="Returning"/>
    <n v="0.18"/>
    <s v="Credit Card"/>
    <s v="Retail"/>
    <s v="East-David"/>
  </r>
  <r>
    <x v="7"/>
    <x v="7"/>
    <d v="2023-04-05T00:00:00"/>
    <x v="3"/>
    <s v="East"/>
    <n v="848.49"/>
    <n v="43"/>
    <x v="0"/>
    <n v="481"/>
    <n v="531.02"/>
    <s v="New"/>
    <n v="0.17"/>
    <s v="Cash"/>
    <s v="Online"/>
    <s v="East-Eve"/>
  </r>
  <r>
    <x v="30"/>
    <x v="76"/>
    <d v="2023-11-01T00:00:00"/>
    <x v="0"/>
    <s v="East"/>
    <n v="3720.24"/>
    <n v="36"/>
    <x v="1"/>
    <n v="1050.6400000000001"/>
    <n v="1167.3300000000002"/>
    <s v="New"/>
    <n v="0.22"/>
    <s v="Cash"/>
    <s v="Online"/>
    <s v="East-Bob"/>
  </r>
  <r>
    <x v="58"/>
    <x v="77"/>
    <d v="2023-03-10T00:00:00"/>
    <x v="2"/>
    <s v="East"/>
    <n v="2331.27"/>
    <n v="13"/>
    <x v="2"/>
    <n v="2750.18"/>
    <n v="2882.85"/>
    <s v="Returning"/>
    <n v="0.24"/>
    <s v="Credit Card"/>
    <s v="Online"/>
    <s v="East-Charlie"/>
  </r>
  <r>
    <x v="59"/>
    <x v="78"/>
    <d v="2023-11-14T00:00:00"/>
    <x v="2"/>
    <s v="South"/>
    <n v="2038.75"/>
    <n v="32"/>
    <x v="0"/>
    <n v="1074.93"/>
    <n v="1492.48"/>
    <s v="Returning"/>
    <n v="0.04"/>
    <s v="Credit Card"/>
    <s v="Retail"/>
    <s v="South-Charlie"/>
  </r>
  <r>
    <x v="29"/>
    <x v="79"/>
    <d v="2023-08-24T00:00:00"/>
    <x v="0"/>
    <s v="West"/>
    <n v="1493.95"/>
    <n v="17"/>
    <x v="0"/>
    <n v="2742.67"/>
    <n v="2979.64"/>
    <s v="Returning"/>
    <n v="0.01"/>
    <s v="Cash"/>
    <s v="Retail"/>
    <s v="West-Bob"/>
  </r>
  <r>
    <x v="60"/>
    <x v="80"/>
    <d v="2023-11-30T00:00:00"/>
    <x v="4"/>
    <s v="South"/>
    <n v="6261.9"/>
    <n v="41"/>
    <x v="3"/>
    <n v="1196.42"/>
    <n v="1444.97"/>
    <s v="Returning"/>
    <n v="0.21"/>
    <s v="Bank Transfer"/>
    <s v="Online"/>
    <s v="South-Alice"/>
  </r>
  <r>
    <x v="14"/>
    <x v="81"/>
    <d v="2023-05-17T00:00:00"/>
    <x v="0"/>
    <s v="South"/>
    <n v="7835.09"/>
    <n v="36"/>
    <x v="2"/>
    <n v="4252.17"/>
    <n v="4720.2700000000004"/>
    <s v="New"/>
    <n v="0.09"/>
    <s v="Cash"/>
    <s v="Retail"/>
    <s v="South-Bob"/>
  </r>
  <r>
    <x v="11"/>
    <x v="82"/>
    <d v="2023-03-17T00:00:00"/>
    <x v="3"/>
    <s v="South"/>
    <n v="5825.15"/>
    <n v="46"/>
    <x v="3"/>
    <n v="2016.49"/>
    <n v="2338.66"/>
    <s v="Returning"/>
    <n v="0.19"/>
    <s v="Bank Transfer"/>
    <s v="Retail"/>
    <s v="South-Eve"/>
  </r>
  <r>
    <x v="61"/>
    <x v="83"/>
    <d v="2023-02-04T00:00:00"/>
    <x v="4"/>
    <s v="West"/>
    <n v="1554.93"/>
    <n v="19"/>
    <x v="3"/>
    <n v="1265.48"/>
    <n v="1715.83"/>
    <s v="New"/>
    <n v="0.05"/>
    <s v="Credit Card"/>
    <s v="Retail"/>
    <s v="West-Alice"/>
  </r>
  <r>
    <x v="23"/>
    <x v="84"/>
    <d v="2023-01-01T00:00:00"/>
    <x v="2"/>
    <s v="North"/>
    <n v="8130.13"/>
    <n v="35"/>
    <x v="2"/>
    <n v="4071.01"/>
    <n v="4304.7"/>
    <s v="New"/>
    <n v="0.14000000000000001"/>
    <s v="Credit Card"/>
    <s v="Online"/>
    <s v="North-Charlie"/>
  </r>
  <r>
    <x v="19"/>
    <x v="22"/>
    <d v="2023-10-23T00:00:00"/>
    <x v="0"/>
    <s v="West"/>
    <n v="6395.95"/>
    <n v="46"/>
    <x v="2"/>
    <n v="1747.05"/>
    <n v="1830.27"/>
    <s v="New"/>
    <n v="0.15"/>
    <s v="Bank Transfer"/>
    <s v="Retail"/>
    <s v="West-Bob"/>
  </r>
  <r>
    <x v="62"/>
    <x v="85"/>
    <d v="2023-11-16T00:00:00"/>
    <x v="1"/>
    <s v="South"/>
    <n v="3942.84"/>
    <n v="40"/>
    <x v="1"/>
    <n v="601.86"/>
    <n v="1067.53"/>
    <s v="New"/>
    <n v="0.18"/>
    <s v="Cash"/>
    <s v="Online"/>
    <s v="South-David"/>
  </r>
  <r>
    <x v="63"/>
    <x v="86"/>
    <d v="2023-03-01T00:00:00"/>
    <x v="1"/>
    <s v="East"/>
    <n v="6773.89"/>
    <n v="28"/>
    <x v="2"/>
    <n v="2873.53"/>
    <n v="3108.3"/>
    <s v="New"/>
    <n v="0.15"/>
    <s v="Credit Card"/>
    <s v="Retail"/>
    <s v="East-David"/>
  </r>
  <r>
    <x v="2"/>
    <x v="35"/>
    <d v="2023-11-16T00:00:00"/>
    <x v="3"/>
    <s v="East"/>
    <n v="2673.06"/>
    <n v="1"/>
    <x v="0"/>
    <n v="2928.74"/>
    <n v="3027.74"/>
    <s v="New"/>
    <n v="0.15"/>
    <s v="Bank Transfer"/>
    <s v="Retail"/>
    <s v="East-Eve"/>
  </r>
  <r>
    <x v="64"/>
    <x v="87"/>
    <d v="2023-12-15T00:00:00"/>
    <x v="1"/>
    <s v="South"/>
    <n v="3517.4"/>
    <n v="42"/>
    <x v="2"/>
    <n v="3587.74"/>
    <n v="3745.91"/>
    <s v="Returning"/>
    <n v="0.1"/>
    <s v="Cash"/>
    <s v="Online"/>
    <s v="South-David"/>
  </r>
  <r>
    <x v="65"/>
    <x v="88"/>
    <d v="2023-11-24T00:00:00"/>
    <x v="0"/>
    <s v="East"/>
    <n v="9183.11"/>
    <n v="18"/>
    <x v="1"/>
    <n v="1239.0899999999999"/>
    <n v="1273.98"/>
    <s v="New"/>
    <n v="0.02"/>
    <s v="Bank Transfer"/>
    <s v="Retail"/>
    <s v="East-Bob"/>
  </r>
  <r>
    <x v="23"/>
    <x v="89"/>
    <d v="2023-09-24T00:00:00"/>
    <x v="0"/>
    <s v="South"/>
    <n v="2975.99"/>
    <n v="48"/>
    <x v="1"/>
    <n v="2246.67"/>
    <n v="2486.14"/>
    <s v="New"/>
    <n v="0.03"/>
    <s v="Cash"/>
    <s v="Retail"/>
    <s v="South-Bob"/>
  </r>
  <r>
    <x v="43"/>
    <x v="90"/>
    <d v="2023-12-27T00:00:00"/>
    <x v="1"/>
    <s v="East"/>
    <n v="4752.88"/>
    <n v="40"/>
    <x v="1"/>
    <n v="1447.72"/>
    <n v="1875.75"/>
    <s v="New"/>
    <n v="0.13"/>
    <s v="Cash"/>
    <s v="Retail"/>
    <s v="East-David"/>
  </r>
  <r>
    <x v="40"/>
    <x v="48"/>
    <d v="2023-08-17T00:00:00"/>
    <x v="0"/>
    <s v="West"/>
    <n v="8912.4"/>
    <n v="33"/>
    <x v="2"/>
    <n v="450.72"/>
    <n v="918.17000000000007"/>
    <s v="Returning"/>
    <n v="0.11"/>
    <s v="Cash"/>
    <s v="Online"/>
    <s v="West-Bob"/>
  </r>
  <r>
    <x v="9"/>
    <x v="91"/>
    <d v="2023-09-27T00:00:00"/>
    <x v="3"/>
    <s v="North"/>
    <n v="7106.44"/>
    <n v="12"/>
    <x v="2"/>
    <n v="4389.24"/>
    <n v="4856.2199999999993"/>
    <s v="Returning"/>
    <n v="0.15"/>
    <s v="Cash"/>
    <s v="Retail"/>
    <s v="North-Eve"/>
  </r>
  <r>
    <x v="66"/>
    <x v="92"/>
    <d v="2023-11-12T00:00:00"/>
    <x v="4"/>
    <s v="North"/>
    <n v="715.81"/>
    <n v="8"/>
    <x v="3"/>
    <n v="3657.91"/>
    <n v="3729.27"/>
    <s v="New"/>
    <n v="0.09"/>
    <s v="Bank Transfer"/>
    <s v="Retail"/>
    <s v="North-Alice"/>
  </r>
  <r>
    <x v="45"/>
    <x v="93"/>
    <d v="2023-10-13T00:00:00"/>
    <x v="3"/>
    <s v="West"/>
    <n v="1558.3"/>
    <n v="24"/>
    <x v="3"/>
    <n v="1542.24"/>
    <n v="1739.45"/>
    <s v="Returning"/>
    <n v="0.21"/>
    <s v="Bank Transfer"/>
    <s v="Retail"/>
    <s v="West-Eve"/>
  </r>
  <r>
    <x v="9"/>
    <x v="10"/>
    <d v="2023-10-18T00:00:00"/>
    <x v="3"/>
    <s v="West"/>
    <n v="177.63"/>
    <n v="16"/>
    <x v="0"/>
    <n v="3016.9"/>
    <n v="3040.73"/>
    <s v="New"/>
    <n v="0.26"/>
    <s v="Bank Transfer"/>
    <s v="Retail"/>
    <s v="West-Eve"/>
  </r>
  <r>
    <x v="53"/>
    <x v="94"/>
    <d v="2023-08-01T00:00:00"/>
    <x v="0"/>
    <s v="South"/>
    <n v="6346.13"/>
    <n v="4"/>
    <x v="3"/>
    <n v="1046.26"/>
    <n v="1475.29"/>
    <s v="Returning"/>
    <n v="0.09"/>
    <s v="Bank Transfer"/>
    <s v="Retail"/>
    <s v="South-Bob"/>
  </r>
  <r>
    <x v="67"/>
    <x v="95"/>
    <d v="2023-06-14T00:00:00"/>
    <x v="4"/>
    <s v="South"/>
    <n v="4531.97"/>
    <n v="38"/>
    <x v="0"/>
    <n v="4456.67"/>
    <n v="4642.46"/>
    <s v="New"/>
    <n v="0.06"/>
    <s v="Bank Transfer"/>
    <s v="Online"/>
    <s v="South-Alice"/>
  </r>
  <r>
    <x v="48"/>
    <x v="96"/>
    <d v="2023-01-05T00:00:00"/>
    <x v="0"/>
    <s v="South"/>
    <n v="1429.32"/>
    <n v="44"/>
    <x v="1"/>
    <n v="618.79"/>
    <n v="938.04"/>
    <s v="Returning"/>
    <n v="0.03"/>
    <s v="Cash"/>
    <s v="Online"/>
    <s v="South-Bob"/>
  </r>
  <r>
    <x v="45"/>
    <x v="93"/>
    <d v="2023-12-05T00:00:00"/>
    <x v="2"/>
    <s v="East"/>
    <n v="9583.5499999999993"/>
    <n v="27"/>
    <x v="3"/>
    <n v="68.989999999999995"/>
    <n v="429.29"/>
    <s v="Returning"/>
    <n v="0.18"/>
    <s v="Credit Card"/>
    <s v="Retail"/>
    <s v="East-Charlie"/>
  </r>
  <r>
    <x v="46"/>
    <x v="97"/>
    <d v="2023-03-19T00:00:00"/>
    <x v="0"/>
    <s v="South"/>
    <n v="5343.63"/>
    <n v="9"/>
    <x v="2"/>
    <n v="2534.94"/>
    <n v="2755.56"/>
    <s v="Returning"/>
    <n v="0.13"/>
    <s v="Credit Card"/>
    <s v="Retail"/>
    <s v="South-Bob"/>
  </r>
  <r>
    <x v="46"/>
    <x v="98"/>
    <d v="2023-03-03T00:00:00"/>
    <x v="0"/>
    <s v="West"/>
    <n v="2494.7399999999998"/>
    <n v="47"/>
    <x v="3"/>
    <n v="2936.48"/>
    <n v="3096.64"/>
    <s v="New"/>
    <n v="0.06"/>
    <s v="Bank Transfer"/>
    <s v="Online"/>
    <s v="West-Bob"/>
  </r>
  <r>
    <x v="20"/>
    <x v="24"/>
    <d v="2023-05-12T00:00:00"/>
    <x v="0"/>
    <s v="North"/>
    <n v="5055.9799999999996"/>
    <n v="16"/>
    <x v="0"/>
    <n v="2915.88"/>
    <n v="3397.36"/>
    <s v="New"/>
    <n v="0.2"/>
    <s v="Bank Transfer"/>
    <s v="Retail"/>
    <s v="North-Bob"/>
  </r>
  <r>
    <x v="68"/>
    <x v="99"/>
    <d v="2023-03-30T00:00:00"/>
    <x v="4"/>
    <s v="East"/>
    <n v="6828.24"/>
    <n v="12"/>
    <x v="3"/>
    <n v="319.83"/>
    <n v="802.43000000000006"/>
    <s v="New"/>
    <n v="0.04"/>
    <s v="Credit Card"/>
    <s v="Retail"/>
    <s v="East-Alice"/>
  </r>
  <r>
    <x v="62"/>
    <x v="85"/>
    <d v="2023-08-25T00:00:00"/>
    <x v="0"/>
    <s v="South"/>
    <n v="854.77"/>
    <n v="31"/>
    <x v="1"/>
    <n v="1604.52"/>
    <n v="1756.34"/>
    <s v="Returning"/>
    <n v="0.17"/>
    <s v="Cash"/>
    <s v="Retail"/>
    <s v="South-Bob"/>
  </r>
  <r>
    <x v="69"/>
    <x v="100"/>
    <d v="2023-02-11T00:00:00"/>
    <x v="4"/>
    <s v="East"/>
    <n v="2819.57"/>
    <n v="24"/>
    <x v="2"/>
    <n v="2521.0300000000002"/>
    <n v="2766.05"/>
    <s v="Returning"/>
    <n v="0.16"/>
    <s v="Bank Transfer"/>
    <s v="Retail"/>
    <s v="East-Alice"/>
  </r>
  <r>
    <x v="34"/>
    <x v="101"/>
    <d v="2023-03-30T00:00:00"/>
    <x v="1"/>
    <s v="East"/>
    <n v="8088.96"/>
    <n v="14"/>
    <x v="0"/>
    <n v="1122.07"/>
    <n v="1608.76"/>
    <s v="New"/>
    <n v="0.22"/>
    <s v="Cash"/>
    <s v="Retail"/>
    <s v="East-David"/>
  </r>
  <r>
    <x v="35"/>
    <x v="102"/>
    <d v="2023-10-23T00:00:00"/>
    <x v="2"/>
    <s v="South"/>
    <n v="4650.68"/>
    <n v="45"/>
    <x v="2"/>
    <n v="4369.5"/>
    <n v="4381.8900000000003"/>
    <s v="Returning"/>
    <n v="0.02"/>
    <s v="Credit Card"/>
    <s v="Retail"/>
    <s v="South-Charlie"/>
  </r>
  <r>
    <x v="3"/>
    <x v="3"/>
    <d v="2023-11-24T00:00:00"/>
    <x v="4"/>
    <s v="East"/>
    <n v="5511.11"/>
    <n v="25"/>
    <x v="2"/>
    <n v="481.19"/>
    <n v="693.4"/>
    <s v="New"/>
    <n v="0.27"/>
    <s v="Credit Card"/>
    <s v="Retail"/>
    <s v="East-Alice"/>
  </r>
  <r>
    <x v="70"/>
    <x v="103"/>
    <d v="2023-10-22T00:00:00"/>
    <x v="1"/>
    <s v="North"/>
    <n v="4384.88"/>
    <n v="34"/>
    <x v="0"/>
    <n v="2462.5500000000002"/>
    <n v="2521.77"/>
    <s v="New"/>
    <n v="0.21"/>
    <s v="Bank Transfer"/>
    <s v="Retail"/>
    <s v="North-David"/>
  </r>
  <r>
    <x v="54"/>
    <x v="69"/>
    <d v="2023-04-14T00:00:00"/>
    <x v="4"/>
    <s v="West"/>
    <n v="534.61"/>
    <n v="3"/>
    <x v="2"/>
    <n v="3472.51"/>
    <n v="3732"/>
    <s v="New"/>
    <n v="0.06"/>
    <s v="Cash"/>
    <s v="Online"/>
    <s v="West-Alice"/>
  </r>
  <r>
    <x v="20"/>
    <x v="104"/>
    <d v="2023-01-14T00:00:00"/>
    <x v="4"/>
    <s v="West"/>
    <n v="1740.92"/>
    <n v="24"/>
    <x v="2"/>
    <n v="1345.67"/>
    <n v="1367.76"/>
    <s v="New"/>
    <n v="0.06"/>
    <s v="Bank Transfer"/>
    <s v="Online"/>
    <s v="West-Alice"/>
  </r>
  <r>
    <x v="57"/>
    <x v="105"/>
    <d v="2023-10-15T00:00:00"/>
    <x v="2"/>
    <s v="North"/>
    <n v="4510.8599999999997"/>
    <n v="42"/>
    <x v="3"/>
    <n v="3139.99"/>
    <n v="3349.37"/>
    <s v="Returning"/>
    <n v="0.13"/>
    <s v="Credit Card"/>
    <s v="Retail"/>
    <s v="North-Charlie"/>
  </r>
  <r>
    <x v="71"/>
    <x v="106"/>
    <d v="2023-06-28T00:00:00"/>
    <x v="3"/>
    <s v="East"/>
    <n v="2170.94"/>
    <n v="9"/>
    <x v="2"/>
    <n v="4155.46"/>
    <n v="4273.6000000000004"/>
    <s v="Returning"/>
    <n v="0.25"/>
    <s v="Cash"/>
    <s v="Retail"/>
    <s v="East-Eve"/>
  </r>
  <r>
    <x v="30"/>
    <x v="36"/>
    <d v="2023-05-05T00:00:00"/>
    <x v="3"/>
    <s v="South"/>
    <n v="594.79"/>
    <n v="26"/>
    <x v="2"/>
    <n v="992.17"/>
    <n v="1263.49"/>
    <s v="Returning"/>
    <n v="0.25"/>
    <s v="Bank Transfer"/>
    <s v="Retail"/>
    <s v="South-Eve"/>
  </r>
  <r>
    <x v="9"/>
    <x v="91"/>
    <d v="2023-12-19T00:00:00"/>
    <x v="4"/>
    <s v="East"/>
    <n v="8452.1299999999992"/>
    <n v="20"/>
    <x v="2"/>
    <n v="4590.24"/>
    <n v="5088.28"/>
    <s v="New"/>
    <n v="0.16"/>
    <s v="Bank Transfer"/>
    <s v="Retail"/>
    <s v="East-Alice"/>
  </r>
  <r>
    <x v="72"/>
    <x v="107"/>
    <d v="2023-01-23T00:00:00"/>
    <x v="0"/>
    <s v="North"/>
    <n v="9813.81"/>
    <n v="40"/>
    <x v="2"/>
    <n v="2790.11"/>
    <n v="3192.37"/>
    <s v="Returning"/>
    <n v="0.26"/>
    <s v="Bank Transfer"/>
    <s v="Online"/>
    <s v="North-Bob"/>
  </r>
  <r>
    <x v="73"/>
    <x v="108"/>
    <d v="2023-03-04T00:00:00"/>
    <x v="1"/>
    <s v="East"/>
    <n v="7952.11"/>
    <n v="10"/>
    <x v="0"/>
    <n v="1531.2"/>
    <n v="1955.56"/>
    <s v="New"/>
    <n v="0"/>
    <s v="Credit Card"/>
    <s v="Online"/>
    <s v="East-David"/>
  </r>
  <r>
    <x v="44"/>
    <x v="55"/>
    <d v="2023-05-23T00:00:00"/>
    <x v="0"/>
    <s v="West"/>
    <n v="8552.4699999999993"/>
    <n v="19"/>
    <x v="1"/>
    <n v="2182.75"/>
    <n v="2504.0299999999997"/>
    <s v="New"/>
    <n v="0.01"/>
    <s v="Bank Transfer"/>
    <s v="Online"/>
    <s v="West-Bob"/>
  </r>
  <r>
    <x v="74"/>
    <x v="109"/>
    <d v="2023-06-02T00:00:00"/>
    <x v="0"/>
    <s v="East"/>
    <n v="2495.5700000000002"/>
    <n v="3"/>
    <x v="3"/>
    <n v="1595.35"/>
    <n v="1625.7099999999998"/>
    <s v="New"/>
    <n v="0.27"/>
    <s v="Cash"/>
    <s v="Online"/>
    <s v="East-Bob"/>
  </r>
  <r>
    <x v="25"/>
    <x v="110"/>
    <d v="2023-05-25T00:00:00"/>
    <x v="4"/>
    <s v="North"/>
    <n v="9610.2099999999991"/>
    <n v="24"/>
    <x v="2"/>
    <n v="3639.3"/>
    <n v="3750.63"/>
    <s v="New"/>
    <n v="0.23"/>
    <s v="Bank Transfer"/>
    <s v="Retail"/>
    <s v="North-Alice"/>
  </r>
  <r>
    <x v="46"/>
    <x v="97"/>
    <d v="2023-08-13T00:00:00"/>
    <x v="4"/>
    <s v="West"/>
    <n v="2049.56"/>
    <n v="5"/>
    <x v="2"/>
    <n v="3991.69"/>
    <n v="4454.97"/>
    <s v="New"/>
    <n v="0.14000000000000001"/>
    <s v="Credit Card"/>
    <s v="Retail"/>
    <s v="West-Alice"/>
  </r>
  <r>
    <x v="65"/>
    <x v="111"/>
    <d v="2023-11-05T00:00:00"/>
    <x v="4"/>
    <s v="East"/>
    <n v="9519.16"/>
    <n v="3"/>
    <x v="0"/>
    <n v="4173.04"/>
    <n v="4362.4399999999996"/>
    <s v="New"/>
    <n v="0.23"/>
    <s v="Bank Transfer"/>
    <s v="Retail"/>
    <s v="East-Alice"/>
  </r>
  <r>
    <x v="73"/>
    <x v="112"/>
    <d v="2023-04-14T00:00:00"/>
    <x v="4"/>
    <s v="East"/>
    <n v="9948.7099999999991"/>
    <n v="27"/>
    <x v="1"/>
    <n v="4929.55"/>
    <n v="4990.33"/>
    <s v="Returning"/>
    <n v="0.28999999999999998"/>
    <s v="Credit Card"/>
    <s v="Online"/>
    <s v="East-Alice"/>
  </r>
  <r>
    <x v="31"/>
    <x v="113"/>
    <d v="2023-04-14T00:00:00"/>
    <x v="3"/>
    <s v="West"/>
    <n v="7146.06"/>
    <n v="16"/>
    <x v="2"/>
    <n v="3966.86"/>
    <n v="4321.04"/>
    <s v="Returning"/>
    <n v="0.23"/>
    <s v="Credit Card"/>
    <s v="Retail"/>
    <s v="West-Eve"/>
  </r>
  <r>
    <x v="47"/>
    <x v="58"/>
    <d v="2023-02-08T00:00:00"/>
    <x v="4"/>
    <s v="South"/>
    <n v="9813.32"/>
    <n v="49"/>
    <x v="0"/>
    <n v="3026.85"/>
    <n v="3183.58"/>
    <s v="Returning"/>
    <n v="0.25"/>
    <s v="Cash"/>
    <s v="Retail"/>
    <s v="South-Alice"/>
  </r>
  <r>
    <x v="12"/>
    <x v="114"/>
    <d v="2023-07-17T00:00:00"/>
    <x v="3"/>
    <s v="West"/>
    <n v="5738.44"/>
    <n v="15"/>
    <x v="3"/>
    <n v="1729.14"/>
    <n v="1870.88"/>
    <s v="Returning"/>
    <n v="0.23"/>
    <s v="Cash"/>
    <s v="Online"/>
    <s v="West-Eve"/>
  </r>
  <r>
    <x v="66"/>
    <x v="92"/>
    <d v="2023-05-14T00:00:00"/>
    <x v="3"/>
    <s v="South"/>
    <n v="2669.46"/>
    <n v="35"/>
    <x v="3"/>
    <n v="2745.75"/>
    <n v="3244.76"/>
    <s v="New"/>
    <n v="0.05"/>
    <s v="Bank Transfer"/>
    <s v="Online"/>
    <s v="South-Eve"/>
  </r>
  <r>
    <x v="68"/>
    <x v="115"/>
    <d v="2023-03-08T00:00:00"/>
    <x v="4"/>
    <s v="North"/>
    <n v="4426.26"/>
    <n v="12"/>
    <x v="2"/>
    <n v="253.29"/>
    <n v="683.78"/>
    <s v="New"/>
    <n v="0.25"/>
    <s v="Credit Card"/>
    <s v="Online"/>
    <s v="North-Alice"/>
  </r>
  <r>
    <x v="41"/>
    <x v="67"/>
    <d v="2023-06-28T00:00:00"/>
    <x v="2"/>
    <s v="North"/>
    <n v="5976.25"/>
    <n v="41"/>
    <x v="2"/>
    <n v="3736.88"/>
    <n v="3946.77"/>
    <s v="Returning"/>
    <n v="0.06"/>
    <s v="Credit Card"/>
    <s v="Online"/>
    <s v="North-Charlie"/>
  </r>
  <r>
    <x v="39"/>
    <x v="47"/>
    <d v="2023-02-11T00:00:00"/>
    <x v="1"/>
    <s v="West"/>
    <n v="823.51"/>
    <n v="44"/>
    <x v="1"/>
    <n v="2257.48"/>
    <n v="2747.81"/>
    <s v="Returning"/>
    <n v="0.27"/>
    <s v="Cash"/>
    <s v="Online"/>
    <s v="West-David"/>
  </r>
  <r>
    <x v="75"/>
    <x v="116"/>
    <d v="2023-01-15T00:00:00"/>
    <x v="0"/>
    <s v="West"/>
    <n v="6261.2"/>
    <n v="26"/>
    <x v="1"/>
    <n v="149.11000000000001"/>
    <n v="477.67"/>
    <s v="Returning"/>
    <n v="0.14000000000000001"/>
    <s v="Cash"/>
    <s v="Retail"/>
    <s v="West-Bob"/>
  </r>
  <r>
    <x v="40"/>
    <x v="48"/>
    <d v="2023-04-21T00:00:00"/>
    <x v="3"/>
    <s v="North"/>
    <n v="9813.66"/>
    <n v="47"/>
    <x v="2"/>
    <n v="359.41"/>
    <n v="733"/>
    <s v="Returning"/>
    <n v="0.2"/>
    <s v="Bank Transfer"/>
    <s v="Retail"/>
    <s v="North-Eve"/>
  </r>
  <r>
    <x v="76"/>
    <x v="117"/>
    <d v="2023-06-06T00:00:00"/>
    <x v="1"/>
    <s v="South"/>
    <n v="1982.07"/>
    <n v="34"/>
    <x v="0"/>
    <n v="1967.96"/>
    <n v="1993.4"/>
    <s v="Returning"/>
    <n v="0.15"/>
    <s v="Credit Card"/>
    <s v="Online"/>
    <s v="South-David"/>
  </r>
  <r>
    <x v="2"/>
    <x v="2"/>
    <d v="2023-10-16T00:00:00"/>
    <x v="2"/>
    <s v="North"/>
    <n v="7946.69"/>
    <n v="23"/>
    <x v="1"/>
    <n v="2937.94"/>
    <n v="3007.53"/>
    <s v="Returning"/>
    <n v="0.03"/>
    <s v="Cash"/>
    <s v="Retail"/>
    <s v="North-Charlie"/>
  </r>
  <r>
    <x v="41"/>
    <x v="67"/>
    <d v="2023-08-19T00:00:00"/>
    <x v="0"/>
    <s v="West"/>
    <n v="9088.2000000000007"/>
    <n v="31"/>
    <x v="2"/>
    <n v="2347.81"/>
    <n v="2668.02"/>
    <s v="Returning"/>
    <n v="0.09"/>
    <s v="Bank Transfer"/>
    <s v="Retail"/>
    <s v="West-Bob"/>
  </r>
  <r>
    <x v="27"/>
    <x v="32"/>
    <d v="2023-06-06T00:00:00"/>
    <x v="0"/>
    <s v="North"/>
    <n v="9442.65"/>
    <n v="20"/>
    <x v="1"/>
    <n v="3115.06"/>
    <n v="3565.58"/>
    <s v="Returning"/>
    <n v="0.3"/>
    <s v="Credit Card"/>
    <s v="Retail"/>
    <s v="North-Bob"/>
  </r>
  <r>
    <x v="77"/>
    <x v="118"/>
    <d v="2023-02-07T00:00:00"/>
    <x v="3"/>
    <s v="West"/>
    <n v="9605.34"/>
    <n v="12"/>
    <x v="2"/>
    <n v="2427.46"/>
    <n v="2743.09"/>
    <s v="New"/>
    <n v="0.28999999999999998"/>
    <s v="Credit Card"/>
    <s v="Retail"/>
    <s v="West-Eve"/>
  </r>
  <r>
    <x v="32"/>
    <x v="39"/>
    <d v="2023-04-07T00:00:00"/>
    <x v="4"/>
    <s v="West"/>
    <n v="5262.45"/>
    <n v="23"/>
    <x v="3"/>
    <n v="3325.43"/>
    <n v="3401.1"/>
    <s v="New"/>
    <n v="0.1"/>
    <s v="Cash"/>
    <s v="Online"/>
    <s v="West-Alice"/>
  </r>
  <r>
    <x v="53"/>
    <x v="119"/>
    <d v="2023-10-16T00:00:00"/>
    <x v="2"/>
    <s v="North"/>
    <n v="9775.35"/>
    <n v="4"/>
    <x v="2"/>
    <n v="1134.67"/>
    <n v="1201.3900000000001"/>
    <s v="New"/>
    <n v="0.3"/>
    <s v="Bank Transfer"/>
    <s v="Retail"/>
    <s v="North-Charlie"/>
  </r>
  <r>
    <x v="78"/>
    <x v="120"/>
    <d v="2023-09-11T00:00:00"/>
    <x v="3"/>
    <s v="South"/>
    <n v="7597.37"/>
    <n v="23"/>
    <x v="3"/>
    <n v="608.57000000000005"/>
    <n v="1032.22"/>
    <s v="New"/>
    <n v="0.25"/>
    <s v="Cash"/>
    <s v="Retail"/>
    <s v="South-Eve"/>
  </r>
  <r>
    <x v="0"/>
    <x v="121"/>
    <d v="2023-07-15T00:00:00"/>
    <x v="2"/>
    <s v="East"/>
    <n v="1700.55"/>
    <n v="48"/>
    <x v="1"/>
    <n v="3002.35"/>
    <n v="3080.61"/>
    <s v="Returning"/>
    <n v="0.18"/>
    <s v="Bank Transfer"/>
    <s v="Retail"/>
    <s v="East-Charlie"/>
  </r>
  <r>
    <x v="78"/>
    <x v="122"/>
    <d v="2023-03-27T00:00:00"/>
    <x v="4"/>
    <s v="North"/>
    <n v="4821.3100000000004"/>
    <n v="48"/>
    <x v="2"/>
    <n v="2449.21"/>
    <n v="2714.12"/>
    <s v="New"/>
    <n v="0.01"/>
    <s v="Credit Card"/>
    <s v="Online"/>
    <s v="North-Alice"/>
  </r>
  <r>
    <x v="38"/>
    <x v="123"/>
    <d v="2023-11-18T00:00:00"/>
    <x v="4"/>
    <s v="East"/>
    <n v="7211.48"/>
    <n v="1"/>
    <x v="1"/>
    <n v="182.99"/>
    <n v="211.18"/>
    <s v="Returning"/>
    <n v="0.27"/>
    <s v="Bank Transfer"/>
    <s v="Retail"/>
    <s v="East-Alice"/>
  </r>
  <r>
    <x v="79"/>
    <x v="124"/>
    <d v="2023-01-10T00:00:00"/>
    <x v="3"/>
    <s v="North"/>
    <n v="2548.67"/>
    <n v="25"/>
    <x v="3"/>
    <n v="1933.39"/>
    <n v="1982.92"/>
    <s v="New"/>
    <n v="0.17"/>
    <s v="Bank Transfer"/>
    <s v="Online"/>
    <s v="North-Eve"/>
  </r>
  <r>
    <x v="71"/>
    <x v="106"/>
    <d v="2023-01-05T00:00:00"/>
    <x v="4"/>
    <s v="East"/>
    <n v="6442.09"/>
    <n v="2"/>
    <x v="2"/>
    <n v="575.32000000000005"/>
    <n v="914.77"/>
    <s v="Returning"/>
    <n v="0.26"/>
    <s v="Bank Transfer"/>
    <s v="Online"/>
    <s v="East-Alice"/>
  </r>
  <r>
    <x v="2"/>
    <x v="2"/>
    <d v="2023-05-03T00:00:00"/>
    <x v="1"/>
    <s v="South"/>
    <n v="6699.34"/>
    <n v="30"/>
    <x v="1"/>
    <n v="2680.22"/>
    <n v="3027.9199999999996"/>
    <s v="Returning"/>
    <n v="0.25"/>
    <s v="Bank Transfer"/>
    <s v="Online"/>
    <s v="South-David"/>
  </r>
  <r>
    <x v="80"/>
    <x v="125"/>
    <d v="2023-11-26T00:00:00"/>
    <x v="0"/>
    <s v="South"/>
    <n v="1710.73"/>
    <n v="3"/>
    <x v="3"/>
    <n v="2009.1"/>
    <n v="2186.42"/>
    <s v="New"/>
    <n v="0.25"/>
    <s v="Bank Transfer"/>
    <s v="Online"/>
    <s v="South-Bob"/>
  </r>
  <r>
    <x v="63"/>
    <x v="126"/>
    <d v="2023-12-19T00:00:00"/>
    <x v="3"/>
    <s v="North"/>
    <n v="5694.34"/>
    <n v="21"/>
    <x v="1"/>
    <n v="3085.1"/>
    <n v="3200.75"/>
    <s v="New"/>
    <n v="0.21"/>
    <s v="Cash"/>
    <s v="Retail"/>
    <s v="North-Eve"/>
  </r>
  <r>
    <x v="49"/>
    <x v="127"/>
    <d v="2023-04-28T00:00:00"/>
    <x v="2"/>
    <s v="West"/>
    <n v="7739.11"/>
    <n v="25"/>
    <x v="0"/>
    <n v="4037.73"/>
    <n v="4446.45"/>
    <s v="Returning"/>
    <n v="0.09"/>
    <s v="Bank Transfer"/>
    <s v="Online"/>
    <s v="West-Charlie"/>
  </r>
  <r>
    <x v="81"/>
    <x v="128"/>
    <d v="2023-10-21T00:00:00"/>
    <x v="1"/>
    <s v="East"/>
    <n v="5039.07"/>
    <n v="20"/>
    <x v="3"/>
    <n v="1533.36"/>
    <n v="1649.7399999999998"/>
    <s v="Returning"/>
    <n v="0.1"/>
    <s v="Bank Transfer"/>
    <s v="Online"/>
    <s v="East-David"/>
  </r>
  <r>
    <x v="82"/>
    <x v="129"/>
    <d v="2023-06-08T00:00:00"/>
    <x v="3"/>
    <s v="West"/>
    <n v="219.82"/>
    <n v="49"/>
    <x v="3"/>
    <n v="4812.41"/>
    <n v="5088"/>
    <s v="Returning"/>
    <n v="0.09"/>
    <s v="Credit Card"/>
    <s v="Online"/>
    <s v="West-Eve"/>
  </r>
  <r>
    <x v="43"/>
    <x v="130"/>
    <d v="2023-10-30T00:00:00"/>
    <x v="4"/>
    <s v="West"/>
    <n v="189.48"/>
    <n v="22"/>
    <x v="3"/>
    <n v="2701.39"/>
    <n v="3185.81"/>
    <s v="New"/>
    <n v="0.01"/>
    <s v="Bank Transfer"/>
    <s v="Online"/>
    <s v="West-Alice"/>
  </r>
  <r>
    <x v="26"/>
    <x v="131"/>
    <d v="2023-08-16T00:00:00"/>
    <x v="4"/>
    <s v="West"/>
    <n v="3634.59"/>
    <n v="21"/>
    <x v="2"/>
    <n v="3110.54"/>
    <n v="3192.99"/>
    <s v="New"/>
    <n v="0.17"/>
    <s v="Credit Card"/>
    <s v="Online"/>
    <s v="West-Alice"/>
  </r>
  <r>
    <x v="74"/>
    <x v="132"/>
    <d v="2023-12-31T00:00:00"/>
    <x v="4"/>
    <s v="South"/>
    <n v="9269.32"/>
    <n v="33"/>
    <x v="2"/>
    <n v="3419.33"/>
    <n v="3890.3599999999997"/>
    <s v="Returning"/>
    <n v="0.21"/>
    <s v="Cash"/>
    <s v="Retail"/>
    <s v="South-Alice"/>
  </r>
  <r>
    <x v="69"/>
    <x v="100"/>
    <d v="2023-08-04T00:00:00"/>
    <x v="4"/>
    <s v="North"/>
    <n v="2363.9"/>
    <n v="38"/>
    <x v="2"/>
    <n v="3350.32"/>
    <n v="3449.94"/>
    <s v="New"/>
    <n v="0.26"/>
    <s v="Cash"/>
    <s v="Online"/>
    <s v="North-Alice"/>
  </r>
  <r>
    <x v="83"/>
    <x v="133"/>
    <d v="2023-07-03T00:00:00"/>
    <x v="2"/>
    <s v="North"/>
    <n v="6380.2"/>
    <n v="15"/>
    <x v="0"/>
    <n v="2579.31"/>
    <n v="2867.36"/>
    <s v="Returning"/>
    <n v="0.04"/>
    <s v="Bank Transfer"/>
    <s v="Retail"/>
    <s v="North-Charlie"/>
  </r>
  <r>
    <x v="27"/>
    <x v="134"/>
    <d v="2023-01-15T00:00:00"/>
    <x v="1"/>
    <s v="South"/>
    <n v="2298.5500000000002"/>
    <n v="46"/>
    <x v="0"/>
    <n v="2172.38"/>
    <n v="2367.11"/>
    <s v="New"/>
    <n v="0.16"/>
    <s v="Cash"/>
    <s v="Retail"/>
    <s v="South-David"/>
  </r>
  <r>
    <x v="64"/>
    <x v="135"/>
    <d v="2023-06-06T00:00:00"/>
    <x v="0"/>
    <s v="South"/>
    <n v="3284.53"/>
    <n v="15"/>
    <x v="3"/>
    <n v="316.22000000000003"/>
    <n v="799.04"/>
    <s v="New"/>
    <n v="0"/>
    <s v="Bank Transfer"/>
    <s v="Online"/>
    <s v="South-Bob"/>
  </r>
  <r>
    <x v="30"/>
    <x v="37"/>
    <d v="2023-05-16T00:00:00"/>
    <x v="2"/>
    <s v="North"/>
    <n v="8495.6200000000008"/>
    <n v="46"/>
    <x v="0"/>
    <n v="159.32"/>
    <n v="303.36"/>
    <s v="New"/>
    <n v="0.03"/>
    <s v="Cash"/>
    <s v="Retail"/>
    <s v="North-Charlie"/>
  </r>
  <r>
    <x v="84"/>
    <x v="136"/>
    <d v="2023-09-18T00:00:00"/>
    <x v="2"/>
    <s v="West"/>
    <n v="7315.73"/>
    <n v="25"/>
    <x v="1"/>
    <n v="1821.91"/>
    <n v="2027.74"/>
    <s v="New"/>
    <n v="0.02"/>
    <s v="Bank Transfer"/>
    <s v="Retail"/>
    <s v="West-Charlie"/>
  </r>
  <r>
    <x v="51"/>
    <x v="137"/>
    <d v="2023-06-06T00:00:00"/>
    <x v="0"/>
    <s v="East"/>
    <n v="1044.45"/>
    <n v="21"/>
    <x v="3"/>
    <n v="1701.62"/>
    <n v="2193.2199999999998"/>
    <s v="New"/>
    <n v="0.22"/>
    <s v="Bank Transfer"/>
    <s v="Retail"/>
    <s v="East-Bob"/>
  </r>
  <r>
    <x v="69"/>
    <x v="138"/>
    <d v="2023-02-16T00:00:00"/>
    <x v="0"/>
    <s v="East"/>
    <n v="4344.1499999999996"/>
    <n v="24"/>
    <x v="3"/>
    <n v="1969.09"/>
    <n v="2241.96"/>
    <s v="Returning"/>
    <n v="0.02"/>
    <s v="Credit Card"/>
    <s v="Online"/>
    <s v="East-Bob"/>
  </r>
  <r>
    <x v="69"/>
    <x v="139"/>
    <d v="2023-11-20T00:00:00"/>
    <x v="4"/>
    <s v="East"/>
    <n v="388.78"/>
    <n v="5"/>
    <x v="1"/>
    <n v="734.92"/>
    <n v="991.21"/>
    <s v="Returning"/>
    <n v="0.21"/>
    <s v="Credit Card"/>
    <s v="Online"/>
    <s v="East-Alice"/>
  </r>
  <r>
    <x v="44"/>
    <x v="140"/>
    <d v="2023-11-28T00:00:00"/>
    <x v="2"/>
    <s v="West"/>
    <n v="4860.8100000000004"/>
    <n v="6"/>
    <x v="3"/>
    <n v="3703.93"/>
    <n v="3840.24"/>
    <s v="New"/>
    <n v="7.0000000000000007E-2"/>
    <s v="Credit Card"/>
    <s v="Online"/>
    <s v="West-Charlie"/>
  </r>
  <r>
    <x v="42"/>
    <x v="52"/>
    <d v="2023-06-22T00:00:00"/>
    <x v="3"/>
    <s v="North"/>
    <n v="6658.1"/>
    <n v="49"/>
    <x v="0"/>
    <n v="4291.97"/>
    <n v="4645.6400000000003"/>
    <s v="Returning"/>
    <n v="0.26"/>
    <s v="Credit Card"/>
    <s v="Online"/>
    <s v="North-Eve"/>
  </r>
  <r>
    <x v="16"/>
    <x v="18"/>
    <d v="2023-05-10T00:00:00"/>
    <x v="0"/>
    <s v="South"/>
    <n v="1273.18"/>
    <n v="43"/>
    <x v="2"/>
    <n v="4696.6400000000003"/>
    <n v="4713.68"/>
    <s v="Returning"/>
    <n v="0.24"/>
    <s v="Bank Transfer"/>
    <s v="Online"/>
    <s v="South-Bob"/>
  </r>
  <r>
    <x v="30"/>
    <x v="76"/>
    <d v="2023-04-05T00:00:00"/>
    <x v="0"/>
    <s v="North"/>
    <n v="2959.96"/>
    <n v="48"/>
    <x v="1"/>
    <n v="2487.19"/>
    <n v="2521.4500000000003"/>
    <s v="New"/>
    <n v="0.28999999999999998"/>
    <s v="Cash"/>
    <s v="Online"/>
    <s v="North-Bob"/>
  </r>
  <r>
    <x v="8"/>
    <x v="8"/>
    <d v="2023-04-25T00:00:00"/>
    <x v="1"/>
    <s v="West"/>
    <n v="4038.58"/>
    <n v="44"/>
    <x v="0"/>
    <n v="3519.29"/>
    <n v="3822.98"/>
    <s v="Returning"/>
    <n v="0.27"/>
    <s v="Bank Transfer"/>
    <s v="Online"/>
    <s v="West-David"/>
  </r>
  <r>
    <x v="28"/>
    <x v="141"/>
    <d v="2023-08-31T00:00:00"/>
    <x v="3"/>
    <s v="South"/>
    <n v="9203.36"/>
    <n v="47"/>
    <x v="1"/>
    <n v="4284.9799999999996"/>
    <n v="4462.3999999999996"/>
    <s v="New"/>
    <n v="0.28000000000000003"/>
    <s v="Credit Card"/>
    <s v="Retail"/>
    <s v="South-Eve"/>
  </r>
  <r>
    <x v="23"/>
    <x v="89"/>
    <d v="2023-10-19T00:00:00"/>
    <x v="3"/>
    <s v="West"/>
    <n v="9933.2199999999993"/>
    <n v="23"/>
    <x v="1"/>
    <n v="2120.54"/>
    <n v="2597.67"/>
    <s v="Returning"/>
    <n v="0.26"/>
    <s v="Credit Card"/>
    <s v="Retail"/>
    <s v="West-Eve"/>
  </r>
  <r>
    <x v="30"/>
    <x v="142"/>
    <d v="2023-10-09T00:00:00"/>
    <x v="0"/>
    <s v="East"/>
    <n v="544.62"/>
    <n v="4"/>
    <x v="3"/>
    <n v="1581.59"/>
    <n v="2034.1499999999999"/>
    <s v="Returning"/>
    <n v="0.21"/>
    <s v="Cash"/>
    <s v="Online"/>
    <s v="East-Bob"/>
  </r>
  <r>
    <x v="85"/>
    <x v="143"/>
    <d v="2023-10-26T00:00:00"/>
    <x v="4"/>
    <s v="East"/>
    <n v="7633.98"/>
    <n v="27"/>
    <x v="3"/>
    <n v="4686.79"/>
    <n v="5046.51"/>
    <s v="Returning"/>
    <n v="0.05"/>
    <s v="Credit Card"/>
    <s v="Retail"/>
    <s v="East-Alice"/>
  </r>
  <r>
    <x v="66"/>
    <x v="144"/>
    <d v="2023-10-10T00:00:00"/>
    <x v="1"/>
    <s v="West"/>
    <n v="3780.07"/>
    <n v="18"/>
    <x v="0"/>
    <n v="2602.6"/>
    <n v="3013.49"/>
    <s v="Returning"/>
    <n v="0.08"/>
    <s v="Bank Transfer"/>
    <s v="Online"/>
    <s v="West-David"/>
  </r>
  <r>
    <x v="75"/>
    <x v="116"/>
    <d v="2023-03-10T00:00:00"/>
    <x v="3"/>
    <s v="South"/>
    <n v="3985.34"/>
    <n v="21"/>
    <x v="1"/>
    <n v="2511.41"/>
    <n v="2848.3999999999996"/>
    <s v="Returning"/>
    <n v="0.06"/>
    <s v="Bank Transfer"/>
    <s v="Online"/>
    <s v="South-Eve"/>
  </r>
  <r>
    <x v="30"/>
    <x v="142"/>
    <d v="2023-05-28T00:00:00"/>
    <x v="0"/>
    <s v="South"/>
    <n v="7567.22"/>
    <n v="28"/>
    <x v="3"/>
    <n v="933.16"/>
    <n v="1004.6999999999999"/>
    <s v="Returning"/>
    <n v="0.18"/>
    <s v="Bank Transfer"/>
    <s v="Online"/>
    <s v="South-Bob"/>
  </r>
  <r>
    <x v="77"/>
    <x v="145"/>
    <d v="2023-01-11T00:00:00"/>
    <x v="3"/>
    <s v="North"/>
    <n v="9192.42"/>
    <n v="35"/>
    <x v="3"/>
    <n v="585.37"/>
    <n v="970.49"/>
    <s v="Returning"/>
    <n v="0.15"/>
    <s v="Bank Transfer"/>
    <s v="Retail"/>
    <s v="North-Eve"/>
  </r>
  <r>
    <x v="12"/>
    <x v="146"/>
    <d v="2023-09-11T00:00:00"/>
    <x v="1"/>
    <s v="East"/>
    <n v="9514.19"/>
    <n v="22"/>
    <x v="1"/>
    <n v="4218.43"/>
    <n v="4331.42"/>
    <s v="New"/>
    <n v="0.26"/>
    <s v="Bank Transfer"/>
    <s v="Online"/>
    <s v="East-David"/>
  </r>
  <r>
    <x v="86"/>
    <x v="147"/>
    <d v="2023-11-26T00:00:00"/>
    <x v="1"/>
    <s v="North"/>
    <n v="5813.51"/>
    <n v="40"/>
    <x v="0"/>
    <n v="3089.96"/>
    <n v="3258.45"/>
    <s v="New"/>
    <n v="0.28999999999999998"/>
    <s v="Cash"/>
    <s v="Online"/>
    <s v="North-David"/>
  </r>
  <r>
    <x v="3"/>
    <x v="148"/>
    <d v="2023-12-26T00:00:00"/>
    <x v="2"/>
    <s v="North"/>
    <n v="3635.5"/>
    <n v="23"/>
    <x v="0"/>
    <n v="1662.83"/>
    <n v="2074.25"/>
    <s v="New"/>
    <n v="0.12"/>
    <s v="Bank Transfer"/>
    <s v="Online"/>
    <s v="North-Charlie"/>
  </r>
  <r>
    <x v="75"/>
    <x v="116"/>
    <d v="2023-02-07T00:00:00"/>
    <x v="0"/>
    <s v="West"/>
    <n v="7896.74"/>
    <n v="3"/>
    <x v="1"/>
    <n v="999.09"/>
    <n v="1271.99"/>
    <s v="New"/>
    <n v="0.15"/>
    <s v="Credit Card"/>
    <s v="Online"/>
    <s v="West-Bob"/>
  </r>
  <r>
    <x v="40"/>
    <x v="149"/>
    <d v="2023-05-14T00:00:00"/>
    <x v="1"/>
    <s v="West"/>
    <n v="2584.91"/>
    <n v="40"/>
    <x v="0"/>
    <n v="2799.71"/>
    <n v="3231.08"/>
    <s v="Returning"/>
    <n v="0.28999999999999998"/>
    <s v="Credit Card"/>
    <s v="Retail"/>
    <s v="West-David"/>
  </r>
  <r>
    <x v="30"/>
    <x v="142"/>
    <d v="2023-07-19T00:00:00"/>
    <x v="2"/>
    <s v="North"/>
    <n v="5684.33"/>
    <n v="10"/>
    <x v="3"/>
    <n v="2940.4"/>
    <n v="3054.79"/>
    <s v="Returning"/>
    <n v="0.08"/>
    <s v="Credit Card"/>
    <s v="Online"/>
    <s v="North-Charlie"/>
  </r>
  <r>
    <x v="72"/>
    <x v="150"/>
    <d v="2023-01-23T00:00:00"/>
    <x v="2"/>
    <s v="East"/>
    <n v="3649.93"/>
    <n v="25"/>
    <x v="1"/>
    <n v="1074.6199999999999"/>
    <n v="1382.4299999999998"/>
    <s v="Returning"/>
    <n v="0.24"/>
    <s v="Credit Card"/>
    <s v="Retail"/>
    <s v="East-Charlie"/>
  </r>
  <r>
    <x v="85"/>
    <x v="143"/>
    <d v="2023-10-30T00:00:00"/>
    <x v="3"/>
    <s v="West"/>
    <n v="6600.65"/>
    <n v="49"/>
    <x v="3"/>
    <n v="4264.46"/>
    <n v="4315.5200000000004"/>
    <s v="New"/>
    <n v="7.0000000000000007E-2"/>
    <s v="Cash"/>
    <s v="Retail"/>
    <s v="West-Eve"/>
  </r>
  <r>
    <x v="32"/>
    <x v="151"/>
    <d v="2023-12-12T00:00:00"/>
    <x v="3"/>
    <s v="North"/>
    <n v="2479.9499999999998"/>
    <n v="8"/>
    <x v="2"/>
    <n v="467.11"/>
    <n v="792.21"/>
    <s v="New"/>
    <n v="0.2"/>
    <s v="Credit Card"/>
    <s v="Online"/>
    <s v="North-Eve"/>
  </r>
  <r>
    <x v="44"/>
    <x v="152"/>
    <d v="2023-10-29T00:00:00"/>
    <x v="2"/>
    <s v="North"/>
    <n v="1996.77"/>
    <n v="11"/>
    <x v="2"/>
    <n v="1812.66"/>
    <n v="2196.3000000000002"/>
    <s v="New"/>
    <n v="0.08"/>
    <s v="Cash"/>
    <s v="Online"/>
    <s v="North-Charlie"/>
  </r>
  <r>
    <x v="11"/>
    <x v="153"/>
    <d v="2023-12-29T00:00:00"/>
    <x v="3"/>
    <s v="North"/>
    <n v="9190.57"/>
    <n v="5"/>
    <x v="0"/>
    <n v="3417.9"/>
    <n v="3714.52"/>
    <s v="Returning"/>
    <n v="0.27"/>
    <s v="Credit Card"/>
    <s v="Retail"/>
    <s v="North-Eve"/>
  </r>
  <r>
    <x v="76"/>
    <x v="154"/>
    <d v="2023-08-06T00:00:00"/>
    <x v="1"/>
    <s v="North"/>
    <n v="1107.8599999999999"/>
    <n v="45"/>
    <x v="2"/>
    <n v="1406.9"/>
    <n v="1547.3500000000001"/>
    <s v="New"/>
    <n v="0.17"/>
    <s v="Cash"/>
    <s v="Retail"/>
    <s v="North-David"/>
  </r>
  <r>
    <x v="26"/>
    <x v="155"/>
    <d v="2023-05-21T00:00:00"/>
    <x v="4"/>
    <s v="North"/>
    <n v="5108.9799999999996"/>
    <n v="37"/>
    <x v="3"/>
    <n v="4146.99"/>
    <n v="4172.3499999999995"/>
    <s v="Returning"/>
    <n v="0.06"/>
    <s v="Cash"/>
    <s v="Retail"/>
    <s v="North-Alice"/>
  </r>
  <r>
    <x v="82"/>
    <x v="156"/>
    <d v="2023-04-14T00:00:00"/>
    <x v="1"/>
    <s v="North"/>
    <n v="2286.44"/>
    <n v="45"/>
    <x v="2"/>
    <n v="3712.35"/>
    <n v="3780.88"/>
    <s v="New"/>
    <n v="7.0000000000000007E-2"/>
    <s v="Cash"/>
    <s v="Retail"/>
    <s v="North-David"/>
  </r>
  <r>
    <x v="78"/>
    <x v="120"/>
    <d v="2023-07-29T00:00:00"/>
    <x v="2"/>
    <s v="West"/>
    <n v="485.41"/>
    <n v="38"/>
    <x v="3"/>
    <n v="3955.66"/>
    <n v="4270.59"/>
    <s v="Returning"/>
    <n v="0.15"/>
    <s v="Credit Card"/>
    <s v="Online"/>
    <s v="West-Charlie"/>
  </r>
  <r>
    <x v="9"/>
    <x v="10"/>
    <d v="2023-04-21T00:00:00"/>
    <x v="2"/>
    <s v="East"/>
    <n v="456.59"/>
    <n v="29"/>
    <x v="0"/>
    <n v="639.58000000000004"/>
    <n v="1107.45"/>
    <s v="New"/>
    <n v="0.28999999999999998"/>
    <s v="Cash"/>
    <s v="Retail"/>
    <s v="East-Charlie"/>
  </r>
  <r>
    <x v="0"/>
    <x v="0"/>
    <d v="2023-04-14T00:00:00"/>
    <x v="1"/>
    <s v="North"/>
    <n v="1834.7"/>
    <n v="5"/>
    <x v="0"/>
    <n v="745.71"/>
    <n v="856.91000000000008"/>
    <s v="Returning"/>
    <n v="0.23"/>
    <s v="Bank Transfer"/>
    <s v="Retail"/>
    <s v="North-David"/>
  </r>
  <r>
    <x v="30"/>
    <x v="142"/>
    <d v="2023-11-12T00:00:00"/>
    <x v="3"/>
    <s v="South"/>
    <n v="8681.0300000000007"/>
    <n v="9"/>
    <x v="3"/>
    <n v="1468.05"/>
    <n v="1838.21"/>
    <s v="New"/>
    <n v="0.15"/>
    <s v="Bank Transfer"/>
    <s v="Retail"/>
    <s v="South-Eve"/>
  </r>
  <r>
    <x v="22"/>
    <x v="157"/>
    <d v="2023-06-20T00:00:00"/>
    <x v="3"/>
    <s v="West"/>
    <n v="2896.54"/>
    <n v="48"/>
    <x v="2"/>
    <n v="2614.48"/>
    <n v="3049.04"/>
    <s v="New"/>
    <n v="0.1"/>
    <s v="Credit Card"/>
    <s v="Retail"/>
    <s v="West-Eve"/>
  </r>
  <r>
    <x v="0"/>
    <x v="0"/>
    <d v="2023-12-22T00:00:00"/>
    <x v="2"/>
    <s v="West"/>
    <n v="9509.5499999999993"/>
    <n v="2"/>
    <x v="0"/>
    <n v="3752.68"/>
    <n v="4017.91"/>
    <s v="Returning"/>
    <n v="0.16"/>
    <s v="Bank Transfer"/>
    <s v="Online"/>
    <s v="West-Charlie"/>
  </r>
  <r>
    <x v="70"/>
    <x v="158"/>
    <d v="2023-11-20T00:00:00"/>
    <x v="0"/>
    <s v="North"/>
    <n v="5858.06"/>
    <n v="1"/>
    <x v="1"/>
    <n v="4190.83"/>
    <n v="4528.7699999999995"/>
    <s v="Returning"/>
    <n v="0.22"/>
    <s v="Bank Transfer"/>
    <s v="Online"/>
    <s v="North-Bob"/>
  </r>
  <r>
    <x v="36"/>
    <x v="159"/>
    <d v="2023-05-13T00:00:00"/>
    <x v="3"/>
    <s v="West"/>
    <n v="4422.4799999999996"/>
    <n v="40"/>
    <x v="0"/>
    <n v="3536.46"/>
    <n v="3945.82"/>
    <s v="New"/>
    <n v="0.24"/>
    <s v="Bank Transfer"/>
    <s v="Online"/>
    <s v="West-Eve"/>
  </r>
  <r>
    <x v="15"/>
    <x v="51"/>
    <d v="2023-10-20T00:00:00"/>
    <x v="1"/>
    <s v="North"/>
    <n v="5842.88"/>
    <n v="30"/>
    <x v="2"/>
    <n v="4646.55"/>
    <n v="4784.28"/>
    <s v="Returning"/>
    <n v="0.1"/>
    <s v="Credit Card"/>
    <s v="Retail"/>
    <s v="North-David"/>
  </r>
  <r>
    <x v="12"/>
    <x v="146"/>
    <d v="2023-11-24T00:00:00"/>
    <x v="3"/>
    <s v="East"/>
    <n v="5215.3100000000004"/>
    <n v="11"/>
    <x v="1"/>
    <n v="3706.78"/>
    <n v="3862.26"/>
    <s v="New"/>
    <n v="0.22"/>
    <s v="Credit Card"/>
    <s v="Retail"/>
    <s v="East-Eve"/>
  </r>
  <r>
    <x v="87"/>
    <x v="160"/>
    <d v="2023-05-07T00:00:00"/>
    <x v="1"/>
    <s v="East"/>
    <n v="7611.88"/>
    <n v="28"/>
    <x v="2"/>
    <n v="1566.03"/>
    <n v="1576.34"/>
    <s v="Returning"/>
    <n v="0.2"/>
    <s v="Bank Transfer"/>
    <s v="Online"/>
    <s v="East-David"/>
  </r>
  <r>
    <x v="48"/>
    <x v="161"/>
    <d v="2023-04-16T00:00:00"/>
    <x v="2"/>
    <s v="West"/>
    <n v="2896.71"/>
    <n v="44"/>
    <x v="3"/>
    <n v="1362.15"/>
    <n v="1844.0700000000002"/>
    <s v="New"/>
    <n v="0.28999999999999998"/>
    <s v="Credit Card"/>
    <s v="Online"/>
    <s v="West-Charlie"/>
  </r>
  <r>
    <x v="26"/>
    <x v="31"/>
    <d v="2023-04-02T00:00:00"/>
    <x v="3"/>
    <s v="West"/>
    <n v="3595.2"/>
    <n v="12"/>
    <x v="1"/>
    <n v="3496.15"/>
    <n v="3955.75"/>
    <s v="Returning"/>
    <n v="0.28000000000000003"/>
    <s v="Cash"/>
    <s v="Retail"/>
    <s v="West-Eve"/>
  </r>
  <r>
    <x v="15"/>
    <x v="51"/>
    <d v="2023-10-14T00:00:00"/>
    <x v="1"/>
    <s v="South"/>
    <n v="8951.5300000000007"/>
    <n v="39"/>
    <x v="2"/>
    <n v="1004.71"/>
    <n v="1389.35"/>
    <s v="New"/>
    <n v="0.24"/>
    <s v="Bank Transfer"/>
    <s v="Online"/>
    <s v="South-David"/>
  </r>
  <r>
    <x v="15"/>
    <x v="162"/>
    <d v="2023-02-20T00:00:00"/>
    <x v="2"/>
    <s v="West"/>
    <n v="9469.92"/>
    <n v="26"/>
    <x v="1"/>
    <n v="508.94"/>
    <n v="557.69000000000005"/>
    <s v="New"/>
    <n v="0.22"/>
    <s v="Credit Card"/>
    <s v="Retail"/>
    <s v="West-Charlie"/>
  </r>
  <r>
    <x v="28"/>
    <x v="163"/>
    <d v="2023-01-29T00:00:00"/>
    <x v="0"/>
    <s v="South"/>
    <n v="8936.33"/>
    <n v="13"/>
    <x v="2"/>
    <n v="2684.5"/>
    <n v="2913.78"/>
    <s v="New"/>
    <n v="0.08"/>
    <s v="Credit Card"/>
    <s v="Retail"/>
    <s v="South-Bob"/>
  </r>
  <r>
    <x v="52"/>
    <x v="164"/>
    <d v="2023-10-23T00:00:00"/>
    <x v="1"/>
    <s v="East"/>
    <n v="4252.54"/>
    <n v="8"/>
    <x v="1"/>
    <n v="4117.13"/>
    <n v="4177.0600000000004"/>
    <s v="Returning"/>
    <n v="0.25"/>
    <s v="Bank Transfer"/>
    <s v="Retail"/>
    <s v="East-David"/>
  </r>
  <r>
    <x v="7"/>
    <x v="165"/>
    <d v="2023-10-24T00:00:00"/>
    <x v="0"/>
    <s v="East"/>
    <n v="7825.62"/>
    <n v="28"/>
    <x v="2"/>
    <n v="551.83000000000004"/>
    <n v="569.63"/>
    <s v="New"/>
    <n v="0.13"/>
    <s v="Credit Card"/>
    <s v="Retail"/>
    <s v="East-Bob"/>
  </r>
  <r>
    <x v="78"/>
    <x v="120"/>
    <d v="2023-08-02T00:00:00"/>
    <x v="0"/>
    <s v="North"/>
    <n v="4815.72"/>
    <n v="30"/>
    <x v="3"/>
    <n v="3969.86"/>
    <n v="4281.79"/>
    <s v="Returning"/>
    <n v="0.08"/>
    <s v="Bank Transfer"/>
    <s v="Retail"/>
    <s v="North-Bob"/>
  </r>
  <r>
    <x v="85"/>
    <x v="166"/>
    <d v="2023-09-24T00:00:00"/>
    <x v="4"/>
    <s v="East"/>
    <n v="5025.6400000000003"/>
    <n v="9"/>
    <x v="1"/>
    <n v="4067.28"/>
    <n v="4548.09"/>
    <s v="Returning"/>
    <n v="0.12"/>
    <s v="Credit Card"/>
    <s v="Retail"/>
    <s v="East-Alice"/>
  </r>
  <r>
    <x v="66"/>
    <x v="167"/>
    <d v="2023-09-14T00:00:00"/>
    <x v="3"/>
    <s v="South"/>
    <n v="2126.33"/>
    <n v="39"/>
    <x v="1"/>
    <n v="2437.2600000000002"/>
    <n v="2889.67"/>
    <s v="Returning"/>
    <n v="0.25"/>
    <s v="Cash"/>
    <s v="Online"/>
    <s v="South-Eve"/>
  </r>
  <r>
    <x v="88"/>
    <x v="168"/>
    <d v="2023-10-29T00:00:00"/>
    <x v="1"/>
    <s v="West"/>
    <n v="5952.19"/>
    <n v="31"/>
    <x v="1"/>
    <n v="333.69"/>
    <n v="685.1"/>
    <s v="New"/>
    <n v="0.04"/>
    <s v="Bank Transfer"/>
    <s v="Online"/>
    <s v="West-David"/>
  </r>
  <r>
    <x v="15"/>
    <x v="162"/>
    <d v="2023-04-11T00:00:00"/>
    <x v="0"/>
    <s v="North"/>
    <n v="1942.75"/>
    <n v="21"/>
    <x v="1"/>
    <n v="914.22"/>
    <n v="971.57"/>
    <s v="Returning"/>
    <n v="0.14000000000000001"/>
    <s v="Cash"/>
    <s v="Online"/>
    <s v="North-Bob"/>
  </r>
  <r>
    <x v="14"/>
    <x v="50"/>
    <d v="2023-12-12T00:00:00"/>
    <x v="4"/>
    <s v="South"/>
    <n v="3382.49"/>
    <n v="47"/>
    <x v="3"/>
    <n v="3551.76"/>
    <n v="3696.1000000000004"/>
    <s v="Returning"/>
    <n v="0.15"/>
    <s v="Bank Transfer"/>
    <s v="Retail"/>
    <s v="South-Alice"/>
  </r>
  <r>
    <x v="44"/>
    <x v="55"/>
    <d v="2023-04-20T00:00:00"/>
    <x v="2"/>
    <s v="West"/>
    <n v="8564.7999999999993"/>
    <n v="34"/>
    <x v="1"/>
    <n v="3573.3"/>
    <n v="3740.13"/>
    <s v="Returning"/>
    <n v="0.01"/>
    <s v="Credit Card"/>
    <s v="Online"/>
    <s v="West-Charlie"/>
  </r>
  <r>
    <x v="41"/>
    <x v="169"/>
    <d v="2023-07-01T00:00:00"/>
    <x v="1"/>
    <s v="North"/>
    <n v="2150.0500000000002"/>
    <n v="31"/>
    <x v="0"/>
    <n v="4496.8599999999997"/>
    <n v="4880.7999999999993"/>
    <s v="New"/>
    <n v="0.06"/>
    <s v="Cash"/>
    <s v="Retail"/>
    <s v="North-David"/>
  </r>
  <r>
    <x v="82"/>
    <x v="129"/>
    <d v="2023-11-09T00:00:00"/>
    <x v="0"/>
    <s v="East"/>
    <n v="804.47"/>
    <n v="25"/>
    <x v="3"/>
    <n v="2934.3"/>
    <n v="3337.4"/>
    <s v="Returning"/>
    <n v="0.25"/>
    <s v="Credit Card"/>
    <s v="Retail"/>
    <s v="East-Bob"/>
  </r>
  <r>
    <x v="86"/>
    <x v="147"/>
    <d v="2023-01-01T00:00:00"/>
    <x v="3"/>
    <s v="South"/>
    <n v="783.18"/>
    <n v="12"/>
    <x v="0"/>
    <n v="664.33"/>
    <n v="863.03"/>
    <s v="Returning"/>
    <n v="0.25"/>
    <s v="Bank Transfer"/>
    <s v="Retail"/>
    <s v="South-Eve"/>
  </r>
  <r>
    <x v="82"/>
    <x v="170"/>
    <d v="2023-11-15T00:00:00"/>
    <x v="4"/>
    <s v="West"/>
    <n v="9413.77"/>
    <n v="1"/>
    <x v="1"/>
    <n v="651"/>
    <n v="865.76"/>
    <s v="Returning"/>
    <n v="0.09"/>
    <s v="Bank Transfer"/>
    <s v="Retail"/>
    <s v="West-Alice"/>
  </r>
  <r>
    <x v="89"/>
    <x v="171"/>
    <d v="2023-02-24T00:00:00"/>
    <x v="0"/>
    <s v="North"/>
    <n v="5118.51"/>
    <n v="22"/>
    <x v="2"/>
    <n v="3619.61"/>
    <n v="3651.42"/>
    <s v="Returning"/>
    <n v="0.26"/>
    <s v="Bank Transfer"/>
    <s v="Online"/>
    <s v="North-Bob"/>
  </r>
  <r>
    <x v="33"/>
    <x v="40"/>
    <d v="2023-05-29T00:00:00"/>
    <x v="3"/>
    <s v="North"/>
    <n v="4153.18"/>
    <n v="40"/>
    <x v="0"/>
    <n v="959.73"/>
    <n v="1111.4100000000001"/>
    <s v="New"/>
    <n v="0.23"/>
    <s v="Bank Transfer"/>
    <s v="Online"/>
    <s v="North-Eve"/>
  </r>
  <r>
    <x v="8"/>
    <x v="172"/>
    <d v="2023-11-05T00:00:00"/>
    <x v="0"/>
    <s v="East"/>
    <n v="8127.7"/>
    <n v="37"/>
    <x v="1"/>
    <n v="1675.51"/>
    <n v="1906.6399999999999"/>
    <s v="New"/>
    <n v="0.13"/>
    <s v="Bank Transfer"/>
    <s v="Online"/>
    <s v="East-Bob"/>
  </r>
  <r>
    <x v="87"/>
    <x v="173"/>
    <d v="2023-05-17T00:00:00"/>
    <x v="1"/>
    <s v="West"/>
    <n v="8374.68"/>
    <n v="47"/>
    <x v="0"/>
    <n v="2461.6999999999998"/>
    <n v="2529.02"/>
    <s v="Returning"/>
    <n v="0.22"/>
    <s v="Cash"/>
    <s v="Retail"/>
    <s v="West-David"/>
  </r>
  <r>
    <x v="90"/>
    <x v="174"/>
    <d v="2023-07-21T00:00:00"/>
    <x v="1"/>
    <s v="East"/>
    <n v="3388.69"/>
    <n v="1"/>
    <x v="1"/>
    <n v="172.59"/>
    <n v="404.69"/>
    <s v="Returning"/>
    <n v="0.28999999999999998"/>
    <s v="Bank Transfer"/>
    <s v="Online"/>
    <s v="East-David"/>
  </r>
  <r>
    <x v="17"/>
    <x v="175"/>
    <d v="2023-11-09T00:00:00"/>
    <x v="1"/>
    <s v="East"/>
    <n v="6966.82"/>
    <n v="1"/>
    <x v="1"/>
    <n v="1281.6500000000001"/>
    <n v="1709.71"/>
    <s v="Returning"/>
    <n v="0.14000000000000001"/>
    <s v="Credit Card"/>
    <s v="Online"/>
    <s v="East-David"/>
  </r>
  <r>
    <x v="11"/>
    <x v="12"/>
    <d v="2023-04-27T00:00:00"/>
    <x v="4"/>
    <s v="West"/>
    <n v="7734.12"/>
    <n v="42"/>
    <x v="1"/>
    <n v="2069.0500000000002"/>
    <n v="2363.9"/>
    <s v="Returning"/>
    <n v="7.0000000000000007E-2"/>
    <s v="Cash"/>
    <s v="Online"/>
    <s v="West-Alice"/>
  </r>
  <r>
    <x v="91"/>
    <x v="176"/>
    <d v="2023-06-03T00:00:00"/>
    <x v="1"/>
    <s v="West"/>
    <n v="6581.04"/>
    <n v="42"/>
    <x v="2"/>
    <n v="1434.2"/>
    <n v="1482.88"/>
    <s v="New"/>
    <n v="0.28000000000000003"/>
    <s v="Credit Card"/>
    <s v="Retail"/>
    <s v="West-David"/>
  </r>
  <r>
    <x v="92"/>
    <x v="177"/>
    <d v="2023-10-18T00:00:00"/>
    <x v="3"/>
    <s v="West"/>
    <n v="1600.79"/>
    <n v="21"/>
    <x v="0"/>
    <n v="725.03"/>
    <n v="828.94999999999993"/>
    <s v="New"/>
    <n v="0.18"/>
    <s v="Bank Transfer"/>
    <s v="Online"/>
    <s v="West-Eve"/>
  </r>
  <r>
    <x v="86"/>
    <x v="178"/>
    <d v="2023-03-04T00:00:00"/>
    <x v="0"/>
    <s v="South"/>
    <n v="8771.24"/>
    <n v="15"/>
    <x v="3"/>
    <n v="3653.66"/>
    <n v="3896.19"/>
    <s v="New"/>
    <n v="0.03"/>
    <s v="Credit Card"/>
    <s v="Retail"/>
    <s v="South-Bob"/>
  </r>
  <r>
    <x v="74"/>
    <x v="109"/>
    <d v="2023-09-01T00:00:00"/>
    <x v="2"/>
    <s v="West"/>
    <n v="5437.04"/>
    <n v="17"/>
    <x v="3"/>
    <n v="4075.08"/>
    <n v="4262.21"/>
    <s v="New"/>
    <n v="0.17"/>
    <s v="Cash"/>
    <s v="Online"/>
    <s v="West-Charlie"/>
  </r>
  <r>
    <x v="67"/>
    <x v="179"/>
    <d v="2023-01-25T00:00:00"/>
    <x v="3"/>
    <s v="North"/>
    <n v="2896.48"/>
    <n v="22"/>
    <x v="3"/>
    <n v="1324.52"/>
    <n v="1510.3"/>
    <s v="Returning"/>
    <n v="0.15"/>
    <s v="Cash"/>
    <s v="Retail"/>
    <s v="North-Eve"/>
  </r>
  <r>
    <x v="93"/>
    <x v="180"/>
    <d v="2023-03-31T00:00:00"/>
    <x v="3"/>
    <s v="East"/>
    <n v="4309.76"/>
    <n v="38"/>
    <x v="3"/>
    <n v="3883.38"/>
    <n v="4152.72"/>
    <s v="Returning"/>
    <n v="0.26"/>
    <s v="Cash"/>
    <s v="Online"/>
    <s v="East-Eve"/>
  </r>
  <r>
    <x v="85"/>
    <x v="166"/>
    <d v="2023-03-16T00:00:00"/>
    <x v="1"/>
    <s v="South"/>
    <n v="471.95"/>
    <n v="35"/>
    <x v="1"/>
    <n v="1958.49"/>
    <n v="2254.84"/>
    <s v="New"/>
    <n v="0.16"/>
    <s v="Credit Card"/>
    <s v="Online"/>
    <s v="South-David"/>
  </r>
  <r>
    <x v="35"/>
    <x v="42"/>
    <d v="2023-10-21T00:00:00"/>
    <x v="4"/>
    <s v="West"/>
    <n v="1365.88"/>
    <n v="45"/>
    <x v="0"/>
    <n v="2558.09"/>
    <n v="2958.55"/>
    <s v="New"/>
    <n v="0.08"/>
    <s v="Cash"/>
    <s v="Online"/>
    <s v="West-Alice"/>
  </r>
  <r>
    <x v="26"/>
    <x v="181"/>
    <d v="2023-07-29T00:00:00"/>
    <x v="0"/>
    <s v="South"/>
    <n v="7678.91"/>
    <n v="16"/>
    <x v="0"/>
    <n v="4287.21"/>
    <n v="4464.28"/>
    <s v="Returning"/>
    <n v="0.2"/>
    <s v="Credit Card"/>
    <s v="Retail"/>
    <s v="South-Bob"/>
  </r>
  <r>
    <x v="86"/>
    <x v="182"/>
    <d v="2023-12-13T00:00:00"/>
    <x v="4"/>
    <s v="West"/>
    <n v="100.12"/>
    <n v="8"/>
    <x v="2"/>
    <n v="3762.27"/>
    <n v="4166.95"/>
    <s v="Returning"/>
    <n v="0.16"/>
    <s v="Bank Transfer"/>
    <s v="Online"/>
    <s v="West-Alice"/>
  </r>
  <r>
    <x v="29"/>
    <x v="79"/>
    <d v="2023-01-17T00:00:00"/>
    <x v="0"/>
    <s v="South"/>
    <n v="4224"/>
    <n v="47"/>
    <x v="0"/>
    <n v="4035.33"/>
    <n v="4211.25"/>
    <s v="Returning"/>
    <n v="7.0000000000000007E-2"/>
    <s v="Bank Transfer"/>
    <s v="Online"/>
    <s v="South-Bob"/>
  </r>
  <r>
    <x v="1"/>
    <x v="1"/>
    <d v="2023-05-08T00:00:00"/>
    <x v="0"/>
    <s v="East"/>
    <n v="5272.85"/>
    <n v="17"/>
    <x v="0"/>
    <n v="727.38"/>
    <n v="764.54"/>
    <s v="Returning"/>
    <n v="0.17"/>
    <s v="Credit Card"/>
    <s v="Retail"/>
    <s v="East-Bob"/>
  </r>
  <r>
    <x v="12"/>
    <x v="13"/>
    <d v="2023-12-30T00:00:00"/>
    <x v="4"/>
    <s v="East"/>
    <n v="640.88"/>
    <n v="17"/>
    <x v="0"/>
    <n v="395.11"/>
    <n v="676.66000000000008"/>
    <s v="Returning"/>
    <n v="0.25"/>
    <s v="Cash"/>
    <s v="Retail"/>
    <s v="East-Alice"/>
  </r>
  <r>
    <x v="94"/>
    <x v="183"/>
    <d v="2023-09-08T00:00:00"/>
    <x v="3"/>
    <s v="North"/>
    <n v="9733.4699999999993"/>
    <n v="26"/>
    <x v="2"/>
    <n v="4472.3500000000004"/>
    <n v="4770.42"/>
    <s v="New"/>
    <n v="0.01"/>
    <s v="Credit Card"/>
    <s v="Retail"/>
    <s v="North-Eve"/>
  </r>
  <r>
    <x v="26"/>
    <x v="155"/>
    <d v="2023-06-28T00:00:00"/>
    <x v="0"/>
    <s v="North"/>
    <n v="2338.64"/>
    <n v="13"/>
    <x v="3"/>
    <n v="1969.78"/>
    <n v="2437.6999999999998"/>
    <s v="New"/>
    <n v="0.19"/>
    <s v="Credit Card"/>
    <s v="Retail"/>
    <s v="North-Bob"/>
  </r>
  <r>
    <x v="49"/>
    <x v="127"/>
    <d v="2023-07-01T00:00:00"/>
    <x v="4"/>
    <s v="West"/>
    <n v="3111.57"/>
    <n v="17"/>
    <x v="0"/>
    <n v="1475"/>
    <n v="1840.77"/>
    <s v="Returning"/>
    <n v="0.1"/>
    <s v="Credit Card"/>
    <s v="Online"/>
    <s v="West-Alice"/>
  </r>
  <r>
    <x v="88"/>
    <x v="184"/>
    <d v="2023-06-01T00:00:00"/>
    <x v="0"/>
    <s v="East"/>
    <n v="3109.03"/>
    <n v="38"/>
    <x v="2"/>
    <n v="3637.25"/>
    <n v="4096.96"/>
    <s v="Returning"/>
    <n v="0.09"/>
    <s v="Bank Transfer"/>
    <s v="Online"/>
    <s v="East-Bob"/>
  </r>
  <r>
    <x v="41"/>
    <x v="67"/>
    <d v="2023-01-25T00:00:00"/>
    <x v="2"/>
    <s v="South"/>
    <n v="2381.12"/>
    <n v="17"/>
    <x v="2"/>
    <n v="4190.26"/>
    <n v="4645.3500000000004"/>
    <s v="New"/>
    <n v="0.12"/>
    <s v="Credit Card"/>
    <s v="Retail"/>
    <s v="South-Charlie"/>
  </r>
  <r>
    <x v="95"/>
    <x v="185"/>
    <d v="2023-06-29T00:00:00"/>
    <x v="3"/>
    <s v="South"/>
    <n v="114.59"/>
    <n v="48"/>
    <x v="1"/>
    <n v="4319.32"/>
    <n v="4625.5599999999995"/>
    <s v="Returning"/>
    <n v="0.1"/>
    <s v="Bank Transfer"/>
    <s v="Online"/>
    <s v="South-Eve"/>
  </r>
  <r>
    <x v="88"/>
    <x v="184"/>
    <d v="2023-07-17T00:00:00"/>
    <x v="1"/>
    <s v="South"/>
    <n v="7320.51"/>
    <n v="14"/>
    <x v="2"/>
    <n v="1614.19"/>
    <n v="1882.79"/>
    <s v="New"/>
    <n v="0.25"/>
    <s v="Credit Card"/>
    <s v="Retail"/>
    <s v="South-David"/>
  </r>
  <r>
    <x v="94"/>
    <x v="186"/>
    <d v="2023-12-10T00:00:00"/>
    <x v="0"/>
    <s v="North"/>
    <n v="9671.77"/>
    <n v="45"/>
    <x v="3"/>
    <n v="4268.45"/>
    <n v="4551.5999999999995"/>
    <s v="New"/>
    <n v="0.08"/>
    <s v="Bank Transfer"/>
    <s v="Online"/>
    <s v="North-Bob"/>
  </r>
  <r>
    <x v="78"/>
    <x v="187"/>
    <d v="2023-06-10T00:00:00"/>
    <x v="2"/>
    <s v="South"/>
    <n v="2320.5100000000002"/>
    <n v="6"/>
    <x v="0"/>
    <n v="252.62"/>
    <n v="742"/>
    <s v="New"/>
    <n v="0.22"/>
    <s v="Credit Card"/>
    <s v="Retail"/>
    <s v="South-Charlie"/>
  </r>
  <r>
    <x v="43"/>
    <x v="188"/>
    <d v="2023-06-26T00:00:00"/>
    <x v="1"/>
    <s v="North"/>
    <n v="6664.17"/>
    <n v="35"/>
    <x v="2"/>
    <n v="295.82"/>
    <n v="684.67000000000007"/>
    <s v="New"/>
    <n v="0.03"/>
    <s v="Credit Card"/>
    <s v="Online"/>
    <s v="North-David"/>
  </r>
  <r>
    <x v="0"/>
    <x v="189"/>
    <d v="2023-10-12T00:00:00"/>
    <x v="1"/>
    <s v="North"/>
    <n v="7444.77"/>
    <n v="46"/>
    <x v="3"/>
    <n v="3136.42"/>
    <n v="3198.4900000000002"/>
    <s v="Returning"/>
    <n v="0.28999999999999998"/>
    <s v="Cash"/>
    <s v="Retail"/>
    <s v="North-David"/>
  </r>
  <r>
    <x v="20"/>
    <x v="104"/>
    <d v="2023-03-04T00:00:00"/>
    <x v="0"/>
    <s v="West"/>
    <n v="8499.41"/>
    <n v="14"/>
    <x v="2"/>
    <n v="362.38"/>
    <n v="753.81"/>
    <s v="Returning"/>
    <n v="0.19"/>
    <s v="Cash"/>
    <s v="Retail"/>
    <s v="West-Bob"/>
  </r>
  <r>
    <x v="58"/>
    <x v="77"/>
    <d v="2023-05-30T00:00:00"/>
    <x v="4"/>
    <s v="South"/>
    <n v="4284.03"/>
    <n v="47"/>
    <x v="2"/>
    <n v="1656.82"/>
    <n v="1750.3799999999999"/>
    <s v="New"/>
    <n v="0.21"/>
    <s v="Credit Card"/>
    <s v="Online"/>
    <s v="South-Alice"/>
  </r>
  <r>
    <x v="36"/>
    <x v="43"/>
    <d v="2023-06-03T00:00:00"/>
    <x v="0"/>
    <s v="South"/>
    <n v="3099.02"/>
    <n v="8"/>
    <x v="2"/>
    <n v="3380.14"/>
    <n v="3609.3399999999997"/>
    <s v="Returning"/>
    <n v="0.09"/>
    <s v="Credit Card"/>
    <s v="Online"/>
    <s v="South-Bob"/>
  </r>
  <r>
    <x v="60"/>
    <x v="190"/>
    <d v="2023-06-05T00:00:00"/>
    <x v="2"/>
    <s v="East"/>
    <n v="3320.42"/>
    <n v="15"/>
    <x v="2"/>
    <n v="1719.47"/>
    <n v="1832.6"/>
    <s v="Returning"/>
    <n v="0.12"/>
    <s v="Credit Card"/>
    <s v="Online"/>
    <s v="East-Charlie"/>
  </r>
  <r>
    <x v="66"/>
    <x v="191"/>
    <d v="2023-02-18T00:00:00"/>
    <x v="1"/>
    <s v="West"/>
    <n v="7154.95"/>
    <n v="27"/>
    <x v="2"/>
    <n v="939.02"/>
    <n v="1286.92"/>
    <s v="Returning"/>
    <n v="7.0000000000000007E-2"/>
    <s v="Credit Card"/>
    <s v="Retail"/>
    <s v="West-David"/>
  </r>
  <r>
    <x v="67"/>
    <x v="179"/>
    <d v="2023-12-03T00:00:00"/>
    <x v="0"/>
    <s v="East"/>
    <n v="8186.12"/>
    <n v="13"/>
    <x v="3"/>
    <n v="1442.69"/>
    <n v="1882.5700000000002"/>
    <s v="Returning"/>
    <n v="0.28000000000000003"/>
    <s v="Cash"/>
    <s v="Online"/>
    <s v="East-Bob"/>
  </r>
  <r>
    <x v="28"/>
    <x v="33"/>
    <d v="2023-03-25T00:00:00"/>
    <x v="4"/>
    <s v="West"/>
    <n v="1897.98"/>
    <n v="49"/>
    <x v="0"/>
    <n v="2315"/>
    <n v="2467.2800000000002"/>
    <s v="New"/>
    <n v="0.15"/>
    <s v="Bank Transfer"/>
    <s v="Retail"/>
    <s v="West-Alice"/>
  </r>
  <r>
    <x v="84"/>
    <x v="192"/>
    <d v="2023-12-27T00:00:00"/>
    <x v="0"/>
    <s v="South"/>
    <n v="3772.32"/>
    <n v="31"/>
    <x v="0"/>
    <n v="2403.16"/>
    <n v="2453.35"/>
    <s v="Returning"/>
    <n v="0.19"/>
    <s v="Credit Card"/>
    <s v="Online"/>
    <s v="South-Bob"/>
  </r>
  <r>
    <x v="23"/>
    <x v="28"/>
    <d v="2023-06-26T00:00:00"/>
    <x v="3"/>
    <s v="North"/>
    <n v="9029.2099999999991"/>
    <n v="35"/>
    <x v="0"/>
    <n v="3925.85"/>
    <n v="4082.1099999999997"/>
    <s v="New"/>
    <n v="0.22"/>
    <s v="Cash"/>
    <s v="Online"/>
    <s v="North-Eve"/>
  </r>
  <r>
    <x v="50"/>
    <x v="193"/>
    <d v="2023-05-28T00:00:00"/>
    <x v="4"/>
    <s v="North"/>
    <n v="8086.27"/>
    <n v="6"/>
    <x v="0"/>
    <n v="3763.26"/>
    <n v="4102.72"/>
    <s v="New"/>
    <n v="0.11"/>
    <s v="Credit Card"/>
    <s v="Retail"/>
    <s v="North-Alice"/>
  </r>
  <r>
    <x v="71"/>
    <x v="194"/>
    <d v="2023-04-28T00:00:00"/>
    <x v="2"/>
    <s v="North"/>
    <n v="9850.1"/>
    <n v="5"/>
    <x v="3"/>
    <n v="2311.25"/>
    <n v="2482.34"/>
    <s v="Returning"/>
    <n v="0.22"/>
    <s v="Credit Card"/>
    <s v="Retail"/>
    <s v="North-Charlie"/>
  </r>
  <r>
    <x v="96"/>
    <x v="195"/>
    <d v="2023-12-08T00:00:00"/>
    <x v="1"/>
    <s v="North"/>
    <n v="7567.06"/>
    <n v="22"/>
    <x v="1"/>
    <n v="4236.05"/>
    <n v="4382.3200000000006"/>
    <s v="New"/>
    <n v="0.2"/>
    <s v="Bank Transfer"/>
    <s v="Online"/>
    <s v="North-David"/>
  </r>
  <r>
    <x v="79"/>
    <x v="196"/>
    <d v="2023-03-04T00:00:00"/>
    <x v="0"/>
    <s v="North"/>
    <n v="3992.63"/>
    <n v="49"/>
    <x v="1"/>
    <n v="615.47"/>
    <n v="715.84"/>
    <s v="Returning"/>
    <n v="0.21"/>
    <s v="Credit Card"/>
    <s v="Retail"/>
    <s v="North-Bob"/>
  </r>
  <r>
    <x v="27"/>
    <x v="197"/>
    <d v="2023-07-08T00:00:00"/>
    <x v="4"/>
    <s v="East"/>
    <n v="5947.31"/>
    <n v="23"/>
    <x v="3"/>
    <n v="1314"/>
    <n v="1567.78"/>
    <s v="Returning"/>
    <n v="0.15"/>
    <s v="Credit Card"/>
    <s v="Retail"/>
    <s v="East-Alice"/>
  </r>
  <r>
    <x v="73"/>
    <x v="198"/>
    <d v="2023-12-26T00:00:00"/>
    <x v="3"/>
    <s v="West"/>
    <n v="6644.04"/>
    <n v="25"/>
    <x v="3"/>
    <n v="4148.4799999999996"/>
    <n v="4293.6899999999996"/>
    <s v="New"/>
    <n v="0.11"/>
    <s v="Bank Transfer"/>
    <s v="Online"/>
    <s v="West-Eve"/>
  </r>
  <r>
    <x v="34"/>
    <x v="199"/>
    <d v="2023-02-18T00:00:00"/>
    <x v="4"/>
    <s v="South"/>
    <n v="876.71"/>
    <n v="34"/>
    <x v="2"/>
    <n v="1921.07"/>
    <n v="2289.27"/>
    <s v="Returning"/>
    <n v="7.0000000000000007E-2"/>
    <s v="Bank Transfer"/>
    <s v="Retail"/>
    <s v="South-Alice"/>
  </r>
  <r>
    <x v="93"/>
    <x v="200"/>
    <d v="2023-11-23T00:00:00"/>
    <x v="3"/>
    <s v="East"/>
    <n v="5490.52"/>
    <n v="26"/>
    <x v="2"/>
    <n v="4906.8500000000004"/>
    <n v="4954.3900000000003"/>
    <s v="New"/>
    <n v="0.25"/>
    <s v="Bank Transfer"/>
    <s v="Online"/>
    <s v="East-Eve"/>
  </r>
  <r>
    <x v="41"/>
    <x v="67"/>
    <d v="2023-09-14T00:00:00"/>
    <x v="2"/>
    <s v="West"/>
    <n v="7122.28"/>
    <n v="47"/>
    <x v="2"/>
    <n v="2357.9499999999998"/>
    <n v="2693.33"/>
    <s v="New"/>
    <n v="0.18"/>
    <s v="Bank Transfer"/>
    <s v="Online"/>
    <s v="West-Charlie"/>
  </r>
  <r>
    <x v="19"/>
    <x v="201"/>
    <d v="2023-08-12T00:00:00"/>
    <x v="1"/>
    <s v="North"/>
    <n v="1756.48"/>
    <n v="5"/>
    <x v="0"/>
    <n v="3970.08"/>
    <n v="4096.4799999999996"/>
    <s v="Returning"/>
    <n v="0.13"/>
    <s v="Cash"/>
    <s v="Retail"/>
    <s v="North-David"/>
  </r>
  <r>
    <x v="15"/>
    <x v="51"/>
    <d v="2023-05-21T00:00:00"/>
    <x v="2"/>
    <s v="West"/>
    <n v="7828.25"/>
    <n v="26"/>
    <x v="2"/>
    <n v="2041.42"/>
    <n v="2291.17"/>
    <s v="Returning"/>
    <n v="0.28000000000000003"/>
    <s v="Cash"/>
    <s v="Online"/>
    <s v="West-Charlie"/>
  </r>
  <r>
    <x v="66"/>
    <x v="167"/>
    <d v="2023-08-03T00:00:00"/>
    <x v="0"/>
    <s v="West"/>
    <n v="5879.35"/>
    <n v="20"/>
    <x v="1"/>
    <n v="2153.52"/>
    <n v="2303.6999999999998"/>
    <s v="Returning"/>
    <n v="0.01"/>
    <s v="Cash"/>
    <s v="Retail"/>
    <s v="West-Bob"/>
  </r>
  <r>
    <x v="57"/>
    <x v="73"/>
    <d v="2023-07-30T00:00:00"/>
    <x v="4"/>
    <s v="North"/>
    <n v="9527"/>
    <n v="6"/>
    <x v="0"/>
    <n v="1945.27"/>
    <n v="2309.4299999999998"/>
    <s v="New"/>
    <n v="0.26"/>
    <s v="Credit Card"/>
    <s v="Online"/>
    <s v="North-Alice"/>
  </r>
  <r>
    <x v="70"/>
    <x v="202"/>
    <d v="2023-11-14T00:00:00"/>
    <x v="3"/>
    <s v="North"/>
    <n v="519.98"/>
    <n v="6"/>
    <x v="2"/>
    <n v="3609.42"/>
    <n v="4082.62"/>
    <s v="Returning"/>
    <n v="0.3"/>
    <s v="Bank Transfer"/>
    <s v="Retail"/>
    <s v="North-Eve"/>
  </r>
  <r>
    <x v="91"/>
    <x v="203"/>
    <d v="2023-02-01T00:00:00"/>
    <x v="3"/>
    <s v="North"/>
    <n v="2726.73"/>
    <n v="18"/>
    <x v="0"/>
    <n v="2760.21"/>
    <n v="3219.58"/>
    <s v="New"/>
    <n v="0.27"/>
    <s v="Bank Transfer"/>
    <s v="Retail"/>
    <s v="North-Eve"/>
  </r>
  <r>
    <x v="72"/>
    <x v="150"/>
    <d v="2023-06-07T00:00:00"/>
    <x v="4"/>
    <s v="South"/>
    <n v="6055.38"/>
    <n v="4"/>
    <x v="1"/>
    <n v="4721.7"/>
    <n v="5017.58"/>
    <s v="New"/>
    <n v="0.24"/>
    <s v="Cash"/>
    <s v="Retail"/>
    <s v="South-Alice"/>
  </r>
  <r>
    <x v="82"/>
    <x v="156"/>
    <d v="2023-10-12T00:00:00"/>
    <x v="4"/>
    <s v="North"/>
    <n v="3035.94"/>
    <n v="17"/>
    <x v="2"/>
    <n v="1291.9100000000001"/>
    <n v="1528.5900000000001"/>
    <s v="Returning"/>
    <n v="0.11"/>
    <s v="Credit Card"/>
    <s v="Retail"/>
    <s v="North-Alice"/>
  </r>
  <r>
    <x v="40"/>
    <x v="204"/>
    <d v="2023-11-01T00:00:00"/>
    <x v="0"/>
    <s v="South"/>
    <n v="7172.8"/>
    <n v="14"/>
    <x v="1"/>
    <n v="547.79"/>
    <n v="958.76"/>
    <s v="Returning"/>
    <n v="7.0000000000000007E-2"/>
    <s v="Credit Card"/>
    <s v="Retail"/>
    <s v="South-Bob"/>
  </r>
  <r>
    <x v="73"/>
    <x v="112"/>
    <d v="2023-10-13T00:00:00"/>
    <x v="2"/>
    <s v="North"/>
    <n v="7614.15"/>
    <n v="14"/>
    <x v="1"/>
    <n v="1996.64"/>
    <n v="2341.4700000000003"/>
    <s v="Returning"/>
    <n v="0.22"/>
    <s v="Credit Card"/>
    <s v="Online"/>
    <s v="North-Charlie"/>
  </r>
  <r>
    <x v="88"/>
    <x v="168"/>
    <d v="2023-05-24T00:00:00"/>
    <x v="3"/>
    <s v="South"/>
    <n v="1114.9100000000001"/>
    <n v="13"/>
    <x v="1"/>
    <n v="3102.73"/>
    <n v="3202.68"/>
    <s v="New"/>
    <n v="0.09"/>
    <s v="Cash"/>
    <s v="Online"/>
    <s v="South-Eve"/>
  </r>
  <r>
    <x v="57"/>
    <x v="205"/>
    <d v="2023-01-19T00:00:00"/>
    <x v="0"/>
    <s v="West"/>
    <n v="5187.16"/>
    <n v="7"/>
    <x v="2"/>
    <n v="4310.95"/>
    <n v="4723.2"/>
    <s v="Returning"/>
    <n v="0.05"/>
    <s v="Credit Card"/>
    <s v="Retail"/>
    <s v="West-Bob"/>
  </r>
  <r>
    <x v="29"/>
    <x v="34"/>
    <d v="2023-01-18T00:00:00"/>
    <x v="2"/>
    <s v="East"/>
    <n v="5138.0200000000004"/>
    <n v="44"/>
    <x v="3"/>
    <n v="1763.67"/>
    <n v="1983.8200000000002"/>
    <s v="New"/>
    <n v="0.24"/>
    <s v="Credit Card"/>
    <s v="Online"/>
    <s v="East-Charlie"/>
  </r>
  <r>
    <x v="12"/>
    <x v="206"/>
    <d v="2023-09-14T00:00:00"/>
    <x v="0"/>
    <s v="West"/>
    <n v="3755.88"/>
    <n v="15"/>
    <x v="2"/>
    <n v="3286.24"/>
    <n v="3388.8399999999997"/>
    <s v="Returning"/>
    <n v="0.09"/>
    <s v="Credit Card"/>
    <s v="Retail"/>
    <s v="West-Bob"/>
  </r>
  <r>
    <x v="94"/>
    <x v="207"/>
    <d v="2023-03-19T00:00:00"/>
    <x v="3"/>
    <s v="West"/>
    <n v="9335.9599999999991"/>
    <n v="19"/>
    <x v="1"/>
    <n v="1783.48"/>
    <n v="1931.56"/>
    <s v="Returning"/>
    <n v="0.27"/>
    <s v="Bank Transfer"/>
    <s v="Retail"/>
    <s v="West-Eve"/>
  </r>
  <r>
    <x v="11"/>
    <x v="208"/>
    <d v="2023-06-24T00:00:00"/>
    <x v="4"/>
    <s v="North"/>
    <n v="8292.31"/>
    <n v="43"/>
    <x v="2"/>
    <n v="3105.24"/>
    <n v="3246.33"/>
    <s v="New"/>
    <n v="0.25"/>
    <s v="Cash"/>
    <s v="Online"/>
    <s v="North-Alice"/>
  </r>
  <r>
    <x v="52"/>
    <x v="164"/>
    <d v="2023-07-13T00:00:00"/>
    <x v="4"/>
    <s v="South"/>
    <n v="7002.37"/>
    <n v="47"/>
    <x v="1"/>
    <n v="4429.8"/>
    <n v="4694.21"/>
    <s v="New"/>
    <n v="0.25"/>
    <s v="Bank Transfer"/>
    <s v="Online"/>
    <s v="South-Alice"/>
  </r>
  <r>
    <x v="20"/>
    <x v="209"/>
    <d v="2023-04-23T00:00:00"/>
    <x v="2"/>
    <s v="East"/>
    <n v="7171.83"/>
    <n v="44"/>
    <x v="3"/>
    <n v="1195.22"/>
    <n v="1320.06"/>
    <s v="Returning"/>
    <n v="0.23"/>
    <s v="Bank Transfer"/>
    <s v="Retail"/>
    <s v="East-Charlie"/>
  </r>
  <r>
    <x v="11"/>
    <x v="153"/>
    <d v="2023-04-24T00:00:00"/>
    <x v="1"/>
    <s v="North"/>
    <n v="4670.99"/>
    <n v="35"/>
    <x v="0"/>
    <n v="2051"/>
    <n v="2121.5500000000002"/>
    <s v="Returning"/>
    <n v="0.26"/>
    <s v="Cash"/>
    <s v="Retail"/>
    <s v="North-David"/>
  </r>
  <r>
    <x v="8"/>
    <x v="210"/>
    <d v="2023-08-10T00:00:00"/>
    <x v="2"/>
    <s v="North"/>
    <n v="9217.85"/>
    <n v="17"/>
    <x v="3"/>
    <n v="4966.66"/>
    <n v="5037.2699999999995"/>
    <s v="Returning"/>
    <n v="0.24"/>
    <s v="Bank Transfer"/>
    <s v="Retail"/>
    <s v="North-Charlie"/>
  </r>
  <r>
    <x v="3"/>
    <x v="211"/>
    <d v="2023-06-15T00:00:00"/>
    <x v="1"/>
    <s v="North"/>
    <n v="6976.49"/>
    <n v="35"/>
    <x v="3"/>
    <n v="4349.3599999999997"/>
    <n v="4645.17"/>
    <s v="Returning"/>
    <n v="0.18"/>
    <s v="Credit Card"/>
    <s v="Retail"/>
    <s v="North-David"/>
  </r>
  <r>
    <x v="49"/>
    <x v="127"/>
    <d v="2023-11-15T00:00:00"/>
    <x v="0"/>
    <s v="West"/>
    <n v="7316.91"/>
    <n v="19"/>
    <x v="0"/>
    <n v="2844.97"/>
    <n v="3215"/>
    <s v="Returning"/>
    <n v="0.09"/>
    <s v="Credit Card"/>
    <s v="Retail"/>
    <s v="West-Bob"/>
  </r>
  <r>
    <x v="17"/>
    <x v="19"/>
    <d v="2023-05-12T00:00:00"/>
    <x v="0"/>
    <s v="South"/>
    <n v="8630.74"/>
    <n v="20"/>
    <x v="2"/>
    <n v="2607.31"/>
    <n v="2774.86"/>
    <s v="New"/>
    <n v="0.27"/>
    <s v="Credit Card"/>
    <s v="Retail"/>
    <s v="South-Bob"/>
  </r>
  <r>
    <x v="42"/>
    <x v="52"/>
    <d v="2023-09-21T00:00:00"/>
    <x v="3"/>
    <s v="South"/>
    <n v="2813.31"/>
    <n v="36"/>
    <x v="0"/>
    <n v="1458.77"/>
    <n v="1485.75"/>
    <s v="New"/>
    <n v="0.25"/>
    <s v="Credit Card"/>
    <s v="Online"/>
    <s v="South-Eve"/>
  </r>
  <r>
    <x v="73"/>
    <x v="212"/>
    <d v="2023-02-24T00:00:00"/>
    <x v="1"/>
    <s v="East"/>
    <n v="8090"/>
    <n v="35"/>
    <x v="2"/>
    <n v="2610.19"/>
    <n v="2682.53"/>
    <s v="New"/>
    <n v="0.14000000000000001"/>
    <s v="Cash"/>
    <s v="Retail"/>
    <s v="East-David"/>
  </r>
  <r>
    <x v="23"/>
    <x v="84"/>
    <d v="2023-12-25T00:00:00"/>
    <x v="3"/>
    <s v="South"/>
    <n v="2032.88"/>
    <n v="32"/>
    <x v="2"/>
    <n v="4248.5"/>
    <n v="4706.7"/>
    <s v="New"/>
    <n v="0.01"/>
    <s v="Bank Transfer"/>
    <s v="Retail"/>
    <s v="South-Eve"/>
  </r>
  <r>
    <x v="73"/>
    <x v="112"/>
    <d v="2023-05-11T00:00:00"/>
    <x v="4"/>
    <s v="South"/>
    <n v="3518.89"/>
    <n v="48"/>
    <x v="1"/>
    <n v="3441.61"/>
    <n v="3693.4500000000003"/>
    <s v="Returning"/>
    <n v="0.19"/>
    <s v="Bank Transfer"/>
    <s v="Online"/>
    <s v="South-Alice"/>
  </r>
  <r>
    <x v="97"/>
    <x v="213"/>
    <d v="2023-10-15T00:00:00"/>
    <x v="1"/>
    <s v="North"/>
    <n v="3422.54"/>
    <n v="44"/>
    <x v="1"/>
    <n v="1485.72"/>
    <n v="1717.97"/>
    <s v="New"/>
    <n v="0.02"/>
    <s v="Credit Card"/>
    <s v="Retail"/>
    <s v="North-David"/>
  </r>
  <r>
    <x v="1"/>
    <x v="1"/>
    <d v="2023-09-23T00:00:00"/>
    <x v="2"/>
    <s v="North"/>
    <n v="9787.4"/>
    <n v="40"/>
    <x v="0"/>
    <n v="1047.25"/>
    <n v="1075.8900000000001"/>
    <s v="New"/>
    <n v="0.28000000000000003"/>
    <s v="Credit Card"/>
    <s v="Retail"/>
    <s v="North-Charlie"/>
  </r>
  <r>
    <x v="37"/>
    <x v="214"/>
    <d v="2024-01-01T00:00:00"/>
    <x v="4"/>
    <s v="West"/>
    <n v="8579.7199999999993"/>
    <n v="24"/>
    <x v="3"/>
    <n v="1362.78"/>
    <n v="1729.81"/>
    <s v="New"/>
    <n v="0.28999999999999998"/>
    <s v="Bank Transfer"/>
    <s v="Online"/>
    <s v="West-Alice"/>
  </r>
  <r>
    <x v="60"/>
    <x v="215"/>
    <d v="2023-06-11T00:00:00"/>
    <x v="4"/>
    <s v="North"/>
    <n v="7041.58"/>
    <n v="17"/>
    <x v="0"/>
    <n v="890.31"/>
    <n v="1159.06"/>
    <s v="Returning"/>
    <n v="0.06"/>
    <s v="Cash"/>
    <s v="Retail"/>
    <s v="North-Alice"/>
  </r>
  <r>
    <x v="83"/>
    <x v="216"/>
    <d v="2023-03-28T00:00:00"/>
    <x v="2"/>
    <s v="North"/>
    <n v="7297.86"/>
    <n v="7"/>
    <x v="2"/>
    <n v="523.41999999999996"/>
    <n v="632.43999999999994"/>
    <s v="New"/>
    <n v="0.2"/>
    <s v="Bank Transfer"/>
    <s v="Online"/>
    <s v="North-Charlie"/>
  </r>
  <r>
    <x v="52"/>
    <x v="164"/>
    <d v="2023-02-24T00:00:00"/>
    <x v="4"/>
    <s v="North"/>
    <n v="5664.52"/>
    <n v="43"/>
    <x v="1"/>
    <n v="2124.7199999999998"/>
    <n v="2188.66"/>
    <s v="Returning"/>
    <n v="0.03"/>
    <s v="Credit Card"/>
    <s v="Retail"/>
    <s v="North-Alice"/>
  </r>
  <r>
    <x v="46"/>
    <x v="217"/>
    <d v="2023-10-15T00:00:00"/>
    <x v="1"/>
    <s v="North"/>
    <n v="9476.2000000000007"/>
    <n v="1"/>
    <x v="0"/>
    <n v="610.83000000000004"/>
    <n v="808.69"/>
    <s v="New"/>
    <n v="0.22"/>
    <s v="Credit Card"/>
    <s v="Online"/>
    <s v="North-David"/>
  </r>
  <r>
    <x v="29"/>
    <x v="79"/>
    <d v="2023-06-27T00:00:00"/>
    <x v="3"/>
    <s v="West"/>
    <n v="5012.96"/>
    <n v="35"/>
    <x v="0"/>
    <n v="900.97"/>
    <n v="1321.18"/>
    <s v="Returning"/>
    <n v="0.1"/>
    <s v="Cash"/>
    <s v="Online"/>
    <s v="West-Eve"/>
  </r>
  <r>
    <x v="4"/>
    <x v="218"/>
    <d v="2023-12-15T00:00:00"/>
    <x v="4"/>
    <s v="North"/>
    <n v="3867.13"/>
    <n v="32"/>
    <x v="1"/>
    <n v="2759.26"/>
    <n v="3193.25"/>
    <s v="New"/>
    <n v="0.2"/>
    <s v="Bank Transfer"/>
    <s v="Online"/>
    <s v="North-Alice"/>
  </r>
  <r>
    <x v="62"/>
    <x v="85"/>
    <d v="2023-01-08T00:00:00"/>
    <x v="1"/>
    <s v="East"/>
    <n v="1714.05"/>
    <n v="36"/>
    <x v="1"/>
    <n v="864.77"/>
    <n v="1170.1599999999999"/>
    <s v="Returning"/>
    <n v="0.11"/>
    <s v="Cash"/>
    <s v="Retail"/>
    <s v="East-David"/>
  </r>
  <r>
    <x v="10"/>
    <x v="11"/>
    <d v="2023-11-17T00:00:00"/>
    <x v="0"/>
    <s v="East"/>
    <n v="7883.44"/>
    <n v="13"/>
    <x v="1"/>
    <n v="366.2"/>
    <n v="732.69"/>
    <s v="New"/>
    <n v="0.04"/>
    <s v="Cash"/>
    <s v="Retail"/>
    <s v="East-Bob"/>
  </r>
  <r>
    <x v="20"/>
    <x v="104"/>
    <d v="2023-11-09T00:00:00"/>
    <x v="1"/>
    <s v="East"/>
    <n v="7370.99"/>
    <n v="6"/>
    <x v="2"/>
    <n v="1621.07"/>
    <n v="1687.5"/>
    <s v="Returning"/>
    <n v="0.12"/>
    <s v="Credit Card"/>
    <s v="Online"/>
    <s v="East-David"/>
  </r>
  <r>
    <x v="89"/>
    <x v="219"/>
    <d v="2023-09-04T00:00:00"/>
    <x v="3"/>
    <s v="East"/>
    <n v="3905.11"/>
    <n v="14"/>
    <x v="1"/>
    <n v="1140.58"/>
    <n v="1438.76"/>
    <s v="Returning"/>
    <n v="0.03"/>
    <s v="Bank Transfer"/>
    <s v="Online"/>
    <s v="East-Eve"/>
  </r>
  <r>
    <x v="20"/>
    <x v="209"/>
    <d v="2023-11-19T00:00:00"/>
    <x v="1"/>
    <s v="North"/>
    <n v="349.41"/>
    <n v="37"/>
    <x v="3"/>
    <n v="2600.7600000000002"/>
    <n v="2937.57"/>
    <s v="New"/>
    <n v="0.17"/>
    <s v="Credit Card"/>
    <s v="Retail"/>
    <s v="North-David"/>
  </r>
  <r>
    <x v="39"/>
    <x v="220"/>
    <d v="2023-09-12T00:00:00"/>
    <x v="2"/>
    <s v="East"/>
    <n v="8406.07"/>
    <n v="48"/>
    <x v="0"/>
    <n v="556.72"/>
    <n v="665.07"/>
    <s v="Returning"/>
    <n v="0.01"/>
    <s v="Bank Transfer"/>
    <s v="Retail"/>
    <s v="East-Charlie"/>
  </r>
  <r>
    <x v="5"/>
    <x v="5"/>
    <d v="2023-11-24T00:00:00"/>
    <x v="3"/>
    <s v="North"/>
    <n v="213.04"/>
    <n v="15"/>
    <x v="1"/>
    <n v="3771.27"/>
    <n v="4212.55"/>
    <s v="Returning"/>
    <n v="0.16"/>
    <s v="Credit Card"/>
    <s v="Retail"/>
    <s v="North-Eve"/>
  </r>
  <r>
    <x v="57"/>
    <x v="221"/>
    <d v="2023-02-23T00:00:00"/>
    <x v="0"/>
    <s v="West"/>
    <n v="7066.63"/>
    <n v="47"/>
    <x v="1"/>
    <n v="4535.8599999999997"/>
    <n v="4641.41"/>
    <s v="New"/>
    <n v="0.27"/>
    <s v="Credit Card"/>
    <s v="Retail"/>
    <s v="West-Bob"/>
  </r>
  <r>
    <x v="94"/>
    <x v="183"/>
    <d v="2023-09-06T00:00:00"/>
    <x v="2"/>
    <s v="East"/>
    <n v="9705.5499999999993"/>
    <n v="4"/>
    <x v="2"/>
    <n v="3730"/>
    <n v="3893.6"/>
    <s v="New"/>
    <n v="0.25"/>
    <s v="Bank Transfer"/>
    <s v="Retail"/>
    <s v="East-Charlie"/>
  </r>
  <r>
    <x v="45"/>
    <x v="56"/>
    <d v="2023-08-27T00:00:00"/>
    <x v="1"/>
    <s v="South"/>
    <n v="4432.8500000000004"/>
    <n v="40"/>
    <x v="2"/>
    <n v="2687.49"/>
    <n v="3001.56"/>
    <s v="Returning"/>
    <n v="0.26"/>
    <s v="Bank Transfer"/>
    <s v="Online"/>
    <s v="South-David"/>
  </r>
  <r>
    <x v="34"/>
    <x v="101"/>
    <d v="2023-08-17T00:00:00"/>
    <x v="3"/>
    <s v="East"/>
    <n v="2426.2399999999998"/>
    <n v="16"/>
    <x v="0"/>
    <n v="4310.3100000000004"/>
    <n v="4633.1000000000004"/>
    <s v="New"/>
    <n v="0.28000000000000003"/>
    <s v="Credit Card"/>
    <s v="Retail"/>
    <s v="East-Eve"/>
  </r>
  <r>
    <x v="95"/>
    <x v="222"/>
    <d v="2023-03-08T00:00:00"/>
    <x v="0"/>
    <s v="East"/>
    <n v="7078.22"/>
    <n v="28"/>
    <x v="3"/>
    <n v="3489.85"/>
    <n v="3842.5499999999997"/>
    <s v="New"/>
    <n v="0.03"/>
    <s v="Bank Transfer"/>
    <s v="Online"/>
    <s v="East-Bob"/>
  </r>
  <r>
    <x v="90"/>
    <x v="223"/>
    <d v="2023-02-20T00:00:00"/>
    <x v="2"/>
    <s v="North"/>
    <n v="8189.57"/>
    <n v="16"/>
    <x v="0"/>
    <n v="102.23"/>
    <n v="167.12"/>
    <s v="New"/>
    <n v="0.04"/>
    <s v="Credit Card"/>
    <s v="Retail"/>
    <s v="North-Charlie"/>
  </r>
  <r>
    <x v="20"/>
    <x v="224"/>
    <d v="2023-04-07T00:00:00"/>
    <x v="0"/>
    <s v="East"/>
    <n v="5509.66"/>
    <n v="4"/>
    <x v="1"/>
    <n v="2000.75"/>
    <n v="2426.9899999999998"/>
    <s v="Returning"/>
    <n v="0.17"/>
    <s v="Bank Transfer"/>
    <s v="Online"/>
    <s v="East-Bob"/>
  </r>
  <r>
    <x v="57"/>
    <x v="105"/>
    <d v="2023-04-02T00:00:00"/>
    <x v="1"/>
    <s v="South"/>
    <n v="9673.65"/>
    <n v="45"/>
    <x v="3"/>
    <n v="4262.21"/>
    <n v="4533.3100000000004"/>
    <s v="Returning"/>
    <n v="0.27"/>
    <s v="Credit Card"/>
    <s v="Online"/>
    <s v="South-David"/>
  </r>
  <r>
    <x v="21"/>
    <x v="225"/>
    <d v="2023-09-21T00:00:00"/>
    <x v="0"/>
    <s v="North"/>
    <n v="611.52"/>
    <n v="26"/>
    <x v="3"/>
    <n v="1762"/>
    <n v="2002.95"/>
    <s v="Returning"/>
    <n v="0.28999999999999998"/>
    <s v="Credit Card"/>
    <s v="Retail"/>
    <s v="North-Bob"/>
  </r>
  <r>
    <x v="26"/>
    <x v="155"/>
    <d v="2023-10-18T00:00:00"/>
    <x v="4"/>
    <s v="North"/>
    <n v="5097.4799999999996"/>
    <n v="28"/>
    <x v="3"/>
    <n v="224.32"/>
    <n v="715.06"/>
    <s v="Returning"/>
    <n v="0.01"/>
    <s v="Credit Card"/>
    <s v="Online"/>
    <s v="North-Alice"/>
  </r>
  <r>
    <x v="74"/>
    <x v="109"/>
    <d v="2023-04-06T00:00:00"/>
    <x v="2"/>
    <s v="West"/>
    <n v="7212.69"/>
    <n v="32"/>
    <x v="3"/>
    <n v="3743.59"/>
    <n v="4116.38"/>
    <s v="Returning"/>
    <n v="0.11"/>
    <s v="Cash"/>
    <s v="Online"/>
    <s v="West-Charlie"/>
  </r>
  <r>
    <x v="13"/>
    <x v="226"/>
    <d v="2023-03-29T00:00:00"/>
    <x v="0"/>
    <s v="West"/>
    <n v="8640.14"/>
    <n v="45"/>
    <x v="0"/>
    <n v="4020.09"/>
    <n v="4087.9100000000003"/>
    <s v="Returning"/>
    <n v="0.06"/>
    <s v="Bank Transfer"/>
    <s v="Online"/>
    <s v="West-Bob"/>
  </r>
  <r>
    <x v="16"/>
    <x v="18"/>
    <d v="2023-03-19T00:00:00"/>
    <x v="1"/>
    <s v="East"/>
    <n v="1874.63"/>
    <n v="2"/>
    <x v="2"/>
    <n v="844.94"/>
    <n v="1225.6400000000001"/>
    <s v="Returning"/>
    <n v="0.23"/>
    <s v="Credit Card"/>
    <s v="Online"/>
    <s v="East-David"/>
  </r>
  <r>
    <x v="17"/>
    <x v="19"/>
    <d v="2023-10-15T00:00:00"/>
    <x v="1"/>
    <s v="West"/>
    <n v="8020.03"/>
    <n v="31"/>
    <x v="2"/>
    <n v="2709.84"/>
    <n v="2766.51"/>
    <s v="New"/>
    <n v="0.19"/>
    <s v="Cash"/>
    <s v="Retail"/>
    <s v="West-David"/>
  </r>
  <r>
    <x v="32"/>
    <x v="227"/>
    <d v="2023-04-30T00:00:00"/>
    <x v="0"/>
    <s v="West"/>
    <n v="5571.8"/>
    <n v="3"/>
    <x v="1"/>
    <n v="1000.18"/>
    <n v="1023.64"/>
    <s v="Returning"/>
    <n v="0.04"/>
    <s v="Credit Card"/>
    <s v="Online"/>
    <s v="West-Bob"/>
  </r>
  <r>
    <x v="52"/>
    <x v="228"/>
    <d v="2023-10-29T00:00:00"/>
    <x v="1"/>
    <s v="West"/>
    <n v="4025.88"/>
    <n v="8"/>
    <x v="2"/>
    <n v="3610.21"/>
    <n v="3817.9900000000002"/>
    <s v="Returning"/>
    <n v="0.15"/>
    <s v="Cash"/>
    <s v="Retail"/>
    <s v="West-David"/>
  </r>
  <r>
    <x v="45"/>
    <x v="56"/>
    <d v="2023-06-14T00:00:00"/>
    <x v="3"/>
    <s v="North"/>
    <n v="1403.98"/>
    <n v="24"/>
    <x v="2"/>
    <n v="1394.17"/>
    <n v="1891.02"/>
    <s v="New"/>
    <n v="0.21"/>
    <s v="Credit Card"/>
    <s v="Online"/>
    <s v="North-Eve"/>
  </r>
  <r>
    <x v="75"/>
    <x v="229"/>
    <d v="2023-07-01T00:00:00"/>
    <x v="3"/>
    <s v="North"/>
    <n v="8666.43"/>
    <n v="15"/>
    <x v="2"/>
    <n v="1615.26"/>
    <n v="1710.95"/>
    <s v="New"/>
    <n v="0.23"/>
    <s v="Credit Card"/>
    <s v="Retail"/>
    <s v="North-Eve"/>
  </r>
  <r>
    <x v="75"/>
    <x v="229"/>
    <d v="2023-08-11T00:00:00"/>
    <x v="3"/>
    <s v="North"/>
    <n v="1657"/>
    <n v="43"/>
    <x v="2"/>
    <n v="4232.6099999999997"/>
    <n v="4572.21"/>
    <s v="New"/>
    <n v="0.01"/>
    <s v="Cash"/>
    <s v="Retail"/>
    <s v="North-Eve"/>
  </r>
  <r>
    <x v="92"/>
    <x v="230"/>
    <d v="2023-11-07T00:00:00"/>
    <x v="4"/>
    <s v="West"/>
    <n v="3166.9"/>
    <n v="31"/>
    <x v="1"/>
    <n v="2407.8000000000002"/>
    <n v="2502.7600000000002"/>
    <s v="Returning"/>
    <n v="0.27"/>
    <s v="Cash"/>
    <s v="Retail"/>
    <s v="West-Alice"/>
  </r>
  <r>
    <x v="5"/>
    <x v="23"/>
    <d v="2023-01-07T00:00:00"/>
    <x v="0"/>
    <s v="North"/>
    <n v="2971.45"/>
    <n v="9"/>
    <x v="0"/>
    <n v="3365.28"/>
    <n v="3730.4300000000003"/>
    <s v="New"/>
    <n v="0.17"/>
    <s v="Bank Transfer"/>
    <s v="Online"/>
    <s v="North-Bob"/>
  </r>
  <r>
    <x v="16"/>
    <x v="231"/>
    <d v="2023-11-26T00:00:00"/>
    <x v="4"/>
    <s v="West"/>
    <n v="8727"/>
    <n v="39"/>
    <x v="3"/>
    <n v="2041.75"/>
    <n v="2299.37"/>
    <s v="Returning"/>
    <n v="0.24"/>
    <s v="Bank Transfer"/>
    <s v="Retail"/>
    <s v="West-Alice"/>
  </r>
  <r>
    <x v="85"/>
    <x v="232"/>
    <d v="2023-09-20T00:00:00"/>
    <x v="1"/>
    <s v="North"/>
    <n v="6759.76"/>
    <n v="45"/>
    <x v="2"/>
    <n v="1525.13"/>
    <n v="1868.3200000000002"/>
    <s v="Returning"/>
    <n v="0.24"/>
    <s v="Cash"/>
    <s v="Retail"/>
    <s v="North-David"/>
  </r>
  <r>
    <x v="69"/>
    <x v="233"/>
    <d v="2023-06-10T00:00:00"/>
    <x v="4"/>
    <s v="North"/>
    <n v="7987.15"/>
    <n v="2"/>
    <x v="0"/>
    <n v="3146.12"/>
    <n v="3255.5299999999997"/>
    <s v="Returning"/>
    <n v="0.06"/>
    <s v="Bank Transfer"/>
    <s v="Online"/>
    <s v="North-Alice"/>
  </r>
  <r>
    <x v="18"/>
    <x v="234"/>
    <d v="2023-05-31T00:00:00"/>
    <x v="1"/>
    <s v="South"/>
    <n v="2579.63"/>
    <n v="8"/>
    <x v="2"/>
    <n v="816.54"/>
    <n v="1191.9000000000001"/>
    <s v="New"/>
    <n v="0.03"/>
    <s v="Cash"/>
    <s v="Retail"/>
    <s v="South-David"/>
  </r>
  <r>
    <x v="85"/>
    <x v="232"/>
    <d v="2023-03-26T00:00:00"/>
    <x v="1"/>
    <s v="East"/>
    <n v="6286.25"/>
    <n v="7"/>
    <x v="2"/>
    <n v="1896.35"/>
    <n v="2394.1999999999998"/>
    <s v="New"/>
    <n v="0.22"/>
    <s v="Bank Transfer"/>
    <s v="Online"/>
    <s v="East-David"/>
  </r>
  <r>
    <x v="91"/>
    <x v="235"/>
    <d v="2023-05-27T00:00:00"/>
    <x v="2"/>
    <s v="West"/>
    <n v="5760.29"/>
    <n v="44"/>
    <x v="3"/>
    <n v="1084.73"/>
    <n v="1420.9"/>
    <s v="Returning"/>
    <n v="0.05"/>
    <s v="Credit Card"/>
    <s v="Online"/>
    <s v="West-Charlie"/>
  </r>
  <r>
    <x v="4"/>
    <x v="4"/>
    <d v="2023-04-22T00:00:00"/>
    <x v="3"/>
    <s v="South"/>
    <n v="8345.02"/>
    <n v="39"/>
    <x v="3"/>
    <n v="3494.19"/>
    <n v="3746"/>
    <s v="Returning"/>
    <n v="0.25"/>
    <s v="Bank Transfer"/>
    <s v="Retail"/>
    <s v="South-Eve"/>
  </r>
  <r>
    <x v="57"/>
    <x v="105"/>
    <d v="2023-02-05T00:00:00"/>
    <x v="1"/>
    <s v="North"/>
    <n v="9070.26"/>
    <n v="42"/>
    <x v="3"/>
    <n v="4723.83"/>
    <n v="5186.1899999999996"/>
    <s v="Returning"/>
    <n v="0.22"/>
    <s v="Credit Card"/>
    <s v="Online"/>
    <s v="North-David"/>
  </r>
  <r>
    <x v="88"/>
    <x v="184"/>
    <d v="2023-10-12T00:00:00"/>
    <x v="2"/>
    <s v="West"/>
    <n v="220.35"/>
    <n v="16"/>
    <x v="2"/>
    <n v="4977.78"/>
    <n v="4995.55"/>
    <s v="New"/>
    <n v="0.25"/>
    <s v="Credit Card"/>
    <s v="Online"/>
    <s v="West-Charlie"/>
  </r>
  <r>
    <x v="38"/>
    <x v="62"/>
    <d v="2023-07-07T00:00:00"/>
    <x v="3"/>
    <s v="North"/>
    <n v="6772.8"/>
    <n v="35"/>
    <x v="2"/>
    <n v="2278.87"/>
    <n v="2646.5299999999997"/>
    <s v="Returning"/>
    <n v="0.09"/>
    <s v="Bank Transfer"/>
    <s v="Online"/>
    <s v="North-Eve"/>
  </r>
  <r>
    <x v="46"/>
    <x v="97"/>
    <d v="2023-03-23T00:00:00"/>
    <x v="1"/>
    <s v="East"/>
    <n v="613.16999999999996"/>
    <n v="30"/>
    <x v="2"/>
    <n v="1300.03"/>
    <n v="1745.52"/>
    <s v="New"/>
    <n v="0.09"/>
    <s v="Cash"/>
    <s v="Retail"/>
    <s v="East-David"/>
  </r>
  <r>
    <x v="18"/>
    <x v="21"/>
    <d v="2023-01-02T00:00:00"/>
    <x v="1"/>
    <s v="South"/>
    <n v="5533.7"/>
    <n v="10"/>
    <x v="3"/>
    <n v="2242.0100000000002"/>
    <n v="2282.23"/>
    <s v="Returning"/>
    <n v="0.2"/>
    <s v="Credit Card"/>
    <s v="Online"/>
    <s v="South-David"/>
  </r>
  <r>
    <x v="24"/>
    <x v="236"/>
    <d v="2023-10-30T00:00:00"/>
    <x v="4"/>
    <s v="East"/>
    <n v="2947.56"/>
    <n v="38"/>
    <x v="1"/>
    <n v="4243.9799999999996"/>
    <n v="4474.5099999999993"/>
    <s v="New"/>
    <n v="0.01"/>
    <s v="Credit Card"/>
    <s v="Online"/>
    <s v="East-Alice"/>
  </r>
  <r>
    <x v="90"/>
    <x v="223"/>
    <d v="2023-07-16T00:00:00"/>
    <x v="4"/>
    <s v="South"/>
    <n v="3137.09"/>
    <n v="18"/>
    <x v="0"/>
    <n v="1069.73"/>
    <n v="1180.04"/>
    <s v="Returning"/>
    <n v="0.22"/>
    <s v="Bank Transfer"/>
    <s v="Online"/>
    <s v="South-Alice"/>
  </r>
  <r>
    <x v="44"/>
    <x v="55"/>
    <d v="2023-01-11T00:00:00"/>
    <x v="3"/>
    <s v="North"/>
    <n v="3594.29"/>
    <n v="5"/>
    <x v="1"/>
    <n v="4762.87"/>
    <n v="5050.46"/>
    <s v="New"/>
    <n v="0.25"/>
    <s v="Cash"/>
    <s v="Retail"/>
    <s v="North-Eve"/>
  </r>
  <r>
    <x v="28"/>
    <x v="163"/>
    <d v="2023-08-22T00:00:00"/>
    <x v="1"/>
    <s v="East"/>
    <n v="6250.8"/>
    <n v="29"/>
    <x v="2"/>
    <n v="1742.24"/>
    <n v="2070.52"/>
    <s v="New"/>
    <n v="0.12"/>
    <s v="Cash"/>
    <s v="Online"/>
    <s v="East-David"/>
  </r>
  <r>
    <x v="16"/>
    <x v="18"/>
    <d v="2023-07-14T00:00:00"/>
    <x v="0"/>
    <s v="East"/>
    <n v="3407.09"/>
    <n v="39"/>
    <x v="2"/>
    <n v="4929.7299999999996"/>
    <n v="5088.0199999999995"/>
    <s v="New"/>
    <n v="0.23"/>
    <s v="Bank Transfer"/>
    <s v="Retail"/>
    <s v="East-Bob"/>
  </r>
  <r>
    <x v="1"/>
    <x v="237"/>
    <d v="2023-04-29T00:00:00"/>
    <x v="4"/>
    <s v="North"/>
    <n v="7353.72"/>
    <n v="34"/>
    <x v="1"/>
    <n v="4201.1099999999997"/>
    <n v="4436.5"/>
    <s v="New"/>
    <n v="0.05"/>
    <s v="Cash"/>
    <s v="Online"/>
    <s v="North-Alice"/>
  </r>
  <r>
    <x v="98"/>
    <x v="238"/>
    <d v="2023-01-20T00:00:00"/>
    <x v="3"/>
    <s v="East"/>
    <n v="4104.82"/>
    <n v="43"/>
    <x v="2"/>
    <n v="4052.42"/>
    <n v="4199.3"/>
    <s v="New"/>
    <n v="0.1"/>
    <s v="Bank Transfer"/>
    <s v="Retail"/>
    <s v="East-Eve"/>
  </r>
  <r>
    <x v="51"/>
    <x v="239"/>
    <d v="2023-09-18T00:00:00"/>
    <x v="1"/>
    <s v="West"/>
    <n v="776.7"/>
    <n v="45"/>
    <x v="0"/>
    <n v="1623.63"/>
    <n v="1814.63"/>
    <s v="New"/>
    <n v="0.28999999999999998"/>
    <s v="Bank Transfer"/>
    <s v="Retail"/>
    <s v="West-David"/>
  </r>
  <r>
    <x v="73"/>
    <x v="212"/>
    <d v="2023-10-20T00:00:00"/>
    <x v="1"/>
    <s v="South"/>
    <n v="7859.22"/>
    <n v="23"/>
    <x v="2"/>
    <n v="93.45"/>
    <n v="181.62"/>
    <s v="Returning"/>
    <n v="0.3"/>
    <s v="Bank Transfer"/>
    <s v="Retail"/>
    <s v="South-David"/>
  </r>
  <r>
    <x v="72"/>
    <x v="240"/>
    <d v="2023-09-13T00:00:00"/>
    <x v="0"/>
    <s v="South"/>
    <n v="2929.01"/>
    <n v="5"/>
    <x v="0"/>
    <n v="1941.56"/>
    <n v="2385.48"/>
    <s v="Returning"/>
    <n v="0.15"/>
    <s v="Credit Card"/>
    <s v="Online"/>
    <s v="South-Bob"/>
  </r>
  <r>
    <x v="11"/>
    <x v="12"/>
    <d v="2023-08-10T00:00:00"/>
    <x v="3"/>
    <s v="South"/>
    <n v="4384.3900000000003"/>
    <n v="30"/>
    <x v="1"/>
    <n v="1543.96"/>
    <n v="1558.8700000000001"/>
    <s v="Returning"/>
    <n v="0.28000000000000003"/>
    <s v="Credit Card"/>
    <s v="Online"/>
    <s v="South-Eve"/>
  </r>
  <r>
    <x v="1"/>
    <x v="237"/>
    <d v="2023-08-14T00:00:00"/>
    <x v="1"/>
    <s v="West"/>
    <n v="6885.89"/>
    <n v="6"/>
    <x v="1"/>
    <n v="235.12"/>
    <n v="677.5"/>
    <s v="Returning"/>
    <n v="0.16"/>
    <s v="Credit Card"/>
    <s v="Online"/>
    <s v="West-David"/>
  </r>
  <r>
    <x v="98"/>
    <x v="238"/>
    <d v="2023-02-22T00:00:00"/>
    <x v="4"/>
    <s v="South"/>
    <n v="3391.32"/>
    <n v="46"/>
    <x v="2"/>
    <n v="2551.56"/>
    <n v="2841.68"/>
    <s v="New"/>
    <n v="0.09"/>
    <s v="Bank Transfer"/>
    <s v="Retail"/>
    <s v="South-Alice"/>
  </r>
  <r>
    <x v="14"/>
    <x v="15"/>
    <d v="2023-12-21T00:00:00"/>
    <x v="0"/>
    <s v="North"/>
    <n v="660.2"/>
    <n v="44"/>
    <x v="0"/>
    <n v="2045"/>
    <n v="2217.5100000000002"/>
    <s v="Returning"/>
    <n v="0.08"/>
    <s v="Credit Card"/>
    <s v="Online"/>
    <s v="North-Bob"/>
  </r>
  <r>
    <x v="56"/>
    <x v="241"/>
    <d v="2023-12-08T00:00:00"/>
    <x v="3"/>
    <s v="East"/>
    <n v="3801.82"/>
    <n v="4"/>
    <x v="2"/>
    <n v="3191.05"/>
    <n v="3555.3500000000004"/>
    <s v="New"/>
    <n v="0.28000000000000003"/>
    <s v="Credit Card"/>
    <s v="Online"/>
    <s v="East-Eve"/>
  </r>
  <r>
    <x v="73"/>
    <x v="198"/>
    <d v="2023-12-30T00:00:00"/>
    <x v="0"/>
    <s v="West"/>
    <n v="9450.0400000000009"/>
    <n v="29"/>
    <x v="3"/>
    <n v="3124.87"/>
    <n v="3383.67"/>
    <s v="New"/>
    <n v="0.05"/>
    <s v="Credit Card"/>
    <s v="Retail"/>
    <s v="West-Bob"/>
  </r>
  <r>
    <x v="19"/>
    <x v="46"/>
    <d v="2023-10-07T00:00:00"/>
    <x v="4"/>
    <s v="South"/>
    <n v="6453.17"/>
    <n v="23"/>
    <x v="3"/>
    <n v="647.70000000000005"/>
    <n v="902.26"/>
    <s v="New"/>
    <n v="0.17"/>
    <s v="Bank Transfer"/>
    <s v="Online"/>
    <s v="South-Alice"/>
  </r>
  <r>
    <x v="85"/>
    <x v="143"/>
    <d v="2023-03-22T00:00:00"/>
    <x v="3"/>
    <s v="North"/>
    <n v="6747.64"/>
    <n v="6"/>
    <x v="3"/>
    <n v="4885.9799999999996"/>
    <n v="4949.95"/>
    <s v="Returning"/>
    <n v="0.17"/>
    <s v="Bank Transfer"/>
    <s v="Online"/>
    <s v="North-Eve"/>
  </r>
  <r>
    <x v="53"/>
    <x v="94"/>
    <d v="2023-07-21T00:00:00"/>
    <x v="0"/>
    <s v="East"/>
    <n v="6359.59"/>
    <n v="32"/>
    <x v="3"/>
    <n v="975.31"/>
    <n v="1176.17"/>
    <s v="New"/>
    <n v="0.22"/>
    <s v="Bank Transfer"/>
    <s v="Retail"/>
    <s v="East-Bob"/>
  </r>
  <r>
    <x v="59"/>
    <x v="242"/>
    <d v="2023-06-07T00:00:00"/>
    <x v="2"/>
    <s v="East"/>
    <n v="2070.02"/>
    <n v="42"/>
    <x v="2"/>
    <n v="2254.11"/>
    <n v="2382.23"/>
    <s v="Returning"/>
    <n v="0.15"/>
    <s v="Credit Card"/>
    <s v="Retail"/>
    <s v="East-Charlie"/>
  </r>
  <r>
    <x v="82"/>
    <x v="129"/>
    <d v="2023-04-30T00:00:00"/>
    <x v="4"/>
    <s v="West"/>
    <n v="4241.51"/>
    <n v="18"/>
    <x v="3"/>
    <n v="2466.1799999999998"/>
    <n v="2483.87"/>
    <s v="Returning"/>
    <n v="0.08"/>
    <s v="Cash"/>
    <s v="Online"/>
    <s v="West-Alice"/>
  </r>
  <r>
    <x v="7"/>
    <x v="7"/>
    <d v="2023-02-28T00:00:00"/>
    <x v="4"/>
    <s v="West"/>
    <n v="7534.3"/>
    <n v="15"/>
    <x v="0"/>
    <n v="4074.66"/>
    <n v="4261.1099999999997"/>
    <s v="Returning"/>
    <n v="0.05"/>
    <s v="Credit Card"/>
    <s v="Retail"/>
    <s v="West-Alice"/>
  </r>
  <r>
    <x v="20"/>
    <x v="224"/>
    <d v="2023-08-03T00:00:00"/>
    <x v="4"/>
    <s v="West"/>
    <n v="1103.5899999999999"/>
    <n v="40"/>
    <x v="1"/>
    <n v="541.19000000000005"/>
    <n v="595.20000000000005"/>
    <s v="Returning"/>
    <n v="0.19"/>
    <s v="Credit Card"/>
    <s v="Online"/>
    <s v="West-Alice"/>
  </r>
  <r>
    <x v="95"/>
    <x v="185"/>
    <d v="2023-05-08T00:00:00"/>
    <x v="2"/>
    <s v="North"/>
    <n v="2850.74"/>
    <n v="32"/>
    <x v="1"/>
    <n v="2171.79"/>
    <n v="2307.64"/>
    <s v="Returning"/>
    <n v="0.22"/>
    <s v="Bank Transfer"/>
    <s v="Online"/>
    <s v="North-Charlie"/>
  </r>
  <r>
    <x v="37"/>
    <x v="214"/>
    <d v="2023-08-12T00:00:00"/>
    <x v="2"/>
    <s v="North"/>
    <n v="2835.56"/>
    <n v="9"/>
    <x v="3"/>
    <n v="3161.09"/>
    <n v="3216.42"/>
    <s v="New"/>
    <n v="0.17"/>
    <s v="Bank Transfer"/>
    <s v="Online"/>
    <s v="North-Charlie"/>
  </r>
  <r>
    <x v="97"/>
    <x v="243"/>
    <d v="2023-07-28T00:00:00"/>
    <x v="1"/>
    <s v="West"/>
    <n v="4376.99"/>
    <n v="37"/>
    <x v="3"/>
    <n v="1115.02"/>
    <n v="1174.48"/>
    <s v="New"/>
    <n v="0.22"/>
    <s v="Credit Card"/>
    <s v="Online"/>
    <s v="West-David"/>
  </r>
  <r>
    <x v="56"/>
    <x v="72"/>
    <d v="2023-04-25T00:00:00"/>
    <x v="0"/>
    <s v="South"/>
    <n v="9805.65"/>
    <n v="10"/>
    <x v="3"/>
    <n v="3155.97"/>
    <n v="3263.49"/>
    <s v="Returning"/>
    <n v="0.04"/>
    <s v="Credit Card"/>
    <s v="Online"/>
    <s v="South-Bob"/>
  </r>
  <r>
    <x v="52"/>
    <x v="228"/>
    <d v="2023-07-28T00:00:00"/>
    <x v="1"/>
    <s v="East"/>
    <n v="768.28"/>
    <n v="20"/>
    <x v="2"/>
    <n v="4622.1400000000003"/>
    <n v="5122.0700000000006"/>
    <s v="New"/>
    <n v="0.26"/>
    <s v="Cash"/>
    <s v="Retail"/>
    <s v="East-David"/>
  </r>
  <r>
    <x v="22"/>
    <x v="244"/>
    <d v="2023-01-14T00:00:00"/>
    <x v="0"/>
    <s v="East"/>
    <n v="5235.1400000000003"/>
    <n v="6"/>
    <x v="1"/>
    <n v="4987.71"/>
    <n v="4998.78"/>
    <s v="Returning"/>
    <n v="0.17"/>
    <s v="Cash"/>
    <s v="Retail"/>
    <s v="East-Bob"/>
  </r>
  <r>
    <x v="95"/>
    <x v="222"/>
    <d v="2023-01-09T00:00:00"/>
    <x v="2"/>
    <s v="North"/>
    <n v="1875.71"/>
    <n v="48"/>
    <x v="3"/>
    <n v="210.63"/>
    <n v="533.57999999999993"/>
    <s v="New"/>
    <n v="0.04"/>
    <s v="Bank Transfer"/>
    <s v="Online"/>
    <s v="North-Charlie"/>
  </r>
  <r>
    <x v="98"/>
    <x v="245"/>
    <d v="2023-02-09T00:00:00"/>
    <x v="2"/>
    <s v="East"/>
    <n v="9709.7000000000007"/>
    <n v="3"/>
    <x v="0"/>
    <n v="1216.1600000000001"/>
    <n v="1295.3700000000001"/>
    <s v="New"/>
    <n v="0.14000000000000001"/>
    <s v="Cash"/>
    <s v="Retail"/>
    <s v="East-Charlie"/>
  </r>
  <r>
    <x v="11"/>
    <x v="82"/>
    <d v="2023-08-25T00:00:00"/>
    <x v="1"/>
    <s v="South"/>
    <n v="1221.7"/>
    <n v="42"/>
    <x v="3"/>
    <n v="1586.02"/>
    <n v="2047.13"/>
    <s v="New"/>
    <n v="0.25"/>
    <s v="Cash"/>
    <s v="Retail"/>
    <s v="South-David"/>
  </r>
  <r>
    <x v="82"/>
    <x v="170"/>
    <d v="2023-10-08T00:00:00"/>
    <x v="3"/>
    <s v="East"/>
    <n v="4095.65"/>
    <n v="11"/>
    <x v="1"/>
    <n v="2025.67"/>
    <n v="2081.5500000000002"/>
    <s v="New"/>
    <n v="0.27"/>
    <s v="Bank Transfer"/>
    <s v="Online"/>
    <s v="East-Eve"/>
  </r>
  <r>
    <x v="31"/>
    <x v="38"/>
    <d v="2023-12-25T00:00:00"/>
    <x v="1"/>
    <s v="North"/>
    <n v="7405.06"/>
    <n v="43"/>
    <x v="3"/>
    <n v="1249.17"/>
    <n v="1727.15"/>
    <s v="New"/>
    <n v="0.08"/>
    <s v="Cash"/>
    <s v="Retail"/>
    <s v="North-David"/>
  </r>
  <r>
    <x v="74"/>
    <x v="246"/>
    <d v="2023-07-20T00:00:00"/>
    <x v="0"/>
    <s v="North"/>
    <n v="7075.09"/>
    <n v="17"/>
    <x v="1"/>
    <n v="1057.27"/>
    <n v="1366.62"/>
    <s v="New"/>
    <n v="0.21"/>
    <s v="Credit Card"/>
    <s v="Retail"/>
    <s v="North-Bob"/>
  </r>
  <r>
    <x v="71"/>
    <x v="194"/>
    <d v="2023-09-03T00:00:00"/>
    <x v="1"/>
    <s v="South"/>
    <n v="4285.01"/>
    <n v="32"/>
    <x v="3"/>
    <n v="4775.04"/>
    <n v="4785.66"/>
    <s v="New"/>
    <n v="0.03"/>
    <s v="Cash"/>
    <s v="Online"/>
    <s v="South-David"/>
  </r>
  <r>
    <x v="83"/>
    <x v="133"/>
    <d v="2023-10-05T00:00:00"/>
    <x v="4"/>
    <s v="South"/>
    <n v="3530.59"/>
    <n v="4"/>
    <x v="0"/>
    <n v="4596.68"/>
    <n v="5044.7400000000007"/>
    <s v="New"/>
    <n v="0.01"/>
    <s v="Bank Transfer"/>
    <s v="Online"/>
    <s v="South-Alice"/>
  </r>
  <r>
    <x v="75"/>
    <x v="247"/>
    <d v="2023-08-23T00:00:00"/>
    <x v="0"/>
    <s v="East"/>
    <n v="4036.36"/>
    <n v="4"/>
    <x v="3"/>
    <n v="282.61"/>
    <n v="548.25"/>
    <s v="New"/>
    <n v="0.17"/>
    <s v="Credit Card"/>
    <s v="Online"/>
    <s v="East-Bob"/>
  </r>
  <r>
    <x v="15"/>
    <x v="16"/>
    <d v="2023-01-04T00:00:00"/>
    <x v="0"/>
    <s v="East"/>
    <n v="2716.34"/>
    <n v="17"/>
    <x v="0"/>
    <n v="1727.12"/>
    <n v="1865.83"/>
    <s v="New"/>
    <n v="0.21"/>
    <s v="Cash"/>
    <s v="Online"/>
    <s v="East-Bob"/>
  </r>
  <r>
    <x v="41"/>
    <x v="169"/>
    <d v="2023-06-03T00:00:00"/>
    <x v="3"/>
    <s v="North"/>
    <n v="2132.8000000000002"/>
    <n v="41"/>
    <x v="0"/>
    <n v="2055.4899999999998"/>
    <n v="2441.46"/>
    <s v="New"/>
    <n v="0.24"/>
    <s v="Credit Card"/>
    <s v="Online"/>
    <s v="North-Eve"/>
  </r>
  <r>
    <x v="90"/>
    <x v="248"/>
    <d v="2023-01-29T00:00:00"/>
    <x v="2"/>
    <s v="South"/>
    <n v="4882.09"/>
    <n v="19"/>
    <x v="3"/>
    <n v="1233.1199999999999"/>
    <n v="1697.1899999999998"/>
    <s v="New"/>
    <n v="0.1"/>
    <s v="Credit Card"/>
    <s v="Online"/>
    <s v="South-Charlie"/>
  </r>
  <r>
    <x v="20"/>
    <x v="24"/>
    <d v="2023-04-19T00:00:00"/>
    <x v="0"/>
    <s v="South"/>
    <n v="2758.48"/>
    <n v="5"/>
    <x v="0"/>
    <n v="3162.92"/>
    <n v="3409.9300000000003"/>
    <s v="New"/>
    <n v="0"/>
    <s v="Cash"/>
    <s v="Online"/>
    <s v="South-Bob"/>
  </r>
  <r>
    <x v="40"/>
    <x v="48"/>
    <d v="2023-04-08T00:00:00"/>
    <x v="2"/>
    <s v="South"/>
    <n v="2945.87"/>
    <n v="32"/>
    <x v="2"/>
    <n v="3219.88"/>
    <n v="3384.5"/>
    <s v="Returning"/>
    <n v="0.14000000000000001"/>
    <s v="Cash"/>
    <s v="Retail"/>
    <s v="South-Charlie"/>
  </r>
  <r>
    <x v="80"/>
    <x v="125"/>
    <d v="2023-08-03T00:00:00"/>
    <x v="1"/>
    <s v="East"/>
    <n v="6601.89"/>
    <n v="22"/>
    <x v="3"/>
    <n v="4260"/>
    <n v="4656.58"/>
    <s v="New"/>
    <n v="0"/>
    <s v="Bank Transfer"/>
    <s v="Online"/>
    <s v="East-David"/>
  </r>
  <r>
    <x v="57"/>
    <x v="105"/>
    <d v="2023-10-20T00:00:00"/>
    <x v="4"/>
    <s v="South"/>
    <n v="9688.52"/>
    <n v="6"/>
    <x v="3"/>
    <n v="3717.3"/>
    <n v="4061.3700000000003"/>
    <s v="New"/>
    <n v="0.03"/>
    <s v="Bank Transfer"/>
    <s v="Retail"/>
    <s v="South-Alice"/>
  </r>
  <r>
    <x v="36"/>
    <x v="159"/>
    <d v="2023-03-16T00:00:00"/>
    <x v="3"/>
    <s v="North"/>
    <n v="6076.01"/>
    <n v="35"/>
    <x v="0"/>
    <n v="2735.74"/>
    <n v="3181.2299999999996"/>
    <s v="New"/>
    <n v="0.1"/>
    <s v="Credit Card"/>
    <s v="Retail"/>
    <s v="North-Eve"/>
  </r>
  <r>
    <x v="1"/>
    <x v="1"/>
    <d v="2023-11-22T00:00:00"/>
    <x v="2"/>
    <s v="North"/>
    <n v="862.1"/>
    <n v="22"/>
    <x v="0"/>
    <n v="3285.25"/>
    <n v="3634.58"/>
    <s v="New"/>
    <n v="0.13"/>
    <s v="Bank Transfer"/>
    <s v="Online"/>
    <s v="North-Charlie"/>
  </r>
  <r>
    <x v="27"/>
    <x v="197"/>
    <d v="2023-05-26T00:00:00"/>
    <x v="0"/>
    <s v="East"/>
    <n v="848.28"/>
    <n v="1"/>
    <x v="3"/>
    <n v="1406.24"/>
    <n v="1535.57"/>
    <s v="New"/>
    <n v="0.08"/>
    <s v="Credit Card"/>
    <s v="Retail"/>
    <s v="East-Bob"/>
  </r>
  <r>
    <x v="61"/>
    <x v="249"/>
    <d v="2023-05-08T00:00:00"/>
    <x v="2"/>
    <s v="West"/>
    <n v="9519.09"/>
    <n v="20"/>
    <x v="2"/>
    <n v="2985.63"/>
    <n v="3452.1400000000003"/>
    <s v="New"/>
    <n v="0.17"/>
    <s v="Credit Card"/>
    <s v="Retail"/>
    <s v="West-Charlie"/>
  </r>
  <r>
    <x v="73"/>
    <x v="108"/>
    <d v="2023-12-07T00:00:00"/>
    <x v="0"/>
    <s v="East"/>
    <n v="3043.18"/>
    <n v="22"/>
    <x v="0"/>
    <n v="2471.67"/>
    <n v="2533.04"/>
    <s v="Returning"/>
    <n v="0.02"/>
    <s v="Bank Transfer"/>
    <s v="Retail"/>
    <s v="East-Bob"/>
  </r>
  <r>
    <x v="50"/>
    <x v="193"/>
    <d v="2023-02-11T00:00:00"/>
    <x v="2"/>
    <s v="West"/>
    <n v="1011.46"/>
    <n v="48"/>
    <x v="0"/>
    <n v="710.06"/>
    <n v="851.34999999999991"/>
    <s v="Returning"/>
    <n v="0.04"/>
    <s v="Bank Transfer"/>
    <s v="Online"/>
    <s v="West-Charlie"/>
  </r>
  <r>
    <x v="97"/>
    <x v="213"/>
    <d v="2023-12-22T00:00:00"/>
    <x v="0"/>
    <s v="South"/>
    <n v="6030.54"/>
    <n v="11"/>
    <x v="1"/>
    <n v="1250.5899999999999"/>
    <n v="1515.4899999999998"/>
    <s v="Returning"/>
    <n v="0.21"/>
    <s v="Bank Transfer"/>
    <s v="Retail"/>
    <s v="South-Bob"/>
  </r>
  <r>
    <x v="11"/>
    <x v="208"/>
    <d v="2023-02-10T00:00:00"/>
    <x v="1"/>
    <s v="East"/>
    <n v="6274.12"/>
    <n v="13"/>
    <x v="2"/>
    <n v="1493.88"/>
    <n v="1781.0900000000001"/>
    <s v="New"/>
    <n v="0.04"/>
    <s v="Cash"/>
    <s v="Retail"/>
    <s v="East-David"/>
  </r>
  <r>
    <x v="81"/>
    <x v="250"/>
    <d v="2023-02-03T00:00:00"/>
    <x v="0"/>
    <s v="North"/>
    <n v="6520.2"/>
    <n v="42"/>
    <x v="2"/>
    <n v="4625.33"/>
    <n v="4642.83"/>
    <s v="New"/>
    <n v="0.19"/>
    <s v="Credit Card"/>
    <s v="Online"/>
    <s v="North-Bob"/>
  </r>
  <r>
    <x v="19"/>
    <x v="46"/>
    <d v="2023-01-17T00:00:00"/>
    <x v="0"/>
    <s v="South"/>
    <n v="2747.28"/>
    <n v="3"/>
    <x v="3"/>
    <n v="1190.4100000000001"/>
    <n v="1582.89"/>
    <s v="New"/>
    <n v="0.02"/>
    <s v="Credit Card"/>
    <s v="Retail"/>
    <s v="South-Bob"/>
  </r>
  <r>
    <x v="34"/>
    <x v="199"/>
    <d v="2023-06-14T00:00:00"/>
    <x v="4"/>
    <s v="North"/>
    <n v="249.6"/>
    <n v="9"/>
    <x v="2"/>
    <n v="1481.76"/>
    <n v="1668.95"/>
    <s v="Returning"/>
    <n v="0.12"/>
    <s v="Credit Card"/>
    <s v="Retail"/>
    <s v="North-Alice"/>
  </r>
  <r>
    <x v="84"/>
    <x v="251"/>
    <d v="2023-06-02T00:00:00"/>
    <x v="0"/>
    <s v="South"/>
    <n v="9653.65"/>
    <n v="12"/>
    <x v="3"/>
    <n v="1878.3"/>
    <n v="2087.4499999999998"/>
    <s v="New"/>
    <n v="0.05"/>
    <s v="Bank Transfer"/>
    <s v="Retail"/>
    <s v="South-Bob"/>
  </r>
  <r>
    <x v="49"/>
    <x v="252"/>
    <d v="2023-03-17T00:00:00"/>
    <x v="4"/>
    <s v="East"/>
    <n v="2583.84"/>
    <n v="23"/>
    <x v="1"/>
    <n v="3335.53"/>
    <n v="3742.1200000000003"/>
    <s v="New"/>
    <n v="0.03"/>
    <s v="Bank Transfer"/>
    <s v="Retail"/>
    <s v="East-Alice"/>
  </r>
  <r>
    <x v="64"/>
    <x v="87"/>
    <d v="2023-03-28T00:00:00"/>
    <x v="3"/>
    <s v="West"/>
    <n v="6792.66"/>
    <n v="14"/>
    <x v="2"/>
    <n v="635.28"/>
    <n v="831.13"/>
    <s v="Returning"/>
    <n v="0.17"/>
    <s v="Bank Transfer"/>
    <s v="Retail"/>
    <s v="West-Eve"/>
  </r>
  <r>
    <x v="94"/>
    <x v="253"/>
    <d v="2023-04-27T00:00:00"/>
    <x v="4"/>
    <s v="South"/>
    <n v="7095.64"/>
    <n v="33"/>
    <x v="0"/>
    <n v="4772.03"/>
    <n v="4805.17"/>
    <s v="Returning"/>
    <n v="0.28000000000000003"/>
    <s v="Bank Transfer"/>
    <s v="Online"/>
    <s v="South-Alice"/>
  </r>
  <r>
    <x v="65"/>
    <x v="88"/>
    <d v="2023-12-28T00:00:00"/>
    <x v="1"/>
    <s v="West"/>
    <n v="6139.07"/>
    <n v="18"/>
    <x v="1"/>
    <n v="4334.58"/>
    <n v="4431.04"/>
    <s v="New"/>
    <n v="0.02"/>
    <s v="Bank Transfer"/>
    <s v="Retail"/>
    <s v="West-David"/>
  </r>
  <r>
    <x v="45"/>
    <x v="93"/>
    <d v="2023-12-08T00:00:00"/>
    <x v="4"/>
    <s v="South"/>
    <n v="3197.78"/>
    <n v="49"/>
    <x v="3"/>
    <n v="2907.22"/>
    <n v="3385.6099999999997"/>
    <s v="New"/>
    <n v="0.13"/>
    <s v="Cash"/>
    <s v="Online"/>
    <s v="South-Alice"/>
  </r>
  <r>
    <x v="93"/>
    <x v="254"/>
    <d v="2023-01-27T00:00:00"/>
    <x v="3"/>
    <s v="North"/>
    <n v="2783.85"/>
    <n v="41"/>
    <x v="1"/>
    <n v="3386.49"/>
    <n v="3430.99"/>
    <s v="New"/>
    <n v="0.21"/>
    <s v="Bank Transfer"/>
    <s v="Retail"/>
    <s v="North-Eve"/>
  </r>
  <r>
    <x v="39"/>
    <x v="255"/>
    <d v="2023-11-09T00:00:00"/>
    <x v="1"/>
    <s v="North"/>
    <n v="6016.92"/>
    <n v="9"/>
    <x v="3"/>
    <n v="132.47"/>
    <n v="316.39"/>
    <s v="New"/>
    <n v="0.14000000000000001"/>
    <s v="Credit Card"/>
    <s v="Online"/>
    <s v="North-David"/>
  </r>
  <r>
    <x v="21"/>
    <x v="256"/>
    <d v="2023-10-14T00:00:00"/>
    <x v="2"/>
    <s v="South"/>
    <n v="8674.35"/>
    <n v="23"/>
    <x v="1"/>
    <n v="1727.78"/>
    <n v="1984.34"/>
    <s v="Returning"/>
    <n v="0.24"/>
    <s v="Bank Transfer"/>
    <s v="Online"/>
    <s v="South-Charlie"/>
  </r>
  <r>
    <x v="7"/>
    <x v="257"/>
    <d v="2023-05-14T00:00:00"/>
    <x v="2"/>
    <s v="West"/>
    <n v="9472.66"/>
    <n v="10"/>
    <x v="3"/>
    <n v="3988.52"/>
    <n v="4240.2299999999996"/>
    <s v="New"/>
    <n v="0.05"/>
    <s v="Credit Card"/>
    <s v="Online"/>
    <s v="West-Charlie"/>
  </r>
  <r>
    <x v="2"/>
    <x v="258"/>
    <d v="2023-08-07T00:00:00"/>
    <x v="4"/>
    <s v="East"/>
    <n v="1148.47"/>
    <n v="19"/>
    <x v="2"/>
    <n v="433.54"/>
    <n v="445.48"/>
    <s v="New"/>
    <n v="0.28999999999999998"/>
    <s v="Bank Transfer"/>
    <s v="Retail"/>
    <s v="East-Alice"/>
  </r>
  <r>
    <x v="28"/>
    <x v="33"/>
    <d v="2023-06-17T00:00:00"/>
    <x v="4"/>
    <s v="East"/>
    <n v="1632.8"/>
    <n v="47"/>
    <x v="0"/>
    <n v="1447.45"/>
    <n v="1703.02"/>
    <s v="Returning"/>
    <n v="0.12"/>
    <s v="Bank Transfer"/>
    <s v="Retail"/>
    <s v="East-Alice"/>
  </r>
  <r>
    <x v="92"/>
    <x v="259"/>
    <d v="2023-04-08T00:00:00"/>
    <x v="3"/>
    <s v="North"/>
    <n v="9452.89"/>
    <n v="5"/>
    <x v="3"/>
    <n v="2947.22"/>
    <n v="3145.27"/>
    <s v="New"/>
    <n v="0.1"/>
    <s v="Credit Card"/>
    <s v="Retail"/>
    <s v="North-Eve"/>
  </r>
  <r>
    <x v="83"/>
    <x v="260"/>
    <d v="2023-09-25T00:00:00"/>
    <x v="3"/>
    <s v="East"/>
    <n v="7391.7"/>
    <n v="47"/>
    <x v="1"/>
    <n v="1319.24"/>
    <n v="1805.56"/>
    <s v="New"/>
    <n v="0.26"/>
    <s v="Credit Card"/>
    <s v="Retail"/>
    <s v="East-Eve"/>
  </r>
  <r>
    <x v="82"/>
    <x v="129"/>
    <d v="2023-08-25T00:00:00"/>
    <x v="0"/>
    <s v="North"/>
    <n v="8841.64"/>
    <n v="23"/>
    <x v="3"/>
    <n v="4673.1899999999996"/>
    <n v="4761.1799999999994"/>
    <s v="Returning"/>
    <n v="0.17"/>
    <s v="Credit Card"/>
    <s v="Retail"/>
    <s v="North-Bob"/>
  </r>
  <r>
    <x v="7"/>
    <x v="257"/>
    <d v="2023-11-05T00:00:00"/>
    <x v="3"/>
    <s v="East"/>
    <n v="2106.06"/>
    <n v="30"/>
    <x v="3"/>
    <n v="698.74"/>
    <n v="882.28"/>
    <s v="Returning"/>
    <n v="0.15"/>
    <s v="Credit Card"/>
    <s v="Online"/>
    <s v="East-Eve"/>
  </r>
  <r>
    <x v="53"/>
    <x v="94"/>
    <d v="2023-06-22T00:00:00"/>
    <x v="0"/>
    <s v="South"/>
    <n v="5917.1"/>
    <n v="25"/>
    <x v="3"/>
    <n v="3997.1"/>
    <n v="4212.6499999999996"/>
    <s v="New"/>
    <n v="0.22"/>
    <s v="Cash"/>
    <s v="Online"/>
    <s v="South-Bob"/>
  </r>
  <r>
    <x v="74"/>
    <x v="246"/>
    <d v="2023-07-09T00:00:00"/>
    <x v="1"/>
    <s v="North"/>
    <n v="7041.28"/>
    <n v="28"/>
    <x v="1"/>
    <n v="2564.35"/>
    <n v="2765.79"/>
    <s v="Returning"/>
    <n v="0.17"/>
    <s v="Credit Card"/>
    <s v="Online"/>
    <s v="North-David"/>
  </r>
  <r>
    <x v="32"/>
    <x v="261"/>
    <d v="2023-05-02T00:00:00"/>
    <x v="4"/>
    <s v="North"/>
    <n v="6833.11"/>
    <n v="34"/>
    <x v="0"/>
    <n v="3764.14"/>
    <n v="4100.3999999999996"/>
    <s v="Returning"/>
    <n v="0.05"/>
    <s v="Bank Transfer"/>
    <s v="Retail"/>
    <s v="North-Alice"/>
  </r>
  <r>
    <x v="97"/>
    <x v="262"/>
    <d v="2023-02-15T00:00:00"/>
    <x v="1"/>
    <s v="South"/>
    <n v="4140.7"/>
    <n v="45"/>
    <x v="2"/>
    <n v="1588.04"/>
    <n v="1703.6399999999999"/>
    <s v="New"/>
    <n v="0.2"/>
    <s v="Bank Transfer"/>
    <s v="Retail"/>
    <s v="South-David"/>
  </r>
  <r>
    <x v="22"/>
    <x v="26"/>
    <d v="2023-03-05T00:00:00"/>
    <x v="3"/>
    <s v="North"/>
    <n v="252.41"/>
    <n v="48"/>
    <x v="0"/>
    <n v="2596.7199999999998"/>
    <n v="2715.0499999999997"/>
    <s v="Returning"/>
    <n v="0.04"/>
    <s v="Cash"/>
    <s v="Online"/>
    <s v="North-Eve"/>
  </r>
  <r>
    <x v="53"/>
    <x v="94"/>
    <d v="2023-05-10T00:00:00"/>
    <x v="1"/>
    <s v="East"/>
    <n v="5870.97"/>
    <n v="47"/>
    <x v="3"/>
    <n v="4291.33"/>
    <n v="4658.6400000000003"/>
    <s v="New"/>
    <n v="0.24"/>
    <s v="Credit Card"/>
    <s v="Retail"/>
    <s v="East-David"/>
  </r>
  <r>
    <x v="30"/>
    <x v="76"/>
    <d v="2023-11-06T00:00:00"/>
    <x v="1"/>
    <s v="East"/>
    <n v="2605.71"/>
    <n v="25"/>
    <x v="1"/>
    <n v="2361.0500000000002"/>
    <n v="2616.19"/>
    <s v="New"/>
    <n v="0.3"/>
    <s v="Bank Transfer"/>
    <s v="Retail"/>
    <s v="East-David"/>
  </r>
  <r>
    <x v="13"/>
    <x v="226"/>
    <d v="2023-12-29T00:00:00"/>
    <x v="1"/>
    <s v="North"/>
    <n v="4557.5200000000004"/>
    <n v="10"/>
    <x v="0"/>
    <n v="1830.61"/>
    <n v="2044.04"/>
    <s v="New"/>
    <n v="0.11"/>
    <s v="Cash"/>
    <s v="Online"/>
    <s v="North-David"/>
  </r>
  <r>
    <x v="22"/>
    <x v="263"/>
    <d v="2023-07-12T00:00:00"/>
    <x v="3"/>
    <s v="East"/>
    <n v="9580.0499999999993"/>
    <n v="14"/>
    <x v="3"/>
    <n v="2703.97"/>
    <n v="2796.8799999999997"/>
    <s v="New"/>
    <n v="0.13"/>
    <s v="Bank Transfer"/>
    <s v="Online"/>
    <s v="East-Eve"/>
  </r>
  <r>
    <x v="22"/>
    <x v="157"/>
    <d v="2023-11-03T00:00:00"/>
    <x v="1"/>
    <s v="West"/>
    <n v="4050.45"/>
    <n v="42"/>
    <x v="2"/>
    <n v="3600.95"/>
    <n v="3702.8399999999997"/>
    <s v="Returning"/>
    <n v="0.01"/>
    <s v="Cash"/>
    <s v="Retail"/>
    <s v="West-David"/>
  </r>
  <r>
    <x v="74"/>
    <x v="132"/>
    <d v="2023-06-30T00:00:00"/>
    <x v="0"/>
    <s v="North"/>
    <n v="8414.0400000000009"/>
    <n v="46"/>
    <x v="2"/>
    <n v="2245.64"/>
    <n v="2260.81"/>
    <s v="New"/>
    <n v="0"/>
    <s v="Cash"/>
    <s v="Retail"/>
    <s v="North-Bob"/>
  </r>
  <r>
    <x v="24"/>
    <x v="264"/>
    <d v="2023-10-19T00:00:00"/>
    <x v="3"/>
    <s v="South"/>
    <n v="1966.55"/>
    <n v="30"/>
    <x v="2"/>
    <n v="4697.4399999999996"/>
    <n v="4752.24"/>
    <s v="New"/>
    <n v="0.28000000000000003"/>
    <s v="Credit Card"/>
    <s v="Online"/>
    <s v="South-Eve"/>
  </r>
  <r>
    <x v="0"/>
    <x v="189"/>
    <d v="2023-10-09T00:00:00"/>
    <x v="1"/>
    <s v="West"/>
    <n v="6757.36"/>
    <n v="41"/>
    <x v="3"/>
    <n v="1509.98"/>
    <n v="1792.83"/>
    <s v="New"/>
    <n v="0.04"/>
    <s v="Cash"/>
    <s v="Retail"/>
    <s v="West-David"/>
  </r>
  <r>
    <x v="27"/>
    <x v="32"/>
    <d v="2023-01-29T00:00:00"/>
    <x v="3"/>
    <s v="North"/>
    <n v="9772.3700000000008"/>
    <n v="25"/>
    <x v="1"/>
    <n v="2403.54"/>
    <n v="2850.56"/>
    <s v="New"/>
    <n v="0.13"/>
    <s v="Bank Transfer"/>
    <s v="Online"/>
    <s v="North-Eve"/>
  </r>
  <r>
    <x v="86"/>
    <x v="147"/>
    <d v="2023-05-29T00:00:00"/>
    <x v="2"/>
    <s v="South"/>
    <n v="1108.74"/>
    <n v="14"/>
    <x v="0"/>
    <n v="3796.79"/>
    <n v="3947.5"/>
    <s v="Returning"/>
    <n v="0.24"/>
    <s v="Bank Transfer"/>
    <s v="Online"/>
    <s v="South-Charlie"/>
  </r>
  <r>
    <x v="2"/>
    <x v="258"/>
    <d v="2023-09-24T00:00:00"/>
    <x v="0"/>
    <s v="East"/>
    <n v="182.37"/>
    <n v="35"/>
    <x v="2"/>
    <n v="3461.15"/>
    <n v="3631.75"/>
    <s v="Returning"/>
    <n v="0.27"/>
    <s v="Credit Card"/>
    <s v="Online"/>
    <s v="East-Bob"/>
  </r>
  <r>
    <x v="52"/>
    <x v="265"/>
    <d v="2023-10-23T00:00:00"/>
    <x v="1"/>
    <s v="South"/>
    <n v="4392.47"/>
    <n v="48"/>
    <x v="3"/>
    <n v="4325.0200000000004"/>
    <n v="4391.67"/>
    <s v="Returning"/>
    <n v="0.16"/>
    <s v="Credit Card"/>
    <s v="Retail"/>
    <s v="South-David"/>
  </r>
  <r>
    <x v="19"/>
    <x v="46"/>
    <d v="2023-01-11T00:00:00"/>
    <x v="2"/>
    <s v="West"/>
    <n v="1016.99"/>
    <n v="34"/>
    <x v="3"/>
    <n v="4984.21"/>
    <n v="5184.6400000000003"/>
    <s v="New"/>
    <n v="0.17"/>
    <s v="Cash"/>
    <s v="Online"/>
    <s v="West-Charlie"/>
  </r>
  <r>
    <x v="85"/>
    <x v="266"/>
    <d v="2023-06-13T00:00:00"/>
    <x v="2"/>
    <s v="East"/>
    <n v="7509.01"/>
    <n v="10"/>
    <x v="0"/>
    <n v="2162.9499999999998"/>
    <n v="2191.1899999999996"/>
    <s v="Returning"/>
    <n v="0.2"/>
    <s v="Credit Card"/>
    <s v="Online"/>
    <s v="East-Charlie"/>
  </r>
  <r>
    <x v="45"/>
    <x v="56"/>
    <d v="2023-04-23T00:00:00"/>
    <x v="3"/>
    <s v="North"/>
    <n v="9154.0300000000007"/>
    <n v="35"/>
    <x v="2"/>
    <n v="600.20000000000005"/>
    <n v="1059.8200000000002"/>
    <s v="Returning"/>
    <n v="0.28999999999999998"/>
    <s v="Bank Transfer"/>
    <s v="Retail"/>
    <s v="North-Eve"/>
  </r>
  <r>
    <x v="14"/>
    <x v="50"/>
    <d v="2023-07-06T00:00:00"/>
    <x v="2"/>
    <s v="East"/>
    <n v="4396.8100000000004"/>
    <n v="11"/>
    <x v="3"/>
    <n v="200.56"/>
    <n v="540.38"/>
    <s v="New"/>
    <n v="0.18"/>
    <s v="Bank Transfer"/>
    <s v="Online"/>
    <s v="East-Charlie"/>
  </r>
  <r>
    <x v="19"/>
    <x v="201"/>
    <d v="2023-10-22T00:00:00"/>
    <x v="0"/>
    <s v="North"/>
    <n v="2661.25"/>
    <n v="11"/>
    <x v="0"/>
    <n v="3648.04"/>
    <n v="4143.51"/>
    <s v="Returning"/>
    <n v="0.17"/>
    <s v="Credit Card"/>
    <s v="Retail"/>
    <s v="North-Bob"/>
  </r>
  <r>
    <x v="68"/>
    <x v="267"/>
    <d v="2023-08-20T00:00:00"/>
    <x v="0"/>
    <s v="North"/>
    <n v="4400.59"/>
    <n v="21"/>
    <x v="1"/>
    <n v="4376.37"/>
    <n v="4818.95"/>
    <s v="New"/>
    <n v="0"/>
    <s v="Credit Card"/>
    <s v="Retail"/>
    <s v="North-Bob"/>
  </r>
  <r>
    <x v="89"/>
    <x v="219"/>
    <d v="2023-08-15T00:00:00"/>
    <x v="4"/>
    <s v="South"/>
    <n v="7262.13"/>
    <n v="21"/>
    <x v="1"/>
    <n v="1142.53"/>
    <n v="1384.3"/>
    <s v="Returning"/>
    <n v="0.02"/>
    <s v="Credit Card"/>
    <s v="Retail"/>
    <s v="South-Alice"/>
  </r>
  <r>
    <x v="51"/>
    <x v="63"/>
    <d v="2023-11-06T00:00:00"/>
    <x v="0"/>
    <s v="South"/>
    <n v="189.64"/>
    <n v="22"/>
    <x v="1"/>
    <n v="834.32"/>
    <n v="1098.97"/>
    <s v="Returning"/>
    <n v="0.17"/>
    <s v="Cash"/>
    <s v="Online"/>
    <s v="South-Bob"/>
  </r>
  <r>
    <x v="78"/>
    <x v="122"/>
    <d v="2023-04-08T00:00:00"/>
    <x v="2"/>
    <s v="South"/>
    <n v="5935.59"/>
    <n v="45"/>
    <x v="2"/>
    <n v="357.92"/>
    <n v="461.3"/>
    <s v="Returning"/>
    <n v="0.28000000000000003"/>
    <s v="Cash"/>
    <s v="Online"/>
    <s v="South-Charlie"/>
  </r>
  <r>
    <x v="79"/>
    <x v="268"/>
    <d v="2023-02-24T00:00:00"/>
    <x v="0"/>
    <s v="West"/>
    <n v="6171.59"/>
    <n v="7"/>
    <x v="0"/>
    <n v="4122.38"/>
    <n v="4358.78"/>
    <s v="Returning"/>
    <n v="0.26"/>
    <s v="Bank Transfer"/>
    <s v="Retail"/>
    <s v="West-Bob"/>
  </r>
  <r>
    <x v="31"/>
    <x v="269"/>
    <d v="2023-04-21T00:00:00"/>
    <x v="3"/>
    <s v="West"/>
    <n v="6413.11"/>
    <n v="17"/>
    <x v="0"/>
    <n v="1591.34"/>
    <n v="2043.82"/>
    <s v="New"/>
    <n v="0.28999999999999998"/>
    <s v="Cash"/>
    <s v="Retail"/>
    <s v="West-Eve"/>
  </r>
  <r>
    <x v="73"/>
    <x v="198"/>
    <d v="2023-06-01T00:00:00"/>
    <x v="4"/>
    <s v="South"/>
    <n v="2496.02"/>
    <n v="2"/>
    <x v="3"/>
    <n v="2038.4"/>
    <n v="2073.3200000000002"/>
    <s v="New"/>
    <n v="0.16"/>
    <s v="Cash"/>
    <s v="Retail"/>
    <s v="South-Alice"/>
  </r>
  <r>
    <x v="33"/>
    <x v="270"/>
    <d v="2023-09-03T00:00:00"/>
    <x v="2"/>
    <s v="West"/>
    <n v="7169.12"/>
    <n v="12"/>
    <x v="3"/>
    <n v="2538.61"/>
    <n v="2971.75"/>
    <s v="Returning"/>
    <n v="0.24"/>
    <s v="Cash"/>
    <s v="Online"/>
    <s v="West-Charlie"/>
  </r>
  <r>
    <x v="58"/>
    <x v="271"/>
    <d v="2023-03-10T00:00:00"/>
    <x v="4"/>
    <s v="East"/>
    <n v="1004.78"/>
    <n v="42"/>
    <x v="3"/>
    <n v="4205.29"/>
    <n v="4382.3500000000004"/>
    <s v="New"/>
    <n v="0.25"/>
    <s v="Cash"/>
    <s v="Retail"/>
    <s v="East-Alice"/>
  </r>
  <r>
    <x v="0"/>
    <x v="0"/>
    <d v="2023-11-08T00:00:00"/>
    <x v="2"/>
    <s v="East"/>
    <n v="2072.7800000000002"/>
    <n v="18"/>
    <x v="0"/>
    <n v="3271.62"/>
    <n v="3722.38"/>
    <s v="Returning"/>
    <n v="0.19"/>
    <s v="Bank Transfer"/>
    <s v="Retail"/>
    <s v="East-Charlie"/>
  </r>
  <r>
    <x v="93"/>
    <x v="180"/>
    <d v="2023-10-16T00:00:00"/>
    <x v="3"/>
    <s v="West"/>
    <n v="8786.9500000000007"/>
    <n v="11"/>
    <x v="3"/>
    <n v="3094.57"/>
    <n v="3565.6000000000004"/>
    <s v="Returning"/>
    <n v="0.1"/>
    <s v="Credit Card"/>
    <s v="Retail"/>
    <s v="West-Eve"/>
  </r>
  <r>
    <x v="81"/>
    <x v="272"/>
    <d v="2023-09-07T00:00:00"/>
    <x v="4"/>
    <s v="West"/>
    <n v="7413.36"/>
    <n v="16"/>
    <x v="0"/>
    <n v="919.58"/>
    <n v="1258.3000000000002"/>
    <s v="Returning"/>
    <n v="0.14000000000000001"/>
    <s v="Bank Transfer"/>
    <s v="Online"/>
    <s v="West-Alice"/>
  </r>
  <r>
    <x v="16"/>
    <x v="273"/>
    <d v="2023-02-05T00:00:00"/>
    <x v="1"/>
    <s v="East"/>
    <n v="236.08"/>
    <n v="49"/>
    <x v="0"/>
    <n v="2590.29"/>
    <n v="2925.86"/>
    <s v="Returning"/>
    <n v="0.26"/>
    <s v="Cash"/>
    <s v="Retail"/>
    <s v="East-David"/>
  </r>
  <r>
    <x v="88"/>
    <x v="168"/>
    <d v="2023-08-27T00:00:00"/>
    <x v="2"/>
    <s v="North"/>
    <n v="2558.92"/>
    <n v="18"/>
    <x v="1"/>
    <n v="3591.14"/>
    <n v="3822.99"/>
    <s v="Returning"/>
    <n v="0.09"/>
    <s v="Credit Card"/>
    <s v="Online"/>
    <s v="North-Charlie"/>
  </r>
  <r>
    <x v="90"/>
    <x v="248"/>
    <d v="2023-05-28T00:00:00"/>
    <x v="1"/>
    <s v="East"/>
    <n v="2222.62"/>
    <n v="35"/>
    <x v="3"/>
    <n v="4867.6400000000003"/>
    <n v="5287.05"/>
    <s v="Returning"/>
    <n v="0.28000000000000003"/>
    <s v="Credit Card"/>
    <s v="Online"/>
    <s v="East-David"/>
  </r>
  <r>
    <x v="53"/>
    <x v="66"/>
    <d v="2023-08-15T00:00:00"/>
    <x v="4"/>
    <s v="East"/>
    <n v="2780.98"/>
    <n v="26"/>
    <x v="1"/>
    <n v="1046.96"/>
    <n v="1528.15"/>
    <s v="New"/>
    <n v="7.0000000000000007E-2"/>
    <s v="Credit Card"/>
    <s v="Retail"/>
    <s v="East-Alice"/>
  </r>
  <r>
    <x v="88"/>
    <x v="184"/>
    <d v="2023-09-01T00:00:00"/>
    <x v="1"/>
    <s v="West"/>
    <n v="2550.84"/>
    <n v="16"/>
    <x v="2"/>
    <n v="97.24"/>
    <n v="487.03000000000003"/>
    <s v="New"/>
    <n v="0.22"/>
    <s v="Bank Transfer"/>
    <s v="Retail"/>
    <s v="West-David"/>
  </r>
  <r>
    <x v="28"/>
    <x v="163"/>
    <d v="2023-12-03T00:00:00"/>
    <x v="1"/>
    <s v="East"/>
    <n v="719.01"/>
    <n v="6"/>
    <x v="2"/>
    <n v="422.74"/>
    <n v="737.49"/>
    <s v="Returning"/>
    <n v="0.19"/>
    <s v="Credit Card"/>
    <s v="Retail"/>
    <s v="East-David"/>
  </r>
  <r>
    <x v="22"/>
    <x v="157"/>
    <d v="2023-12-31T00:00:00"/>
    <x v="4"/>
    <s v="West"/>
    <n v="4643.51"/>
    <n v="44"/>
    <x v="2"/>
    <n v="1910.47"/>
    <n v="2217.8000000000002"/>
    <s v="New"/>
    <n v="0.22"/>
    <s v="Bank Transfer"/>
    <s v="Online"/>
    <s v="West-Alice"/>
  </r>
  <r>
    <x v="33"/>
    <x v="40"/>
    <d v="2023-07-20T00:00:00"/>
    <x v="3"/>
    <s v="West"/>
    <n v="7354.06"/>
    <n v="43"/>
    <x v="0"/>
    <n v="4111.7"/>
    <n v="4537.9399999999996"/>
    <s v="Returning"/>
    <n v="0.13"/>
    <s v="Bank Transfer"/>
    <s v="Online"/>
    <s v="West-Eve"/>
  </r>
  <r>
    <x v="41"/>
    <x v="169"/>
    <d v="2023-06-03T00:00:00"/>
    <x v="1"/>
    <s v="South"/>
    <n v="6106.64"/>
    <n v="47"/>
    <x v="0"/>
    <n v="85.35"/>
    <n v="360.53999999999996"/>
    <s v="New"/>
    <n v="0.28000000000000003"/>
    <s v="Cash"/>
    <s v="Online"/>
    <s v="South-David"/>
  </r>
  <r>
    <x v="41"/>
    <x v="169"/>
    <d v="2023-03-14T00:00:00"/>
    <x v="1"/>
    <s v="East"/>
    <n v="6761.43"/>
    <n v="47"/>
    <x v="0"/>
    <n v="2310.8200000000002"/>
    <n v="2714.71"/>
    <s v="New"/>
    <n v="0.19"/>
    <s v="Cash"/>
    <s v="Retail"/>
    <s v="East-David"/>
  </r>
  <r>
    <x v="30"/>
    <x v="142"/>
    <d v="2023-07-20T00:00:00"/>
    <x v="3"/>
    <s v="North"/>
    <n v="903.38"/>
    <n v="48"/>
    <x v="3"/>
    <n v="1679.69"/>
    <n v="1939.04"/>
    <s v="New"/>
    <n v="0.09"/>
    <s v="Credit Card"/>
    <s v="Online"/>
    <s v="North-Eve"/>
  </r>
  <r>
    <x v="71"/>
    <x v="274"/>
    <d v="2023-10-23T00:00:00"/>
    <x v="1"/>
    <s v="South"/>
    <n v="9519.76"/>
    <n v="42"/>
    <x v="1"/>
    <n v="309.77999999999997"/>
    <n v="350.38"/>
    <s v="Returning"/>
    <n v="0.19"/>
    <s v="Credit Card"/>
    <s v="Retail"/>
    <s v="South-David"/>
  </r>
  <r>
    <x v="40"/>
    <x v="149"/>
    <d v="2023-01-17T00:00:00"/>
    <x v="1"/>
    <s v="West"/>
    <n v="8401.07"/>
    <n v="12"/>
    <x v="0"/>
    <n v="2278.67"/>
    <n v="2476.8000000000002"/>
    <s v="New"/>
    <n v="0.09"/>
    <s v="Cash"/>
    <s v="Retail"/>
    <s v="West-David"/>
  </r>
  <r>
    <x v="70"/>
    <x v="158"/>
    <d v="2023-05-09T00:00:00"/>
    <x v="1"/>
    <s v="West"/>
    <n v="8070.39"/>
    <n v="13"/>
    <x v="1"/>
    <n v="1311.01"/>
    <n v="1538.79"/>
    <s v="Returning"/>
    <n v="0.09"/>
    <s v="Bank Transfer"/>
    <s v="Retail"/>
    <s v="West-David"/>
  </r>
  <r>
    <x v="66"/>
    <x v="167"/>
    <d v="2023-08-05T00:00:00"/>
    <x v="0"/>
    <s v="North"/>
    <n v="8247.5400000000009"/>
    <n v="4"/>
    <x v="1"/>
    <n v="1791.83"/>
    <n v="1871.22"/>
    <s v="Returning"/>
    <n v="0.12"/>
    <s v="Bank Transfer"/>
    <s v="Online"/>
    <s v="North-Bob"/>
  </r>
  <r>
    <x v="22"/>
    <x v="244"/>
    <d v="2023-03-02T00:00:00"/>
    <x v="3"/>
    <s v="West"/>
    <n v="9333.83"/>
    <n v="39"/>
    <x v="1"/>
    <n v="3542.8"/>
    <n v="3603.02"/>
    <s v="Returning"/>
    <n v="0.26"/>
    <s v="Cash"/>
    <s v="Online"/>
    <s v="West-Eve"/>
  </r>
  <r>
    <x v="66"/>
    <x v="92"/>
    <d v="2023-04-14T00:00:00"/>
    <x v="1"/>
    <s v="East"/>
    <n v="5488.11"/>
    <n v="2"/>
    <x v="3"/>
    <n v="2631.68"/>
    <n v="2904.06"/>
    <s v="New"/>
    <n v="0.15"/>
    <s v="Bank Transfer"/>
    <s v="Online"/>
    <s v="East-David"/>
  </r>
  <r>
    <x v="54"/>
    <x v="275"/>
    <d v="2023-02-11T00:00:00"/>
    <x v="3"/>
    <s v="South"/>
    <n v="2082.79"/>
    <n v="26"/>
    <x v="3"/>
    <n v="667"/>
    <n v="718.72"/>
    <s v="New"/>
    <n v="0.2"/>
    <s v="Cash"/>
    <s v="Retail"/>
    <s v="South-Eve"/>
  </r>
  <r>
    <x v="78"/>
    <x v="122"/>
    <d v="2023-01-25T00:00:00"/>
    <x v="2"/>
    <s v="West"/>
    <n v="6206.16"/>
    <n v="27"/>
    <x v="2"/>
    <n v="4809"/>
    <n v="4967.4399999999996"/>
    <s v="New"/>
    <n v="0.12"/>
    <s v="Cash"/>
    <s v="Online"/>
    <s v="West-Charlie"/>
  </r>
  <r>
    <x v="57"/>
    <x v="205"/>
    <d v="2023-02-08T00:00:00"/>
    <x v="2"/>
    <s v="West"/>
    <n v="7454.53"/>
    <n v="27"/>
    <x v="2"/>
    <n v="3197.76"/>
    <n v="3572.61"/>
    <s v="Returning"/>
    <n v="0.08"/>
    <s v="Credit Card"/>
    <s v="Online"/>
    <s v="West-Charlie"/>
  </r>
  <r>
    <x v="23"/>
    <x v="89"/>
    <d v="2023-10-18T00:00:00"/>
    <x v="1"/>
    <s v="North"/>
    <n v="7405.38"/>
    <n v="15"/>
    <x v="1"/>
    <n v="3841.05"/>
    <n v="4323.62"/>
    <s v="Returning"/>
    <n v="0.28999999999999998"/>
    <s v="Credit Card"/>
    <s v="Retail"/>
    <s v="North-David"/>
  </r>
  <r>
    <x v="66"/>
    <x v="191"/>
    <d v="2023-05-11T00:00:00"/>
    <x v="3"/>
    <s v="East"/>
    <n v="5262.35"/>
    <n v="8"/>
    <x v="2"/>
    <n v="442.11"/>
    <n v="803.87"/>
    <s v="New"/>
    <n v="0.18"/>
    <s v="Cash"/>
    <s v="Retail"/>
    <s v="East-Eve"/>
  </r>
  <r>
    <x v="93"/>
    <x v="254"/>
    <d v="2023-08-17T00:00:00"/>
    <x v="3"/>
    <s v="West"/>
    <n v="777.74"/>
    <n v="7"/>
    <x v="1"/>
    <n v="282.94"/>
    <n v="779.32999999999993"/>
    <s v="Returning"/>
    <n v="0.28000000000000003"/>
    <s v="Credit Card"/>
    <s v="Online"/>
    <s v="West-Eve"/>
  </r>
  <r>
    <x v="4"/>
    <x v="4"/>
    <d v="2023-04-18T00:00:00"/>
    <x v="3"/>
    <s v="North"/>
    <n v="3774.02"/>
    <n v="47"/>
    <x v="3"/>
    <n v="146.27000000000001"/>
    <n v="498.46000000000004"/>
    <s v="New"/>
    <n v="0.06"/>
    <s v="Cash"/>
    <s v="Retail"/>
    <s v="North-Eve"/>
  </r>
  <r>
    <x v="18"/>
    <x v="21"/>
    <d v="2023-06-21T00:00:00"/>
    <x v="0"/>
    <s v="West"/>
    <n v="9215.59"/>
    <n v="46"/>
    <x v="3"/>
    <n v="984.53"/>
    <n v="1138.49"/>
    <s v="New"/>
    <n v="0.04"/>
    <s v="Bank Transfer"/>
    <s v="Online"/>
    <s v="West-Bob"/>
  </r>
  <r>
    <x v="53"/>
    <x v="94"/>
    <d v="2023-04-12T00:00:00"/>
    <x v="2"/>
    <s v="North"/>
    <n v="5886.04"/>
    <n v="40"/>
    <x v="3"/>
    <n v="2101.3200000000002"/>
    <n v="2440.63"/>
    <s v="New"/>
    <n v="0.26"/>
    <s v="Bank Transfer"/>
    <s v="Retail"/>
    <s v="North-Charlie"/>
  </r>
  <r>
    <x v="91"/>
    <x v="203"/>
    <d v="2023-12-20T00:00:00"/>
    <x v="3"/>
    <s v="North"/>
    <n v="5429.49"/>
    <n v="12"/>
    <x v="0"/>
    <n v="4682.34"/>
    <n v="5036.4000000000015"/>
    <s v="New"/>
    <n v="0.2"/>
    <s v="Bank Transfer"/>
    <s v="Retail"/>
    <s v="North-Eve"/>
  </r>
  <r>
    <x v="13"/>
    <x v="14"/>
    <d v="2023-01-12T00:00:00"/>
    <x v="3"/>
    <s v="East"/>
    <n v="2761.65"/>
    <n v="13"/>
    <x v="1"/>
    <n v="2312.4499999999998"/>
    <n v="2504.6"/>
    <s v="Returning"/>
    <n v="0.06"/>
    <s v="Bank Transfer"/>
    <s v="Online"/>
    <s v="East-Eve"/>
  </r>
  <r>
    <x v="1"/>
    <x v="65"/>
    <d v="2023-10-02T00:00:00"/>
    <x v="0"/>
    <s v="West"/>
    <n v="3747.64"/>
    <n v="43"/>
    <x v="3"/>
    <n v="1486.76"/>
    <n v="1505.44"/>
    <s v="New"/>
    <n v="0.08"/>
    <s v="Cash"/>
    <s v="Retail"/>
    <s v="West-Bob"/>
  </r>
  <r>
    <x v="95"/>
    <x v="185"/>
    <d v="2023-04-11T00:00:00"/>
    <x v="0"/>
    <s v="East"/>
    <n v="8963.93"/>
    <n v="17"/>
    <x v="1"/>
    <n v="2831.58"/>
    <n v="3186.15"/>
    <s v="New"/>
    <n v="0.24"/>
    <s v="Bank Transfer"/>
    <s v="Retail"/>
    <s v="East-Bob"/>
  </r>
  <r>
    <x v="21"/>
    <x v="25"/>
    <d v="2023-02-13T00:00:00"/>
    <x v="3"/>
    <s v="North"/>
    <n v="6697.98"/>
    <n v="17"/>
    <x v="2"/>
    <n v="604.08000000000004"/>
    <n v="624.71"/>
    <s v="New"/>
    <n v="0.14000000000000001"/>
    <s v="Bank Transfer"/>
    <s v="Retail"/>
    <s v="North-Eve"/>
  </r>
  <r>
    <x v="61"/>
    <x v="249"/>
    <d v="2023-11-01T00:00:00"/>
    <x v="4"/>
    <s v="South"/>
    <n v="7895.13"/>
    <n v="36"/>
    <x v="2"/>
    <n v="3067.05"/>
    <n v="3386.33"/>
    <s v="New"/>
    <n v="0.2"/>
    <s v="Bank Transfer"/>
    <s v="Online"/>
    <s v="South-Alice"/>
  </r>
  <r>
    <x v="93"/>
    <x v="180"/>
    <d v="2023-01-17T00:00:00"/>
    <x v="3"/>
    <s v="West"/>
    <n v="4598.0200000000004"/>
    <n v="21"/>
    <x v="3"/>
    <n v="2863.74"/>
    <n v="2953.91"/>
    <s v="New"/>
    <n v="0.1"/>
    <s v="Bank Transfer"/>
    <s v="Retail"/>
    <s v="West-Eve"/>
  </r>
  <r>
    <x v="32"/>
    <x v="227"/>
    <d v="2023-11-26T00:00:00"/>
    <x v="3"/>
    <s v="South"/>
    <n v="6339.45"/>
    <n v="8"/>
    <x v="1"/>
    <n v="3970.37"/>
    <n v="4257.5199999999995"/>
    <s v="New"/>
    <n v="0.11"/>
    <s v="Cash"/>
    <s v="Retail"/>
    <s v="South-Eve"/>
  </r>
  <r>
    <x v="74"/>
    <x v="109"/>
    <d v="2023-02-26T00:00:00"/>
    <x v="0"/>
    <s v="West"/>
    <n v="2559"/>
    <n v="5"/>
    <x v="3"/>
    <n v="4934.1000000000004"/>
    <n v="5191.0200000000004"/>
    <s v="New"/>
    <n v="0.3"/>
    <s v="Bank Transfer"/>
    <s v="Online"/>
    <s v="West-Bob"/>
  </r>
  <r>
    <x v="84"/>
    <x v="276"/>
    <d v="2023-11-07T00:00:00"/>
    <x v="0"/>
    <s v="East"/>
    <n v="7084.06"/>
    <n v="26"/>
    <x v="2"/>
    <n v="1291.82"/>
    <n v="1308.4399999999998"/>
    <s v="Returning"/>
    <n v="7.0000000000000007E-2"/>
    <s v="Credit Card"/>
    <s v="Online"/>
    <s v="East-Bob"/>
  </r>
  <r>
    <x v="63"/>
    <x v="277"/>
    <d v="2023-10-30T00:00:00"/>
    <x v="3"/>
    <s v="East"/>
    <n v="4333.25"/>
    <n v="16"/>
    <x v="3"/>
    <n v="2572.8000000000002"/>
    <n v="2760.6000000000004"/>
    <s v="Returning"/>
    <n v="0.15"/>
    <s v="Credit Card"/>
    <s v="Retail"/>
    <s v="East-Eve"/>
  </r>
  <r>
    <x v="47"/>
    <x v="278"/>
    <d v="2023-01-12T00:00:00"/>
    <x v="3"/>
    <s v="East"/>
    <n v="4481.2"/>
    <n v="36"/>
    <x v="1"/>
    <n v="4548.88"/>
    <n v="4853.41"/>
    <s v="Returning"/>
    <n v="0.25"/>
    <s v="Credit Card"/>
    <s v="Retail"/>
    <s v="East-Eve"/>
  </r>
  <r>
    <x v="28"/>
    <x v="163"/>
    <d v="2023-11-14T00:00:00"/>
    <x v="3"/>
    <s v="East"/>
    <n v="6528.29"/>
    <n v="28"/>
    <x v="2"/>
    <n v="3936.69"/>
    <n v="4362.51"/>
    <s v="Returning"/>
    <n v="7.0000000000000007E-2"/>
    <s v="Credit Card"/>
    <s v="Retail"/>
    <s v="East-Eve"/>
  </r>
  <r>
    <x v="91"/>
    <x v="203"/>
    <d v="2023-03-21T00:00:00"/>
    <x v="0"/>
    <s v="East"/>
    <n v="9369.18"/>
    <n v="29"/>
    <x v="0"/>
    <n v="2462.66"/>
    <n v="2908.0899999999997"/>
    <s v="New"/>
    <n v="0.12"/>
    <s v="Credit Card"/>
    <s v="Online"/>
    <s v="East-Bob"/>
  </r>
  <r>
    <x v="31"/>
    <x v="113"/>
    <d v="2023-08-04T00:00:00"/>
    <x v="3"/>
    <s v="South"/>
    <n v="733.66"/>
    <n v="47"/>
    <x v="2"/>
    <n v="4729.59"/>
    <n v="4976.68"/>
    <s v="Returning"/>
    <n v="0.18"/>
    <s v="Credit Card"/>
    <s v="Retail"/>
    <s v="South-Eve"/>
  </r>
  <r>
    <x v="79"/>
    <x v="268"/>
    <d v="2023-12-05T00:00:00"/>
    <x v="3"/>
    <s v="East"/>
    <n v="8264.9599999999991"/>
    <n v="12"/>
    <x v="0"/>
    <n v="333.32"/>
    <n v="700.25"/>
    <s v="Returning"/>
    <n v="0.14000000000000001"/>
    <s v="Cash"/>
    <s v="Online"/>
    <s v="East-Eve"/>
  </r>
  <r>
    <x v="30"/>
    <x v="142"/>
    <d v="2023-09-21T00:00:00"/>
    <x v="1"/>
    <s v="North"/>
    <n v="2994.59"/>
    <n v="37"/>
    <x v="3"/>
    <n v="4658.4399999999996"/>
    <n v="4823.5"/>
    <s v="Returning"/>
    <n v="0.14000000000000001"/>
    <s v="Credit Card"/>
    <s v="Online"/>
    <s v="North-David"/>
  </r>
  <r>
    <x v="91"/>
    <x v="235"/>
    <d v="2023-05-29T00:00:00"/>
    <x v="4"/>
    <s v="North"/>
    <n v="4494.8"/>
    <n v="30"/>
    <x v="3"/>
    <n v="300.01"/>
    <n v="477.67999999999995"/>
    <s v="New"/>
    <n v="0.11"/>
    <s v="Bank Transfer"/>
    <s v="Retail"/>
    <s v="North-Alice"/>
  </r>
  <r>
    <x v="21"/>
    <x v="256"/>
    <d v="2023-03-22T00:00:00"/>
    <x v="2"/>
    <s v="South"/>
    <n v="316.94"/>
    <n v="23"/>
    <x v="1"/>
    <n v="2759.16"/>
    <n v="2864.45"/>
    <s v="Returning"/>
    <n v="0.18"/>
    <s v="Credit Card"/>
    <s v="Retail"/>
    <s v="South-Charlie"/>
  </r>
  <r>
    <x v="93"/>
    <x v="279"/>
    <d v="2023-08-03T00:00:00"/>
    <x v="4"/>
    <s v="West"/>
    <n v="3080.36"/>
    <n v="16"/>
    <x v="0"/>
    <n v="4457.68"/>
    <n v="4743.0300000000007"/>
    <s v="Returning"/>
    <n v="0.19"/>
    <s v="Cash"/>
    <s v="Online"/>
    <s v="West-Alice"/>
  </r>
  <r>
    <x v="41"/>
    <x v="49"/>
    <d v="2023-07-17T00:00:00"/>
    <x v="1"/>
    <s v="North"/>
    <n v="5076.05"/>
    <n v="14"/>
    <x v="3"/>
    <n v="1350.47"/>
    <n v="1514.6100000000001"/>
    <s v="New"/>
    <n v="0.2"/>
    <s v="Credit Card"/>
    <s v="Retail"/>
    <s v="North-David"/>
  </r>
  <r>
    <x v="41"/>
    <x v="169"/>
    <d v="2023-07-19T00:00:00"/>
    <x v="2"/>
    <s v="West"/>
    <n v="656.14"/>
    <n v="10"/>
    <x v="0"/>
    <n v="2387.63"/>
    <n v="2438.9700000000003"/>
    <s v="Returning"/>
    <n v="0.02"/>
    <s v="Bank Transfer"/>
    <s v="Retail"/>
    <s v="West-Charlie"/>
  </r>
  <r>
    <x v="57"/>
    <x v="105"/>
    <d v="2023-01-25T00:00:00"/>
    <x v="3"/>
    <s v="South"/>
    <n v="4961.8500000000004"/>
    <n v="7"/>
    <x v="3"/>
    <n v="1655.43"/>
    <n v="2001.08"/>
    <s v="New"/>
    <n v="0.19"/>
    <s v="Bank Transfer"/>
    <s v="Online"/>
    <s v="South-Eve"/>
  </r>
  <r>
    <x v="59"/>
    <x v="242"/>
    <d v="2023-03-30T00:00:00"/>
    <x v="1"/>
    <s v="West"/>
    <n v="9278.4"/>
    <n v="45"/>
    <x v="2"/>
    <n v="4763.1099999999997"/>
    <n v="5119.91"/>
    <s v="Returning"/>
    <n v="0.28999999999999998"/>
    <s v="Cash"/>
    <s v="Retail"/>
    <s v="West-David"/>
  </r>
  <r>
    <x v="36"/>
    <x v="280"/>
    <d v="2023-09-25T00:00:00"/>
    <x v="3"/>
    <s v="West"/>
    <n v="1143.3900000000001"/>
    <n v="37"/>
    <x v="3"/>
    <n v="4127.05"/>
    <n v="4313.45"/>
    <s v="New"/>
    <n v="0.16"/>
    <s v="Cash"/>
    <s v="Online"/>
    <s v="West-Eve"/>
  </r>
  <r>
    <x v="10"/>
    <x v="11"/>
    <d v="2023-05-23T00:00:00"/>
    <x v="0"/>
    <s v="West"/>
    <n v="7667.96"/>
    <n v="29"/>
    <x v="1"/>
    <n v="3559.56"/>
    <n v="3607.15"/>
    <s v="Returning"/>
    <n v="0.21"/>
    <s v="Cash"/>
    <s v="Retail"/>
    <s v="West-Bob"/>
  </r>
  <r>
    <x v="20"/>
    <x v="104"/>
    <d v="2023-02-28T00:00:00"/>
    <x v="1"/>
    <s v="West"/>
    <n v="4155.74"/>
    <n v="3"/>
    <x v="2"/>
    <n v="2958.75"/>
    <n v="3177.64"/>
    <s v="Returning"/>
    <n v="0.17"/>
    <s v="Cash"/>
    <s v="Online"/>
    <s v="West-David"/>
  </r>
  <r>
    <x v="79"/>
    <x v="196"/>
    <d v="2023-12-31T00:00:00"/>
    <x v="0"/>
    <s v="South"/>
    <n v="6586.22"/>
    <n v="15"/>
    <x v="1"/>
    <n v="4111.93"/>
    <n v="4338.67"/>
    <s v="Returning"/>
    <n v="0.26"/>
    <s v="Credit Card"/>
    <s v="Online"/>
    <s v="South-Bob"/>
  </r>
  <r>
    <x v="71"/>
    <x v="106"/>
    <d v="2023-01-26T00:00:00"/>
    <x v="1"/>
    <s v="North"/>
    <n v="2676.34"/>
    <n v="36"/>
    <x v="2"/>
    <n v="1991.72"/>
    <n v="2329.37"/>
    <s v="New"/>
    <n v="0.28000000000000003"/>
    <s v="Credit Card"/>
    <s v="Retail"/>
    <s v="North-David"/>
  </r>
  <r>
    <x v="99"/>
    <x v="281"/>
    <d v="2023-02-16T00:00:00"/>
    <x v="1"/>
    <s v="East"/>
    <n v="1678.97"/>
    <n v="47"/>
    <x v="0"/>
    <n v="2265.38"/>
    <n v="2429.9300000000003"/>
    <s v="Returning"/>
    <n v="0.06"/>
    <s v="Bank Transfer"/>
    <s v="Online"/>
    <s v="East-David"/>
  </r>
  <r>
    <x v="91"/>
    <x v="282"/>
    <d v="2023-10-15T00:00:00"/>
    <x v="0"/>
    <s v="West"/>
    <n v="1688.58"/>
    <n v="46"/>
    <x v="1"/>
    <n v="3663.51"/>
    <n v="4007.9800000000005"/>
    <s v="New"/>
    <n v="0.13"/>
    <s v="Cash"/>
    <s v="Online"/>
    <s v="West-Bob"/>
  </r>
  <r>
    <x v="10"/>
    <x v="283"/>
    <d v="2023-09-23T00:00:00"/>
    <x v="2"/>
    <s v="North"/>
    <n v="797.87"/>
    <n v="19"/>
    <x v="3"/>
    <n v="1820.89"/>
    <n v="2257.92"/>
    <s v="New"/>
    <n v="0.12"/>
    <s v="Cash"/>
    <s v="Retail"/>
    <s v="North-Charlie"/>
  </r>
  <r>
    <x v="54"/>
    <x v="284"/>
    <d v="2023-01-16T00:00:00"/>
    <x v="4"/>
    <s v="North"/>
    <n v="1937.9"/>
    <n v="13"/>
    <x v="0"/>
    <n v="366.31"/>
    <n v="492.68"/>
    <s v="New"/>
    <n v="0.12"/>
    <s v="Credit Card"/>
    <s v="Retail"/>
    <s v="North-Alice"/>
  </r>
  <r>
    <x v="0"/>
    <x v="189"/>
    <d v="2023-07-18T00:00:00"/>
    <x v="3"/>
    <s v="South"/>
    <n v="6675.77"/>
    <n v="42"/>
    <x v="3"/>
    <n v="417.96"/>
    <n v="907.63"/>
    <s v="New"/>
    <n v="0.04"/>
    <s v="Cash"/>
    <s v="Retail"/>
    <s v="South-Eve"/>
  </r>
  <r>
    <x v="56"/>
    <x v="241"/>
    <d v="2023-10-09T00:00:00"/>
    <x v="1"/>
    <s v="North"/>
    <n v="8828.74"/>
    <n v="21"/>
    <x v="2"/>
    <n v="621.04999999999995"/>
    <n v="820.36999999999989"/>
    <s v="Returning"/>
    <n v="0.24"/>
    <s v="Bank Transfer"/>
    <s v="Online"/>
    <s v="North-David"/>
  </r>
  <r>
    <x v="99"/>
    <x v="285"/>
    <d v="2023-03-27T00:00:00"/>
    <x v="3"/>
    <s v="South"/>
    <n v="8159.84"/>
    <n v="37"/>
    <x v="2"/>
    <n v="4354.92"/>
    <n v="4495.88"/>
    <s v="Returning"/>
    <n v="0.01"/>
    <s v="Bank Transfer"/>
    <s v="Online"/>
    <s v="South-Eve"/>
  </r>
  <r>
    <x v="88"/>
    <x v="286"/>
    <d v="2023-09-07T00:00:00"/>
    <x v="0"/>
    <s v="West"/>
    <n v="6882.83"/>
    <n v="27"/>
    <x v="3"/>
    <n v="2387.52"/>
    <n v="2604.06"/>
    <s v="Returning"/>
    <n v="0.16"/>
    <s v="Cash"/>
    <s v="Online"/>
    <s v="West-Bob"/>
  </r>
  <r>
    <x v="22"/>
    <x v="263"/>
    <d v="2023-09-27T00:00:00"/>
    <x v="3"/>
    <s v="West"/>
    <n v="1193.28"/>
    <n v="29"/>
    <x v="3"/>
    <n v="3578.77"/>
    <n v="3635.02"/>
    <s v="New"/>
    <n v="0.2"/>
    <s v="Bank Transfer"/>
    <s v="Retail"/>
    <s v="West-Eve"/>
  </r>
  <r>
    <x v="78"/>
    <x v="187"/>
    <d v="2023-12-01T00:00:00"/>
    <x v="0"/>
    <s v="East"/>
    <n v="2962.96"/>
    <n v="20"/>
    <x v="0"/>
    <n v="1994.9"/>
    <n v="2066.5"/>
    <s v="Returning"/>
    <n v="0.06"/>
    <s v="Bank Transfer"/>
    <s v="Online"/>
    <s v="East-Bob"/>
  </r>
  <r>
    <x v="66"/>
    <x v="92"/>
    <d v="2023-04-27T00:00:00"/>
    <x v="3"/>
    <s v="East"/>
    <n v="3167.09"/>
    <n v="25"/>
    <x v="3"/>
    <n v="1330.62"/>
    <n v="1543.6899999999998"/>
    <s v="New"/>
    <n v="0.27"/>
    <s v="Credit Card"/>
    <s v="Online"/>
    <s v="East-Eve"/>
  </r>
  <r>
    <x v="91"/>
    <x v="282"/>
    <d v="2023-01-07T00:00:00"/>
    <x v="4"/>
    <s v="East"/>
    <n v="2574.5700000000002"/>
    <n v="6"/>
    <x v="1"/>
    <n v="1768.6"/>
    <n v="2152.1999999999998"/>
    <s v="New"/>
    <n v="0.25"/>
    <s v="Bank Transfer"/>
    <s v="Retail"/>
    <s v="East-Alice"/>
  </r>
  <r>
    <x v="38"/>
    <x v="123"/>
    <d v="2023-05-17T00:00:00"/>
    <x v="4"/>
    <s v="North"/>
    <n v="5198.5600000000004"/>
    <n v="36"/>
    <x v="1"/>
    <n v="3981.2"/>
    <n v="4432.3499999999995"/>
    <s v="New"/>
    <n v="0.14000000000000001"/>
    <s v="Cash"/>
    <s v="Online"/>
    <s v="North-Alice"/>
  </r>
  <r>
    <x v="93"/>
    <x v="180"/>
    <d v="2023-06-25T00:00:00"/>
    <x v="4"/>
    <s v="West"/>
    <n v="5401.98"/>
    <n v="2"/>
    <x v="3"/>
    <n v="3144.82"/>
    <n v="3480.58"/>
    <s v="Returning"/>
    <n v="0.12"/>
    <s v="Cash"/>
    <s v="Retail"/>
    <s v="West-Alice"/>
  </r>
  <r>
    <x v="11"/>
    <x v="12"/>
    <d v="2023-11-24T00:00:00"/>
    <x v="4"/>
    <s v="South"/>
    <n v="3633.17"/>
    <n v="22"/>
    <x v="1"/>
    <n v="4691.32"/>
    <n v="4752.88"/>
    <s v="Returning"/>
    <n v="7.0000000000000007E-2"/>
    <s v="Bank Transfer"/>
    <s v="Retail"/>
    <s v="South-Alice"/>
  </r>
  <r>
    <x v="29"/>
    <x v="34"/>
    <d v="2023-11-11T00:00:00"/>
    <x v="4"/>
    <s v="East"/>
    <n v="3602.51"/>
    <n v="32"/>
    <x v="3"/>
    <n v="3414.54"/>
    <n v="3753.83"/>
    <s v="New"/>
    <n v="0.22"/>
    <s v="Cash"/>
    <s v="Retail"/>
    <s v="East-Alice"/>
  </r>
  <r>
    <x v="15"/>
    <x v="16"/>
    <d v="2023-08-03T00:00:00"/>
    <x v="4"/>
    <s v="South"/>
    <n v="8302.7000000000007"/>
    <n v="16"/>
    <x v="0"/>
    <n v="2872.4"/>
    <n v="3193.76"/>
    <s v="Returning"/>
    <n v="0.04"/>
    <s v="Credit Card"/>
    <s v="Online"/>
    <s v="South-Alice"/>
  </r>
  <r>
    <x v="28"/>
    <x v="141"/>
    <d v="2023-03-23T00:00:00"/>
    <x v="0"/>
    <s v="South"/>
    <n v="7914"/>
    <n v="18"/>
    <x v="1"/>
    <n v="3070.47"/>
    <n v="3475.29"/>
    <s v="Returning"/>
    <n v="0.2"/>
    <s v="Bank Transfer"/>
    <s v="Online"/>
    <s v="South-Bob"/>
  </r>
  <r>
    <x v="82"/>
    <x v="170"/>
    <d v="2023-08-11T00:00:00"/>
    <x v="1"/>
    <s v="East"/>
    <n v="3147.18"/>
    <n v="5"/>
    <x v="1"/>
    <n v="4714.74"/>
    <n v="5129.1099999999997"/>
    <s v="New"/>
    <n v="0.25"/>
    <s v="Bank Transfer"/>
    <s v="Online"/>
    <s v="East-David"/>
  </r>
  <r>
    <x v="25"/>
    <x v="287"/>
    <d v="2023-04-13T00:00:00"/>
    <x v="3"/>
    <s v="West"/>
    <n v="9146.51"/>
    <n v="36"/>
    <x v="3"/>
    <n v="3951.59"/>
    <n v="4387.01"/>
    <s v="New"/>
    <n v="7.0000000000000007E-2"/>
    <s v="Bank Transfer"/>
    <s v="Retail"/>
    <s v="West-Eve"/>
  </r>
  <r>
    <x v="42"/>
    <x v="288"/>
    <d v="2023-09-30T00:00:00"/>
    <x v="4"/>
    <s v="East"/>
    <n v="9532.8700000000008"/>
    <n v="30"/>
    <x v="1"/>
    <n v="169"/>
    <n v="381.91999999999996"/>
    <s v="Returning"/>
    <n v="0.26"/>
    <s v="Cash"/>
    <s v="Retail"/>
    <s v="East-Alice"/>
  </r>
  <r>
    <x v="11"/>
    <x v="208"/>
    <d v="2023-01-14T00:00:00"/>
    <x v="0"/>
    <s v="South"/>
    <n v="3334.75"/>
    <n v="45"/>
    <x v="2"/>
    <n v="2693.99"/>
    <n v="3045.9399999999996"/>
    <s v="New"/>
    <n v="0.01"/>
    <s v="Cash"/>
    <s v="Retail"/>
    <s v="South-Bob"/>
  </r>
  <r>
    <x v="70"/>
    <x v="103"/>
    <d v="2023-06-08T00:00:00"/>
    <x v="0"/>
    <s v="East"/>
    <n v="3608.81"/>
    <n v="19"/>
    <x v="0"/>
    <n v="3457.28"/>
    <n v="3598.7200000000003"/>
    <s v="New"/>
    <n v="0.27"/>
    <s v="Bank Transfer"/>
    <s v="Online"/>
    <s v="East-Bob"/>
  </r>
  <r>
    <x v="50"/>
    <x v="193"/>
    <d v="2023-06-01T00:00:00"/>
    <x v="0"/>
    <s v="South"/>
    <n v="5105.78"/>
    <n v="23"/>
    <x v="0"/>
    <n v="3756.06"/>
    <n v="4255.7299999999996"/>
    <s v="Returning"/>
    <n v="0.04"/>
    <s v="Cash"/>
    <s v="Online"/>
    <s v="South-Bob"/>
  </r>
  <r>
    <x v="46"/>
    <x v="57"/>
    <d v="2023-04-18T00:00:00"/>
    <x v="1"/>
    <s v="South"/>
    <n v="9417.1"/>
    <n v="34"/>
    <x v="1"/>
    <n v="1105.05"/>
    <n v="1200.96"/>
    <s v="Returning"/>
    <n v="0.19"/>
    <s v="Cash"/>
    <s v="Online"/>
    <s v="South-David"/>
  </r>
  <r>
    <x v="20"/>
    <x v="224"/>
    <d v="2023-07-07T00:00:00"/>
    <x v="3"/>
    <s v="East"/>
    <n v="8775.56"/>
    <n v="13"/>
    <x v="1"/>
    <n v="4342.53"/>
    <n v="4357.49"/>
    <s v="New"/>
    <n v="0.08"/>
    <s v="Bank Transfer"/>
    <s v="Online"/>
    <s v="East-Eve"/>
  </r>
  <r>
    <x v="20"/>
    <x v="104"/>
    <d v="2023-10-28T00:00:00"/>
    <x v="1"/>
    <s v="North"/>
    <n v="1115.42"/>
    <n v="43"/>
    <x v="2"/>
    <n v="4781.42"/>
    <n v="4864.34"/>
    <s v="Returning"/>
    <n v="0.25"/>
    <s v="Bank Transfer"/>
    <s v="Online"/>
    <s v="North-David"/>
  </r>
  <r>
    <x v="4"/>
    <x v="289"/>
    <d v="2023-04-08T00:00:00"/>
    <x v="2"/>
    <s v="East"/>
    <n v="3988.03"/>
    <n v="29"/>
    <x v="2"/>
    <n v="1221.74"/>
    <n v="1611.92"/>
    <s v="New"/>
    <n v="0.15"/>
    <s v="Cash"/>
    <s v="Retail"/>
    <s v="East-Charlie"/>
  </r>
  <r>
    <x v="32"/>
    <x v="227"/>
    <d v="2023-05-11T00:00:00"/>
    <x v="0"/>
    <s v="North"/>
    <n v="5578.37"/>
    <n v="36"/>
    <x v="1"/>
    <n v="4418.95"/>
    <n v="4647.87"/>
    <s v="New"/>
    <n v="0.04"/>
    <s v="Bank Transfer"/>
    <s v="Online"/>
    <s v="North-Bob"/>
  </r>
  <r>
    <x v="80"/>
    <x v="290"/>
    <d v="2023-10-20T00:00:00"/>
    <x v="2"/>
    <s v="South"/>
    <n v="5081.01"/>
    <n v="22"/>
    <x v="1"/>
    <n v="530.04"/>
    <n v="759.31999999999994"/>
    <s v="Returning"/>
    <n v="0.17"/>
    <s v="Bank Transfer"/>
    <s v="Retail"/>
    <s v="South-Charlie"/>
  </r>
  <r>
    <x v="70"/>
    <x v="202"/>
    <d v="2023-06-20T00:00:00"/>
    <x v="4"/>
    <s v="South"/>
    <n v="2019.24"/>
    <n v="47"/>
    <x v="2"/>
    <n v="325.75"/>
    <n v="803.71"/>
    <s v="New"/>
    <n v="0.12"/>
    <s v="Bank Transfer"/>
    <s v="Retail"/>
    <s v="South-Alice"/>
  </r>
  <r>
    <x v="95"/>
    <x v="222"/>
    <d v="2023-07-02T00:00:00"/>
    <x v="4"/>
    <s v="North"/>
    <n v="8602.2900000000009"/>
    <n v="36"/>
    <x v="3"/>
    <n v="689.66"/>
    <n v="1150.28"/>
    <s v="New"/>
    <n v="0.2"/>
    <s v="Bank Transfer"/>
    <s v="Online"/>
    <s v="North-Alice"/>
  </r>
  <r>
    <x v="65"/>
    <x v="291"/>
    <d v="2023-12-30T00:00:00"/>
    <x v="1"/>
    <s v="South"/>
    <n v="6801.71"/>
    <n v="9"/>
    <x v="2"/>
    <n v="335.82"/>
    <n v="498.31"/>
    <s v="New"/>
    <n v="0.26"/>
    <s v="Cash"/>
    <s v="Retail"/>
    <s v="South-David"/>
  </r>
  <r>
    <x v="20"/>
    <x v="209"/>
    <d v="2023-02-08T00:00:00"/>
    <x v="3"/>
    <s v="North"/>
    <n v="8395.2900000000009"/>
    <n v="39"/>
    <x v="3"/>
    <n v="4232.8100000000004"/>
    <n v="4345.25"/>
    <s v="Returning"/>
    <n v="0.12"/>
    <s v="Bank Transfer"/>
    <s v="Online"/>
    <s v="North-Eve"/>
  </r>
  <r>
    <x v="58"/>
    <x v="292"/>
    <d v="2023-01-15T00:00:00"/>
    <x v="2"/>
    <s v="North"/>
    <n v="8601.77"/>
    <n v="19"/>
    <x v="0"/>
    <n v="342.3"/>
    <n v="768.06"/>
    <s v="Returning"/>
    <n v="0.09"/>
    <s v="Credit Card"/>
    <s v="Online"/>
    <s v="North-Charlie"/>
  </r>
  <r>
    <x v="55"/>
    <x v="293"/>
    <d v="2023-01-04T00:00:00"/>
    <x v="3"/>
    <s v="South"/>
    <n v="7508.72"/>
    <n v="38"/>
    <x v="0"/>
    <n v="1394.74"/>
    <n v="1848.69"/>
    <s v="Returning"/>
    <n v="0"/>
    <s v="Bank Transfer"/>
    <s v="Retail"/>
    <s v="South-Eve"/>
  </r>
  <r>
    <x v="80"/>
    <x v="294"/>
    <d v="2023-12-15T00:00:00"/>
    <x v="1"/>
    <s v="West"/>
    <n v="4448.18"/>
    <n v="6"/>
    <x v="2"/>
    <n v="563.59"/>
    <n v="838.97"/>
    <s v="New"/>
    <n v="0.17"/>
    <s v="Credit Card"/>
    <s v="Online"/>
    <s v="West-David"/>
  </r>
  <r>
    <x v="44"/>
    <x v="140"/>
    <d v="2023-07-29T00:00:00"/>
    <x v="4"/>
    <s v="North"/>
    <n v="6144.41"/>
    <n v="47"/>
    <x v="3"/>
    <n v="1512.34"/>
    <n v="1830.76"/>
    <s v="New"/>
    <n v="0.12"/>
    <s v="Bank Transfer"/>
    <s v="Online"/>
    <s v="North-Alice"/>
  </r>
  <r>
    <x v="63"/>
    <x v="86"/>
    <d v="2023-06-10T00:00:00"/>
    <x v="3"/>
    <s v="East"/>
    <n v="1687.62"/>
    <n v="15"/>
    <x v="2"/>
    <n v="498.27"/>
    <n v="634.16"/>
    <s v="Returning"/>
    <n v="0.11"/>
    <s v="Credit Card"/>
    <s v="Retail"/>
    <s v="East-Eve"/>
  </r>
  <r>
    <x v="81"/>
    <x v="250"/>
    <d v="2023-01-16T00:00:00"/>
    <x v="3"/>
    <s v="East"/>
    <n v="6769.09"/>
    <n v="20"/>
    <x v="2"/>
    <n v="3356.62"/>
    <n v="3759.0099999999998"/>
    <s v="Returning"/>
    <n v="0.05"/>
    <s v="Credit Card"/>
    <s v="Retail"/>
    <s v="East-Eve"/>
  </r>
  <r>
    <x v="70"/>
    <x v="295"/>
    <d v="2023-04-18T00:00:00"/>
    <x v="4"/>
    <s v="South"/>
    <n v="1874.61"/>
    <n v="9"/>
    <x v="3"/>
    <n v="709.97"/>
    <n v="1029.71"/>
    <s v="Returning"/>
    <n v="0.13"/>
    <s v="Bank Transfer"/>
    <s v="Retail"/>
    <s v="South-Alice"/>
  </r>
  <r>
    <x v="56"/>
    <x v="241"/>
    <d v="2023-11-07T00:00:00"/>
    <x v="2"/>
    <s v="West"/>
    <n v="6970.1"/>
    <n v="32"/>
    <x v="2"/>
    <n v="4266.6400000000003"/>
    <n v="4523.3600000000006"/>
    <s v="New"/>
    <n v="0.3"/>
    <s v="Bank Transfer"/>
    <s v="Retail"/>
    <s v="West-Charlie"/>
  </r>
  <r>
    <x v="98"/>
    <x v="245"/>
    <d v="2023-08-15T00:00:00"/>
    <x v="4"/>
    <s v="South"/>
    <n v="2373.02"/>
    <n v="4"/>
    <x v="0"/>
    <n v="4095.1"/>
    <n v="4134.55"/>
    <s v="Returning"/>
    <n v="0.09"/>
    <s v="Bank Transfer"/>
    <s v="Retail"/>
    <s v="South-Alice"/>
  </r>
  <r>
    <x v="15"/>
    <x v="162"/>
    <d v="2023-06-19T00:00:00"/>
    <x v="3"/>
    <s v="West"/>
    <n v="1263.76"/>
    <n v="18"/>
    <x v="1"/>
    <n v="117.63"/>
    <n v="576.44000000000005"/>
    <s v="New"/>
    <n v="0.18"/>
    <s v="Credit Card"/>
    <s v="Retail"/>
    <s v="West-Eve"/>
  </r>
  <r>
    <x v="46"/>
    <x v="57"/>
    <d v="2023-02-03T00:00:00"/>
    <x v="2"/>
    <s v="North"/>
    <n v="1736.32"/>
    <n v="5"/>
    <x v="1"/>
    <n v="4483.8500000000004"/>
    <n v="4795.42"/>
    <s v="Returning"/>
    <n v="0.23"/>
    <s v="Cash"/>
    <s v="Online"/>
    <s v="North-Charlie"/>
  </r>
  <r>
    <x v="7"/>
    <x v="165"/>
    <d v="2023-09-08T00:00:00"/>
    <x v="2"/>
    <s v="North"/>
    <n v="119.72"/>
    <n v="20"/>
    <x v="2"/>
    <n v="193.27"/>
    <n v="297.69"/>
    <s v="New"/>
    <n v="0.22"/>
    <s v="Cash"/>
    <s v="Online"/>
    <s v="North-Charlie"/>
  </r>
  <r>
    <x v="48"/>
    <x v="161"/>
    <d v="2023-09-04T00:00:00"/>
    <x v="4"/>
    <s v="North"/>
    <n v="7215.52"/>
    <n v="23"/>
    <x v="3"/>
    <n v="1236.25"/>
    <n v="1543.38"/>
    <s v="New"/>
    <n v="0.1"/>
    <s v="Bank Transfer"/>
    <s v="Online"/>
    <s v="North-Alice"/>
  </r>
  <r>
    <x v="41"/>
    <x v="49"/>
    <d v="2023-09-26T00:00:00"/>
    <x v="3"/>
    <s v="North"/>
    <n v="7350.77"/>
    <n v="11"/>
    <x v="3"/>
    <n v="210.33"/>
    <n v="552.29"/>
    <s v="Returning"/>
    <n v="0.18"/>
    <s v="Cash"/>
    <s v="Retail"/>
    <s v="North-Eve"/>
  </r>
  <r>
    <x v="45"/>
    <x v="296"/>
    <d v="2023-05-21T00:00:00"/>
    <x v="1"/>
    <s v="East"/>
    <n v="5197.84"/>
    <n v="37"/>
    <x v="0"/>
    <n v="1712.43"/>
    <n v="1980.06"/>
    <s v="New"/>
    <n v="0.26"/>
    <s v="Cash"/>
    <s v="Online"/>
    <s v="East-David"/>
  </r>
  <r>
    <x v="1"/>
    <x v="65"/>
    <d v="2023-10-01T00:00:00"/>
    <x v="3"/>
    <s v="East"/>
    <n v="1697.49"/>
    <n v="22"/>
    <x v="3"/>
    <n v="2593.64"/>
    <n v="2955.5099999999998"/>
    <s v="Returning"/>
    <n v="0"/>
    <s v="Bank Transfer"/>
    <s v="Retail"/>
    <s v="East-Eve"/>
  </r>
  <r>
    <x v="61"/>
    <x v="83"/>
    <d v="2023-04-06T00:00:00"/>
    <x v="0"/>
    <s v="South"/>
    <n v="927.19"/>
    <n v="4"/>
    <x v="3"/>
    <n v="3993.39"/>
    <n v="4288.3"/>
    <s v="New"/>
    <n v="0.13"/>
    <s v="Credit Card"/>
    <s v="Online"/>
    <s v="South-Bob"/>
  </r>
  <r>
    <x v="55"/>
    <x v="293"/>
    <d v="2023-08-15T00:00:00"/>
    <x v="1"/>
    <s v="West"/>
    <n v="289.38"/>
    <n v="29"/>
    <x v="0"/>
    <n v="1723.01"/>
    <n v="2197.42"/>
    <s v="New"/>
    <n v="7.0000000000000007E-2"/>
    <s v="Bank Transfer"/>
    <s v="Retail"/>
    <s v="West-David"/>
  </r>
  <r>
    <x v="41"/>
    <x v="67"/>
    <d v="2023-02-08T00:00:00"/>
    <x v="2"/>
    <s v="North"/>
    <n v="1740.91"/>
    <n v="44"/>
    <x v="2"/>
    <n v="3542.18"/>
    <n v="3578.49"/>
    <s v="Returning"/>
    <n v="0.12"/>
    <s v="Cash"/>
    <s v="Online"/>
    <s v="North-Charlie"/>
  </r>
  <r>
    <x v="54"/>
    <x v="297"/>
    <d v="2023-10-29T00:00:00"/>
    <x v="1"/>
    <s v="North"/>
    <n v="8919.4699999999993"/>
    <n v="34"/>
    <x v="1"/>
    <n v="978.15"/>
    <n v="1040.21"/>
    <s v="New"/>
    <n v="0.12"/>
    <s v="Credit Card"/>
    <s v="Retail"/>
    <s v="North-David"/>
  </r>
  <r>
    <x v="34"/>
    <x v="101"/>
    <d v="2023-01-29T00:00:00"/>
    <x v="2"/>
    <s v="West"/>
    <n v="2491.21"/>
    <n v="13"/>
    <x v="0"/>
    <n v="3765.46"/>
    <n v="3860.56"/>
    <s v="Returning"/>
    <n v="0.22"/>
    <s v="Cash"/>
    <s v="Retail"/>
    <s v="West-Charlie"/>
  </r>
  <r>
    <x v="89"/>
    <x v="171"/>
    <d v="2023-11-14T00:00:00"/>
    <x v="2"/>
    <s v="West"/>
    <n v="3607.29"/>
    <n v="42"/>
    <x v="2"/>
    <n v="1218.18"/>
    <n v="1566.3600000000001"/>
    <s v="Returning"/>
    <n v="0.03"/>
    <s v="Credit Card"/>
    <s v="Retail"/>
    <s v="West-Charlie"/>
  </r>
  <r>
    <x v="22"/>
    <x v="26"/>
    <d v="2023-09-02T00:00:00"/>
    <x v="1"/>
    <s v="South"/>
    <n v="1142.92"/>
    <n v="9"/>
    <x v="0"/>
    <n v="760.55"/>
    <n v="1086.8899999999999"/>
    <s v="Returning"/>
    <n v="0.15"/>
    <s v="Cash"/>
    <s v="Retail"/>
    <s v="South-David"/>
  </r>
  <r>
    <x v="8"/>
    <x v="9"/>
    <d v="2023-08-24T00:00:00"/>
    <x v="2"/>
    <s v="West"/>
    <n v="2301.38"/>
    <n v="42"/>
    <x v="2"/>
    <n v="967.77"/>
    <n v="1414.88"/>
    <s v="New"/>
    <n v="0.17"/>
    <s v="Bank Transfer"/>
    <s v="Online"/>
    <s v="West-Charlie"/>
  </r>
  <r>
    <x v="63"/>
    <x v="298"/>
    <d v="2023-07-04T00:00:00"/>
    <x v="2"/>
    <s v="North"/>
    <n v="5240.32"/>
    <n v="31"/>
    <x v="0"/>
    <n v="951.21"/>
    <n v="1320.3200000000002"/>
    <s v="New"/>
    <n v="0.15"/>
    <s v="Cash"/>
    <s v="Online"/>
    <s v="North-Charlie"/>
  </r>
  <r>
    <x v="49"/>
    <x v="60"/>
    <d v="2023-09-29T00:00:00"/>
    <x v="0"/>
    <s v="North"/>
    <n v="6116.75"/>
    <n v="7"/>
    <x v="2"/>
    <n v="2588.67"/>
    <n v="2847.76"/>
    <s v="New"/>
    <n v="0.22"/>
    <s v="Cash"/>
    <s v="Retail"/>
    <s v="North-Bob"/>
  </r>
  <r>
    <x v="23"/>
    <x v="28"/>
    <d v="2023-08-24T00:00:00"/>
    <x v="3"/>
    <s v="North"/>
    <n v="2528.9899999999998"/>
    <n v="4"/>
    <x v="0"/>
    <n v="4231.75"/>
    <n v="4727.75"/>
    <s v="Returning"/>
    <n v="0.12"/>
    <s v="Credit Card"/>
    <s v="Retail"/>
    <s v="North-Eve"/>
  </r>
  <r>
    <x v="5"/>
    <x v="299"/>
    <d v="2023-08-27T00:00:00"/>
    <x v="3"/>
    <s v="North"/>
    <n v="671.55"/>
    <n v="19"/>
    <x v="2"/>
    <n v="444.05"/>
    <n v="584.44000000000005"/>
    <s v="Returning"/>
    <n v="0.28000000000000003"/>
    <s v="Cash"/>
    <s v="Retail"/>
    <s v="North-Eve"/>
  </r>
  <r>
    <x v="49"/>
    <x v="127"/>
    <d v="2023-09-23T00:00:00"/>
    <x v="0"/>
    <s v="North"/>
    <n v="3971.23"/>
    <n v="42"/>
    <x v="0"/>
    <n v="3549.43"/>
    <n v="3967.6899999999996"/>
    <s v="New"/>
    <n v="0.14000000000000001"/>
    <s v="Bank Transfer"/>
    <s v="Online"/>
    <s v="North-Bob"/>
  </r>
  <r>
    <x v="99"/>
    <x v="300"/>
    <d v="2023-12-25T00:00:00"/>
    <x v="1"/>
    <s v="South"/>
    <n v="2418.61"/>
    <n v="30"/>
    <x v="1"/>
    <n v="3289.01"/>
    <n v="3508.1400000000003"/>
    <s v="New"/>
    <n v="0.17"/>
    <s v="Bank Transfer"/>
    <s v="Retail"/>
    <s v="South-David"/>
  </r>
  <r>
    <x v="35"/>
    <x v="301"/>
    <d v="2023-12-06T00:00:00"/>
    <x v="4"/>
    <s v="North"/>
    <n v="2273.58"/>
    <n v="31"/>
    <x v="1"/>
    <n v="4368.97"/>
    <n v="4696.8500000000004"/>
    <s v="Returning"/>
    <n v="0.25"/>
    <s v="Bank Transfer"/>
    <s v="Retail"/>
    <s v="North-Alice"/>
  </r>
  <r>
    <x v="11"/>
    <x v="82"/>
    <d v="2023-03-06T00:00:00"/>
    <x v="4"/>
    <s v="South"/>
    <n v="9602.64"/>
    <n v="35"/>
    <x v="3"/>
    <n v="1258.53"/>
    <n v="1624.8899999999999"/>
    <s v="New"/>
    <n v="0.08"/>
    <s v="Credit Card"/>
    <s v="Online"/>
    <s v="South-Alice"/>
  </r>
  <r>
    <x v="18"/>
    <x v="234"/>
    <d v="2023-06-26T00:00:00"/>
    <x v="4"/>
    <s v="North"/>
    <n v="6201.37"/>
    <n v="21"/>
    <x v="2"/>
    <n v="2278.04"/>
    <n v="2598.58"/>
    <s v="Returning"/>
    <n v="0.02"/>
    <s v="Credit Card"/>
    <s v="Retail"/>
    <s v="North-Alice"/>
  </r>
  <r>
    <x v="73"/>
    <x v="108"/>
    <d v="2023-01-03T00:00:00"/>
    <x v="0"/>
    <s v="East"/>
    <n v="5613.1"/>
    <n v="31"/>
    <x v="0"/>
    <n v="4632.8500000000004"/>
    <n v="4711.7000000000007"/>
    <s v="New"/>
    <n v="0.21"/>
    <s v="Cash"/>
    <s v="Retail"/>
    <s v="East-Bob"/>
  </r>
  <r>
    <x v="24"/>
    <x v="264"/>
    <d v="2023-05-22T00:00:00"/>
    <x v="0"/>
    <s v="East"/>
    <n v="4216.17"/>
    <n v="19"/>
    <x v="2"/>
    <n v="3316.97"/>
    <n v="3544.02"/>
    <s v="Returning"/>
    <n v="0.14000000000000001"/>
    <s v="Cash"/>
    <s v="Online"/>
    <s v="East-Bob"/>
  </r>
  <r>
    <x v="73"/>
    <x v="112"/>
    <d v="2023-06-07T00:00:00"/>
    <x v="2"/>
    <s v="East"/>
    <n v="4346.55"/>
    <n v="31"/>
    <x v="1"/>
    <n v="1974.4"/>
    <n v="2259.5"/>
    <s v="New"/>
    <n v="0.27"/>
    <s v="Cash"/>
    <s v="Retail"/>
    <s v="East-Charlie"/>
  </r>
  <r>
    <x v="49"/>
    <x v="60"/>
    <d v="2023-11-20T00:00:00"/>
    <x v="4"/>
    <s v="East"/>
    <n v="5454.96"/>
    <n v="32"/>
    <x v="2"/>
    <n v="700.49"/>
    <n v="1126.52"/>
    <s v="New"/>
    <n v="0.28999999999999998"/>
    <s v="Credit Card"/>
    <s v="Retail"/>
    <s v="East-Alice"/>
  </r>
  <r>
    <x v="60"/>
    <x v="215"/>
    <d v="2023-05-26T00:00:00"/>
    <x v="1"/>
    <s v="South"/>
    <n v="6994.66"/>
    <n v="2"/>
    <x v="0"/>
    <n v="1349.3"/>
    <n v="1576.69"/>
    <s v="Returning"/>
    <n v="0.12"/>
    <s v="Credit Card"/>
    <s v="Online"/>
    <s v="South-David"/>
  </r>
  <r>
    <x v="78"/>
    <x v="122"/>
    <d v="2023-10-20T00:00:00"/>
    <x v="1"/>
    <s v="South"/>
    <n v="7051.25"/>
    <n v="10"/>
    <x v="2"/>
    <n v="2927.02"/>
    <n v="3387.21"/>
    <s v="Returning"/>
    <n v="0.12"/>
    <s v="Cash"/>
    <s v="Retail"/>
    <s v="South-David"/>
  </r>
  <r>
    <x v="11"/>
    <x v="153"/>
    <d v="2023-06-02T00:00:00"/>
    <x v="4"/>
    <s v="West"/>
    <n v="1799.77"/>
    <n v="2"/>
    <x v="0"/>
    <n v="3604.93"/>
    <n v="3830.71"/>
    <s v="Returning"/>
    <n v="0.12"/>
    <s v="Credit Card"/>
    <s v="Online"/>
    <s v="West-Alice"/>
  </r>
  <r>
    <x v="71"/>
    <x v="274"/>
    <d v="2023-07-12T00:00:00"/>
    <x v="4"/>
    <s v="North"/>
    <n v="5051.12"/>
    <n v="2"/>
    <x v="1"/>
    <n v="665.89"/>
    <n v="944.79"/>
    <s v="New"/>
    <n v="0.1"/>
    <s v="Credit Card"/>
    <s v="Retail"/>
    <s v="North-Alice"/>
  </r>
  <r>
    <x v="30"/>
    <x v="76"/>
    <d v="2023-03-14T00:00:00"/>
    <x v="4"/>
    <s v="East"/>
    <n v="4178.3900000000003"/>
    <n v="24"/>
    <x v="1"/>
    <n v="3018.01"/>
    <n v="3418.19"/>
    <s v="Returning"/>
    <n v="0.23"/>
    <s v="Bank Transfer"/>
    <s v="Retail"/>
    <s v="East-Alice"/>
  </r>
  <r>
    <x v="78"/>
    <x v="302"/>
    <d v="2023-11-01T00:00:00"/>
    <x v="0"/>
    <s v="South"/>
    <n v="8718.2199999999993"/>
    <n v="17"/>
    <x v="1"/>
    <n v="2774.24"/>
    <n v="3069.9399999999996"/>
    <s v="Returning"/>
    <n v="0.23"/>
    <s v="Bank Transfer"/>
    <s v="Retail"/>
    <s v="South-Bob"/>
  </r>
  <r>
    <x v="72"/>
    <x v="303"/>
    <d v="2023-12-10T00:00:00"/>
    <x v="0"/>
    <s v="North"/>
    <n v="6351.05"/>
    <n v="32"/>
    <x v="3"/>
    <n v="2594.08"/>
    <n v="3074.59"/>
    <s v="New"/>
    <n v="0.14000000000000001"/>
    <s v="Cash"/>
    <s v="Retail"/>
    <s v="North-Bob"/>
  </r>
  <r>
    <x v="70"/>
    <x v="158"/>
    <d v="2023-05-20T00:00:00"/>
    <x v="0"/>
    <s v="North"/>
    <n v="5371.79"/>
    <n v="16"/>
    <x v="1"/>
    <n v="3466.11"/>
    <n v="3799.67"/>
    <s v="Returning"/>
    <n v="0.01"/>
    <s v="Cash"/>
    <s v="Retail"/>
    <s v="North-Bob"/>
  </r>
  <r>
    <x v="33"/>
    <x v="304"/>
    <d v="2023-07-06T00:00:00"/>
    <x v="3"/>
    <s v="South"/>
    <n v="1242.4100000000001"/>
    <n v="16"/>
    <x v="2"/>
    <n v="4195.38"/>
    <n v="4461.51"/>
    <s v="Returning"/>
    <n v="0.09"/>
    <s v="Bank Transfer"/>
    <s v="Online"/>
    <s v="South-Eve"/>
  </r>
  <r>
    <x v="81"/>
    <x v="128"/>
    <d v="2023-10-20T00:00:00"/>
    <x v="1"/>
    <s v="East"/>
    <n v="6095.82"/>
    <n v="46"/>
    <x v="3"/>
    <n v="1648.8"/>
    <n v="1670.36"/>
    <s v="Returning"/>
    <n v="0.09"/>
    <s v="Credit Card"/>
    <s v="Retail"/>
    <s v="East-David"/>
  </r>
  <r>
    <x v="71"/>
    <x v="274"/>
    <d v="2023-03-02T00:00:00"/>
    <x v="1"/>
    <s v="West"/>
    <n v="1260.32"/>
    <n v="39"/>
    <x v="1"/>
    <n v="4450.6099999999997"/>
    <n v="4663.3399999999992"/>
    <s v="New"/>
    <n v="0.24"/>
    <s v="Cash"/>
    <s v="Retail"/>
    <s v="West-David"/>
  </r>
  <r>
    <x v="23"/>
    <x v="84"/>
    <d v="2023-07-17T00:00:00"/>
    <x v="2"/>
    <s v="North"/>
    <n v="3438.35"/>
    <n v="31"/>
    <x v="2"/>
    <n v="845.14"/>
    <n v="1001.77"/>
    <s v="New"/>
    <n v="0.03"/>
    <s v="Cash"/>
    <s v="Online"/>
    <s v="North-Charlie"/>
  </r>
  <r>
    <x v="73"/>
    <x v="212"/>
    <d v="2023-10-22T00:00:00"/>
    <x v="0"/>
    <s v="West"/>
    <n v="1514.14"/>
    <n v="43"/>
    <x v="2"/>
    <n v="906.47"/>
    <n v="1283.04"/>
    <s v="New"/>
    <n v="0.24"/>
    <s v="Cash"/>
    <s v="Online"/>
    <s v="West-Bob"/>
  </r>
  <r>
    <x v="16"/>
    <x v="18"/>
    <d v="2023-11-15T00:00:00"/>
    <x v="3"/>
    <s v="East"/>
    <n v="6951.53"/>
    <n v="24"/>
    <x v="2"/>
    <n v="1370.52"/>
    <n v="1482.58"/>
    <s v="Returning"/>
    <n v="0.2"/>
    <s v="Credit Card"/>
    <s v="Retail"/>
    <s v="East-Eve"/>
  </r>
  <r>
    <x v="90"/>
    <x v="223"/>
    <d v="2023-10-29T00:00:00"/>
    <x v="3"/>
    <s v="East"/>
    <n v="2141.9"/>
    <n v="1"/>
    <x v="0"/>
    <n v="641.67999999999995"/>
    <n v="752.24"/>
    <s v="New"/>
    <n v="0.22"/>
    <s v="Bank Transfer"/>
    <s v="Online"/>
    <s v="East-Eve"/>
  </r>
  <r>
    <x v="30"/>
    <x v="142"/>
    <d v="2023-12-10T00:00:00"/>
    <x v="1"/>
    <s v="West"/>
    <n v="3979.41"/>
    <n v="11"/>
    <x v="3"/>
    <n v="1190.08"/>
    <n v="1292.9399999999998"/>
    <s v="Returning"/>
    <n v="0.13"/>
    <s v="Cash"/>
    <s v="Retail"/>
    <s v="West-David"/>
  </r>
  <r>
    <x v="42"/>
    <x v="305"/>
    <d v="2023-01-11T00:00:00"/>
    <x v="0"/>
    <s v="East"/>
    <n v="8967.18"/>
    <n v="21"/>
    <x v="2"/>
    <n v="576.74"/>
    <n v="648.29"/>
    <s v="Returning"/>
    <n v="0.2"/>
    <s v="Bank Transfer"/>
    <s v="Online"/>
    <s v="East-Bob"/>
  </r>
  <r>
    <x v="23"/>
    <x v="28"/>
    <d v="2023-03-03T00:00:00"/>
    <x v="2"/>
    <s v="North"/>
    <n v="2122.73"/>
    <n v="4"/>
    <x v="0"/>
    <n v="4117.67"/>
    <n v="4280.0600000000004"/>
    <s v="Returning"/>
    <n v="0.18"/>
    <s v="Bank Transfer"/>
    <s v="Online"/>
    <s v="North-Charlie"/>
  </r>
  <r>
    <x v="74"/>
    <x v="246"/>
    <d v="2023-11-29T00:00:00"/>
    <x v="0"/>
    <s v="West"/>
    <n v="5127.2700000000004"/>
    <n v="7"/>
    <x v="1"/>
    <n v="737.9"/>
    <n v="1182"/>
    <s v="New"/>
    <n v="0.23"/>
    <s v="Credit Card"/>
    <s v="Retail"/>
    <s v="West-Bob"/>
  </r>
  <r>
    <x v="81"/>
    <x v="250"/>
    <d v="2023-08-14T00:00:00"/>
    <x v="4"/>
    <s v="East"/>
    <n v="4250.79"/>
    <n v="26"/>
    <x v="2"/>
    <n v="3749.12"/>
    <n v="4138.83"/>
    <s v="New"/>
    <n v="0.13"/>
    <s v="Credit Card"/>
    <s v="Online"/>
    <s v="East-Alice"/>
  </r>
  <r>
    <x v="26"/>
    <x v="181"/>
    <d v="2023-06-02T00:00:00"/>
    <x v="0"/>
    <s v="West"/>
    <n v="279.43"/>
    <n v="47"/>
    <x v="0"/>
    <n v="287.17"/>
    <n v="657.44"/>
    <s v="Returning"/>
    <n v="0.14000000000000001"/>
    <s v="Credit Card"/>
    <s v="Retail"/>
    <s v="West-Bob"/>
  </r>
  <r>
    <x v="88"/>
    <x v="184"/>
    <d v="2023-07-18T00:00:00"/>
    <x v="4"/>
    <s v="North"/>
    <n v="7948.31"/>
    <n v="12"/>
    <x v="2"/>
    <n v="4745.18"/>
    <n v="5145.88"/>
    <s v="Returning"/>
    <n v="0.19"/>
    <s v="Credit Card"/>
    <s v="Online"/>
    <s v="North-Alice"/>
  </r>
  <r>
    <x v="24"/>
    <x v="306"/>
    <d v="2023-02-21T00:00:00"/>
    <x v="4"/>
    <s v="East"/>
    <n v="783.55"/>
    <n v="31"/>
    <x v="3"/>
    <n v="3570.24"/>
    <n v="3712.25"/>
    <s v="New"/>
    <n v="0.03"/>
    <s v="Credit Card"/>
    <s v="Online"/>
    <s v="East-Alice"/>
  </r>
  <r>
    <x v="10"/>
    <x v="283"/>
    <d v="2023-09-17T00:00:00"/>
    <x v="2"/>
    <s v="North"/>
    <n v="4795.12"/>
    <n v="17"/>
    <x v="3"/>
    <n v="83.64"/>
    <n v="528.49"/>
    <s v="New"/>
    <n v="0.13"/>
    <s v="Credit Card"/>
    <s v="Online"/>
    <s v="North-Charlie"/>
  </r>
  <r>
    <x v="70"/>
    <x v="158"/>
    <d v="2023-02-28T00:00:00"/>
    <x v="1"/>
    <s v="East"/>
    <n v="5650.72"/>
    <n v="33"/>
    <x v="1"/>
    <n v="3831.09"/>
    <n v="3908.3700000000003"/>
    <s v="New"/>
    <n v="0.28999999999999998"/>
    <s v="Cash"/>
    <s v="Retail"/>
    <s v="East-David"/>
  </r>
  <r>
    <x v="4"/>
    <x v="289"/>
    <d v="2023-03-13T00:00:00"/>
    <x v="0"/>
    <s v="South"/>
    <n v="6321.42"/>
    <n v="11"/>
    <x v="2"/>
    <n v="2594.71"/>
    <n v="2769.52"/>
    <s v="Returning"/>
    <n v="0.01"/>
    <s v="Bank Transfer"/>
    <s v="Retail"/>
    <s v="South-Bob"/>
  </r>
  <r>
    <x v="88"/>
    <x v="307"/>
    <d v="2023-05-28T00:00:00"/>
    <x v="4"/>
    <s v="East"/>
    <n v="6917.45"/>
    <n v="28"/>
    <x v="0"/>
    <n v="3907.86"/>
    <n v="4205.37"/>
    <s v="New"/>
    <n v="0.09"/>
    <s v="Credit Card"/>
    <s v="Online"/>
    <s v="East-Alice"/>
  </r>
  <r>
    <x v="21"/>
    <x v="256"/>
    <d v="2023-12-15T00:00:00"/>
    <x v="0"/>
    <s v="West"/>
    <n v="2607.4"/>
    <n v="32"/>
    <x v="1"/>
    <n v="2636.36"/>
    <n v="2696.78"/>
    <s v="New"/>
    <n v="0.09"/>
    <s v="Cash"/>
    <s v="Retail"/>
    <s v="West-Bob"/>
  </r>
  <r>
    <x v="40"/>
    <x v="48"/>
    <d v="2023-03-04T00:00:00"/>
    <x v="1"/>
    <s v="East"/>
    <n v="198.79"/>
    <n v="1"/>
    <x v="2"/>
    <n v="3223.07"/>
    <n v="3590.83"/>
    <s v="New"/>
    <n v="0.19"/>
    <s v="Bank Transfer"/>
    <s v="Retail"/>
    <s v="East-David"/>
  </r>
  <r>
    <x v="43"/>
    <x v="90"/>
    <d v="2023-11-06T00:00:00"/>
    <x v="1"/>
    <s v="North"/>
    <n v="7262.09"/>
    <n v="47"/>
    <x v="1"/>
    <n v="3942.34"/>
    <n v="4142.09"/>
    <s v="Returning"/>
    <n v="0.03"/>
    <s v="Credit Card"/>
    <s v="Retail"/>
    <s v="North-David"/>
  </r>
  <r>
    <x v="69"/>
    <x v="233"/>
    <d v="2023-08-31T00:00:00"/>
    <x v="3"/>
    <s v="North"/>
    <n v="5403"/>
    <n v="28"/>
    <x v="0"/>
    <n v="2055.2800000000002"/>
    <n v="2449.6400000000003"/>
    <s v="New"/>
    <n v="0.19"/>
    <s v="Credit Card"/>
    <s v="Online"/>
    <s v="North-Eve"/>
  </r>
  <r>
    <x v="47"/>
    <x v="278"/>
    <d v="2024-01-01T00:00:00"/>
    <x v="1"/>
    <s v="East"/>
    <n v="8377.57"/>
    <n v="42"/>
    <x v="1"/>
    <n v="63.41"/>
    <n v="314.93"/>
    <s v="Returning"/>
    <n v="0.03"/>
    <s v="Cash"/>
    <s v="Retail"/>
    <s v="East-David"/>
  </r>
  <r>
    <x v="56"/>
    <x v="308"/>
    <d v="2023-11-26T00:00:00"/>
    <x v="2"/>
    <s v="West"/>
    <n v="8231.74"/>
    <n v="7"/>
    <x v="1"/>
    <n v="4257.24"/>
    <n v="4355.87"/>
    <s v="Returning"/>
    <n v="0.03"/>
    <s v="Bank Transfer"/>
    <s v="Online"/>
    <s v="West-Charlie"/>
  </r>
  <r>
    <x v="0"/>
    <x v="121"/>
    <d v="2023-04-17T00:00:00"/>
    <x v="4"/>
    <s v="South"/>
    <n v="8448.93"/>
    <n v="2"/>
    <x v="1"/>
    <n v="1935.41"/>
    <n v="2305.44"/>
    <s v="Returning"/>
    <n v="0.22"/>
    <s v="Credit Card"/>
    <s v="Online"/>
    <s v="South-Alice"/>
  </r>
  <r>
    <x v="6"/>
    <x v="309"/>
    <d v="2023-08-14T00:00:00"/>
    <x v="3"/>
    <s v="West"/>
    <n v="4902.4399999999996"/>
    <n v="42"/>
    <x v="2"/>
    <n v="2505.41"/>
    <n v="2638.96"/>
    <s v="New"/>
    <n v="0.1"/>
    <s v="Bank Transfer"/>
    <s v="Online"/>
    <s v="West-Eve"/>
  </r>
  <r>
    <x v="93"/>
    <x v="279"/>
    <d v="2023-11-09T00:00:00"/>
    <x v="2"/>
    <s v="South"/>
    <n v="3402.92"/>
    <n v="24"/>
    <x v="0"/>
    <n v="88.44"/>
    <n v="338.94"/>
    <s v="New"/>
    <n v="0.28999999999999998"/>
    <s v="Cash"/>
    <s v="Online"/>
    <s v="South-Charlie"/>
  </r>
  <r>
    <x v="91"/>
    <x v="235"/>
    <d v="2023-08-06T00:00:00"/>
    <x v="0"/>
    <s v="North"/>
    <n v="7936.43"/>
    <n v="4"/>
    <x v="3"/>
    <n v="2485.86"/>
    <n v="2532.8700000000003"/>
    <s v="New"/>
    <n v="0.01"/>
    <s v="Credit Card"/>
    <s v="Online"/>
    <s v="North-Bob"/>
  </r>
  <r>
    <x v="73"/>
    <x v="212"/>
    <d v="2023-08-29T00:00:00"/>
    <x v="4"/>
    <s v="West"/>
    <n v="4567.8100000000004"/>
    <n v="44"/>
    <x v="2"/>
    <n v="4933.1099999999997"/>
    <n v="5245.86"/>
    <s v="Returning"/>
    <n v="0.13"/>
    <s v="Bank Transfer"/>
    <s v="Retail"/>
    <s v="West-Alice"/>
  </r>
  <r>
    <x v="70"/>
    <x v="295"/>
    <d v="2023-09-16T00:00:00"/>
    <x v="1"/>
    <s v="South"/>
    <n v="1916.08"/>
    <n v="19"/>
    <x v="3"/>
    <n v="1427.42"/>
    <n v="1763.69"/>
    <s v="New"/>
    <n v="0.03"/>
    <s v="Cash"/>
    <s v="Retail"/>
    <s v="South-David"/>
  </r>
  <r>
    <x v="97"/>
    <x v="243"/>
    <d v="2023-09-19T00:00:00"/>
    <x v="4"/>
    <s v="East"/>
    <n v="8564.24"/>
    <n v="26"/>
    <x v="3"/>
    <n v="2007.32"/>
    <n v="2202.87"/>
    <s v="Returning"/>
    <n v="0.11"/>
    <s v="Cash"/>
    <s v="Online"/>
    <s v="East-Alice"/>
  </r>
  <r>
    <x v="0"/>
    <x v="310"/>
    <d v="2023-01-05T00:00:00"/>
    <x v="0"/>
    <s v="North"/>
    <n v="8837.34"/>
    <n v="11"/>
    <x v="2"/>
    <n v="3451.59"/>
    <n v="3929.26"/>
    <s v="New"/>
    <n v="0.3"/>
    <s v="Credit Card"/>
    <s v="Retail"/>
    <s v="North-Bob"/>
  </r>
  <r>
    <x v="59"/>
    <x v="242"/>
    <d v="2023-09-18T00:00:00"/>
    <x v="3"/>
    <s v="East"/>
    <n v="4716.47"/>
    <n v="40"/>
    <x v="2"/>
    <n v="4083.23"/>
    <n v="4521.57"/>
    <s v="New"/>
    <n v="0.27"/>
    <s v="Bank Transfer"/>
    <s v="Retail"/>
    <s v="East-Eve"/>
  </r>
  <r>
    <x v="10"/>
    <x v="71"/>
    <d v="2023-02-23T00:00:00"/>
    <x v="3"/>
    <s v="North"/>
    <n v="849.43"/>
    <n v="43"/>
    <x v="0"/>
    <n v="2116.09"/>
    <n v="2472.98"/>
    <s v="New"/>
    <n v="0.01"/>
    <s v="Credit Card"/>
    <s v="Retail"/>
    <s v="North-Eve"/>
  </r>
  <r>
    <x v="14"/>
    <x v="15"/>
    <d v="2023-02-16T00:00:00"/>
    <x v="3"/>
    <s v="West"/>
    <n v="3939.48"/>
    <n v="11"/>
    <x v="0"/>
    <n v="1582.86"/>
    <n v="1942.55"/>
    <s v="New"/>
    <n v="0.17"/>
    <s v="Credit Card"/>
    <s v="Retail"/>
    <s v="West-Eve"/>
  </r>
  <r>
    <x v="71"/>
    <x v="274"/>
    <d v="2023-08-03T00:00:00"/>
    <x v="1"/>
    <s v="West"/>
    <n v="8055.02"/>
    <n v="45"/>
    <x v="1"/>
    <n v="4692.24"/>
    <n v="4825.92"/>
    <s v="Returning"/>
    <n v="0.19"/>
    <s v="Bank Transfer"/>
    <s v="Retail"/>
    <s v="West-David"/>
  </r>
  <r>
    <x v="93"/>
    <x v="180"/>
    <d v="2023-06-26T00:00:00"/>
    <x v="2"/>
    <s v="North"/>
    <n v="9027.56"/>
    <n v="3"/>
    <x v="3"/>
    <n v="3401.87"/>
    <n v="3733.71"/>
    <s v="Returning"/>
    <n v="0.06"/>
    <s v="Bank Transfer"/>
    <s v="Retail"/>
    <s v="North-Charlie"/>
  </r>
  <r>
    <x v="84"/>
    <x v="192"/>
    <d v="2023-01-09T00:00:00"/>
    <x v="2"/>
    <s v="North"/>
    <n v="2114.38"/>
    <n v="12"/>
    <x v="0"/>
    <n v="639.16"/>
    <n v="746.28"/>
    <s v="Returning"/>
    <n v="0.04"/>
    <s v="Bank Transfer"/>
    <s v="Retail"/>
    <s v="North-Charlie"/>
  </r>
  <r>
    <x v="36"/>
    <x v="311"/>
    <d v="2023-04-09T00:00:00"/>
    <x v="4"/>
    <s v="North"/>
    <n v="763.04"/>
    <n v="3"/>
    <x v="1"/>
    <n v="391.19"/>
    <n v="471.75"/>
    <s v="Returning"/>
    <n v="0.27"/>
    <s v="Cash"/>
    <s v="Online"/>
    <s v="North-Alice"/>
  </r>
  <r>
    <x v="14"/>
    <x v="15"/>
    <d v="2023-01-20T00:00:00"/>
    <x v="1"/>
    <s v="West"/>
    <n v="8785.77"/>
    <n v="42"/>
    <x v="0"/>
    <n v="2443.5700000000002"/>
    <n v="2943.3100000000004"/>
    <s v="New"/>
    <n v="0.28999999999999998"/>
    <s v="Cash"/>
    <s v="Online"/>
    <s v="West-David"/>
  </r>
  <r>
    <x v="27"/>
    <x v="312"/>
    <d v="2023-08-29T00:00:00"/>
    <x v="3"/>
    <s v="South"/>
    <n v="3955.11"/>
    <n v="27"/>
    <x v="2"/>
    <n v="1139.45"/>
    <n v="1454.41"/>
    <s v="Returning"/>
    <n v="0.3"/>
    <s v="Bank Transfer"/>
    <s v="Online"/>
    <s v="South-Eve"/>
  </r>
  <r>
    <x v="22"/>
    <x v="26"/>
    <d v="2023-03-02T00:00:00"/>
    <x v="3"/>
    <s v="East"/>
    <n v="5463.43"/>
    <n v="49"/>
    <x v="0"/>
    <n v="1307.22"/>
    <n v="1528.4"/>
    <s v="Returning"/>
    <n v="0.24"/>
    <s v="Cash"/>
    <s v="Retail"/>
    <s v="East-Eve"/>
  </r>
  <r>
    <x v="36"/>
    <x v="280"/>
    <d v="2023-06-27T00:00:00"/>
    <x v="0"/>
    <s v="East"/>
    <n v="9683.85"/>
    <n v="2"/>
    <x v="3"/>
    <n v="4394.58"/>
    <n v="4545.78"/>
    <s v="Returning"/>
    <n v="0.2"/>
    <s v="Credit Card"/>
    <s v="Retail"/>
    <s v="East-Bob"/>
  </r>
  <r>
    <x v="39"/>
    <x v="220"/>
    <d v="2023-12-04T00:00:00"/>
    <x v="0"/>
    <s v="West"/>
    <n v="758.99"/>
    <n v="49"/>
    <x v="0"/>
    <n v="493.35"/>
    <n v="799.27"/>
    <s v="New"/>
    <n v="0.1"/>
    <s v="Bank Transfer"/>
    <s v="Online"/>
    <s v="West-Bob"/>
  </r>
  <r>
    <x v="56"/>
    <x v="72"/>
    <d v="2023-03-03T00:00:00"/>
    <x v="3"/>
    <s v="East"/>
    <n v="6518.35"/>
    <n v="16"/>
    <x v="3"/>
    <n v="3591.05"/>
    <n v="3625.3500000000004"/>
    <s v="Returning"/>
    <n v="0.05"/>
    <s v="Credit Card"/>
    <s v="Retail"/>
    <s v="East-Eve"/>
  </r>
  <r>
    <x v="68"/>
    <x v="115"/>
    <d v="2023-05-25T00:00:00"/>
    <x v="3"/>
    <s v="North"/>
    <n v="833.64"/>
    <n v="2"/>
    <x v="2"/>
    <n v="1392.15"/>
    <n v="1448.5400000000002"/>
    <s v="Returning"/>
    <n v="0.02"/>
    <s v="Bank Transfer"/>
    <s v="Retail"/>
    <s v="North-Eve"/>
  </r>
  <r>
    <x v="46"/>
    <x v="98"/>
    <d v="2023-08-04T00:00:00"/>
    <x v="1"/>
    <s v="South"/>
    <n v="3817.14"/>
    <n v="30"/>
    <x v="3"/>
    <n v="3813.62"/>
    <n v="3839.72"/>
    <s v="New"/>
    <n v="0.21"/>
    <s v="Credit Card"/>
    <s v="Online"/>
    <s v="South-David"/>
  </r>
  <r>
    <x v="7"/>
    <x v="7"/>
    <d v="2023-01-03T00:00:00"/>
    <x v="2"/>
    <s v="East"/>
    <n v="8057.76"/>
    <n v="20"/>
    <x v="0"/>
    <n v="3625.94"/>
    <n v="3880.53"/>
    <s v="New"/>
    <n v="0.24"/>
    <s v="Bank Transfer"/>
    <s v="Online"/>
    <s v="East-Charlie"/>
  </r>
  <r>
    <x v="1"/>
    <x v="237"/>
    <d v="2023-06-09T00:00:00"/>
    <x v="0"/>
    <s v="South"/>
    <n v="4391.38"/>
    <n v="38"/>
    <x v="1"/>
    <n v="86.59"/>
    <n v="390.89"/>
    <s v="Returning"/>
    <n v="0.25"/>
    <s v="Credit Card"/>
    <s v="Online"/>
    <s v="South-Bob"/>
  </r>
  <r>
    <x v="8"/>
    <x v="9"/>
    <d v="2023-08-15T00:00:00"/>
    <x v="2"/>
    <s v="North"/>
    <n v="9972.11"/>
    <n v="28"/>
    <x v="2"/>
    <n v="2570.2199999999998"/>
    <n v="2610.8399999999997"/>
    <s v="Returning"/>
    <n v="0.27"/>
    <s v="Bank Transfer"/>
    <s v="Retail"/>
    <s v="North-Charlie"/>
  </r>
  <r>
    <x v="37"/>
    <x v="313"/>
    <d v="2023-09-26T00:00:00"/>
    <x v="1"/>
    <s v="East"/>
    <n v="5634.69"/>
    <n v="25"/>
    <x v="0"/>
    <n v="739.63"/>
    <n v="1103.03"/>
    <s v="New"/>
    <n v="0.26"/>
    <s v="Bank Transfer"/>
    <s v="Retail"/>
    <s v="East-David"/>
  </r>
  <r>
    <x v="21"/>
    <x v="25"/>
    <d v="2023-04-30T00:00:00"/>
    <x v="3"/>
    <s v="West"/>
    <n v="3279.51"/>
    <n v="32"/>
    <x v="2"/>
    <n v="4337.82"/>
    <n v="4460.71"/>
    <s v="Returning"/>
    <n v="0.3"/>
    <s v="Cash"/>
    <s v="Retail"/>
    <s v="West-Eve"/>
  </r>
  <r>
    <x v="40"/>
    <x v="48"/>
    <d v="2023-03-30T00:00:00"/>
    <x v="2"/>
    <s v="South"/>
    <n v="2279.1"/>
    <n v="10"/>
    <x v="2"/>
    <n v="4364.3500000000004"/>
    <n v="4710.1000000000004"/>
    <s v="New"/>
    <n v="7.0000000000000007E-2"/>
    <s v="Credit Card"/>
    <s v="Online"/>
    <s v="South-Charlie"/>
  </r>
  <r>
    <x v="55"/>
    <x v="293"/>
    <d v="2023-11-25T00:00:00"/>
    <x v="3"/>
    <s v="North"/>
    <n v="3570.15"/>
    <n v="42"/>
    <x v="0"/>
    <n v="2120.81"/>
    <n v="2611.94"/>
    <s v="Returning"/>
    <n v="0.23"/>
    <s v="Cash"/>
    <s v="Online"/>
    <s v="North-Eve"/>
  </r>
  <r>
    <x v="22"/>
    <x v="26"/>
    <d v="2023-03-09T00:00:00"/>
    <x v="3"/>
    <s v="South"/>
    <n v="3788.08"/>
    <n v="40"/>
    <x v="0"/>
    <n v="2249.7600000000002"/>
    <n v="2598.4"/>
    <s v="Returning"/>
    <n v="0.18"/>
    <s v="Credit Card"/>
    <s v="Retail"/>
    <s v="South-Eve"/>
  </r>
  <r>
    <x v="90"/>
    <x v="174"/>
    <d v="2023-12-23T00:00:00"/>
    <x v="4"/>
    <s v="East"/>
    <n v="780.27"/>
    <n v="33"/>
    <x v="1"/>
    <n v="1551.25"/>
    <n v="1994.01"/>
    <s v="Returning"/>
    <n v="0.08"/>
    <s v="Cash"/>
    <s v="Online"/>
    <s v="East-Alice"/>
  </r>
  <r>
    <x v="34"/>
    <x v="199"/>
    <d v="2023-04-08T00:00:00"/>
    <x v="2"/>
    <s v="East"/>
    <n v="3758.78"/>
    <n v="13"/>
    <x v="2"/>
    <n v="3597.2"/>
    <n v="4071.8199999999997"/>
    <s v="Returning"/>
    <n v="0.28999999999999998"/>
    <s v="Bank Transfer"/>
    <s v="Online"/>
    <s v="East-Charlie"/>
  </r>
  <r>
    <x v="98"/>
    <x v="238"/>
    <d v="2023-09-24T00:00:00"/>
    <x v="2"/>
    <s v="West"/>
    <n v="4695.96"/>
    <n v="41"/>
    <x v="2"/>
    <n v="1825.37"/>
    <n v="2073.88"/>
    <s v="Returning"/>
    <n v="0.27"/>
    <s v="Cash"/>
    <s v="Retail"/>
    <s v="West-Charlie"/>
  </r>
  <r>
    <x v="81"/>
    <x v="272"/>
    <d v="2023-04-15T00:00:00"/>
    <x v="3"/>
    <s v="North"/>
    <n v="7255.1"/>
    <n v="42"/>
    <x v="0"/>
    <n v="1375.57"/>
    <n v="1729.71"/>
    <s v="New"/>
    <n v="0.04"/>
    <s v="Cash"/>
    <s v="Online"/>
    <s v="North-Eve"/>
  </r>
  <r>
    <x v="58"/>
    <x v="271"/>
    <d v="2023-11-19T00:00:00"/>
    <x v="1"/>
    <s v="North"/>
    <n v="6601.62"/>
    <n v="47"/>
    <x v="3"/>
    <n v="2189.54"/>
    <n v="2617"/>
    <s v="New"/>
    <n v="0.01"/>
    <s v="Bank Transfer"/>
    <s v="Online"/>
    <s v="North-David"/>
  </r>
  <r>
    <x v="27"/>
    <x v="134"/>
    <d v="2023-05-03T00:00:00"/>
    <x v="4"/>
    <s v="West"/>
    <n v="7116.78"/>
    <n v="37"/>
    <x v="0"/>
    <n v="502.86"/>
    <n v="687.6"/>
    <s v="Returning"/>
    <n v="0.21"/>
    <s v="Cash"/>
    <s v="Online"/>
    <s v="West-Alice"/>
  </r>
  <r>
    <x v="40"/>
    <x v="48"/>
    <d v="2023-01-29T00:00:00"/>
    <x v="3"/>
    <s v="West"/>
    <n v="182.8"/>
    <n v="16"/>
    <x v="2"/>
    <n v="3745.69"/>
    <n v="3883.77"/>
    <s v="Returning"/>
    <n v="0.18"/>
    <s v="Bank Transfer"/>
    <s v="Retail"/>
    <s v="West-Eve"/>
  </r>
  <r>
    <x v="50"/>
    <x v="193"/>
    <d v="2023-05-17T00:00:00"/>
    <x v="0"/>
    <s v="North"/>
    <n v="2254.91"/>
    <n v="45"/>
    <x v="0"/>
    <n v="112.35"/>
    <n v="586.17999999999995"/>
    <s v="Returning"/>
    <n v="0.28000000000000003"/>
    <s v="Credit Card"/>
    <s v="Retail"/>
    <s v="North-Bob"/>
  </r>
  <r>
    <x v="75"/>
    <x v="116"/>
    <d v="2023-07-14T00:00:00"/>
    <x v="0"/>
    <s v="South"/>
    <n v="6650.67"/>
    <n v="22"/>
    <x v="1"/>
    <n v="3240.2"/>
    <n v="3606.0899999999997"/>
    <s v="New"/>
    <n v="7.0000000000000007E-2"/>
    <s v="Cash"/>
    <s v="Online"/>
    <s v="South-Bob"/>
  </r>
  <r>
    <x v="83"/>
    <x v="314"/>
    <d v="2023-08-14T00:00:00"/>
    <x v="4"/>
    <s v="South"/>
    <n v="4891.49"/>
    <n v="20"/>
    <x v="3"/>
    <n v="955.18"/>
    <n v="1072.82"/>
    <s v="New"/>
    <n v="0.03"/>
    <s v="Bank Transfer"/>
    <s v="Retail"/>
    <s v="South-Alice"/>
  </r>
  <r>
    <x v="68"/>
    <x v="315"/>
    <d v="2023-11-28T00:00:00"/>
    <x v="1"/>
    <s v="West"/>
    <n v="152.6"/>
    <n v="43"/>
    <x v="0"/>
    <n v="1200.4000000000001"/>
    <n v="1430.45"/>
    <s v="New"/>
    <n v="0.08"/>
    <s v="Bank Transfer"/>
    <s v="Retail"/>
    <s v="West-David"/>
  </r>
  <r>
    <x v="63"/>
    <x v="126"/>
    <d v="2023-06-19T00:00:00"/>
    <x v="3"/>
    <s v="South"/>
    <n v="8064.5"/>
    <n v="27"/>
    <x v="1"/>
    <n v="3196.38"/>
    <n v="3596.6400000000003"/>
    <s v="New"/>
    <n v="0.01"/>
    <s v="Cash"/>
    <s v="Retail"/>
    <s v="South-Eve"/>
  </r>
  <r>
    <x v="72"/>
    <x v="107"/>
    <d v="2023-01-09T00:00:00"/>
    <x v="2"/>
    <s v="North"/>
    <n v="7750.81"/>
    <n v="41"/>
    <x v="2"/>
    <n v="4965.07"/>
    <n v="5243.13"/>
    <s v="New"/>
    <n v="0.01"/>
    <s v="Credit Card"/>
    <s v="Online"/>
    <s v="North-Charlie"/>
  </r>
  <r>
    <x v="17"/>
    <x v="316"/>
    <d v="2023-02-09T00:00:00"/>
    <x v="4"/>
    <s v="East"/>
    <n v="5529.35"/>
    <n v="16"/>
    <x v="0"/>
    <n v="3899.7"/>
    <n v="4228.18"/>
    <s v="New"/>
    <n v="0.27"/>
    <s v="Cash"/>
    <s v="Retail"/>
    <s v="East-Alice"/>
  </r>
  <r>
    <x v="6"/>
    <x v="309"/>
    <d v="2023-01-25T00:00:00"/>
    <x v="1"/>
    <s v="East"/>
    <n v="757.99"/>
    <n v="34"/>
    <x v="2"/>
    <n v="1167.9100000000001"/>
    <n v="1547.2600000000002"/>
    <s v="New"/>
    <n v="0.11"/>
    <s v="Bank Transfer"/>
    <s v="Online"/>
    <s v="East-David"/>
  </r>
  <r>
    <x v="45"/>
    <x v="317"/>
    <d v="2023-09-18T00:00:00"/>
    <x v="2"/>
    <s v="South"/>
    <n v="7688.5"/>
    <n v="32"/>
    <x v="1"/>
    <n v="921.32"/>
    <n v="1236.0999999999999"/>
    <s v="New"/>
    <n v="0.12"/>
    <s v="Credit Card"/>
    <s v="Online"/>
    <s v="South-Charlie"/>
  </r>
  <r>
    <x v="65"/>
    <x v="291"/>
    <d v="2023-08-14T00:00:00"/>
    <x v="0"/>
    <s v="West"/>
    <n v="5878.76"/>
    <n v="26"/>
    <x v="2"/>
    <n v="4337.8500000000004"/>
    <n v="4612.4900000000007"/>
    <s v="Returning"/>
    <n v="0.01"/>
    <s v="Cash"/>
    <s v="Retail"/>
    <s v="West-Bob"/>
  </r>
  <r>
    <x v="74"/>
    <x v="246"/>
    <d v="2023-05-04T00:00:00"/>
    <x v="0"/>
    <s v="West"/>
    <n v="7841.4"/>
    <n v="25"/>
    <x v="1"/>
    <n v="2248.71"/>
    <n v="2626.02"/>
    <s v="New"/>
    <n v="0.08"/>
    <s v="Bank Transfer"/>
    <s v="Online"/>
    <s v="West-Bob"/>
  </r>
  <r>
    <x v="90"/>
    <x v="174"/>
    <d v="2023-02-07T00:00:00"/>
    <x v="2"/>
    <s v="West"/>
    <n v="7542.3"/>
    <n v="2"/>
    <x v="1"/>
    <n v="728.41"/>
    <n v="1094.92"/>
    <s v="New"/>
    <n v="0.24"/>
    <s v="Cash"/>
    <s v="Retail"/>
    <s v="West-Charlie"/>
  </r>
  <r>
    <x v="43"/>
    <x v="90"/>
    <d v="2023-11-24T00:00:00"/>
    <x v="4"/>
    <s v="West"/>
    <n v="8049.72"/>
    <n v="12"/>
    <x v="1"/>
    <n v="4317.95"/>
    <n v="4636.59"/>
    <s v="New"/>
    <n v="0.18"/>
    <s v="Credit Card"/>
    <s v="Retail"/>
    <s v="West-Alice"/>
  </r>
  <r>
    <x v="23"/>
    <x v="28"/>
    <d v="2023-09-08T00:00:00"/>
    <x v="0"/>
    <s v="West"/>
    <n v="5228.28"/>
    <n v="40"/>
    <x v="0"/>
    <n v="4089.66"/>
    <n v="4275.96"/>
    <s v="New"/>
    <n v="0.23"/>
    <s v="Credit Card"/>
    <s v="Online"/>
    <s v="West-Bob"/>
  </r>
  <r>
    <x v="64"/>
    <x v="87"/>
    <d v="2023-06-25T00:00:00"/>
    <x v="3"/>
    <s v="South"/>
    <n v="1489.21"/>
    <n v="9"/>
    <x v="2"/>
    <n v="4920.34"/>
    <n v="5129.1900000000005"/>
    <s v="Returning"/>
    <n v="0.13"/>
    <s v="Credit Card"/>
    <s v="Online"/>
    <s v="South-Eve"/>
  </r>
  <r>
    <x v="38"/>
    <x v="62"/>
    <d v="2023-03-31T00:00:00"/>
    <x v="2"/>
    <s v="East"/>
    <n v="6744.46"/>
    <n v="12"/>
    <x v="2"/>
    <n v="4553.2299999999996"/>
    <n v="5038.74"/>
    <s v="New"/>
    <n v="0.09"/>
    <s v="Credit Card"/>
    <s v="Retail"/>
    <s v="East-Charlie"/>
  </r>
  <r>
    <x v="49"/>
    <x v="318"/>
    <d v="2023-02-06T00:00:00"/>
    <x v="2"/>
    <s v="East"/>
    <n v="6242.69"/>
    <n v="26"/>
    <x v="3"/>
    <n v="4266.3599999999997"/>
    <n v="4331.4299999999994"/>
    <s v="Returning"/>
    <n v="0.14000000000000001"/>
    <s v="Credit Card"/>
    <s v="Retail"/>
    <s v="East-Charlie"/>
  </r>
  <r>
    <x v="86"/>
    <x v="178"/>
    <d v="2023-11-12T00:00:00"/>
    <x v="0"/>
    <s v="South"/>
    <n v="7448.31"/>
    <n v="9"/>
    <x v="3"/>
    <n v="310.24"/>
    <n v="451.81"/>
    <s v="Returning"/>
    <n v="0.1"/>
    <s v="Cash"/>
    <s v="Retail"/>
    <s v="South-Bob"/>
  </r>
  <r>
    <x v="96"/>
    <x v="319"/>
    <d v="2023-06-25T00:00:00"/>
    <x v="4"/>
    <s v="West"/>
    <n v="1781.82"/>
    <n v="10"/>
    <x v="3"/>
    <n v="566.86"/>
    <n v="818.14"/>
    <s v="Returning"/>
    <n v="0.25"/>
    <s v="Credit Card"/>
    <s v="Retail"/>
    <s v="West-Alice"/>
  </r>
  <r>
    <x v="88"/>
    <x v="286"/>
    <d v="2023-10-11T00:00:00"/>
    <x v="3"/>
    <s v="South"/>
    <n v="2030.25"/>
    <n v="32"/>
    <x v="3"/>
    <n v="2866.47"/>
    <n v="3286.47"/>
    <s v="New"/>
    <n v="0.09"/>
    <s v="Credit Card"/>
    <s v="Online"/>
    <s v="South-Eve"/>
  </r>
  <r>
    <x v="4"/>
    <x v="289"/>
    <d v="2023-03-22T00:00:00"/>
    <x v="4"/>
    <s v="East"/>
    <n v="8915.0499999999993"/>
    <n v="34"/>
    <x v="2"/>
    <n v="2680.82"/>
    <n v="2771.02"/>
    <s v="New"/>
    <n v="0.2"/>
    <s v="Bank Transfer"/>
    <s v="Online"/>
    <s v="East-Alice"/>
  </r>
  <r>
    <x v="52"/>
    <x v="164"/>
    <d v="2023-04-24T00:00:00"/>
    <x v="1"/>
    <s v="North"/>
    <n v="7524.78"/>
    <n v="48"/>
    <x v="1"/>
    <n v="2316.92"/>
    <n v="2462.63"/>
    <s v="New"/>
    <n v="0.04"/>
    <s v="Credit Card"/>
    <s v="Online"/>
    <s v="North-David"/>
  </r>
  <r>
    <x v="36"/>
    <x v="311"/>
    <d v="2023-02-09T00:00:00"/>
    <x v="1"/>
    <s v="South"/>
    <n v="9091.4599999999991"/>
    <n v="20"/>
    <x v="1"/>
    <n v="2014.11"/>
    <n v="2056.35"/>
    <s v="Returning"/>
    <n v="0.21"/>
    <s v="Bank Transfer"/>
    <s v="Retail"/>
    <s v="South-David"/>
  </r>
  <r>
    <x v="25"/>
    <x v="320"/>
    <d v="2023-10-28T00:00:00"/>
    <x v="0"/>
    <s v="West"/>
    <n v="7611.28"/>
    <n v="39"/>
    <x v="0"/>
    <n v="2184.4899999999998"/>
    <n v="2540.4199999999996"/>
    <s v="Returning"/>
    <n v="0.27"/>
    <s v="Bank Transfer"/>
    <s v="Online"/>
    <s v="West-Bob"/>
  </r>
  <r>
    <x v="55"/>
    <x v="70"/>
    <d v="2023-08-12T00:00:00"/>
    <x v="0"/>
    <s v="East"/>
    <n v="6011.84"/>
    <n v="2"/>
    <x v="1"/>
    <n v="2868.02"/>
    <n v="2994.74"/>
    <s v="Returning"/>
    <n v="0.18"/>
    <s v="Bank Transfer"/>
    <s v="Online"/>
    <s v="East-Bob"/>
  </r>
  <r>
    <x v="41"/>
    <x v="67"/>
    <d v="2023-11-14T00:00:00"/>
    <x v="0"/>
    <s v="East"/>
    <n v="6575.91"/>
    <n v="1"/>
    <x v="2"/>
    <n v="60.28"/>
    <n v="260.73"/>
    <s v="Returning"/>
    <n v="0.17"/>
    <s v="Cash"/>
    <s v="Online"/>
    <s v="East-Bob"/>
  </r>
  <r>
    <x v="88"/>
    <x v="184"/>
    <d v="2023-12-15T00:00:00"/>
    <x v="1"/>
    <s v="East"/>
    <n v="8902.3700000000008"/>
    <n v="36"/>
    <x v="2"/>
    <n v="1340.51"/>
    <n v="1567.92"/>
    <s v="New"/>
    <n v="0.28999999999999998"/>
    <s v="Cash"/>
    <s v="Online"/>
    <s v="East-David"/>
  </r>
  <r>
    <x v="36"/>
    <x v="43"/>
    <d v="2023-04-25T00:00:00"/>
    <x v="4"/>
    <s v="East"/>
    <n v="5830.19"/>
    <n v="24"/>
    <x v="2"/>
    <n v="2615.48"/>
    <n v="3062.2200000000003"/>
    <s v="New"/>
    <n v="0.19"/>
    <s v="Bank Transfer"/>
    <s v="Retail"/>
    <s v="East-Alice"/>
  </r>
  <r>
    <x v="95"/>
    <x v="321"/>
    <d v="2023-07-05T00:00:00"/>
    <x v="4"/>
    <s v="West"/>
    <n v="6360.67"/>
    <n v="27"/>
    <x v="0"/>
    <n v="3624.97"/>
    <n v="3836.52"/>
    <s v="New"/>
    <n v="0.08"/>
    <s v="Cash"/>
    <s v="Online"/>
    <s v="West-Alice"/>
  </r>
  <r>
    <x v="64"/>
    <x v="135"/>
    <d v="2023-11-19T00:00:00"/>
    <x v="0"/>
    <s v="North"/>
    <n v="1649.12"/>
    <n v="2"/>
    <x v="3"/>
    <n v="912.08"/>
    <n v="993.24"/>
    <s v="Returning"/>
    <n v="0.09"/>
    <s v="Credit Card"/>
    <s v="Online"/>
    <s v="North-Bob"/>
  </r>
  <r>
    <x v="81"/>
    <x v="322"/>
    <d v="2023-02-25T00:00:00"/>
    <x v="3"/>
    <s v="East"/>
    <n v="4791.82"/>
    <n v="31"/>
    <x v="1"/>
    <n v="2757.06"/>
    <n v="3023.97"/>
    <s v="Returning"/>
    <n v="0.21"/>
    <s v="Cash"/>
    <s v="Online"/>
    <s v="East-Eve"/>
  </r>
  <r>
    <x v="28"/>
    <x v="163"/>
    <d v="2023-02-09T00:00:00"/>
    <x v="4"/>
    <s v="South"/>
    <n v="7192.33"/>
    <n v="14"/>
    <x v="2"/>
    <n v="3586.58"/>
    <n v="4068.43"/>
    <s v="New"/>
    <n v="0.22"/>
    <s v="Credit Card"/>
    <s v="Online"/>
    <s v="South-Alice"/>
  </r>
  <r>
    <x v="22"/>
    <x v="157"/>
    <d v="2023-12-20T00:00:00"/>
    <x v="1"/>
    <s v="North"/>
    <n v="2782.33"/>
    <n v="2"/>
    <x v="2"/>
    <n v="2250.91"/>
    <n v="2558.6799999999998"/>
    <s v="New"/>
    <n v="0.09"/>
    <s v="Credit Card"/>
    <s v="Retail"/>
    <s v="North-David"/>
  </r>
  <r>
    <x v="94"/>
    <x v="186"/>
    <d v="2023-02-09T00:00:00"/>
    <x v="2"/>
    <s v="East"/>
    <n v="2102.3200000000002"/>
    <n v="29"/>
    <x v="3"/>
    <n v="184.05"/>
    <n v="675.91000000000008"/>
    <s v="Returning"/>
    <n v="0.1"/>
    <s v="Cash"/>
    <s v="Retail"/>
    <s v="East-Charlie"/>
  </r>
  <r>
    <x v="28"/>
    <x v="163"/>
    <d v="2023-12-13T00:00:00"/>
    <x v="2"/>
    <s v="North"/>
    <n v="3206.89"/>
    <n v="15"/>
    <x v="2"/>
    <n v="2273.88"/>
    <n v="2696.02"/>
    <s v="New"/>
    <n v="0.3"/>
    <s v="Cash"/>
    <s v="Online"/>
    <s v="North-Charlie"/>
  </r>
  <r>
    <x v="3"/>
    <x v="75"/>
    <d v="2023-08-25T00:00:00"/>
    <x v="2"/>
    <s v="South"/>
    <n v="2490.86"/>
    <n v="12"/>
    <x v="1"/>
    <n v="1517.4"/>
    <n v="1545.02"/>
    <s v="New"/>
    <n v="0.03"/>
    <s v="Bank Transfer"/>
    <s v="Retail"/>
    <s v="South-Charlie"/>
  </r>
  <r>
    <x v="4"/>
    <x v="323"/>
    <d v="2023-10-16T00:00:00"/>
    <x v="3"/>
    <s v="East"/>
    <n v="2227.64"/>
    <n v="37"/>
    <x v="0"/>
    <n v="4651.7700000000004"/>
    <n v="4984.3900000000003"/>
    <s v="Returning"/>
    <n v="0.12"/>
    <s v="Cash"/>
    <s v="Retail"/>
    <s v="East-Eve"/>
  </r>
  <r>
    <x v="36"/>
    <x v="43"/>
    <d v="2023-09-19T00:00:00"/>
    <x v="0"/>
    <s v="South"/>
    <n v="4306.0200000000004"/>
    <n v="28"/>
    <x v="2"/>
    <n v="666.84"/>
    <n v="817.36"/>
    <s v="Returning"/>
    <n v="0.02"/>
    <s v="Cash"/>
    <s v="Retail"/>
    <s v="South-Bob"/>
  </r>
  <r>
    <x v="66"/>
    <x v="167"/>
    <d v="2023-08-04T00:00:00"/>
    <x v="1"/>
    <s v="West"/>
    <n v="9087.6"/>
    <n v="20"/>
    <x v="1"/>
    <n v="3279.76"/>
    <n v="3563.9700000000003"/>
    <s v="Returning"/>
    <n v="0.25"/>
    <s v="Cash"/>
    <s v="Retail"/>
    <s v="West-David"/>
  </r>
  <r>
    <x v="12"/>
    <x v="206"/>
    <d v="2023-05-27T00:00:00"/>
    <x v="3"/>
    <s v="East"/>
    <n v="5119.8900000000003"/>
    <n v="39"/>
    <x v="2"/>
    <n v="310.95999999999998"/>
    <n v="457.84"/>
    <s v="New"/>
    <n v="0.03"/>
    <s v="Credit Card"/>
    <s v="Online"/>
    <s v="East-Eve"/>
  </r>
  <r>
    <x v="77"/>
    <x v="145"/>
    <d v="2023-12-02T00:00:00"/>
    <x v="1"/>
    <s v="East"/>
    <n v="1960.41"/>
    <n v="24"/>
    <x v="3"/>
    <n v="2258.54"/>
    <n v="2439.4899999999998"/>
    <s v="Returning"/>
    <n v="0.2"/>
    <s v="Credit Card"/>
    <s v="Retail"/>
    <s v="East-David"/>
  </r>
  <r>
    <x v="28"/>
    <x v="163"/>
    <d v="2023-06-17T00:00:00"/>
    <x v="1"/>
    <s v="East"/>
    <n v="862.02"/>
    <n v="21"/>
    <x v="2"/>
    <n v="2792.2"/>
    <n v="3254.5499999999997"/>
    <s v="New"/>
    <n v="0.02"/>
    <s v="Credit Card"/>
    <s v="Retail"/>
    <s v="East-David"/>
  </r>
  <r>
    <x v="30"/>
    <x v="36"/>
    <d v="2023-04-02T00:00:00"/>
    <x v="0"/>
    <s v="East"/>
    <n v="6991.95"/>
    <n v="10"/>
    <x v="2"/>
    <n v="1524.88"/>
    <n v="1636.14"/>
    <s v="New"/>
    <n v="0.2"/>
    <s v="Bank Transfer"/>
    <s v="Online"/>
    <s v="East-Bob"/>
  </r>
  <r>
    <x v="53"/>
    <x v="324"/>
    <d v="2023-12-19T00:00:00"/>
    <x v="2"/>
    <s v="West"/>
    <n v="3889.71"/>
    <n v="46"/>
    <x v="0"/>
    <n v="2302.62"/>
    <n v="2740.93"/>
    <s v="Returning"/>
    <n v="0.25"/>
    <s v="Bank Transfer"/>
    <s v="Online"/>
    <s v="West-Charlie"/>
  </r>
  <r>
    <x v="97"/>
    <x v="243"/>
    <d v="2023-02-28T00:00:00"/>
    <x v="0"/>
    <s v="East"/>
    <n v="8236.1299999999992"/>
    <n v="14"/>
    <x v="3"/>
    <n v="859.59"/>
    <n v="884.51"/>
    <s v="New"/>
    <n v="0.12"/>
    <s v="Bank Transfer"/>
    <s v="Online"/>
    <s v="East-Bob"/>
  </r>
  <r>
    <x v="87"/>
    <x v="325"/>
    <d v="2023-02-28T00:00:00"/>
    <x v="3"/>
    <s v="North"/>
    <n v="6629.16"/>
    <n v="37"/>
    <x v="3"/>
    <n v="1555.41"/>
    <n v="1609.94"/>
    <s v="Returning"/>
    <n v="0.16"/>
    <s v="Credit Card"/>
    <s v="Online"/>
    <s v="North-Eve"/>
  </r>
  <r>
    <x v="20"/>
    <x v="24"/>
    <d v="2023-10-31T00:00:00"/>
    <x v="3"/>
    <s v="East"/>
    <n v="7982.79"/>
    <n v="18"/>
    <x v="0"/>
    <n v="3124.48"/>
    <n v="3553.27"/>
    <s v="Returning"/>
    <n v="0.12"/>
    <s v="Cash"/>
    <s v="Retail"/>
    <s v="East-Eve"/>
  </r>
  <r>
    <x v="17"/>
    <x v="19"/>
    <d v="2023-06-18T00:00:00"/>
    <x v="3"/>
    <s v="West"/>
    <n v="2792.27"/>
    <n v="24"/>
    <x v="2"/>
    <n v="1543.91"/>
    <n v="1862.88"/>
    <s v="New"/>
    <n v="0.09"/>
    <s v="Bank Transfer"/>
    <s v="Online"/>
    <s v="West-Eve"/>
  </r>
  <r>
    <x v="51"/>
    <x v="63"/>
    <d v="2023-09-26T00:00:00"/>
    <x v="0"/>
    <s v="East"/>
    <n v="6954.35"/>
    <n v="14"/>
    <x v="1"/>
    <n v="4503.7299999999996"/>
    <n v="4879.8799999999992"/>
    <s v="New"/>
    <n v="0.24"/>
    <s v="Bank Transfer"/>
    <s v="Retail"/>
    <s v="East-Bob"/>
  </r>
  <r>
    <x v="22"/>
    <x v="263"/>
    <d v="2023-12-29T00:00:00"/>
    <x v="1"/>
    <s v="North"/>
    <n v="2714.21"/>
    <n v="34"/>
    <x v="3"/>
    <n v="3160.61"/>
    <n v="3273.2200000000003"/>
    <s v="Returning"/>
    <n v="0.08"/>
    <s v="Credit Card"/>
    <s v="Retail"/>
    <s v="North-David"/>
  </r>
  <r>
    <x v="44"/>
    <x v="140"/>
    <d v="2023-02-14T00:00:00"/>
    <x v="1"/>
    <s v="West"/>
    <n v="9396.7800000000007"/>
    <n v="12"/>
    <x v="3"/>
    <n v="2221.31"/>
    <n v="2494.48"/>
    <s v="Returning"/>
    <n v="0.22"/>
    <s v="Bank Transfer"/>
    <s v="Online"/>
    <s v="West-David"/>
  </r>
  <r>
    <x v="64"/>
    <x v="87"/>
    <d v="2023-12-11T00:00:00"/>
    <x v="4"/>
    <s v="West"/>
    <n v="6400.11"/>
    <n v="22"/>
    <x v="2"/>
    <n v="241.85"/>
    <n v="613.09"/>
    <s v="Returning"/>
    <n v="0.06"/>
    <s v="Cash"/>
    <s v="Online"/>
    <s v="West-Alice"/>
  </r>
  <r>
    <x v="82"/>
    <x v="156"/>
    <d v="2023-06-30T00:00:00"/>
    <x v="3"/>
    <s v="North"/>
    <n v="3312.67"/>
    <n v="6"/>
    <x v="2"/>
    <n v="2522.7600000000002"/>
    <n v="2840.1400000000003"/>
    <s v="Returning"/>
    <n v="7.0000000000000007E-2"/>
    <s v="Credit Card"/>
    <s v="Retail"/>
    <s v="North-Eve"/>
  </r>
  <r>
    <x v="64"/>
    <x v="135"/>
    <d v="2023-06-19T00:00:00"/>
    <x v="1"/>
    <s v="North"/>
    <n v="2768.17"/>
    <n v="36"/>
    <x v="3"/>
    <n v="3835.64"/>
    <n v="4076.77"/>
    <s v="Returning"/>
    <n v="0.1"/>
    <s v="Credit Card"/>
    <s v="Retail"/>
    <s v="North-David"/>
  </r>
  <r>
    <x v="4"/>
    <x v="289"/>
    <d v="2023-12-22T00:00:00"/>
    <x v="4"/>
    <s v="North"/>
    <n v="1990.17"/>
    <n v="45"/>
    <x v="2"/>
    <n v="1364.51"/>
    <n v="1844.8"/>
    <s v="Returning"/>
    <n v="0.18"/>
    <s v="Cash"/>
    <s v="Online"/>
    <s v="North-Alice"/>
  </r>
  <r>
    <x v="31"/>
    <x v="326"/>
    <d v="2023-07-10T00:00:00"/>
    <x v="1"/>
    <s v="North"/>
    <n v="6976.95"/>
    <n v="36"/>
    <x v="1"/>
    <n v="4043.53"/>
    <n v="4384.8500000000004"/>
    <s v="New"/>
    <n v="0.14000000000000001"/>
    <s v="Cash"/>
    <s v="Online"/>
    <s v="North-David"/>
  </r>
  <r>
    <x v="5"/>
    <x v="327"/>
    <d v="2023-06-04T00:00:00"/>
    <x v="3"/>
    <s v="North"/>
    <n v="2265.2800000000002"/>
    <n v="22"/>
    <x v="3"/>
    <n v="1296.44"/>
    <n v="1751.24"/>
    <s v="New"/>
    <n v="0.22"/>
    <s v="Cash"/>
    <s v="Online"/>
    <s v="North-Eve"/>
  </r>
  <r>
    <x v="29"/>
    <x v="328"/>
    <d v="2023-07-07T00:00:00"/>
    <x v="2"/>
    <s v="West"/>
    <n v="5993.5"/>
    <n v="14"/>
    <x v="1"/>
    <n v="4127.54"/>
    <n v="4495.13"/>
    <s v="New"/>
    <n v="0.06"/>
    <s v="Bank Transfer"/>
    <s v="Retail"/>
    <s v="West-Charlie"/>
  </r>
  <r>
    <x v="59"/>
    <x v="329"/>
    <d v="2023-01-07T00:00:00"/>
    <x v="3"/>
    <s v="West"/>
    <n v="2719.89"/>
    <n v="16"/>
    <x v="1"/>
    <n v="472.08"/>
    <n v="842.46"/>
    <s v="New"/>
    <n v="0"/>
    <s v="Cash"/>
    <s v="Retail"/>
    <s v="West-Eve"/>
  </r>
  <r>
    <x v="8"/>
    <x v="9"/>
    <d v="2023-05-13T00:00:00"/>
    <x v="0"/>
    <s v="East"/>
    <n v="6653.49"/>
    <n v="36"/>
    <x v="2"/>
    <n v="4337.6099999999997"/>
    <n v="4386.82"/>
    <s v="Returning"/>
    <n v="0.23"/>
    <s v="Credit Card"/>
    <s v="Online"/>
    <s v="East-Bob"/>
  </r>
  <r>
    <x v="49"/>
    <x v="252"/>
    <d v="2023-08-23T00:00:00"/>
    <x v="1"/>
    <s v="East"/>
    <n v="8167.9"/>
    <n v="25"/>
    <x v="1"/>
    <n v="2520.9699999999998"/>
    <n v="2707.1099999999997"/>
    <s v="New"/>
    <n v="0.25"/>
    <s v="Cash"/>
    <s v="Retail"/>
    <s v="East-David"/>
  </r>
  <r>
    <x v="73"/>
    <x v="212"/>
    <d v="2023-02-14T00:00:00"/>
    <x v="1"/>
    <s v="South"/>
    <n v="7802.45"/>
    <n v="32"/>
    <x v="2"/>
    <n v="1517.86"/>
    <n v="1948.46"/>
    <s v="New"/>
    <n v="0.02"/>
    <s v="Credit Card"/>
    <s v="Online"/>
    <s v="South-David"/>
  </r>
  <r>
    <x v="88"/>
    <x v="307"/>
    <d v="2023-11-10T00:00:00"/>
    <x v="0"/>
    <s v="East"/>
    <n v="7632.43"/>
    <n v="33"/>
    <x v="0"/>
    <n v="1362.31"/>
    <n v="1486.29"/>
    <s v="Returning"/>
    <n v="0.18"/>
    <s v="Credit Card"/>
    <s v="Retail"/>
    <s v="East-Bob"/>
  </r>
  <r>
    <x v="94"/>
    <x v="183"/>
    <d v="2023-09-06T00:00:00"/>
    <x v="0"/>
    <s v="East"/>
    <n v="1958.45"/>
    <n v="45"/>
    <x v="2"/>
    <n v="2188.4499999999998"/>
    <n v="2255.0499999999997"/>
    <s v="New"/>
    <n v="0.11"/>
    <s v="Bank Transfer"/>
    <s v="Retail"/>
    <s v="East-Bob"/>
  </r>
  <r>
    <x v="84"/>
    <x v="136"/>
    <d v="2023-01-31T00:00:00"/>
    <x v="2"/>
    <s v="North"/>
    <n v="975.01"/>
    <n v="36"/>
    <x v="1"/>
    <n v="4995.3"/>
    <n v="5165.09"/>
    <s v="Returning"/>
    <n v="0.24"/>
    <s v="Cash"/>
    <s v="Online"/>
    <s v="North-Charlie"/>
  </r>
  <r>
    <x v="37"/>
    <x v="313"/>
    <d v="2023-01-23T00:00:00"/>
    <x v="1"/>
    <s v="North"/>
    <n v="7019.59"/>
    <n v="20"/>
    <x v="0"/>
    <n v="1140.6199999999999"/>
    <n v="1258.6299999999999"/>
    <s v="Returning"/>
    <n v="0.26"/>
    <s v="Bank Transfer"/>
    <s v="Online"/>
    <s v="North-David"/>
  </r>
  <r>
    <x v="31"/>
    <x v="113"/>
    <d v="2023-06-09T00:00:00"/>
    <x v="1"/>
    <s v="East"/>
    <n v="3746.64"/>
    <n v="18"/>
    <x v="2"/>
    <n v="560.91999999999996"/>
    <n v="1024.31"/>
    <s v="Returning"/>
    <n v="0.26"/>
    <s v="Cash"/>
    <s v="Online"/>
    <s v="East-David"/>
  </r>
  <r>
    <x v="24"/>
    <x v="236"/>
    <d v="2023-12-29T00:00:00"/>
    <x v="2"/>
    <s v="South"/>
    <n v="4380.2299999999996"/>
    <n v="38"/>
    <x v="1"/>
    <n v="2945.92"/>
    <n v="3381.2200000000003"/>
    <s v="Returning"/>
    <n v="0.23"/>
    <s v="Cash"/>
    <s v="Retail"/>
    <s v="South-Charlie"/>
  </r>
  <r>
    <x v="39"/>
    <x v="255"/>
    <d v="2023-06-07T00:00:00"/>
    <x v="4"/>
    <s v="North"/>
    <n v="408.38"/>
    <n v="3"/>
    <x v="3"/>
    <n v="2468.29"/>
    <n v="2723.13"/>
    <s v="Returning"/>
    <n v="0.08"/>
    <s v="Cash"/>
    <s v="Retail"/>
    <s v="North-Alice"/>
  </r>
  <r>
    <x v="2"/>
    <x v="74"/>
    <d v="2023-02-08T00:00:00"/>
    <x v="2"/>
    <s v="East"/>
    <n v="2669.81"/>
    <n v="23"/>
    <x v="3"/>
    <n v="2644.77"/>
    <n v="2684.83"/>
    <s v="New"/>
    <n v="0.24"/>
    <s v="Cash"/>
    <s v="Online"/>
    <s v="East-Charlie"/>
  </r>
  <r>
    <x v="96"/>
    <x v="330"/>
    <d v="2023-03-23T00:00:00"/>
    <x v="3"/>
    <s v="East"/>
    <n v="433.4"/>
    <n v="32"/>
    <x v="2"/>
    <n v="3351.33"/>
    <n v="3711.47"/>
    <s v="New"/>
    <n v="0.16"/>
    <s v="Cash"/>
    <s v="Retail"/>
    <s v="East-Eve"/>
  </r>
  <r>
    <x v="66"/>
    <x v="191"/>
    <d v="2023-12-22T00:00:00"/>
    <x v="1"/>
    <s v="West"/>
    <n v="8803.94"/>
    <n v="45"/>
    <x v="2"/>
    <n v="1372.36"/>
    <n v="1687.83"/>
    <s v="New"/>
    <n v="0.02"/>
    <s v="Credit Card"/>
    <s v="Online"/>
    <s v="West-David"/>
  </r>
  <r>
    <x v="52"/>
    <x v="265"/>
    <d v="2023-09-15T00:00:00"/>
    <x v="0"/>
    <s v="South"/>
    <n v="2509.63"/>
    <n v="16"/>
    <x v="3"/>
    <n v="4557.79"/>
    <n v="5043.3599999999997"/>
    <s v="Returning"/>
    <n v="0.14000000000000001"/>
    <s v="Credit Card"/>
    <s v="Retail"/>
    <s v="South-Bob"/>
  </r>
  <r>
    <x v="12"/>
    <x v="146"/>
    <d v="2023-07-25T00:00:00"/>
    <x v="3"/>
    <s v="West"/>
    <n v="5617.64"/>
    <n v="5"/>
    <x v="1"/>
    <n v="2206.58"/>
    <n v="2490.4699999999998"/>
    <s v="New"/>
    <n v="0.28000000000000003"/>
    <s v="Cash"/>
    <s v="Online"/>
    <s v="West-Eve"/>
  </r>
  <r>
    <x v="93"/>
    <x v="254"/>
    <d v="2023-03-18T00:00:00"/>
    <x v="1"/>
    <s v="South"/>
    <n v="485.9"/>
    <n v="4"/>
    <x v="1"/>
    <n v="688.98"/>
    <n v="863.81000000000006"/>
    <s v="New"/>
    <n v="0.27"/>
    <s v="Credit Card"/>
    <s v="Retail"/>
    <s v="South-David"/>
  </r>
  <r>
    <x v="7"/>
    <x v="331"/>
    <d v="2023-01-12T00:00:00"/>
    <x v="2"/>
    <s v="North"/>
    <n v="6701.79"/>
    <n v="21"/>
    <x v="1"/>
    <n v="3724.38"/>
    <n v="3988.7000000000003"/>
    <s v="New"/>
    <n v="0.03"/>
    <s v="Bank Transfer"/>
    <s v="Retail"/>
    <s v="North-Charlie"/>
  </r>
  <r>
    <x v="84"/>
    <x v="276"/>
    <d v="2023-10-22T00:00:00"/>
    <x v="3"/>
    <s v="South"/>
    <n v="3297.97"/>
    <n v="40"/>
    <x v="2"/>
    <n v="3233.37"/>
    <n v="3723.21"/>
    <s v="New"/>
    <n v="0.22"/>
    <s v="Bank Transfer"/>
    <s v="Retail"/>
    <s v="South-Eve"/>
  </r>
  <r>
    <x v="8"/>
    <x v="8"/>
    <d v="2023-08-12T00:00:00"/>
    <x v="1"/>
    <s v="East"/>
    <n v="8989.4"/>
    <n v="14"/>
    <x v="0"/>
    <n v="1612.93"/>
    <n v="1964.15"/>
    <s v="Returning"/>
    <n v="0.24"/>
    <s v="Bank Transfer"/>
    <s v="Retail"/>
    <s v="East-David"/>
  </r>
  <r>
    <x v="70"/>
    <x v="103"/>
    <d v="2023-01-13T00:00:00"/>
    <x v="4"/>
    <s v="East"/>
    <n v="8892.3700000000008"/>
    <n v="39"/>
    <x v="0"/>
    <n v="3126.52"/>
    <n v="3465.79"/>
    <s v="New"/>
    <n v="0.08"/>
    <s v="Cash"/>
    <s v="Online"/>
    <s v="East-Alice"/>
  </r>
  <r>
    <x v="55"/>
    <x v="293"/>
    <d v="2023-02-15T00:00:00"/>
    <x v="4"/>
    <s v="South"/>
    <n v="3320.38"/>
    <n v="31"/>
    <x v="0"/>
    <n v="1138.32"/>
    <n v="1266.25"/>
    <s v="Returning"/>
    <n v="0.14000000000000001"/>
    <s v="Cash"/>
    <s v="Retail"/>
    <s v="South-Alice"/>
  </r>
  <r>
    <x v="78"/>
    <x v="187"/>
    <d v="2023-06-04T00:00:00"/>
    <x v="0"/>
    <s v="South"/>
    <n v="9019.51"/>
    <n v="14"/>
    <x v="0"/>
    <n v="2251.9499999999998"/>
    <n v="2626.3199999999997"/>
    <s v="Returning"/>
    <n v="0.21"/>
    <s v="Credit Card"/>
    <s v="Online"/>
    <s v="South-Bob"/>
  </r>
  <r>
    <x v="93"/>
    <x v="279"/>
    <d v="2023-04-23T00:00:00"/>
    <x v="1"/>
    <s v="South"/>
    <n v="9961.9599999999991"/>
    <n v="6"/>
    <x v="0"/>
    <n v="4502.09"/>
    <n v="4879.72"/>
    <s v="New"/>
    <n v="0.13"/>
    <s v="Credit Card"/>
    <s v="Online"/>
    <s v="South-David"/>
  </r>
  <r>
    <x v="3"/>
    <x v="3"/>
    <d v="2023-08-21T00:00:00"/>
    <x v="4"/>
    <s v="West"/>
    <n v="8271.6200000000008"/>
    <n v="12"/>
    <x v="2"/>
    <n v="710.99"/>
    <n v="876.46"/>
    <s v="Returning"/>
    <n v="0.03"/>
    <s v="Credit Card"/>
    <s v="Online"/>
    <s v="West-Alice"/>
  </r>
  <r>
    <x v="21"/>
    <x v="25"/>
    <d v="2023-01-17T00:00:00"/>
    <x v="2"/>
    <s v="South"/>
    <n v="8464.23"/>
    <n v="16"/>
    <x v="2"/>
    <n v="1964.15"/>
    <n v="2211.17"/>
    <s v="Returning"/>
    <n v="0.21"/>
    <s v="Bank Transfer"/>
    <s v="Online"/>
    <s v="South-Charlie"/>
  </r>
  <r>
    <x v="11"/>
    <x v="153"/>
    <d v="2023-12-26T00:00:00"/>
    <x v="1"/>
    <s v="North"/>
    <n v="2565.19"/>
    <n v="17"/>
    <x v="0"/>
    <n v="4114.66"/>
    <n v="4269.0199999999995"/>
    <s v="Returning"/>
    <n v="0.27"/>
    <s v="Bank Transfer"/>
    <s v="Retail"/>
    <s v="North-David"/>
  </r>
  <r>
    <x v="69"/>
    <x v="100"/>
    <d v="2023-08-11T00:00:00"/>
    <x v="2"/>
    <s v="West"/>
    <n v="5809.35"/>
    <n v="45"/>
    <x v="2"/>
    <n v="4848.9799999999996"/>
    <n v="4985.75"/>
    <s v="Returning"/>
    <n v="0.2"/>
    <s v="Bank Transfer"/>
    <s v="Online"/>
    <s v="West-Charlie"/>
  </r>
  <r>
    <x v="45"/>
    <x v="56"/>
    <d v="2023-12-20T00:00:00"/>
    <x v="2"/>
    <s v="West"/>
    <n v="765.83"/>
    <n v="23"/>
    <x v="2"/>
    <n v="2296.9299999999998"/>
    <n v="2319.62"/>
    <s v="Returning"/>
    <n v="0.23"/>
    <s v="Bank Transfer"/>
    <s v="Retail"/>
    <s v="West-Charlie"/>
  </r>
  <r>
    <x v="28"/>
    <x v="33"/>
    <d v="2023-07-07T00:00:00"/>
    <x v="4"/>
    <s v="South"/>
    <n v="1039.69"/>
    <n v="14"/>
    <x v="0"/>
    <n v="2559.65"/>
    <n v="2709.4"/>
    <s v="Returning"/>
    <n v="0.11"/>
    <s v="Credit Card"/>
    <s v="Retail"/>
    <s v="South-Alice"/>
  </r>
  <r>
    <x v="49"/>
    <x v="252"/>
    <d v="2023-12-10T00:00:00"/>
    <x v="1"/>
    <s v="North"/>
    <n v="9989.0400000000009"/>
    <n v="7"/>
    <x v="1"/>
    <n v="2882.25"/>
    <n v="3163.7"/>
    <s v="Returning"/>
    <n v="0.05"/>
    <s v="Cash"/>
    <s v="Retail"/>
    <s v="North-David"/>
  </r>
  <r>
    <x v="41"/>
    <x v="67"/>
    <d v="2023-12-31T00:00:00"/>
    <x v="3"/>
    <s v="West"/>
    <n v="3333.73"/>
    <n v="46"/>
    <x v="2"/>
    <n v="4665.12"/>
    <n v="4675.8999999999996"/>
    <s v="New"/>
    <n v="0.19"/>
    <s v="Cash"/>
    <s v="Retail"/>
    <s v="West-Eve"/>
  </r>
  <r>
    <x v="45"/>
    <x v="317"/>
    <d v="2023-06-12T00:00:00"/>
    <x v="4"/>
    <s v="East"/>
    <n v="7507.02"/>
    <n v="32"/>
    <x v="1"/>
    <n v="4298.12"/>
    <n v="4446.8999999999996"/>
    <s v="New"/>
    <n v="0.1"/>
    <s v="Bank Transfer"/>
    <s v="Online"/>
    <s v="East-Alice"/>
  </r>
  <r>
    <x v="22"/>
    <x v="157"/>
    <d v="2023-11-22T00:00:00"/>
    <x v="4"/>
    <s v="West"/>
    <n v="8085.98"/>
    <n v="15"/>
    <x v="2"/>
    <n v="894.48"/>
    <n v="1336.37"/>
    <s v="Returning"/>
    <n v="0.26"/>
    <s v="Cash"/>
    <s v="Retail"/>
    <s v="West-Alice"/>
  </r>
  <r>
    <x v="19"/>
    <x v="22"/>
    <d v="2023-03-15T00:00:00"/>
    <x v="1"/>
    <s v="South"/>
    <n v="8594.43"/>
    <n v="44"/>
    <x v="2"/>
    <n v="2211.9499999999998"/>
    <n v="2512.8399999999997"/>
    <s v="Returning"/>
    <n v="0.04"/>
    <s v="Cash"/>
    <s v="Online"/>
    <s v="South-David"/>
  </r>
  <r>
    <x v="50"/>
    <x v="193"/>
    <d v="2023-08-21T00:00:00"/>
    <x v="1"/>
    <s v="North"/>
    <n v="9976.52"/>
    <n v="17"/>
    <x v="0"/>
    <n v="2346.8000000000002"/>
    <n v="2654.65"/>
    <s v="New"/>
    <n v="0.13"/>
    <s v="Cash"/>
    <s v="Retail"/>
    <s v="North-David"/>
  </r>
  <r>
    <x v="69"/>
    <x v="100"/>
    <d v="2023-08-12T00:00:00"/>
    <x v="2"/>
    <s v="South"/>
    <n v="2490.8200000000002"/>
    <n v="41"/>
    <x v="2"/>
    <n v="3956.03"/>
    <n v="4163.68"/>
    <s v="New"/>
    <n v="0.12"/>
    <s v="Bank Transfer"/>
    <s v="Retail"/>
    <s v="South-Charlie"/>
  </r>
  <r>
    <x v="28"/>
    <x v="53"/>
    <d v="2023-11-15T00:00:00"/>
    <x v="1"/>
    <s v="East"/>
    <n v="499.47"/>
    <n v="47"/>
    <x v="3"/>
    <n v="3034.32"/>
    <n v="3375.79"/>
    <s v="New"/>
    <n v="0.28000000000000003"/>
    <s v="Credit Card"/>
    <s v="Online"/>
    <s v="East-David"/>
  </r>
  <r>
    <x v="62"/>
    <x v="332"/>
    <d v="2023-03-01T00:00:00"/>
    <x v="2"/>
    <s v="East"/>
    <n v="4170.8"/>
    <n v="44"/>
    <x v="3"/>
    <n v="3288.39"/>
    <n v="3391.46"/>
    <s v="New"/>
    <n v="0.05"/>
    <s v="Credit Card"/>
    <s v="Retail"/>
    <s v="East-Charlie"/>
  </r>
  <r>
    <x v="10"/>
    <x v="71"/>
    <d v="2023-12-01T00:00:00"/>
    <x v="4"/>
    <s v="East"/>
    <n v="1387.8"/>
    <n v="34"/>
    <x v="0"/>
    <n v="4991.09"/>
    <n v="5402.28"/>
    <s v="Returning"/>
    <n v="0"/>
    <s v="Cash"/>
    <s v="Retail"/>
    <s v="East-Alice"/>
  </r>
  <r>
    <x v="18"/>
    <x v="333"/>
    <d v="2023-08-10T00:00:00"/>
    <x v="0"/>
    <s v="South"/>
    <n v="322.02"/>
    <n v="5"/>
    <x v="1"/>
    <n v="421.05"/>
    <n v="488.23"/>
    <s v="Returning"/>
    <n v="7.0000000000000007E-2"/>
    <s v="Credit Card"/>
    <s v="Retail"/>
    <s v="South-Bob"/>
  </r>
  <r>
    <x v="75"/>
    <x v="116"/>
    <d v="2023-02-06T00:00:00"/>
    <x v="3"/>
    <s v="West"/>
    <n v="3668.23"/>
    <n v="45"/>
    <x v="1"/>
    <n v="1153.9000000000001"/>
    <n v="1485.3400000000001"/>
    <s v="New"/>
    <n v="0.25"/>
    <s v="Credit Card"/>
    <s v="Retail"/>
    <s v="West-Eve"/>
  </r>
  <r>
    <x v="53"/>
    <x v="66"/>
    <d v="2023-10-05T00:00:00"/>
    <x v="4"/>
    <s v="South"/>
    <n v="7859.01"/>
    <n v="27"/>
    <x v="1"/>
    <n v="2069.08"/>
    <n v="2246.2399999999998"/>
    <s v="New"/>
    <n v="0.06"/>
    <s v="Bank Transfer"/>
    <s v="Retail"/>
    <s v="South-Alice"/>
  </r>
  <r>
    <x v="90"/>
    <x v="248"/>
    <d v="2023-07-15T00:00:00"/>
    <x v="1"/>
    <s v="North"/>
    <n v="5705.19"/>
    <n v="23"/>
    <x v="3"/>
    <n v="1771.52"/>
    <n v="2147.8000000000002"/>
    <s v="New"/>
    <n v="7.0000000000000007E-2"/>
    <s v="Bank Transfer"/>
    <s v="Online"/>
    <s v="North-David"/>
  </r>
  <r>
    <x v="35"/>
    <x v="301"/>
    <d v="2023-12-18T00:00:00"/>
    <x v="3"/>
    <s v="West"/>
    <n v="3196.5"/>
    <n v="40"/>
    <x v="1"/>
    <n v="157.15"/>
    <n v="436.53"/>
    <s v="New"/>
    <n v="0.04"/>
    <s v="Cash"/>
    <s v="Retail"/>
    <s v="West-Eve"/>
  </r>
  <r>
    <x v="20"/>
    <x v="224"/>
    <d v="2023-08-30T00:00:00"/>
    <x v="0"/>
    <s v="East"/>
    <n v="6577.99"/>
    <n v="14"/>
    <x v="1"/>
    <n v="504.3"/>
    <n v="735.95"/>
    <s v="Returning"/>
    <n v="0.21"/>
    <s v="Cash"/>
    <s v="Retail"/>
    <s v="East-Bob"/>
  </r>
  <r>
    <x v="42"/>
    <x v="52"/>
    <d v="2023-11-20T00:00:00"/>
    <x v="0"/>
    <s v="South"/>
    <n v="2396.98"/>
    <n v="15"/>
    <x v="0"/>
    <n v="3420.72"/>
    <n v="3513.74"/>
    <s v="New"/>
    <n v="0.02"/>
    <s v="Cash"/>
    <s v="Online"/>
    <s v="South-Bob"/>
  </r>
  <r>
    <x v="77"/>
    <x v="334"/>
    <d v="2023-08-07T00:00:00"/>
    <x v="2"/>
    <s v="East"/>
    <n v="242.38"/>
    <n v="43"/>
    <x v="1"/>
    <n v="4402.66"/>
    <n v="4724.7"/>
    <s v="New"/>
    <n v="0.1"/>
    <s v="Bank Transfer"/>
    <s v="Retail"/>
    <s v="East-Charlie"/>
  </r>
  <r>
    <x v="28"/>
    <x v="53"/>
    <d v="2023-07-11T00:00:00"/>
    <x v="3"/>
    <s v="East"/>
    <n v="7667.1"/>
    <n v="33"/>
    <x v="3"/>
    <n v="2595.42"/>
    <n v="3083.06"/>
    <s v="New"/>
    <n v="0.08"/>
    <s v="Credit Card"/>
    <s v="Online"/>
    <s v="East-Eve"/>
  </r>
  <r>
    <x v="63"/>
    <x v="277"/>
    <d v="2023-01-17T00:00:00"/>
    <x v="2"/>
    <s v="North"/>
    <n v="6275.06"/>
    <n v="31"/>
    <x v="3"/>
    <n v="2719"/>
    <n v="3133.55"/>
    <s v="Returning"/>
    <n v="0.17"/>
    <s v="Bank Transfer"/>
    <s v="Retail"/>
    <s v="North-Charlie"/>
  </r>
  <r>
    <x v="81"/>
    <x v="128"/>
    <d v="2023-01-12T00:00:00"/>
    <x v="4"/>
    <s v="West"/>
    <n v="7646.8"/>
    <n v="35"/>
    <x v="3"/>
    <n v="1312.71"/>
    <n v="1352.1100000000001"/>
    <s v="Returning"/>
    <n v="0.22"/>
    <s v="Bank Transfer"/>
    <s v="Retail"/>
    <s v="West-Alice"/>
  </r>
  <r>
    <x v="98"/>
    <x v="245"/>
    <d v="2023-07-12T00:00:00"/>
    <x v="3"/>
    <s v="North"/>
    <n v="485.49"/>
    <n v="17"/>
    <x v="0"/>
    <n v="3850.99"/>
    <n v="4045.3399999999997"/>
    <s v="Returning"/>
    <n v="0.16"/>
    <s v="Credit Card"/>
    <s v="Online"/>
    <s v="North-Eve"/>
  </r>
  <r>
    <x v="46"/>
    <x v="217"/>
    <d v="2023-01-22T00:00:00"/>
    <x v="4"/>
    <s v="North"/>
    <n v="8387.48"/>
    <n v="28"/>
    <x v="0"/>
    <n v="3771.38"/>
    <n v="4234.92"/>
    <s v="New"/>
    <n v="0.28000000000000003"/>
    <s v="Credit Card"/>
    <s v="Retail"/>
    <s v="North-Alice"/>
  </r>
  <r>
    <x v="51"/>
    <x v="335"/>
    <d v="2023-04-30T00:00:00"/>
    <x v="2"/>
    <s v="North"/>
    <n v="6233.31"/>
    <n v="19"/>
    <x v="2"/>
    <n v="2962.41"/>
    <n v="3218.8999999999996"/>
    <s v="New"/>
    <n v="0.28999999999999998"/>
    <s v="Cash"/>
    <s v="Retail"/>
    <s v="North-Charlie"/>
  </r>
  <r>
    <x v="60"/>
    <x v="336"/>
    <d v="2023-07-29T00:00:00"/>
    <x v="3"/>
    <s v="East"/>
    <n v="5677.61"/>
    <n v="46"/>
    <x v="1"/>
    <n v="1102.69"/>
    <n v="1437.1200000000001"/>
    <s v="New"/>
    <n v="0.11"/>
    <s v="Credit Card"/>
    <s v="Online"/>
    <s v="East-Eve"/>
  </r>
  <r>
    <x v="91"/>
    <x v="203"/>
    <d v="2023-11-02T00:00:00"/>
    <x v="2"/>
    <s v="North"/>
    <n v="6283.68"/>
    <n v="23"/>
    <x v="0"/>
    <n v="530.24"/>
    <n v="987.41000000000008"/>
    <s v="Returning"/>
    <n v="0.23"/>
    <s v="Credit Card"/>
    <s v="Online"/>
    <s v="North-Charlie"/>
  </r>
  <r>
    <x v="31"/>
    <x v="38"/>
    <d v="2023-09-27T00:00:00"/>
    <x v="3"/>
    <s v="North"/>
    <n v="8657.89"/>
    <n v="32"/>
    <x v="3"/>
    <n v="367.98"/>
    <n v="806.1400000000001"/>
    <s v="Returning"/>
    <n v="0.22"/>
    <s v="Credit Card"/>
    <s v="Retail"/>
    <s v="North-Eve"/>
  </r>
  <r>
    <x v="97"/>
    <x v="243"/>
    <d v="2023-07-11T00:00:00"/>
    <x v="2"/>
    <s v="West"/>
    <n v="5910.67"/>
    <n v="40"/>
    <x v="3"/>
    <n v="2983.85"/>
    <n v="3239.74"/>
    <s v="New"/>
    <n v="0.27"/>
    <s v="Credit Card"/>
    <s v="Online"/>
    <s v="West-Charlie"/>
  </r>
  <r>
    <x v="83"/>
    <x v="133"/>
    <d v="2023-06-24T00:00:00"/>
    <x v="0"/>
    <s v="West"/>
    <n v="5851.41"/>
    <n v="13"/>
    <x v="0"/>
    <n v="4133.92"/>
    <n v="4358.37"/>
    <s v="New"/>
    <n v="0.13"/>
    <s v="Cash"/>
    <s v="Retail"/>
    <s v="West-Bob"/>
  </r>
  <r>
    <x v="99"/>
    <x v="281"/>
    <d v="2023-10-12T00:00:00"/>
    <x v="2"/>
    <s v="North"/>
    <n v="9907.7199999999993"/>
    <n v="20"/>
    <x v="0"/>
    <n v="4298.74"/>
    <n v="4475.1899999999996"/>
    <s v="Returning"/>
    <n v="0.16"/>
    <s v="Cash"/>
    <s v="Online"/>
    <s v="North-Charlie"/>
  </r>
  <r>
    <x v="87"/>
    <x v="173"/>
    <d v="2023-07-23T00:00:00"/>
    <x v="0"/>
    <s v="West"/>
    <n v="7591.63"/>
    <n v="35"/>
    <x v="0"/>
    <n v="2344.9299999999998"/>
    <n v="2707.25"/>
    <s v="New"/>
    <n v="0.12"/>
    <s v="Credit Card"/>
    <s v="Retail"/>
    <s v="West-Bob"/>
  </r>
  <r>
    <x v="16"/>
    <x v="18"/>
    <d v="2023-06-13T00:00:00"/>
    <x v="2"/>
    <s v="West"/>
    <n v="4478.71"/>
    <n v="5"/>
    <x v="2"/>
    <n v="3932.14"/>
    <n v="4082.7599999999998"/>
    <s v="New"/>
    <n v="0.26"/>
    <s v="Credit Card"/>
    <s v="Online"/>
    <s v="West-Charlie"/>
  </r>
  <r>
    <x v="68"/>
    <x v="99"/>
    <d v="2023-09-08T00:00:00"/>
    <x v="3"/>
    <s v="North"/>
    <n v="7103.23"/>
    <n v="9"/>
    <x v="3"/>
    <n v="4737.0600000000004"/>
    <n v="4869.5"/>
    <s v="New"/>
    <n v="7.0000000000000007E-2"/>
    <s v="Cash"/>
    <s v="Online"/>
    <s v="North-Eve"/>
  </r>
  <r>
    <x v="20"/>
    <x v="104"/>
    <d v="2023-08-15T00:00:00"/>
    <x v="3"/>
    <s v="East"/>
    <n v="3953.38"/>
    <n v="29"/>
    <x v="2"/>
    <n v="1412.09"/>
    <n v="1596.6499999999999"/>
    <s v="Returning"/>
    <n v="7.0000000000000007E-2"/>
    <s v="Cash"/>
    <s v="Online"/>
    <s v="East-Eve"/>
  </r>
  <r>
    <x v="65"/>
    <x v="291"/>
    <d v="2023-01-07T00:00:00"/>
    <x v="3"/>
    <s v="North"/>
    <n v="2365.87"/>
    <n v="6"/>
    <x v="2"/>
    <n v="2019.9"/>
    <n v="2116.7400000000002"/>
    <s v="New"/>
    <n v="0.11"/>
    <s v="Credit Card"/>
    <s v="Online"/>
    <s v="North-Eve"/>
  </r>
  <r>
    <x v="37"/>
    <x v="337"/>
    <d v="2023-01-29T00:00:00"/>
    <x v="1"/>
    <s v="West"/>
    <n v="6008.83"/>
    <n v="25"/>
    <x v="1"/>
    <n v="4660.82"/>
    <n v="5011.4299999999994"/>
    <s v="New"/>
    <n v="7.0000000000000007E-2"/>
    <s v="Bank Transfer"/>
    <s v="Online"/>
    <s v="West-David"/>
  </r>
  <r>
    <x v="78"/>
    <x v="120"/>
    <d v="2023-02-02T00:00:00"/>
    <x v="4"/>
    <s v="East"/>
    <n v="9289"/>
    <n v="31"/>
    <x v="3"/>
    <n v="1724.24"/>
    <n v="2036.2"/>
    <s v="New"/>
    <n v="0.17"/>
    <s v="Cash"/>
    <s v="Online"/>
    <s v="East-Alice"/>
  </r>
  <r>
    <x v="24"/>
    <x v="306"/>
    <d v="2023-05-14T00:00:00"/>
    <x v="3"/>
    <s v="South"/>
    <n v="9298.48"/>
    <n v="22"/>
    <x v="3"/>
    <n v="4573.6899999999996"/>
    <n v="4820.2999999999993"/>
    <s v="New"/>
    <n v="0.04"/>
    <s v="Cash"/>
    <s v="Online"/>
    <s v="South-Eve"/>
  </r>
  <r>
    <x v="67"/>
    <x v="95"/>
    <d v="2023-03-20T00:00:00"/>
    <x v="0"/>
    <s v="East"/>
    <n v="3484.86"/>
    <n v="2"/>
    <x v="0"/>
    <n v="4906.17"/>
    <n v="5107.43"/>
    <s v="Returning"/>
    <n v="0.1"/>
    <s v="Cash"/>
    <s v="Online"/>
    <s v="East-Bob"/>
  </r>
  <r>
    <x v="59"/>
    <x v="78"/>
    <d v="2023-02-27T00:00:00"/>
    <x v="3"/>
    <s v="West"/>
    <n v="5324.01"/>
    <n v="45"/>
    <x v="0"/>
    <n v="3325.96"/>
    <n v="3781.4"/>
    <s v="Returning"/>
    <n v="0.27"/>
    <s v="Credit Card"/>
    <s v="Online"/>
    <s v="West-Eve"/>
  </r>
  <r>
    <x v="61"/>
    <x v="338"/>
    <d v="2023-01-26T00:00:00"/>
    <x v="1"/>
    <s v="East"/>
    <n v="2195.1999999999998"/>
    <n v="5"/>
    <x v="1"/>
    <n v="4093.61"/>
    <n v="4117.88"/>
    <s v="Returning"/>
    <n v="0.12"/>
    <s v="Credit Card"/>
    <s v="Retail"/>
    <s v="East-David"/>
  </r>
  <r>
    <x v="53"/>
    <x v="119"/>
    <d v="2023-08-14T00:00:00"/>
    <x v="0"/>
    <s v="North"/>
    <n v="9956.75"/>
    <n v="27"/>
    <x v="2"/>
    <n v="3760.25"/>
    <n v="4147.1099999999997"/>
    <s v="New"/>
    <n v="0.22"/>
    <s v="Cash"/>
    <s v="Online"/>
    <s v="North-Bob"/>
  </r>
  <r>
    <x v="23"/>
    <x v="28"/>
    <d v="2023-10-12T00:00:00"/>
    <x v="1"/>
    <s v="South"/>
    <n v="9813.07"/>
    <n v="25"/>
    <x v="0"/>
    <n v="3512.69"/>
    <n v="3964.63"/>
    <s v="Returning"/>
    <n v="0.03"/>
    <s v="Credit Card"/>
    <s v="Retail"/>
    <s v="South-David"/>
  </r>
  <r>
    <x v="74"/>
    <x v="339"/>
    <d v="2023-01-04T00:00:00"/>
    <x v="0"/>
    <s v="South"/>
    <n v="6530.14"/>
    <n v="8"/>
    <x v="0"/>
    <n v="1569.31"/>
    <n v="1798.02"/>
    <s v="New"/>
    <n v="7.0000000000000007E-2"/>
    <s v="Credit Card"/>
    <s v="Online"/>
    <s v="South-Bob"/>
  </r>
  <r>
    <x v="26"/>
    <x v="155"/>
    <d v="2023-04-09T00:00:00"/>
    <x v="2"/>
    <s v="South"/>
    <n v="8063.7"/>
    <n v="1"/>
    <x v="3"/>
    <n v="332.62"/>
    <n v="612.46"/>
    <s v="Returning"/>
    <n v="0.24"/>
    <s v="Cash"/>
    <s v="Retail"/>
    <s v="South-Charlie"/>
  </r>
  <r>
    <x v="75"/>
    <x v="247"/>
    <d v="2023-02-08T00:00:00"/>
    <x v="4"/>
    <s v="West"/>
    <n v="7179.49"/>
    <n v="20"/>
    <x v="3"/>
    <n v="1748.11"/>
    <n v="2220.9"/>
    <s v="New"/>
    <n v="0.23"/>
    <s v="Credit Card"/>
    <s v="Retail"/>
    <s v="West-Alice"/>
  </r>
  <r>
    <x v="24"/>
    <x v="29"/>
    <d v="2023-09-28T00:00:00"/>
    <x v="4"/>
    <s v="West"/>
    <n v="5972.27"/>
    <n v="44"/>
    <x v="0"/>
    <n v="3351.33"/>
    <n v="3465.35"/>
    <s v="Returning"/>
    <n v="0.12"/>
    <s v="Bank Transfer"/>
    <s v="Online"/>
    <s v="West-Alice"/>
  </r>
  <r>
    <x v="77"/>
    <x v="145"/>
    <d v="2023-10-12T00:00:00"/>
    <x v="1"/>
    <s v="South"/>
    <n v="628.15"/>
    <n v="23"/>
    <x v="3"/>
    <n v="557.52"/>
    <n v="822.39"/>
    <s v="Returning"/>
    <n v="0.28999999999999998"/>
    <s v="Credit Card"/>
    <s v="Online"/>
    <s v="South-David"/>
  </r>
  <r>
    <x v="20"/>
    <x v="224"/>
    <d v="2023-06-06T00:00:00"/>
    <x v="4"/>
    <s v="East"/>
    <n v="4602.17"/>
    <n v="32"/>
    <x v="1"/>
    <n v="108.99"/>
    <n v="351.6"/>
    <s v="Returning"/>
    <n v="0.27"/>
    <s v="Credit Card"/>
    <s v="Retail"/>
    <s v="East-Alice"/>
  </r>
  <r>
    <x v="92"/>
    <x v="177"/>
    <d v="2023-03-16T00:00:00"/>
    <x v="1"/>
    <s v="South"/>
    <n v="6780.38"/>
    <n v="11"/>
    <x v="0"/>
    <n v="741.48"/>
    <n v="878.09"/>
    <s v="New"/>
    <n v="0.28999999999999998"/>
    <s v="Cash"/>
    <s v="Retail"/>
    <s v="South-David"/>
  </r>
  <r>
    <x v="73"/>
    <x v="198"/>
    <d v="2023-10-15T00:00:00"/>
    <x v="1"/>
    <s v="East"/>
    <n v="6807.56"/>
    <n v="39"/>
    <x v="3"/>
    <n v="3592.89"/>
    <n v="4004"/>
    <s v="New"/>
    <n v="0.13"/>
    <s v="Cash"/>
    <s v="Online"/>
    <s v="East-David"/>
  </r>
  <r>
    <x v="66"/>
    <x v="167"/>
    <d v="2023-05-10T00:00:00"/>
    <x v="1"/>
    <s v="East"/>
    <n v="3793.91"/>
    <n v="47"/>
    <x v="1"/>
    <n v="4865.33"/>
    <n v="5316.13"/>
    <s v="New"/>
    <n v="0.06"/>
    <s v="Bank Transfer"/>
    <s v="Online"/>
    <s v="East-David"/>
  </r>
  <r>
    <x v="5"/>
    <x v="327"/>
    <d v="2023-06-24T00:00:00"/>
    <x v="4"/>
    <s v="West"/>
    <n v="9422.75"/>
    <n v="24"/>
    <x v="3"/>
    <n v="4916.17"/>
    <n v="5309.32"/>
    <s v="Returning"/>
    <n v="0.19"/>
    <s v="Credit Card"/>
    <s v="Online"/>
    <s v="West-Alice"/>
  </r>
  <r>
    <x v="33"/>
    <x v="270"/>
    <d v="2023-03-25T00:00:00"/>
    <x v="1"/>
    <s v="East"/>
    <n v="1756.83"/>
    <n v="11"/>
    <x v="3"/>
    <n v="2495.1999999999998"/>
    <n v="2600.9299999999998"/>
    <s v="New"/>
    <n v="0.21"/>
    <s v="Bank Transfer"/>
    <s v="Retail"/>
    <s v="East-David"/>
  </r>
  <r>
    <x v="51"/>
    <x v="137"/>
    <d v="2023-01-22T00:00:00"/>
    <x v="4"/>
    <s v="South"/>
    <n v="5053.5600000000004"/>
    <n v="29"/>
    <x v="3"/>
    <n v="4353.29"/>
    <n v="4405.8"/>
    <s v="New"/>
    <n v="0.04"/>
    <s v="Bank Transfer"/>
    <s v="Online"/>
    <s v="South-Alice"/>
  </r>
  <r>
    <x v="28"/>
    <x v="33"/>
    <d v="2023-01-27T00:00:00"/>
    <x v="1"/>
    <s v="West"/>
    <n v="6939.75"/>
    <n v="26"/>
    <x v="0"/>
    <n v="3697.29"/>
    <n v="4003.96"/>
    <s v="New"/>
    <n v="0.24"/>
    <s v="Cash"/>
    <s v="Online"/>
    <s v="West-David"/>
  </r>
  <r>
    <x v="48"/>
    <x v="340"/>
    <d v="2023-07-14T00:00:00"/>
    <x v="3"/>
    <s v="North"/>
    <n v="7001.64"/>
    <n v="16"/>
    <x v="2"/>
    <n v="2530.15"/>
    <n v="2568.13"/>
    <s v="New"/>
    <n v="0.01"/>
    <s v="Credit Card"/>
    <s v="Online"/>
    <s v="North-Eve"/>
  </r>
  <r>
    <x v="91"/>
    <x v="235"/>
    <d v="2023-12-03T00:00:00"/>
    <x v="1"/>
    <s v="North"/>
    <n v="6521.53"/>
    <n v="35"/>
    <x v="3"/>
    <n v="2885.16"/>
    <n v="3224.8399999999997"/>
    <s v="New"/>
    <n v="0.14000000000000001"/>
    <s v="Cash"/>
    <s v="Online"/>
    <s v="North-David"/>
  </r>
  <r>
    <x v="56"/>
    <x v="308"/>
    <d v="2023-08-24T00:00:00"/>
    <x v="0"/>
    <s v="West"/>
    <n v="2825.35"/>
    <n v="20"/>
    <x v="1"/>
    <n v="729.27"/>
    <n v="999.18000000000006"/>
    <s v="New"/>
    <n v="0.1"/>
    <s v="Bank Transfer"/>
    <s v="Online"/>
    <s v="West-Bob"/>
  </r>
  <r>
    <x v="68"/>
    <x v="315"/>
    <d v="2023-04-02T00:00:00"/>
    <x v="1"/>
    <s v="South"/>
    <n v="1646.45"/>
    <n v="46"/>
    <x v="0"/>
    <n v="4691.42"/>
    <n v="5026.1900000000005"/>
    <s v="Returning"/>
    <n v="0.22"/>
    <s v="Bank Transfer"/>
    <s v="Retail"/>
    <s v="South-David"/>
  </r>
  <r>
    <x v="12"/>
    <x v="13"/>
    <d v="2023-01-21T00:00:00"/>
    <x v="2"/>
    <s v="North"/>
    <n v="6395.81"/>
    <n v="3"/>
    <x v="0"/>
    <n v="1792.05"/>
    <n v="2091.23"/>
    <s v="Returning"/>
    <n v="0.09"/>
    <s v="Cash"/>
    <s v="Retail"/>
    <s v="North-Charlie"/>
  </r>
  <r>
    <x v="14"/>
    <x v="341"/>
    <d v="2023-10-30T00:00:00"/>
    <x v="1"/>
    <s v="North"/>
    <n v="6033.09"/>
    <n v="1"/>
    <x v="1"/>
    <n v="2258.44"/>
    <n v="2475.56"/>
    <s v="New"/>
    <n v="0.25"/>
    <s v="Cash"/>
    <s v="Online"/>
    <s v="North-David"/>
  </r>
  <r>
    <x v="71"/>
    <x v="194"/>
    <d v="2023-12-23T00:00:00"/>
    <x v="0"/>
    <s v="East"/>
    <n v="1875.62"/>
    <n v="47"/>
    <x v="3"/>
    <n v="3374.72"/>
    <n v="3483.1499999999996"/>
    <s v="Returning"/>
    <n v="0.18"/>
    <s v="Cash"/>
    <s v="Online"/>
    <s v="East-Bob"/>
  </r>
  <r>
    <x v="14"/>
    <x v="81"/>
    <d v="2023-03-25T00:00:00"/>
    <x v="0"/>
    <s v="East"/>
    <n v="7080.88"/>
    <n v="1"/>
    <x v="2"/>
    <n v="1702.82"/>
    <n v="1862.61"/>
    <s v="Returning"/>
    <n v="0.24"/>
    <s v="Cash"/>
    <s v="Retail"/>
    <s v="East-Bob"/>
  </r>
  <r>
    <x v="72"/>
    <x v="303"/>
    <d v="2023-09-19T00:00:00"/>
    <x v="4"/>
    <s v="South"/>
    <n v="4606.2"/>
    <n v="17"/>
    <x v="3"/>
    <n v="1308.58"/>
    <n v="1575.59"/>
    <s v="New"/>
    <n v="0.3"/>
    <s v="Cash"/>
    <s v="Online"/>
    <s v="South-Alice"/>
  </r>
  <r>
    <x v="55"/>
    <x v="70"/>
    <d v="2023-05-27T00:00:00"/>
    <x v="3"/>
    <s v="West"/>
    <n v="6710.83"/>
    <n v="2"/>
    <x v="1"/>
    <n v="3173.69"/>
    <n v="3503.11"/>
    <s v="New"/>
    <n v="0.2"/>
    <s v="Bank Transfer"/>
    <s v="Retail"/>
    <s v="West-Eve"/>
  </r>
  <r>
    <x v="55"/>
    <x v="293"/>
    <d v="2023-09-14T00:00:00"/>
    <x v="1"/>
    <s v="South"/>
    <n v="8389.93"/>
    <n v="29"/>
    <x v="0"/>
    <n v="173.67"/>
    <n v="565.62"/>
    <s v="Returning"/>
    <n v="0.3"/>
    <s v="Cash"/>
    <s v="Online"/>
    <s v="South-David"/>
  </r>
  <r>
    <x v="6"/>
    <x v="309"/>
    <d v="2023-02-27T00:00:00"/>
    <x v="4"/>
    <s v="West"/>
    <n v="1780.31"/>
    <n v="20"/>
    <x v="2"/>
    <n v="3617.59"/>
    <n v="4003.5"/>
    <s v="New"/>
    <n v="0.01"/>
    <s v="Credit Card"/>
    <s v="Retail"/>
    <s v="West-Alice"/>
  </r>
  <r>
    <x v="90"/>
    <x v="223"/>
    <d v="2023-01-15T00:00:00"/>
    <x v="3"/>
    <s v="North"/>
    <n v="289.52999999999997"/>
    <n v="6"/>
    <x v="0"/>
    <n v="2594.42"/>
    <n v="3081.04"/>
    <s v="Returning"/>
    <n v="0.1"/>
    <s v="Bank Transfer"/>
    <s v="Retail"/>
    <s v="North-Eve"/>
  </r>
  <r>
    <x v="59"/>
    <x v="329"/>
    <d v="2023-06-11T00:00:00"/>
    <x v="1"/>
    <s v="East"/>
    <n v="7813.12"/>
    <n v="8"/>
    <x v="1"/>
    <n v="3048.48"/>
    <n v="3198.54"/>
    <s v="Returning"/>
    <n v="0.03"/>
    <s v="Bank Transfer"/>
    <s v="Online"/>
    <s v="East-David"/>
  </r>
  <r>
    <x v="47"/>
    <x v="342"/>
    <d v="2023-06-12T00:00:00"/>
    <x v="2"/>
    <s v="South"/>
    <n v="6136"/>
    <n v="29"/>
    <x v="3"/>
    <n v="3177.81"/>
    <n v="3222.65"/>
    <s v="Returning"/>
    <n v="0.08"/>
    <s v="Credit Card"/>
    <s v="Retail"/>
    <s v="South-Charlie"/>
  </r>
  <r>
    <x v="35"/>
    <x v="102"/>
    <d v="2023-11-16T00:00:00"/>
    <x v="1"/>
    <s v="South"/>
    <n v="7026.43"/>
    <n v="48"/>
    <x v="2"/>
    <n v="2658.9"/>
    <n v="2838.27"/>
    <s v="New"/>
    <n v="0.25"/>
    <s v="Credit Card"/>
    <s v="Online"/>
    <s v="South-David"/>
  </r>
  <r>
    <x v="66"/>
    <x v="144"/>
    <d v="2023-10-08T00:00:00"/>
    <x v="0"/>
    <s v="West"/>
    <n v="8397.73"/>
    <n v="33"/>
    <x v="0"/>
    <n v="2933.54"/>
    <n v="3307.75"/>
    <s v="Returning"/>
    <n v="0.01"/>
    <s v="Bank Transfer"/>
    <s v="Retail"/>
    <s v="West-Bob"/>
  </r>
  <r>
    <x v="32"/>
    <x v="261"/>
    <d v="2023-10-07T00:00:00"/>
    <x v="0"/>
    <s v="West"/>
    <n v="8047.83"/>
    <n v="3"/>
    <x v="0"/>
    <n v="3434.75"/>
    <n v="3659.42"/>
    <s v="New"/>
    <n v="0.16"/>
    <s v="Cash"/>
    <s v="Online"/>
    <s v="West-Bob"/>
  </r>
  <r>
    <x v="64"/>
    <x v="343"/>
    <d v="2023-01-12T00:00:00"/>
    <x v="2"/>
    <s v="South"/>
    <n v="9613.11"/>
    <n v="35"/>
    <x v="0"/>
    <n v="3777.94"/>
    <n v="4188.66"/>
    <s v="New"/>
    <n v="0.17"/>
    <s v="Bank Transfer"/>
    <s v="Online"/>
    <s v="South-Charlie"/>
  </r>
  <r>
    <x v="77"/>
    <x v="145"/>
    <d v="2023-10-01T00:00:00"/>
    <x v="4"/>
    <s v="West"/>
    <n v="5405.76"/>
    <n v="5"/>
    <x v="3"/>
    <n v="3650.89"/>
    <n v="3930.06"/>
    <s v="New"/>
    <n v="0.17"/>
    <s v="Bank Transfer"/>
    <s v="Online"/>
    <s v="West-Alice"/>
  </r>
  <r>
    <x v="38"/>
    <x v="62"/>
    <d v="2023-09-28T00:00:00"/>
    <x v="3"/>
    <s v="South"/>
    <n v="4936.1099999999997"/>
    <n v="27"/>
    <x v="2"/>
    <n v="4354.6000000000004"/>
    <n v="4820.2000000000007"/>
    <s v="New"/>
    <n v="0.14000000000000001"/>
    <s v="Credit Card"/>
    <s v="Retail"/>
    <s v="South-Eve"/>
  </r>
  <r>
    <x v="30"/>
    <x v="142"/>
    <d v="2023-07-27T00:00:00"/>
    <x v="1"/>
    <s v="South"/>
    <n v="4078.68"/>
    <n v="44"/>
    <x v="3"/>
    <n v="987.74"/>
    <n v="1462.19"/>
    <s v="New"/>
    <n v="0.24"/>
    <s v="Bank Transfer"/>
    <s v="Online"/>
    <s v="South-David"/>
  </r>
  <r>
    <x v="65"/>
    <x v="344"/>
    <d v="2023-01-27T00:00:00"/>
    <x v="0"/>
    <s v="South"/>
    <n v="1621.54"/>
    <n v="12"/>
    <x v="3"/>
    <n v="2035.68"/>
    <n v="2079.64"/>
    <s v="Returning"/>
    <n v="0.04"/>
    <s v="Cash"/>
    <s v="Online"/>
    <s v="South-Bob"/>
  </r>
  <r>
    <x v="82"/>
    <x v="129"/>
    <d v="2023-03-13T00:00:00"/>
    <x v="4"/>
    <s v="North"/>
    <n v="5768.81"/>
    <n v="20"/>
    <x v="3"/>
    <n v="4741.59"/>
    <n v="4975.2300000000005"/>
    <s v="New"/>
    <n v="0.09"/>
    <s v="Credit Card"/>
    <s v="Online"/>
    <s v="North-Alice"/>
  </r>
  <r>
    <x v="54"/>
    <x v="297"/>
    <d v="2023-03-01T00:00:00"/>
    <x v="2"/>
    <s v="West"/>
    <n v="2842.42"/>
    <n v="45"/>
    <x v="1"/>
    <n v="2013.12"/>
    <n v="2321.87"/>
    <s v="New"/>
    <n v="0.18"/>
    <s v="Bank Transfer"/>
    <s v="Retail"/>
    <s v="West-Charlie"/>
  </r>
  <r>
    <x v="28"/>
    <x v="141"/>
    <d v="2023-05-25T00:00:00"/>
    <x v="0"/>
    <s v="East"/>
    <n v="9220.94"/>
    <n v="20"/>
    <x v="1"/>
    <n v="668.11"/>
    <n v="803.49"/>
    <s v="New"/>
    <n v="0.21"/>
    <s v="Bank Transfer"/>
    <s v="Online"/>
    <s v="East-Bob"/>
  </r>
  <r>
    <x v="56"/>
    <x v="308"/>
    <d v="2023-04-03T00:00:00"/>
    <x v="2"/>
    <s v="East"/>
    <n v="5873.59"/>
    <n v="9"/>
    <x v="1"/>
    <n v="2650.95"/>
    <n v="2860.4199999999996"/>
    <s v="New"/>
    <n v="0.12"/>
    <s v="Cash"/>
    <s v="Retail"/>
    <s v="East-Charlie"/>
  </r>
  <r>
    <x v="3"/>
    <x v="3"/>
    <d v="2023-11-05T00:00:00"/>
    <x v="1"/>
    <s v="West"/>
    <n v="5969.12"/>
    <n v="39"/>
    <x v="2"/>
    <n v="591.98"/>
    <n v="934.04"/>
    <s v="New"/>
    <n v="0.26"/>
    <s v="Bank Transfer"/>
    <s v="Retail"/>
    <s v="West-David"/>
  </r>
  <r>
    <x v="36"/>
    <x v="280"/>
    <d v="2023-01-08T00:00:00"/>
    <x v="3"/>
    <s v="South"/>
    <n v="3613.75"/>
    <n v="4"/>
    <x v="3"/>
    <n v="1054.1199999999999"/>
    <n v="1175.2199999999998"/>
    <s v="Returning"/>
    <n v="0.12"/>
    <s v="Bank Transfer"/>
    <s v="Retail"/>
    <s v="South-Eve"/>
  </r>
  <r>
    <x v="61"/>
    <x v="83"/>
    <d v="2023-03-20T00:00:00"/>
    <x v="0"/>
    <s v="East"/>
    <n v="614.69000000000005"/>
    <n v="19"/>
    <x v="3"/>
    <n v="4991.68"/>
    <n v="5296.6500000000015"/>
    <s v="New"/>
    <n v="0.12"/>
    <s v="Bank Transfer"/>
    <s v="Online"/>
    <s v="East-Bob"/>
  </r>
  <r>
    <x v="54"/>
    <x v="297"/>
    <d v="2023-01-27T00:00:00"/>
    <x v="0"/>
    <s v="East"/>
    <n v="414.26"/>
    <n v="38"/>
    <x v="1"/>
    <n v="2729.75"/>
    <n v="3081.5"/>
    <s v="New"/>
    <n v="0.01"/>
    <s v="Bank Transfer"/>
    <s v="Online"/>
    <s v="East-Bob"/>
  </r>
  <r>
    <x v="52"/>
    <x v="265"/>
    <d v="2023-06-23T00:00:00"/>
    <x v="1"/>
    <s v="West"/>
    <n v="4291.0200000000004"/>
    <n v="27"/>
    <x v="3"/>
    <n v="1456.09"/>
    <n v="1510.4299999999998"/>
    <s v="Returning"/>
    <n v="0.17"/>
    <s v="Cash"/>
    <s v="Retail"/>
    <s v="West-David"/>
  </r>
  <r>
    <x v="12"/>
    <x v="114"/>
    <d v="2023-02-19T00:00:00"/>
    <x v="4"/>
    <s v="East"/>
    <n v="937.2"/>
    <n v="45"/>
    <x v="3"/>
    <n v="4974.1400000000003"/>
    <n v="5227.93"/>
    <s v="New"/>
    <n v="0.21"/>
    <s v="Bank Transfer"/>
    <s v="Online"/>
    <s v="East-Alice"/>
  </r>
  <r>
    <x v="50"/>
    <x v="193"/>
    <d v="2023-07-18T00:00:00"/>
    <x v="3"/>
    <s v="South"/>
    <n v="6107.78"/>
    <n v="43"/>
    <x v="0"/>
    <n v="4834.47"/>
    <n v="4973.38"/>
    <s v="Returning"/>
    <n v="0.03"/>
    <s v="Bank Transfer"/>
    <s v="Online"/>
    <s v="South-Eve"/>
  </r>
  <r>
    <x v="70"/>
    <x v="295"/>
    <d v="2023-12-15T00:00:00"/>
    <x v="0"/>
    <s v="West"/>
    <n v="8821.6299999999992"/>
    <n v="13"/>
    <x v="3"/>
    <n v="2231.66"/>
    <n v="2596.6099999999997"/>
    <s v="Returning"/>
    <n v="0.09"/>
    <s v="Bank Transfer"/>
    <s v="Retail"/>
    <s v="West-Bob"/>
  </r>
  <r>
    <x v="65"/>
    <x v="111"/>
    <d v="2023-06-30T00:00:00"/>
    <x v="3"/>
    <s v="South"/>
    <n v="8840.86"/>
    <n v="13"/>
    <x v="0"/>
    <n v="1339"/>
    <n v="1441.88"/>
    <s v="Returning"/>
    <n v="0.23"/>
    <s v="Credit Card"/>
    <s v="Retail"/>
    <s v="South-Eve"/>
  </r>
  <r>
    <x v="52"/>
    <x v="265"/>
    <d v="2023-01-24T00:00:00"/>
    <x v="0"/>
    <s v="East"/>
    <n v="6624.55"/>
    <n v="22"/>
    <x v="3"/>
    <n v="4200.08"/>
    <n v="4647.28"/>
    <s v="Returning"/>
    <n v="0.11"/>
    <s v="Cash"/>
    <s v="Online"/>
    <s v="East-Bob"/>
  </r>
  <r>
    <x v="68"/>
    <x v="115"/>
    <d v="2023-11-12T00:00:00"/>
    <x v="3"/>
    <s v="East"/>
    <n v="2191.1999999999998"/>
    <n v="28"/>
    <x v="2"/>
    <n v="3592.32"/>
    <n v="3813.48"/>
    <s v="New"/>
    <n v="7.0000000000000007E-2"/>
    <s v="Credit Card"/>
    <s v="Retail"/>
    <s v="East-Eve"/>
  </r>
  <r>
    <x v="79"/>
    <x v="196"/>
    <d v="2023-02-15T00:00:00"/>
    <x v="2"/>
    <s v="South"/>
    <n v="8643.67"/>
    <n v="47"/>
    <x v="1"/>
    <n v="3450.36"/>
    <n v="3557.38"/>
    <s v="New"/>
    <n v="0.2"/>
    <s v="Credit Card"/>
    <s v="Online"/>
    <s v="South-Charlie"/>
  </r>
  <r>
    <x v="79"/>
    <x v="268"/>
    <d v="2023-01-15T00:00:00"/>
    <x v="0"/>
    <s v="North"/>
    <n v="8872.33"/>
    <n v="45"/>
    <x v="0"/>
    <n v="4470.91"/>
    <n v="4695.54"/>
    <s v="Returning"/>
    <n v="0.06"/>
    <s v="Cash"/>
    <s v="Retail"/>
    <s v="North-Bob"/>
  </r>
  <r>
    <x v="84"/>
    <x v="136"/>
    <d v="2023-06-02T00:00:00"/>
    <x v="3"/>
    <s v="East"/>
    <n v="2046.87"/>
    <n v="22"/>
    <x v="1"/>
    <n v="3462.61"/>
    <n v="3672.8900000000003"/>
    <s v="Returning"/>
    <n v="0.27"/>
    <s v="Credit Card"/>
    <s v="Online"/>
    <s v="East-Eve"/>
  </r>
  <r>
    <x v="90"/>
    <x v="223"/>
    <d v="2023-08-10T00:00:00"/>
    <x v="4"/>
    <s v="North"/>
    <n v="7400.52"/>
    <n v="43"/>
    <x v="0"/>
    <n v="1454.8"/>
    <n v="1674.97"/>
    <s v="New"/>
    <n v="0.03"/>
    <s v="Credit Card"/>
    <s v="Online"/>
    <s v="North-Alice"/>
  </r>
  <r>
    <x v="31"/>
    <x v="269"/>
    <d v="2023-07-25T00:00:00"/>
    <x v="2"/>
    <s v="East"/>
    <n v="2936.54"/>
    <n v="19"/>
    <x v="0"/>
    <n v="3484.62"/>
    <n v="3781.5499999999997"/>
    <s v="Returning"/>
    <n v="0.21"/>
    <s v="Credit Card"/>
    <s v="Retail"/>
    <s v="East-Charlie"/>
  </r>
  <r>
    <x v="71"/>
    <x v="345"/>
    <d v="2023-09-30T00:00:00"/>
    <x v="2"/>
    <s v="North"/>
    <n v="8046.14"/>
    <n v="8"/>
    <x v="0"/>
    <n v="1563.78"/>
    <n v="1829.1599999999999"/>
    <s v="Returning"/>
    <n v="0.15"/>
    <s v="Cash"/>
    <s v="Online"/>
    <s v="North-Charlie"/>
  </r>
  <r>
    <x v="76"/>
    <x v="154"/>
    <d v="2023-08-24T00:00:00"/>
    <x v="4"/>
    <s v="North"/>
    <n v="9972.66"/>
    <n v="8"/>
    <x v="2"/>
    <n v="3808.23"/>
    <n v="3891.62"/>
    <s v="Returning"/>
    <n v="0.26"/>
    <s v="Bank Transfer"/>
    <s v="Online"/>
    <s v="North-Alice"/>
  </r>
  <r>
    <x v="59"/>
    <x v="346"/>
    <d v="2023-12-06T00:00:00"/>
    <x v="3"/>
    <s v="North"/>
    <n v="397.26"/>
    <n v="42"/>
    <x v="3"/>
    <n v="3117.75"/>
    <n v="3159.88"/>
    <s v="New"/>
    <n v="0.04"/>
    <s v="Cash"/>
    <s v="Retail"/>
    <s v="North-Eve"/>
  </r>
  <r>
    <x v="39"/>
    <x v="220"/>
    <d v="2023-08-16T00:00:00"/>
    <x v="1"/>
    <s v="South"/>
    <n v="8983.92"/>
    <n v="26"/>
    <x v="0"/>
    <n v="433.19"/>
    <n v="800.6"/>
    <s v="Returning"/>
    <n v="0.2"/>
    <s v="Cash"/>
    <s v="Online"/>
    <s v="South-David"/>
  </r>
  <r>
    <x v="83"/>
    <x v="216"/>
    <d v="2023-01-09T00:00:00"/>
    <x v="4"/>
    <s v="North"/>
    <n v="6264.04"/>
    <n v="48"/>
    <x v="2"/>
    <n v="2588.54"/>
    <n v="2872.8"/>
    <s v="New"/>
    <n v="0.17"/>
    <s v="Cash"/>
    <s v="Online"/>
    <s v="North-Alice"/>
  </r>
  <r>
    <x v="8"/>
    <x v="8"/>
    <d v="2023-06-15T00:00:00"/>
    <x v="3"/>
    <s v="North"/>
    <n v="9736.49"/>
    <n v="26"/>
    <x v="0"/>
    <n v="1749.34"/>
    <n v="1935.25"/>
    <s v="New"/>
    <n v="0.14000000000000001"/>
    <s v="Credit Card"/>
    <s v="Online"/>
    <s v="North-Eve"/>
  </r>
  <r>
    <x v="32"/>
    <x v="39"/>
    <d v="2023-11-15T00:00:00"/>
    <x v="4"/>
    <s v="North"/>
    <n v="4703.59"/>
    <n v="23"/>
    <x v="3"/>
    <n v="1676.42"/>
    <n v="2082.52"/>
    <s v="New"/>
    <n v="0.15"/>
    <s v="Bank Transfer"/>
    <s v="Retail"/>
    <s v="North-Alice"/>
  </r>
  <r>
    <x v="17"/>
    <x v="316"/>
    <d v="2023-08-02T00:00:00"/>
    <x v="4"/>
    <s v="East"/>
    <n v="8489.14"/>
    <n v="43"/>
    <x v="0"/>
    <n v="3031.17"/>
    <n v="3231.32"/>
    <s v="Returning"/>
    <n v="0.22"/>
    <s v="Cash"/>
    <s v="Retail"/>
    <s v="East-Alice"/>
  </r>
  <r>
    <x v="18"/>
    <x v="234"/>
    <d v="2023-04-27T00:00:00"/>
    <x v="0"/>
    <s v="North"/>
    <n v="717.7"/>
    <n v="13"/>
    <x v="2"/>
    <n v="1645.51"/>
    <n v="2045.53"/>
    <s v="Returning"/>
    <n v="0.28000000000000003"/>
    <s v="Cash"/>
    <s v="Retail"/>
    <s v="North-Bob"/>
  </r>
  <r>
    <x v="92"/>
    <x v="259"/>
    <d v="2023-12-10T00:00:00"/>
    <x v="3"/>
    <s v="East"/>
    <n v="3419.26"/>
    <n v="28"/>
    <x v="3"/>
    <n v="3895.62"/>
    <n v="4055.44"/>
    <s v="New"/>
    <n v="0.03"/>
    <s v="Bank Transfer"/>
    <s v="Retail"/>
    <s v="East-Eve"/>
  </r>
  <r>
    <x v="17"/>
    <x v="19"/>
    <d v="2023-03-13T00:00:00"/>
    <x v="1"/>
    <s v="North"/>
    <n v="763.46"/>
    <n v="9"/>
    <x v="2"/>
    <n v="400.42"/>
    <n v="446.11"/>
    <s v="New"/>
    <n v="0.01"/>
    <s v="Bank Transfer"/>
    <s v="Retail"/>
    <s v="North-David"/>
  </r>
  <r>
    <x v="50"/>
    <x v="347"/>
    <d v="2023-03-05T00:00:00"/>
    <x v="0"/>
    <s v="North"/>
    <n v="9755.9"/>
    <n v="20"/>
    <x v="3"/>
    <n v="3318.92"/>
    <n v="3785.91"/>
    <s v="New"/>
    <n v="0.24"/>
    <s v="Bank Transfer"/>
    <s v="Online"/>
    <s v="North-Bob"/>
  </r>
  <r>
    <x v="92"/>
    <x v="259"/>
    <d v="2023-07-24T00:00:00"/>
    <x v="4"/>
    <s v="South"/>
    <n v="8188.04"/>
    <n v="19"/>
    <x v="3"/>
    <n v="4055.51"/>
    <n v="4258.84"/>
    <s v="Returning"/>
    <n v="0.03"/>
    <s v="Credit Card"/>
    <s v="Online"/>
    <s v="South-Alice"/>
  </r>
  <r>
    <x v="60"/>
    <x v="336"/>
    <d v="2023-07-28T00:00:00"/>
    <x v="4"/>
    <s v="East"/>
    <n v="8540.2199999999993"/>
    <n v="48"/>
    <x v="1"/>
    <n v="3380.52"/>
    <n v="3778.94"/>
    <s v="Returning"/>
    <n v="0.3"/>
    <s v="Bank Transfer"/>
    <s v="Online"/>
    <s v="East-Alice"/>
  </r>
  <r>
    <x v="16"/>
    <x v="348"/>
    <d v="2023-03-13T00:00:00"/>
    <x v="4"/>
    <s v="North"/>
    <n v="9385.86"/>
    <n v="39"/>
    <x v="1"/>
    <n v="2511.2800000000002"/>
    <n v="2658.0600000000004"/>
    <s v="New"/>
    <n v="0.19"/>
    <s v="Credit Card"/>
    <s v="Retail"/>
    <s v="North-Alice"/>
  </r>
  <r>
    <x v="76"/>
    <x v="349"/>
    <d v="2023-10-04T00:00:00"/>
    <x v="3"/>
    <s v="East"/>
    <n v="942.52"/>
    <n v="12"/>
    <x v="1"/>
    <n v="4754.0200000000004"/>
    <n v="5080.7400000000007"/>
    <s v="New"/>
    <n v="0.2"/>
    <s v="Cash"/>
    <s v="Online"/>
    <s v="East-Eve"/>
  </r>
  <r>
    <x v="25"/>
    <x v="287"/>
    <d v="2023-10-01T00:00:00"/>
    <x v="3"/>
    <s v="East"/>
    <n v="3917.42"/>
    <n v="15"/>
    <x v="3"/>
    <n v="1534.7"/>
    <n v="1972.6200000000001"/>
    <s v="Returning"/>
    <n v="0.06"/>
    <s v="Credit Card"/>
    <s v="Retail"/>
    <s v="East-Eve"/>
  </r>
  <r>
    <x v="32"/>
    <x v="261"/>
    <d v="2023-11-16T00:00:00"/>
    <x v="0"/>
    <s v="West"/>
    <n v="803.25"/>
    <n v="31"/>
    <x v="0"/>
    <n v="144.88"/>
    <n v="175.29"/>
    <s v="New"/>
    <n v="7.0000000000000007E-2"/>
    <s v="Bank Transfer"/>
    <s v="Online"/>
    <s v="West-Bob"/>
  </r>
  <r>
    <x v="53"/>
    <x v="119"/>
    <d v="2023-12-04T00:00:00"/>
    <x v="1"/>
    <s v="South"/>
    <n v="2186.85"/>
    <n v="14"/>
    <x v="2"/>
    <n v="2188.35"/>
    <n v="2605.3599999999997"/>
    <s v="Returning"/>
    <n v="0.2"/>
    <s v="Credit Card"/>
    <s v="Retail"/>
    <s v="South-David"/>
  </r>
  <r>
    <x v="92"/>
    <x v="350"/>
    <d v="2024-01-01T00:00:00"/>
    <x v="0"/>
    <s v="South"/>
    <n v="2370.7199999999998"/>
    <n v="11"/>
    <x v="2"/>
    <n v="213.41"/>
    <n v="503.36"/>
    <s v="Returning"/>
    <n v="0.27"/>
    <s v="Bank Transfer"/>
    <s v="Online"/>
    <s v="South-Bob"/>
  </r>
  <r>
    <x v="0"/>
    <x v="310"/>
    <d v="2023-04-05T00:00:00"/>
    <x v="2"/>
    <s v="South"/>
    <n v="4744.16"/>
    <n v="26"/>
    <x v="2"/>
    <n v="4771.99"/>
    <n v="5079.6499999999996"/>
    <s v="New"/>
    <n v="0.28999999999999998"/>
    <s v="Credit Card"/>
    <s v="Online"/>
    <s v="South-Charlie"/>
  </r>
  <r>
    <x v="17"/>
    <x v="175"/>
    <d v="2023-06-15T00:00:00"/>
    <x v="4"/>
    <s v="West"/>
    <n v="2758.77"/>
    <n v="42"/>
    <x v="1"/>
    <n v="1089.0899999999999"/>
    <n v="1355.44"/>
    <s v="New"/>
    <n v="0.06"/>
    <s v="Cash"/>
    <s v="Retail"/>
    <s v="West-Alice"/>
  </r>
  <r>
    <x v="85"/>
    <x v="143"/>
    <d v="2023-02-01T00:00:00"/>
    <x v="4"/>
    <s v="West"/>
    <n v="1099.68"/>
    <n v="27"/>
    <x v="3"/>
    <n v="3955.19"/>
    <n v="4393.68"/>
    <s v="Returning"/>
    <n v="0.04"/>
    <s v="Credit Card"/>
    <s v="Online"/>
    <s v="West-Alice"/>
  </r>
  <r>
    <x v="9"/>
    <x v="351"/>
    <d v="2023-01-11T00:00:00"/>
    <x v="4"/>
    <s v="South"/>
    <n v="1758.16"/>
    <n v="11"/>
    <x v="1"/>
    <n v="3884.13"/>
    <n v="3915.4100000000003"/>
    <s v="Returning"/>
    <n v="0.02"/>
    <s v="Cash"/>
    <s v="Online"/>
    <s v="South-Alice"/>
  </r>
  <r>
    <x v="76"/>
    <x v="117"/>
    <d v="2023-10-28T00:00:00"/>
    <x v="0"/>
    <s v="West"/>
    <n v="1558.03"/>
    <n v="38"/>
    <x v="0"/>
    <n v="1127.76"/>
    <n v="1265.6600000000001"/>
    <s v="Returning"/>
    <n v="0.26"/>
    <s v="Bank Transfer"/>
    <s v="Retail"/>
    <s v="West-Bob"/>
  </r>
  <r>
    <x v="16"/>
    <x v="231"/>
    <d v="2023-08-05T00:00:00"/>
    <x v="0"/>
    <s v="West"/>
    <n v="9733.4599999999991"/>
    <n v="34"/>
    <x v="3"/>
    <n v="3125.07"/>
    <n v="3564.19"/>
    <s v="Returning"/>
    <n v="0.09"/>
    <s v="Cash"/>
    <s v="Online"/>
    <s v="West-Bob"/>
  </r>
  <r>
    <x v="32"/>
    <x v="151"/>
    <d v="2023-10-16T00:00:00"/>
    <x v="4"/>
    <s v="West"/>
    <n v="7617"/>
    <n v="43"/>
    <x v="2"/>
    <n v="287.99"/>
    <n v="666.64"/>
    <s v="Returning"/>
    <n v="0"/>
    <s v="Bank Transfer"/>
    <s v="Online"/>
    <s v="West-Alice"/>
  </r>
  <r>
    <x v="48"/>
    <x v="96"/>
    <d v="2023-04-12T00:00:00"/>
    <x v="0"/>
    <s v="South"/>
    <n v="9680.84"/>
    <n v="19"/>
    <x v="1"/>
    <n v="2443.69"/>
    <n v="2462.34"/>
    <s v="New"/>
    <n v="7.0000000000000007E-2"/>
    <s v="Bank Transfer"/>
    <s v="Retail"/>
    <s v="South-Bob"/>
  </r>
  <r>
    <x v="68"/>
    <x v="267"/>
    <d v="2023-09-24T00:00:00"/>
    <x v="3"/>
    <s v="South"/>
    <n v="4453.43"/>
    <n v="6"/>
    <x v="1"/>
    <n v="122.5"/>
    <n v="385.83"/>
    <s v="Returning"/>
    <n v="0.1"/>
    <s v="Cash"/>
    <s v="Retail"/>
    <s v="South-Eve"/>
  </r>
  <r>
    <x v="63"/>
    <x v="298"/>
    <d v="2023-08-02T00:00:00"/>
    <x v="3"/>
    <s v="South"/>
    <n v="2855.85"/>
    <n v="46"/>
    <x v="0"/>
    <n v="4609.66"/>
    <n v="4879.1499999999996"/>
    <s v="Returning"/>
    <n v="0.3"/>
    <s v="Cash"/>
    <s v="Retail"/>
    <s v="South-Eve"/>
  </r>
  <r>
    <x v="38"/>
    <x v="352"/>
    <d v="2023-06-28T00:00:00"/>
    <x v="0"/>
    <s v="West"/>
    <n v="8003.1"/>
    <n v="38"/>
    <x v="0"/>
    <n v="4881.63"/>
    <n v="5088.0600000000004"/>
    <s v="Returning"/>
    <n v="0.16"/>
    <s v="Credit Card"/>
    <s v="Retail"/>
    <s v="West-Bob"/>
  </r>
  <r>
    <x v="99"/>
    <x v="300"/>
    <d v="2023-03-29T00:00:00"/>
    <x v="4"/>
    <s v="South"/>
    <n v="3329.91"/>
    <n v="49"/>
    <x v="1"/>
    <n v="1150.3"/>
    <n v="1306.02"/>
    <s v="New"/>
    <n v="0.06"/>
    <s v="Credit Card"/>
    <s v="Retail"/>
    <s v="South-Alice"/>
  </r>
  <r>
    <x v="87"/>
    <x v="173"/>
    <d v="2023-02-10T00:00:00"/>
    <x v="0"/>
    <s v="West"/>
    <n v="3063.9"/>
    <n v="42"/>
    <x v="0"/>
    <n v="1080.1199999999999"/>
    <n v="1424.1699999999998"/>
    <s v="New"/>
    <n v="0.1"/>
    <s v="Cash"/>
    <s v="Online"/>
    <s v="West-Bob"/>
  </r>
  <r>
    <x v="90"/>
    <x v="353"/>
    <d v="2023-03-17T00:00:00"/>
    <x v="0"/>
    <s v="North"/>
    <n v="2401.81"/>
    <n v="28"/>
    <x v="2"/>
    <n v="3780.91"/>
    <n v="3892.73"/>
    <s v="Returning"/>
    <n v="0.1"/>
    <s v="Cash"/>
    <s v="Retail"/>
    <s v="North-Bob"/>
  </r>
  <r>
    <x v="55"/>
    <x v="293"/>
    <d v="2023-02-15T00:00:00"/>
    <x v="0"/>
    <s v="West"/>
    <n v="1383.82"/>
    <n v="1"/>
    <x v="0"/>
    <n v="1304.23"/>
    <n v="1705.71"/>
    <s v="Returning"/>
    <n v="0.01"/>
    <s v="Cash"/>
    <s v="Retail"/>
    <s v="West-Bob"/>
  </r>
  <r>
    <x v="90"/>
    <x v="223"/>
    <d v="2023-06-09T00:00:00"/>
    <x v="2"/>
    <s v="East"/>
    <n v="2638.98"/>
    <n v="35"/>
    <x v="0"/>
    <n v="4480.63"/>
    <n v="4884.12"/>
    <s v="New"/>
    <n v="0.04"/>
    <s v="Cash"/>
    <s v="Online"/>
    <s v="East-Charlie"/>
  </r>
  <r>
    <x v="42"/>
    <x v="288"/>
    <d v="2023-03-21T00:00:00"/>
    <x v="3"/>
    <s v="South"/>
    <n v="3617.67"/>
    <n v="40"/>
    <x v="1"/>
    <n v="2890.95"/>
    <n v="3104.43"/>
    <s v="New"/>
    <n v="0.21"/>
    <s v="Bank Transfer"/>
    <s v="Online"/>
    <s v="South-Eve"/>
  </r>
  <r>
    <x v="9"/>
    <x v="351"/>
    <d v="2023-11-06T00:00:00"/>
    <x v="1"/>
    <s v="South"/>
    <n v="6772.54"/>
    <n v="8"/>
    <x v="1"/>
    <n v="1786.35"/>
    <n v="1935.29"/>
    <s v="New"/>
    <n v="0.04"/>
    <s v="Cash"/>
    <s v="Online"/>
    <s v="South-David"/>
  </r>
  <r>
    <x v="91"/>
    <x v="235"/>
    <d v="2023-03-27T00:00:00"/>
    <x v="1"/>
    <s v="East"/>
    <n v="719.39"/>
    <n v="47"/>
    <x v="3"/>
    <n v="4171.83"/>
    <n v="4320.93"/>
    <s v="New"/>
    <n v="7.0000000000000007E-2"/>
    <s v="Cash"/>
    <s v="Online"/>
    <s v="East-David"/>
  </r>
  <r>
    <x v="54"/>
    <x v="275"/>
    <d v="2023-04-02T00:00:00"/>
    <x v="2"/>
    <s v="West"/>
    <n v="2184.02"/>
    <n v="7"/>
    <x v="3"/>
    <n v="2492.36"/>
    <n v="2738.6800000000003"/>
    <s v="Returning"/>
    <n v="0.11"/>
    <s v="Cash"/>
    <s v="Online"/>
    <s v="West-Charlie"/>
  </r>
  <r>
    <x v="51"/>
    <x v="63"/>
    <d v="2023-05-28T00:00:00"/>
    <x v="0"/>
    <s v="North"/>
    <n v="8109.33"/>
    <n v="11"/>
    <x v="1"/>
    <n v="4562.58"/>
    <n v="4925.17"/>
    <s v="New"/>
    <n v="0.23"/>
    <s v="Cash"/>
    <s v="Retail"/>
    <s v="North-Bob"/>
  </r>
  <r>
    <x v="14"/>
    <x v="15"/>
    <d v="2023-06-10T00:00:00"/>
    <x v="2"/>
    <s v="East"/>
    <n v="1554.53"/>
    <n v="39"/>
    <x v="0"/>
    <n v="4643.67"/>
    <n v="4829.5200000000004"/>
    <s v="Returning"/>
    <n v="0.17"/>
    <s v="Bank Transfer"/>
    <s v="Online"/>
    <s v="East-Charlie"/>
  </r>
  <r>
    <x v="83"/>
    <x v="133"/>
    <d v="2023-07-21T00:00:00"/>
    <x v="2"/>
    <s v="East"/>
    <n v="3492.19"/>
    <n v="4"/>
    <x v="0"/>
    <n v="868.83"/>
    <n v="1177.75"/>
    <s v="Returning"/>
    <n v="0.21"/>
    <s v="Credit Card"/>
    <s v="Retail"/>
    <s v="East-Charlie"/>
  </r>
  <r>
    <x v="77"/>
    <x v="145"/>
    <d v="2023-08-30T00:00:00"/>
    <x v="4"/>
    <s v="West"/>
    <n v="8660.1200000000008"/>
    <n v="25"/>
    <x v="3"/>
    <n v="61.5"/>
    <n v="258.91999999999996"/>
    <s v="New"/>
    <n v="0.17"/>
    <s v="Credit Card"/>
    <s v="Online"/>
    <s v="West-Alice"/>
  </r>
  <r>
    <x v="80"/>
    <x v="125"/>
    <d v="2023-12-19T00:00:00"/>
    <x v="3"/>
    <s v="South"/>
    <n v="1633.76"/>
    <n v="12"/>
    <x v="3"/>
    <n v="4920.46"/>
    <n v="5079.68"/>
    <s v="New"/>
    <n v="0.21"/>
    <s v="Credit Card"/>
    <s v="Retail"/>
    <s v="South-Eve"/>
  </r>
  <r>
    <x v="8"/>
    <x v="210"/>
    <d v="2023-01-02T00:00:00"/>
    <x v="1"/>
    <s v="West"/>
    <n v="919.09"/>
    <n v="26"/>
    <x v="3"/>
    <n v="4535.38"/>
    <n v="4557.5600000000004"/>
    <s v="New"/>
    <n v="0"/>
    <s v="Credit Card"/>
    <s v="Online"/>
    <s v="West-David"/>
  </r>
  <r>
    <x v="71"/>
    <x v="106"/>
    <d v="2023-08-13T00:00:00"/>
    <x v="0"/>
    <s v="East"/>
    <n v="4896.93"/>
    <n v="38"/>
    <x v="2"/>
    <n v="324.45"/>
    <n v="336.37"/>
    <s v="New"/>
    <n v="0.28000000000000003"/>
    <s v="Credit Card"/>
    <s v="Retail"/>
    <s v="East-Bob"/>
  </r>
  <r>
    <x v="33"/>
    <x v="304"/>
    <d v="2023-10-16T00:00:00"/>
    <x v="1"/>
    <s v="East"/>
    <n v="3093.95"/>
    <n v="46"/>
    <x v="2"/>
    <n v="4173.5200000000004"/>
    <n v="4294.8500000000004"/>
    <s v="Returning"/>
    <n v="0.03"/>
    <s v="Bank Transfer"/>
    <s v="Retail"/>
    <s v="East-David"/>
  </r>
  <r>
    <x v="29"/>
    <x v="34"/>
    <d v="2023-08-21T00:00:00"/>
    <x v="1"/>
    <s v="South"/>
    <n v="5677.74"/>
    <n v="12"/>
    <x v="3"/>
    <n v="2316.13"/>
    <n v="2525.27"/>
    <s v="Returning"/>
    <n v="0.12"/>
    <s v="Credit Card"/>
    <s v="Retail"/>
    <s v="South-David"/>
  </r>
  <r>
    <x v="56"/>
    <x v="354"/>
    <d v="2023-03-18T00:00:00"/>
    <x v="3"/>
    <s v="South"/>
    <n v="8057.67"/>
    <n v="43"/>
    <x v="0"/>
    <n v="1331.86"/>
    <n v="1758.98"/>
    <s v="Returning"/>
    <n v="0.23"/>
    <s v="Bank Transfer"/>
    <s v="Retail"/>
    <s v="South-Eve"/>
  </r>
  <r>
    <x v="8"/>
    <x v="210"/>
    <d v="2023-04-26T00:00:00"/>
    <x v="1"/>
    <s v="South"/>
    <n v="1457.77"/>
    <n v="37"/>
    <x v="3"/>
    <n v="4399.8"/>
    <n v="4801.0600000000004"/>
    <s v="New"/>
    <n v="0.13"/>
    <s v="Bank Transfer"/>
    <s v="Retail"/>
    <s v="South-David"/>
  </r>
  <r>
    <x v="93"/>
    <x v="200"/>
    <d v="2023-06-03T00:00:00"/>
    <x v="1"/>
    <s v="West"/>
    <n v="5848.92"/>
    <n v="46"/>
    <x v="2"/>
    <n v="1023.5"/>
    <n v="1164.4100000000001"/>
    <s v="Returning"/>
    <n v="0.28000000000000003"/>
    <s v="Credit Card"/>
    <s v="Retail"/>
    <s v="West-David"/>
  </r>
  <r>
    <x v="45"/>
    <x v="296"/>
    <d v="2023-04-13T00:00:00"/>
    <x v="2"/>
    <s v="South"/>
    <n v="5104.54"/>
    <n v="24"/>
    <x v="0"/>
    <n v="4739.13"/>
    <n v="4868.95"/>
    <s v="New"/>
    <n v="0.14000000000000001"/>
    <s v="Credit Card"/>
    <s v="Retail"/>
    <s v="South-Charlie"/>
  </r>
  <r>
    <x v="38"/>
    <x v="62"/>
    <d v="2023-07-13T00:00:00"/>
    <x v="3"/>
    <s v="East"/>
    <n v="1526.38"/>
    <n v="16"/>
    <x v="2"/>
    <n v="1067.83"/>
    <n v="1189.22"/>
    <s v="Returning"/>
    <n v="0.26"/>
    <s v="Credit Card"/>
    <s v="Retail"/>
    <s v="East-Eve"/>
  </r>
  <r>
    <x v="38"/>
    <x v="352"/>
    <d v="2023-06-15T00:00:00"/>
    <x v="4"/>
    <s v="East"/>
    <n v="6277.59"/>
    <n v="13"/>
    <x v="0"/>
    <n v="3087.73"/>
    <n v="3263.96"/>
    <s v="New"/>
    <n v="0.24"/>
    <s v="Cash"/>
    <s v="Retail"/>
    <s v="East-Alice"/>
  </r>
  <r>
    <x v="87"/>
    <x v="160"/>
    <d v="2023-12-25T00:00:00"/>
    <x v="0"/>
    <s v="North"/>
    <n v="2809.04"/>
    <n v="25"/>
    <x v="2"/>
    <n v="1154.28"/>
    <n v="1408.4"/>
    <s v="Returning"/>
    <n v="0.28999999999999998"/>
    <s v="Bank Transfer"/>
    <s v="Retail"/>
    <s v="North-Bob"/>
  </r>
  <r>
    <x v="97"/>
    <x v="355"/>
    <d v="2023-03-31T00:00:00"/>
    <x v="1"/>
    <s v="West"/>
    <n v="4929.5600000000004"/>
    <n v="4"/>
    <x v="0"/>
    <n v="2751.06"/>
    <n v="2976.0099999999998"/>
    <s v="Returning"/>
    <n v="0.28000000000000003"/>
    <s v="Credit Card"/>
    <s v="Online"/>
    <s v="West-David"/>
  </r>
  <r>
    <x v="95"/>
    <x v="321"/>
    <d v="2023-06-23T00:00:00"/>
    <x v="0"/>
    <s v="North"/>
    <n v="914.5"/>
    <n v="11"/>
    <x v="0"/>
    <n v="3435.68"/>
    <n v="3552.6299999999997"/>
    <s v="New"/>
    <n v="0.27"/>
    <s v="Cash"/>
    <s v="Retail"/>
    <s v="North-Bob"/>
  </r>
  <r>
    <x v="78"/>
    <x v="187"/>
    <d v="2023-05-02T00:00:00"/>
    <x v="4"/>
    <s v="East"/>
    <n v="4649.88"/>
    <n v="32"/>
    <x v="0"/>
    <n v="991.63"/>
    <n v="1065.55"/>
    <s v="Returning"/>
    <n v="0.22"/>
    <s v="Bank Transfer"/>
    <s v="Retail"/>
    <s v="East-Alice"/>
  </r>
  <r>
    <x v="95"/>
    <x v="321"/>
    <d v="2023-05-23T00:00:00"/>
    <x v="0"/>
    <s v="North"/>
    <n v="3133.99"/>
    <n v="49"/>
    <x v="0"/>
    <n v="2628.38"/>
    <n v="2644.54"/>
    <s v="Returning"/>
    <n v="0.11"/>
    <s v="Cash"/>
    <s v="Online"/>
    <s v="North-Bob"/>
  </r>
  <r>
    <x v="75"/>
    <x v="116"/>
    <d v="2023-04-16T00:00:00"/>
    <x v="4"/>
    <s v="East"/>
    <n v="8241.57"/>
    <n v="7"/>
    <x v="1"/>
    <n v="2371.85"/>
    <n v="2457.29"/>
    <s v="New"/>
    <n v="0.03"/>
    <s v="Cash"/>
    <s v="Retail"/>
    <s v="East-Alice"/>
  </r>
  <r>
    <x v="1"/>
    <x v="356"/>
    <d v="2023-11-01T00:00:00"/>
    <x v="2"/>
    <s v="North"/>
    <n v="664.09"/>
    <n v="46"/>
    <x v="2"/>
    <n v="401.64"/>
    <n v="757.26"/>
    <s v="New"/>
    <n v="0.21"/>
    <s v="Credit Card"/>
    <s v="Retail"/>
    <s v="North-Charlie"/>
  </r>
  <r>
    <x v="82"/>
    <x v="156"/>
    <d v="2023-12-26T00:00:00"/>
    <x v="1"/>
    <s v="South"/>
    <n v="4244.21"/>
    <n v="11"/>
    <x v="2"/>
    <n v="4100.62"/>
    <n v="4230"/>
    <s v="New"/>
    <n v="0.28999999999999998"/>
    <s v="Bank Transfer"/>
    <s v="Online"/>
    <s v="South-David"/>
  </r>
  <r>
    <x v="50"/>
    <x v="357"/>
    <d v="2023-11-13T00:00:00"/>
    <x v="4"/>
    <s v="North"/>
    <n v="4638.47"/>
    <n v="28"/>
    <x v="1"/>
    <n v="1711.63"/>
    <n v="1951.2400000000002"/>
    <s v="New"/>
    <n v="0.22"/>
    <s v="Cash"/>
    <s v="Online"/>
    <s v="North-Alice"/>
  </r>
  <r>
    <x v="4"/>
    <x v="323"/>
    <d v="2023-05-03T00:00:00"/>
    <x v="0"/>
    <s v="South"/>
    <n v="7277.56"/>
    <n v="41"/>
    <x v="0"/>
    <n v="2894.18"/>
    <n v="3193.92"/>
    <s v="New"/>
    <n v="0.28000000000000003"/>
    <s v="Bank Transfer"/>
    <s v="Retail"/>
    <s v="South-Bob"/>
  </r>
  <r>
    <x v="32"/>
    <x v="261"/>
    <d v="2023-01-09T00:00:00"/>
    <x v="1"/>
    <s v="South"/>
    <n v="5785.45"/>
    <n v="23"/>
    <x v="0"/>
    <n v="2598.1799999999998"/>
    <n v="3042.73"/>
    <s v="Returning"/>
    <n v="0.24"/>
    <s v="Credit Card"/>
    <s v="Online"/>
    <s v="South-David"/>
  </r>
  <r>
    <x v="88"/>
    <x v="184"/>
    <d v="2023-09-19T00:00:00"/>
    <x v="2"/>
    <s v="West"/>
    <n v="6705.4"/>
    <n v="45"/>
    <x v="2"/>
    <n v="2590.64"/>
    <n v="3036.18"/>
    <s v="New"/>
    <n v="0.05"/>
    <s v="Bank Transfer"/>
    <s v="Retail"/>
    <s v="West-Charlie"/>
  </r>
  <r>
    <x v="5"/>
    <x v="5"/>
    <d v="2023-03-14T00:00:00"/>
    <x v="1"/>
    <s v="South"/>
    <n v="7792.79"/>
    <n v="23"/>
    <x v="1"/>
    <n v="580.75"/>
    <n v="956.16000000000008"/>
    <s v="Returning"/>
    <n v="7.0000000000000007E-2"/>
    <s v="Cash"/>
    <s v="Retail"/>
    <s v="South-David"/>
  </r>
  <r>
    <x v="68"/>
    <x v="315"/>
    <d v="2023-12-25T00:00:00"/>
    <x v="4"/>
    <s v="South"/>
    <n v="8635.81"/>
    <n v="28"/>
    <x v="0"/>
    <n v="2146.2399999999998"/>
    <n v="2173.4699999999998"/>
    <s v="Returning"/>
    <n v="0.1"/>
    <s v="Cash"/>
    <s v="Retail"/>
    <s v="South-Alice"/>
  </r>
  <r>
    <x v="60"/>
    <x v="215"/>
    <d v="2023-08-11T00:00:00"/>
    <x v="2"/>
    <s v="North"/>
    <n v="3207.37"/>
    <n v="43"/>
    <x v="0"/>
    <n v="2289.2199999999998"/>
    <n v="2581"/>
    <s v="New"/>
    <n v="0.05"/>
    <s v="Bank Transfer"/>
    <s v="Online"/>
    <s v="North-Charlie"/>
  </r>
  <r>
    <x v="28"/>
    <x v="33"/>
    <d v="2023-02-10T00:00:00"/>
    <x v="0"/>
    <s v="East"/>
    <n v="5426.42"/>
    <n v="47"/>
    <x v="0"/>
    <n v="3681.53"/>
    <n v="4076.96"/>
    <s v="Returning"/>
    <n v="0.17"/>
    <s v="Cash"/>
    <s v="Retail"/>
    <s v="East-Bob"/>
  </r>
  <r>
    <x v="27"/>
    <x v="197"/>
    <d v="2023-07-23T00:00:00"/>
    <x v="2"/>
    <s v="West"/>
    <n v="8417.07"/>
    <n v="26"/>
    <x v="3"/>
    <n v="4208.09"/>
    <n v="4226.5600000000004"/>
    <s v="Returning"/>
    <n v="0.28999999999999998"/>
    <s v="Cash"/>
    <s v="Retail"/>
    <s v="West-Charlie"/>
  </r>
  <r>
    <x v="4"/>
    <x v="218"/>
    <d v="2023-09-21T00:00:00"/>
    <x v="2"/>
    <s v="South"/>
    <n v="9895.57"/>
    <n v="25"/>
    <x v="1"/>
    <n v="2747.66"/>
    <n v="3027.0099999999998"/>
    <s v="New"/>
    <n v="0.23"/>
    <s v="Cash"/>
    <s v="Online"/>
    <s v="South-Charlie"/>
  </r>
  <r>
    <x v="13"/>
    <x v="226"/>
    <d v="2023-11-24T00:00:00"/>
    <x v="3"/>
    <s v="West"/>
    <n v="8906.24"/>
    <n v="29"/>
    <x v="0"/>
    <n v="479.58"/>
    <n v="909.88"/>
    <s v="Returning"/>
    <n v="0.13"/>
    <s v="Credit Card"/>
    <s v="Retail"/>
    <s v="West-Eve"/>
  </r>
  <r>
    <x v="5"/>
    <x v="327"/>
    <d v="2023-06-27T00:00:00"/>
    <x v="2"/>
    <s v="North"/>
    <n v="3777.53"/>
    <n v="19"/>
    <x v="3"/>
    <n v="1222.4000000000001"/>
    <n v="1464.71"/>
    <s v="New"/>
    <n v="0"/>
    <s v="Credit Card"/>
    <s v="Retail"/>
    <s v="North-Charlie"/>
  </r>
  <r>
    <x v="86"/>
    <x v="358"/>
    <d v="2023-12-14T00:00:00"/>
    <x v="2"/>
    <s v="South"/>
    <n v="2032.15"/>
    <n v="33"/>
    <x v="1"/>
    <n v="866.42"/>
    <n v="878.43"/>
    <s v="New"/>
    <n v="0.09"/>
    <s v="Cash"/>
    <s v="Retail"/>
    <s v="South-Charlie"/>
  </r>
  <r>
    <x v="66"/>
    <x v="144"/>
    <d v="2023-11-14T00:00:00"/>
    <x v="1"/>
    <s v="North"/>
    <n v="4944.99"/>
    <n v="36"/>
    <x v="0"/>
    <n v="666.84"/>
    <n v="682.24"/>
    <s v="New"/>
    <n v="0.16"/>
    <s v="Bank Transfer"/>
    <s v="Retail"/>
    <s v="North-David"/>
  </r>
  <r>
    <x v="68"/>
    <x v="115"/>
    <d v="2023-03-25T00:00:00"/>
    <x v="0"/>
    <s v="West"/>
    <n v="7442.25"/>
    <n v="14"/>
    <x v="2"/>
    <n v="1861.2"/>
    <n v="2075.35"/>
    <s v="Returning"/>
    <n v="0.1"/>
    <s v="Credit Card"/>
    <s v="Retail"/>
    <s v="West-Bob"/>
  </r>
  <r>
    <x v="70"/>
    <x v="295"/>
    <d v="2023-11-14T00:00:00"/>
    <x v="1"/>
    <s v="North"/>
    <n v="4976.43"/>
    <n v="14"/>
    <x v="3"/>
    <n v="1185.5"/>
    <n v="1271.45"/>
    <s v="Returning"/>
    <n v="0.03"/>
    <s v="Bank Transfer"/>
    <s v="Retail"/>
    <s v="North-David"/>
  </r>
  <r>
    <x v="41"/>
    <x v="49"/>
    <d v="2023-04-21T00:00:00"/>
    <x v="1"/>
    <s v="West"/>
    <n v="4883.49"/>
    <n v="35"/>
    <x v="3"/>
    <n v="1130.5999999999999"/>
    <n v="1466.1799999999998"/>
    <s v="Returning"/>
    <n v="0.13"/>
    <s v="Cash"/>
    <s v="Online"/>
    <s v="West-David"/>
  </r>
  <r>
    <x v="98"/>
    <x v="245"/>
    <d v="2023-09-08T00:00:00"/>
    <x v="4"/>
    <s v="North"/>
    <n v="8398.48"/>
    <n v="30"/>
    <x v="0"/>
    <n v="320.73"/>
    <n v="678.04"/>
    <s v="Returning"/>
    <n v="0.08"/>
    <s v="Cash"/>
    <s v="Retail"/>
    <s v="North-Alice"/>
  </r>
  <r>
    <x v="54"/>
    <x v="284"/>
    <d v="2023-01-07T00:00:00"/>
    <x v="1"/>
    <s v="West"/>
    <n v="3677.9"/>
    <n v="28"/>
    <x v="0"/>
    <n v="137.47"/>
    <n v="234.63"/>
    <s v="New"/>
    <n v="0.27"/>
    <s v="Bank Transfer"/>
    <s v="Retail"/>
    <s v="West-David"/>
  </r>
  <r>
    <x v="24"/>
    <x v="306"/>
    <d v="2023-03-25T00:00:00"/>
    <x v="3"/>
    <s v="East"/>
    <n v="8611.9699999999993"/>
    <n v="17"/>
    <x v="3"/>
    <n v="558.70000000000005"/>
    <n v="1004.08"/>
    <s v="Returning"/>
    <n v="0.03"/>
    <s v="Credit Card"/>
    <s v="Online"/>
    <s v="East-Eve"/>
  </r>
  <r>
    <x v="47"/>
    <x v="359"/>
    <d v="2023-07-27T00:00:00"/>
    <x v="3"/>
    <s v="North"/>
    <n v="4127.37"/>
    <n v="3"/>
    <x v="2"/>
    <n v="902.38"/>
    <n v="1128.9100000000001"/>
    <s v="New"/>
    <n v="0.01"/>
    <s v="Bank Transfer"/>
    <s v="Retail"/>
    <s v="North-Eve"/>
  </r>
  <r>
    <x v="41"/>
    <x v="67"/>
    <d v="2023-11-10T00:00:00"/>
    <x v="4"/>
    <s v="North"/>
    <n v="3349.51"/>
    <n v="16"/>
    <x v="2"/>
    <n v="2183.37"/>
    <n v="2263.3599999999997"/>
    <s v="Returning"/>
    <n v="0"/>
    <s v="Bank Transfer"/>
    <s v="Retail"/>
    <s v="North-Alice"/>
  </r>
  <r>
    <x v="64"/>
    <x v="360"/>
    <d v="2023-01-22T00:00:00"/>
    <x v="0"/>
    <s v="East"/>
    <n v="4594.5"/>
    <n v="46"/>
    <x v="1"/>
    <n v="2577.08"/>
    <n v="2961.56"/>
    <s v="Returning"/>
    <n v="0.1"/>
    <s v="Cash"/>
    <s v="Online"/>
    <s v="East-Bob"/>
  </r>
  <r>
    <x v="75"/>
    <x v="361"/>
    <d v="2023-01-03T00:00:00"/>
    <x v="0"/>
    <s v="East"/>
    <n v="7648.22"/>
    <n v="30"/>
    <x v="0"/>
    <n v="745.93"/>
    <n v="1143.02"/>
    <s v="Returning"/>
    <n v="0.2"/>
    <s v="Credit Card"/>
    <s v="Online"/>
    <s v="East-Bob"/>
  </r>
  <r>
    <x v="35"/>
    <x v="102"/>
    <d v="2023-05-07T00:00:00"/>
    <x v="1"/>
    <s v="North"/>
    <n v="1347.42"/>
    <n v="29"/>
    <x v="2"/>
    <n v="2152.6799999999998"/>
    <n v="2475.9299999999998"/>
    <s v="Returning"/>
    <n v="0.22"/>
    <s v="Bank Transfer"/>
    <s v="Online"/>
    <s v="North-David"/>
  </r>
  <r>
    <x v="61"/>
    <x v="338"/>
    <d v="2023-10-24T00:00:00"/>
    <x v="1"/>
    <s v="East"/>
    <n v="2044.55"/>
    <n v="45"/>
    <x v="1"/>
    <n v="1741.66"/>
    <n v="2169.86"/>
    <s v="Returning"/>
    <n v="0.14000000000000001"/>
    <s v="Credit Card"/>
    <s v="Online"/>
    <s v="East-David"/>
  </r>
  <r>
    <x v="31"/>
    <x v="113"/>
    <d v="2023-07-07T00:00:00"/>
    <x v="1"/>
    <s v="South"/>
    <n v="9519.2999999999993"/>
    <n v="15"/>
    <x v="2"/>
    <n v="957.95"/>
    <n v="1329.26"/>
    <s v="New"/>
    <n v="0.21"/>
    <s v="Cash"/>
    <s v="Online"/>
    <s v="South-David"/>
  </r>
  <r>
    <x v="74"/>
    <x v="339"/>
    <d v="2023-12-28T00:00:00"/>
    <x v="0"/>
    <s v="West"/>
    <n v="1837.37"/>
    <n v="46"/>
    <x v="0"/>
    <n v="83.86"/>
    <n v="526.14"/>
    <s v="Returning"/>
    <n v="0.11"/>
    <s v="Credit Card"/>
    <s v="Online"/>
    <s v="West-Bob"/>
  </r>
  <r>
    <x v="87"/>
    <x v="362"/>
    <d v="2023-01-14T00:00:00"/>
    <x v="2"/>
    <s v="West"/>
    <n v="5720.5"/>
    <n v="25"/>
    <x v="1"/>
    <n v="2361.7399999999998"/>
    <n v="2584.35"/>
    <s v="Returning"/>
    <n v="0.2"/>
    <s v="Cash"/>
    <s v="Online"/>
    <s v="West-Charlie"/>
  </r>
  <r>
    <x v="79"/>
    <x v="196"/>
    <d v="2023-01-12T00:00:00"/>
    <x v="3"/>
    <s v="West"/>
    <n v="5835.21"/>
    <n v="38"/>
    <x v="1"/>
    <n v="3443.98"/>
    <n v="3820.3"/>
    <s v="Returning"/>
    <n v="0.01"/>
    <s v="Credit Card"/>
    <s v="Retail"/>
    <s v="West-Eve"/>
  </r>
  <r>
    <x v="53"/>
    <x v="66"/>
    <d v="2023-03-28T00:00:00"/>
    <x v="2"/>
    <s v="South"/>
    <n v="4947.28"/>
    <n v="42"/>
    <x v="1"/>
    <n v="1170.07"/>
    <n v="1669.9499999999998"/>
    <s v="Returning"/>
    <n v="0.12"/>
    <s v="Bank Transfer"/>
    <s v="Retail"/>
    <s v="South-Charlie"/>
  </r>
  <r>
    <x v="57"/>
    <x v="205"/>
    <d v="2023-01-12T00:00:00"/>
    <x v="2"/>
    <s v="East"/>
    <n v="6482.98"/>
    <n v="47"/>
    <x v="2"/>
    <n v="702.44"/>
    <n v="1067.6600000000001"/>
    <s v="New"/>
    <n v="0.24"/>
    <s v="Cash"/>
    <s v="Retail"/>
    <s v="East-Charlie"/>
  </r>
  <r>
    <x v="4"/>
    <x v="323"/>
    <d v="2023-01-25T00:00:00"/>
    <x v="0"/>
    <s v="East"/>
    <n v="2375.2800000000002"/>
    <n v="38"/>
    <x v="0"/>
    <n v="4440.8599999999997"/>
    <n v="4506.8099999999995"/>
    <s v="Returning"/>
    <n v="0.24"/>
    <s v="Bank Transfer"/>
    <s v="Online"/>
    <s v="East-Bob"/>
  </r>
  <r>
    <x v="48"/>
    <x v="96"/>
    <d v="2023-10-28T00:00:00"/>
    <x v="2"/>
    <s v="North"/>
    <n v="5571.36"/>
    <n v="23"/>
    <x v="1"/>
    <n v="1411.37"/>
    <n v="1675.35"/>
    <s v="New"/>
    <n v="0.21"/>
    <s v="Cash"/>
    <s v="Retail"/>
    <s v="North-Charlie"/>
  </r>
  <r>
    <x v="61"/>
    <x v="83"/>
    <d v="2023-08-31T00:00:00"/>
    <x v="4"/>
    <s v="East"/>
    <n v="3784.52"/>
    <n v="25"/>
    <x v="3"/>
    <n v="1156.8800000000001"/>
    <n v="1454.68"/>
    <s v="Returning"/>
    <n v="0.06"/>
    <s v="Credit Card"/>
    <s v="Online"/>
    <s v="East-Alice"/>
  </r>
  <r>
    <x v="49"/>
    <x v="127"/>
    <d v="2023-05-02T00:00:00"/>
    <x v="1"/>
    <s v="North"/>
    <n v="6650.51"/>
    <n v="42"/>
    <x v="0"/>
    <n v="4292.63"/>
    <n v="4387.99"/>
    <s v="New"/>
    <n v="7.0000000000000007E-2"/>
    <s v="Credit Card"/>
    <s v="Retail"/>
    <s v="North-David"/>
  </r>
  <r>
    <x v="66"/>
    <x v="92"/>
    <d v="2023-05-27T00:00:00"/>
    <x v="4"/>
    <s v="South"/>
    <n v="1498.11"/>
    <n v="7"/>
    <x v="3"/>
    <n v="4094.68"/>
    <n v="4576.5"/>
    <s v="New"/>
    <n v="0.3"/>
    <s v="Cash"/>
    <s v="Retail"/>
    <s v="South-Alice"/>
  </r>
  <r>
    <x v="45"/>
    <x v="93"/>
    <d v="2023-02-24T00:00:00"/>
    <x v="3"/>
    <s v="West"/>
    <n v="5751.69"/>
    <n v="22"/>
    <x v="3"/>
    <n v="2269.3200000000002"/>
    <n v="2365.3500000000004"/>
    <s v="New"/>
    <n v="0.03"/>
    <s v="Cash"/>
    <s v="Retail"/>
    <s v="West-Eve"/>
  </r>
  <r>
    <x v="73"/>
    <x v="112"/>
    <d v="2023-08-26T00:00:00"/>
    <x v="1"/>
    <s v="West"/>
    <n v="1934.18"/>
    <n v="17"/>
    <x v="1"/>
    <n v="2471.73"/>
    <n v="2568.73"/>
    <s v="New"/>
    <n v="0.05"/>
    <s v="Cash"/>
    <s v="Retail"/>
    <s v="West-David"/>
  </r>
  <r>
    <x v="0"/>
    <x v="121"/>
    <d v="2023-12-22T00:00:00"/>
    <x v="2"/>
    <s v="West"/>
    <n v="2858.57"/>
    <n v="18"/>
    <x v="1"/>
    <n v="1127.8599999999999"/>
    <n v="1586.29"/>
    <s v="New"/>
    <n v="0.04"/>
    <s v="Credit Card"/>
    <s v="Online"/>
    <s v="West-Charlie"/>
  </r>
  <r>
    <x v="76"/>
    <x v="154"/>
    <d v="2023-06-22T00:00:00"/>
    <x v="3"/>
    <s v="East"/>
    <n v="2265.23"/>
    <n v="49"/>
    <x v="2"/>
    <n v="437.59"/>
    <n v="675.54"/>
    <s v="Returning"/>
    <n v="0.1"/>
    <s v="Cash"/>
    <s v="Online"/>
    <s v="East-Eve"/>
  </r>
  <r>
    <x v="31"/>
    <x v="113"/>
    <d v="2023-08-09T00:00:00"/>
    <x v="1"/>
    <s v="North"/>
    <n v="1910.09"/>
    <n v="41"/>
    <x v="2"/>
    <n v="2888.49"/>
    <n v="2929.45"/>
    <s v="New"/>
    <n v="0.06"/>
    <s v="Cash"/>
    <s v="Retail"/>
    <s v="North-David"/>
  </r>
  <r>
    <x v="87"/>
    <x v="160"/>
    <d v="2023-04-29T00:00:00"/>
    <x v="2"/>
    <s v="North"/>
    <n v="8274.5400000000009"/>
    <n v="10"/>
    <x v="2"/>
    <n v="536.80999999999995"/>
    <n v="839.92"/>
    <s v="Returning"/>
    <n v="0.15"/>
    <s v="Bank Transfer"/>
    <s v="Online"/>
    <s v="North-Charlie"/>
  </r>
  <r>
    <x v="74"/>
    <x v="339"/>
    <d v="2023-11-05T00:00:00"/>
    <x v="4"/>
    <s v="South"/>
    <n v="2928.5"/>
    <n v="10"/>
    <x v="0"/>
    <n v="2273.91"/>
    <n v="2578.7999999999997"/>
    <s v="New"/>
    <n v="0.14000000000000001"/>
    <s v="Cash"/>
    <s v="Online"/>
    <s v="South-Alice"/>
  </r>
  <r>
    <x v="39"/>
    <x v="363"/>
    <d v="2023-07-02T00:00:00"/>
    <x v="1"/>
    <s v="East"/>
    <n v="9278.5300000000007"/>
    <n v="7"/>
    <x v="2"/>
    <n v="4705.46"/>
    <n v="4747.07"/>
    <s v="New"/>
    <n v="0.27"/>
    <s v="Bank Transfer"/>
    <s v="Retail"/>
    <s v="East-David"/>
  </r>
  <r>
    <x v="41"/>
    <x v="49"/>
    <d v="2023-10-15T00:00:00"/>
    <x v="2"/>
    <s v="South"/>
    <n v="9702.27"/>
    <n v="48"/>
    <x v="3"/>
    <n v="4766.53"/>
    <n v="5253.07"/>
    <s v="Returning"/>
    <n v="0.01"/>
    <s v="Bank Transfer"/>
    <s v="Online"/>
    <s v="South-Charlie"/>
  </r>
  <r>
    <x v="69"/>
    <x v="100"/>
    <d v="2023-11-03T00:00:00"/>
    <x v="4"/>
    <s v="North"/>
    <n v="5755.48"/>
    <n v="38"/>
    <x v="2"/>
    <n v="1234.69"/>
    <n v="1511.26"/>
    <s v="New"/>
    <n v="0.1"/>
    <s v="Bank Transfer"/>
    <s v="Online"/>
    <s v="North-Alice"/>
  </r>
  <r>
    <x v="7"/>
    <x v="331"/>
    <d v="2023-10-27T00:00:00"/>
    <x v="3"/>
    <s v="North"/>
    <n v="1515.71"/>
    <n v="27"/>
    <x v="1"/>
    <n v="3139.36"/>
    <n v="3423.6600000000003"/>
    <s v="New"/>
    <n v="0.18"/>
    <s v="Credit Card"/>
    <s v="Online"/>
    <s v="North-Eve"/>
  </r>
  <r>
    <x v="47"/>
    <x v="359"/>
    <d v="2023-03-23T00:00:00"/>
    <x v="3"/>
    <s v="West"/>
    <n v="3808.03"/>
    <n v="33"/>
    <x v="2"/>
    <n v="2396.6799999999998"/>
    <n v="2661.54"/>
    <s v="New"/>
    <n v="0.18"/>
    <s v="Bank Transfer"/>
    <s v="Online"/>
    <s v="West-Eve"/>
  </r>
  <r>
    <x v="9"/>
    <x v="10"/>
    <d v="2023-07-30T00:00:00"/>
    <x v="3"/>
    <s v="East"/>
    <n v="7997.55"/>
    <n v="1"/>
    <x v="0"/>
    <n v="4384.6400000000003"/>
    <n v="4693.9000000000005"/>
    <s v="New"/>
    <n v="0.14000000000000001"/>
    <s v="Cash"/>
    <s v="Retail"/>
    <s v="East-Eve"/>
  </r>
  <r>
    <x v="15"/>
    <x v="16"/>
    <d v="2023-05-30T00:00:00"/>
    <x v="3"/>
    <s v="North"/>
    <n v="3737.17"/>
    <n v="44"/>
    <x v="0"/>
    <n v="1393.58"/>
    <n v="1533.09"/>
    <s v="Returning"/>
    <n v="0.24"/>
    <s v="Credit Card"/>
    <s v="Retail"/>
    <s v="North-Eve"/>
  </r>
  <r>
    <x v="61"/>
    <x v="83"/>
    <d v="2023-02-06T00:00:00"/>
    <x v="0"/>
    <s v="West"/>
    <n v="961.47"/>
    <n v="34"/>
    <x v="3"/>
    <n v="68.33"/>
    <n v="219.07999999999998"/>
    <s v="New"/>
    <n v="0.02"/>
    <s v="Credit Card"/>
    <s v="Online"/>
    <s v="West-Bob"/>
  </r>
  <r>
    <x v="39"/>
    <x v="220"/>
    <d v="2023-12-18T00:00:00"/>
    <x v="1"/>
    <s v="East"/>
    <n v="5612.17"/>
    <n v="4"/>
    <x v="0"/>
    <n v="854.68"/>
    <n v="1115.24"/>
    <s v="New"/>
    <n v="0.24"/>
    <s v="Credit Card"/>
    <s v="Retail"/>
    <s v="East-David"/>
  </r>
  <r>
    <x v="26"/>
    <x v="131"/>
    <d v="2023-11-08T00:00:00"/>
    <x v="1"/>
    <s v="South"/>
    <n v="8466.7000000000007"/>
    <n v="17"/>
    <x v="2"/>
    <n v="1780.14"/>
    <n v="2185.42"/>
    <s v="Returning"/>
    <n v="0.15"/>
    <s v="Credit Card"/>
    <s v="Retail"/>
    <s v="South-David"/>
  </r>
  <r>
    <x v="87"/>
    <x v="362"/>
    <d v="2023-12-27T00:00:00"/>
    <x v="0"/>
    <s v="East"/>
    <n v="7979.67"/>
    <n v="4"/>
    <x v="1"/>
    <n v="1612.82"/>
    <n v="1647.25"/>
    <s v="Returning"/>
    <n v="0.04"/>
    <s v="Credit Card"/>
    <s v="Retail"/>
    <s v="East-Bob"/>
  </r>
  <r>
    <x v="34"/>
    <x v="101"/>
    <d v="2023-02-28T00:00:00"/>
    <x v="2"/>
    <s v="East"/>
    <n v="1833.72"/>
    <n v="43"/>
    <x v="0"/>
    <n v="3967.25"/>
    <n v="4272.92"/>
    <s v="New"/>
    <n v="0.27"/>
    <s v="Credit Card"/>
    <s v="Online"/>
    <s v="East-Charlie"/>
  </r>
  <r>
    <x v="12"/>
    <x v="114"/>
    <d v="2023-05-11T00:00:00"/>
    <x v="2"/>
    <s v="North"/>
    <n v="6760.37"/>
    <n v="26"/>
    <x v="3"/>
    <n v="3418.78"/>
    <n v="3824.1000000000004"/>
    <s v="New"/>
    <n v="0.19"/>
    <s v="Credit Card"/>
    <s v="Online"/>
    <s v="North-Charlie"/>
  </r>
  <r>
    <x v="71"/>
    <x v="106"/>
    <d v="2023-07-21T00:00:00"/>
    <x v="3"/>
    <s v="North"/>
    <n v="2282.9899999999998"/>
    <n v="4"/>
    <x v="2"/>
    <n v="1532.8"/>
    <n v="1619.69"/>
    <s v="Returning"/>
    <n v="0.05"/>
    <s v="Bank Transfer"/>
    <s v="Retail"/>
    <s v="North-Eve"/>
  </r>
  <r>
    <x v="37"/>
    <x v="214"/>
    <d v="2023-08-31T00:00:00"/>
    <x v="4"/>
    <s v="East"/>
    <n v="2260.25"/>
    <n v="1"/>
    <x v="3"/>
    <n v="2315.83"/>
    <n v="2333.19"/>
    <s v="New"/>
    <n v="0.01"/>
    <s v="Cash"/>
    <s v="Retail"/>
    <s v="East-Alice"/>
  </r>
  <r>
    <x v="17"/>
    <x v="316"/>
    <d v="2023-02-04T00:00:00"/>
    <x v="2"/>
    <s v="North"/>
    <n v="8753.31"/>
    <n v="7"/>
    <x v="0"/>
    <n v="523.02"/>
    <n v="686.25"/>
    <s v="Returning"/>
    <n v="0.04"/>
    <s v="Cash"/>
    <s v="Online"/>
    <s v="North-Charlie"/>
  </r>
  <r>
    <x v="73"/>
    <x v="108"/>
    <d v="2023-04-03T00:00:00"/>
    <x v="4"/>
    <s v="North"/>
    <n v="2571.7199999999998"/>
    <n v="30"/>
    <x v="0"/>
    <n v="4495.82"/>
    <n v="4794.0099999999993"/>
    <s v="New"/>
    <n v="0.18"/>
    <s v="Bank Transfer"/>
    <s v="Retail"/>
    <s v="North-Alice"/>
  </r>
  <r>
    <x v="2"/>
    <x v="74"/>
    <d v="2023-07-26T00:00:00"/>
    <x v="1"/>
    <s v="North"/>
    <n v="2706.15"/>
    <n v="9"/>
    <x v="3"/>
    <n v="4680.3500000000004"/>
    <n v="4758.1100000000006"/>
    <s v="Returning"/>
    <n v="0.05"/>
    <s v="Bank Transfer"/>
    <s v="Online"/>
    <s v="North-David"/>
  </r>
  <r>
    <x v="18"/>
    <x v="234"/>
    <d v="2023-12-19T00:00:00"/>
    <x v="4"/>
    <s v="West"/>
    <n v="106.47"/>
    <n v="35"/>
    <x v="2"/>
    <n v="4900.03"/>
    <n v="5118.83"/>
    <s v="Returning"/>
    <n v="7.0000000000000007E-2"/>
    <s v="Credit Card"/>
    <s v="Retail"/>
    <s v="West-Alice"/>
  </r>
  <r>
    <x v="23"/>
    <x v="28"/>
    <d v="2023-11-28T00:00:00"/>
    <x v="1"/>
    <s v="West"/>
    <n v="8719.6200000000008"/>
    <n v="8"/>
    <x v="0"/>
    <n v="4349.34"/>
    <n v="4629.9800000000005"/>
    <s v="Returning"/>
    <n v="0.01"/>
    <s v="Credit Card"/>
    <s v="Online"/>
    <s v="West-David"/>
  </r>
  <r>
    <x v="69"/>
    <x v="139"/>
    <d v="2023-11-01T00:00:00"/>
    <x v="0"/>
    <s v="East"/>
    <n v="7946.69"/>
    <n v="24"/>
    <x v="1"/>
    <n v="911.11"/>
    <n v="1214.56"/>
    <s v="New"/>
    <n v="0.22"/>
    <s v="Bank Transfer"/>
    <s v="Online"/>
    <s v="East-Bob"/>
  </r>
  <r>
    <x v="55"/>
    <x v="293"/>
    <d v="2023-12-16T00:00:00"/>
    <x v="0"/>
    <s v="North"/>
    <n v="6310.56"/>
    <n v="19"/>
    <x v="0"/>
    <n v="278.67"/>
    <n v="423.13"/>
    <s v="New"/>
    <n v="0.24"/>
    <s v="Credit Card"/>
    <s v="Online"/>
    <s v="North-Bob"/>
  </r>
  <r>
    <x v="36"/>
    <x v="43"/>
    <d v="2023-08-01T00:00:00"/>
    <x v="3"/>
    <s v="West"/>
    <n v="7527.63"/>
    <n v="36"/>
    <x v="2"/>
    <n v="2919"/>
    <n v="3125.01"/>
    <s v="New"/>
    <n v="0.24"/>
    <s v="Cash"/>
    <s v="Online"/>
    <s v="West-Eve"/>
  </r>
  <r>
    <x v="84"/>
    <x v="192"/>
    <d v="2023-06-08T00:00:00"/>
    <x v="2"/>
    <s v="East"/>
    <n v="1605.28"/>
    <n v="43"/>
    <x v="0"/>
    <n v="4567.3900000000003"/>
    <n v="4958.7800000000007"/>
    <s v="New"/>
    <n v="0.04"/>
    <s v="Cash"/>
    <s v="Retail"/>
    <s v="East-Charlie"/>
  </r>
  <r>
    <x v="90"/>
    <x v="248"/>
    <d v="2023-01-24T00:00:00"/>
    <x v="3"/>
    <s v="North"/>
    <n v="4637.3999999999996"/>
    <n v="27"/>
    <x v="3"/>
    <n v="927.89"/>
    <n v="1399.09"/>
    <s v="Returning"/>
    <n v="0.27"/>
    <s v="Credit Card"/>
    <s v="Online"/>
    <s v="North-Eve"/>
  </r>
  <r>
    <x v="74"/>
    <x v="339"/>
    <d v="2023-10-20T00:00:00"/>
    <x v="1"/>
    <s v="South"/>
    <n v="3577.07"/>
    <n v="32"/>
    <x v="0"/>
    <n v="84.86"/>
    <n v="517.17999999999995"/>
    <s v="Returning"/>
    <n v="0.2"/>
    <s v="Credit Card"/>
    <s v="Retail"/>
    <s v="South-David"/>
  </r>
  <r>
    <x v="41"/>
    <x v="169"/>
    <d v="2023-01-04T00:00:00"/>
    <x v="3"/>
    <s v="North"/>
    <n v="1028.3900000000001"/>
    <n v="14"/>
    <x v="0"/>
    <n v="4037.21"/>
    <n v="4323.71"/>
    <s v="Returning"/>
    <n v="0.27"/>
    <s v="Credit Card"/>
    <s v="Online"/>
    <s v="North-Eve"/>
  </r>
  <r>
    <x v="44"/>
    <x v="152"/>
    <d v="2023-08-08T00:00:00"/>
    <x v="4"/>
    <s v="North"/>
    <n v="4912.6899999999996"/>
    <n v="18"/>
    <x v="2"/>
    <n v="430.14"/>
    <n v="641.17999999999995"/>
    <s v="New"/>
    <n v="0.13"/>
    <s v="Cash"/>
    <s v="Online"/>
    <s v="North-Alice"/>
  </r>
  <r>
    <x v="97"/>
    <x v="243"/>
    <d v="2023-12-30T00:00:00"/>
    <x v="1"/>
    <s v="West"/>
    <n v="9215.32"/>
    <n v="28"/>
    <x v="3"/>
    <n v="2097.84"/>
    <n v="2270.9900000000002"/>
    <s v="New"/>
    <n v="0.13"/>
    <s v="Credit Card"/>
    <s v="Retail"/>
    <s v="West-David"/>
  </r>
  <r>
    <x v="90"/>
    <x v="353"/>
    <d v="2023-01-20T00:00:00"/>
    <x v="0"/>
    <s v="East"/>
    <n v="496.59"/>
    <n v="29"/>
    <x v="2"/>
    <n v="3410.49"/>
    <n v="3481.72"/>
    <s v="New"/>
    <n v="0.24"/>
    <s v="Bank Transfer"/>
    <s v="Retail"/>
    <s v="East-Bob"/>
  </r>
  <r>
    <x v="81"/>
    <x v="272"/>
    <d v="2023-06-01T00:00:00"/>
    <x v="2"/>
    <s v="East"/>
    <n v="2985.46"/>
    <n v="16"/>
    <x v="0"/>
    <n v="1222.1500000000001"/>
    <n v="1284.3600000000001"/>
    <s v="Returning"/>
    <n v="0.03"/>
    <s v="Credit Card"/>
    <s v="Retail"/>
    <s v="East-Charlie"/>
  </r>
  <r>
    <x v="42"/>
    <x v="288"/>
    <d v="2023-02-19T00:00:00"/>
    <x v="1"/>
    <s v="West"/>
    <n v="2154.66"/>
    <n v="35"/>
    <x v="1"/>
    <n v="465.61"/>
    <n v="812.91000000000008"/>
    <s v="New"/>
    <n v="0.16"/>
    <s v="Bank Transfer"/>
    <s v="Online"/>
    <s v="West-David"/>
  </r>
  <r>
    <x v="97"/>
    <x v="355"/>
    <d v="2023-06-26T00:00:00"/>
    <x v="1"/>
    <s v="North"/>
    <n v="2457.65"/>
    <n v="47"/>
    <x v="0"/>
    <n v="3861.61"/>
    <n v="3998.9100000000003"/>
    <s v="New"/>
    <n v="0.25"/>
    <s v="Credit Card"/>
    <s v="Online"/>
    <s v="North-David"/>
  </r>
  <r>
    <x v="89"/>
    <x v="171"/>
    <d v="2023-04-06T00:00:00"/>
    <x v="4"/>
    <s v="South"/>
    <n v="9093.5"/>
    <n v="31"/>
    <x v="2"/>
    <n v="3169.37"/>
    <n v="3304.15"/>
    <s v="Returning"/>
    <n v="0.25"/>
    <s v="Credit Card"/>
    <s v="Retail"/>
    <s v="South-Alice"/>
  </r>
  <r>
    <x v="99"/>
    <x v="300"/>
    <d v="2023-04-15T00:00:00"/>
    <x v="2"/>
    <s v="North"/>
    <n v="4733.88"/>
    <n v="4"/>
    <x v="1"/>
    <n v="4943.03"/>
    <n v="5442.15"/>
    <s v="Returning"/>
    <n v="0.28999999999999998"/>
    <s v="Cash"/>
    <s v="Online"/>
    <s v="North-Charlie"/>
  </r>
  <r>
    <x v="95"/>
    <x v="364"/>
    <d v="2023-09-07T00:00:00"/>
    <x v="0"/>
    <s v="North"/>
    <n v="4716.3599999999997"/>
    <n v="37"/>
    <x v="2"/>
    <n v="1754.32"/>
    <n v="1856.3999999999999"/>
    <s v="New"/>
    <n v="0.21"/>
    <s v="Bank Transfer"/>
    <s v="Retail"/>
    <s v="North-Bob"/>
  </r>
  <r>
    <x v="37"/>
    <x v="44"/>
    <d v="2023-04-27T00:00:00"/>
    <x v="1"/>
    <s v="South"/>
    <n v="7629.7"/>
    <n v="17"/>
    <x v="2"/>
    <n v="355.72"/>
    <n v="438.27000000000004"/>
    <s v="Returning"/>
    <n v="0.06"/>
    <s v="Bank Transfer"/>
    <s v="Online"/>
    <s v="South-David"/>
  </r>
  <r>
    <x v="10"/>
    <x v="283"/>
    <d v="2023-12-20T00:00:00"/>
    <x v="1"/>
    <s v="West"/>
    <n v="1629.47"/>
    <n v="39"/>
    <x v="3"/>
    <n v="3685.03"/>
    <n v="3743.3900000000003"/>
    <s v="New"/>
    <n v="0.01"/>
    <s v="Bank Transfer"/>
    <s v="Online"/>
    <s v="West-David"/>
  </r>
  <r>
    <x v="74"/>
    <x v="246"/>
    <d v="2023-08-16T00:00:00"/>
    <x v="4"/>
    <s v="East"/>
    <n v="4923.93"/>
    <n v="48"/>
    <x v="1"/>
    <n v="2632.58"/>
    <n v="2926.68"/>
    <s v="Returning"/>
    <n v="0.14000000000000001"/>
    <s v="Cash"/>
    <s v="Online"/>
    <s v="East-Alic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n v="1042"/>
    <x v="0"/>
    <d v="2022-01-01T00:00:00"/>
    <x v="0"/>
    <s v="Jan"/>
    <x v="0"/>
    <x v="0"/>
    <n v="166149.79919999998"/>
    <n v="34"/>
    <x v="0"/>
    <n v="4831.3500000000004"/>
    <n v="4936.12"/>
    <n v="1883.8991999999744"/>
    <s v="Returning"/>
    <n v="0.01"/>
    <s v="Credit Card"/>
    <s v="Retail"/>
    <x v="0"/>
  </r>
  <r>
    <n v="1092"/>
    <x v="1"/>
    <d v="2022-01-01T00:00:00"/>
    <x v="0"/>
    <s v="Jan"/>
    <x v="1"/>
    <x v="1"/>
    <n v="4685.2892999999995"/>
    <n v="3"/>
    <x v="1"/>
    <n v="178.88"/>
    <n v="1754.79"/>
    <n v="4148.6493"/>
    <s v="New"/>
    <n v="0.11"/>
    <s v="Bank Transfer"/>
    <s v="Retail"/>
    <x v="1"/>
  </r>
  <r>
    <n v="1063"/>
    <x v="2"/>
    <d v="2022-01-01T00:00:00"/>
    <x v="0"/>
    <s v="Jan"/>
    <x v="0"/>
    <x v="2"/>
    <n v="11096.1978"/>
    <n v="6"/>
    <x v="2"/>
    <n v="380.57"/>
    <n v="2340.9699999999998"/>
    <n v="8812.7777999999998"/>
    <s v="New"/>
    <n v="0.21"/>
    <s v="Cash"/>
    <s v="Retail"/>
    <x v="2"/>
  </r>
  <r>
    <n v="1027"/>
    <x v="3"/>
    <d v="2022-01-01T00:00:00"/>
    <x v="0"/>
    <s v="Jan"/>
    <x v="2"/>
    <x v="3"/>
    <n v="10712.79"/>
    <n v="5"/>
    <x v="3"/>
    <n v="263.35000000000002"/>
    <n v="2380.62"/>
    <n v="9396.0400000000009"/>
    <s v="Returning"/>
    <n v="0.1"/>
    <s v="Bank Transfer"/>
    <s v="Retail"/>
    <x v="3"/>
  </r>
  <r>
    <n v="1053"/>
    <x v="4"/>
    <d v="2022-01-01T00:00:00"/>
    <x v="0"/>
    <s v="Jan"/>
    <x v="1"/>
    <x v="1"/>
    <n v="74506.824000000008"/>
    <n v="27"/>
    <x v="2"/>
    <n v="1172.99"/>
    <n v="3449.39"/>
    <n v="42836.094000000005"/>
    <s v="Returning"/>
    <n v="0.2"/>
    <s v="Cash"/>
    <s v="Online"/>
    <x v="1"/>
  </r>
  <r>
    <n v="1085"/>
    <x v="5"/>
    <d v="2022-01-02T00:00:00"/>
    <x v="0"/>
    <s v="Jan"/>
    <x v="3"/>
    <x v="3"/>
    <n v="13032.784"/>
    <n v="40"/>
    <x v="0"/>
    <n v="192.71"/>
    <n v="378.86"/>
    <n v="5324.3839999999991"/>
    <s v="Returning"/>
    <n v="0.14000000000000001"/>
    <s v="Bank Transfer"/>
    <s v="Online"/>
    <x v="4"/>
  </r>
  <r>
    <n v="1038"/>
    <x v="6"/>
    <d v="2022-01-02T00:00:00"/>
    <x v="0"/>
    <s v="Jan"/>
    <x v="0"/>
    <x v="3"/>
    <n v="25738.445599999999"/>
    <n v="7"/>
    <x v="0"/>
    <n v="438.38"/>
    <n v="3751.96"/>
    <n v="22669.785599999999"/>
    <s v="Returning"/>
    <n v="0.02"/>
    <s v="Bank Transfer"/>
    <s v="Retail"/>
    <x v="5"/>
  </r>
  <r>
    <n v="1025"/>
    <x v="7"/>
    <d v="2022-01-02T00:00:00"/>
    <x v="0"/>
    <s v="Jan"/>
    <x v="4"/>
    <x v="1"/>
    <n v="139348.23240000001"/>
    <n v="46"/>
    <x v="3"/>
    <n v="689.7"/>
    <n v="3883.73"/>
    <n v="107622.03240000001"/>
    <s v="Returning"/>
    <n v="0.22"/>
    <s v="Credit Card"/>
    <s v="Retail"/>
    <x v="6"/>
  </r>
  <r>
    <n v="1001"/>
    <x v="8"/>
    <d v="2022-01-02T00:00:00"/>
    <x v="0"/>
    <s v="Jan"/>
    <x v="2"/>
    <x v="3"/>
    <n v="167477.28599999999"/>
    <n v="38"/>
    <x v="0"/>
    <n v="252.49"/>
    <n v="4639.26"/>
    <n v="157882.666"/>
    <s v="Returning"/>
    <n v="0.05"/>
    <s v="Bank Transfer"/>
    <s v="Retail"/>
    <x v="3"/>
  </r>
  <r>
    <n v="1076"/>
    <x v="9"/>
    <d v="2022-01-03T00:00:00"/>
    <x v="0"/>
    <s v="Jan"/>
    <x v="1"/>
    <x v="3"/>
    <n v="9721.0960000000014"/>
    <n v="5"/>
    <x v="3"/>
    <n v="1014.39"/>
    <n v="2209.34"/>
    <n v="4649.1460000000015"/>
    <s v="Returning"/>
    <n v="0.12"/>
    <s v="Cash"/>
    <s v="Online"/>
    <x v="7"/>
  </r>
  <r>
    <n v="1093"/>
    <x v="10"/>
    <d v="2022-01-03T00:00:00"/>
    <x v="0"/>
    <s v="Jan"/>
    <x v="2"/>
    <x v="3"/>
    <n v="129259.31776954758"/>
    <n v="29"/>
    <x v="2"/>
    <n v="4192.33"/>
    <n v="4608.8100000000004"/>
    <n v="8068.2553000000189"/>
    <s v="New"/>
    <n v="0.03"/>
    <s v="Cash"/>
    <s v="Online"/>
    <x v="3"/>
  </r>
  <r>
    <n v="1085"/>
    <x v="11"/>
    <d v="2022-01-03T00:00:00"/>
    <x v="0"/>
    <s v="Jan"/>
    <x v="2"/>
    <x v="1"/>
    <n v="78482.59199999999"/>
    <n v="32"/>
    <x v="1"/>
    <n v="1235.78"/>
    <n v="3359.7"/>
    <n v="38937.631999999991"/>
    <s v="New"/>
    <n v="0.27"/>
    <s v="Credit Card"/>
    <s v="Retail"/>
    <x v="8"/>
  </r>
  <r>
    <n v="1007"/>
    <x v="12"/>
    <d v="2022-01-03T00:00:00"/>
    <x v="0"/>
    <s v="Jan"/>
    <x v="3"/>
    <x v="2"/>
    <n v="78764.092199999999"/>
    <n v="18"/>
    <x v="2"/>
    <n v="613.42999999999995"/>
    <n v="4916.6099999999997"/>
    <n v="67722.352200000008"/>
    <s v="Returning"/>
    <n v="0.11"/>
    <s v="Credit Card"/>
    <s v="Retail"/>
    <x v="9"/>
  </r>
  <r>
    <n v="1037"/>
    <x v="13"/>
    <d v="2022-01-04T00:00:00"/>
    <x v="0"/>
    <s v="Jan"/>
    <x v="2"/>
    <x v="3"/>
    <n v="72898.76999999999"/>
    <n v="25"/>
    <x v="2"/>
    <n v="2748.89"/>
    <n v="3471.37"/>
    <n v="4176.5199999999932"/>
    <s v="Returning"/>
    <n v="0.16"/>
    <s v="Cash"/>
    <s v="Online"/>
    <x v="3"/>
  </r>
  <r>
    <n v="1091"/>
    <x v="14"/>
    <d v="2022-01-04T00:00:00"/>
    <x v="0"/>
    <s v="Jan"/>
    <x v="1"/>
    <x v="0"/>
    <n v="30939.051000000003"/>
    <n v="13"/>
    <x v="3"/>
    <n v="1357.52"/>
    <n v="2902.35"/>
    <n v="13291.291000000001"/>
    <s v="New"/>
    <n v="0.18"/>
    <s v="Credit Card"/>
    <s v="Online"/>
    <x v="10"/>
  </r>
  <r>
    <n v="1013"/>
    <x v="15"/>
    <d v="2022-01-04T00:00:00"/>
    <x v="0"/>
    <s v="Jan"/>
    <x v="3"/>
    <x v="0"/>
    <n v="37892.157599999999"/>
    <n v="8"/>
    <x v="0"/>
    <n v="3017.1"/>
    <n v="4883.01"/>
    <n v="13755.357599999999"/>
    <s v="New"/>
    <n v="0.03"/>
    <s v="Credit Card"/>
    <s v="Retail"/>
    <x v="11"/>
  </r>
  <r>
    <n v="1099"/>
    <x v="16"/>
    <d v="2022-01-04T00:00:00"/>
    <x v="0"/>
    <s v="Jan"/>
    <x v="1"/>
    <x v="0"/>
    <n v="184529.4528"/>
    <n v="49"/>
    <x v="1"/>
    <n v="2827.29"/>
    <n v="3922.82"/>
    <n v="45992.242800000007"/>
    <s v="Returning"/>
    <n v="0.04"/>
    <s v="Bank Transfer"/>
    <s v="Retail"/>
    <x v="10"/>
  </r>
  <r>
    <n v="1074"/>
    <x v="17"/>
    <d v="2022-01-04T00:00:00"/>
    <x v="0"/>
    <s v="Jan"/>
    <x v="4"/>
    <x v="3"/>
    <n v="82391.817600000009"/>
    <n v="24"/>
    <x v="1"/>
    <n v="1363.68"/>
    <n v="4345.5600000000004"/>
    <n v="49663.497600000017"/>
    <s v="New"/>
    <n v="0.21"/>
    <s v="Bank Transfer"/>
    <s v="Retail"/>
    <x v="12"/>
  </r>
  <r>
    <n v="1062"/>
    <x v="18"/>
    <d v="2022-01-04T00:00:00"/>
    <x v="0"/>
    <s v="Jan"/>
    <x v="0"/>
    <x v="2"/>
    <n v="177697.90079999994"/>
    <n v="42"/>
    <x v="0"/>
    <n v="2796.61"/>
    <n v="4407.1899999999996"/>
    <n v="60240.280799999957"/>
    <s v="New"/>
    <n v="0.04"/>
    <s v="Cash"/>
    <s v="Online"/>
    <x v="2"/>
  </r>
  <r>
    <n v="1075"/>
    <x v="19"/>
    <d v="2022-01-05T00:00:00"/>
    <x v="0"/>
    <s v="Jan"/>
    <x v="4"/>
    <x v="0"/>
    <n v="36160.914900000003"/>
    <n v="33"/>
    <x v="3"/>
    <n v="905.16"/>
    <n v="1387.07"/>
    <n v="6290.6349000000009"/>
    <s v="Returning"/>
    <n v="0.21"/>
    <s v="Bank Transfer"/>
    <s v="Online"/>
    <x v="13"/>
  </r>
  <r>
    <n v="1094"/>
    <x v="20"/>
    <d v="2022-01-05T00:00:00"/>
    <x v="0"/>
    <s v="Jan"/>
    <x v="2"/>
    <x v="2"/>
    <n v="15973.642799999998"/>
    <n v="4"/>
    <x v="2"/>
    <n v="2375.9"/>
    <n v="4293.99"/>
    <n v="6470.0427999999974"/>
    <s v="New"/>
    <n v="7.0000000000000007E-2"/>
    <s v="Cash"/>
    <s v="Retail"/>
    <x v="14"/>
  </r>
  <r>
    <n v="1078"/>
    <x v="21"/>
    <d v="2022-01-06T00:00:00"/>
    <x v="0"/>
    <s v="Jan"/>
    <x v="4"/>
    <x v="3"/>
    <n v="25621.2264"/>
    <n v="8"/>
    <x v="2"/>
    <n v="3006.08"/>
    <n v="4159.29"/>
    <n v="1572.5864000000001"/>
    <s v="New"/>
    <n v="0.23"/>
    <s v="Bank Transfer"/>
    <s v="Retail"/>
    <x v="12"/>
  </r>
  <r>
    <n v="1079"/>
    <x v="22"/>
    <d v="2022-01-06T00:00:00"/>
    <x v="0"/>
    <s v="Jan"/>
    <x v="4"/>
    <x v="0"/>
    <n v="133141.05479999998"/>
    <n v="41"/>
    <x v="2"/>
    <n v="3171.51"/>
    <n v="3775.98"/>
    <n v="3109.1447999999868"/>
    <s v="New"/>
    <n v="0.14000000000000001"/>
    <s v="Credit Card"/>
    <s v="Retail"/>
    <x v="13"/>
  </r>
  <r>
    <n v="1086"/>
    <x v="23"/>
    <d v="2022-01-06T00:00:00"/>
    <x v="0"/>
    <s v="Jan"/>
    <x v="1"/>
    <x v="3"/>
    <n v="37635.1976"/>
    <n v="11"/>
    <x v="1"/>
    <n v="419.02"/>
    <n v="3759.76"/>
    <n v="33025.977599999998"/>
    <s v="New"/>
    <n v="0.09"/>
    <s v="Bank Transfer"/>
    <s v="Online"/>
    <x v="7"/>
  </r>
  <r>
    <n v="1053"/>
    <x v="4"/>
    <d v="2022-01-06T00:00:00"/>
    <x v="0"/>
    <s v="Jan"/>
    <x v="1"/>
    <x v="0"/>
    <n v="83277.532800000001"/>
    <n v="22"/>
    <x v="2"/>
    <n v="1633.09"/>
    <n v="5257.42"/>
    <n v="47349.552800000005"/>
    <s v="New"/>
    <n v="0.28000000000000003"/>
    <s v="Cash"/>
    <s v="Online"/>
    <x v="10"/>
  </r>
  <r>
    <n v="1041"/>
    <x v="24"/>
    <d v="2022-01-06T00:00:00"/>
    <x v="0"/>
    <s v="Jan"/>
    <x v="1"/>
    <x v="2"/>
    <n v="81942.042600000001"/>
    <n v="33"/>
    <x v="1"/>
    <n v="135.24"/>
    <n v="3355.53"/>
    <n v="77479.122600000002"/>
    <s v="Returning"/>
    <n v="0.26"/>
    <s v="Cash"/>
    <s v="Retail"/>
    <x v="15"/>
  </r>
  <r>
    <n v="1088"/>
    <x v="25"/>
    <d v="2022-01-09T00:00:00"/>
    <x v="0"/>
    <s v="Jan"/>
    <x v="0"/>
    <x v="0"/>
    <n v="17045.112000000001"/>
    <n v="10"/>
    <x v="1"/>
    <n v="1305.01"/>
    <n v="2029.18"/>
    <n v="3995.0119999999993"/>
    <s v="New"/>
    <n v="0.16"/>
    <s v="Cash"/>
    <s v="Retail"/>
    <x v="0"/>
  </r>
  <r>
    <n v="1089"/>
    <x v="26"/>
    <d v="2022-01-09T00:00:00"/>
    <x v="0"/>
    <s v="Jan"/>
    <x v="1"/>
    <x v="1"/>
    <n v="91465.248599999992"/>
    <n v="18"/>
    <x v="3"/>
    <n v="2964.41"/>
    <n v="5132.7299999999996"/>
    <n v="38105.868599999994"/>
    <s v="New"/>
    <n v="0.01"/>
    <s v="Cash"/>
    <s v="Online"/>
    <x v="1"/>
  </r>
  <r>
    <n v="1096"/>
    <x v="27"/>
    <d v="2022-01-09T00:00:00"/>
    <x v="0"/>
    <s v="Jan"/>
    <x v="3"/>
    <x v="3"/>
    <n v="124485.9847"/>
    <n v="49"/>
    <x v="0"/>
    <n v="1411.18"/>
    <n v="3299.39"/>
    <n v="55338.164699999994"/>
    <s v="Returning"/>
    <n v="0.23"/>
    <s v="Bank Transfer"/>
    <s v="Retail"/>
    <x v="4"/>
  </r>
  <r>
    <n v="1075"/>
    <x v="28"/>
    <d v="2022-01-09T00:00:00"/>
    <x v="0"/>
    <s v="Jan"/>
    <x v="4"/>
    <x v="3"/>
    <n v="84183.7788"/>
    <n v="19"/>
    <x v="0"/>
    <n v="419.8"/>
    <n v="4475.4799999999996"/>
    <n v="76207.578799999988"/>
    <s v="Returning"/>
    <n v="0.01"/>
    <s v="Cash"/>
    <s v="Retail"/>
    <x v="12"/>
  </r>
  <r>
    <n v="1010"/>
    <x v="29"/>
    <d v="2022-01-09T00:00:00"/>
    <x v="0"/>
    <s v="Jan"/>
    <x v="1"/>
    <x v="3"/>
    <n v="134715.50050000002"/>
    <n v="35"/>
    <x v="0"/>
    <n v="1047.03"/>
    <n v="4872.17"/>
    <n v="98069.450500000006"/>
    <s v="Returning"/>
    <n v="0.21"/>
    <s v="Cash"/>
    <s v="Online"/>
    <x v="7"/>
  </r>
  <r>
    <n v="1098"/>
    <x v="30"/>
    <d v="2022-01-10T00:00:00"/>
    <x v="0"/>
    <s v="Jan"/>
    <x v="3"/>
    <x v="2"/>
    <n v="48583.296000000002"/>
    <n v="24"/>
    <x v="3"/>
    <n v="2021.59"/>
    <n v="2108.65"/>
    <n v="65.13600000000406"/>
    <s v="New"/>
    <n v="0.04"/>
    <s v="Credit Card"/>
    <s v="Retail"/>
    <x v="9"/>
  </r>
  <r>
    <n v="1050"/>
    <x v="31"/>
    <d v="2022-01-11T00:00:00"/>
    <x v="0"/>
    <s v="Jan"/>
    <x v="3"/>
    <x v="2"/>
    <n v="1064.4342336853781"/>
    <n v="1"/>
    <x v="0"/>
    <n v="927.71"/>
    <n v="1083.6500000000001"/>
    <n v="134.26700000000005"/>
    <s v="Returning"/>
    <n v="0.02"/>
    <s v="Bank Transfer"/>
    <s v="Retail"/>
    <x v="9"/>
  </r>
  <r>
    <n v="1019"/>
    <x v="32"/>
    <d v="2022-01-11T00:00:00"/>
    <x v="0"/>
    <s v="Jan"/>
    <x v="3"/>
    <x v="1"/>
    <n v="21791.037043648168"/>
    <n v="6"/>
    <x v="3"/>
    <n v="2972.07"/>
    <n v="3652.6"/>
    <n v="3864.0239999999994"/>
    <s v="New"/>
    <n v="0.01"/>
    <s v="Cash"/>
    <s v="Retail"/>
    <x v="16"/>
  </r>
  <r>
    <n v="1063"/>
    <x v="33"/>
    <d v="2022-01-11T00:00:00"/>
    <x v="0"/>
    <s v="Jan"/>
    <x v="1"/>
    <x v="1"/>
    <n v="90351.62"/>
    <n v="25"/>
    <x v="1"/>
    <n v="560.39"/>
    <n v="3725.84"/>
    <n v="76341.87000000001"/>
    <s v="New"/>
    <n v="0.03"/>
    <s v="Bank Transfer"/>
    <s v="Retail"/>
    <x v="1"/>
  </r>
  <r>
    <n v="1085"/>
    <x v="34"/>
    <d v="2022-01-11T00:00:00"/>
    <x v="0"/>
    <s v="Jan"/>
    <x v="0"/>
    <x v="2"/>
    <n v="92001.35"/>
    <n v="25"/>
    <x v="2"/>
    <n v="391.31"/>
    <n v="5257.22"/>
    <n v="82218.600000000006"/>
    <s v="New"/>
    <n v="0.3"/>
    <s v="Bank Transfer"/>
    <s v="Online"/>
    <x v="2"/>
  </r>
  <r>
    <n v="1077"/>
    <x v="35"/>
    <d v="2022-01-11T00:00:00"/>
    <x v="0"/>
    <s v="Jan"/>
    <x v="4"/>
    <x v="1"/>
    <n v="102061.15920000001"/>
    <n v="33"/>
    <x v="0"/>
    <n v="383.51"/>
    <n v="3155.88"/>
    <n v="89405.329200000007"/>
    <s v="New"/>
    <n v="0.02"/>
    <s v="Bank Transfer"/>
    <s v="Online"/>
    <x v="6"/>
  </r>
  <r>
    <n v="1091"/>
    <x v="36"/>
    <d v="2022-01-12T00:00:00"/>
    <x v="0"/>
    <s v="Jan"/>
    <x v="4"/>
    <x v="2"/>
    <n v="66827.942999999999"/>
    <n v="30"/>
    <x v="2"/>
    <n v="2090.5"/>
    <n v="2447.91"/>
    <n v="4112.9430000000048"/>
    <s v="New"/>
    <n v="0.09"/>
    <s v="Bank Transfer"/>
    <s v="Retail"/>
    <x v="17"/>
  </r>
  <r>
    <n v="1090"/>
    <x v="37"/>
    <d v="2022-01-12T00:00:00"/>
    <x v="0"/>
    <s v="Jan"/>
    <x v="4"/>
    <x v="0"/>
    <n v="23509.912499999999"/>
    <n v="15"/>
    <x v="1"/>
    <n v="1239.02"/>
    <n v="2089.77"/>
    <n v="4924.6124999999984"/>
    <s v="Returning"/>
    <n v="0.25"/>
    <s v="Cash"/>
    <s v="Retail"/>
    <x v="13"/>
  </r>
  <r>
    <n v="1021"/>
    <x v="38"/>
    <d v="2022-01-12T00:00:00"/>
    <x v="0"/>
    <s v="Jan"/>
    <x v="0"/>
    <x v="2"/>
    <n v="201119.18338193381"/>
    <n v="41"/>
    <x v="2"/>
    <n v="3565.28"/>
    <n v="4971.2299999999996"/>
    <n v="55605.74569999997"/>
    <s v="Returning"/>
    <n v="0.01"/>
    <s v="Bank Transfer"/>
    <s v="Online"/>
    <x v="2"/>
  </r>
  <r>
    <n v="1009"/>
    <x v="39"/>
    <d v="2022-01-12T00:00:00"/>
    <x v="0"/>
    <s v="Jan"/>
    <x v="3"/>
    <x v="2"/>
    <n v="115947.24959999998"/>
    <n v="24"/>
    <x v="3"/>
    <n v="1282.5899999999999"/>
    <n v="4929.7299999999996"/>
    <n v="85165.089599999978"/>
    <s v="New"/>
    <n v="0.02"/>
    <s v="Cash"/>
    <s v="Online"/>
    <x v="9"/>
  </r>
  <r>
    <n v="1095"/>
    <x v="40"/>
    <d v="2022-01-13T00:00:00"/>
    <x v="0"/>
    <s v="Jan"/>
    <x v="1"/>
    <x v="3"/>
    <n v="30869.769845106341"/>
    <n v="12"/>
    <x v="1"/>
    <n v="2485.41"/>
    <n v="2574.56"/>
    <n v="1069.8000000000011"/>
    <s v="Returning"/>
    <n v="0"/>
    <s v="Bank Transfer"/>
    <s v="Online"/>
    <x v="7"/>
  </r>
  <r>
    <n v="1057"/>
    <x v="41"/>
    <d v="2022-01-13T00:00:00"/>
    <x v="0"/>
    <s v="Jan"/>
    <x v="3"/>
    <x v="3"/>
    <n v="161600.88937936077"/>
    <n v="45"/>
    <x v="1"/>
    <n v="3316.21"/>
    <n v="3734.86"/>
    <n v="12116.501999999999"/>
    <s v="Returning"/>
    <n v="0.04"/>
    <s v="Bank Transfer"/>
    <s v="Retail"/>
    <x v="4"/>
  </r>
  <r>
    <n v="1097"/>
    <x v="42"/>
    <d v="2022-01-13T00:00:00"/>
    <x v="0"/>
    <s v="Jan"/>
    <x v="1"/>
    <x v="1"/>
    <n v="43072.479000000007"/>
    <n v="15"/>
    <x v="1"/>
    <n v="2002.38"/>
    <n v="3545.06"/>
    <n v="13036.779000000004"/>
    <s v="Returning"/>
    <n v="0.19"/>
    <s v="Credit Card"/>
    <s v="Online"/>
    <x v="1"/>
  </r>
  <r>
    <n v="1005"/>
    <x v="43"/>
    <d v="2022-01-13T00:00:00"/>
    <x v="0"/>
    <s v="Jan"/>
    <x v="3"/>
    <x v="2"/>
    <n v="122728.62420000001"/>
    <n v="27"/>
    <x v="3"/>
    <n v="3962.83"/>
    <n v="4995.0600000000004"/>
    <n v="15732.214200000008"/>
    <s v="New"/>
    <n v="0.09"/>
    <s v="Bank Transfer"/>
    <s v="Retail"/>
    <x v="9"/>
  </r>
  <r>
    <n v="1050"/>
    <x v="44"/>
    <d v="2022-01-13T00:00:00"/>
    <x v="0"/>
    <s v="Jan"/>
    <x v="2"/>
    <x v="0"/>
    <n v="63746.256000000001"/>
    <n v="35"/>
    <x v="1"/>
    <n v="313.88"/>
    <n v="1897.21"/>
    <n v="52760.456000000006"/>
    <s v="New"/>
    <n v="0.04"/>
    <s v="Credit Card"/>
    <s v="Retail"/>
    <x v="18"/>
  </r>
  <r>
    <n v="1040"/>
    <x v="45"/>
    <d v="2022-01-13T00:00:00"/>
    <x v="0"/>
    <s v="Jan"/>
    <x v="1"/>
    <x v="3"/>
    <n v="73940.233500000002"/>
    <n v="21"/>
    <x v="1"/>
    <n v="797.86"/>
    <n v="4142.3100000000004"/>
    <n v="57185.173500000004"/>
    <s v="Returning"/>
    <n v="0.15"/>
    <s v="Cash"/>
    <s v="Retail"/>
    <x v="7"/>
  </r>
  <r>
    <n v="1097"/>
    <x v="46"/>
    <d v="2022-01-14T00:00:00"/>
    <x v="0"/>
    <s v="Jan"/>
    <x v="3"/>
    <x v="3"/>
    <n v="4603.4459999999999"/>
    <n v="3"/>
    <x v="0"/>
    <n v="1155.55"/>
    <n v="1704.98"/>
    <n v="1136.796"/>
    <s v="Returning"/>
    <n v="0.1"/>
    <s v="Credit Card"/>
    <s v="Retail"/>
    <x v="4"/>
  </r>
  <r>
    <n v="1073"/>
    <x v="47"/>
    <d v="2022-01-15T00:00:00"/>
    <x v="0"/>
    <s v="Jan"/>
    <x v="4"/>
    <x v="2"/>
    <n v="39801.144"/>
    <n v="15"/>
    <x v="3"/>
    <n v="2127.4499999999998"/>
    <n v="3085.36"/>
    <n v="7889.3940000000021"/>
    <s v="Returning"/>
    <n v="0.14000000000000001"/>
    <s v="Cash"/>
    <s v="Online"/>
    <x v="17"/>
  </r>
  <r>
    <n v="1020"/>
    <x v="48"/>
    <d v="2022-01-15T00:00:00"/>
    <x v="0"/>
    <s v="Jan"/>
    <x v="1"/>
    <x v="1"/>
    <n v="67761.200999999986"/>
    <n v="17"/>
    <x v="3"/>
    <n v="2408.56"/>
    <n v="4195.74"/>
    <n v="26815.680999999993"/>
    <s v="New"/>
    <n v="0.05"/>
    <s v="Credit Card"/>
    <s v="Online"/>
    <x v="1"/>
  </r>
  <r>
    <n v="1080"/>
    <x v="49"/>
    <d v="2022-01-15T00:00:00"/>
    <x v="0"/>
    <s v="Jan"/>
    <x v="1"/>
    <x v="2"/>
    <n v="54863.423999999999"/>
    <n v="40"/>
    <x v="2"/>
    <n v="419.03"/>
    <n v="1558.62"/>
    <n v="38102.223999999995"/>
    <s v="New"/>
    <n v="0.12"/>
    <s v="Bank Transfer"/>
    <s v="Online"/>
    <x v="15"/>
  </r>
  <r>
    <n v="1026"/>
    <x v="50"/>
    <d v="2022-01-15T00:00:00"/>
    <x v="0"/>
    <s v="Jan"/>
    <x v="3"/>
    <x v="0"/>
    <n v="88580.368800000011"/>
    <n v="44"/>
    <x v="1"/>
    <n v="309.67"/>
    <n v="2455.11"/>
    <n v="74954.888800000001"/>
    <s v="New"/>
    <n v="0.18"/>
    <s v="Bank Transfer"/>
    <s v="Online"/>
    <x v="11"/>
  </r>
  <r>
    <n v="1094"/>
    <x v="51"/>
    <d v="2022-01-16T00:00:00"/>
    <x v="0"/>
    <s v="Jan"/>
    <x v="1"/>
    <x v="2"/>
    <n v="58782.811500000003"/>
    <n v="35"/>
    <x v="0"/>
    <n v="1105.18"/>
    <n v="1930.47"/>
    <n v="20101.511500000001"/>
    <s v="Returning"/>
    <n v="0.13"/>
    <s v="Credit Card"/>
    <s v="Online"/>
    <x v="15"/>
  </r>
  <r>
    <n v="1007"/>
    <x v="12"/>
    <d v="2022-01-16T00:00:00"/>
    <x v="0"/>
    <s v="Jan"/>
    <x v="1"/>
    <x v="3"/>
    <n v="126609.47200000001"/>
    <n v="32"/>
    <x v="2"/>
    <n v="2299.08"/>
    <n v="4654.76"/>
    <n v="53038.912000000011"/>
    <s v="Returning"/>
    <n v="0.15"/>
    <s v="Cash"/>
    <s v="Online"/>
    <x v="7"/>
  </r>
  <r>
    <n v="1052"/>
    <x v="52"/>
    <d v="2022-01-18T00:00:00"/>
    <x v="0"/>
    <s v="Jan"/>
    <x v="1"/>
    <x v="0"/>
    <n v="40925.778264544751"/>
    <n v="9"/>
    <x v="1"/>
    <n v="3977.96"/>
    <n v="4660.5"/>
    <n v="5303.9699999999993"/>
    <s v="New"/>
    <n v="0.02"/>
    <s v="Credit Card"/>
    <s v="Online"/>
    <x v="10"/>
  </r>
  <r>
    <n v="1002"/>
    <x v="53"/>
    <d v="2022-01-19T00:00:00"/>
    <x v="0"/>
    <s v="Jan"/>
    <x v="4"/>
    <x v="0"/>
    <n v="28237.951999999997"/>
    <n v="8"/>
    <x v="0"/>
    <n v="1122.8"/>
    <n v="3715.52"/>
    <n v="19255.551999999996"/>
    <s v="New"/>
    <n v="0.05"/>
    <s v="Bank Transfer"/>
    <s v="Retail"/>
    <x v="13"/>
  </r>
  <r>
    <n v="1025"/>
    <x v="54"/>
    <d v="2022-01-19T00:00:00"/>
    <x v="0"/>
    <s v="Jan"/>
    <x v="0"/>
    <x v="1"/>
    <n v="47149.257599999997"/>
    <n v="36"/>
    <x v="0"/>
    <n v="756.9"/>
    <n v="1819.03"/>
    <n v="19900.857599999996"/>
    <s v="Returning"/>
    <n v="0.28000000000000003"/>
    <s v="Cash"/>
    <s v="Retail"/>
    <x v="19"/>
  </r>
  <r>
    <n v="1090"/>
    <x v="55"/>
    <d v="2022-01-19T00:00:00"/>
    <x v="0"/>
    <s v="Jan"/>
    <x v="1"/>
    <x v="2"/>
    <n v="126511.1539"/>
    <n v="41"/>
    <x v="3"/>
    <n v="2425.4899999999998"/>
    <n v="3181.07"/>
    <n v="27066.063900000016"/>
    <s v="New"/>
    <n v="0.03"/>
    <s v="Credit Card"/>
    <s v="Retail"/>
    <x v="15"/>
  </r>
  <r>
    <n v="1070"/>
    <x v="56"/>
    <d v="2022-01-19T00:00:00"/>
    <x v="0"/>
    <s v="Jan"/>
    <x v="4"/>
    <x v="1"/>
    <n v="221210.14359999998"/>
    <n v="47"/>
    <x v="2"/>
    <n v="1433.22"/>
    <n v="5007.0200000000004"/>
    <n v="153848.80359999998"/>
    <s v="Returning"/>
    <n v="0.06"/>
    <s v="Credit Card"/>
    <s v="Retail"/>
    <x v="6"/>
  </r>
  <r>
    <n v="1081"/>
    <x v="57"/>
    <d v="2022-01-20T00:00:00"/>
    <x v="0"/>
    <s v="Jan"/>
    <x v="4"/>
    <x v="1"/>
    <n v="7889.8031999999994"/>
    <n v="2"/>
    <x v="1"/>
    <n v="2724.36"/>
    <n v="5479.03"/>
    <n v="2441.0831999999991"/>
    <s v="New"/>
    <n v="0.28000000000000003"/>
    <s v="Credit Card"/>
    <s v="Online"/>
    <x v="6"/>
  </r>
  <r>
    <n v="1042"/>
    <x v="58"/>
    <d v="2022-01-21T00:00:00"/>
    <x v="0"/>
    <s v="Jan"/>
    <x v="2"/>
    <x v="2"/>
    <n v="6886.6289027588455"/>
    <n v="2"/>
    <x v="3"/>
    <n v="2947.67"/>
    <n v="3525.62"/>
    <n v="1014.8751999999995"/>
    <s v="Returning"/>
    <n v="0.02"/>
    <s v="Bank Transfer"/>
    <s v="Retail"/>
    <x v="14"/>
  </r>
  <r>
    <n v="1024"/>
    <x v="59"/>
    <d v="2022-01-21T00:00:00"/>
    <x v="0"/>
    <s v="Jan"/>
    <x v="2"/>
    <x v="0"/>
    <n v="144453.64500000002"/>
    <n v="35"/>
    <x v="1"/>
    <n v="4011.22"/>
    <n v="4585.83"/>
    <n v="4060.9450000000174"/>
    <s v="New"/>
    <n v="0.1"/>
    <s v="Bank Transfer"/>
    <s v="Retail"/>
    <x v="18"/>
  </r>
  <r>
    <n v="1091"/>
    <x v="60"/>
    <d v="2022-01-21T00:00:00"/>
    <x v="0"/>
    <s v="Jan"/>
    <x v="2"/>
    <x v="3"/>
    <n v="24148.079999999998"/>
    <n v="18"/>
    <x v="1"/>
    <n v="713.46"/>
    <n v="1341.56"/>
    <n v="11305.8"/>
    <s v="Returning"/>
    <n v="0"/>
    <s v="Cash"/>
    <s v="Retail"/>
    <x v="3"/>
  </r>
  <r>
    <n v="1084"/>
    <x v="61"/>
    <d v="2022-01-21T00:00:00"/>
    <x v="0"/>
    <s v="Jan"/>
    <x v="4"/>
    <x v="0"/>
    <n v="71442.05720000001"/>
    <n v="23"/>
    <x v="3"/>
    <n v="2192.75"/>
    <n v="3788.02"/>
    <n v="21008.807200000007"/>
    <s v="Returning"/>
    <n v="0.18"/>
    <s v="Credit Card"/>
    <s v="Retail"/>
    <x v="13"/>
  </r>
  <r>
    <n v="1070"/>
    <x v="62"/>
    <d v="2022-01-21T00:00:00"/>
    <x v="0"/>
    <s v="Jan"/>
    <x v="0"/>
    <x v="0"/>
    <n v="97122.547200000001"/>
    <n v="42"/>
    <x v="0"/>
    <n v="1159.5999999999999"/>
    <n v="3256.96"/>
    <n v="48419.347200000011"/>
    <s v="New"/>
    <n v="0.28999999999999998"/>
    <s v="Credit Card"/>
    <s v="Retail"/>
    <x v="0"/>
  </r>
  <r>
    <n v="1019"/>
    <x v="63"/>
    <d v="2022-01-22T00:00:00"/>
    <x v="0"/>
    <s v="Jan"/>
    <x v="0"/>
    <x v="3"/>
    <n v="3267.8009999999999"/>
    <n v="1"/>
    <x v="1"/>
    <n v="952.3"/>
    <n v="3630.89"/>
    <n v="2315.5010000000002"/>
    <s v="New"/>
    <n v="0.1"/>
    <s v="Cash"/>
    <s v="Retail"/>
    <x v="5"/>
  </r>
  <r>
    <n v="1084"/>
    <x v="64"/>
    <d v="2022-01-22T00:00:00"/>
    <x v="0"/>
    <s v="Jan"/>
    <x v="3"/>
    <x v="3"/>
    <n v="71634.340262798229"/>
    <n v="17"/>
    <x v="1"/>
    <n v="3750.72"/>
    <n v="4218.92"/>
    <n v="7959.4000000000051"/>
    <s v="New"/>
    <n v="0"/>
    <s v="Credit Card"/>
    <s v="Online"/>
    <x v="4"/>
  </r>
  <r>
    <n v="1063"/>
    <x v="33"/>
    <d v="2022-01-22T00:00:00"/>
    <x v="0"/>
    <s v="Jan"/>
    <x v="4"/>
    <x v="0"/>
    <n v="96569.055000000008"/>
    <n v="50"/>
    <x v="1"/>
    <n v="596.16999999999996"/>
    <n v="1950.89"/>
    <n v="66760.554999999993"/>
    <s v="New"/>
    <n v="0.01"/>
    <s v="Credit Card"/>
    <s v="Online"/>
    <x v="13"/>
  </r>
  <r>
    <n v="1010"/>
    <x v="65"/>
    <d v="2022-01-22T00:00:00"/>
    <x v="0"/>
    <s v="Jan"/>
    <x v="3"/>
    <x v="0"/>
    <n v="85859.135999999999"/>
    <n v="30"/>
    <x v="3"/>
    <n v="635.46"/>
    <n v="3974.96"/>
    <n v="66795.335999999996"/>
    <s v="New"/>
    <n v="0.28000000000000003"/>
    <s v="Cash"/>
    <s v="Retail"/>
    <x v="11"/>
  </r>
  <r>
    <n v="1003"/>
    <x v="66"/>
    <d v="2022-01-23T00:00:00"/>
    <x v="0"/>
    <s v="Jan"/>
    <x v="4"/>
    <x v="3"/>
    <n v="53393.087999999996"/>
    <n v="14"/>
    <x v="3"/>
    <n v="3340.75"/>
    <n v="4767.24"/>
    <n v="6622.5879999999988"/>
    <s v="Returning"/>
    <n v="0.2"/>
    <s v="Credit Card"/>
    <s v="Online"/>
    <x v="12"/>
  </r>
  <r>
    <n v="1079"/>
    <x v="67"/>
    <d v="2022-01-23T00:00:00"/>
    <x v="0"/>
    <s v="Jan"/>
    <x v="0"/>
    <x v="1"/>
    <n v="192129.51870806501"/>
    <n v="44"/>
    <x v="0"/>
    <n v="4051.42"/>
    <n v="4389.68"/>
    <n v="12951.98079999999"/>
    <s v="New"/>
    <n v="0.01"/>
    <s v="Cash"/>
    <s v="Online"/>
    <x v="19"/>
  </r>
  <r>
    <n v="1020"/>
    <x v="68"/>
    <d v="2022-01-23T00:00:00"/>
    <x v="0"/>
    <s v="Jan"/>
    <x v="3"/>
    <x v="0"/>
    <n v="177646.97999999998"/>
    <n v="42"/>
    <x v="2"/>
    <n v="3716.23"/>
    <n v="4229.6899999999996"/>
    <n v="21565.319999999982"/>
    <s v="Returning"/>
    <n v="0"/>
    <s v="Bank Transfer"/>
    <s v="Retail"/>
    <x v="11"/>
  </r>
  <r>
    <n v="1044"/>
    <x v="69"/>
    <d v="2022-01-24T00:00:00"/>
    <x v="0"/>
    <s v="Jan"/>
    <x v="1"/>
    <x v="3"/>
    <n v="73101.64499999999"/>
    <n v="18"/>
    <x v="3"/>
    <n v="2249.73"/>
    <n v="4274.95"/>
    <n v="32606.50499999999"/>
    <s v="Returning"/>
    <n v="0.05"/>
    <s v="Bank Transfer"/>
    <s v="Online"/>
    <x v="7"/>
  </r>
  <r>
    <n v="1006"/>
    <x v="70"/>
    <d v="2022-01-25T00:00:00"/>
    <x v="0"/>
    <s v="Jan"/>
    <x v="1"/>
    <x v="1"/>
    <n v="7494.8720000000003"/>
    <n v="4"/>
    <x v="3"/>
    <n v="548.08000000000004"/>
    <n v="2433.4"/>
    <n v="5302.5519999999997"/>
    <s v="Returning"/>
    <n v="0.23"/>
    <s v="Bank Transfer"/>
    <s v="Retail"/>
    <x v="1"/>
  </r>
  <r>
    <n v="1065"/>
    <x v="71"/>
    <d v="2022-01-25T00:00:00"/>
    <x v="0"/>
    <s v="Jan"/>
    <x v="2"/>
    <x v="2"/>
    <n v="32304.132000000001"/>
    <n v="14"/>
    <x v="2"/>
    <n v="290.74"/>
    <n v="2563.8200000000002"/>
    <n v="28233.772000000001"/>
    <s v="New"/>
    <n v="0.1"/>
    <s v="Cash"/>
    <s v="Online"/>
    <x v="14"/>
  </r>
  <r>
    <n v="1090"/>
    <x v="37"/>
    <d v="2022-01-26T00:00:00"/>
    <x v="0"/>
    <s v="Jan"/>
    <x v="2"/>
    <x v="2"/>
    <n v="9561.2945999999993"/>
    <n v="3"/>
    <x v="1"/>
    <n v="2180.34"/>
    <n v="3390.53"/>
    <n v="3020.2745999999993"/>
    <s v="New"/>
    <n v="0.06"/>
    <s v="Credit Card"/>
    <s v="Online"/>
    <x v="14"/>
  </r>
  <r>
    <n v="1043"/>
    <x v="72"/>
    <d v="2022-01-26T00:00:00"/>
    <x v="0"/>
    <s v="Jan"/>
    <x v="1"/>
    <x v="1"/>
    <n v="5401.5120000000006"/>
    <n v="2"/>
    <x v="1"/>
    <n v="285.33999999999997"/>
    <n v="3000.84"/>
    <n v="4830.8320000000003"/>
    <s v="New"/>
    <n v="0.1"/>
    <s v="Bank Transfer"/>
    <s v="Online"/>
    <x v="1"/>
  </r>
  <r>
    <n v="1040"/>
    <x v="73"/>
    <d v="2022-01-27T00:00:00"/>
    <x v="0"/>
    <s v="Jan"/>
    <x v="1"/>
    <x v="1"/>
    <n v="46140.517800000001"/>
    <n v="13"/>
    <x v="3"/>
    <n v="3310.57"/>
    <n v="3816.42"/>
    <n v="3103.1077999999957"/>
    <s v="New"/>
    <n v="7.0000000000000007E-2"/>
    <s v="Bank Transfer"/>
    <s v="Online"/>
    <x v="1"/>
  </r>
  <r>
    <n v="1035"/>
    <x v="74"/>
    <d v="2022-01-27T00:00:00"/>
    <x v="0"/>
    <s v="Jan"/>
    <x v="1"/>
    <x v="3"/>
    <n v="39595.328000000001"/>
    <n v="37"/>
    <x v="3"/>
    <n v="725.42"/>
    <n v="1337.68"/>
    <n v="12754.788000000002"/>
    <s v="Returning"/>
    <n v="0.2"/>
    <s v="Cash"/>
    <s v="Retail"/>
    <x v="7"/>
  </r>
  <r>
    <n v="1017"/>
    <x v="75"/>
    <d v="2022-01-27T00:00:00"/>
    <x v="0"/>
    <s v="Jan"/>
    <x v="4"/>
    <x v="2"/>
    <n v="151430.51520000002"/>
    <n v="48"/>
    <x v="0"/>
    <n v="2015.57"/>
    <n v="3847.32"/>
    <n v="54683.155200000023"/>
    <s v="New"/>
    <n v="0.18"/>
    <s v="Credit Card"/>
    <s v="Online"/>
    <x v="17"/>
  </r>
  <r>
    <n v="1035"/>
    <x v="76"/>
    <d v="2022-01-27T00:00:00"/>
    <x v="0"/>
    <s v="Jan"/>
    <x v="3"/>
    <x v="2"/>
    <n v="144818.23399999997"/>
    <n v="44"/>
    <x v="0"/>
    <n v="1864.78"/>
    <n v="3965.45"/>
    <n v="62767.913999999982"/>
    <s v="Returning"/>
    <n v="0.17"/>
    <s v="Credit Card"/>
    <s v="Online"/>
    <x v="9"/>
  </r>
  <r>
    <n v="1055"/>
    <x v="77"/>
    <d v="2022-01-28T00:00:00"/>
    <x v="0"/>
    <s v="Jan"/>
    <x v="4"/>
    <x v="3"/>
    <n v="164840.90299999999"/>
    <n v="38"/>
    <x v="2"/>
    <n v="3976.75"/>
    <n v="4566.2299999999996"/>
    <n v="13724.402999999991"/>
    <s v="New"/>
    <n v="0.05"/>
    <s v="Cash"/>
    <s v="Retail"/>
    <x v="12"/>
  </r>
  <r>
    <n v="1068"/>
    <x v="78"/>
    <d v="2022-01-28T00:00:00"/>
    <x v="0"/>
    <s v="Jan"/>
    <x v="3"/>
    <x v="2"/>
    <n v="100268.18023615463"/>
    <n v="42"/>
    <x v="1"/>
    <n v="1979.08"/>
    <n v="2460.88"/>
    <n v="17134.891200000013"/>
    <s v="New"/>
    <n v="0.03"/>
    <s v="Bank Transfer"/>
    <s v="Retail"/>
    <x v="9"/>
  </r>
  <r>
    <n v="1022"/>
    <x v="79"/>
    <d v="2022-01-28T00:00:00"/>
    <x v="0"/>
    <s v="Jan"/>
    <x v="1"/>
    <x v="2"/>
    <n v="83501.500799999994"/>
    <n v="32"/>
    <x v="3"/>
    <n v="655.69"/>
    <n v="2805.83"/>
    <n v="62519.420799999993"/>
    <s v="New"/>
    <n v="7.0000000000000007E-2"/>
    <s v="Bank Transfer"/>
    <s v="Online"/>
    <x v="15"/>
  </r>
  <r>
    <n v="1074"/>
    <x v="80"/>
    <d v="2022-01-28T00:00:00"/>
    <x v="0"/>
    <s v="Jan"/>
    <x v="3"/>
    <x v="0"/>
    <n v="89011.553400000004"/>
    <n v="19"/>
    <x v="2"/>
    <n v="880.36"/>
    <n v="4732.1400000000003"/>
    <n v="72284.713400000008"/>
    <s v="New"/>
    <n v="0.01"/>
    <s v="Credit Card"/>
    <s v="Retail"/>
    <x v="11"/>
  </r>
  <r>
    <n v="1085"/>
    <x v="34"/>
    <d v="2022-01-29T00:00:00"/>
    <x v="0"/>
    <s v="Jan"/>
    <x v="1"/>
    <x v="1"/>
    <n v="94069.595200000011"/>
    <n v="34"/>
    <x v="2"/>
    <n v="2615.79"/>
    <n v="3007.34"/>
    <n v="5132.7352000000083"/>
    <s v="New"/>
    <n v="0.08"/>
    <s v="Cash"/>
    <s v="Retail"/>
    <x v="1"/>
  </r>
  <r>
    <n v="1075"/>
    <x v="19"/>
    <d v="2022-01-29T00:00:00"/>
    <x v="0"/>
    <s v="Jan"/>
    <x v="0"/>
    <x v="3"/>
    <n v="164018.6379"/>
    <n v="39"/>
    <x v="3"/>
    <n v="3757.94"/>
    <n v="4834.03"/>
    <n v="17458.977899999998"/>
    <s v="Returning"/>
    <n v="0.13"/>
    <s v="Credit Card"/>
    <s v="Retail"/>
    <x v="5"/>
  </r>
  <r>
    <n v="1065"/>
    <x v="71"/>
    <d v="2022-01-29T00:00:00"/>
    <x v="0"/>
    <s v="Jan"/>
    <x v="1"/>
    <x v="1"/>
    <n v="161726.535"/>
    <n v="50"/>
    <x v="2"/>
    <n v="637.63"/>
    <n v="3477.99"/>
    <n v="129845.03499999999"/>
    <s v="Returning"/>
    <n v="7.0000000000000007E-2"/>
    <s v="Bank Transfer"/>
    <s v="Retail"/>
    <x v="1"/>
  </r>
  <r>
    <n v="1006"/>
    <x v="81"/>
    <d v="2022-01-31T00:00:00"/>
    <x v="0"/>
    <s v="Jan"/>
    <x v="2"/>
    <x v="3"/>
    <n v="2774.3970000000004"/>
    <n v="1"/>
    <x v="1"/>
    <n v="1973.03"/>
    <n v="3117.3"/>
    <n v="801.36700000000042"/>
    <s v="Returning"/>
    <n v="0.11"/>
    <s v="Cash"/>
    <s v="Online"/>
    <x v="3"/>
  </r>
  <r>
    <n v="1086"/>
    <x v="23"/>
    <d v="2022-01-31T00:00:00"/>
    <x v="0"/>
    <s v="Jan"/>
    <x v="1"/>
    <x v="1"/>
    <n v="27973.133397911377"/>
    <n v="9"/>
    <x v="1"/>
    <n v="2799.23"/>
    <n v="3262.5"/>
    <n v="2701.3049999999998"/>
    <s v="New"/>
    <n v="0.05"/>
    <s v="Credit Card"/>
    <s v="Online"/>
    <x v="1"/>
  </r>
  <r>
    <n v="1086"/>
    <x v="82"/>
    <d v="2022-01-31T00:00:00"/>
    <x v="0"/>
    <s v="Jan"/>
    <x v="0"/>
    <x v="0"/>
    <n v="6285.2352000000001"/>
    <n v="4"/>
    <x v="3"/>
    <n v="339.33"/>
    <n v="1636.78"/>
    <n v="4927.9152000000004"/>
    <s v="Returning"/>
    <n v="0.04"/>
    <s v="Bank Transfer"/>
    <s v="Online"/>
    <x v="0"/>
  </r>
  <r>
    <n v="1088"/>
    <x v="83"/>
    <d v="2022-02-01T00:00:00"/>
    <x v="0"/>
    <s v="Feb"/>
    <x v="1"/>
    <x v="3"/>
    <n v="56052.928193731488"/>
    <n v="12"/>
    <x v="0"/>
    <n v="4600.53"/>
    <n v="4799.3100000000004"/>
    <n v="657.60840000000826"/>
    <s v="New"/>
    <n v="0.03"/>
    <s v="Bank Transfer"/>
    <s v="Retail"/>
    <x v="7"/>
  </r>
  <r>
    <n v="1062"/>
    <x v="84"/>
    <d v="2022-02-01T00:00:00"/>
    <x v="0"/>
    <s v="Feb"/>
    <x v="4"/>
    <x v="3"/>
    <n v="106976.47499999999"/>
    <n v="43"/>
    <x v="1"/>
    <n v="793.99"/>
    <n v="3317.1"/>
    <n v="72834.904999999999"/>
    <s v="New"/>
    <n v="0.25"/>
    <s v="Credit Card"/>
    <s v="Retail"/>
    <x v="12"/>
  </r>
  <r>
    <n v="1081"/>
    <x v="85"/>
    <d v="2022-02-02T00:00:00"/>
    <x v="0"/>
    <s v="Feb"/>
    <x v="2"/>
    <x v="2"/>
    <n v="3247.3732023665621"/>
    <n v="1"/>
    <x v="2"/>
    <n v="3178.1"/>
    <n v="3266"/>
    <n v="55.240000000000236"/>
    <s v="Returning"/>
    <n v="0.01"/>
    <s v="Credit Card"/>
    <s v="Online"/>
    <x v="14"/>
  </r>
  <r>
    <n v="1052"/>
    <x v="86"/>
    <d v="2022-02-02T00:00:00"/>
    <x v="0"/>
    <s v="Feb"/>
    <x v="1"/>
    <x v="3"/>
    <n v="17353.561600000001"/>
    <n v="16"/>
    <x v="2"/>
    <n v="910.61"/>
    <n v="1261.1600000000001"/>
    <n v="2783.8016000000007"/>
    <s v="Returning"/>
    <n v="0.14000000000000001"/>
    <s v="Cash"/>
    <s v="Online"/>
    <x v="7"/>
  </r>
  <r>
    <n v="1086"/>
    <x v="87"/>
    <d v="2022-02-02T00:00:00"/>
    <x v="0"/>
    <s v="Feb"/>
    <x v="3"/>
    <x v="3"/>
    <n v="163478.20019999999"/>
    <n v="49"/>
    <x v="0"/>
    <n v="3163.57"/>
    <n v="4570.26"/>
    <n v="8463.2701999999917"/>
    <s v="Returning"/>
    <n v="0.27"/>
    <s v="Bank Transfer"/>
    <s v="Online"/>
    <x v="4"/>
  </r>
  <r>
    <n v="1064"/>
    <x v="88"/>
    <d v="2022-02-02T00:00:00"/>
    <x v="0"/>
    <s v="Feb"/>
    <x v="3"/>
    <x v="3"/>
    <n v="37531.998000000007"/>
    <n v="20"/>
    <x v="3"/>
    <n v="1112.92"/>
    <n v="2316.79"/>
    <n v="15273.598000000002"/>
    <s v="New"/>
    <n v="0.19"/>
    <s v="Bank Transfer"/>
    <s v="Retail"/>
    <x v="4"/>
  </r>
  <r>
    <n v="1088"/>
    <x v="83"/>
    <d v="2022-02-02T00:00:00"/>
    <x v="0"/>
    <s v="Feb"/>
    <x v="0"/>
    <x v="1"/>
    <n v="97128.015599999999"/>
    <n v="46"/>
    <x v="0"/>
    <n v="1421.94"/>
    <n v="2154.5700000000002"/>
    <n v="31718.775599999994"/>
    <s v="New"/>
    <n v="0.02"/>
    <s v="Bank Transfer"/>
    <s v="Retail"/>
    <x v="19"/>
  </r>
  <r>
    <n v="1091"/>
    <x v="60"/>
    <d v="2022-02-02T00:00:00"/>
    <x v="0"/>
    <s v="Feb"/>
    <x v="1"/>
    <x v="3"/>
    <n v="145215.84479999999"/>
    <n v="39"/>
    <x v="1"/>
    <n v="1923.59"/>
    <n v="4899.32"/>
    <n v="70195.834799999997"/>
    <s v="Returning"/>
    <n v="0.24"/>
    <s v="Cash"/>
    <s v="Retail"/>
    <x v="7"/>
  </r>
  <r>
    <n v="1047"/>
    <x v="89"/>
    <d v="2022-02-02T00:00:00"/>
    <x v="0"/>
    <s v="Feb"/>
    <x v="0"/>
    <x v="2"/>
    <n v="174040.56"/>
    <n v="34"/>
    <x v="3"/>
    <n v="414.2"/>
    <n v="5118.84"/>
    <n v="159957.76000000001"/>
    <s v="New"/>
    <n v="0"/>
    <s v="Bank Transfer"/>
    <s v="Retail"/>
    <x v="2"/>
  </r>
  <r>
    <n v="1040"/>
    <x v="73"/>
    <d v="2022-02-03T00:00:00"/>
    <x v="0"/>
    <s v="Feb"/>
    <x v="0"/>
    <x v="2"/>
    <n v="46360.38"/>
    <n v="24"/>
    <x v="3"/>
    <n v="830.57"/>
    <n v="2033.35"/>
    <n v="26426.699999999993"/>
    <s v="Returning"/>
    <n v="0.05"/>
    <s v="Cash"/>
    <s v="Retail"/>
    <x v="2"/>
  </r>
  <r>
    <n v="1012"/>
    <x v="90"/>
    <d v="2022-02-03T00:00:00"/>
    <x v="0"/>
    <s v="Feb"/>
    <x v="3"/>
    <x v="3"/>
    <n v="50869.213199999998"/>
    <n v="18"/>
    <x v="2"/>
    <n v="775.91"/>
    <n v="3819.01"/>
    <n v="36902.833200000001"/>
    <s v="Returning"/>
    <n v="0.26"/>
    <s v="Cash"/>
    <s v="Retail"/>
    <x v="4"/>
  </r>
  <r>
    <n v="1070"/>
    <x v="62"/>
    <d v="2022-02-04T00:00:00"/>
    <x v="0"/>
    <s v="Feb"/>
    <x v="3"/>
    <x v="3"/>
    <n v="54861.9"/>
    <n v="23"/>
    <x v="0"/>
    <n v="2368.65"/>
    <n v="2385.3000000000002"/>
    <n v="382.95000000000209"/>
    <s v="Returning"/>
    <n v="0"/>
    <s v="Cash"/>
    <s v="Retail"/>
    <x v="4"/>
  </r>
  <r>
    <n v="1015"/>
    <x v="91"/>
    <d v="2022-02-04T00:00:00"/>
    <x v="0"/>
    <s v="Feb"/>
    <x v="0"/>
    <x v="3"/>
    <n v="116817.7297108473"/>
    <n v="33"/>
    <x v="0"/>
    <n v="3426.59"/>
    <n v="3629.69"/>
    <n v="4306.7045999999937"/>
    <s v="Returning"/>
    <n v="0.02"/>
    <s v="Cash"/>
    <s v="Retail"/>
    <x v="5"/>
  </r>
  <r>
    <n v="1085"/>
    <x v="34"/>
    <d v="2022-02-04T00:00:00"/>
    <x v="0"/>
    <s v="Feb"/>
    <x v="4"/>
    <x v="1"/>
    <n v="11121.836000000001"/>
    <n v="5"/>
    <x v="2"/>
    <n v="1344.04"/>
    <n v="2527.69"/>
    <n v="4401.6360000000004"/>
    <s v="Returning"/>
    <n v="0.12"/>
    <s v="Bank Transfer"/>
    <s v="Retail"/>
    <x v="6"/>
  </r>
  <r>
    <n v="1003"/>
    <x v="66"/>
    <d v="2022-02-04T00:00:00"/>
    <x v="0"/>
    <s v="Feb"/>
    <x v="3"/>
    <x v="0"/>
    <n v="167872.2696"/>
    <n v="41"/>
    <x v="3"/>
    <n v="1575.11"/>
    <n v="4874.34"/>
    <n v="103292.75960000002"/>
    <s v="Returning"/>
    <n v="0.16"/>
    <s v="Bank Transfer"/>
    <s v="Retail"/>
    <x v="11"/>
  </r>
  <r>
    <n v="1036"/>
    <x v="92"/>
    <d v="2022-02-05T00:00:00"/>
    <x v="0"/>
    <s v="Feb"/>
    <x v="2"/>
    <x v="0"/>
    <n v="105853.08761386496"/>
    <n v="36"/>
    <x v="0"/>
    <n v="2924.26"/>
    <n v="2950.92"/>
    <n v="959.75999999999476"/>
    <s v="Returning"/>
    <n v="0"/>
    <s v="Credit Card"/>
    <s v="Online"/>
    <x v="18"/>
  </r>
  <r>
    <n v="1095"/>
    <x v="40"/>
    <d v="2022-02-05T00:00:00"/>
    <x v="0"/>
    <s v="Feb"/>
    <x v="0"/>
    <x v="2"/>
    <n v="10556.030099999998"/>
    <n v="7"/>
    <x v="1"/>
    <n v="1242.1600000000001"/>
    <n v="1621.51"/>
    <n v="1860.9100999999982"/>
    <s v="New"/>
    <n v="7.0000000000000007E-2"/>
    <s v="Bank Transfer"/>
    <s v="Online"/>
    <x v="2"/>
  </r>
  <r>
    <n v="1037"/>
    <x v="93"/>
    <d v="2022-02-05T00:00:00"/>
    <x v="0"/>
    <s v="Feb"/>
    <x v="4"/>
    <x v="0"/>
    <n v="107368.67199999999"/>
    <n v="29"/>
    <x v="0"/>
    <n v="746.02"/>
    <n v="5003.2"/>
    <n v="85734.092000000004"/>
    <s v="Returning"/>
    <n v="0.26"/>
    <s v="Cash"/>
    <s v="Online"/>
    <x v="13"/>
  </r>
  <r>
    <n v="1043"/>
    <x v="72"/>
    <d v="2022-02-06T00:00:00"/>
    <x v="0"/>
    <s v="Feb"/>
    <x v="1"/>
    <x v="3"/>
    <n v="109465.42108661456"/>
    <n v="47"/>
    <x v="1"/>
    <n v="2008.15"/>
    <n v="2348.36"/>
    <n v="14886.140800000001"/>
    <s v="New"/>
    <n v="0.01"/>
    <s v="Bank Transfer"/>
    <s v="Online"/>
    <x v="7"/>
  </r>
  <r>
    <n v="1095"/>
    <x v="94"/>
    <d v="2022-02-06T00:00:00"/>
    <x v="0"/>
    <s v="Feb"/>
    <x v="2"/>
    <x v="2"/>
    <n v="109033.1040826375"/>
    <n v="37"/>
    <x v="2"/>
    <n v="2401.6799999999998"/>
    <n v="2971.66"/>
    <n v="19989.745799999993"/>
    <s v="Returning"/>
    <n v="0.01"/>
    <s v="Bank Transfer"/>
    <s v="Retail"/>
    <x v="14"/>
  </r>
  <r>
    <n v="1008"/>
    <x v="95"/>
    <d v="2022-02-06T00:00:00"/>
    <x v="0"/>
    <s v="Feb"/>
    <x v="0"/>
    <x v="2"/>
    <n v="32933.181599999996"/>
    <n v="11"/>
    <x v="1"/>
    <n v="218.17"/>
    <n v="4158.2299999999996"/>
    <n v="30533.311599999994"/>
    <s v="Returning"/>
    <n v="0.28000000000000003"/>
    <s v="Cash"/>
    <s v="Retail"/>
    <x v="2"/>
  </r>
  <r>
    <n v="1088"/>
    <x v="96"/>
    <d v="2022-02-06T00:00:00"/>
    <x v="0"/>
    <s v="Feb"/>
    <x v="0"/>
    <x v="3"/>
    <n v="228930.24"/>
    <n v="44"/>
    <x v="2"/>
    <n v="4170.8500000000004"/>
    <n v="5476.8"/>
    <n v="45412.839999999982"/>
    <s v="Returning"/>
    <n v="0.05"/>
    <s v="Cash"/>
    <s v="Retail"/>
    <x v="5"/>
  </r>
  <r>
    <n v="1036"/>
    <x v="97"/>
    <d v="2022-02-06T00:00:00"/>
    <x v="0"/>
    <s v="Feb"/>
    <x v="2"/>
    <x v="1"/>
    <n v="112394.26439999999"/>
    <n v="38"/>
    <x v="2"/>
    <n v="997.16"/>
    <n v="2987.62"/>
    <n v="74502.184399999998"/>
    <s v="Returning"/>
    <n v="0.01"/>
    <s v="Bank Transfer"/>
    <s v="Retail"/>
    <x v="8"/>
  </r>
  <r>
    <n v="1014"/>
    <x v="98"/>
    <d v="2022-02-07T00:00:00"/>
    <x v="0"/>
    <s v="Feb"/>
    <x v="4"/>
    <x v="2"/>
    <n v="18425.916999999998"/>
    <n v="5"/>
    <x v="0"/>
    <n v="1793.04"/>
    <n v="4439.9799999999996"/>
    <n v="9460.7169999999969"/>
    <s v="New"/>
    <n v="0.17"/>
    <s v="Bank Transfer"/>
    <s v="Retail"/>
    <x v="17"/>
  </r>
  <r>
    <n v="1033"/>
    <x v="99"/>
    <d v="2022-02-07T00:00:00"/>
    <x v="0"/>
    <s v="Feb"/>
    <x v="2"/>
    <x v="2"/>
    <n v="94591.2552"/>
    <n v="39"/>
    <x v="0"/>
    <n v="1410.43"/>
    <n v="3416.08"/>
    <n v="39584.485199999996"/>
    <s v="Returning"/>
    <n v="0.28999999999999998"/>
    <s v="Cash"/>
    <s v="Online"/>
    <x v="14"/>
  </r>
  <r>
    <n v="1064"/>
    <x v="88"/>
    <d v="2022-02-07T00:00:00"/>
    <x v="0"/>
    <s v="Feb"/>
    <x v="3"/>
    <x v="3"/>
    <n v="97581.024999999994"/>
    <n v="25"/>
    <x v="3"/>
    <n v="2071.8000000000002"/>
    <n v="4702.7"/>
    <n v="45786.024999999987"/>
    <s v="Returning"/>
    <n v="0.17"/>
    <s v="Bank Transfer"/>
    <s v="Retail"/>
    <x v="4"/>
  </r>
  <r>
    <n v="1083"/>
    <x v="100"/>
    <d v="2022-02-07T00:00:00"/>
    <x v="0"/>
    <s v="Feb"/>
    <x v="1"/>
    <x v="3"/>
    <n v="91216.357199999999"/>
    <n v="27"/>
    <x v="3"/>
    <n v="1574.51"/>
    <n v="4119.9799999999996"/>
    <n v="48704.587200000002"/>
    <s v="Returning"/>
    <n v="0.18"/>
    <s v="Cash"/>
    <s v="Retail"/>
    <x v="7"/>
  </r>
  <r>
    <n v="1056"/>
    <x v="101"/>
    <d v="2022-02-07T00:00:00"/>
    <x v="0"/>
    <s v="Feb"/>
    <x v="0"/>
    <x v="2"/>
    <n v="102398.43799999999"/>
    <n v="46"/>
    <x v="1"/>
    <n v="971.88"/>
    <n v="2294.9"/>
    <n v="57691.957999999991"/>
    <s v="Returning"/>
    <n v="0.03"/>
    <s v="Credit Card"/>
    <s v="Online"/>
    <x v="2"/>
  </r>
  <r>
    <n v="1004"/>
    <x v="102"/>
    <d v="2022-02-09T00:00:00"/>
    <x v="0"/>
    <s v="Feb"/>
    <x v="0"/>
    <x v="0"/>
    <n v="20560.608312835015"/>
    <n v="4"/>
    <x v="2"/>
    <n v="4934.78"/>
    <n v="5192.18"/>
    <n v="821.91280000000188"/>
    <s v="New"/>
    <n v="0.01"/>
    <s v="Bank Transfer"/>
    <s v="Retail"/>
    <x v="0"/>
  </r>
  <r>
    <n v="1020"/>
    <x v="68"/>
    <d v="2022-02-09T00:00:00"/>
    <x v="0"/>
    <s v="Feb"/>
    <x v="1"/>
    <x v="2"/>
    <n v="17293.599999999999"/>
    <n v="5"/>
    <x v="2"/>
    <n v="2966.15"/>
    <n v="3458.72"/>
    <n v="2462.8499999999985"/>
    <s v="New"/>
    <n v="0"/>
    <s v="Bank Transfer"/>
    <s v="Online"/>
    <x v="15"/>
  </r>
  <r>
    <n v="1002"/>
    <x v="53"/>
    <d v="2022-02-09T00:00:00"/>
    <x v="0"/>
    <s v="Feb"/>
    <x v="2"/>
    <x v="1"/>
    <n v="47150.358"/>
    <n v="30"/>
    <x v="0"/>
    <n v="694.5"/>
    <n v="2123.89"/>
    <n v="26315.358"/>
    <s v="New"/>
    <n v="0.26"/>
    <s v="Cash"/>
    <s v="Online"/>
    <x v="8"/>
  </r>
  <r>
    <n v="1084"/>
    <x v="103"/>
    <d v="2022-02-09T00:00:00"/>
    <x v="0"/>
    <s v="Feb"/>
    <x v="4"/>
    <x v="2"/>
    <n v="48062.67"/>
    <n v="20"/>
    <x v="0"/>
    <n v="287.06"/>
    <n v="2700.15"/>
    <n v="42321.47"/>
    <s v="New"/>
    <n v="0.11"/>
    <s v="Credit Card"/>
    <s v="Online"/>
    <x v="17"/>
  </r>
  <r>
    <n v="1003"/>
    <x v="66"/>
    <d v="2022-02-10T00:00:00"/>
    <x v="0"/>
    <s v="Feb"/>
    <x v="3"/>
    <x v="1"/>
    <n v="15877.980000000001"/>
    <n v="4"/>
    <x v="3"/>
    <n v="845.48"/>
    <n v="4410.55"/>
    <n v="12496.060000000001"/>
    <s v="Returning"/>
    <n v="0.1"/>
    <s v="Cash"/>
    <s v="Retail"/>
    <x v="16"/>
  </r>
  <r>
    <n v="1003"/>
    <x v="104"/>
    <d v="2022-02-10T00:00:00"/>
    <x v="0"/>
    <s v="Feb"/>
    <x v="4"/>
    <x v="0"/>
    <n v="79771.77"/>
    <n v="26"/>
    <x v="0"/>
    <n v="1491.98"/>
    <n v="4090.86"/>
    <n v="40980.29"/>
    <s v="New"/>
    <n v="0.25"/>
    <s v="Bank Transfer"/>
    <s v="Retail"/>
    <x v="13"/>
  </r>
  <r>
    <n v="1039"/>
    <x v="105"/>
    <d v="2022-02-10T00:00:00"/>
    <x v="0"/>
    <s v="Feb"/>
    <x v="3"/>
    <x v="2"/>
    <n v="60898.559999999998"/>
    <n v="25"/>
    <x v="0"/>
    <n v="485.23"/>
    <n v="2537.44"/>
    <n v="48767.81"/>
    <s v="Returning"/>
    <n v="0.04"/>
    <s v="Bank Transfer"/>
    <s v="Online"/>
    <x v="9"/>
  </r>
  <r>
    <n v="1098"/>
    <x v="106"/>
    <d v="2022-02-10T00:00:00"/>
    <x v="0"/>
    <s v="Feb"/>
    <x v="1"/>
    <x v="0"/>
    <n v="145620.85450000002"/>
    <n v="43"/>
    <x v="2"/>
    <n v="1556.35"/>
    <n v="3564.77"/>
    <n v="78697.804500000013"/>
    <s v="New"/>
    <n v="0.05"/>
    <s v="Bank Transfer"/>
    <s v="Online"/>
    <x v="10"/>
  </r>
  <r>
    <n v="1074"/>
    <x v="107"/>
    <d v="2022-02-11T00:00:00"/>
    <x v="0"/>
    <s v="Feb"/>
    <x v="1"/>
    <x v="1"/>
    <n v="57564.474046801741"/>
    <n v="18"/>
    <x v="0"/>
    <n v="2573.23"/>
    <n v="3256.99"/>
    <n v="11135.163599999996"/>
    <s v="Returning"/>
    <n v="0.02"/>
    <s v="Bank Transfer"/>
    <s v="Online"/>
    <x v="1"/>
  </r>
  <r>
    <n v="1077"/>
    <x v="108"/>
    <d v="2022-02-11T00:00:00"/>
    <x v="0"/>
    <s v="Feb"/>
    <x v="4"/>
    <x v="3"/>
    <n v="200912.15187231288"/>
    <n v="50"/>
    <x v="3"/>
    <n v="3728.96"/>
    <n v="4095.24"/>
    <n v="14218.759999999975"/>
    <s v="Returning"/>
    <n v="0.02"/>
    <s v="Cash"/>
    <s v="Online"/>
    <x v="12"/>
  </r>
  <r>
    <n v="1062"/>
    <x v="109"/>
    <d v="2022-02-12T00:00:00"/>
    <x v="0"/>
    <s v="Feb"/>
    <x v="4"/>
    <x v="1"/>
    <n v="10454.444000000001"/>
    <n v="13"/>
    <x v="2"/>
    <n v="419.24"/>
    <n v="1044.4000000000001"/>
    <n v="5004.3240000000014"/>
    <s v="New"/>
    <n v="0.23"/>
    <s v="Cash"/>
    <s v="Online"/>
    <x v="6"/>
  </r>
  <r>
    <n v="1077"/>
    <x v="35"/>
    <d v="2022-02-12T00:00:00"/>
    <x v="0"/>
    <s v="Feb"/>
    <x v="1"/>
    <x v="0"/>
    <n v="154484.00091169702"/>
    <n v="37"/>
    <x v="0"/>
    <n v="4036.28"/>
    <n v="4211.43"/>
    <n v="4922.320899999997"/>
    <s v="Returning"/>
    <n v="0.01"/>
    <s v="Bank Transfer"/>
    <s v="Online"/>
    <x v="10"/>
  </r>
  <r>
    <n v="1021"/>
    <x v="110"/>
    <d v="2022-02-13T00:00:00"/>
    <x v="0"/>
    <s v="Feb"/>
    <x v="2"/>
    <x v="1"/>
    <n v="128000.71902748538"/>
    <n v="26"/>
    <x v="0"/>
    <n v="4856.8999999999996"/>
    <n v="4953.79"/>
    <n v="1231.1546000000017"/>
    <s v="New"/>
    <n v="0.01"/>
    <s v="Bank Transfer"/>
    <s v="Online"/>
    <x v="8"/>
  </r>
  <r>
    <n v="1021"/>
    <x v="38"/>
    <d v="2022-02-13T00:00:00"/>
    <x v="0"/>
    <s v="Feb"/>
    <x v="3"/>
    <x v="1"/>
    <n v="35107.559199999996"/>
    <n v="49"/>
    <x v="2"/>
    <n v="410.83"/>
    <n v="738.64"/>
    <n v="14976.889199999998"/>
    <s v="New"/>
    <n v="0.03"/>
    <s v="Credit Card"/>
    <s v="Retail"/>
    <x v="16"/>
  </r>
  <r>
    <n v="1021"/>
    <x v="38"/>
    <d v="2022-02-13T00:00:00"/>
    <x v="0"/>
    <s v="Feb"/>
    <x v="0"/>
    <x v="3"/>
    <n v="42711.680000000008"/>
    <n v="10"/>
    <x v="2"/>
    <n v="2043.48"/>
    <n v="4853.6000000000004"/>
    <n v="22276.880000000005"/>
    <s v="Returning"/>
    <n v="0.12"/>
    <s v="Credit Card"/>
    <s v="Retail"/>
    <x v="5"/>
  </r>
  <r>
    <n v="1089"/>
    <x v="111"/>
    <d v="2022-02-13T00:00:00"/>
    <x v="0"/>
    <s v="Feb"/>
    <x v="3"/>
    <x v="3"/>
    <n v="89752.14"/>
    <n v="30"/>
    <x v="0"/>
    <n v="1133.5899999999999"/>
    <n v="3182.7"/>
    <n v="55744.439999999995"/>
    <s v="Returning"/>
    <n v="0.06"/>
    <s v="Bank Transfer"/>
    <s v="Retail"/>
    <x v="4"/>
  </r>
  <r>
    <n v="1094"/>
    <x v="51"/>
    <d v="2022-02-13T00:00:00"/>
    <x v="0"/>
    <s v="Feb"/>
    <x v="4"/>
    <x v="0"/>
    <n v="170253.06479999996"/>
    <n v="39"/>
    <x v="0"/>
    <n v="1905.55"/>
    <n v="5196.9799999999996"/>
    <n v="95936.614799999967"/>
    <s v="Returning"/>
    <n v="0.16"/>
    <s v="Bank Transfer"/>
    <s v="Online"/>
    <x v="13"/>
  </r>
  <r>
    <n v="1082"/>
    <x v="112"/>
    <d v="2022-02-14T00:00:00"/>
    <x v="0"/>
    <s v="Feb"/>
    <x v="1"/>
    <x v="0"/>
    <n v="21542.07"/>
    <n v="5"/>
    <x v="2"/>
    <n v="3583.44"/>
    <n v="4952.2"/>
    <n v="3624.8699999999985"/>
    <s v="Returning"/>
    <n v="0.13"/>
    <s v="Credit Card"/>
    <s v="Retail"/>
    <x v="10"/>
  </r>
  <r>
    <n v="1039"/>
    <x v="113"/>
    <d v="2022-02-14T00:00:00"/>
    <x v="0"/>
    <s v="Feb"/>
    <x v="0"/>
    <x v="0"/>
    <n v="30420.329999999994"/>
    <n v="25"/>
    <x v="2"/>
    <n v="430.76"/>
    <n v="1466.04"/>
    <n v="19651.329999999994"/>
    <s v="Returning"/>
    <n v="0.17"/>
    <s v="Bank Transfer"/>
    <s v="Retail"/>
    <x v="0"/>
  </r>
  <r>
    <n v="1049"/>
    <x v="114"/>
    <d v="2022-02-14T00:00:00"/>
    <x v="0"/>
    <s v="Feb"/>
    <x v="4"/>
    <x v="1"/>
    <n v="23056.079400000002"/>
    <n v="9"/>
    <x v="2"/>
    <n v="124.96"/>
    <n v="3124.13"/>
    <n v="21931.439400000003"/>
    <s v="Returning"/>
    <n v="0.18"/>
    <s v="Bank Transfer"/>
    <s v="Retail"/>
    <x v="6"/>
  </r>
  <r>
    <n v="1036"/>
    <x v="97"/>
    <d v="2022-02-15T00:00:00"/>
    <x v="0"/>
    <s v="Feb"/>
    <x v="3"/>
    <x v="3"/>
    <n v="46227.937499999993"/>
    <n v="15"/>
    <x v="2"/>
    <n v="2490.6"/>
    <n v="4109.1499999999996"/>
    <n v="8868.9374999999964"/>
    <s v="Returning"/>
    <n v="0.25"/>
    <s v="Credit Card"/>
    <s v="Online"/>
    <x v="4"/>
  </r>
  <r>
    <n v="1013"/>
    <x v="115"/>
    <d v="2022-02-15T00:00:00"/>
    <x v="0"/>
    <s v="Feb"/>
    <x v="1"/>
    <x v="2"/>
    <n v="190730.34208127286"/>
    <n v="48"/>
    <x v="1"/>
    <n v="3352.59"/>
    <n v="4044.61"/>
    <n v="29334.134399999988"/>
    <s v="Returning"/>
    <n v="0.02"/>
    <s v="Bank Transfer"/>
    <s v="Retail"/>
    <x v="15"/>
  </r>
  <r>
    <n v="1024"/>
    <x v="59"/>
    <d v="2022-02-15T00:00:00"/>
    <x v="0"/>
    <s v="Feb"/>
    <x v="4"/>
    <x v="0"/>
    <n v="117100.26240000001"/>
    <n v="44"/>
    <x v="1"/>
    <n v="832.54"/>
    <n v="2772.26"/>
    <n v="80468.502399999998"/>
    <s v="Returning"/>
    <n v="0.04"/>
    <s v="Cash"/>
    <s v="Retail"/>
    <x v="13"/>
  </r>
  <r>
    <n v="1062"/>
    <x v="109"/>
    <d v="2022-02-16T00:00:00"/>
    <x v="0"/>
    <s v="Feb"/>
    <x v="3"/>
    <x v="2"/>
    <n v="8696.1252000000004"/>
    <n v="19"/>
    <x v="2"/>
    <n v="140.46"/>
    <n v="497.49"/>
    <n v="6027.3852000000006"/>
    <s v="Returning"/>
    <n v="0.08"/>
    <s v="Cash"/>
    <s v="Online"/>
    <x v="9"/>
  </r>
  <r>
    <n v="1064"/>
    <x v="88"/>
    <d v="2022-02-17T00:00:00"/>
    <x v="0"/>
    <s v="Feb"/>
    <x v="1"/>
    <x v="1"/>
    <n v="45103.304999999993"/>
    <n v="26"/>
    <x v="3"/>
    <n v="1683.77"/>
    <n v="2312.9899999999998"/>
    <n v="1325.2849999999962"/>
    <s v="New"/>
    <n v="0.25"/>
    <s v="Cash"/>
    <s v="Online"/>
    <x v="1"/>
  </r>
  <r>
    <n v="1042"/>
    <x v="58"/>
    <d v="2022-02-17T00:00:00"/>
    <x v="0"/>
    <s v="Feb"/>
    <x v="4"/>
    <x v="2"/>
    <n v="132226.80239999999"/>
    <n v="34"/>
    <x v="3"/>
    <n v="2124.9499999999998"/>
    <n v="4629.79"/>
    <n v="59978.502400000005"/>
    <s v="New"/>
    <n v="0.16"/>
    <s v="Bank Transfer"/>
    <s v="Retail"/>
    <x v="17"/>
  </r>
  <r>
    <n v="1022"/>
    <x v="79"/>
    <d v="2022-02-18T00:00:00"/>
    <x v="0"/>
    <s v="Feb"/>
    <x v="4"/>
    <x v="3"/>
    <n v="57352.839599999992"/>
    <n v="14"/>
    <x v="3"/>
    <n v="3885.87"/>
    <n v="4404.9799999999996"/>
    <n v="2950.6595999999918"/>
    <s v="New"/>
    <n v="7.0000000000000007E-2"/>
    <s v="Credit Card"/>
    <s v="Online"/>
    <x v="12"/>
  </r>
  <r>
    <n v="1022"/>
    <x v="116"/>
    <d v="2022-02-18T00:00:00"/>
    <x v="0"/>
    <s v="Feb"/>
    <x v="4"/>
    <x v="3"/>
    <n v="63692.200471878488"/>
    <n v="30"/>
    <x v="0"/>
    <n v="1835.94"/>
    <n v="2131.1"/>
    <n v="8854.7999999999956"/>
    <s v="Returning"/>
    <n v="0"/>
    <s v="Bank Transfer"/>
    <s v="Retail"/>
    <x v="12"/>
  </r>
  <r>
    <n v="1039"/>
    <x v="117"/>
    <d v="2022-02-18T00:00:00"/>
    <x v="0"/>
    <s v="Feb"/>
    <x v="4"/>
    <x v="3"/>
    <n v="88663.58"/>
    <n v="25"/>
    <x v="3"/>
    <n v="2774.66"/>
    <n v="3984.88"/>
    <n v="19297.080000000005"/>
    <s v="New"/>
    <n v="0.11"/>
    <s v="Bank Transfer"/>
    <s v="Retail"/>
    <x v="12"/>
  </r>
  <r>
    <n v="1051"/>
    <x v="118"/>
    <d v="2022-02-18T00:00:00"/>
    <x v="0"/>
    <s v="Feb"/>
    <x v="0"/>
    <x v="2"/>
    <n v="91796.824999999997"/>
    <n v="25"/>
    <x v="3"/>
    <n v="2653.66"/>
    <n v="4125.7"/>
    <n v="25455.325000000004"/>
    <s v="Returning"/>
    <n v="0.11"/>
    <s v="Cash"/>
    <s v="Retail"/>
    <x v="2"/>
  </r>
  <r>
    <n v="1088"/>
    <x v="96"/>
    <d v="2022-02-18T00:00:00"/>
    <x v="0"/>
    <s v="Feb"/>
    <x v="1"/>
    <x v="3"/>
    <n v="51792.787199999999"/>
    <n v="12"/>
    <x v="2"/>
    <n v="1925.94"/>
    <n v="4904.62"/>
    <n v="28681.5072"/>
    <s v="Returning"/>
    <n v="0.12"/>
    <s v="Credit Card"/>
    <s v="Retail"/>
    <x v="7"/>
  </r>
  <r>
    <n v="1067"/>
    <x v="119"/>
    <d v="2022-02-19T00:00:00"/>
    <x v="0"/>
    <s v="Feb"/>
    <x v="1"/>
    <x v="1"/>
    <n v="244476.57652180991"/>
    <n v="47"/>
    <x v="2"/>
    <n v="4827.3500000000004"/>
    <n v="5431.53"/>
    <n v="18185.183599999975"/>
    <s v="Returning"/>
    <n v="0.04"/>
    <s v="Cash"/>
    <s v="Retail"/>
    <x v="1"/>
  </r>
  <r>
    <n v="1063"/>
    <x v="33"/>
    <d v="2022-02-19T00:00:00"/>
    <x v="0"/>
    <s v="Feb"/>
    <x v="1"/>
    <x v="3"/>
    <n v="34317.332000000002"/>
    <n v="20"/>
    <x v="1"/>
    <n v="731.85"/>
    <n v="1825.39"/>
    <n v="19680.332000000002"/>
    <s v="Returning"/>
    <n v="0.06"/>
    <s v="Cash"/>
    <s v="Retail"/>
    <x v="7"/>
  </r>
  <r>
    <n v="1035"/>
    <x v="74"/>
    <d v="2022-02-19T00:00:00"/>
    <x v="0"/>
    <s v="Feb"/>
    <x v="3"/>
    <x v="2"/>
    <n v="141265.80439999999"/>
    <n v="34"/>
    <x v="3"/>
    <n v="2791.06"/>
    <n v="4239.67"/>
    <n v="46369.764399999985"/>
    <s v="Returning"/>
    <n v="0.02"/>
    <s v="Cash"/>
    <s v="Online"/>
    <x v="9"/>
  </r>
  <r>
    <n v="1035"/>
    <x v="120"/>
    <d v="2022-02-19T00:00:00"/>
    <x v="0"/>
    <s v="Feb"/>
    <x v="3"/>
    <x v="0"/>
    <n v="108389.65280000001"/>
    <n v="44"/>
    <x v="1"/>
    <n v="224.71"/>
    <n v="2677.61"/>
    <n v="98502.412800000006"/>
    <s v="Returning"/>
    <n v="0.08"/>
    <s v="Bank Transfer"/>
    <s v="Retail"/>
    <x v="11"/>
  </r>
  <r>
    <n v="1045"/>
    <x v="121"/>
    <d v="2022-02-20T00:00:00"/>
    <x v="0"/>
    <s v="Feb"/>
    <x v="1"/>
    <x v="1"/>
    <n v="131245.50190603369"/>
    <n v="42"/>
    <x v="1"/>
    <n v="3085.6"/>
    <n v="3163.7"/>
    <n v="1951.445999999989"/>
    <s v="Returning"/>
    <n v="0.01"/>
    <s v="Cash"/>
    <s v="Online"/>
    <x v="1"/>
  </r>
  <r>
    <n v="1074"/>
    <x v="17"/>
    <d v="2022-02-20T00:00:00"/>
    <x v="0"/>
    <s v="Feb"/>
    <x v="1"/>
    <x v="3"/>
    <n v="50245.809599999993"/>
    <n v="28"/>
    <x v="1"/>
    <n v="1028.24"/>
    <n v="2086.62"/>
    <n v="21455.089599999996"/>
    <s v="New"/>
    <n v="0.14000000000000001"/>
    <s v="Bank Transfer"/>
    <s v="Online"/>
    <x v="7"/>
  </r>
  <r>
    <n v="1099"/>
    <x v="122"/>
    <d v="2022-02-20T00:00:00"/>
    <x v="0"/>
    <s v="Feb"/>
    <x v="4"/>
    <x v="1"/>
    <n v="216832.53900000002"/>
    <n v="42"/>
    <x v="0"/>
    <n v="1284.23"/>
    <n v="5322.35"/>
    <n v="162894.87900000002"/>
    <s v="Returning"/>
    <n v="0.03"/>
    <s v="Bank Transfer"/>
    <s v="Online"/>
    <x v="6"/>
  </r>
  <r>
    <n v="1084"/>
    <x v="123"/>
    <d v="2022-02-22T00:00:00"/>
    <x v="0"/>
    <s v="Feb"/>
    <x v="4"/>
    <x v="2"/>
    <n v="43239.893308918618"/>
    <n v="37"/>
    <x v="2"/>
    <n v="1148.82"/>
    <n v="1205.3900000000001"/>
    <n v="755.10710000000199"/>
    <s v="New"/>
    <n v="0.03"/>
    <s v="Bank Transfer"/>
    <s v="Online"/>
    <x v="17"/>
  </r>
  <r>
    <n v="1073"/>
    <x v="124"/>
    <d v="2022-02-22T00:00:00"/>
    <x v="0"/>
    <s v="Feb"/>
    <x v="0"/>
    <x v="3"/>
    <n v="60458.364799999996"/>
    <n v="34"/>
    <x v="2"/>
    <n v="1042.3"/>
    <n v="2339.7199999999998"/>
    <n v="25020.164799999995"/>
    <s v="New"/>
    <n v="0.24"/>
    <s v="Bank Transfer"/>
    <s v="Online"/>
    <x v="5"/>
  </r>
  <r>
    <n v="1014"/>
    <x v="125"/>
    <d v="2022-02-22T00:00:00"/>
    <x v="0"/>
    <s v="Feb"/>
    <x v="3"/>
    <x v="2"/>
    <n v="150294.25"/>
    <n v="50"/>
    <x v="3"/>
    <n v="1683.37"/>
    <n v="3197.75"/>
    <n v="66125.75"/>
    <s v="Returning"/>
    <n v="0.06"/>
    <s v="Cash"/>
    <s v="Retail"/>
    <x v="9"/>
  </r>
  <r>
    <n v="1064"/>
    <x v="126"/>
    <d v="2022-02-22T00:00:00"/>
    <x v="0"/>
    <s v="Feb"/>
    <x v="2"/>
    <x v="3"/>
    <n v="101949.2864"/>
    <n v="26"/>
    <x v="1"/>
    <n v="1190.6500000000001"/>
    <n v="4405.76"/>
    <n v="70992.386400000003"/>
    <s v="Returning"/>
    <n v="0.11"/>
    <s v="Cash"/>
    <s v="Retail"/>
    <x v="3"/>
  </r>
  <r>
    <n v="1098"/>
    <x v="127"/>
    <d v="2022-02-23T00:00:00"/>
    <x v="0"/>
    <s v="Feb"/>
    <x v="0"/>
    <x v="3"/>
    <n v="79589.23981879394"/>
    <n v="21"/>
    <x v="1"/>
    <n v="3580.25"/>
    <n v="3871.42"/>
    <n v="4488.5735999999961"/>
    <s v="Returning"/>
    <n v="0.02"/>
    <s v="Bank Transfer"/>
    <s v="Retail"/>
    <x v="5"/>
  </r>
  <r>
    <n v="1050"/>
    <x v="44"/>
    <d v="2022-02-24T00:00:00"/>
    <x v="0"/>
    <s v="Feb"/>
    <x v="2"/>
    <x v="2"/>
    <n v="45135.202539649508"/>
    <n v="14"/>
    <x v="1"/>
    <n v="2830.31"/>
    <n v="3331.67"/>
    <n v="5619.7386000000015"/>
    <s v="Returning"/>
    <n v="0.03"/>
    <s v="Bank Transfer"/>
    <s v="Online"/>
    <x v="14"/>
  </r>
  <r>
    <n v="1008"/>
    <x v="128"/>
    <d v="2022-02-24T00:00:00"/>
    <x v="0"/>
    <s v="Feb"/>
    <x v="4"/>
    <x v="2"/>
    <n v="71349.590400000001"/>
    <n v="43"/>
    <x v="0"/>
    <n v="236.29"/>
    <n v="1728.43"/>
    <n v="61189.1204"/>
    <s v="New"/>
    <n v="0.04"/>
    <s v="Credit Card"/>
    <s v="Online"/>
    <x v="17"/>
  </r>
  <r>
    <n v="1076"/>
    <x v="129"/>
    <d v="2022-02-25T00:00:00"/>
    <x v="0"/>
    <s v="Feb"/>
    <x v="1"/>
    <x v="1"/>
    <n v="65603.72"/>
    <n v="14"/>
    <x v="1"/>
    <n v="4683.76"/>
    <n v="4685.9799999999996"/>
    <n v="31.079999999990832"/>
    <s v="New"/>
    <n v="0"/>
    <s v="Cash"/>
    <s v="Online"/>
    <x v="1"/>
  </r>
  <r>
    <n v="1088"/>
    <x v="83"/>
    <d v="2022-02-25T00:00:00"/>
    <x v="0"/>
    <s v="Feb"/>
    <x v="4"/>
    <x v="1"/>
    <n v="96105.851999999999"/>
    <n v="36"/>
    <x v="0"/>
    <n v="2446.16"/>
    <n v="2966.23"/>
    <n v="8044.0920000000042"/>
    <s v="Returning"/>
    <n v="0.1"/>
    <s v="Credit Card"/>
    <s v="Online"/>
    <x v="6"/>
  </r>
  <r>
    <n v="1014"/>
    <x v="130"/>
    <d v="2022-02-25T00:00:00"/>
    <x v="0"/>
    <s v="Feb"/>
    <x v="2"/>
    <x v="3"/>
    <n v="92645.742794579011"/>
    <n v="20"/>
    <x v="2"/>
    <n v="3651.98"/>
    <n v="4792.3599999999997"/>
    <n v="19932.183999999987"/>
    <s v="New"/>
    <n v="0.03"/>
    <s v="Bank Transfer"/>
    <s v="Online"/>
    <x v="3"/>
  </r>
  <r>
    <n v="1083"/>
    <x v="131"/>
    <d v="2022-02-25T00:00:00"/>
    <x v="0"/>
    <s v="Feb"/>
    <x v="0"/>
    <x v="0"/>
    <n v="40840.7552"/>
    <n v="32"/>
    <x v="0"/>
    <n v="607.88"/>
    <n v="1302.32"/>
    <n v="21388.5952"/>
    <s v="Returning"/>
    <n v="0.02"/>
    <s v="Credit Card"/>
    <s v="Retail"/>
    <x v="0"/>
  </r>
  <r>
    <n v="1082"/>
    <x v="112"/>
    <d v="2022-02-25T00:00:00"/>
    <x v="0"/>
    <s v="Feb"/>
    <x v="2"/>
    <x v="3"/>
    <n v="64325.525999999991"/>
    <n v="23"/>
    <x v="2"/>
    <n v="1816.63"/>
    <n v="3679.95"/>
    <n v="22543.035999999993"/>
    <s v="New"/>
    <n v="0.24"/>
    <s v="Credit Card"/>
    <s v="Online"/>
    <x v="3"/>
  </r>
  <r>
    <n v="1010"/>
    <x v="132"/>
    <d v="2022-02-25T00:00:00"/>
    <x v="0"/>
    <s v="Feb"/>
    <x v="1"/>
    <x v="1"/>
    <n v="157808.26200000002"/>
    <n v="38"/>
    <x v="2"/>
    <n v="3293.9"/>
    <n v="4371.42"/>
    <n v="32640.062000000002"/>
    <s v="Returning"/>
    <n v="0.05"/>
    <s v="Bank Transfer"/>
    <s v="Retail"/>
    <x v="1"/>
  </r>
  <r>
    <n v="1012"/>
    <x v="133"/>
    <d v="2022-02-25T00:00:00"/>
    <x v="0"/>
    <s v="Feb"/>
    <x v="4"/>
    <x v="3"/>
    <n v="81005.724000000002"/>
    <n v="18"/>
    <x v="0"/>
    <n v="709.22"/>
    <n v="4891.6499999999996"/>
    <n v="68239.763999999996"/>
    <s v="Returning"/>
    <n v="0.08"/>
    <s v="Cash"/>
    <s v="Online"/>
    <x v="12"/>
  </r>
  <r>
    <n v="1022"/>
    <x v="116"/>
    <d v="2022-02-25T00:00:00"/>
    <x v="0"/>
    <s v="Feb"/>
    <x v="1"/>
    <x v="0"/>
    <n v="85324.531199999983"/>
    <n v="24"/>
    <x v="0"/>
    <n v="334.52"/>
    <n v="4283.3599999999997"/>
    <n v="77296.051199999987"/>
    <s v="Returning"/>
    <n v="0.17"/>
    <s v="Bank Transfer"/>
    <s v="Retail"/>
    <x v="10"/>
  </r>
  <r>
    <n v="1023"/>
    <x v="134"/>
    <d v="2022-02-26T00:00:00"/>
    <x v="0"/>
    <s v="Feb"/>
    <x v="1"/>
    <x v="2"/>
    <n v="62126.119199668465"/>
    <n v="48"/>
    <x v="0"/>
    <n v="1124.9100000000001"/>
    <n v="1347.33"/>
    <n v="8089.2863999999936"/>
    <s v="Returning"/>
    <n v="0.04"/>
    <s v="Bank Transfer"/>
    <s v="Online"/>
    <x v="15"/>
  </r>
  <r>
    <n v="1031"/>
    <x v="135"/>
    <d v="2022-02-26T00:00:00"/>
    <x v="0"/>
    <s v="Feb"/>
    <x v="0"/>
    <x v="3"/>
    <n v="153014.6912"/>
    <n v="49"/>
    <x v="3"/>
    <n v="2913.88"/>
    <n v="4108.88"/>
    <n v="10234.571200000009"/>
    <s v="New"/>
    <n v="0.24"/>
    <s v="Credit Card"/>
    <s v="Online"/>
    <x v="5"/>
  </r>
  <r>
    <n v="1056"/>
    <x v="136"/>
    <d v="2022-02-26T00:00:00"/>
    <x v="0"/>
    <s v="Feb"/>
    <x v="0"/>
    <x v="2"/>
    <n v="51055.042499999996"/>
    <n v="33"/>
    <x v="0"/>
    <n v="885.47"/>
    <n v="2009.25"/>
    <n v="21834.532499999998"/>
    <s v="New"/>
    <n v="0.23"/>
    <s v="Cash"/>
    <s v="Online"/>
    <x v="2"/>
  </r>
  <r>
    <n v="1047"/>
    <x v="137"/>
    <d v="2022-02-26T00:00:00"/>
    <x v="0"/>
    <s v="Feb"/>
    <x v="2"/>
    <x v="1"/>
    <n v="138931.39870000002"/>
    <n v="41"/>
    <x v="2"/>
    <n v="1361.39"/>
    <n v="4289.33"/>
    <n v="83114.4087"/>
    <s v="Returning"/>
    <n v="0.21"/>
    <s v="Bank Transfer"/>
    <s v="Retail"/>
    <x v="8"/>
  </r>
  <r>
    <n v="1098"/>
    <x v="30"/>
    <d v="2022-02-27T00:00:00"/>
    <x v="0"/>
    <s v="Feb"/>
    <x v="1"/>
    <x v="3"/>
    <n v="127366.2144"/>
    <n v="32"/>
    <x v="3"/>
    <n v="3640.6"/>
    <n v="4913.82"/>
    <n v="10867.0144"/>
    <s v="New"/>
    <n v="0.19"/>
    <s v="Credit Card"/>
    <s v="Online"/>
    <x v="7"/>
  </r>
  <r>
    <n v="1042"/>
    <x v="138"/>
    <d v="2022-02-27T00:00:00"/>
    <x v="0"/>
    <s v="Feb"/>
    <x v="4"/>
    <x v="2"/>
    <n v="29507.033600000002"/>
    <n v="8"/>
    <x v="2"/>
    <n v="2040.31"/>
    <n v="4191.34"/>
    <n v="13184.553600000003"/>
    <s v="New"/>
    <n v="0.12"/>
    <s v="Cash"/>
    <s v="Retail"/>
    <x v="17"/>
  </r>
  <r>
    <n v="1034"/>
    <x v="139"/>
    <d v="2022-02-27T00:00:00"/>
    <x v="0"/>
    <s v="Feb"/>
    <x v="3"/>
    <x v="1"/>
    <n v="144143.06400000001"/>
    <n v="45"/>
    <x v="3"/>
    <n v="2819.05"/>
    <n v="4511.5200000000004"/>
    <n v="17285.813999999995"/>
    <s v="New"/>
    <n v="0.28999999999999998"/>
    <s v="Credit Card"/>
    <s v="Online"/>
    <x v="16"/>
  </r>
  <r>
    <n v="1070"/>
    <x v="62"/>
    <d v="2022-02-28T00:00:00"/>
    <x v="0"/>
    <s v="Feb"/>
    <x v="2"/>
    <x v="3"/>
    <n v="31695.108899999999"/>
    <n v="7"/>
    <x v="0"/>
    <n v="4470.1400000000003"/>
    <n v="4667.91"/>
    <n v="404.12889999999697"/>
    <s v="New"/>
    <n v="0.03"/>
    <s v="Bank Transfer"/>
    <s v="Online"/>
    <x v="3"/>
  </r>
  <r>
    <n v="1090"/>
    <x v="37"/>
    <d v="2022-02-28T00:00:00"/>
    <x v="0"/>
    <s v="Feb"/>
    <x v="1"/>
    <x v="2"/>
    <n v="141801.0841644021"/>
    <n v="38"/>
    <x v="1"/>
    <n v="3543.97"/>
    <n v="3858.63"/>
    <n v="7558.2418000000016"/>
    <s v="Returning"/>
    <n v="0.03"/>
    <s v="Credit Card"/>
    <s v="Online"/>
    <x v="15"/>
  </r>
  <r>
    <n v="1001"/>
    <x v="8"/>
    <d v="2022-02-28T00:00:00"/>
    <x v="0"/>
    <s v="Feb"/>
    <x v="3"/>
    <x v="1"/>
    <n v="12401.4699"/>
    <n v="3"/>
    <x v="0"/>
    <n v="1601"/>
    <n v="4980.51"/>
    <n v="7598.4699000000001"/>
    <s v="Returning"/>
    <n v="0.17"/>
    <s v="Credit Card"/>
    <s v="Online"/>
    <x v="16"/>
  </r>
  <r>
    <n v="1024"/>
    <x v="140"/>
    <d v="2022-02-28T00:00:00"/>
    <x v="0"/>
    <s v="Feb"/>
    <x v="4"/>
    <x v="3"/>
    <n v="47877.788400000005"/>
    <n v="39"/>
    <x v="3"/>
    <n v="255.79"/>
    <n v="1615.31"/>
    <n v="37901.978400000007"/>
    <s v="New"/>
    <n v="0.24"/>
    <s v="Credit Card"/>
    <s v="Retail"/>
    <x v="12"/>
  </r>
  <r>
    <n v="1095"/>
    <x v="40"/>
    <d v="2022-02-28T00:00:00"/>
    <x v="0"/>
    <s v="Feb"/>
    <x v="2"/>
    <x v="1"/>
    <n v="63705.744000000006"/>
    <n v="18"/>
    <x v="1"/>
    <n v="387.16"/>
    <n v="4424.01"/>
    <n v="56736.864000000016"/>
    <s v="New"/>
    <n v="0.2"/>
    <s v="Bank Transfer"/>
    <s v="Online"/>
    <x v="8"/>
  </r>
  <r>
    <n v="1064"/>
    <x v="126"/>
    <d v="2022-03-01T00:00:00"/>
    <x v="0"/>
    <s v="Mar"/>
    <x v="1"/>
    <x v="3"/>
    <n v="43310.49537371131"/>
    <n v="9"/>
    <x v="1"/>
    <n v="4796.22"/>
    <n v="4969.8599999999997"/>
    <n v="220.89779999999428"/>
    <s v="Returning"/>
    <n v="0.03"/>
    <s v="Bank Transfer"/>
    <s v="Online"/>
    <x v="7"/>
  </r>
  <r>
    <n v="1024"/>
    <x v="59"/>
    <d v="2022-03-01T00:00:00"/>
    <x v="0"/>
    <s v="Mar"/>
    <x v="0"/>
    <x v="1"/>
    <n v="18971.9424"/>
    <n v="12"/>
    <x v="1"/>
    <n v="1430.4"/>
    <n v="1646.87"/>
    <n v="1807.142399999997"/>
    <s v="Returning"/>
    <n v="0.04"/>
    <s v="Credit Card"/>
    <s v="Online"/>
    <x v="19"/>
  </r>
  <r>
    <n v="1059"/>
    <x v="141"/>
    <d v="2022-03-01T00:00:00"/>
    <x v="0"/>
    <s v="Mar"/>
    <x v="2"/>
    <x v="3"/>
    <n v="22938.418799999999"/>
    <n v="38"/>
    <x v="2"/>
    <n v="548.89"/>
    <n v="701.91"/>
    <n v="2080.5988000000011"/>
    <s v="New"/>
    <n v="0.14000000000000001"/>
    <s v="Credit Card"/>
    <s v="Online"/>
    <x v="3"/>
  </r>
  <r>
    <n v="1017"/>
    <x v="75"/>
    <d v="2022-03-01T00:00:00"/>
    <x v="0"/>
    <s v="Mar"/>
    <x v="4"/>
    <x v="2"/>
    <n v="42376.938800000004"/>
    <n v="19"/>
    <x v="0"/>
    <n v="1974.61"/>
    <n v="2424.31"/>
    <n v="4859.3488000000052"/>
    <s v="New"/>
    <n v="0.08"/>
    <s v="Cash"/>
    <s v="Online"/>
    <x v="17"/>
  </r>
  <r>
    <n v="1055"/>
    <x v="77"/>
    <d v="2022-03-01T00:00:00"/>
    <x v="0"/>
    <s v="Mar"/>
    <x v="1"/>
    <x v="2"/>
    <n v="19583.795700000002"/>
    <n v="7"/>
    <x v="2"/>
    <n v="522.57000000000005"/>
    <n v="3215.73"/>
    <n v="15925.805700000001"/>
    <s v="Returning"/>
    <n v="0.13"/>
    <s v="Credit Card"/>
    <s v="Retail"/>
    <x v="15"/>
  </r>
  <r>
    <n v="1076"/>
    <x v="142"/>
    <d v="2022-03-01T00:00:00"/>
    <x v="0"/>
    <s v="Mar"/>
    <x v="1"/>
    <x v="2"/>
    <n v="153144.36480000001"/>
    <n v="42"/>
    <x v="2"/>
    <n v="3216.35"/>
    <n v="4096.96"/>
    <n v="18057.664800000013"/>
    <s v="Returning"/>
    <n v="0.11"/>
    <s v="Bank Transfer"/>
    <s v="Retail"/>
    <x v="15"/>
  </r>
  <r>
    <n v="1091"/>
    <x v="36"/>
    <d v="2022-03-01T00:00:00"/>
    <x v="0"/>
    <s v="Mar"/>
    <x v="2"/>
    <x v="3"/>
    <n v="170797.18"/>
    <n v="50"/>
    <x v="2"/>
    <n v="2415.67"/>
    <n v="4616.1400000000003"/>
    <n v="50013.68"/>
    <s v="New"/>
    <n v="0.26"/>
    <s v="Credit Card"/>
    <s v="Online"/>
    <x v="3"/>
  </r>
  <r>
    <n v="1041"/>
    <x v="143"/>
    <d v="2022-03-03T00:00:00"/>
    <x v="0"/>
    <s v="Mar"/>
    <x v="3"/>
    <x v="3"/>
    <n v="39663.017999999996"/>
    <n v="9"/>
    <x v="0"/>
    <n v="1792.58"/>
    <n v="4688.3"/>
    <n v="23529.797999999995"/>
    <s v="Returning"/>
    <n v="0.06"/>
    <s v="Credit Card"/>
    <s v="Online"/>
    <x v="4"/>
  </r>
  <r>
    <n v="1015"/>
    <x v="144"/>
    <d v="2022-03-03T00:00:00"/>
    <x v="0"/>
    <s v="Mar"/>
    <x v="1"/>
    <x v="2"/>
    <n v="66935.068199999994"/>
    <n v="21"/>
    <x v="3"/>
    <n v="1073.05"/>
    <n v="3219.58"/>
    <n v="44401.018200000006"/>
    <s v="Returning"/>
    <n v="0.01"/>
    <s v="Cash"/>
    <s v="Retail"/>
    <x v="15"/>
  </r>
  <r>
    <n v="1055"/>
    <x v="77"/>
    <d v="2022-03-04T00:00:00"/>
    <x v="0"/>
    <s v="Mar"/>
    <x v="3"/>
    <x v="2"/>
    <n v="123802.56000000001"/>
    <n v="46"/>
    <x v="2"/>
    <n v="2691.09"/>
    <n v="2803.5"/>
    <n v="12.419999999999163"/>
    <s v="Returning"/>
    <n v="0.04"/>
    <s v="Cash"/>
    <s v="Online"/>
    <x v="9"/>
  </r>
  <r>
    <n v="1099"/>
    <x v="122"/>
    <d v="2022-03-04T00:00:00"/>
    <x v="0"/>
    <s v="Mar"/>
    <x v="1"/>
    <x v="1"/>
    <n v="13048.9128"/>
    <n v="3"/>
    <x v="0"/>
    <n v="3751.81"/>
    <n v="4942.7700000000004"/>
    <n v="1793.4828000000002"/>
    <s v="Returning"/>
    <n v="0.12"/>
    <s v="Bank Transfer"/>
    <s v="Retail"/>
    <x v="1"/>
  </r>
  <r>
    <n v="1056"/>
    <x v="145"/>
    <d v="2022-03-04T00:00:00"/>
    <x v="0"/>
    <s v="Mar"/>
    <x v="3"/>
    <x v="2"/>
    <n v="63428.041600000004"/>
    <n v="16"/>
    <x v="2"/>
    <n v="3812.88"/>
    <n v="5148.38"/>
    <n v="2421.9616000000024"/>
    <s v="New"/>
    <n v="0.23"/>
    <s v="Cash"/>
    <s v="Online"/>
    <x v="9"/>
  </r>
  <r>
    <n v="1029"/>
    <x v="146"/>
    <d v="2022-03-04T00:00:00"/>
    <x v="0"/>
    <s v="Mar"/>
    <x v="0"/>
    <x v="1"/>
    <n v="14508.6736"/>
    <n v="4"/>
    <x v="1"/>
    <n v="2546.06"/>
    <n v="4772.59"/>
    <n v="4324.4336000000003"/>
    <s v="New"/>
    <n v="0.24"/>
    <s v="Bank Transfer"/>
    <s v="Online"/>
    <x v="19"/>
  </r>
  <r>
    <n v="1081"/>
    <x v="57"/>
    <d v="2022-03-04T00:00:00"/>
    <x v="0"/>
    <s v="Mar"/>
    <x v="1"/>
    <x v="3"/>
    <n v="109928.09454473366"/>
    <n v="34"/>
    <x v="1"/>
    <n v="2446.7199999999998"/>
    <n v="3319.84"/>
    <n v="26299.843200000003"/>
    <s v="Returning"/>
    <n v="0.03"/>
    <s v="Credit Card"/>
    <s v="Retail"/>
    <x v="7"/>
  </r>
  <r>
    <n v="1015"/>
    <x v="147"/>
    <d v="2022-03-04T00:00:00"/>
    <x v="0"/>
    <s v="Mar"/>
    <x v="3"/>
    <x v="3"/>
    <n v="55727.932799999995"/>
    <n v="23"/>
    <x v="1"/>
    <n v="995.98"/>
    <n v="2523.91"/>
    <n v="32820.392799999994"/>
    <s v="New"/>
    <n v="0.04"/>
    <s v="Bank Transfer"/>
    <s v="Online"/>
    <x v="4"/>
  </r>
  <r>
    <n v="1032"/>
    <x v="148"/>
    <d v="2022-03-04T00:00:00"/>
    <x v="0"/>
    <s v="Mar"/>
    <x v="3"/>
    <x v="2"/>
    <n v="128630.41500000001"/>
    <n v="43"/>
    <x v="0"/>
    <n v="1870.29"/>
    <n v="3519.3"/>
    <n v="48207.945000000007"/>
    <s v="New"/>
    <n v="0.15"/>
    <s v="Bank Transfer"/>
    <s v="Online"/>
    <x v="9"/>
  </r>
  <r>
    <n v="1075"/>
    <x v="149"/>
    <d v="2022-03-04T00:00:00"/>
    <x v="0"/>
    <s v="Mar"/>
    <x v="3"/>
    <x v="3"/>
    <n v="104179.70160000001"/>
    <n v="26"/>
    <x v="1"/>
    <n v="1100.6199999999999"/>
    <n v="5072.04"/>
    <n v="75563.581600000005"/>
    <s v="New"/>
    <n v="0.21"/>
    <s v="Cash"/>
    <s v="Online"/>
    <x v="4"/>
  </r>
  <r>
    <n v="1091"/>
    <x v="14"/>
    <d v="2022-03-05T00:00:00"/>
    <x v="0"/>
    <s v="Mar"/>
    <x v="2"/>
    <x v="3"/>
    <n v="21286.36"/>
    <n v="5"/>
    <x v="3"/>
    <n v="4227.22"/>
    <n v="5321.59"/>
    <n v="150.2599999999984"/>
    <s v="Returning"/>
    <n v="0.2"/>
    <s v="Cash"/>
    <s v="Retail"/>
    <x v="3"/>
  </r>
  <r>
    <n v="1046"/>
    <x v="150"/>
    <d v="2022-03-06T00:00:00"/>
    <x v="0"/>
    <s v="Mar"/>
    <x v="2"/>
    <x v="3"/>
    <n v="8670.2000000000007"/>
    <n v="7"/>
    <x v="1"/>
    <n v="393.6"/>
    <n v="1548.25"/>
    <n v="5915.0000000000009"/>
    <s v="Returning"/>
    <n v="0.2"/>
    <s v="Bank Transfer"/>
    <s v="Retail"/>
    <x v="3"/>
  </r>
  <r>
    <n v="1032"/>
    <x v="151"/>
    <d v="2022-03-06T00:00:00"/>
    <x v="0"/>
    <s v="Mar"/>
    <x v="1"/>
    <x v="2"/>
    <n v="12268.5836"/>
    <n v="4"/>
    <x v="3"/>
    <n v="1484.49"/>
    <n v="3370.49"/>
    <n v="6330.6235999999999"/>
    <s v="Returning"/>
    <n v="0.09"/>
    <s v="Credit Card"/>
    <s v="Retail"/>
    <x v="15"/>
  </r>
  <r>
    <n v="1029"/>
    <x v="152"/>
    <d v="2022-03-06T00:00:00"/>
    <x v="0"/>
    <s v="Mar"/>
    <x v="0"/>
    <x v="0"/>
    <n v="12473.5016"/>
    <n v="8"/>
    <x v="3"/>
    <n v="316.67"/>
    <n v="1607.41"/>
    <n v="9940.141599999999"/>
    <s v="Returning"/>
    <n v="0.03"/>
    <s v="Credit Card"/>
    <s v="Online"/>
    <x v="0"/>
  </r>
  <r>
    <n v="1071"/>
    <x v="153"/>
    <d v="2022-03-07T00:00:00"/>
    <x v="0"/>
    <s v="Mar"/>
    <x v="0"/>
    <x v="1"/>
    <n v="5298.5375999999997"/>
    <n v="3"/>
    <x v="0"/>
    <n v="1040"/>
    <n v="2323.92"/>
    <n v="2178.5376000000001"/>
    <s v="Returning"/>
    <n v="0.24"/>
    <s v="Cash"/>
    <s v="Retail"/>
    <x v="19"/>
  </r>
  <r>
    <n v="1100"/>
    <x v="154"/>
    <d v="2022-03-07T00:00:00"/>
    <x v="0"/>
    <s v="Mar"/>
    <x v="0"/>
    <x v="0"/>
    <n v="22368.646199999996"/>
    <n v="6"/>
    <x v="1"/>
    <n v="3071.16"/>
    <n v="3843.41"/>
    <n v="3941.6861999999983"/>
    <s v="Returning"/>
    <n v="0.03"/>
    <s v="Cash"/>
    <s v="Online"/>
    <x v="0"/>
  </r>
  <r>
    <n v="1025"/>
    <x v="155"/>
    <d v="2022-03-07T00:00:00"/>
    <x v="0"/>
    <s v="Mar"/>
    <x v="0"/>
    <x v="1"/>
    <n v="37901.2569"/>
    <n v="13"/>
    <x v="1"/>
    <n v="2036.88"/>
    <n v="3993.81"/>
    <n v="11421.816899999998"/>
    <s v="Returning"/>
    <n v="0.27"/>
    <s v="Cash"/>
    <s v="Retail"/>
    <x v="19"/>
  </r>
  <r>
    <n v="1088"/>
    <x v="25"/>
    <d v="2022-03-07T00:00:00"/>
    <x v="0"/>
    <s v="Mar"/>
    <x v="0"/>
    <x v="2"/>
    <n v="26892.896399999998"/>
    <n v="27"/>
    <x v="1"/>
    <n v="227.6"/>
    <n v="1310.57"/>
    <n v="20747.696399999997"/>
    <s v="New"/>
    <n v="0.24"/>
    <s v="Cash"/>
    <s v="Online"/>
    <x v="2"/>
  </r>
  <r>
    <n v="1088"/>
    <x v="156"/>
    <d v="2022-03-07T00:00:00"/>
    <x v="0"/>
    <s v="Mar"/>
    <x v="4"/>
    <x v="1"/>
    <n v="34237.387800000004"/>
    <n v="11"/>
    <x v="3"/>
    <n v="1008.51"/>
    <n v="3176.01"/>
    <n v="23143.7778"/>
    <s v="New"/>
    <n v="0.02"/>
    <s v="Cash"/>
    <s v="Retail"/>
    <x v="6"/>
  </r>
  <r>
    <n v="1049"/>
    <x v="157"/>
    <d v="2022-03-08T00:00:00"/>
    <x v="0"/>
    <s v="Mar"/>
    <x v="3"/>
    <x v="2"/>
    <n v="84117.540965343316"/>
    <n v="18"/>
    <x v="1"/>
    <n v="4293.76"/>
    <n v="4789.1099999999997"/>
    <n v="7192.2203999999965"/>
    <s v="New"/>
    <n v="0.02"/>
    <s v="Cash"/>
    <s v="Online"/>
    <x v="9"/>
  </r>
  <r>
    <n v="1074"/>
    <x v="158"/>
    <d v="2022-03-08T00:00:00"/>
    <x v="0"/>
    <s v="Mar"/>
    <x v="2"/>
    <x v="1"/>
    <n v="156784"/>
    <n v="32"/>
    <x v="3"/>
    <n v="2730.56"/>
    <n v="4899.5"/>
    <n v="69406.080000000002"/>
    <s v="New"/>
    <n v="0"/>
    <s v="Bank Transfer"/>
    <s v="Retail"/>
    <x v="8"/>
  </r>
  <r>
    <n v="1090"/>
    <x v="159"/>
    <d v="2022-03-08T00:00:00"/>
    <x v="0"/>
    <s v="Mar"/>
    <x v="0"/>
    <x v="1"/>
    <n v="150042.12119999999"/>
    <n v="36"/>
    <x v="2"/>
    <n v="1240.08"/>
    <n v="5021.49"/>
    <n v="105399.24119999999"/>
    <s v="New"/>
    <n v="0.17"/>
    <s v="Bank Transfer"/>
    <s v="Retail"/>
    <x v="19"/>
  </r>
  <r>
    <n v="1033"/>
    <x v="99"/>
    <d v="2022-03-09T00:00:00"/>
    <x v="0"/>
    <s v="Mar"/>
    <x v="1"/>
    <x v="1"/>
    <n v="18734.461199999998"/>
    <n v="7"/>
    <x v="0"/>
    <n v="1845.36"/>
    <n v="3431.22"/>
    <n v="5816.9412000000002"/>
    <s v="New"/>
    <n v="0.22"/>
    <s v="Credit Card"/>
    <s v="Online"/>
    <x v="1"/>
  </r>
  <r>
    <n v="1066"/>
    <x v="160"/>
    <d v="2022-03-09T00:00:00"/>
    <x v="0"/>
    <s v="Mar"/>
    <x v="3"/>
    <x v="0"/>
    <n v="46695.545600000005"/>
    <n v="11"/>
    <x v="1"/>
    <n v="1387.14"/>
    <n v="4823.92"/>
    <n v="31437.0056"/>
    <s v="Returning"/>
    <n v="0.12"/>
    <s v="Credit Card"/>
    <s v="Retail"/>
    <x v="11"/>
  </r>
  <r>
    <n v="1093"/>
    <x v="161"/>
    <d v="2022-03-09T00:00:00"/>
    <x v="0"/>
    <s v="Mar"/>
    <x v="0"/>
    <x v="2"/>
    <n v="215622.05"/>
    <n v="49"/>
    <x v="0"/>
    <n v="273.06"/>
    <n v="5177"/>
    <n v="202242.11"/>
    <s v="New"/>
    <n v="0.15"/>
    <s v="Bank Transfer"/>
    <s v="Retail"/>
    <x v="2"/>
  </r>
  <r>
    <n v="1008"/>
    <x v="162"/>
    <d v="2022-03-10T00:00:00"/>
    <x v="0"/>
    <s v="Mar"/>
    <x v="3"/>
    <x v="3"/>
    <n v="190403.67768853178"/>
    <n v="49"/>
    <x v="2"/>
    <n v="3832.71"/>
    <n v="3893.1"/>
    <n v="2959.1099999999938"/>
    <s v="Returning"/>
    <n v="0"/>
    <s v="Bank Transfer"/>
    <s v="Online"/>
    <x v="4"/>
  </r>
  <r>
    <n v="1071"/>
    <x v="163"/>
    <d v="2022-03-10T00:00:00"/>
    <x v="0"/>
    <s v="Mar"/>
    <x v="4"/>
    <x v="0"/>
    <n v="10996.871999999999"/>
    <n v="4"/>
    <x v="2"/>
    <n v="1005.55"/>
    <n v="2924.7"/>
    <n v="6974.6719999999996"/>
    <s v="Returning"/>
    <n v="0.06"/>
    <s v="Bank Transfer"/>
    <s v="Retail"/>
    <x v="13"/>
  </r>
  <r>
    <n v="1068"/>
    <x v="164"/>
    <d v="2022-03-10T00:00:00"/>
    <x v="0"/>
    <s v="Mar"/>
    <x v="3"/>
    <x v="0"/>
    <n v="62400.130000000005"/>
    <n v="13"/>
    <x v="2"/>
    <n v="4131.32"/>
    <n v="4800.01"/>
    <n v="8692.9700000000066"/>
    <s v="New"/>
    <n v="0"/>
    <s v="Cash"/>
    <s v="Online"/>
    <x v="11"/>
  </r>
  <r>
    <n v="1010"/>
    <x v="165"/>
    <d v="2022-03-10T00:00:00"/>
    <x v="0"/>
    <s v="Mar"/>
    <x v="3"/>
    <x v="0"/>
    <n v="56333.476800000004"/>
    <n v="12"/>
    <x v="1"/>
    <n v="3191.62"/>
    <n v="5102.67"/>
    <n v="18034.036800000002"/>
    <s v="New"/>
    <n v="0.08"/>
    <s v="Bank Transfer"/>
    <s v="Retail"/>
    <x v="11"/>
  </r>
  <r>
    <n v="1093"/>
    <x v="161"/>
    <d v="2022-03-10T00:00:00"/>
    <x v="0"/>
    <s v="Mar"/>
    <x v="0"/>
    <x v="2"/>
    <n v="69990.48000000001"/>
    <n v="28"/>
    <x v="0"/>
    <n v="325.48"/>
    <n v="2777.4"/>
    <n v="60877.040000000008"/>
    <s v="Returning"/>
    <n v="0.1"/>
    <s v="Cash"/>
    <s v="Retail"/>
    <x v="2"/>
  </r>
  <r>
    <n v="1038"/>
    <x v="166"/>
    <d v="2022-03-10T00:00:00"/>
    <x v="0"/>
    <s v="Mar"/>
    <x v="3"/>
    <x v="0"/>
    <n v="184598.59600000002"/>
    <n v="40"/>
    <x v="3"/>
    <n v="1690.42"/>
    <n v="5071.3900000000003"/>
    <n v="116981.79600000003"/>
    <s v="New"/>
    <n v="0.09"/>
    <s v="Credit Card"/>
    <s v="Retail"/>
    <x v="11"/>
  </r>
  <r>
    <n v="1017"/>
    <x v="167"/>
    <d v="2022-03-11T00:00:00"/>
    <x v="0"/>
    <s v="Mar"/>
    <x v="0"/>
    <x v="1"/>
    <n v="123398.37588132384"/>
    <n v="37"/>
    <x v="1"/>
    <n v="3267.33"/>
    <n v="3448.29"/>
    <n v="2867.9181000000044"/>
    <s v="New"/>
    <n v="0.03"/>
    <s v="Credit Card"/>
    <s v="Online"/>
    <x v="19"/>
  </r>
  <r>
    <n v="1099"/>
    <x v="168"/>
    <d v="2022-03-11T00:00:00"/>
    <x v="0"/>
    <s v="Mar"/>
    <x v="2"/>
    <x v="2"/>
    <n v="97866.832500000004"/>
    <n v="27"/>
    <x v="3"/>
    <n v="2381.4499999999998"/>
    <n v="4832.93"/>
    <n v="33567.68250000001"/>
    <s v="Returning"/>
    <n v="0.25"/>
    <s v="Credit Card"/>
    <s v="Retail"/>
    <x v="14"/>
  </r>
  <r>
    <n v="1040"/>
    <x v="169"/>
    <d v="2022-03-11T00:00:00"/>
    <x v="0"/>
    <s v="Mar"/>
    <x v="0"/>
    <x v="1"/>
    <n v="54826.732799999998"/>
    <n v="16"/>
    <x v="0"/>
    <n v="943.79"/>
    <n v="4079.37"/>
    <n v="39726.092799999999"/>
    <s v="Returning"/>
    <n v="0.16"/>
    <s v="Credit Card"/>
    <s v="Online"/>
    <x v="19"/>
  </r>
  <r>
    <n v="1075"/>
    <x v="170"/>
    <d v="2022-03-11T00:00:00"/>
    <x v="0"/>
    <s v="Mar"/>
    <x v="3"/>
    <x v="3"/>
    <n v="90610.284799999994"/>
    <n v="28"/>
    <x v="2"/>
    <n v="538.19000000000005"/>
    <n v="3442.64"/>
    <n v="75540.964799999987"/>
    <s v="New"/>
    <n v="0.06"/>
    <s v="Credit Card"/>
    <s v="Retail"/>
    <x v="4"/>
  </r>
  <r>
    <n v="1028"/>
    <x v="171"/>
    <d v="2022-03-12T00:00:00"/>
    <x v="0"/>
    <s v="Mar"/>
    <x v="2"/>
    <x v="2"/>
    <n v="60921.750599999999"/>
    <n v="18"/>
    <x v="3"/>
    <n v="3181.8"/>
    <n v="4284.2299999999996"/>
    <n v="3649.3505999999925"/>
    <s v="Returning"/>
    <n v="0.21"/>
    <s v="Bank Transfer"/>
    <s v="Retail"/>
    <x v="14"/>
  </r>
  <r>
    <n v="1077"/>
    <x v="172"/>
    <d v="2022-03-12T00:00:00"/>
    <x v="0"/>
    <s v="Mar"/>
    <x v="4"/>
    <x v="3"/>
    <n v="10054.8225"/>
    <n v="3"/>
    <x v="2"/>
    <n v="193.52"/>
    <n v="4468.8100000000004"/>
    <n v="9474.2625000000007"/>
    <s v="New"/>
    <n v="0.25"/>
    <s v="Bank Transfer"/>
    <s v="Online"/>
    <x v="12"/>
  </r>
  <r>
    <n v="1008"/>
    <x v="173"/>
    <d v="2022-03-12T00:00:00"/>
    <x v="0"/>
    <s v="Mar"/>
    <x v="0"/>
    <x v="3"/>
    <n v="34168.7736"/>
    <n v="13"/>
    <x v="3"/>
    <n v="832.56"/>
    <n v="3650.51"/>
    <n v="23345.493600000002"/>
    <s v="Returning"/>
    <n v="0.28000000000000003"/>
    <s v="Cash"/>
    <s v="Retail"/>
    <x v="5"/>
  </r>
  <r>
    <n v="1097"/>
    <x v="174"/>
    <d v="2022-03-14T00:00:00"/>
    <x v="0"/>
    <s v="Mar"/>
    <x v="4"/>
    <x v="3"/>
    <n v="5522.3445000000002"/>
    <n v="15"/>
    <x v="2"/>
    <n v="247.17"/>
    <n v="518.53"/>
    <n v="1814.7945"/>
    <s v="New"/>
    <n v="0.28999999999999998"/>
    <s v="Credit Card"/>
    <s v="Retail"/>
    <x v="12"/>
  </r>
  <r>
    <n v="1041"/>
    <x v="175"/>
    <d v="2022-03-14T00:00:00"/>
    <x v="0"/>
    <s v="Mar"/>
    <x v="3"/>
    <x v="2"/>
    <n v="4725.9728999999998"/>
    <n v="1"/>
    <x v="3"/>
    <n v="2413.6"/>
    <n v="4773.71"/>
    <n v="2312.3728999999998"/>
    <s v="New"/>
    <n v="0.01"/>
    <s v="Bank Transfer"/>
    <s v="Retail"/>
    <x v="9"/>
  </r>
  <r>
    <n v="1021"/>
    <x v="176"/>
    <d v="2022-03-14T00:00:00"/>
    <x v="0"/>
    <s v="Mar"/>
    <x v="0"/>
    <x v="2"/>
    <n v="52538.303999999996"/>
    <n v="20"/>
    <x v="1"/>
    <n v="2386.9699999999998"/>
    <n v="2736.37"/>
    <n v="4798.9040000000023"/>
    <s v="Returning"/>
    <n v="0.04"/>
    <s v="Credit Card"/>
    <s v="Online"/>
    <x v="2"/>
  </r>
  <r>
    <n v="1073"/>
    <x v="47"/>
    <d v="2022-03-14T00:00:00"/>
    <x v="0"/>
    <s v="Mar"/>
    <x v="0"/>
    <x v="3"/>
    <n v="53487.4208"/>
    <n v="22"/>
    <x v="3"/>
    <n v="1296.77"/>
    <n v="2762.78"/>
    <n v="24958.480800000001"/>
    <s v="Returning"/>
    <n v="0.12"/>
    <s v="Bank Transfer"/>
    <s v="Retail"/>
    <x v="5"/>
  </r>
  <r>
    <n v="1100"/>
    <x v="154"/>
    <d v="2022-03-14T00:00:00"/>
    <x v="0"/>
    <s v="Mar"/>
    <x v="1"/>
    <x v="1"/>
    <n v="42032.059200000003"/>
    <n v="24"/>
    <x v="1"/>
    <n v="132.71"/>
    <n v="2366.67"/>
    <n v="38847.019200000002"/>
    <s v="New"/>
    <n v="0.26"/>
    <s v="Credit Card"/>
    <s v="Online"/>
    <x v="1"/>
  </r>
  <r>
    <n v="1019"/>
    <x v="177"/>
    <d v="2022-03-14T00:00:00"/>
    <x v="0"/>
    <s v="Mar"/>
    <x v="1"/>
    <x v="1"/>
    <n v="68768.399999999994"/>
    <n v="20"/>
    <x v="0"/>
    <n v="1374.52"/>
    <n v="4045.2"/>
    <n v="41277.999999999993"/>
    <s v="New"/>
    <n v="0.15"/>
    <s v="Credit Card"/>
    <s v="Retail"/>
    <x v="1"/>
  </r>
  <r>
    <n v="1077"/>
    <x v="35"/>
    <d v="2022-03-15T00:00:00"/>
    <x v="0"/>
    <s v="Mar"/>
    <x v="4"/>
    <x v="2"/>
    <n v="13271.969700000001"/>
    <n v="17"/>
    <x v="0"/>
    <n v="476.84"/>
    <n v="788.59"/>
    <n v="5165.6897000000008"/>
    <s v="Returning"/>
    <n v="0.01"/>
    <s v="Bank Transfer"/>
    <s v="Retail"/>
    <x v="17"/>
  </r>
  <r>
    <n v="1078"/>
    <x v="21"/>
    <d v="2022-03-15T00:00:00"/>
    <x v="0"/>
    <s v="Mar"/>
    <x v="1"/>
    <x v="0"/>
    <n v="117202.26700000001"/>
    <n v="35"/>
    <x v="2"/>
    <n v="1443.96"/>
    <n v="3679.82"/>
    <n v="66663.667000000016"/>
    <s v="New"/>
    <n v="0.09"/>
    <s v="Cash"/>
    <s v="Retail"/>
    <x v="10"/>
  </r>
  <r>
    <n v="1061"/>
    <x v="178"/>
    <d v="2022-03-16T00:00:00"/>
    <x v="0"/>
    <s v="Mar"/>
    <x v="3"/>
    <x v="0"/>
    <n v="94196.034"/>
    <n v="27"/>
    <x v="2"/>
    <n v="3035.91"/>
    <n v="3876.38"/>
    <n v="12226.464000000009"/>
    <s v="Returning"/>
    <n v="0.1"/>
    <s v="Credit Card"/>
    <s v="Retail"/>
    <x v="11"/>
  </r>
  <r>
    <n v="1096"/>
    <x v="179"/>
    <d v="2022-03-16T00:00:00"/>
    <x v="0"/>
    <s v="Mar"/>
    <x v="1"/>
    <x v="1"/>
    <n v="71849.099399999992"/>
    <n v="39"/>
    <x v="1"/>
    <n v="815.94"/>
    <n v="2219.62"/>
    <n v="40027.439399999988"/>
    <s v="New"/>
    <n v="0.17"/>
    <s v="Cash"/>
    <s v="Retail"/>
    <x v="1"/>
  </r>
  <r>
    <n v="1093"/>
    <x v="180"/>
    <d v="2022-03-17T00:00:00"/>
    <x v="0"/>
    <s v="Mar"/>
    <x v="4"/>
    <x v="3"/>
    <n v="33132.898120562037"/>
    <n v="7"/>
    <x v="1"/>
    <n v="4603.16"/>
    <n v="4979.3599999999997"/>
    <n v="890.6239999999998"/>
    <s v="Returning"/>
    <n v="0.05"/>
    <s v="Cash"/>
    <s v="Online"/>
    <x v="12"/>
  </r>
  <r>
    <n v="1042"/>
    <x v="0"/>
    <d v="2022-03-17T00:00:00"/>
    <x v="0"/>
    <s v="Mar"/>
    <x v="4"/>
    <x v="1"/>
    <n v="174663.78388126448"/>
    <n v="38"/>
    <x v="0"/>
    <n v="4570.3599999999997"/>
    <n v="4604.22"/>
    <n v="1286.6800000000221"/>
    <s v="New"/>
    <n v="0"/>
    <s v="Cash"/>
    <s v="Retail"/>
    <x v="6"/>
  </r>
  <r>
    <n v="1034"/>
    <x v="181"/>
    <d v="2022-03-17T00:00:00"/>
    <x v="0"/>
    <s v="Mar"/>
    <x v="0"/>
    <x v="3"/>
    <n v="74327.322197144764"/>
    <n v="37"/>
    <x v="0"/>
    <n v="1962.72"/>
    <n v="2012.96"/>
    <n v="1858.8800000000003"/>
    <s v="Returning"/>
    <n v="0"/>
    <s v="Bank Transfer"/>
    <s v="Retail"/>
    <x v="5"/>
  </r>
  <r>
    <n v="1027"/>
    <x v="182"/>
    <d v="2022-03-17T00:00:00"/>
    <x v="0"/>
    <s v="Mar"/>
    <x v="2"/>
    <x v="0"/>
    <n v="47636.860799999995"/>
    <n v="19"/>
    <x v="2"/>
    <n v="1048.81"/>
    <n v="2611.67"/>
    <n v="27709.470799999999"/>
    <s v="Returning"/>
    <n v="0.04"/>
    <s v="Credit Card"/>
    <s v="Retail"/>
    <x v="18"/>
  </r>
  <r>
    <n v="1086"/>
    <x v="87"/>
    <d v="2022-03-17T00:00:00"/>
    <x v="0"/>
    <s v="Mar"/>
    <x v="1"/>
    <x v="0"/>
    <n v="75527.667600000001"/>
    <n v="22"/>
    <x v="0"/>
    <n v="795.38"/>
    <n v="4458.54"/>
    <n v="58029.3076"/>
    <s v="New"/>
    <n v="0.23"/>
    <s v="Bank Transfer"/>
    <s v="Online"/>
    <x v="10"/>
  </r>
  <r>
    <n v="1074"/>
    <x v="107"/>
    <d v="2022-03-17T00:00:00"/>
    <x v="0"/>
    <s v="Mar"/>
    <x v="0"/>
    <x v="3"/>
    <n v="106617.39479999999"/>
    <n v="31"/>
    <x v="0"/>
    <n v="777.74"/>
    <n v="4094.37"/>
    <n v="82507.454799999992"/>
    <s v="Returning"/>
    <n v="0.16"/>
    <s v="Bank Transfer"/>
    <s v="Online"/>
    <x v="5"/>
  </r>
  <r>
    <n v="1082"/>
    <x v="183"/>
    <d v="2022-03-18T00:00:00"/>
    <x v="0"/>
    <s v="Mar"/>
    <x v="3"/>
    <x v="3"/>
    <n v="151328.20776904438"/>
    <n v="45"/>
    <x v="0"/>
    <n v="3112.28"/>
    <n v="3476.15"/>
    <n v="11681.347499999985"/>
    <s v="New"/>
    <n v="0.03"/>
    <s v="Cash"/>
    <s v="Online"/>
    <x v="4"/>
  </r>
  <r>
    <n v="1037"/>
    <x v="13"/>
    <d v="2022-03-19T00:00:00"/>
    <x v="0"/>
    <s v="Mar"/>
    <x v="4"/>
    <x v="2"/>
    <n v="96332.792826216551"/>
    <n v="26"/>
    <x v="2"/>
    <n v="3369.36"/>
    <n v="3757.67"/>
    <n v="9119.0657999999967"/>
    <s v="New"/>
    <n v="0.01"/>
    <s v="Bank Transfer"/>
    <s v="Online"/>
    <x v="17"/>
  </r>
  <r>
    <n v="1028"/>
    <x v="171"/>
    <d v="2022-03-20T00:00:00"/>
    <x v="0"/>
    <s v="Mar"/>
    <x v="1"/>
    <x v="2"/>
    <n v="11233.5118"/>
    <n v="14"/>
    <x v="3"/>
    <n v="641.1"/>
    <n v="827.21"/>
    <n v="2258.1117999999992"/>
    <s v="Returning"/>
    <n v="0.03"/>
    <s v="Bank Transfer"/>
    <s v="Retail"/>
    <x v="15"/>
  </r>
  <r>
    <n v="1091"/>
    <x v="36"/>
    <d v="2022-03-20T00:00:00"/>
    <x v="0"/>
    <s v="Mar"/>
    <x v="1"/>
    <x v="1"/>
    <n v="117555.20164315401"/>
    <n v="25"/>
    <x v="2"/>
    <n v="4270.6899999999996"/>
    <n v="4910.16"/>
    <n v="11076.590000000011"/>
    <s v="Returning"/>
    <n v="0.04"/>
    <s v="Cash"/>
    <s v="Online"/>
    <x v="1"/>
  </r>
  <r>
    <n v="1014"/>
    <x v="125"/>
    <d v="2022-03-20T00:00:00"/>
    <x v="0"/>
    <s v="Mar"/>
    <x v="2"/>
    <x v="3"/>
    <n v="94823.520000000019"/>
    <n v="33"/>
    <x v="3"/>
    <n v="1172.0999999999999"/>
    <n v="3591.8"/>
    <n v="56144.220000000023"/>
    <s v="Returning"/>
    <n v="0.2"/>
    <s v="Credit Card"/>
    <s v="Retail"/>
    <x v="3"/>
  </r>
  <r>
    <n v="1069"/>
    <x v="184"/>
    <d v="2022-03-21T00:00:00"/>
    <x v="0"/>
    <s v="Mar"/>
    <x v="1"/>
    <x v="1"/>
    <n v="45714.556799999998"/>
    <n v="36"/>
    <x v="3"/>
    <n v="581.21"/>
    <n v="1443.01"/>
    <n v="24790.996799999997"/>
    <s v="Returning"/>
    <n v="0.12"/>
    <s v="Bank Transfer"/>
    <s v="Online"/>
    <x v="1"/>
  </r>
  <r>
    <n v="1035"/>
    <x v="74"/>
    <d v="2022-03-21T00:00:00"/>
    <x v="0"/>
    <s v="Mar"/>
    <x v="4"/>
    <x v="0"/>
    <n v="101347.4754"/>
    <n v="31"/>
    <x v="3"/>
    <n v="707.43"/>
    <n v="4036.14"/>
    <n v="79417.145400000009"/>
    <s v="Returning"/>
    <n v="0.19"/>
    <s v="Cash"/>
    <s v="Retail"/>
    <x v="13"/>
  </r>
  <r>
    <n v="1034"/>
    <x v="185"/>
    <d v="2022-03-21T00:00:00"/>
    <x v="0"/>
    <s v="Mar"/>
    <x v="0"/>
    <x v="1"/>
    <n v="139677.696"/>
    <n v="48"/>
    <x v="1"/>
    <n v="593.26"/>
    <n v="3031.2"/>
    <n v="111201.216"/>
    <s v="New"/>
    <n v="0.04"/>
    <s v="Credit Card"/>
    <s v="Online"/>
    <x v="19"/>
  </r>
  <r>
    <n v="1071"/>
    <x v="186"/>
    <d v="2022-03-22T00:00:00"/>
    <x v="0"/>
    <s v="Mar"/>
    <x v="3"/>
    <x v="0"/>
    <n v="8361.4315999999981"/>
    <n v="2"/>
    <x v="1"/>
    <n v="3598.57"/>
    <n v="4447.57"/>
    <n v="1164.2915999999977"/>
    <s v="New"/>
    <n v="0.06"/>
    <s v="Cash"/>
    <s v="Retail"/>
    <x v="11"/>
  </r>
  <r>
    <n v="1034"/>
    <x v="185"/>
    <d v="2022-03-22T00:00:00"/>
    <x v="0"/>
    <s v="Mar"/>
    <x v="0"/>
    <x v="3"/>
    <n v="12439.4424"/>
    <n v="3"/>
    <x v="1"/>
    <n v="1633.07"/>
    <n v="4711.91"/>
    <n v="7540.2324000000017"/>
    <s v="Returning"/>
    <n v="0.12"/>
    <s v="Credit Card"/>
    <s v="Online"/>
    <x v="5"/>
  </r>
  <r>
    <n v="1014"/>
    <x v="187"/>
    <d v="2022-03-22T00:00:00"/>
    <x v="0"/>
    <s v="Mar"/>
    <x v="4"/>
    <x v="1"/>
    <n v="78496.070399999997"/>
    <n v="33"/>
    <x v="1"/>
    <n v="2134.5700000000002"/>
    <n v="2477.7800000000002"/>
    <n v="8055.2603999999919"/>
    <s v="Returning"/>
    <n v="0.04"/>
    <s v="Cash"/>
    <s v="Online"/>
    <x v="6"/>
  </r>
  <r>
    <n v="1058"/>
    <x v="188"/>
    <d v="2022-03-23T00:00:00"/>
    <x v="0"/>
    <s v="Mar"/>
    <x v="3"/>
    <x v="2"/>
    <n v="24469.470000000005"/>
    <n v="25"/>
    <x v="2"/>
    <n v="964.56"/>
    <n v="1063.8900000000001"/>
    <n v="355.47000000000537"/>
    <s v="Returning"/>
    <n v="0.08"/>
    <s v="Bank Transfer"/>
    <s v="Retail"/>
    <x v="9"/>
  </r>
  <r>
    <n v="1080"/>
    <x v="49"/>
    <d v="2022-03-23T00:00:00"/>
    <x v="0"/>
    <s v="Mar"/>
    <x v="3"/>
    <x v="0"/>
    <n v="2374.8648000000003"/>
    <n v="3"/>
    <x v="2"/>
    <n v="534.6"/>
    <n v="899.57"/>
    <n v="771.0648000000001"/>
    <s v="New"/>
    <n v="0.12"/>
    <s v="Cash"/>
    <s v="Online"/>
    <x v="11"/>
  </r>
  <r>
    <n v="1090"/>
    <x v="159"/>
    <d v="2022-03-23T00:00:00"/>
    <x v="0"/>
    <s v="Mar"/>
    <x v="4"/>
    <x v="3"/>
    <n v="12906.036"/>
    <n v="4"/>
    <x v="2"/>
    <n v="2528.5500000000002"/>
    <n v="3259.1"/>
    <n v="2791.8359999999993"/>
    <s v="New"/>
    <n v="0.01"/>
    <s v="Credit Card"/>
    <s v="Retail"/>
    <x v="12"/>
  </r>
  <r>
    <n v="1013"/>
    <x v="189"/>
    <d v="2022-03-24T00:00:00"/>
    <x v="0"/>
    <s v="Mar"/>
    <x v="2"/>
    <x v="1"/>
    <n v="107536.3968"/>
    <n v="34"/>
    <x v="3"/>
    <n v="2216.77"/>
    <n v="3765.28"/>
    <n v="32166.216800000002"/>
    <s v="New"/>
    <n v="0.16"/>
    <s v="Bank Transfer"/>
    <s v="Retail"/>
    <x v="8"/>
  </r>
  <r>
    <n v="1065"/>
    <x v="190"/>
    <d v="2022-03-25T00:00:00"/>
    <x v="0"/>
    <s v="Mar"/>
    <x v="2"/>
    <x v="2"/>
    <n v="83650.585199999987"/>
    <n v="39"/>
    <x v="0"/>
    <n v="1541.06"/>
    <n v="2188.66"/>
    <n v="23549.245199999994"/>
    <s v="Returning"/>
    <n v="0.02"/>
    <s v="Bank Transfer"/>
    <s v="Retail"/>
    <x v="14"/>
  </r>
  <r>
    <n v="1067"/>
    <x v="191"/>
    <d v="2022-03-25T00:00:00"/>
    <x v="0"/>
    <s v="Mar"/>
    <x v="0"/>
    <x v="2"/>
    <n v="70211.512799999997"/>
    <n v="44"/>
    <x v="1"/>
    <n v="271.77999999999997"/>
    <n v="2045.79"/>
    <n v="58253.192800000004"/>
    <s v="New"/>
    <n v="0.22"/>
    <s v="Credit Card"/>
    <s v="Retail"/>
    <x v="2"/>
  </r>
  <r>
    <n v="1010"/>
    <x v="65"/>
    <d v="2022-03-25T00:00:00"/>
    <x v="0"/>
    <s v="Mar"/>
    <x v="1"/>
    <x v="0"/>
    <n v="160345.42919999998"/>
    <n v="36"/>
    <x v="3"/>
    <n v="650.1"/>
    <n v="4789.29"/>
    <n v="136941.82919999998"/>
    <s v="Returning"/>
    <n v="7.0000000000000007E-2"/>
    <s v="Bank Transfer"/>
    <s v="Online"/>
    <x v="10"/>
  </r>
  <r>
    <n v="1007"/>
    <x v="192"/>
    <d v="2022-03-26T00:00:00"/>
    <x v="0"/>
    <s v="Mar"/>
    <x v="0"/>
    <x v="0"/>
    <n v="88400.337800000008"/>
    <n v="31"/>
    <x v="1"/>
    <n v="2312.94"/>
    <n v="3477.59"/>
    <n v="16699.197800000009"/>
    <s v="Returning"/>
    <n v="0.18"/>
    <s v="Credit Card"/>
    <s v="Retail"/>
    <x v="0"/>
  </r>
  <r>
    <n v="1088"/>
    <x v="25"/>
    <d v="2022-03-26T00:00:00"/>
    <x v="0"/>
    <s v="Mar"/>
    <x v="3"/>
    <x v="1"/>
    <n v="34206.899999999994"/>
    <n v="13"/>
    <x v="1"/>
    <n v="1251.0899999999999"/>
    <n v="2685"/>
    <n v="17942.729999999996"/>
    <s v="New"/>
    <n v="0.02"/>
    <s v="Credit Card"/>
    <s v="Online"/>
    <x v="16"/>
  </r>
  <r>
    <n v="1016"/>
    <x v="193"/>
    <d v="2022-03-27T00:00:00"/>
    <x v="0"/>
    <s v="Mar"/>
    <x v="4"/>
    <x v="2"/>
    <n v="44515.429942536415"/>
    <n v="14"/>
    <x v="2"/>
    <n v="2323.35"/>
    <n v="3224.46"/>
    <n v="12164.115600000001"/>
    <s v="New"/>
    <n v="0.01"/>
    <s v="Bank Transfer"/>
    <s v="Online"/>
    <x v="17"/>
  </r>
  <r>
    <n v="1019"/>
    <x v="63"/>
    <d v="2022-03-28T00:00:00"/>
    <x v="0"/>
    <s v="Mar"/>
    <x v="1"/>
    <x v="1"/>
    <n v="51267.686400000006"/>
    <n v="12"/>
    <x v="1"/>
    <n v="3170.47"/>
    <n v="5086.08"/>
    <n v="13222.046400000005"/>
    <s v="New"/>
    <n v="0.16"/>
    <s v="Cash"/>
    <s v="Online"/>
    <x v="1"/>
  </r>
  <r>
    <n v="1083"/>
    <x v="131"/>
    <d v="2022-03-28T00:00:00"/>
    <x v="0"/>
    <s v="Mar"/>
    <x v="1"/>
    <x v="3"/>
    <n v="66283.897799999992"/>
    <n v="38"/>
    <x v="0"/>
    <n v="1330.8"/>
    <n v="2389.4699999999998"/>
    <n v="15713.497799999996"/>
    <s v="Returning"/>
    <n v="0.27"/>
    <s v="Cash"/>
    <s v="Online"/>
    <x v="7"/>
  </r>
  <r>
    <n v="1014"/>
    <x v="130"/>
    <d v="2022-03-29T00:00:00"/>
    <x v="0"/>
    <s v="Mar"/>
    <x v="3"/>
    <x v="1"/>
    <n v="50503.668000000005"/>
    <n v="12"/>
    <x v="2"/>
    <n v="2526.48"/>
    <n v="4951.34"/>
    <n v="20185.908000000003"/>
    <s v="Returning"/>
    <n v="0.15"/>
    <s v="Bank Transfer"/>
    <s v="Retail"/>
    <x v="16"/>
  </r>
  <r>
    <n v="1056"/>
    <x v="101"/>
    <d v="2022-03-29T00:00:00"/>
    <x v="0"/>
    <s v="Mar"/>
    <x v="3"/>
    <x v="1"/>
    <n v="152959.78650000002"/>
    <n v="41"/>
    <x v="1"/>
    <n v="2294.89"/>
    <n v="4389.09"/>
    <n v="58869.296500000011"/>
    <s v="Returning"/>
    <n v="0.15"/>
    <s v="Bank Transfer"/>
    <s v="Online"/>
    <x v="16"/>
  </r>
  <r>
    <n v="1073"/>
    <x v="124"/>
    <d v="2022-03-29T00:00:00"/>
    <x v="0"/>
    <s v="Mar"/>
    <x v="3"/>
    <x v="0"/>
    <n v="156614.30400000003"/>
    <n v="44"/>
    <x v="2"/>
    <n v="1611.39"/>
    <n v="4449.2700000000004"/>
    <n v="85713.144000000029"/>
    <s v="Returning"/>
    <n v="0.2"/>
    <s v="Credit Card"/>
    <s v="Retail"/>
    <x v="11"/>
  </r>
  <r>
    <n v="1087"/>
    <x v="194"/>
    <d v="2022-03-30T00:00:00"/>
    <x v="0"/>
    <s v="Mar"/>
    <x v="4"/>
    <x v="2"/>
    <n v="19838.639491274622"/>
    <n v="6"/>
    <x v="2"/>
    <n v="2906.67"/>
    <n v="3319.19"/>
    <n v="2475.12"/>
    <s v="New"/>
    <n v="0"/>
    <s v="Bank Transfer"/>
    <s v="Retail"/>
    <x v="17"/>
  </r>
  <r>
    <n v="1007"/>
    <x v="12"/>
    <d v="2022-03-30T00:00:00"/>
    <x v="0"/>
    <s v="Mar"/>
    <x v="0"/>
    <x v="0"/>
    <n v="26477.011200000001"/>
    <n v="6"/>
    <x v="2"/>
    <n v="3902.77"/>
    <n v="4796.5600000000004"/>
    <n v="3060.3912000000028"/>
    <s v="Returning"/>
    <n v="0.08"/>
    <s v="Credit Card"/>
    <s v="Retail"/>
    <x v="0"/>
  </r>
  <r>
    <n v="1049"/>
    <x v="157"/>
    <d v="2022-03-30T00:00:00"/>
    <x v="0"/>
    <s v="Mar"/>
    <x v="1"/>
    <x v="2"/>
    <n v="45071.8128"/>
    <n v="18"/>
    <x v="1"/>
    <n v="1207.3499999999999"/>
    <n v="2980.94"/>
    <n v="23339.5128"/>
    <s v="Returning"/>
    <n v="0.16"/>
    <s v="Credit Card"/>
    <s v="Retail"/>
    <x v="15"/>
  </r>
  <r>
    <n v="1030"/>
    <x v="195"/>
    <d v="2022-03-30T00:00:00"/>
    <x v="0"/>
    <s v="Mar"/>
    <x v="3"/>
    <x v="1"/>
    <n v="89269.795200000008"/>
    <n v="32"/>
    <x v="3"/>
    <n v="446.08"/>
    <n v="3206.53"/>
    <n v="74995.23520000001"/>
    <s v="New"/>
    <n v="0.13"/>
    <s v="Credit Card"/>
    <s v="Retail"/>
    <x v="16"/>
  </r>
  <r>
    <n v="1096"/>
    <x v="196"/>
    <d v="2022-03-31T00:00:00"/>
    <x v="0"/>
    <s v="Mar"/>
    <x v="1"/>
    <x v="3"/>
    <n v="79448.480812270151"/>
    <n v="21"/>
    <x v="3"/>
    <n v="3665.32"/>
    <n v="3825.41"/>
    <n v="2558.5538999999912"/>
    <s v="New"/>
    <n v="0.01"/>
    <s v="Cash"/>
    <s v="Online"/>
    <x v="7"/>
  </r>
  <r>
    <n v="1026"/>
    <x v="197"/>
    <d v="2022-03-31T00:00:00"/>
    <x v="0"/>
    <s v="Mar"/>
    <x v="1"/>
    <x v="2"/>
    <n v="65489.642400000012"/>
    <n v="24"/>
    <x v="0"/>
    <n v="1646.92"/>
    <n v="2998.61"/>
    <n v="25963.562400000006"/>
    <s v="New"/>
    <n v="0.09"/>
    <s v="Bank Transfer"/>
    <s v="Retail"/>
    <x v="15"/>
  </r>
  <r>
    <n v="1100"/>
    <x v="198"/>
    <d v="2022-03-31T00:00:00"/>
    <x v="0"/>
    <s v="Mar"/>
    <x v="4"/>
    <x v="0"/>
    <n v="90672.56"/>
    <n v="19"/>
    <x v="2"/>
    <n v="209.9"/>
    <n v="4772.24"/>
    <n v="86684.46"/>
    <s v="Returning"/>
    <n v="0"/>
    <s v="Bank Transfer"/>
    <s v="Online"/>
    <x v="13"/>
  </r>
  <r>
    <n v="1055"/>
    <x v="77"/>
    <d v="2022-04-01T00:00:00"/>
    <x v="0"/>
    <s v="Apr"/>
    <x v="1"/>
    <x v="2"/>
    <n v="115642.12499999999"/>
    <n v="25"/>
    <x v="2"/>
    <n v="3814.47"/>
    <n v="5139.6499999999996"/>
    <n v="20280.374999999993"/>
    <s v="New"/>
    <n v="0.1"/>
    <s v="Cash"/>
    <s v="Online"/>
    <x v="15"/>
  </r>
  <r>
    <n v="1031"/>
    <x v="199"/>
    <d v="2022-04-02T00:00:00"/>
    <x v="0"/>
    <s v="Apr"/>
    <x v="2"/>
    <x v="0"/>
    <n v="114888.68000000001"/>
    <n v="40"/>
    <x v="0"/>
    <n v="2186.21"/>
    <n v="3055.55"/>
    <n v="27440.280000000002"/>
    <s v="New"/>
    <n v="0.06"/>
    <s v="Bank Transfer"/>
    <s v="Online"/>
    <x v="18"/>
  </r>
  <r>
    <n v="1064"/>
    <x v="200"/>
    <d v="2022-04-03T00:00:00"/>
    <x v="0"/>
    <s v="Apr"/>
    <x v="4"/>
    <x v="2"/>
    <n v="90313.305000000008"/>
    <n v="30"/>
    <x v="2"/>
    <n v="145.07"/>
    <n v="3103.55"/>
    <n v="85961.205000000002"/>
    <s v="Returning"/>
    <n v="0.03"/>
    <s v="Bank Transfer"/>
    <s v="Retail"/>
    <x v="17"/>
  </r>
  <r>
    <n v="1061"/>
    <x v="201"/>
    <d v="2022-04-04T00:00:00"/>
    <x v="0"/>
    <s v="Apr"/>
    <x v="4"/>
    <x v="2"/>
    <n v="34622.534899999999"/>
    <n v="17"/>
    <x v="0"/>
    <n v="1958.51"/>
    <n v="2789.89"/>
    <n v="1327.8648999999996"/>
    <s v="New"/>
    <n v="0.27"/>
    <s v="Cash"/>
    <s v="Retail"/>
    <x v="17"/>
  </r>
  <r>
    <n v="1033"/>
    <x v="202"/>
    <d v="2022-04-04T00:00:00"/>
    <x v="0"/>
    <s v="Apr"/>
    <x v="2"/>
    <x v="3"/>
    <n v="19569.296016314252"/>
    <n v="8"/>
    <x v="3"/>
    <n v="2041.49"/>
    <n v="2513.2800000000002"/>
    <n v="3171.1328000000012"/>
    <s v="Returning"/>
    <n v="0.03"/>
    <s v="Bank Transfer"/>
    <s v="Retail"/>
    <x v="3"/>
  </r>
  <r>
    <n v="1041"/>
    <x v="143"/>
    <d v="2022-04-04T00:00:00"/>
    <x v="0"/>
    <s v="Apr"/>
    <x v="4"/>
    <x v="2"/>
    <n v="37161.2736"/>
    <n v="36"/>
    <x v="0"/>
    <n v="773.91"/>
    <n v="1159.8399999999999"/>
    <n v="9300.5135999999984"/>
    <s v="New"/>
    <n v="0.11"/>
    <s v="Cash"/>
    <s v="Online"/>
    <x v="17"/>
  </r>
  <r>
    <n v="1085"/>
    <x v="34"/>
    <d v="2022-04-05T00:00:00"/>
    <x v="0"/>
    <s v="Apr"/>
    <x v="3"/>
    <x v="0"/>
    <n v="131260.92000000001"/>
    <n v="35"/>
    <x v="2"/>
    <n v="2336.56"/>
    <n v="4687.8900000000003"/>
    <n v="49481.320000000014"/>
    <s v="New"/>
    <n v="0.2"/>
    <s v="Credit Card"/>
    <s v="Online"/>
    <x v="11"/>
  </r>
  <r>
    <n v="1029"/>
    <x v="203"/>
    <d v="2022-04-05T00:00:00"/>
    <x v="0"/>
    <s v="Apr"/>
    <x v="2"/>
    <x v="1"/>
    <n v="212961.10500000001"/>
    <n v="45"/>
    <x v="0"/>
    <n v="2295.38"/>
    <n v="4829.05"/>
    <n v="109669.005"/>
    <s v="Returning"/>
    <n v="0.02"/>
    <s v="Credit Card"/>
    <s v="Retail"/>
    <x v="8"/>
  </r>
  <r>
    <n v="1049"/>
    <x v="204"/>
    <d v="2022-04-05T00:00:00"/>
    <x v="0"/>
    <s v="Apr"/>
    <x v="1"/>
    <x v="2"/>
    <n v="197828.35199999998"/>
    <n v="40"/>
    <x v="3"/>
    <n v="994.13"/>
    <n v="5151.78"/>
    <n v="158063.15199999997"/>
    <s v="Returning"/>
    <n v="0.04"/>
    <s v="Cash"/>
    <s v="Retail"/>
    <x v="15"/>
  </r>
  <r>
    <n v="1007"/>
    <x v="205"/>
    <d v="2022-04-06T00:00:00"/>
    <x v="0"/>
    <s v="Apr"/>
    <x v="2"/>
    <x v="2"/>
    <n v="100611.315"/>
    <n v="42"/>
    <x v="0"/>
    <n v="2355.71"/>
    <n v="3194.01"/>
    <n v="1671.4950000000053"/>
    <s v="New"/>
    <n v="0.25"/>
    <s v="Credit Card"/>
    <s v="Retail"/>
    <x v="14"/>
  </r>
  <r>
    <n v="1029"/>
    <x v="206"/>
    <d v="2022-04-06T00:00:00"/>
    <x v="0"/>
    <s v="Apr"/>
    <x v="0"/>
    <x v="2"/>
    <n v="6317.3447999999999"/>
    <n v="2"/>
    <x v="2"/>
    <n v="1122.3800000000001"/>
    <n v="4049.58"/>
    <n v="4072.5847999999996"/>
    <s v="New"/>
    <n v="0.22"/>
    <s v="Credit Card"/>
    <s v="Online"/>
    <x v="2"/>
  </r>
  <r>
    <n v="1073"/>
    <x v="47"/>
    <d v="2022-04-06T00:00:00"/>
    <x v="0"/>
    <s v="Apr"/>
    <x v="4"/>
    <x v="2"/>
    <n v="27367.892999999996"/>
    <n v="7"/>
    <x v="3"/>
    <n v="969.91"/>
    <n v="4344.1099999999997"/>
    <n v="20578.522999999997"/>
    <s v="Returning"/>
    <n v="0.1"/>
    <s v="Credit Card"/>
    <s v="Online"/>
    <x v="17"/>
  </r>
  <r>
    <n v="1024"/>
    <x v="207"/>
    <d v="2022-04-06T00:00:00"/>
    <x v="0"/>
    <s v="Apr"/>
    <x v="1"/>
    <x v="1"/>
    <n v="23151.888000000003"/>
    <n v="6"/>
    <x v="0"/>
    <n v="232.97"/>
    <n v="4823.3100000000004"/>
    <n v="21754.068000000007"/>
    <s v="New"/>
    <n v="0.2"/>
    <s v="Credit Card"/>
    <s v="Online"/>
    <x v="1"/>
  </r>
  <r>
    <n v="1083"/>
    <x v="100"/>
    <d v="2022-04-06T00:00:00"/>
    <x v="0"/>
    <s v="Apr"/>
    <x v="1"/>
    <x v="2"/>
    <n v="179603.375"/>
    <n v="49"/>
    <x v="3"/>
    <n v="2707.35"/>
    <n v="5162.5"/>
    <n v="46943.225000000006"/>
    <s v="Returning"/>
    <n v="0.28999999999999998"/>
    <s v="Credit Card"/>
    <s v="Retail"/>
    <x v="15"/>
  </r>
  <r>
    <n v="1034"/>
    <x v="139"/>
    <d v="2022-04-06T00:00:00"/>
    <x v="0"/>
    <s v="Apr"/>
    <x v="3"/>
    <x v="0"/>
    <n v="129293.5616"/>
    <n v="28"/>
    <x v="3"/>
    <n v="151.37"/>
    <n v="5019.16"/>
    <n v="125055.2016"/>
    <s v="New"/>
    <n v="0.08"/>
    <s v="Credit Card"/>
    <s v="Online"/>
    <x v="11"/>
  </r>
  <r>
    <n v="1002"/>
    <x v="53"/>
    <d v="2022-04-07T00:00:00"/>
    <x v="0"/>
    <s v="Apr"/>
    <x v="2"/>
    <x v="0"/>
    <n v="44340.332399999999"/>
    <n v="12"/>
    <x v="0"/>
    <n v="2932.29"/>
    <n v="4060.47"/>
    <n v="9152.8524000000016"/>
    <s v="New"/>
    <n v="0.09"/>
    <s v="Credit Card"/>
    <s v="Online"/>
    <x v="18"/>
  </r>
  <r>
    <n v="1057"/>
    <x v="208"/>
    <d v="2022-04-07T00:00:00"/>
    <x v="0"/>
    <s v="Apr"/>
    <x v="0"/>
    <x v="2"/>
    <n v="11611.3634"/>
    <n v="13"/>
    <x v="0"/>
    <n v="78.09"/>
    <n v="911.41"/>
    <n v="10596.193399999998"/>
    <s v="New"/>
    <n v="0.02"/>
    <s v="Cash"/>
    <s v="Retail"/>
    <x v="2"/>
  </r>
  <r>
    <n v="1044"/>
    <x v="209"/>
    <d v="2022-04-07T00:00:00"/>
    <x v="0"/>
    <s v="Apr"/>
    <x v="1"/>
    <x v="0"/>
    <n v="94156.840799999991"/>
    <n v="27"/>
    <x v="0"/>
    <n v="3023.95"/>
    <n v="4588.54"/>
    <n v="12510.1908"/>
    <s v="New"/>
    <n v="0.24"/>
    <s v="Bank Transfer"/>
    <s v="Online"/>
    <x v="10"/>
  </r>
  <r>
    <n v="1086"/>
    <x v="82"/>
    <d v="2022-04-08T00:00:00"/>
    <x v="0"/>
    <s v="Apr"/>
    <x v="1"/>
    <x v="1"/>
    <n v="163893.6"/>
    <n v="45"/>
    <x v="3"/>
    <n v="3218.28"/>
    <n v="4552.6000000000004"/>
    <n v="19071.000000000007"/>
    <s v="New"/>
    <n v="0.2"/>
    <s v="Bank Transfer"/>
    <s v="Retail"/>
    <x v="1"/>
  </r>
  <r>
    <n v="1090"/>
    <x v="37"/>
    <d v="2022-04-08T00:00:00"/>
    <x v="0"/>
    <s v="Apr"/>
    <x v="1"/>
    <x v="1"/>
    <n v="108074.3125"/>
    <n v="35"/>
    <x v="1"/>
    <n v="406.05"/>
    <n v="3632.75"/>
    <n v="93862.5625"/>
    <s v="Returning"/>
    <n v="0.15"/>
    <s v="Cash"/>
    <s v="Retail"/>
    <x v="1"/>
  </r>
  <r>
    <n v="1069"/>
    <x v="210"/>
    <d v="2022-04-08T00:00:00"/>
    <x v="0"/>
    <s v="Apr"/>
    <x v="4"/>
    <x v="3"/>
    <n v="134961.67439999996"/>
    <n v="28"/>
    <x v="1"/>
    <n v="1015.89"/>
    <n v="5182.8599999999997"/>
    <n v="106516.75439999998"/>
    <s v="New"/>
    <n v="7.0000000000000007E-2"/>
    <s v="Cash"/>
    <s v="Retail"/>
    <x v="12"/>
  </r>
  <r>
    <n v="1050"/>
    <x v="31"/>
    <d v="2022-04-09T00:00:00"/>
    <x v="0"/>
    <s v="Apr"/>
    <x v="0"/>
    <x v="3"/>
    <n v="33793.453200000004"/>
    <n v="13"/>
    <x v="0"/>
    <n v="1119.96"/>
    <n v="3420.39"/>
    <n v="19233.9732"/>
    <s v="Returning"/>
    <n v="0.24"/>
    <s v="Credit Card"/>
    <s v="Retail"/>
    <x v="5"/>
  </r>
  <r>
    <n v="1094"/>
    <x v="51"/>
    <d v="2022-04-09T00:00:00"/>
    <x v="0"/>
    <s v="Apr"/>
    <x v="0"/>
    <x v="1"/>
    <n v="142710.984"/>
    <n v="45"/>
    <x v="0"/>
    <n v="2730.23"/>
    <n v="4404.66"/>
    <n v="19850.633999999998"/>
    <s v="New"/>
    <n v="0.28000000000000003"/>
    <s v="Credit Card"/>
    <s v="Retail"/>
    <x v="19"/>
  </r>
  <r>
    <n v="1004"/>
    <x v="211"/>
    <d v="2022-04-09T00:00:00"/>
    <x v="0"/>
    <s v="Apr"/>
    <x v="1"/>
    <x v="0"/>
    <n v="88895.515499999994"/>
    <n v="37"/>
    <x v="0"/>
    <n v="1734.62"/>
    <n v="2426.85"/>
    <n v="24714.575499999995"/>
    <s v="New"/>
    <n v="0.01"/>
    <s v="Cash"/>
    <s v="Retail"/>
    <x v="10"/>
  </r>
  <r>
    <n v="1001"/>
    <x v="212"/>
    <d v="2022-04-09T00:00:00"/>
    <x v="0"/>
    <s v="Apr"/>
    <x v="4"/>
    <x v="2"/>
    <n v="216751.44159999996"/>
    <n v="43"/>
    <x v="3"/>
    <n v="2443.0700000000002"/>
    <n v="5362.48"/>
    <n v="111699.43159999997"/>
    <s v="Returning"/>
    <n v="0.06"/>
    <s v="Credit Card"/>
    <s v="Retail"/>
    <x v="17"/>
  </r>
  <r>
    <n v="1051"/>
    <x v="213"/>
    <d v="2022-04-10T00:00:00"/>
    <x v="0"/>
    <s v="Apr"/>
    <x v="2"/>
    <x v="3"/>
    <n v="48065.760000000009"/>
    <n v="24"/>
    <x v="0"/>
    <n v="1527.19"/>
    <n v="2670.32"/>
    <n v="11413.200000000004"/>
    <s v="New"/>
    <n v="0.25"/>
    <s v="Cash"/>
    <s v="Online"/>
    <x v="3"/>
  </r>
  <r>
    <n v="1014"/>
    <x v="187"/>
    <d v="2022-04-10T00:00:00"/>
    <x v="0"/>
    <s v="Apr"/>
    <x v="0"/>
    <x v="0"/>
    <n v="96635.366100000014"/>
    <n v="39"/>
    <x v="1"/>
    <n v="2164.87"/>
    <n v="2722.89"/>
    <n v="12205.436100000012"/>
    <s v="Returning"/>
    <n v="0.09"/>
    <s v="Credit Card"/>
    <s v="Online"/>
    <x v="0"/>
  </r>
  <r>
    <n v="1089"/>
    <x v="214"/>
    <d v="2022-04-10T00:00:00"/>
    <x v="0"/>
    <s v="Apr"/>
    <x v="2"/>
    <x v="0"/>
    <n v="33059.664000000004"/>
    <n v="24"/>
    <x v="2"/>
    <n v="810.11"/>
    <n v="1391.4"/>
    <n v="13617.024000000001"/>
    <s v="New"/>
    <n v="0.01"/>
    <s v="Bank Transfer"/>
    <s v="Retail"/>
    <x v="18"/>
  </r>
  <r>
    <n v="1019"/>
    <x v="215"/>
    <d v="2022-04-10T00:00:00"/>
    <x v="0"/>
    <s v="Apr"/>
    <x v="2"/>
    <x v="3"/>
    <n v="50188.479999999996"/>
    <n v="20"/>
    <x v="2"/>
    <n v="1114.17"/>
    <n v="2669.6"/>
    <n v="27905.079999999998"/>
    <s v="New"/>
    <n v="0.06"/>
    <s v="Credit Card"/>
    <s v="Online"/>
    <x v="3"/>
  </r>
  <r>
    <n v="1007"/>
    <x v="192"/>
    <d v="2022-04-11T00:00:00"/>
    <x v="0"/>
    <s v="Apr"/>
    <x v="1"/>
    <x v="0"/>
    <n v="3493.8288000000002"/>
    <n v="6"/>
    <x v="1"/>
    <n v="568.97"/>
    <n v="756.24"/>
    <n v="80.008799999999837"/>
    <s v="Returning"/>
    <n v="0.23"/>
    <s v="Bank Transfer"/>
    <s v="Retail"/>
    <x v="10"/>
  </r>
  <r>
    <n v="1057"/>
    <x v="216"/>
    <d v="2022-04-11T00:00:00"/>
    <x v="0"/>
    <s v="Apr"/>
    <x v="1"/>
    <x v="2"/>
    <n v="209680.8"/>
    <n v="42"/>
    <x v="2"/>
    <n v="4976.13"/>
    <n v="4992.3999999999996"/>
    <n v="683.33999999998014"/>
    <s v="Returning"/>
    <n v="0"/>
    <s v="Cash"/>
    <s v="Retail"/>
    <x v="15"/>
  </r>
  <r>
    <n v="1073"/>
    <x v="47"/>
    <d v="2022-04-11T00:00:00"/>
    <x v="0"/>
    <s v="Apr"/>
    <x v="1"/>
    <x v="1"/>
    <n v="63301.459200000005"/>
    <n v="16"/>
    <x v="3"/>
    <n v="3311.97"/>
    <n v="4709.93"/>
    <n v="10309.939200000008"/>
    <s v="Returning"/>
    <n v="0.16"/>
    <s v="Credit Card"/>
    <s v="Online"/>
    <x v="1"/>
  </r>
  <r>
    <n v="1091"/>
    <x v="14"/>
    <d v="2022-04-11T00:00:00"/>
    <x v="0"/>
    <s v="Apr"/>
    <x v="1"/>
    <x v="3"/>
    <n v="47268.932400000005"/>
    <n v="12"/>
    <x v="3"/>
    <n v="2494.6999999999998"/>
    <n v="4425.93"/>
    <n v="17332.532400000004"/>
    <s v="New"/>
    <n v="0.11"/>
    <s v="Credit Card"/>
    <s v="Online"/>
    <x v="7"/>
  </r>
  <r>
    <n v="1078"/>
    <x v="217"/>
    <d v="2022-04-11T00:00:00"/>
    <x v="0"/>
    <s v="Apr"/>
    <x v="1"/>
    <x v="2"/>
    <n v="128356.63340000001"/>
    <n v="47"/>
    <x v="0"/>
    <n v="2094.31"/>
    <n v="3690.53"/>
    <n v="29924.06340000001"/>
    <s v="Returning"/>
    <n v="0.26"/>
    <s v="Cash"/>
    <s v="Retail"/>
    <x v="15"/>
  </r>
  <r>
    <n v="1005"/>
    <x v="218"/>
    <d v="2022-04-12T00:00:00"/>
    <x v="0"/>
    <s v="Apr"/>
    <x v="1"/>
    <x v="0"/>
    <n v="23780.573999999997"/>
    <n v="27"/>
    <x v="1"/>
    <n v="311.31"/>
    <n v="1074.0999999999999"/>
    <n v="15375.204"/>
    <s v="New"/>
    <n v="0.18"/>
    <s v="Bank Transfer"/>
    <s v="Retail"/>
    <x v="10"/>
  </r>
  <r>
    <n v="1074"/>
    <x v="107"/>
    <d v="2022-04-13T00:00:00"/>
    <x v="0"/>
    <s v="Apr"/>
    <x v="3"/>
    <x v="0"/>
    <n v="2118.3629999999998"/>
    <n v="1"/>
    <x v="0"/>
    <n v="989.16"/>
    <n v="2715.85"/>
    <n v="1129.203"/>
    <s v="Returning"/>
    <n v="0.22"/>
    <s v="Cash"/>
    <s v="Retail"/>
    <x v="11"/>
  </r>
  <r>
    <n v="1018"/>
    <x v="219"/>
    <d v="2022-04-13T00:00:00"/>
    <x v="0"/>
    <s v="Apr"/>
    <x v="0"/>
    <x v="2"/>
    <n v="19179.838"/>
    <n v="5"/>
    <x v="1"/>
    <n v="3586.99"/>
    <n v="4169.53"/>
    <n v="1244.8880000000008"/>
    <s v="Returning"/>
    <n v="0.08"/>
    <s v="Credit Card"/>
    <s v="Online"/>
    <x v="2"/>
  </r>
  <r>
    <n v="1033"/>
    <x v="220"/>
    <d v="2022-04-13T00:00:00"/>
    <x v="0"/>
    <s v="Apr"/>
    <x v="3"/>
    <x v="1"/>
    <n v="60498.75"/>
    <n v="34"/>
    <x v="1"/>
    <n v="1643.93"/>
    <n v="2281.25"/>
    <n v="4605.1299999999974"/>
    <s v="Returning"/>
    <n v="0.22"/>
    <s v="Bank Transfer"/>
    <s v="Online"/>
    <x v="16"/>
  </r>
  <r>
    <n v="1089"/>
    <x v="26"/>
    <d v="2022-04-14T00:00:00"/>
    <x v="0"/>
    <s v="Apr"/>
    <x v="4"/>
    <x v="1"/>
    <n v="46535.974984219079"/>
    <n v="10"/>
    <x v="3"/>
    <n v="4623.84"/>
    <n v="4659.3999999999996"/>
    <n v="355.59999999999491"/>
    <s v="New"/>
    <n v="0"/>
    <s v="Bank Transfer"/>
    <s v="Retail"/>
    <x v="6"/>
  </r>
  <r>
    <n v="1007"/>
    <x v="221"/>
    <d v="2022-04-14T00:00:00"/>
    <x v="0"/>
    <s v="Apr"/>
    <x v="3"/>
    <x v="0"/>
    <n v="69382.17"/>
    <n v="30"/>
    <x v="3"/>
    <n v="1955.68"/>
    <n v="2569.71"/>
    <n v="10711.769999999999"/>
    <s v="Returning"/>
    <n v="0.1"/>
    <s v="Bank Transfer"/>
    <s v="Online"/>
    <x v="11"/>
  </r>
  <r>
    <n v="1058"/>
    <x v="222"/>
    <d v="2022-04-14T00:00:00"/>
    <x v="0"/>
    <s v="Apr"/>
    <x v="4"/>
    <x v="3"/>
    <n v="100421.36500000001"/>
    <n v="22"/>
    <x v="3"/>
    <n v="3285.54"/>
    <n v="4804.8500000000004"/>
    <n v="28139.485000000001"/>
    <s v="New"/>
    <n v="0.05"/>
    <s v="Cash"/>
    <s v="Retail"/>
    <x v="12"/>
  </r>
  <r>
    <n v="1009"/>
    <x v="39"/>
    <d v="2022-04-14T00:00:00"/>
    <x v="0"/>
    <s v="Apr"/>
    <x v="4"/>
    <x v="1"/>
    <n v="149314.25599999999"/>
    <n v="40"/>
    <x v="3"/>
    <n v="2289.2600000000002"/>
    <n v="4102.04"/>
    <n v="57743.856"/>
    <s v="New"/>
    <n v="0.09"/>
    <s v="Bank Transfer"/>
    <s v="Retail"/>
    <x v="6"/>
  </r>
  <r>
    <n v="1001"/>
    <x v="212"/>
    <d v="2022-04-15T00:00:00"/>
    <x v="0"/>
    <s v="Apr"/>
    <x v="4"/>
    <x v="1"/>
    <n v="5814.4068000000007"/>
    <n v="6"/>
    <x v="3"/>
    <n v="576.69000000000005"/>
    <n v="1181.79"/>
    <n v="2354.2667999999999"/>
    <s v="New"/>
    <n v="0.18"/>
    <s v="Bank Transfer"/>
    <s v="Retail"/>
    <x v="6"/>
  </r>
  <r>
    <n v="1011"/>
    <x v="223"/>
    <d v="2022-04-15T00:00:00"/>
    <x v="0"/>
    <s v="Apr"/>
    <x v="4"/>
    <x v="1"/>
    <n v="72304.357499999984"/>
    <n v="45"/>
    <x v="1"/>
    <n v="1470.6"/>
    <n v="1691.33"/>
    <n v="6127.3574999999946"/>
    <s v="Returning"/>
    <n v="0.05"/>
    <s v="Bank Transfer"/>
    <s v="Online"/>
    <x v="6"/>
  </r>
  <r>
    <n v="1031"/>
    <x v="224"/>
    <d v="2022-04-15T00:00:00"/>
    <x v="0"/>
    <s v="Apr"/>
    <x v="4"/>
    <x v="3"/>
    <n v="162880.85116234876"/>
    <n v="38"/>
    <x v="2"/>
    <n v="4104.57"/>
    <n v="4385.47"/>
    <n v="7341.2428000000309"/>
    <s v="New"/>
    <n v="0.02"/>
    <s v="Bank Transfer"/>
    <s v="Retail"/>
    <x v="12"/>
  </r>
  <r>
    <n v="1038"/>
    <x v="225"/>
    <d v="2022-04-15T00:00:00"/>
    <x v="0"/>
    <s v="Apr"/>
    <x v="4"/>
    <x v="3"/>
    <n v="37812.874000000003"/>
    <n v="11"/>
    <x v="1"/>
    <n v="1613.51"/>
    <n v="3736.45"/>
    <n v="20064.264000000003"/>
    <s v="New"/>
    <n v="0.08"/>
    <s v="Credit Card"/>
    <s v="Online"/>
    <x v="12"/>
  </r>
  <r>
    <n v="1053"/>
    <x v="4"/>
    <d v="2022-04-15T00:00:00"/>
    <x v="0"/>
    <s v="Apr"/>
    <x v="4"/>
    <x v="3"/>
    <n v="99435.953099999999"/>
    <n v="33"/>
    <x v="2"/>
    <n v="174.81"/>
    <n v="3385.63"/>
    <n v="93667.223100000003"/>
    <s v="New"/>
    <n v="0.11"/>
    <s v="Credit Card"/>
    <s v="Online"/>
    <x v="12"/>
  </r>
  <r>
    <n v="1007"/>
    <x v="205"/>
    <d v="2022-04-15T00:00:00"/>
    <x v="0"/>
    <s v="Apr"/>
    <x v="0"/>
    <x v="0"/>
    <n v="115064.9676"/>
    <n v="33"/>
    <x v="0"/>
    <n v="571.80999999999995"/>
    <n v="3709.38"/>
    <n v="96195.237599999993"/>
    <s v="Returning"/>
    <n v="0.06"/>
    <s v="Credit Card"/>
    <s v="Retail"/>
    <x v="0"/>
  </r>
  <r>
    <n v="1039"/>
    <x v="113"/>
    <d v="2022-04-16T00:00:00"/>
    <x v="0"/>
    <s v="Apr"/>
    <x v="4"/>
    <x v="1"/>
    <n v="8424.0636000000013"/>
    <n v="3"/>
    <x v="2"/>
    <n v="2711.31"/>
    <n v="3155.08"/>
    <n v="290.13360000000057"/>
    <s v="New"/>
    <n v="0.11"/>
    <s v="Bank Transfer"/>
    <s v="Online"/>
    <x v="6"/>
  </r>
  <r>
    <n v="1007"/>
    <x v="205"/>
    <d v="2022-04-16T00:00:00"/>
    <x v="0"/>
    <s v="Apr"/>
    <x v="3"/>
    <x v="2"/>
    <n v="25355.586634820142"/>
    <n v="18"/>
    <x v="0"/>
    <n v="1372.98"/>
    <n v="1425.67"/>
    <n v="691.79940000000261"/>
    <s v="Returning"/>
    <n v="0.01"/>
    <s v="Credit Card"/>
    <s v="Retail"/>
    <x v="9"/>
  </r>
  <r>
    <n v="1084"/>
    <x v="103"/>
    <d v="2022-04-16T00:00:00"/>
    <x v="0"/>
    <s v="Apr"/>
    <x v="0"/>
    <x v="0"/>
    <n v="93203.453627054725"/>
    <n v="25"/>
    <x v="0"/>
    <n v="3547.88"/>
    <n v="3783.8"/>
    <n v="4952.0499999999975"/>
    <s v="Returning"/>
    <n v="0.01"/>
    <s v="Cash"/>
    <s v="Retail"/>
    <x v="0"/>
  </r>
  <r>
    <n v="1027"/>
    <x v="226"/>
    <d v="2022-04-16T00:00:00"/>
    <x v="0"/>
    <s v="Apr"/>
    <x v="2"/>
    <x v="2"/>
    <n v="14963.671200000001"/>
    <n v="3"/>
    <x v="0"/>
    <n v="2327.59"/>
    <n v="5421.62"/>
    <n v="7980.9012000000002"/>
    <s v="Returning"/>
    <n v="0.08"/>
    <s v="Credit Card"/>
    <s v="Retail"/>
    <x v="14"/>
  </r>
  <r>
    <n v="1083"/>
    <x v="227"/>
    <d v="2022-04-16T00:00:00"/>
    <x v="0"/>
    <s v="Apr"/>
    <x v="1"/>
    <x v="0"/>
    <n v="20942.960500000001"/>
    <n v="5"/>
    <x v="2"/>
    <n v="1037.1099999999999"/>
    <n v="5439.73"/>
    <n v="15757.410500000002"/>
    <s v="Returning"/>
    <n v="0.23"/>
    <s v="Credit Card"/>
    <s v="Online"/>
    <x v="10"/>
  </r>
  <r>
    <n v="1075"/>
    <x v="28"/>
    <d v="2022-04-16T00:00:00"/>
    <x v="0"/>
    <s v="Apr"/>
    <x v="0"/>
    <x v="0"/>
    <n v="166506.704"/>
    <n v="49"/>
    <x v="0"/>
    <n v="3053"/>
    <n v="3997.76"/>
    <n v="16909.704000000002"/>
    <s v="Returning"/>
    <n v="0.15"/>
    <s v="Bank Transfer"/>
    <s v="Retail"/>
    <x v="0"/>
  </r>
  <r>
    <n v="1050"/>
    <x v="228"/>
    <d v="2022-04-16T00:00:00"/>
    <x v="0"/>
    <s v="Apr"/>
    <x v="2"/>
    <x v="3"/>
    <n v="65785.508799999996"/>
    <n v="19"/>
    <x v="2"/>
    <n v="1538.06"/>
    <n v="3934.54"/>
    <n v="36562.368799999997"/>
    <s v="New"/>
    <n v="0.12"/>
    <s v="Bank Transfer"/>
    <s v="Online"/>
    <x v="3"/>
  </r>
  <r>
    <n v="1051"/>
    <x v="213"/>
    <d v="2022-04-16T00:00:00"/>
    <x v="0"/>
    <s v="Apr"/>
    <x v="2"/>
    <x v="3"/>
    <n v="184789.02540000001"/>
    <n v="49"/>
    <x v="0"/>
    <n v="1768.45"/>
    <n v="4599.03"/>
    <n v="98134.975399999996"/>
    <s v="New"/>
    <n v="0.18"/>
    <s v="Bank Transfer"/>
    <s v="Retail"/>
    <x v="3"/>
  </r>
  <r>
    <n v="1059"/>
    <x v="229"/>
    <d v="2022-04-17T00:00:00"/>
    <x v="0"/>
    <s v="Apr"/>
    <x v="0"/>
    <x v="3"/>
    <n v="4736.1815999999999"/>
    <n v="3"/>
    <x v="0"/>
    <n v="1352.33"/>
    <n v="2162.64"/>
    <n v="679.19159999999965"/>
    <s v="New"/>
    <n v="0.27"/>
    <s v="Cash"/>
    <s v="Online"/>
    <x v="5"/>
  </r>
  <r>
    <n v="1094"/>
    <x v="230"/>
    <d v="2022-04-17T00:00:00"/>
    <x v="0"/>
    <s v="Apr"/>
    <x v="1"/>
    <x v="3"/>
    <n v="58501.500799999994"/>
    <n v="16"/>
    <x v="3"/>
    <n v="1629.69"/>
    <n v="5149.78"/>
    <n v="32426.460799999993"/>
    <s v="New"/>
    <n v="0.28999999999999998"/>
    <s v="Cash"/>
    <s v="Retail"/>
    <x v="7"/>
  </r>
  <r>
    <n v="1013"/>
    <x v="231"/>
    <d v="2022-04-17T00:00:00"/>
    <x v="0"/>
    <s v="Apr"/>
    <x v="1"/>
    <x v="3"/>
    <n v="122485.3245"/>
    <n v="49"/>
    <x v="2"/>
    <n v="1625.06"/>
    <n v="2687.85"/>
    <n v="42857.3845"/>
    <s v="Returning"/>
    <n v="7.0000000000000007E-2"/>
    <s v="Cash"/>
    <s v="Online"/>
    <x v="7"/>
  </r>
  <r>
    <n v="1024"/>
    <x v="207"/>
    <d v="2022-04-18T00:00:00"/>
    <x v="0"/>
    <s v="Apr"/>
    <x v="2"/>
    <x v="3"/>
    <n v="13872.432000000001"/>
    <n v="7"/>
    <x v="0"/>
    <n v="1529.81"/>
    <n v="2607.6"/>
    <n v="3163.7620000000006"/>
    <s v="New"/>
    <n v="0.24"/>
    <s v="Cash"/>
    <s v="Retail"/>
    <x v="3"/>
  </r>
  <r>
    <n v="1057"/>
    <x v="232"/>
    <d v="2022-04-18T00:00:00"/>
    <x v="0"/>
    <s v="Apr"/>
    <x v="1"/>
    <x v="2"/>
    <n v="120481.77439999999"/>
    <n v="34"/>
    <x v="3"/>
    <n v="2871.71"/>
    <n v="4990.96"/>
    <n v="22843.634399999999"/>
    <s v="Returning"/>
    <n v="0.28999999999999998"/>
    <s v="Bank Transfer"/>
    <s v="Online"/>
    <x v="15"/>
  </r>
  <r>
    <n v="1015"/>
    <x v="147"/>
    <d v="2022-04-18T00:00:00"/>
    <x v="0"/>
    <s v="Apr"/>
    <x v="4"/>
    <x v="1"/>
    <n v="189084.64531763349"/>
    <n v="43"/>
    <x v="1"/>
    <n v="3815.26"/>
    <n v="4459.5"/>
    <n v="25784.734999999979"/>
    <s v="New"/>
    <n v="0.01"/>
    <s v="Cash"/>
    <s v="Retail"/>
    <x v="6"/>
  </r>
  <r>
    <n v="1034"/>
    <x v="185"/>
    <d v="2022-04-20T00:00:00"/>
    <x v="0"/>
    <s v="Apr"/>
    <x v="3"/>
    <x v="1"/>
    <n v="103971.003"/>
    <n v="47"/>
    <x v="1"/>
    <n v="2183.31"/>
    <n v="2542.6999999999998"/>
    <n v="1355.4329999999973"/>
    <s v="Returning"/>
    <n v="0.13"/>
    <s v="Cash"/>
    <s v="Online"/>
    <x v="16"/>
  </r>
  <r>
    <n v="1053"/>
    <x v="233"/>
    <d v="2022-04-20T00:00:00"/>
    <x v="0"/>
    <s v="Apr"/>
    <x v="0"/>
    <x v="3"/>
    <n v="25866.389580390634"/>
    <n v="31"/>
    <x v="1"/>
    <n v="780.88"/>
    <n v="869.23"/>
    <n v="1661.0047999999986"/>
    <s v="New"/>
    <n v="0.04"/>
    <s v="Bank Transfer"/>
    <s v="Retail"/>
    <x v="5"/>
  </r>
  <r>
    <n v="1085"/>
    <x v="234"/>
    <d v="2022-04-20T00:00:00"/>
    <x v="0"/>
    <s v="Apr"/>
    <x v="4"/>
    <x v="1"/>
    <n v="9944.1836999999996"/>
    <n v="11"/>
    <x v="3"/>
    <n v="466.02"/>
    <n v="1116.07"/>
    <n v="4817.9637000000002"/>
    <s v="New"/>
    <n v="0.19"/>
    <s v="Bank Transfer"/>
    <s v="Retail"/>
    <x v="6"/>
  </r>
  <r>
    <n v="1051"/>
    <x v="213"/>
    <d v="2022-04-20T00:00:00"/>
    <x v="0"/>
    <s v="Apr"/>
    <x v="3"/>
    <x v="3"/>
    <n v="53384.832000000002"/>
    <n v="18"/>
    <x v="0"/>
    <n v="1149.8399999999999"/>
    <n v="3295.36"/>
    <n v="32687.712000000003"/>
    <s v="New"/>
    <n v="0.1"/>
    <s v="Cash"/>
    <s v="Retail"/>
    <x v="4"/>
  </r>
  <r>
    <n v="1074"/>
    <x v="80"/>
    <d v="2022-04-20T00:00:00"/>
    <x v="0"/>
    <s v="Apr"/>
    <x v="3"/>
    <x v="1"/>
    <n v="91113.552000000011"/>
    <n v="27"/>
    <x v="2"/>
    <n v="1958.37"/>
    <n v="4218.22"/>
    <n v="38237.562000000013"/>
    <s v="Returning"/>
    <n v="0.2"/>
    <s v="Bank Transfer"/>
    <s v="Retail"/>
    <x v="16"/>
  </r>
  <r>
    <n v="1062"/>
    <x v="18"/>
    <d v="2022-04-20T00:00:00"/>
    <x v="0"/>
    <s v="Apr"/>
    <x v="3"/>
    <x v="0"/>
    <n v="104104.1352"/>
    <n v="47"/>
    <x v="0"/>
    <n v="1031.06"/>
    <n v="2575.56"/>
    <n v="55644.315200000005"/>
    <s v="Returning"/>
    <n v="0.14000000000000001"/>
    <s v="Bank Transfer"/>
    <s v="Retail"/>
    <x v="11"/>
  </r>
  <r>
    <n v="1020"/>
    <x v="235"/>
    <d v="2022-04-20T00:00:00"/>
    <x v="0"/>
    <s v="Apr"/>
    <x v="0"/>
    <x v="3"/>
    <n v="111515.7524"/>
    <n v="26"/>
    <x v="1"/>
    <n v="2068.29"/>
    <n v="5230.57"/>
    <n v="57740.212399999997"/>
    <s v="New"/>
    <n v="0.18"/>
    <s v="Cash"/>
    <s v="Retail"/>
    <x v="5"/>
  </r>
  <r>
    <n v="1006"/>
    <x v="70"/>
    <d v="2022-04-20T00:00:00"/>
    <x v="0"/>
    <s v="Apr"/>
    <x v="3"/>
    <x v="1"/>
    <n v="158209.86720000001"/>
    <n v="33"/>
    <x v="3"/>
    <n v="2325.52"/>
    <n v="4892.08"/>
    <n v="81467.707200000004"/>
    <s v="Returning"/>
    <n v="0.02"/>
    <s v="Cash"/>
    <s v="Retail"/>
    <x v="16"/>
  </r>
  <r>
    <n v="1029"/>
    <x v="146"/>
    <d v="2022-04-21T00:00:00"/>
    <x v="0"/>
    <s v="Apr"/>
    <x v="4"/>
    <x v="0"/>
    <n v="11753.0147"/>
    <n v="7"/>
    <x v="1"/>
    <n v="270.23"/>
    <n v="1730.93"/>
    <n v="9861.4046999999991"/>
    <s v="New"/>
    <n v="0.03"/>
    <s v="Bank Transfer"/>
    <s v="Retail"/>
    <x v="13"/>
  </r>
  <r>
    <n v="1011"/>
    <x v="236"/>
    <d v="2022-04-21T00:00:00"/>
    <x v="0"/>
    <s v="Apr"/>
    <x v="3"/>
    <x v="1"/>
    <n v="86610.991585354495"/>
    <n v="48"/>
    <x v="2"/>
    <n v="1525.42"/>
    <n v="1859.31"/>
    <n v="13349.313599999987"/>
    <s v="Returning"/>
    <n v="0.03"/>
    <s v="Bank Transfer"/>
    <s v="Retail"/>
    <x v="16"/>
  </r>
  <r>
    <n v="1052"/>
    <x v="52"/>
    <d v="2022-04-21T00:00:00"/>
    <x v="0"/>
    <s v="Apr"/>
    <x v="2"/>
    <x v="1"/>
    <n v="132721.74"/>
    <n v="30"/>
    <x v="1"/>
    <n v="412.47"/>
    <n v="4915.62"/>
    <n v="120347.63999999998"/>
    <s v="New"/>
    <n v="0.1"/>
    <s v="Bank Transfer"/>
    <s v="Retail"/>
    <x v="8"/>
  </r>
  <r>
    <n v="1051"/>
    <x v="213"/>
    <d v="2022-04-21T00:00:00"/>
    <x v="0"/>
    <s v="Apr"/>
    <x v="1"/>
    <x v="2"/>
    <n v="170689.33439999999"/>
    <n v="39"/>
    <x v="0"/>
    <n v="847.81"/>
    <n v="4559.01"/>
    <n v="137624.7444"/>
    <s v="Returning"/>
    <n v="0.04"/>
    <s v="Credit Card"/>
    <s v="Retail"/>
    <x v="15"/>
  </r>
  <r>
    <n v="1075"/>
    <x v="170"/>
    <d v="2022-04-22T00:00:00"/>
    <x v="0"/>
    <s v="Apr"/>
    <x v="1"/>
    <x v="0"/>
    <n v="211159.90329779658"/>
    <n v="44"/>
    <x v="2"/>
    <n v="4301.0600000000004"/>
    <n v="4930.0200000000004"/>
    <n v="21166.613600000004"/>
    <s v="Returning"/>
    <n v="0.03"/>
    <s v="Credit Card"/>
    <s v="Online"/>
    <x v="10"/>
  </r>
  <r>
    <n v="1011"/>
    <x v="237"/>
    <d v="2022-04-22T00:00:00"/>
    <x v="0"/>
    <s v="Apr"/>
    <x v="2"/>
    <x v="1"/>
    <n v="104377.24440000001"/>
    <n v="33"/>
    <x v="3"/>
    <n v="2293.69"/>
    <n v="4055.06"/>
    <n v="28685.474400000003"/>
    <s v="New"/>
    <n v="0.22"/>
    <s v="Credit Card"/>
    <s v="Online"/>
    <x v="8"/>
  </r>
  <r>
    <n v="1071"/>
    <x v="238"/>
    <d v="2022-04-22T00:00:00"/>
    <x v="0"/>
    <s v="Apr"/>
    <x v="4"/>
    <x v="0"/>
    <n v="82769.833799999993"/>
    <n v="27"/>
    <x v="3"/>
    <n v="1623.28"/>
    <n v="3523.62"/>
    <n v="38941.273799999995"/>
    <s v="Returning"/>
    <n v="0.13"/>
    <s v="Credit Card"/>
    <s v="Retail"/>
    <x v="13"/>
  </r>
  <r>
    <n v="1077"/>
    <x v="108"/>
    <d v="2022-04-23T00:00:00"/>
    <x v="0"/>
    <s v="Apr"/>
    <x v="1"/>
    <x v="2"/>
    <n v="33719.661"/>
    <n v="9"/>
    <x v="3"/>
    <n v="3380.53"/>
    <n v="3943.82"/>
    <n v="3294.8909999999973"/>
    <s v="New"/>
    <n v="0.05"/>
    <s v="Bank Transfer"/>
    <s v="Retail"/>
    <x v="15"/>
  </r>
  <r>
    <n v="1041"/>
    <x v="175"/>
    <d v="2022-04-23T00:00:00"/>
    <x v="0"/>
    <s v="Apr"/>
    <x v="1"/>
    <x v="0"/>
    <n v="110881.302"/>
    <n v="30"/>
    <x v="3"/>
    <n v="3147.41"/>
    <n v="4507.37"/>
    <n v="16459.002000000004"/>
    <s v="Returning"/>
    <n v="0.18"/>
    <s v="Credit Card"/>
    <s v="Retail"/>
    <x v="10"/>
  </r>
  <r>
    <n v="1020"/>
    <x v="68"/>
    <d v="2022-04-23T00:00:00"/>
    <x v="0"/>
    <s v="Apr"/>
    <x v="0"/>
    <x v="1"/>
    <n v="32818.2768"/>
    <n v="9"/>
    <x v="2"/>
    <n v="783.7"/>
    <n v="3963.56"/>
    <n v="25764.9768"/>
    <s v="Returning"/>
    <n v="0.08"/>
    <s v="Credit Card"/>
    <s v="Retail"/>
    <x v="19"/>
  </r>
  <r>
    <n v="1015"/>
    <x v="147"/>
    <d v="2022-04-23T00:00:00"/>
    <x v="0"/>
    <s v="Apr"/>
    <x v="0"/>
    <x v="2"/>
    <n v="181414.92600000001"/>
    <n v="44"/>
    <x v="1"/>
    <n v="3182.64"/>
    <n v="4340.07"/>
    <n v="41378.766000000003"/>
    <s v="New"/>
    <n v="0.05"/>
    <s v="Credit Card"/>
    <s v="Online"/>
    <x v="2"/>
  </r>
  <r>
    <n v="1067"/>
    <x v="191"/>
    <d v="2022-04-23T00:00:00"/>
    <x v="0"/>
    <s v="Apr"/>
    <x v="0"/>
    <x v="0"/>
    <n v="94431.039999999994"/>
    <n v="22"/>
    <x v="1"/>
    <n v="1969.99"/>
    <n v="5365.4"/>
    <n v="51091.259999999995"/>
    <s v="Returning"/>
    <n v="0.2"/>
    <s v="Bank Transfer"/>
    <s v="Online"/>
    <x v="0"/>
  </r>
  <r>
    <n v="1010"/>
    <x v="165"/>
    <d v="2022-04-23T00:00:00"/>
    <x v="0"/>
    <s v="Apr"/>
    <x v="1"/>
    <x v="0"/>
    <n v="145423.29270000002"/>
    <n v="49"/>
    <x v="1"/>
    <n v="1095.27"/>
    <n v="4065.51"/>
    <n v="91755.062700000009"/>
    <s v="Returning"/>
    <n v="0.27"/>
    <s v="Bank Transfer"/>
    <s v="Retail"/>
    <x v="10"/>
  </r>
  <r>
    <n v="1045"/>
    <x v="239"/>
    <d v="2022-04-24T00:00:00"/>
    <x v="0"/>
    <s v="Apr"/>
    <x v="0"/>
    <x v="2"/>
    <n v="49211.520000000004"/>
    <n v="30"/>
    <x v="3"/>
    <n v="635.78"/>
    <n v="2050.48"/>
    <n v="30138.120000000003"/>
    <s v="New"/>
    <n v="0.2"/>
    <s v="Credit Card"/>
    <s v="Retail"/>
    <x v="2"/>
  </r>
  <r>
    <n v="1080"/>
    <x v="240"/>
    <d v="2022-04-24T00:00:00"/>
    <x v="0"/>
    <s v="Apr"/>
    <x v="2"/>
    <x v="0"/>
    <n v="80975.143200000006"/>
    <n v="23"/>
    <x v="3"/>
    <n v="2068.96"/>
    <n v="4191.26"/>
    <n v="33389.063200000004"/>
    <s v="New"/>
    <n v="0.16"/>
    <s v="Bank Transfer"/>
    <s v="Retail"/>
    <x v="18"/>
  </r>
  <r>
    <n v="1075"/>
    <x v="28"/>
    <d v="2022-04-24T00:00:00"/>
    <x v="0"/>
    <s v="Apr"/>
    <x v="1"/>
    <x v="1"/>
    <n v="174934.81499999997"/>
    <n v="50"/>
    <x v="0"/>
    <n v="1635.29"/>
    <n v="4021.49"/>
    <n v="93170.314999999988"/>
    <s v="Returning"/>
    <n v="0.13"/>
    <s v="Bank Transfer"/>
    <s v="Retail"/>
    <x v="1"/>
  </r>
  <r>
    <n v="1044"/>
    <x v="241"/>
    <d v="2022-04-25T00:00:00"/>
    <x v="0"/>
    <s v="Apr"/>
    <x v="2"/>
    <x v="1"/>
    <n v="17575.812800000003"/>
    <n v="4"/>
    <x v="1"/>
    <n v="4136.68"/>
    <n v="4828.5200000000004"/>
    <n v="1029.0928000000022"/>
    <s v="New"/>
    <n v="0.09"/>
    <s v="Credit Card"/>
    <s v="Retail"/>
    <x v="8"/>
  </r>
  <r>
    <n v="1063"/>
    <x v="33"/>
    <d v="2022-04-25T00:00:00"/>
    <x v="0"/>
    <s v="Apr"/>
    <x v="2"/>
    <x v="2"/>
    <n v="46978.014681496097"/>
    <n v="13"/>
    <x v="1"/>
    <n v="3354.25"/>
    <n v="3626.18"/>
    <n v="3535.0899999999979"/>
    <s v="Returning"/>
    <n v="0"/>
    <s v="Cash"/>
    <s v="Online"/>
    <x v="14"/>
  </r>
  <r>
    <n v="1050"/>
    <x v="44"/>
    <d v="2022-04-25T00:00:00"/>
    <x v="0"/>
    <s v="Apr"/>
    <x v="2"/>
    <x v="3"/>
    <n v="43331.651438301633"/>
    <n v="10"/>
    <x v="1"/>
    <n v="3864.28"/>
    <n v="4399.1499999999996"/>
    <n v="4908.7849999999935"/>
    <s v="New"/>
    <n v="0.01"/>
    <s v="Bank Transfer"/>
    <s v="Retail"/>
    <x v="3"/>
  </r>
  <r>
    <n v="1059"/>
    <x v="141"/>
    <d v="2022-04-25T00:00:00"/>
    <x v="0"/>
    <s v="Apr"/>
    <x v="0"/>
    <x v="1"/>
    <n v="30188.250399999997"/>
    <n v="7"/>
    <x v="2"/>
    <n v="3579.34"/>
    <n v="4587.88"/>
    <n v="5132.8703999999952"/>
    <s v="New"/>
    <n v="0.06"/>
    <s v="Bank Transfer"/>
    <s v="Online"/>
    <x v="19"/>
  </r>
  <r>
    <n v="1013"/>
    <x v="189"/>
    <d v="2022-04-25T00:00:00"/>
    <x v="0"/>
    <s v="Apr"/>
    <x v="2"/>
    <x v="0"/>
    <n v="14579.473500000002"/>
    <n v="5"/>
    <x v="3"/>
    <n v="189.41"/>
    <n v="3599.87"/>
    <n v="13632.423500000003"/>
    <s v="Returning"/>
    <n v="0.19"/>
    <s v="Cash"/>
    <s v="Retail"/>
    <x v="18"/>
  </r>
  <r>
    <n v="1036"/>
    <x v="242"/>
    <d v="2022-04-25T00:00:00"/>
    <x v="0"/>
    <s v="Apr"/>
    <x v="4"/>
    <x v="1"/>
    <n v="90769.305599999992"/>
    <n v="24"/>
    <x v="1"/>
    <n v="414.8"/>
    <n v="3939.64"/>
    <n v="80814.105599999981"/>
    <s v="New"/>
    <n v="0.04"/>
    <s v="Credit Card"/>
    <s v="Online"/>
    <x v="6"/>
  </r>
  <r>
    <n v="1009"/>
    <x v="243"/>
    <d v="2022-04-26T00:00:00"/>
    <x v="0"/>
    <s v="Apr"/>
    <x v="2"/>
    <x v="1"/>
    <n v="27283.368000000002"/>
    <n v="12"/>
    <x v="2"/>
    <n v="692.4"/>
    <n v="2772.7"/>
    <n v="18974.567999999999"/>
    <s v="New"/>
    <n v="0.18"/>
    <s v="Bank Transfer"/>
    <s v="Retail"/>
    <x v="8"/>
  </r>
  <r>
    <n v="1035"/>
    <x v="76"/>
    <d v="2022-04-26T00:00:00"/>
    <x v="0"/>
    <s v="Apr"/>
    <x v="0"/>
    <x v="1"/>
    <n v="121339.6704"/>
    <n v="39"/>
    <x v="0"/>
    <n v="1120.3599999999999"/>
    <n v="3617.76"/>
    <n v="77645.630400000009"/>
    <s v="New"/>
    <n v="0.14000000000000001"/>
    <s v="Bank Transfer"/>
    <s v="Online"/>
    <x v="19"/>
  </r>
  <r>
    <n v="1090"/>
    <x v="159"/>
    <d v="2022-04-26T00:00:00"/>
    <x v="0"/>
    <s v="Apr"/>
    <x v="3"/>
    <x v="0"/>
    <n v="159836.23919999998"/>
    <n v="44"/>
    <x v="2"/>
    <n v="890.49"/>
    <n v="4081.62"/>
    <n v="120654.67919999998"/>
    <s v="Returning"/>
    <n v="0.11"/>
    <s v="Bank Transfer"/>
    <s v="Retail"/>
    <x v="11"/>
  </r>
  <r>
    <n v="1093"/>
    <x v="10"/>
    <d v="2022-04-27T00:00:00"/>
    <x v="0"/>
    <s v="Apr"/>
    <x v="3"/>
    <x v="3"/>
    <n v="77121.080399999992"/>
    <n v="29"/>
    <x v="2"/>
    <n v="283.54000000000002"/>
    <n v="3745.56"/>
    <n v="68898.420399999988"/>
    <s v="Returning"/>
    <n v="0.28999999999999998"/>
    <s v="Bank Transfer"/>
    <s v="Online"/>
    <x v="4"/>
  </r>
  <r>
    <n v="1020"/>
    <x v="48"/>
    <d v="2022-04-28T00:00:00"/>
    <x v="0"/>
    <s v="Apr"/>
    <x v="0"/>
    <x v="3"/>
    <n v="28591.755506496786"/>
    <n v="9"/>
    <x v="3"/>
    <n v="2786.77"/>
    <n v="3317.15"/>
    <n v="3579.2459999999996"/>
    <s v="New"/>
    <n v="0.04"/>
    <s v="Cash"/>
    <s v="Online"/>
    <x v="5"/>
  </r>
  <r>
    <n v="1079"/>
    <x v="244"/>
    <d v="2022-04-29T00:00:00"/>
    <x v="0"/>
    <s v="Apr"/>
    <x v="3"/>
    <x v="3"/>
    <n v="12041.82"/>
    <n v="7"/>
    <x v="3"/>
    <n v="944.09"/>
    <n v="2263.5"/>
    <n v="5433.19"/>
    <s v="New"/>
    <n v="0.24"/>
    <s v="Credit Card"/>
    <s v="Retail"/>
    <x v="4"/>
  </r>
  <r>
    <n v="1060"/>
    <x v="245"/>
    <d v="2022-04-29T00:00:00"/>
    <x v="0"/>
    <s v="Apr"/>
    <x v="2"/>
    <x v="2"/>
    <n v="36281.683199999999"/>
    <n v="14"/>
    <x v="2"/>
    <n v="1551.7"/>
    <n v="2699.53"/>
    <n v="14557.8832"/>
    <s v="New"/>
    <n v="0.04"/>
    <s v="Credit Card"/>
    <s v="Online"/>
    <x v="14"/>
  </r>
  <r>
    <n v="1081"/>
    <x v="246"/>
    <d v="2022-04-29T00:00:00"/>
    <x v="0"/>
    <s v="Apr"/>
    <x v="3"/>
    <x v="1"/>
    <n v="28565.535899999995"/>
    <n v="11"/>
    <x v="0"/>
    <n v="1215.54"/>
    <n v="2792.33"/>
    <n v="15194.595899999995"/>
    <s v="Returning"/>
    <n v="7.0000000000000007E-2"/>
    <s v="Bank Transfer"/>
    <s v="Online"/>
    <x v="16"/>
  </r>
  <r>
    <n v="1064"/>
    <x v="247"/>
    <d v="2022-04-29T00:00:00"/>
    <x v="0"/>
    <s v="Apr"/>
    <x v="0"/>
    <x v="2"/>
    <n v="69648.767999999996"/>
    <n v="16"/>
    <x v="0"/>
    <n v="3268.92"/>
    <n v="5182.2"/>
    <n v="17346.047999999995"/>
    <s v="Returning"/>
    <n v="0.16"/>
    <s v="Credit Card"/>
    <s v="Online"/>
    <x v="2"/>
  </r>
  <r>
    <n v="1010"/>
    <x v="165"/>
    <d v="2022-04-29T00:00:00"/>
    <x v="0"/>
    <s v="Apr"/>
    <x v="0"/>
    <x v="1"/>
    <n v="125090.414"/>
    <n v="37"/>
    <x v="1"/>
    <n v="2254.27"/>
    <n v="4448.45"/>
    <n v="41682.424000000006"/>
    <s v="Returning"/>
    <n v="0.24"/>
    <s v="Credit Card"/>
    <s v="Online"/>
    <x v="19"/>
  </r>
  <r>
    <n v="1022"/>
    <x v="248"/>
    <d v="2022-04-30T00:00:00"/>
    <x v="0"/>
    <s v="Apr"/>
    <x v="3"/>
    <x v="3"/>
    <n v="15601.675999999999"/>
    <n v="5"/>
    <x v="2"/>
    <n v="682.28"/>
    <n v="3759.44"/>
    <n v="12190.275999999998"/>
    <s v="New"/>
    <n v="0.17"/>
    <s v="Bank Transfer"/>
    <s v="Retail"/>
    <x v="4"/>
  </r>
  <r>
    <n v="1035"/>
    <x v="120"/>
    <d v="2022-04-30T00:00:00"/>
    <x v="0"/>
    <s v="Apr"/>
    <x v="2"/>
    <x v="1"/>
    <n v="39345.726000000002"/>
    <n v="10"/>
    <x v="1"/>
    <n v="1540.63"/>
    <n v="4014.87"/>
    <n v="23939.425999999999"/>
    <s v="New"/>
    <n v="0.02"/>
    <s v="Credit Card"/>
    <s v="Retail"/>
    <x v="8"/>
  </r>
  <r>
    <n v="1025"/>
    <x v="155"/>
    <d v="2022-05-01T00:00:00"/>
    <x v="0"/>
    <s v="May"/>
    <x v="2"/>
    <x v="3"/>
    <n v="57974.767200000002"/>
    <n v="14"/>
    <x v="1"/>
    <n v="3591.01"/>
    <n v="4815.18"/>
    <n v="7700.6271999999954"/>
    <s v="Returning"/>
    <n v="0.14000000000000001"/>
    <s v="Bank Transfer"/>
    <s v="Online"/>
    <x v="3"/>
  </r>
  <r>
    <n v="1072"/>
    <x v="249"/>
    <d v="2022-05-01T00:00:00"/>
    <x v="0"/>
    <s v="May"/>
    <x v="3"/>
    <x v="0"/>
    <n v="256931.61000000002"/>
    <n v="47"/>
    <x v="3"/>
    <n v="4404.47"/>
    <n v="5466.63"/>
    <n v="49921.51999999999"/>
    <s v="New"/>
    <n v="0"/>
    <s v="Bank Transfer"/>
    <s v="Retail"/>
    <x v="11"/>
  </r>
  <r>
    <n v="1037"/>
    <x v="93"/>
    <d v="2022-05-02T00:00:00"/>
    <x v="0"/>
    <s v="May"/>
    <x v="4"/>
    <x v="1"/>
    <n v="50149.881599999993"/>
    <n v="16"/>
    <x v="0"/>
    <n v="1009.5"/>
    <n v="3731.39"/>
    <n v="33997.881599999993"/>
    <s v="Returning"/>
    <n v="0.16"/>
    <s v="Credit Card"/>
    <s v="Online"/>
    <x v="6"/>
  </r>
  <r>
    <n v="1034"/>
    <x v="185"/>
    <d v="2022-05-03T00:00:00"/>
    <x v="0"/>
    <s v="May"/>
    <x v="0"/>
    <x v="1"/>
    <n v="30619.0016"/>
    <n v="44"/>
    <x v="1"/>
    <n v="545.62"/>
    <n v="790.78"/>
    <n v="6611.7215999999989"/>
    <s v="Returning"/>
    <n v="0.12"/>
    <s v="Bank Transfer"/>
    <s v="Retail"/>
    <x v="19"/>
  </r>
  <r>
    <n v="1081"/>
    <x v="250"/>
    <d v="2022-05-03T00:00:00"/>
    <x v="0"/>
    <s v="May"/>
    <x v="2"/>
    <x v="2"/>
    <n v="33505.055999999997"/>
    <n v="8"/>
    <x v="3"/>
    <n v="2340.88"/>
    <n v="4653.4799999999996"/>
    <n v="14778.015999999996"/>
    <s v="New"/>
    <n v="0.1"/>
    <s v="Bank Transfer"/>
    <s v="Online"/>
    <x v="14"/>
  </r>
  <r>
    <n v="1054"/>
    <x v="251"/>
    <d v="2022-05-03T00:00:00"/>
    <x v="0"/>
    <s v="May"/>
    <x v="1"/>
    <x v="3"/>
    <n v="75668.476600000009"/>
    <n v="19"/>
    <x v="3"/>
    <n v="729.25"/>
    <n v="4856.7700000000004"/>
    <n v="61812.726600000016"/>
    <s v="Returning"/>
    <n v="0.18"/>
    <s v="Credit Card"/>
    <s v="Retail"/>
    <x v="7"/>
  </r>
  <r>
    <n v="1054"/>
    <x v="252"/>
    <d v="2022-05-03T00:00:00"/>
    <x v="0"/>
    <s v="May"/>
    <x v="1"/>
    <x v="3"/>
    <n v="249571.96460000001"/>
    <n v="47"/>
    <x v="1"/>
    <n v="3212.76"/>
    <n v="5418.41"/>
    <n v="98572.244599999991"/>
    <s v="Returning"/>
    <n v="0.02"/>
    <s v="Bank Transfer"/>
    <s v="Retail"/>
    <x v="7"/>
  </r>
  <r>
    <n v="1005"/>
    <x v="253"/>
    <d v="2022-05-05T00:00:00"/>
    <x v="0"/>
    <s v="May"/>
    <x v="4"/>
    <x v="3"/>
    <n v="69211.337999999989"/>
    <n v="28"/>
    <x v="2"/>
    <n v="2394.85"/>
    <n v="2601.9299999999998"/>
    <n v="2155.537999999995"/>
    <s v="New"/>
    <n v="0.05"/>
    <s v="Bank Transfer"/>
    <s v="Retail"/>
    <x v="12"/>
  </r>
  <r>
    <n v="1005"/>
    <x v="218"/>
    <d v="2022-05-05T00:00:00"/>
    <x v="0"/>
    <s v="May"/>
    <x v="3"/>
    <x v="1"/>
    <n v="52759.912799999998"/>
    <n v="21"/>
    <x v="1"/>
    <n v="890.38"/>
    <n v="3026.96"/>
    <n v="34061.932799999995"/>
    <s v="New"/>
    <n v="0.17"/>
    <s v="Bank Transfer"/>
    <s v="Online"/>
    <x v="16"/>
  </r>
  <r>
    <n v="1019"/>
    <x v="215"/>
    <d v="2022-05-05T00:00:00"/>
    <x v="0"/>
    <s v="May"/>
    <x v="0"/>
    <x v="3"/>
    <n v="140114.3175"/>
    <n v="45"/>
    <x v="2"/>
    <n v="2040.18"/>
    <n v="3209.95"/>
    <n v="48306.217499999992"/>
    <s v="Returning"/>
    <n v="0.03"/>
    <s v="Bank Transfer"/>
    <s v="Retail"/>
    <x v="5"/>
  </r>
  <r>
    <n v="1010"/>
    <x v="132"/>
    <d v="2022-05-06T00:00:00"/>
    <x v="0"/>
    <s v="May"/>
    <x v="1"/>
    <x v="0"/>
    <n v="11291.594999999999"/>
    <n v="5"/>
    <x v="2"/>
    <n v="2033.71"/>
    <n v="3226.17"/>
    <n v="1123.0449999999996"/>
    <s v="New"/>
    <n v="0.3"/>
    <s v="Credit Card"/>
    <s v="Retail"/>
    <x v="10"/>
  </r>
  <r>
    <n v="1029"/>
    <x v="206"/>
    <d v="2022-05-06T00:00:00"/>
    <x v="0"/>
    <s v="May"/>
    <x v="3"/>
    <x v="3"/>
    <n v="169818.38400000002"/>
    <n v="40"/>
    <x v="2"/>
    <n v="2319.94"/>
    <n v="4614.63"/>
    <n v="77020.784"/>
    <s v="Returning"/>
    <n v="0.08"/>
    <s v="Credit Card"/>
    <s v="Online"/>
    <x v="4"/>
  </r>
  <r>
    <n v="1071"/>
    <x v="153"/>
    <d v="2022-05-07T00:00:00"/>
    <x v="0"/>
    <s v="May"/>
    <x v="0"/>
    <x v="2"/>
    <n v="14226.192000000001"/>
    <n v="6"/>
    <x v="0"/>
    <n v="397.53"/>
    <n v="2927.2"/>
    <n v="11841.012000000001"/>
    <s v="New"/>
    <n v="0.19"/>
    <s v="Bank Transfer"/>
    <s v="Retail"/>
    <x v="2"/>
  </r>
  <r>
    <n v="1088"/>
    <x v="156"/>
    <d v="2022-05-07T00:00:00"/>
    <x v="0"/>
    <s v="May"/>
    <x v="4"/>
    <x v="2"/>
    <n v="46268.819999999992"/>
    <n v="12"/>
    <x v="3"/>
    <n v="625.57000000000005"/>
    <n v="5140.9799999999996"/>
    <n v="38761.979999999996"/>
    <s v="New"/>
    <n v="0.25"/>
    <s v="Credit Card"/>
    <s v="Online"/>
    <x v="17"/>
  </r>
  <r>
    <n v="1006"/>
    <x v="81"/>
    <d v="2022-05-07T00:00:00"/>
    <x v="0"/>
    <s v="May"/>
    <x v="4"/>
    <x v="3"/>
    <n v="87527.7696"/>
    <n v="23"/>
    <x v="1"/>
    <n v="832.9"/>
    <n v="3964.12"/>
    <n v="68371.069599999988"/>
    <s v="New"/>
    <n v="0.04"/>
    <s v="Cash"/>
    <s v="Online"/>
    <x v="12"/>
  </r>
  <r>
    <n v="1015"/>
    <x v="144"/>
    <d v="2022-05-08T00:00:00"/>
    <x v="0"/>
    <s v="May"/>
    <x v="2"/>
    <x v="3"/>
    <n v="48277.279999999999"/>
    <n v="32"/>
    <x v="3"/>
    <n v="953.96"/>
    <n v="1774.9"/>
    <n v="17750.559999999998"/>
    <s v="New"/>
    <n v="0.15"/>
    <s v="Bank Transfer"/>
    <s v="Online"/>
    <x v="3"/>
  </r>
  <r>
    <n v="1003"/>
    <x v="66"/>
    <d v="2022-05-08T00:00:00"/>
    <x v="0"/>
    <s v="May"/>
    <x v="2"/>
    <x v="0"/>
    <n v="163271.212"/>
    <n v="40"/>
    <x v="3"/>
    <n v="3619.13"/>
    <n v="4586.2700000000004"/>
    <n v="18506.01200000001"/>
    <s v="Returning"/>
    <n v="0.11"/>
    <s v="Bank Transfer"/>
    <s v="Online"/>
    <x v="18"/>
  </r>
  <r>
    <n v="1011"/>
    <x v="237"/>
    <d v="2022-05-09T00:00:00"/>
    <x v="0"/>
    <s v="May"/>
    <x v="4"/>
    <x v="1"/>
    <n v="22678.609200000003"/>
    <n v="47"/>
    <x v="3"/>
    <n v="425.17"/>
    <n v="618.62"/>
    <n v="2695.6192000000015"/>
    <s v="New"/>
    <n v="0.22"/>
    <s v="Bank Transfer"/>
    <s v="Retail"/>
    <x v="6"/>
  </r>
  <r>
    <n v="1010"/>
    <x v="132"/>
    <d v="2022-05-09T00:00:00"/>
    <x v="0"/>
    <s v="May"/>
    <x v="3"/>
    <x v="2"/>
    <n v="37359.567500851132"/>
    <n v="15"/>
    <x v="2"/>
    <n v="2037.19"/>
    <n v="2498.4899999999998"/>
    <n v="6919.4999999999964"/>
    <s v="Returning"/>
    <n v="0"/>
    <s v="Bank Transfer"/>
    <s v="Online"/>
    <x v="9"/>
  </r>
  <r>
    <n v="1077"/>
    <x v="35"/>
    <d v="2022-05-09T00:00:00"/>
    <x v="0"/>
    <s v="May"/>
    <x v="2"/>
    <x v="0"/>
    <n v="35558.710600000006"/>
    <n v="14"/>
    <x v="0"/>
    <n v="393.78"/>
    <n v="3060.13"/>
    <n v="30045.790600000008"/>
    <s v="New"/>
    <n v="0.17"/>
    <s v="Credit Card"/>
    <s v="Online"/>
    <x v="18"/>
  </r>
  <r>
    <n v="1058"/>
    <x v="222"/>
    <d v="2022-05-09T00:00:00"/>
    <x v="0"/>
    <s v="May"/>
    <x v="3"/>
    <x v="0"/>
    <n v="58116.930299999993"/>
    <n v="13"/>
    <x v="3"/>
    <n v="1204.77"/>
    <n v="4515.6899999999996"/>
    <n v="42454.920299999998"/>
    <s v="Returning"/>
    <n v="0.01"/>
    <s v="Bank Transfer"/>
    <s v="Online"/>
    <x v="11"/>
  </r>
  <r>
    <n v="1017"/>
    <x v="167"/>
    <d v="2022-05-09T00:00:00"/>
    <x v="0"/>
    <s v="May"/>
    <x v="0"/>
    <x v="0"/>
    <n v="135256.03519999998"/>
    <n v="44"/>
    <x v="1"/>
    <n v="339.69"/>
    <n v="4210.96"/>
    <n v="120309.67519999998"/>
    <s v="Returning"/>
    <n v="0.27"/>
    <s v="Credit Card"/>
    <s v="Online"/>
    <x v="0"/>
  </r>
  <r>
    <n v="1050"/>
    <x v="254"/>
    <d v="2022-05-10T00:00:00"/>
    <x v="0"/>
    <s v="May"/>
    <x v="2"/>
    <x v="2"/>
    <n v="11119.401"/>
    <n v="3"/>
    <x v="3"/>
    <n v="2745.38"/>
    <n v="3943.05"/>
    <n v="2883.261"/>
    <s v="New"/>
    <n v="0.06"/>
    <s v="Bank Transfer"/>
    <s v="Retail"/>
    <x v="14"/>
  </r>
  <r>
    <n v="1040"/>
    <x v="169"/>
    <d v="2022-05-10T00:00:00"/>
    <x v="0"/>
    <s v="May"/>
    <x v="3"/>
    <x v="0"/>
    <n v="29307.652000000002"/>
    <n v="19"/>
    <x v="0"/>
    <n v="864.19"/>
    <n v="1752.85"/>
    <n v="12888.041999999999"/>
    <s v="Returning"/>
    <n v="0.12"/>
    <s v="Bank Transfer"/>
    <s v="Online"/>
    <x v="11"/>
  </r>
  <r>
    <n v="1053"/>
    <x v="4"/>
    <d v="2022-05-10T00:00:00"/>
    <x v="0"/>
    <s v="May"/>
    <x v="4"/>
    <x v="1"/>
    <n v="84619.692999999999"/>
    <n v="47"/>
    <x v="2"/>
    <n v="873.96"/>
    <n v="2118.14"/>
    <n v="43543.572999999989"/>
    <s v="New"/>
    <n v="0.15"/>
    <s v="Bank Transfer"/>
    <s v="Retail"/>
    <x v="6"/>
  </r>
  <r>
    <n v="1032"/>
    <x v="148"/>
    <d v="2022-05-10T00:00:00"/>
    <x v="0"/>
    <s v="May"/>
    <x v="1"/>
    <x v="1"/>
    <n v="111287.75249999999"/>
    <n v="25"/>
    <x v="0"/>
    <n v="847.47"/>
    <n v="4786.57"/>
    <n v="90101.002499999988"/>
    <s v="New"/>
    <n v="7.0000000000000007E-2"/>
    <s v="Credit Card"/>
    <s v="Retail"/>
    <x v="1"/>
  </r>
  <r>
    <n v="1088"/>
    <x v="25"/>
    <d v="2022-05-11T00:00:00"/>
    <x v="0"/>
    <s v="May"/>
    <x v="2"/>
    <x v="1"/>
    <n v="40072.30818494648"/>
    <n v="14"/>
    <x v="1"/>
    <n v="2164.31"/>
    <n v="2888.78"/>
    <n v="9738.1508000000031"/>
    <s v="Returning"/>
    <n v="0.01"/>
    <s v="Bank Transfer"/>
    <s v="Online"/>
    <x v="8"/>
  </r>
  <r>
    <n v="1038"/>
    <x v="255"/>
    <d v="2022-05-11T00:00:00"/>
    <x v="0"/>
    <s v="May"/>
    <x v="4"/>
    <x v="2"/>
    <n v="42130.303599999999"/>
    <n v="19"/>
    <x v="2"/>
    <n v="1405.78"/>
    <n v="2879.72"/>
    <n v="15420.4836"/>
    <s v="New"/>
    <n v="0.23"/>
    <s v="Credit Card"/>
    <s v="Online"/>
    <x v="17"/>
  </r>
  <r>
    <n v="1053"/>
    <x v="233"/>
    <d v="2022-05-11T00:00:00"/>
    <x v="0"/>
    <s v="May"/>
    <x v="0"/>
    <x v="2"/>
    <n v="130793.9232"/>
    <n v="32"/>
    <x v="1"/>
    <n v="797.27"/>
    <n v="4924.47"/>
    <n v="105281.28320000001"/>
    <s v="New"/>
    <n v="0.17"/>
    <s v="Bank Transfer"/>
    <s v="Retail"/>
    <x v="2"/>
  </r>
  <r>
    <n v="1021"/>
    <x v="176"/>
    <d v="2022-05-12T00:00:00"/>
    <x v="0"/>
    <s v="May"/>
    <x v="2"/>
    <x v="1"/>
    <n v="9967.8599999999988"/>
    <n v="5"/>
    <x v="1"/>
    <n v="1797.68"/>
    <n v="2215.08"/>
    <n v="979.45999999999913"/>
    <s v="New"/>
    <n v="0.1"/>
    <s v="Bank Transfer"/>
    <s v="Retail"/>
    <x v="8"/>
  </r>
  <r>
    <n v="1034"/>
    <x v="256"/>
    <d v="2022-05-12T00:00:00"/>
    <x v="0"/>
    <s v="May"/>
    <x v="3"/>
    <x v="3"/>
    <n v="61194.895300000004"/>
    <n v="43"/>
    <x v="2"/>
    <n v="1385.76"/>
    <n v="1848.23"/>
    <n v="1607.2153000000067"/>
    <s v="New"/>
    <n v="0.23"/>
    <s v="Cash"/>
    <s v="Online"/>
    <x v="4"/>
  </r>
  <r>
    <n v="1086"/>
    <x v="87"/>
    <d v="2022-05-12T00:00:00"/>
    <x v="0"/>
    <s v="May"/>
    <x v="3"/>
    <x v="3"/>
    <n v="79157.088000000003"/>
    <n v="27"/>
    <x v="0"/>
    <n v="1504.67"/>
    <n v="3664.68"/>
    <n v="38530.998"/>
    <s v="New"/>
    <n v="0.2"/>
    <s v="Bank Transfer"/>
    <s v="Online"/>
    <x v="4"/>
  </r>
  <r>
    <n v="1098"/>
    <x v="106"/>
    <d v="2022-05-12T00:00:00"/>
    <x v="0"/>
    <s v="May"/>
    <x v="0"/>
    <x v="0"/>
    <n v="65751.703999999998"/>
    <n v="16"/>
    <x v="2"/>
    <n v="1606.32"/>
    <n v="4325.7700000000004"/>
    <n v="40050.584000000003"/>
    <s v="Returning"/>
    <n v="0.05"/>
    <s v="Cash"/>
    <s v="Retail"/>
    <x v="0"/>
  </r>
  <r>
    <n v="1091"/>
    <x v="36"/>
    <d v="2022-05-13T00:00:00"/>
    <x v="0"/>
    <s v="May"/>
    <x v="4"/>
    <x v="2"/>
    <n v="4387.8116"/>
    <n v="1"/>
    <x v="2"/>
    <n v="2406.9"/>
    <n v="5286.52"/>
    <n v="1980.9115999999999"/>
    <s v="Returning"/>
    <n v="0.17"/>
    <s v="Credit Card"/>
    <s v="Retail"/>
    <x v="17"/>
  </r>
  <r>
    <n v="1018"/>
    <x v="219"/>
    <d v="2022-05-13T00:00:00"/>
    <x v="0"/>
    <s v="May"/>
    <x v="4"/>
    <x v="0"/>
    <n v="86321.088000000003"/>
    <n v="21"/>
    <x v="1"/>
    <n v="1487.94"/>
    <n v="5138.16"/>
    <n v="55074.348000000005"/>
    <s v="New"/>
    <n v="0.2"/>
    <s v="Credit Card"/>
    <s v="Online"/>
    <x v="13"/>
  </r>
  <r>
    <n v="1059"/>
    <x v="141"/>
    <d v="2022-05-14T00:00:00"/>
    <x v="0"/>
    <s v="May"/>
    <x v="1"/>
    <x v="3"/>
    <n v="28781.834226869345"/>
    <n v="7"/>
    <x v="2"/>
    <n v="3398.46"/>
    <n v="4201.66"/>
    <n v="5034.1675999999998"/>
    <s v="Returning"/>
    <n v="0.02"/>
    <s v="Cash"/>
    <s v="Retail"/>
    <x v="7"/>
  </r>
  <r>
    <n v="1090"/>
    <x v="159"/>
    <d v="2022-05-14T00:00:00"/>
    <x v="0"/>
    <s v="May"/>
    <x v="2"/>
    <x v="1"/>
    <n v="35247.167999999998"/>
    <n v="30"/>
    <x v="2"/>
    <n v="453.2"/>
    <n v="1223.8599999999999"/>
    <n v="21651.167999999994"/>
    <s v="New"/>
    <n v="0.04"/>
    <s v="Credit Card"/>
    <s v="Retail"/>
    <x v="8"/>
  </r>
  <r>
    <n v="1072"/>
    <x v="257"/>
    <d v="2022-05-14T00:00:00"/>
    <x v="0"/>
    <s v="May"/>
    <x v="0"/>
    <x v="3"/>
    <n v="116649.86525204728"/>
    <n v="22"/>
    <x v="2"/>
    <n v="4181.05"/>
    <n v="5436.29"/>
    <n v="25223.312399999992"/>
    <s v="New"/>
    <n v="0.02"/>
    <s v="Cash"/>
    <s v="Retail"/>
    <x v="5"/>
  </r>
  <r>
    <n v="1012"/>
    <x v="133"/>
    <d v="2022-05-14T00:00:00"/>
    <x v="0"/>
    <s v="May"/>
    <x v="0"/>
    <x v="2"/>
    <n v="149933.389"/>
    <n v="43"/>
    <x v="0"/>
    <n v="1210.8900000000001"/>
    <n v="3670.34"/>
    <n v="97865.119000000006"/>
    <s v="New"/>
    <n v="0.05"/>
    <s v="Credit Card"/>
    <s v="Online"/>
    <x v="2"/>
  </r>
  <r>
    <n v="1087"/>
    <x v="258"/>
    <d v="2022-05-15T00:00:00"/>
    <x v="0"/>
    <s v="May"/>
    <x v="4"/>
    <x v="0"/>
    <n v="11721.4174"/>
    <n v="7"/>
    <x v="3"/>
    <n v="1645.93"/>
    <n v="2174.66"/>
    <n v="199.9073999999996"/>
    <s v="New"/>
    <n v="0.23"/>
    <s v="Cash"/>
    <s v="Retail"/>
    <x v="13"/>
  </r>
  <r>
    <n v="1010"/>
    <x v="29"/>
    <d v="2022-05-15T00:00:00"/>
    <x v="0"/>
    <s v="May"/>
    <x v="1"/>
    <x v="3"/>
    <n v="47930.729399999997"/>
    <n v="18"/>
    <x v="0"/>
    <n v="2167.79"/>
    <n v="3287.43"/>
    <n v="8910.509399999999"/>
    <s v="Returning"/>
    <n v="0.19"/>
    <s v="Cash"/>
    <s v="Online"/>
    <x v="7"/>
  </r>
  <r>
    <n v="1030"/>
    <x v="195"/>
    <d v="2022-05-15T00:00:00"/>
    <x v="0"/>
    <s v="May"/>
    <x v="1"/>
    <x v="2"/>
    <n v="94677.890000000014"/>
    <n v="23"/>
    <x v="3"/>
    <n v="2667.63"/>
    <n v="4116.43"/>
    <n v="33322.400000000001"/>
    <s v="New"/>
    <n v="0"/>
    <s v="Cash"/>
    <s v="Online"/>
    <x v="15"/>
  </r>
  <r>
    <n v="1016"/>
    <x v="259"/>
    <d v="2022-05-16T00:00:00"/>
    <x v="0"/>
    <s v="May"/>
    <x v="2"/>
    <x v="0"/>
    <n v="200887.03809537587"/>
    <n v="41"/>
    <x v="0"/>
    <n v="4802.33"/>
    <n v="4968.09"/>
    <n v="4759.243099999997"/>
    <s v="New"/>
    <n v="0.01"/>
    <s v="Credit Card"/>
    <s v="Online"/>
    <x v="18"/>
  </r>
  <r>
    <n v="1024"/>
    <x v="59"/>
    <d v="2022-05-16T00:00:00"/>
    <x v="0"/>
    <s v="May"/>
    <x v="2"/>
    <x v="2"/>
    <n v="142568.32680000001"/>
    <n v="36"/>
    <x v="1"/>
    <n v="3801.84"/>
    <n v="4551.99"/>
    <n v="5702.0867999999919"/>
    <s v="Returning"/>
    <n v="0.13"/>
    <s v="Cash"/>
    <s v="Retail"/>
    <x v="14"/>
  </r>
  <r>
    <n v="1067"/>
    <x v="119"/>
    <d v="2022-05-16T00:00:00"/>
    <x v="0"/>
    <s v="May"/>
    <x v="0"/>
    <x v="3"/>
    <n v="18660.498500000002"/>
    <n v="7"/>
    <x v="2"/>
    <n v="402.1"/>
    <n v="2806.09"/>
    <n v="15845.798500000001"/>
    <s v="New"/>
    <n v="0.05"/>
    <s v="Bank Transfer"/>
    <s v="Online"/>
    <x v="5"/>
  </r>
  <r>
    <n v="1002"/>
    <x v="53"/>
    <d v="2022-05-16T00:00:00"/>
    <x v="0"/>
    <s v="May"/>
    <x v="1"/>
    <x v="2"/>
    <n v="107479.28880000001"/>
    <n v="39"/>
    <x v="0"/>
    <n v="1757.46"/>
    <n v="3402.32"/>
    <n v="38938.348800000007"/>
    <s v="Returning"/>
    <n v="0.19"/>
    <s v="Credit Card"/>
    <s v="Retail"/>
    <x v="15"/>
  </r>
  <r>
    <n v="1027"/>
    <x v="182"/>
    <d v="2022-05-16T00:00:00"/>
    <x v="0"/>
    <s v="May"/>
    <x v="1"/>
    <x v="3"/>
    <n v="183845.97"/>
    <n v="42"/>
    <x v="2"/>
    <n v="2394.4"/>
    <n v="4863.6499999999996"/>
    <n v="83281.169999999984"/>
    <s v="Returning"/>
    <n v="0.1"/>
    <s v="Bank Transfer"/>
    <s v="Retail"/>
    <x v="7"/>
  </r>
  <r>
    <n v="1019"/>
    <x v="32"/>
    <d v="2022-05-17T00:00:00"/>
    <x v="0"/>
    <s v="May"/>
    <x v="3"/>
    <x v="3"/>
    <n v="18092.88"/>
    <n v="10"/>
    <x v="3"/>
    <n v="1417.52"/>
    <n v="2261.61"/>
    <n v="3917.6800000000026"/>
    <s v="Returning"/>
    <n v="0.2"/>
    <s v="Cash"/>
    <s v="Retail"/>
    <x v="4"/>
  </r>
  <r>
    <n v="1070"/>
    <x v="62"/>
    <d v="2022-05-18T00:00:00"/>
    <x v="0"/>
    <s v="May"/>
    <x v="0"/>
    <x v="1"/>
    <n v="58931.989582564929"/>
    <n v="34"/>
    <x v="0"/>
    <n v="1680.72"/>
    <n v="1753.51"/>
    <n v="1878.6665999999968"/>
    <s v="Returning"/>
    <n v="0.01"/>
    <s v="Credit Card"/>
    <s v="Retail"/>
    <x v="19"/>
  </r>
  <r>
    <n v="1004"/>
    <x v="260"/>
    <d v="2022-05-18T00:00:00"/>
    <x v="0"/>
    <s v="May"/>
    <x v="3"/>
    <x v="1"/>
    <n v="9068.5727999999999"/>
    <n v="24"/>
    <x v="1"/>
    <n v="134.96"/>
    <n v="449.83"/>
    <n v="5829.532799999999"/>
    <s v="New"/>
    <n v="0.16"/>
    <s v="Cash"/>
    <s v="Retail"/>
    <x v="16"/>
  </r>
  <r>
    <n v="1025"/>
    <x v="155"/>
    <d v="2022-05-18T00:00:00"/>
    <x v="0"/>
    <s v="May"/>
    <x v="0"/>
    <x v="3"/>
    <n v="78320.1636"/>
    <n v="42"/>
    <x v="1"/>
    <n v="1648.08"/>
    <n v="2302.1799999999998"/>
    <n v="9100.8035999999993"/>
    <s v="New"/>
    <n v="0.19"/>
    <s v="Bank Transfer"/>
    <s v="Online"/>
    <x v="5"/>
  </r>
  <r>
    <n v="1046"/>
    <x v="261"/>
    <d v="2022-05-18T00:00:00"/>
    <x v="0"/>
    <s v="May"/>
    <x v="1"/>
    <x v="1"/>
    <n v="56347.424100000004"/>
    <n v="19"/>
    <x v="2"/>
    <n v="757.59"/>
    <n v="2995.61"/>
    <n v="41953.214100000005"/>
    <s v="New"/>
    <n v="0.01"/>
    <s v="Credit Card"/>
    <s v="Online"/>
    <x v="1"/>
  </r>
  <r>
    <n v="1034"/>
    <x v="139"/>
    <d v="2022-05-21T00:00:00"/>
    <x v="0"/>
    <s v="May"/>
    <x v="2"/>
    <x v="3"/>
    <n v="147139.68458747151"/>
    <n v="32"/>
    <x v="3"/>
    <n v="4246.1000000000004"/>
    <n v="4775"/>
    <n v="10812.799999999988"/>
    <s v="New"/>
    <n v="0.04"/>
    <s v="Cash"/>
    <s v="Online"/>
    <x v="3"/>
  </r>
  <r>
    <n v="1002"/>
    <x v="262"/>
    <d v="2022-05-21T00:00:00"/>
    <x v="0"/>
    <s v="May"/>
    <x v="0"/>
    <x v="2"/>
    <n v="225658.25899256731"/>
    <n v="49"/>
    <x v="1"/>
    <n v="3820.22"/>
    <n v="4655.21"/>
    <n v="38633.457100000014"/>
    <s v="Returning"/>
    <n v="0.01"/>
    <s v="Cash"/>
    <s v="Online"/>
    <x v="2"/>
  </r>
  <r>
    <n v="1084"/>
    <x v="61"/>
    <d v="2022-05-22T00:00:00"/>
    <x v="0"/>
    <s v="May"/>
    <x v="3"/>
    <x v="3"/>
    <n v="118748.69030455669"/>
    <n v="43"/>
    <x v="3"/>
    <n v="2627.47"/>
    <n v="2799.87"/>
    <n v="6209.2559000000001"/>
    <s v="New"/>
    <n v="0.01"/>
    <s v="Bank Transfer"/>
    <s v="Online"/>
    <x v="4"/>
  </r>
  <r>
    <n v="1064"/>
    <x v="126"/>
    <d v="2022-05-22T00:00:00"/>
    <x v="0"/>
    <s v="May"/>
    <x v="3"/>
    <x v="1"/>
    <n v="77725.079999999987"/>
    <n v="40"/>
    <x v="1"/>
    <n v="1765.15"/>
    <n v="2259.4499999999998"/>
    <n v="7119.0799999999854"/>
    <s v="Returning"/>
    <n v="0.14000000000000001"/>
    <s v="Cash"/>
    <s v="Retail"/>
    <x v="16"/>
  </r>
  <r>
    <n v="1046"/>
    <x v="263"/>
    <d v="2022-05-22T00:00:00"/>
    <x v="0"/>
    <s v="May"/>
    <x v="4"/>
    <x v="2"/>
    <n v="43901.512200000005"/>
    <n v="23"/>
    <x v="0"/>
    <n v="1552.03"/>
    <n v="2447.13"/>
    <n v="8204.8222000000023"/>
    <s v="New"/>
    <n v="0.22"/>
    <s v="Credit Card"/>
    <s v="Online"/>
    <x v="17"/>
  </r>
  <r>
    <n v="1073"/>
    <x v="264"/>
    <d v="2022-05-22T00:00:00"/>
    <x v="0"/>
    <s v="May"/>
    <x v="4"/>
    <x v="3"/>
    <n v="55313.279999999999"/>
    <n v="24"/>
    <x v="1"/>
    <n v="1626.82"/>
    <n v="2304.7199999999998"/>
    <n v="16269.599999999997"/>
    <s v="Returning"/>
    <n v="0"/>
    <s v="Credit Card"/>
    <s v="Online"/>
    <x v="12"/>
  </r>
  <r>
    <n v="1053"/>
    <x v="265"/>
    <d v="2022-05-22T00:00:00"/>
    <x v="0"/>
    <s v="May"/>
    <x v="0"/>
    <x v="2"/>
    <n v="115226.43527899131"/>
    <n v="25"/>
    <x v="0"/>
    <n v="3955.67"/>
    <n v="4649.12"/>
    <n v="16173.969999999987"/>
    <s v="New"/>
    <n v="0.01"/>
    <s v="Cash"/>
    <s v="Retail"/>
    <x v="2"/>
  </r>
  <r>
    <n v="1005"/>
    <x v="43"/>
    <d v="2022-05-22T00:00:00"/>
    <x v="0"/>
    <s v="May"/>
    <x v="3"/>
    <x v="2"/>
    <n v="206202.47039999996"/>
    <n v="46"/>
    <x v="3"/>
    <n v="1106.73"/>
    <n v="4669.4399999999996"/>
    <n v="155292.89039999997"/>
    <s v="New"/>
    <n v="0.04"/>
    <s v="Bank Transfer"/>
    <s v="Retail"/>
    <x v="9"/>
  </r>
  <r>
    <n v="1045"/>
    <x v="266"/>
    <d v="2022-05-23T00:00:00"/>
    <x v="0"/>
    <s v="May"/>
    <x v="3"/>
    <x v="0"/>
    <n v="3689.6165142013397"/>
    <n v="1"/>
    <x v="2"/>
    <n v="3431.77"/>
    <n v="3881.45"/>
    <n v="255.60749999999962"/>
    <s v="New"/>
    <n v="0.05"/>
    <s v="Cash"/>
    <s v="Retail"/>
    <x v="11"/>
  </r>
  <r>
    <n v="1037"/>
    <x v="93"/>
    <d v="2022-05-23T00:00:00"/>
    <x v="0"/>
    <s v="May"/>
    <x v="1"/>
    <x v="1"/>
    <n v="117301.92"/>
    <n v="24"/>
    <x v="0"/>
    <n v="4509.26"/>
    <n v="4887.58"/>
    <n v="9079.679999999993"/>
    <s v="Returning"/>
    <n v="0"/>
    <s v="Cash"/>
    <s v="Retail"/>
    <x v="1"/>
  </r>
  <r>
    <n v="1031"/>
    <x v="224"/>
    <d v="2022-05-23T00:00:00"/>
    <x v="0"/>
    <s v="May"/>
    <x v="1"/>
    <x v="2"/>
    <n v="151816.87418474987"/>
    <n v="31"/>
    <x v="2"/>
    <n v="4314.54"/>
    <n v="5015.1499999999996"/>
    <n v="18609.516999999993"/>
    <s v="New"/>
    <n v="0.02"/>
    <s v="Cash"/>
    <s v="Online"/>
    <x v="15"/>
  </r>
  <r>
    <n v="1067"/>
    <x v="267"/>
    <d v="2022-05-24T00:00:00"/>
    <x v="0"/>
    <s v="May"/>
    <x v="4"/>
    <x v="1"/>
    <n v="52960.153314702773"/>
    <n v="26"/>
    <x v="0"/>
    <n v="1991.89"/>
    <n v="2095.56"/>
    <n v="1060.8831999999957"/>
    <s v="New"/>
    <n v="0.03"/>
    <s v="Credit Card"/>
    <s v="Retail"/>
    <x v="6"/>
  </r>
  <r>
    <n v="1062"/>
    <x v="84"/>
    <d v="2022-05-24T00:00:00"/>
    <x v="0"/>
    <s v="May"/>
    <x v="0"/>
    <x v="0"/>
    <n v="4039.0655999999994"/>
    <n v="1"/>
    <x v="1"/>
    <n v="1322.25"/>
    <n v="4207.3599999999997"/>
    <n v="2716.8155999999994"/>
    <s v="Returning"/>
    <n v="0.04"/>
    <s v="Credit Card"/>
    <s v="Retail"/>
    <x v="0"/>
  </r>
  <r>
    <n v="1018"/>
    <x v="219"/>
    <d v="2022-05-24T00:00:00"/>
    <x v="0"/>
    <s v="May"/>
    <x v="2"/>
    <x v="3"/>
    <n v="38150.595044486123"/>
    <n v="29"/>
    <x v="1"/>
    <n v="1057.47"/>
    <n v="1369.81"/>
    <n v="7468.8803999999964"/>
    <s v="Returning"/>
    <n v="0.04"/>
    <s v="Cash"/>
    <s v="Online"/>
    <x v="3"/>
  </r>
  <r>
    <n v="1045"/>
    <x v="266"/>
    <d v="2022-05-24T00:00:00"/>
    <x v="0"/>
    <s v="May"/>
    <x v="4"/>
    <x v="3"/>
    <n v="124438.39499999999"/>
    <n v="46"/>
    <x v="2"/>
    <n v="1809.79"/>
    <n v="3606.91"/>
    <n v="41188.054999999993"/>
    <s v="Returning"/>
    <n v="0.25"/>
    <s v="Credit Card"/>
    <s v="Retail"/>
    <x v="12"/>
  </r>
  <r>
    <n v="1078"/>
    <x v="268"/>
    <d v="2022-05-24T00:00:00"/>
    <x v="0"/>
    <s v="May"/>
    <x v="1"/>
    <x v="0"/>
    <n v="108627.5619"/>
    <n v="33"/>
    <x v="3"/>
    <n v="933.13"/>
    <n v="3539.51"/>
    <n v="77834.271899999992"/>
    <s v="New"/>
    <n v="7.0000000000000007E-2"/>
    <s v="Credit Card"/>
    <s v="Online"/>
    <x v="10"/>
  </r>
  <r>
    <n v="1066"/>
    <x v="160"/>
    <d v="2022-05-24T00:00:00"/>
    <x v="0"/>
    <s v="May"/>
    <x v="2"/>
    <x v="3"/>
    <n v="121662.31999999999"/>
    <n v="47"/>
    <x v="1"/>
    <n v="118.97"/>
    <n v="2724.8"/>
    <n v="116070.73000000001"/>
    <s v="New"/>
    <n v="0.05"/>
    <s v="Cash"/>
    <s v="Online"/>
    <x v="3"/>
  </r>
  <r>
    <n v="1041"/>
    <x v="143"/>
    <d v="2022-05-24T00:00:00"/>
    <x v="0"/>
    <s v="May"/>
    <x v="1"/>
    <x v="3"/>
    <n v="140178.72750000001"/>
    <n v="35"/>
    <x v="0"/>
    <n v="601.84"/>
    <n v="4711.8900000000003"/>
    <n v="119114.3275"/>
    <s v="New"/>
    <n v="0.15"/>
    <s v="Credit Card"/>
    <s v="Retail"/>
    <x v="7"/>
  </r>
  <r>
    <n v="1064"/>
    <x v="247"/>
    <d v="2022-05-24T00:00:00"/>
    <x v="0"/>
    <s v="May"/>
    <x v="4"/>
    <x v="2"/>
    <n v="194626.49679999999"/>
    <n v="46"/>
    <x v="0"/>
    <n v="1536.95"/>
    <n v="4919.78"/>
    <n v="123926.79680000001"/>
    <s v="New"/>
    <n v="0.14000000000000001"/>
    <s v="Credit Card"/>
    <s v="Retail"/>
    <x v="17"/>
  </r>
  <r>
    <n v="1027"/>
    <x v="269"/>
    <d v="2022-05-25T00:00:00"/>
    <x v="0"/>
    <s v="May"/>
    <x v="1"/>
    <x v="1"/>
    <n v="20655.509000000002"/>
    <n v="7"/>
    <x v="1"/>
    <n v="873.46"/>
    <n v="3987.55"/>
    <n v="14541.289000000001"/>
    <s v="Returning"/>
    <n v="0.26"/>
    <s v="Bank Transfer"/>
    <s v="Retail"/>
    <x v="1"/>
  </r>
  <r>
    <n v="1031"/>
    <x v="135"/>
    <d v="2022-05-25T00:00:00"/>
    <x v="0"/>
    <s v="May"/>
    <x v="0"/>
    <x v="1"/>
    <n v="175418.535"/>
    <n v="50"/>
    <x v="3"/>
    <n v="3172.37"/>
    <n v="4032.61"/>
    <n v="16800.035000000003"/>
    <s v="New"/>
    <n v="0.13"/>
    <s v="Credit Card"/>
    <s v="Retail"/>
    <x v="19"/>
  </r>
  <r>
    <n v="1018"/>
    <x v="219"/>
    <d v="2022-05-25T00:00:00"/>
    <x v="0"/>
    <s v="May"/>
    <x v="1"/>
    <x v="1"/>
    <n v="41236.187999999995"/>
    <n v="10"/>
    <x v="1"/>
    <n v="2399.5300000000002"/>
    <n v="4909.07"/>
    <n v="17240.887999999992"/>
    <s v="New"/>
    <n v="0.16"/>
    <s v="Bank Transfer"/>
    <s v="Retail"/>
    <x v="1"/>
  </r>
  <r>
    <n v="1005"/>
    <x v="218"/>
    <d v="2022-05-25T00:00:00"/>
    <x v="0"/>
    <s v="May"/>
    <x v="4"/>
    <x v="1"/>
    <n v="68740.723199999993"/>
    <n v="19"/>
    <x v="1"/>
    <n v="1310.3399999999999"/>
    <n v="3768.68"/>
    <n v="43844.263199999987"/>
    <s v="New"/>
    <n v="0.04"/>
    <s v="Credit Card"/>
    <s v="Online"/>
    <x v="6"/>
  </r>
  <r>
    <n v="1016"/>
    <x v="270"/>
    <d v="2022-05-25T00:00:00"/>
    <x v="0"/>
    <s v="May"/>
    <x v="1"/>
    <x v="2"/>
    <n v="74091.02399999999"/>
    <n v="21"/>
    <x v="1"/>
    <n v="330.68"/>
    <n v="4900.2"/>
    <n v="67146.744000000006"/>
    <s v="New"/>
    <n v="0.28000000000000003"/>
    <s v="Credit Card"/>
    <s v="Online"/>
    <x v="15"/>
  </r>
  <r>
    <n v="1066"/>
    <x v="160"/>
    <d v="2022-05-26T00:00:00"/>
    <x v="0"/>
    <s v="May"/>
    <x v="4"/>
    <x v="1"/>
    <n v="21144.704000000002"/>
    <n v="8"/>
    <x v="1"/>
    <n v="2492.41"/>
    <n v="3303.86"/>
    <n v="1205.4240000000027"/>
    <s v="New"/>
    <n v="0.2"/>
    <s v="Bank Transfer"/>
    <s v="Online"/>
    <x v="6"/>
  </r>
  <r>
    <n v="1083"/>
    <x v="131"/>
    <d v="2022-05-26T00:00:00"/>
    <x v="0"/>
    <s v="May"/>
    <x v="4"/>
    <x v="2"/>
    <n v="80879.907379431024"/>
    <n v="28"/>
    <x v="0"/>
    <n v="2583.2600000000002"/>
    <n v="2902.47"/>
    <n v="8937.8799999999883"/>
    <s v="New"/>
    <n v="0"/>
    <s v="Cash"/>
    <s v="Online"/>
    <x v="17"/>
  </r>
  <r>
    <n v="1052"/>
    <x v="86"/>
    <d v="2022-05-28T00:00:00"/>
    <x v="0"/>
    <s v="May"/>
    <x v="1"/>
    <x v="1"/>
    <n v="24167.127794886736"/>
    <n v="5"/>
    <x v="2"/>
    <n v="4824.09"/>
    <n v="4845.41"/>
    <n v="106.59999999999854"/>
    <s v="New"/>
    <n v="0"/>
    <s v="Bank Transfer"/>
    <s v="Retail"/>
    <x v="1"/>
  </r>
  <r>
    <n v="1079"/>
    <x v="271"/>
    <d v="2022-05-28T00:00:00"/>
    <x v="0"/>
    <s v="May"/>
    <x v="1"/>
    <x v="0"/>
    <n v="59460.76569557195"/>
    <n v="18"/>
    <x v="1"/>
    <n v="3291.86"/>
    <n v="3324.13"/>
    <n v="-17.483400000002803"/>
    <s v="Returning"/>
    <n v="0.01"/>
    <s v="Credit Card"/>
    <s v="Retail"/>
    <x v="10"/>
  </r>
  <r>
    <n v="1036"/>
    <x v="242"/>
    <d v="2022-05-28T00:00:00"/>
    <x v="0"/>
    <s v="May"/>
    <x v="4"/>
    <x v="3"/>
    <n v="3269.1887999999999"/>
    <n v="2"/>
    <x v="1"/>
    <n v="338.01"/>
    <n v="2270.27"/>
    <n v="2593.1687999999999"/>
    <s v="New"/>
    <n v="0.28000000000000003"/>
    <s v="Credit Card"/>
    <s v="Online"/>
    <x v="12"/>
  </r>
  <r>
    <n v="1007"/>
    <x v="12"/>
    <d v="2022-05-28T00:00:00"/>
    <x v="0"/>
    <s v="May"/>
    <x v="2"/>
    <x v="1"/>
    <n v="81735.149999999994"/>
    <n v="34"/>
    <x v="2"/>
    <n v="1543.39"/>
    <n v="2530.5"/>
    <n v="29259.889999999992"/>
    <s v="Returning"/>
    <n v="0.05"/>
    <s v="Cash"/>
    <s v="Retail"/>
    <x v="8"/>
  </r>
  <r>
    <n v="1037"/>
    <x v="93"/>
    <d v="2022-05-29T00:00:00"/>
    <x v="0"/>
    <s v="May"/>
    <x v="3"/>
    <x v="2"/>
    <n v="88011.226302064737"/>
    <n v="36"/>
    <x v="0"/>
    <n v="2346.16"/>
    <n v="2486.9699999999998"/>
    <n v="3278.5416000000005"/>
    <s v="New"/>
    <n v="0.02"/>
    <s v="Cash"/>
    <s v="Online"/>
    <x v="9"/>
  </r>
  <r>
    <n v="1021"/>
    <x v="110"/>
    <d v="2022-05-29T00:00:00"/>
    <x v="0"/>
    <s v="May"/>
    <x v="1"/>
    <x v="2"/>
    <n v="78554.592000000004"/>
    <n v="30"/>
    <x v="0"/>
    <n v="1074.6500000000001"/>
    <n v="2727.59"/>
    <n v="46315.092000000004"/>
    <s v="New"/>
    <n v="0.04"/>
    <s v="Credit Card"/>
    <s v="Retail"/>
    <x v="15"/>
  </r>
  <r>
    <n v="1045"/>
    <x v="272"/>
    <d v="2022-05-29T00:00:00"/>
    <x v="0"/>
    <s v="May"/>
    <x v="2"/>
    <x v="0"/>
    <n v="159345.19620000001"/>
    <n v="41"/>
    <x v="0"/>
    <n v="1951.39"/>
    <n v="4919.58"/>
    <n v="79338.206200000001"/>
    <s v="Returning"/>
    <n v="0.21"/>
    <s v="Credit Card"/>
    <s v="Retail"/>
    <x v="18"/>
  </r>
  <r>
    <n v="1071"/>
    <x v="238"/>
    <d v="2022-05-30T00:00:00"/>
    <x v="0"/>
    <s v="May"/>
    <x v="3"/>
    <x v="1"/>
    <n v="130900.5"/>
    <n v="45"/>
    <x v="3"/>
    <n v="2907.09"/>
    <n v="2908.9"/>
    <n v="81.449999999997544"/>
    <s v="Returning"/>
    <n v="0"/>
    <s v="Cash"/>
    <s v="Online"/>
    <x v="16"/>
  </r>
  <r>
    <n v="1040"/>
    <x v="45"/>
    <d v="2022-05-30T00:00:00"/>
    <x v="0"/>
    <s v="May"/>
    <x v="3"/>
    <x v="2"/>
    <n v="28941.958400000003"/>
    <n v="32"/>
    <x v="1"/>
    <n v="501.04"/>
    <n v="1051.67"/>
    <n v="12908.678400000003"/>
    <s v="New"/>
    <n v="0.14000000000000001"/>
    <s v="Credit Card"/>
    <s v="Retail"/>
    <x v="9"/>
  </r>
  <r>
    <n v="1081"/>
    <x v="250"/>
    <d v="2022-05-30T00:00:00"/>
    <x v="0"/>
    <s v="May"/>
    <x v="4"/>
    <x v="0"/>
    <n v="102574.9224"/>
    <n v="27"/>
    <x v="3"/>
    <n v="2767.24"/>
    <n v="5133.88"/>
    <n v="27859.442400000004"/>
    <s v="New"/>
    <n v="0.26"/>
    <s v="Cash"/>
    <s v="Retail"/>
    <x v="13"/>
  </r>
  <r>
    <n v="1043"/>
    <x v="273"/>
    <d v="2022-05-30T00:00:00"/>
    <x v="0"/>
    <s v="May"/>
    <x v="4"/>
    <x v="0"/>
    <n v="151661.07999999999"/>
    <n v="46"/>
    <x v="2"/>
    <n v="2328.21"/>
    <n v="3878.8"/>
    <n v="44563.42"/>
    <s v="New"/>
    <n v="0.15"/>
    <s v="Cash"/>
    <s v="Retail"/>
    <x v="13"/>
  </r>
  <r>
    <n v="1043"/>
    <x v="274"/>
    <d v="2022-05-30T00:00:00"/>
    <x v="0"/>
    <s v="May"/>
    <x v="4"/>
    <x v="2"/>
    <n v="115823.4"/>
    <n v="42"/>
    <x v="3"/>
    <n v="425.04"/>
    <n v="3133.75"/>
    <n v="97971.72"/>
    <s v="New"/>
    <n v="0.12"/>
    <s v="Cash"/>
    <s v="Online"/>
    <x v="17"/>
  </r>
  <r>
    <n v="1034"/>
    <x v="185"/>
    <d v="2022-05-31T00:00:00"/>
    <x v="0"/>
    <s v="May"/>
    <x v="2"/>
    <x v="0"/>
    <n v="11674.911899999999"/>
    <n v="3"/>
    <x v="1"/>
    <n v="2679.91"/>
    <n v="5331.01"/>
    <n v="3635.1819"/>
    <s v="Returning"/>
    <n v="0.27"/>
    <s v="Credit Card"/>
    <s v="Retail"/>
    <x v="18"/>
  </r>
  <r>
    <n v="1069"/>
    <x v="210"/>
    <d v="2022-05-31T00:00:00"/>
    <x v="0"/>
    <s v="May"/>
    <x v="0"/>
    <x v="0"/>
    <n v="97625.1"/>
    <n v="30"/>
    <x v="1"/>
    <n v="2886.08"/>
    <n v="3254.17"/>
    <n v="11042.700000000004"/>
    <s v="New"/>
    <n v="0"/>
    <s v="Credit Card"/>
    <s v="Retail"/>
    <x v="0"/>
  </r>
  <r>
    <n v="1083"/>
    <x v="131"/>
    <d v="2022-05-31T00:00:00"/>
    <x v="0"/>
    <s v="May"/>
    <x v="2"/>
    <x v="3"/>
    <n v="135231.13330790328"/>
    <n v="29"/>
    <x v="0"/>
    <n v="4188.1899999999996"/>
    <n v="4857.8500000000004"/>
    <n v="13785.034000000014"/>
    <s v="Returning"/>
    <n v="0.04"/>
    <s v="Credit Card"/>
    <s v="Online"/>
    <x v="3"/>
  </r>
  <r>
    <n v="1015"/>
    <x v="275"/>
    <d v="2022-05-31T00:00:00"/>
    <x v="0"/>
    <s v="May"/>
    <x v="1"/>
    <x v="3"/>
    <n v="19009.88"/>
    <n v="4"/>
    <x v="2"/>
    <n v="870.2"/>
    <n v="4752.47"/>
    <n v="15529.080000000002"/>
    <s v="New"/>
    <n v="0"/>
    <s v="Cash"/>
    <s v="Retail"/>
    <x v="7"/>
  </r>
  <r>
    <n v="1078"/>
    <x v="21"/>
    <d v="2022-05-31T00:00:00"/>
    <x v="0"/>
    <s v="May"/>
    <x v="1"/>
    <x v="2"/>
    <n v="79356.095399999991"/>
    <n v="38"/>
    <x v="2"/>
    <n v="1549.1"/>
    <n v="2860.71"/>
    <n v="20490.295399999999"/>
    <s v="New"/>
    <n v="0.27"/>
    <s v="Credit Card"/>
    <s v="Retail"/>
    <x v="15"/>
  </r>
  <r>
    <n v="1078"/>
    <x v="21"/>
    <d v="2022-05-31T00:00:00"/>
    <x v="0"/>
    <s v="May"/>
    <x v="0"/>
    <x v="3"/>
    <n v="57633.57"/>
    <n v="17"/>
    <x v="2"/>
    <n v="2057.7800000000002"/>
    <n v="3766.9"/>
    <n v="22651.309999999998"/>
    <s v="New"/>
    <n v="0.1"/>
    <s v="Bank Transfer"/>
    <s v="Retail"/>
    <x v="5"/>
  </r>
  <r>
    <n v="1009"/>
    <x v="276"/>
    <d v="2022-05-31T00:00:00"/>
    <x v="0"/>
    <s v="May"/>
    <x v="4"/>
    <x v="3"/>
    <n v="143399.40300000002"/>
    <n v="38"/>
    <x v="0"/>
    <n v="2618.7600000000002"/>
    <n v="4337.55"/>
    <n v="43886.523000000001"/>
    <s v="New"/>
    <n v="0.13"/>
    <s v="Cash"/>
    <s v="Retail"/>
    <x v="12"/>
  </r>
  <r>
    <n v="1039"/>
    <x v="277"/>
    <d v="2022-05-31T00:00:00"/>
    <x v="0"/>
    <s v="May"/>
    <x v="2"/>
    <x v="3"/>
    <n v="60685.055999999997"/>
    <n v="36"/>
    <x v="1"/>
    <n v="254.95"/>
    <n v="2107.12"/>
    <n v="51506.855999999992"/>
    <s v="New"/>
    <n v="0.2"/>
    <s v="Bank Transfer"/>
    <s v="Retail"/>
    <x v="3"/>
  </r>
  <r>
    <n v="1077"/>
    <x v="278"/>
    <d v="2022-06-01T00:00:00"/>
    <x v="0"/>
    <s v="Jun"/>
    <x v="0"/>
    <x v="1"/>
    <n v="103084.00199999998"/>
    <n v="27"/>
    <x v="1"/>
    <n v="3787.84"/>
    <n v="4545.1499999999996"/>
    <n v="812.32199999998193"/>
    <s v="Returning"/>
    <n v="0.16"/>
    <s v="Cash"/>
    <s v="Retail"/>
    <x v="19"/>
  </r>
  <r>
    <n v="1021"/>
    <x v="38"/>
    <d v="2022-06-01T00:00:00"/>
    <x v="0"/>
    <s v="Jun"/>
    <x v="1"/>
    <x v="0"/>
    <n v="15205.056"/>
    <n v="4"/>
    <x v="2"/>
    <n v="3169.5"/>
    <n v="4751.58"/>
    <n v="2527.0560000000005"/>
    <s v="Returning"/>
    <n v="0.2"/>
    <s v="Cash"/>
    <s v="Retail"/>
    <x v="10"/>
  </r>
  <r>
    <n v="1025"/>
    <x v="54"/>
    <d v="2022-06-01T00:00:00"/>
    <x v="0"/>
    <s v="Jun"/>
    <x v="1"/>
    <x v="0"/>
    <n v="6046.7174999999997"/>
    <n v="5"/>
    <x v="0"/>
    <n v="106.44"/>
    <n v="1390.05"/>
    <n v="5514.5174999999999"/>
    <s v="New"/>
    <n v="0.13"/>
    <s v="Credit Card"/>
    <s v="Online"/>
    <x v="10"/>
  </r>
  <r>
    <n v="1088"/>
    <x v="83"/>
    <d v="2022-06-01T00:00:00"/>
    <x v="0"/>
    <s v="Jun"/>
    <x v="4"/>
    <x v="0"/>
    <n v="43780.838399999993"/>
    <n v="26"/>
    <x v="0"/>
    <n v="1115.1099999999999"/>
    <n v="2338.7199999999998"/>
    <n v="14787.978399999998"/>
    <s v="New"/>
    <n v="0.28000000000000003"/>
    <s v="Cash"/>
    <s v="Online"/>
    <x v="13"/>
  </r>
  <r>
    <n v="1071"/>
    <x v="186"/>
    <d v="2022-06-01T00:00:00"/>
    <x v="0"/>
    <s v="Jun"/>
    <x v="0"/>
    <x v="1"/>
    <n v="66186.271999999997"/>
    <n v="32"/>
    <x v="1"/>
    <n v="323.37"/>
    <n v="2177.1799999999998"/>
    <n v="55838.432000000001"/>
    <s v="New"/>
    <n v="0.05"/>
    <s v="Cash"/>
    <s v="Online"/>
    <x v="19"/>
  </r>
  <r>
    <n v="1056"/>
    <x v="136"/>
    <d v="2022-06-02T00:00:00"/>
    <x v="0"/>
    <s v="Jun"/>
    <x v="4"/>
    <x v="0"/>
    <n v="144053.28245002413"/>
    <n v="30"/>
    <x v="0"/>
    <n v="4509.8500000000004"/>
    <n v="5006.25"/>
    <n v="8884.4999999999891"/>
    <s v="Returning"/>
    <n v="0.04"/>
    <s v="Credit Card"/>
    <s v="Retail"/>
    <x v="13"/>
  </r>
  <r>
    <n v="1073"/>
    <x v="279"/>
    <d v="2022-06-02T00:00:00"/>
    <x v="0"/>
    <s v="Jun"/>
    <x v="2"/>
    <x v="3"/>
    <n v="117823.572"/>
    <n v="36"/>
    <x v="0"/>
    <n v="3022.98"/>
    <n v="3374.1"/>
    <n v="8996.2919999999976"/>
    <s v="New"/>
    <n v="0.03"/>
    <s v="Credit Card"/>
    <s v="Online"/>
    <x v="3"/>
  </r>
  <r>
    <n v="1026"/>
    <x v="50"/>
    <d v="2022-06-02T00:00:00"/>
    <x v="0"/>
    <s v="Jun"/>
    <x v="4"/>
    <x v="3"/>
    <n v="170314.2672"/>
    <n v="42"/>
    <x v="1"/>
    <n v="3449.47"/>
    <n v="5133.04"/>
    <n v="25436.527200000008"/>
    <s v="New"/>
    <n v="0.21"/>
    <s v="Bank Transfer"/>
    <s v="Online"/>
    <x v="12"/>
  </r>
  <r>
    <n v="1048"/>
    <x v="280"/>
    <d v="2022-06-02T00:00:00"/>
    <x v="0"/>
    <s v="Jun"/>
    <x v="2"/>
    <x v="2"/>
    <n v="49818.053999999996"/>
    <n v="11"/>
    <x v="0"/>
    <n v="1180.83"/>
    <n v="4869.8"/>
    <n v="36828.923999999999"/>
    <s v="New"/>
    <n v="7.0000000000000007E-2"/>
    <s v="Bank Transfer"/>
    <s v="Online"/>
    <x v="14"/>
  </r>
  <r>
    <n v="1085"/>
    <x v="234"/>
    <d v="2022-06-02T00:00:00"/>
    <x v="0"/>
    <s v="Jun"/>
    <x v="0"/>
    <x v="2"/>
    <n v="70726.728000000003"/>
    <n v="24"/>
    <x v="3"/>
    <n v="325.35000000000002"/>
    <n v="3135.05"/>
    <n v="62918.328000000009"/>
    <s v="New"/>
    <n v="0.06"/>
    <s v="Bank Transfer"/>
    <s v="Retail"/>
    <x v="2"/>
  </r>
  <r>
    <n v="1085"/>
    <x v="11"/>
    <d v="2022-06-02T00:00:00"/>
    <x v="0"/>
    <s v="Jun"/>
    <x v="3"/>
    <x v="2"/>
    <n v="95151.857499999998"/>
    <n v="35"/>
    <x v="1"/>
    <n v="495.98"/>
    <n v="2861.71"/>
    <n v="77792.557499999995"/>
    <s v="New"/>
    <n v="0.05"/>
    <s v="Bank Transfer"/>
    <s v="Online"/>
    <x v="9"/>
  </r>
  <r>
    <n v="1011"/>
    <x v="236"/>
    <d v="2022-06-03T00:00:00"/>
    <x v="0"/>
    <s v="Jun"/>
    <x v="2"/>
    <x v="3"/>
    <n v="29699.159999999996"/>
    <n v="12"/>
    <x v="2"/>
    <n v="2207.2399999999998"/>
    <n v="3344.5"/>
    <n v="3212.2800000000007"/>
    <s v="New"/>
    <n v="0.26"/>
    <s v="Bank Transfer"/>
    <s v="Online"/>
    <x v="3"/>
  </r>
  <r>
    <n v="1054"/>
    <x v="252"/>
    <d v="2022-06-03T00:00:00"/>
    <x v="0"/>
    <s v="Jun"/>
    <x v="2"/>
    <x v="2"/>
    <n v="5359.5895"/>
    <n v="5"/>
    <x v="1"/>
    <n v="246.24"/>
    <n v="1105.07"/>
    <n v="4128.3894999999993"/>
    <s v="New"/>
    <n v="0.03"/>
    <s v="Credit Card"/>
    <s v="Online"/>
    <x v="14"/>
  </r>
  <r>
    <n v="1027"/>
    <x v="3"/>
    <d v="2022-06-03T00:00:00"/>
    <x v="0"/>
    <s v="Jun"/>
    <x v="2"/>
    <x v="1"/>
    <n v="129578.41199999998"/>
    <n v="30"/>
    <x v="3"/>
    <n v="3920.43"/>
    <n v="4694.87"/>
    <n v="11965.511999999995"/>
    <s v="New"/>
    <n v="0.08"/>
    <s v="Bank Transfer"/>
    <s v="Retail"/>
    <x v="8"/>
  </r>
  <r>
    <n v="1051"/>
    <x v="281"/>
    <d v="2022-06-03T00:00:00"/>
    <x v="0"/>
    <s v="Jun"/>
    <x v="0"/>
    <x v="1"/>
    <n v="132998.62080000003"/>
    <n v="48"/>
    <x v="2"/>
    <n v="1017.56"/>
    <n v="3379.03"/>
    <n v="84155.740800000029"/>
    <s v="Returning"/>
    <n v="0.18"/>
    <s v="Bank Transfer"/>
    <s v="Retail"/>
    <x v="19"/>
  </r>
  <r>
    <n v="1062"/>
    <x v="282"/>
    <d v="2022-06-04T00:00:00"/>
    <x v="0"/>
    <s v="Jun"/>
    <x v="4"/>
    <x v="0"/>
    <n v="1194.3968"/>
    <n v="4"/>
    <x v="3"/>
    <n v="96.57"/>
    <n v="409.04"/>
    <n v="808.11680000000001"/>
    <s v="Returning"/>
    <n v="0.27"/>
    <s v="Cash"/>
    <s v="Retail"/>
    <x v="13"/>
  </r>
  <r>
    <n v="1082"/>
    <x v="283"/>
    <d v="2022-06-04T00:00:00"/>
    <x v="0"/>
    <s v="Jun"/>
    <x v="4"/>
    <x v="0"/>
    <n v="47139.854999999996"/>
    <n v="30"/>
    <x v="1"/>
    <n v="1222.82"/>
    <n v="1654.03"/>
    <n v="10455.254999999997"/>
    <s v="New"/>
    <n v="0.05"/>
    <s v="Cash"/>
    <s v="Online"/>
    <x v="13"/>
  </r>
  <r>
    <n v="1059"/>
    <x v="229"/>
    <d v="2022-06-04T00:00:00"/>
    <x v="0"/>
    <s v="Jun"/>
    <x v="1"/>
    <x v="3"/>
    <n v="43575.839999999997"/>
    <n v="25"/>
    <x v="0"/>
    <n v="699.47"/>
    <n v="2420.88"/>
    <n v="26089.09"/>
    <s v="Returning"/>
    <n v="0.28000000000000003"/>
    <s v="Bank Transfer"/>
    <s v="Retail"/>
    <x v="7"/>
  </r>
  <r>
    <n v="1075"/>
    <x v="19"/>
    <d v="2022-06-04T00:00:00"/>
    <x v="0"/>
    <s v="Jun"/>
    <x v="2"/>
    <x v="0"/>
    <n v="69054.796800000011"/>
    <n v="33"/>
    <x v="3"/>
    <n v="1292.5999999999999"/>
    <n v="2179.7600000000002"/>
    <n v="26398.996800000012"/>
    <s v="New"/>
    <n v="0.04"/>
    <s v="Bank Transfer"/>
    <s v="Retail"/>
    <x v="18"/>
  </r>
  <r>
    <n v="1020"/>
    <x v="68"/>
    <d v="2022-06-06T00:00:00"/>
    <x v="0"/>
    <s v="Jun"/>
    <x v="3"/>
    <x v="1"/>
    <n v="42109.643070770988"/>
    <n v="33"/>
    <x v="2"/>
    <n v="1139.1300000000001"/>
    <n v="1299.82"/>
    <n v="4444.8887999999943"/>
    <s v="New"/>
    <n v="0.02"/>
    <s v="Cash"/>
    <s v="Retail"/>
    <x v="16"/>
  </r>
  <r>
    <n v="1058"/>
    <x v="188"/>
    <d v="2022-06-06T00:00:00"/>
    <x v="0"/>
    <s v="Jun"/>
    <x v="0"/>
    <x v="0"/>
    <n v="71233.488000000012"/>
    <n v="20"/>
    <x v="2"/>
    <n v="1986.18"/>
    <n v="4946.7700000000004"/>
    <n v="31509.888000000006"/>
    <s v="New"/>
    <n v="0.28000000000000003"/>
    <s v="Credit Card"/>
    <s v="Online"/>
    <x v="0"/>
  </r>
  <r>
    <n v="1058"/>
    <x v="188"/>
    <d v="2022-06-06T00:00:00"/>
    <x v="0"/>
    <s v="Jun"/>
    <x v="3"/>
    <x v="3"/>
    <n v="81277.14"/>
    <n v="29"/>
    <x v="2"/>
    <n v="980.43"/>
    <n v="4003.8"/>
    <n v="52844.67"/>
    <s v="New"/>
    <n v="0.3"/>
    <s v="Bank Transfer"/>
    <s v="Retail"/>
    <x v="4"/>
  </r>
  <r>
    <n v="1049"/>
    <x v="114"/>
    <d v="2022-06-06T00:00:00"/>
    <x v="0"/>
    <s v="Jun"/>
    <x v="3"/>
    <x v="2"/>
    <n v="109605.4216"/>
    <n v="38"/>
    <x v="2"/>
    <n v="675.13"/>
    <n v="3651.08"/>
    <n v="83950.481599999999"/>
    <s v="Returning"/>
    <n v="0.21"/>
    <s v="Credit Card"/>
    <s v="Retail"/>
    <x v="9"/>
  </r>
  <r>
    <n v="1033"/>
    <x v="99"/>
    <d v="2022-06-07T00:00:00"/>
    <x v="0"/>
    <s v="Jun"/>
    <x v="4"/>
    <x v="2"/>
    <n v="47626.835200000001"/>
    <n v="28"/>
    <x v="0"/>
    <n v="1649.45"/>
    <n v="2330.08"/>
    <n v="1442.2351999999983"/>
    <s v="New"/>
    <n v="0.27"/>
    <s v="Credit Card"/>
    <s v="Retail"/>
    <x v="17"/>
  </r>
  <r>
    <n v="1091"/>
    <x v="60"/>
    <d v="2022-06-07T00:00:00"/>
    <x v="0"/>
    <s v="Jun"/>
    <x v="0"/>
    <x v="2"/>
    <n v="11312.688734477972"/>
    <n v="5"/>
    <x v="1"/>
    <n v="1722.77"/>
    <n v="2307.75"/>
    <n v="2694.1249999999991"/>
    <s v="New"/>
    <n v="0.02"/>
    <s v="Bank Transfer"/>
    <s v="Retail"/>
    <x v="2"/>
  </r>
  <r>
    <n v="1015"/>
    <x v="144"/>
    <d v="2022-06-07T00:00:00"/>
    <x v="0"/>
    <s v="Jun"/>
    <x v="4"/>
    <x v="3"/>
    <n v="22541.870399999996"/>
    <n v="6"/>
    <x v="3"/>
    <n v="892.28"/>
    <n v="4526.4799999999996"/>
    <n v="17188.190399999996"/>
    <s v="New"/>
    <n v="0.17"/>
    <s v="Credit Card"/>
    <s v="Retail"/>
    <x v="12"/>
  </r>
  <r>
    <n v="1076"/>
    <x v="142"/>
    <d v="2022-06-07T00:00:00"/>
    <x v="0"/>
    <s v="Jun"/>
    <x v="3"/>
    <x v="0"/>
    <n v="230000.86134204071"/>
    <n v="46"/>
    <x v="2"/>
    <n v="4468.84"/>
    <n v="5040.13"/>
    <n v="23960.880199999978"/>
    <s v="New"/>
    <n v="0.01"/>
    <s v="Bank Transfer"/>
    <s v="Retail"/>
    <x v="11"/>
  </r>
  <r>
    <n v="1014"/>
    <x v="187"/>
    <d v="2022-06-07T00:00:00"/>
    <x v="0"/>
    <s v="Jun"/>
    <x v="3"/>
    <x v="3"/>
    <n v="79970.5"/>
    <n v="40"/>
    <x v="1"/>
    <n v="569.72"/>
    <n v="2408.75"/>
    <n v="57181.69999999999"/>
    <s v="New"/>
    <n v="0.17"/>
    <s v="Cash"/>
    <s v="Retail"/>
    <x v="4"/>
  </r>
  <r>
    <n v="1006"/>
    <x v="70"/>
    <d v="2022-06-08T00:00:00"/>
    <x v="0"/>
    <s v="Jun"/>
    <x v="3"/>
    <x v="2"/>
    <n v="127994.08156251074"/>
    <n v="47"/>
    <x v="3"/>
    <n v="2523.2199999999998"/>
    <n v="2742.59"/>
    <n v="9021.3727000000072"/>
    <s v="New"/>
    <n v="0.01"/>
    <s v="Cash"/>
    <s v="Online"/>
    <x v="9"/>
  </r>
  <r>
    <n v="1057"/>
    <x v="208"/>
    <d v="2022-06-08T00:00:00"/>
    <x v="0"/>
    <s v="Jun"/>
    <x v="0"/>
    <x v="3"/>
    <n v="57501.3"/>
    <n v="15"/>
    <x v="0"/>
    <n v="410.62"/>
    <n v="3833.42"/>
    <n v="51342"/>
    <s v="New"/>
    <n v="0"/>
    <s v="Cash"/>
    <s v="Retail"/>
    <x v="5"/>
  </r>
  <r>
    <n v="1057"/>
    <x v="208"/>
    <d v="2022-06-08T00:00:00"/>
    <x v="0"/>
    <s v="Jun"/>
    <x v="3"/>
    <x v="2"/>
    <n v="130331.564"/>
    <n v="38"/>
    <x v="0"/>
    <n v="970.59"/>
    <n v="3648.7"/>
    <n v="93449.143999999986"/>
    <s v="New"/>
    <n v="0.06"/>
    <s v="Bank Transfer"/>
    <s v="Online"/>
    <x v="9"/>
  </r>
  <r>
    <n v="1046"/>
    <x v="150"/>
    <d v="2022-06-09T00:00:00"/>
    <x v="0"/>
    <s v="Jun"/>
    <x v="0"/>
    <x v="2"/>
    <n v="16260.821121839077"/>
    <n v="8"/>
    <x v="1"/>
    <n v="2002.12"/>
    <n v="2128.4899999999998"/>
    <n v="159.56399999999849"/>
    <s v="New"/>
    <n v="0.05"/>
    <s v="Credit Card"/>
    <s v="Retail"/>
    <x v="2"/>
  </r>
  <r>
    <n v="1044"/>
    <x v="241"/>
    <d v="2022-06-09T00:00:00"/>
    <x v="0"/>
    <s v="Jun"/>
    <x v="0"/>
    <x v="2"/>
    <n v="30774.3128"/>
    <n v="11"/>
    <x v="1"/>
    <n v="2317.96"/>
    <n v="2854.76"/>
    <n v="5276.7528000000002"/>
    <s v="New"/>
    <n v="0.02"/>
    <s v="Bank Transfer"/>
    <s v="Online"/>
    <x v="2"/>
  </r>
  <r>
    <n v="1033"/>
    <x v="284"/>
    <d v="2022-06-09T00:00:00"/>
    <x v="0"/>
    <s v="Jun"/>
    <x v="2"/>
    <x v="0"/>
    <n v="119320.00379999999"/>
    <n v="27"/>
    <x v="2"/>
    <n v="3365.06"/>
    <n v="4965.46"/>
    <n v="28463.3838"/>
    <s v="Returning"/>
    <n v="0.11"/>
    <s v="Cash"/>
    <s v="Retail"/>
    <x v="18"/>
  </r>
  <r>
    <n v="1068"/>
    <x v="78"/>
    <d v="2022-06-09T00:00:00"/>
    <x v="0"/>
    <s v="Jun"/>
    <x v="4"/>
    <x v="2"/>
    <n v="79988.153699999995"/>
    <n v="49"/>
    <x v="1"/>
    <n v="458.82"/>
    <n v="1834.17"/>
    <n v="57505.973700000002"/>
    <s v="Returning"/>
    <n v="0.11"/>
    <s v="Credit Card"/>
    <s v="Online"/>
    <x v="17"/>
  </r>
  <r>
    <n v="1021"/>
    <x v="176"/>
    <d v="2022-06-10T00:00:00"/>
    <x v="0"/>
    <s v="Jun"/>
    <x v="4"/>
    <x v="3"/>
    <n v="86264.012800000011"/>
    <n v="28"/>
    <x v="1"/>
    <n v="2854.46"/>
    <n v="4053.76"/>
    <n v="6339.1328000000067"/>
    <s v="New"/>
    <n v="0.24"/>
    <s v="Cash"/>
    <s v="Online"/>
    <x v="12"/>
  </r>
  <r>
    <n v="1046"/>
    <x v="261"/>
    <d v="2022-06-10T00:00:00"/>
    <x v="0"/>
    <s v="Jun"/>
    <x v="1"/>
    <x v="1"/>
    <n v="143405.39920000001"/>
    <n v="37"/>
    <x v="2"/>
    <n v="1710.87"/>
    <n v="3954.92"/>
    <n v="80103.209200000012"/>
    <s v="New"/>
    <n v="0.02"/>
    <s v="Credit Card"/>
    <s v="Retail"/>
    <x v="1"/>
  </r>
  <r>
    <n v="1008"/>
    <x v="162"/>
    <d v="2022-06-11T00:00:00"/>
    <x v="0"/>
    <s v="Jun"/>
    <x v="0"/>
    <x v="1"/>
    <n v="3557.5043000000001"/>
    <n v="1"/>
    <x v="2"/>
    <n v="311.70999999999998"/>
    <n v="4503.17"/>
    <n v="3245.7943"/>
    <s v="New"/>
    <n v="0.21"/>
    <s v="Bank Transfer"/>
    <s v="Online"/>
    <x v="19"/>
  </r>
  <r>
    <n v="1039"/>
    <x v="113"/>
    <d v="2022-06-11T00:00:00"/>
    <x v="0"/>
    <s v="Jun"/>
    <x v="2"/>
    <x v="3"/>
    <n v="198268.88399999999"/>
    <n v="45"/>
    <x v="2"/>
    <n v="3538.37"/>
    <n v="5006.79"/>
    <n v="39042.233999999997"/>
    <s v="Returning"/>
    <n v="0.12"/>
    <s v="Credit Card"/>
    <s v="Online"/>
    <x v="3"/>
  </r>
  <r>
    <n v="1057"/>
    <x v="41"/>
    <d v="2022-06-12T00:00:00"/>
    <x v="0"/>
    <s v="Jun"/>
    <x v="2"/>
    <x v="3"/>
    <n v="132241.47230266166"/>
    <n v="30"/>
    <x v="1"/>
    <n v="3613.6"/>
    <n v="4580.12"/>
    <n v="23499.455999999987"/>
    <s v="Returning"/>
    <n v="0.04"/>
    <s v="Bank Transfer"/>
    <s v="Retail"/>
    <x v="3"/>
  </r>
  <r>
    <n v="1033"/>
    <x v="220"/>
    <d v="2022-06-12T00:00:00"/>
    <x v="0"/>
    <s v="Jun"/>
    <x v="1"/>
    <x v="0"/>
    <n v="132518.65839999999"/>
    <n v="34"/>
    <x v="1"/>
    <n v="289.55"/>
    <n v="4236.53"/>
    <n v="122673.95839999999"/>
    <s v="New"/>
    <n v="0.08"/>
    <s v="Credit Card"/>
    <s v="Retail"/>
    <x v="10"/>
  </r>
  <r>
    <n v="1095"/>
    <x v="285"/>
    <d v="2022-06-12T00:00:00"/>
    <x v="0"/>
    <s v="Jun"/>
    <x v="3"/>
    <x v="2"/>
    <n v="151029.61920000002"/>
    <n v="37"/>
    <x v="0"/>
    <n v="763.34"/>
    <n v="5039.3599999999997"/>
    <n v="122786.0392"/>
    <s v="New"/>
    <n v="0.19"/>
    <s v="Credit Card"/>
    <s v="Online"/>
    <x v="9"/>
  </r>
  <r>
    <n v="1079"/>
    <x v="67"/>
    <d v="2022-06-13T00:00:00"/>
    <x v="0"/>
    <s v="Jun"/>
    <x v="2"/>
    <x v="1"/>
    <n v="45944.686804058874"/>
    <n v="12"/>
    <x v="0"/>
    <n v="3750.73"/>
    <n v="4000.79"/>
    <n v="1080.3407999999963"/>
    <s v="Returning"/>
    <n v="0.04"/>
    <s v="Cash"/>
    <s v="Online"/>
    <x v="8"/>
  </r>
  <r>
    <n v="1002"/>
    <x v="53"/>
    <d v="2022-06-13T00:00:00"/>
    <x v="0"/>
    <s v="Jun"/>
    <x v="2"/>
    <x v="0"/>
    <n v="101181.024"/>
    <n v="28"/>
    <x v="0"/>
    <n v="3373.53"/>
    <n v="4015.12"/>
    <n v="6722.1839999999993"/>
    <s v="New"/>
    <n v="0.1"/>
    <s v="Bank Transfer"/>
    <s v="Online"/>
    <x v="18"/>
  </r>
  <r>
    <n v="1046"/>
    <x v="286"/>
    <d v="2022-06-13T00:00:00"/>
    <x v="0"/>
    <s v="Jun"/>
    <x v="0"/>
    <x v="0"/>
    <n v="131377.63573377882"/>
    <n v="30"/>
    <x v="3"/>
    <n v="3591.93"/>
    <n v="4424.91"/>
    <n v="23661.927"/>
    <s v="Returning"/>
    <n v="0.01"/>
    <s v="Cash"/>
    <s v="Online"/>
    <x v="0"/>
  </r>
  <r>
    <n v="1098"/>
    <x v="127"/>
    <d v="2022-06-13T00:00:00"/>
    <x v="0"/>
    <s v="Jun"/>
    <x v="3"/>
    <x v="3"/>
    <n v="50250.962999999996"/>
    <n v="42"/>
    <x v="1"/>
    <n v="363.96"/>
    <n v="1407.59"/>
    <n v="34964.642999999996"/>
    <s v="New"/>
    <n v="0.15"/>
    <s v="Cash"/>
    <s v="Online"/>
    <x v="4"/>
  </r>
  <r>
    <n v="1098"/>
    <x v="30"/>
    <d v="2022-06-13T00:00:00"/>
    <x v="0"/>
    <s v="Jun"/>
    <x v="3"/>
    <x v="3"/>
    <n v="68745.186000000002"/>
    <n v="27"/>
    <x v="3"/>
    <n v="908.8"/>
    <n v="2829.02"/>
    <n v="44207.586000000003"/>
    <s v="Returning"/>
    <n v="0.1"/>
    <s v="Bank Transfer"/>
    <s v="Online"/>
    <x v="4"/>
  </r>
  <r>
    <n v="1057"/>
    <x v="232"/>
    <d v="2022-06-13T00:00:00"/>
    <x v="0"/>
    <s v="Jun"/>
    <x v="1"/>
    <x v="0"/>
    <n v="89561.459999999992"/>
    <n v="37"/>
    <x v="3"/>
    <n v="645.79"/>
    <n v="2420.58"/>
    <n v="65667.23"/>
    <s v="New"/>
    <n v="0"/>
    <s v="Cash"/>
    <s v="Retail"/>
    <x v="10"/>
  </r>
  <r>
    <n v="1079"/>
    <x v="244"/>
    <d v="2022-06-13T00:00:00"/>
    <x v="0"/>
    <s v="Jun"/>
    <x v="2"/>
    <x v="3"/>
    <n v="89410.670999999988"/>
    <n v="30"/>
    <x v="3"/>
    <n v="317.07"/>
    <n v="3590.79"/>
    <n v="79898.570999999982"/>
    <s v="Returning"/>
    <n v="0.17"/>
    <s v="Credit Card"/>
    <s v="Retail"/>
    <x v="3"/>
  </r>
  <r>
    <n v="1084"/>
    <x v="103"/>
    <d v="2022-06-14T00:00:00"/>
    <x v="0"/>
    <s v="Jun"/>
    <x v="3"/>
    <x v="1"/>
    <n v="36810.438499999997"/>
    <n v="11"/>
    <x v="0"/>
    <n v="826.22"/>
    <n v="3522.53"/>
    <n v="27722.018500000002"/>
    <s v="Returning"/>
    <n v="0.05"/>
    <s v="Bank Transfer"/>
    <s v="Retail"/>
    <x v="16"/>
  </r>
  <r>
    <n v="1022"/>
    <x v="79"/>
    <d v="2022-06-15T00:00:00"/>
    <x v="0"/>
    <s v="Jun"/>
    <x v="4"/>
    <x v="3"/>
    <n v="4842.4459999999999"/>
    <n v="2"/>
    <x v="3"/>
    <n v="696.3"/>
    <n v="3458.89"/>
    <n v="3449.846"/>
    <s v="Returning"/>
    <n v="0.3"/>
    <s v="Bank Transfer"/>
    <s v="Online"/>
    <x v="12"/>
  </r>
  <r>
    <n v="1047"/>
    <x v="287"/>
    <d v="2022-06-15T00:00:00"/>
    <x v="0"/>
    <s v="Jun"/>
    <x v="4"/>
    <x v="2"/>
    <n v="31297.0959"/>
    <n v="23"/>
    <x v="0"/>
    <n v="659.2"/>
    <n v="1679.93"/>
    <n v="16135.495900000002"/>
    <s v="Returning"/>
    <n v="0.19"/>
    <s v="Cash"/>
    <s v="Retail"/>
    <x v="17"/>
  </r>
  <r>
    <n v="1040"/>
    <x v="45"/>
    <d v="2022-06-15T00:00:00"/>
    <x v="0"/>
    <s v="Jun"/>
    <x v="4"/>
    <x v="2"/>
    <n v="100097.40240000001"/>
    <n v="37"/>
    <x v="1"/>
    <n v="2108.1799999999998"/>
    <n v="3757.41"/>
    <n v="22094.742400000006"/>
    <s v="Returning"/>
    <n v="0.28000000000000003"/>
    <s v="Cash"/>
    <s v="Retail"/>
    <x v="17"/>
  </r>
  <r>
    <n v="1023"/>
    <x v="134"/>
    <d v="2022-06-16T00:00:00"/>
    <x v="0"/>
    <s v="Jun"/>
    <x v="3"/>
    <x v="2"/>
    <n v="173925.87776606978"/>
    <n v="38"/>
    <x v="0"/>
    <n v="3973.62"/>
    <n v="4737.6499999999996"/>
    <n v="23632.21899999999"/>
    <s v="Returning"/>
    <n v="0.03"/>
    <s v="Cash"/>
    <s v="Online"/>
    <x v="9"/>
  </r>
  <r>
    <n v="1064"/>
    <x v="200"/>
    <d v="2022-06-16T00:00:00"/>
    <x v="0"/>
    <s v="Jun"/>
    <x v="1"/>
    <x v="2"/>
    <n v="67308.204599999997"/>
    <n v="26"/>
    <x v="2"/>
    <n v="1663.39"/>
    <n v="3546.27"/>
    <n v="24060.064599999991"/>
    <s v="New"/>
    <n v="0.27"/>
    <s v="Credit Card"/>
    <s v="Retail"/>
    <x v="15"/>
  </r>
  <r>
    <n v="1099"/>
    <x v="288"/>
    <d v="2022-06-16T00:00:00"/>
    <x v="0"/>
    <s v="Jun"/>
    <x v="3"/>
    <x v="1"/>
    <n v="33185.257999999994"/>
    <n v="10"/>
    <x v="2"/>
    <n v="441.84"/>
    <n v="4673.9799999999996"/>
    <n v="28766.857999999993"/>
    <s v="New"/>
    <n v="0.28999999999999998"/>
    <s v="Cash"/>
    <s v="Online"/>
    <x v="16"/>
  </r>
  <r>
    <n v="1097"/>
    <x v="42"/>
    <d v="2022-06-16T00:00:00"/>
    <x v="0"/>
    <s v="Jun"/>
    <x v="2"/>
    <x v="3"/>
    <n v="100023.48999999999"/>
    <n v="35"/>
    <x v="1"/>
    <n v="644.62"/>
    <n v="2946.2"/>
    <n v="77461.789999999994"/>
    <s v="Returning"/>
    <n v="0.03"/>
    <s v="Cash"/>
    <s v="Online"/>
    <x v="3"/>
  </r>
  <r>
    <n v="1015"/>
    <x v="144"/>
    <d v="2022-06-16T00:00:00"/>
    <x v="0"/>
    <s v="Jun"/>
    <x v="3"/>
    <x v="0"/>
    <n v="157979.448"/>
    <n v="40"/>
    <x v="3"/>
    <n v="1381.48"/>
    <n v="3989.38"/>
    <n v="102720.24800000001"/>
    <s v="New"/>
    <n v="0.01"/>
    <s v="Bank Transfer"/>
    <s v="Retail"/>
    <x v="11"/>
  </r>
  <r>
    <n v="1075"/>
    <x v="149"/>
    <d v="2022-06-17T00:00:00"/>
    <x v="0"/>
    <s v="Jun"/>
    <x v="3"/>
    <x v="3"/>
    <n v="69231.737200000003"/>
    <n v="43"/>
    <x v="1"/>
    <n v="162.76"/>
    <n v="1872.14"/>
    <n v="62233.057200000003"/>
    <s v="Returning"/>
    <n v="0.14000000000000001"/>
    <s v="Credit Card"/>
    <s v="Online"/>
    <x v="4"/>
  </r>
  <r>
    <n v="1058"/>
    <x v="289"/>
    <d v="2022-06-18T00:00:00"/>
    <x v="0"/>
    <s v="Jun"/>
    <x v="0"/>
    <x v="2"/>
    <n v="63637.299968105719"/>
    <n v="21"/>
    <x v="1"/>
    <n v="2979.64"/>
    <n v="3036.2"/>
    <n v="1187.7599999999989"/>
    <s v="Returning"/>
    <n v="0"/>
    <s v="Cash"/>
    <s v="Online"/>
    <x v="2"/>
  </r>
  <r>
    <n v="1024"/>
    <x v="290"/>
    <d v="2022-06-18T00:00:00"/>
    <x v="0"/>
    <s v="Jun"/>
    <x v="3"/>
    <x v="3"/>
    <n v="158358.51999999999"/>
    <n v="37"/>
    <x v="2"/>
    <n v="1274.8800000000001"/>
    <n v="4279.96"/>
    <n v="111187.95999999999"/>
    <s v="Returning"/>
    <n v="0"/>
    <s v="Cash"/>
    <s v="Retail"/>
    <x v="4"/>
  </r>
  <r>
    <n v="1063"/>
    <x v="291"/>
    <d v="2022-06-19T00:00:00"/>
    <x v="0"/>
    <s v="Jun"/>
    <x v="3"/>
    <x v="3"/>
    <n v="234683.70408735817"/>
    <n v="49"/>
    <x v="3"/>
    <n v="4705.99"/>
    <n v="4950.04"/>
    <n v="4681.8912000000237"/>
    <s v="Returning"/>
    <n v="0.03"/>
    <s v="Credit Card"/>
    <s v="Retail"/>
    <x v="4"/>
  </r>
  <r>
    <n v="1001"/>
    <x v="292"/>
    <d v="2022-06-19T00:00:00"/>
    <x v="0"/>
    <s v="Jun"/>
    <x v="1"/>
    <x v="3"/>
    <n v="40569.802200000006"/>
    <n v="18"/>
    <x v="1"/>
    <n v="507.88"/>
    <n v="2853.01"/>
    <n v="31427.962200000005"/>
    <s v="Returning"/>
    <n v="0.21"/>
    <s v="Cash"/>
    <s v="Retail"/>
    <x v="7"/>
  </r>
  <r>
    <n v="1045"/>
    <x v="121"/>
    <d v="2022-06-19T00:00:00"/>
    <x v="0"/>
    <s v="Jun"/>
    <x v="4"/>
    <x v="2"/>
    <n v="174647.40480000002"/>
    <n v="41"/>
    <x v="1"/>
    <n v="2454.27"/>
    <n v="4840.5600000000004"/>
    <n v="74022.334800000026"/>
    <s v="New"/>
    <n v="0.12"/>
    <s v="Cash"/>
    <s v="Retail"/>
    <x v="17"/>
  </r>
  <r>
    <n v="1013"/>
    <x v="231"/>
    <d v="2022-06-20T00:00:00"/>
    <x v="0"/>
    <s v="Jun"/>
    <x v="3"/>
    <x v="3"/>
    <n v="7511.6880000000001"/>
    <n v="3"/>
    <x v="2"/>
    <n v="2108.17"/>
    <n v="3294.6"/>
    <n v="1187.1780000000003"/>
    <s v="New"/>
    <n v="0.24"/>
    <s v="Cash"/>
    <s v="Retail"/>
    <x v="4"/>
  </r>
  <r>
    <n v="1017"/>
    <x v="75"/>
    <d v="2022-06-20T00:00:00"/>
    <x v="0"/>
    <s v="Jun"/>
    <x v="1"/>
    <x v="1"/>
    <n v="69488.243999999992"/>
    <n v="18"/>
    <x v="0"/>
    <n v="3241.59"/>
    <n v="4063.64"/>
    <n v="11139.623999999991"/>
    <s v="Returning"/>
    <n v="0.05"/>
    <s v="Cash"/>
    <s v="Retail"/>
    <x v="1"/>
  </r>
  <r>
    <n v="1005"/>
    <x v="218"/>
    <d v="2022-06-20T00:00:00"/>
    <x v="0"/>
    <s v="Jun"/>
    <x v="4"/>
    <x v="1"/>
    <n v="104143.23722060233"/>
    <n v="33"/>
    <x v="1"/>
    <n v="2542.62"/>
    <n v="3300.84"/>
    <n v="20664.1512"/>
    <s v="New"/>
    <n v="0.04"/>
    <s v="Bank Transfer"/>
    <s v="Online"/>
    <x v="6"/>
  </r>
  <r>
    <n v="1042"/>
    <x v="58"/>
    <d v="2022-06-20T00:00:00"/>
    <x v="0"/>
    <s v="Jun"/>
    <x v="4"/>
    <x v="3"/>
    <n v="73850.38"/>
    <n v="17"/>
    <x v="3"/>
    <n v="1977.84"/>
    <n v="4344.1400000000003"/>
    <n v="40227.100000000006"/>
    <s v="Returning"/>
    <n v="0"/>
    <s v="Bank Transfer"/>
    <s v="Retail"/>
    <x v="12"/>
  </r>
  <r>
    <n v="1044"/>
    <x v="209"/>
    <d v="2022-06-21T00:00:00"/>
    <x v="0"/>
    <s v="Jun"/>
    <x v="2"/>
    <x v="3"/>
    <n v="17412.552"/>
    <n v="8"/>
    <x v="0"/>
    <n v="1461.7"/>
    <n v="2418.41"/>
    <n v="5718.9519999999993"/>
    <s v="Returning"/>
    <n v="0.1"/>
    <s v="Bank Transfer"/>
    <s v="Retail"/>
    <x v="3"/>
  </r>
  <r>
    <n v="1026"/>
    <x v="293"/>
    <d v="2022-06-22T00:00:00"/>
    <x v="0"/>
    <s v="Jun"/>
    <x v="4"/>
    <x v="2"/>
    <n v="7064.5511999999999"/>
    <n v="2"/>
    <x v="3"/>
    <n v="1162.42"/>
    <n v="3839.43"/>
    <n v="4739.7111999999997"/>
    <s v="New"/>
    <n v="0.08"/>
    <s v="Bank Transfer"/>
    <s v="Retail"/>
    <x v="17"/>
  </r>
  <r>
    <n v="1013"/>
    <x v="15"/>
    <d v="2022-06-22T00:00:00"/>
    <x v="0"/>
    <s v="Jun"/>
    <x v="0"/>
    <x v="1"/>
    <n v="41563.913399999998"/>
    <n v="9"/>
    <x v="0"/>
    <n v="3080.15"/>
    <n v="4965.82"/>
    <n v="13842.563399999997"/>
    <s v="Returning"/>
    <n v="7.0000000000000007E-2"/>
    <s v="Bank Transfer"/>
    <s v="Retail"/>
    <x v="19"/>
  </r>
  <r>
    <n v="1048"/>
    <x v="294"/>
    <d v="2022-06-22T00:00:00"/>
    <x v="0"/>
    <s v="Jun"/>
    <x v="0"/>
    <x v="0"/>
    <n v="84049.000200000009"/>
    <n v="33"/>
    <x v="1"/>
    <n v="2044.13"/>
    <n v="2709.51"/>
    <n v="16592.710200000001"/>
    <s v="Returning"/>
    <n v="0.06"/>
    <s v="Cash"/>
    <s v="Retail"/>
    <x v="0"/>
  </r>
  <r>
    <n v="1005"/>
    <x v="253"/>
    <d v="2022-06-22T00:00:00"/>
    <x v="0"/>
    <s v="Jun"/>
    <x v="1"/>
    <x v="3"/>
    <n v="147183.30120000002"/>
    <n v="39"/>
    <x v="2"/>
    <n v="2171.83"/>
    <n v="4014.82"/>
    <n v="62481.931200000006"/>
    <s v="Returning"/>
    <n v="0.06"/>
    <s v="Cash"/>
    <s v="Online"/>
    <x v="7"/>
  </r>
  <r>
    <n v="1075"/>
    <x v="170"/>
    <d v="2022-06-22T00:00:00"/>
    <x v="0"/>
    <s v="Jun"/>
    <x v="2"/>
    <x v="0"/>
    <n v="127260.08399999999"/>
    <n v="31"/>
    <x v="2"/>
    <n v="1858.45"/>
    <n v="4887.1000000000004"/>
    <n v="69648.133999999991"/>
    <s v="New"/>
    <n v="0.16"/>
    <s v="Cash"/>
    <s v="Online"/>
    <x v="18"/>
  </r>
  <r>
    <n v="1066"/>
    <x v="160"/>
    <d v="2022-06-23T00:00:00"/>
    <x v="0"/>
    <s v="Jun"/>
    <x v="1"/>
    <x v="1"/>
    <n v="101177.16"/>
    <n v="42"/>
    <x v="1"/>
    <n v="1208.53"/>
    <n v="2408.98"/>
    <n v="50418.9"/>
    <s v="Returning"/>
    <n v="0"/>
    <s v="Credit Card"/>
    <s v="Online"/>
    <x v="1"/>
  </r>
  <r>
    <n v="1009"/>
    <x v="39"/>
    <d v="2022-06-24T00:00:00"/>
    <x v="0"/>
    <s v="Jun"/>
    <x v="2"/>
    <x v="1"/>
    <n v="17149.4928"/>
    <n v="6"/>
    <x v="3"/>
    <n v="2742.8"/>
    <n v="2887.12"/>
    <n v="692.69279999999799"/>
    <s v="New"/>
    <n v="0.01"/>
    <s v="Bank Transfer"/>
    <s v="Online"/>
    <x v="8"/>
  </r>
  <r>
    <n v="1008"/>
    <x v="95"/>
    <d v="2022-06-25T00:00:00"/>
    <x v="0"/>
    <s v="Jun"/>
    <x v="3"/>
    <x v="0"/>
    <n v="101009.40299999999"/>
    <n v="30"/>
    <x v="1"/>
    <n v="1412.11"/>
    <n v="3400.99"/>
    <n v="58646.102999999996"/>
    <s v="New"/>
    <n v="0.01"/>
    <s v="Cash"/>
    <s v="Retail"/>
    <x v="11"/>
  </r>
  <r>
    <n v="1004"/>
    <x v="260"/>
    <d v="2022-06-25T00:00:00"/>
    <x v="0"/>
    <s v="Jun"/>
    <x v="0"/>
    <x v="2"/>
    <n v="191727.31199999998"/>
    <n v="40"/>
    <x v="1"/>
    <n v="2147.5300000000002"/>
    <n v="5153.96"/>
    <n v="105826.11199999998"/>
    <s v="Returning"/>
    <n v="7.0000000000000007E-2"/>
    <s v="Bank Transfer"/>
    <s v="Online"/>
    <x v="2"/>
  </r>
  <r>
    <n v="1033"/>
    <x v="220"/>
    <d v="2022-06-25T00:00:00"/>
    <x v="0"/>
    <s v="Jun"/>
    <x v="2"/>
    <x v="3"/>
    <n v="153277.6624"/>
    <n v="43"/>
    <x v="1"/>
    <n v="220.73"/>
    <n v="4144.88"/>
    <n v="143786.27240000002"/>
    <s v="Returning"/>
    <n v="0.14000000000000001"/>
    <s v="Cash"/>
    <s v="Retail"/>
    <x v="3"/>
  </r>
  <r>
    <n v="1004"/>
    <x v="211"/>
    <d v="2022-06-26T00:00:00"/>
    <x v="0"/>
    <s v="Jun"/>
    <x v="2"/>
    <x v="0"/>
    <n v="105866.2332"/>
    <n v="42"/>
    <x v="0"/>
    <n v="2405.92"/>
    <n v="3231.57"/>
    <n v="4817.5932000000012"/>
    <s v="New"/>
    <n v="0.22"/>
    <s v="Credit Card"/>
    <s v="Retail"/>
    <x v="18"/>
  </r>
  <r>
    <n v="1018"/>
    <x v="219"/>
    <d v="2022-06-26T00:00:00"/>
    <x v="0"/>
    <s v="Jun"/>
    <x v="0"/>
    <x v="2"/>
    <n v="77287.418999999994"/>
    <n v="30"/>
    <x v="1"/>
    <n v="214.96"/>
    <n v="2602.27"/>
    <n v="70838.619000000006"/>
    <s v="Returning"/>
    <n v="0.01"/>
    <s v="Cash"/>
    <s v="Online"/>
    <x v="2"/>
  </r>
  <r>
    <n v="1055"/>
    <x v="77"/>
    <d v="2022-06-27T00:00:00"/>
    <x v="0"/>
    <s v="Jun"/>
    <x v="4"/>
    <x v="2"/>
    <n v="127092.07299838915"/>
    <n v="31"/>
    <x v="2"/>
    <n v="4038.72"/>
    <n v="4310.88"/>
    <n v="1755.0959999999995"/>
    <s v="Returning"/>
    <n v="0.05"/>
    <s v="Bank Transfer"/>
    <s v="Online"/>
    <x v="17"/>
  </r>
  <r>
    <n v="1028"/>
    <x v="295"/>
    <d v="2022-06-27T00:00:00"/>
    <x v="0"/>
    <s v="Jun"/>
    <x v="3"/>
    <x v="2"/>
    <n v="169671.663"/>
    <n v="49"/>
    <x v="1"/>
    <n v="2886.89"/>
    <n v="3980.1"/>
    <n v="28214.053"/>
    <s v="Returning"/>
    <n v="0.13"/>
    <s v="Cash"/>
    <s v="Retail"/>
    <x v="9"/>
  </r>
  <r>
    <n v="1072"/>
    <x v="249"/>
    <d v="2022-06-27T00:00:00"/>
    <x v="0"/>
    <s v="Jun"/>
    <x v="0"/>
    <x v="0"/>
    <n v="151131.65722095626"/>
    <n v="45"/>
    <x v="3"/>
    <n v="2613.5300000000002"/>
    <n v="3432.64"/>
    <n v="33770.573999999993"/>
    <s v="Returning"/>
    <n v="0.02"/>
    <s v="Bank Transfer"/>
    <s v="Online"/>
    <x v="0"/>
  </r>
  <r>
    <n v="1076"/>
    <x v="129"/>
    <d v="2022-06-27T00:00:00"/>
    <x v="0"/>
    <s v="Jun"/>
    <x v="3"/>
    <x v="3"/>
    <n v="94313.937600000005"/>
    <n v="24"/>
    <x v="1"/>
    <n v="925.72"/>
    <n v="4851.54"/>
    <n v="72096.657600000006"/>
    <s v="New"/>
    <n v="0.19"/>
    <s v="Cash"/>
    <s v="Online"/>
    <x v="4"/>
  </r>
  <r>
    <n v="1050"/>
    <x v="31"/>
    <d v="2022-06-28T00:00:00"/>
    <x v="0"/>
    <s v="Jun"/>
    <x v="2"/>
    <x v="3"/>
    <n v="135322.41879999998"/>
    <n v="41"/>
    <x v="0"/>
    <n v="2963.29"/>
    <n v="3511.22"/>
    <n v="13827.528799999985"/>
    <s v="New"/>
    <n v="0.06"/>
    <s v="Credit Card"/>
    <s v="Retail"/>
    <x v="3"/>
  </r>
  <r>
    <n v="1012"/>
    <x v="296"/>
    <d v="2022-06-28T00:00:00"/>
    <x v="0"/>
    <s v="Jun"/>
    <x v="1"/>
    <x v="2"/>
    <n v="30358.655000000006"/>
    <n v="25"/>
    <x v="3"/>
    <n v="623.71"/>
    <n v="1480.91"/>
    <n v="14765.905000000004"/>
    <s v="Returning"/>
    <n v="0.18"/>
    <s v="Credit Card"/>
    <s v="Online"/>
    <x v="15"/>
  </r>
  <r>
    <n v="1049"/>
    <x v="297"/>
    <d v="2022-06-29T00:00:00"/>
    <x v="0"/>
    <s v="Jun"/>
    <x v="2"/>
    <x v="2"/>
    <n v="75137.932799999995"/>
    <n v="42"/>
    <x v="0"/>
    <n v="393.97"/>
    <n v="2208.64"/>
    <n v="58591.192799999997"/>
    <s v="Returning"/>
    <n v="0.19"/>
    <s v="Cash"/>
    <s v="Online"/>
    <x v="14"/>
  </r>
  <r>
    <n v="1014"/>
    <x v="187"/>
    <d v="2022-06-30T00:00:00"/>
    <x v="0"/>
    <s v="Jun"/>
    <x v="2"/>
    <x v="2"/>
    <n v="178811.01276861457"/>
    <n v="39"/>
    <x v="1"/>
    <n v="4197.58"/>
    <n v="4701.68"/>
    <n v="15992.589600000025"/>
    <s v="New"/>
    <n v="0.02"/>
    <s v="Cash"/>
    <s v="Online"/>
    <x v="14"/>
  </r>
  <r>
    <n v="1090"/>
    <x v="298"/>
    <d v="2022-06-30T00:00:00"/>
    <x v="0"/>
    <s v="Jun"/>
    <x v="3"/>
    <x v="2"/>
    <n v="174199.03760000001"/>
    <n v="46"/>
    <x v="0"/>
    <n v="3072.77"/>
    <n v="4982.8100000000004"/>
    <n v="32851.617600000012"/>
    <s v="Returning"/>
    <n v="0.24"/>
    <s v="Credit Card"/>
    <s v="Online"/>
    <x v="9"/>
  </r>
  <r>
    <n v="1075"/>
    <x v="28"/>
    <d v="2022-07-02T00:00:00"/>
    <x v="0"/>
    <s v="Jul"/>
    <x v="3"/>
    <x v="0"/>
    <n v="86188.680832955317"/>
    <n v="20"/>
    <x v="0"/>
    <n v="4295.33"/>
    <n v="4327.03"/>
    <n v="633.99999999999636"/>
    <s v="New"/>
    <n v="0"/>
    <s v="Bank Transfer"/>
    <s v="Retail"/>
    <x v="11"/>
  </r>
  <r>
    <n v="1006"/>
    <x v="299"/>
    <d v="2022-07-02T00:00:00"/>
    <x v="0"/>
    <s v="Jul"/>
    <x v="3"/>
    <x v="2"/>
    <n v="175632.01073686601"/>
    <n v="38"/>
    <x v="0"/>
    <n v="4607.82"/>
    <n v="4666.29"/>
    <n v="448.66979999999967"/>
    <s v="New"/>
    <n v="0.01"/>
    <s v="Cash"/>
    <s v="Retail"/>
    <x v="9"/>
  </r>
  <r>
    <n v="1005"/>
    <x v="300"/>
    <d v="2022-07-02T00:00:00"/>
    <x v="0"/>
    <s v="Jul"/>
    <x v="1"/>
    <x v="0"/>
    <n v="13994.041599999999"/>
    <n v="8"/>
    <x v="0"/>
    <n v="494.12"/>
    <n v="2396.2399999999998"/>
    <n v="10041.081599999998"/>
    <s v="Returning"/>
    <n v="0.27"/>
    <s v="Cash"/>
    <s v="Online"/>
    <x v="10"/>
  </r>
  <r>
    <n v="1073"/>
    <x v="124"/>
    <d v="2022-07-02T00:00:00"/>
    <x v="0"/>
    <s v="Jul"/>
    <x v="3"/>
    <x v="2"/>
    <n v="124299.31139999998"/>
    <n v="27"/>
    <x v="2"/>
    <n v="2210.4"/>
    <n v="4897.53"/>
    <n v="64618.511399999981"/>
    <s v="New"/>
    <n v="0.06"/>
    <s v="Bank Transfer"/>
    <s v="Online"/>
    <x v="9"/>
  </r>
  <r>
    <n v="1036"/>
    <x v="301"/>
    <d v="2022-07-02T00:00:00"/>
    <x v="0"/>
    <s v="Jul"/>
    <x v="0"/>
    <x v="0"/>
    <n v="131018.86140000001"/>
    <n v="42"/>
    <x v="3"/>
    <n v="614.82000000000005"/>
    <n v="3948.73"/>
    <n v="105196.42139999999"/>
    <s v="New"/>
    <n v="0.21"/>
    <s v="Bank Transfer"/>
    <s v="Online"/>
    <x v="0"/>
  </r>
  <r>
    <n v="1058"/>
    <x v="289"/>
    <d v="2022-07-03T00:00:00"/>
    <x v="0"/>
    <s v="Jul"/>
    <x v="2"/>
    <x v="0"/>
    <n v="161872.7488"/>
    <n v="34"/>
    <x v="1"/>
    <n v="4710.8500000000004"/>
    <n v="5174.96"/>
    <n v="1703.8487999999925"/>
    <s v="New"/>
    <n v="0.08"/>
    <s v="Cash"/>
    <s v="Online"/>
    <x v="18"/>
  </r>
  <r>
    <n v="1009"/>
    <x v="276"/>
    <d v="2022-07-03T00:00:00"/>
    <x v="0"/>
    <s v="Jul"/>
    <x v="3"/>
    <x v="3"/>
    <n v="77317.296000000002"/>
    <n v="35"/>
    <x v="0"/>
    <n v="231.4"/>
    <n v="2301.11"/>
    <n v="69218.295999999988"/>
    <s v="New"/>
    <n v="0.04"/>
    <s v="Cash"/>
    <s v="Retail"/>
    <x v="4"/>
  </r>
  <r>
    <n v="1069"/>
    <x v="302"/>
    <d v="2022-07-04T00:00:00"/>
    <x v="0"/>
    <s v="Jul"/>
    <x v="4"/>
    <x v="0"/>
    <n v="21461.320799999998"/>
    <n v="9"/>
    <x v="2"/>
    <n v="1424.87"/>
    <n v="3137.62"/>
    <n v="8637.4907999999996"/>
    <s v="Returning"/>
    <n v="0.24"/>
    <s v="Cash"/>
    <s v="Retail"/>
    <x v="13"/>
  </r>
  <r>
    <n v="1078"/>
    <x v="268"/>
    <d v="2022-07-05T00:00:00"/>
    <x v="0"/>
    <s v="Jul"/>
    <x v="2"/>
    <x v="0"/>
    <n v="41227.207900000001"/>
    <n v="23"/>
    <x v="3"/>
    <n v="1690.06"/>
    <n v="2524.63"/>
    <n v="2355.8279000000011"/>
    <s v="Returning"/>
    <n v="0.28999999999999998"/>
    <s v="Bank Transfer"/>
    <s v="Online"/>
    <x v="18"/>
  </r>
  <r>
    <n v="1018"/>
    <x v="303"/>
    <d v="2022-07-05T00:00:00"/>
    <x v="0"/>
    <s v="Jul"/>
    <x v="3"/>
    <x v="2"/>
    <n v="22130.387999999999"/>
    <n v="7"/>
    <x v="2"/>
    <n v="1715.59"/>
    <n v="4390.95"/>
    <n v="10121.258"/>
    <s v="Returning"/>
    <n v="0.28000000000000003"/>
    <s v="Credit Card"/>
    <s v="Online"/>
    <x v="9"/>
  </r>
  <r>
    <n v="1027"/>
    <x v="182"/>
    <d v="2022-07-05T00:00:00"/>
    <x v="0"/>
    <s v="Jul"/>
    <x v="1"/>
    <x v="1"/>
    <n v="38546.0075"/>
    <n v="25"/>
    <x v="2"/>
    <n v="908.55"/>
    <n v="1694.33"/>
    <n v="15832.257500000003"/>
    <s v="New"/>
    <n v="0.09"/>
    <s v="Cash"/>
    <s v="Online"/>
    <x v="1"/>
  </r>
  <r>
    <n v="1081"/>
    <x v="250"/>
    <d v="2022-07-06T00:00:00"/>
    <x v="0"/>
    <s v="Jul"/>
    <x v="2"/>
    <x v="2"/>
    <n v="6570.6066000000001"/>
    <n v="2"/>
    <x v="3"/>
    <n v="840.49"/>
    <n v="4055.93"/>
    <n v="4889.6265999999996"/>
    <s v="New"/>
    <n v="0.19"/>
    <s v="Cash"/>
    <s v="Retail"/>
    <x v="14"/>
  </r>
  <r>
    <n v="1060"/>
    <x v="304"/>
    <d v="2022-07-06T00:00:00"/>
    <x v="0"/>
    <s v="Jul"/>
    <x v="1"/>
    <x v="1"/>
    <n v="89513.579999999987"/>
    <n v="25"/>
    <x v="3"/>
    <n v="1843.22"/>
    <n v="4590.4399999999996"/>
    <n v="43433.079999999987"/>
    <s v="New"/>
    <n v="0.22"/>
    <s v="Credit Card"/>
    <s v="Online"/>
    <x v="1"/>
  </r>
  <r>
    <n v="1073"/>
    <x v="124"/>
    <d v="2022-07-07T00:00:00"/>
    <x v="0"/>
    <s v="Jul"/>
    <x v="3"/>
    <x v="1"/>
    <n v="39389.664991664555"/>
    <n v="16"/>
    <x v="2"/>
    <n v="2365.64"/>
    <n v="2506.63"/>
    <n v="1453.7184000000052"/>
    <s v="New"/>
    <n v="0.02"/>
    <s v="Credit Card"/>
    <s v="Retail"/>
    <x v="16"/>
  </r>
  <r>
    <n v="1016"/>
    <x v="305"/>
    <d v="2022-07-07T00:00:00"/>
    <x v="0"/>
    <s v="Jul"/>
    <x v="4"/>
    <x v="3"/>
    <n v="31875.337200000002"/>
    <n v="14"/>
    <x v="3"/>
    <n v="1696.46"/>
    <n v="3076.77"/>
    <n v="8124.8971999999994"/>
    <s v="New"/>
    <n v="0.26"/>
    <s v="Cash"/>
    <s v="Online"/>
    <x v="12"/>
  </r>
  <r>
    <n v="1097"/>
    <x v="306"/>
    <d v="2022-07-07T00:00:00"/>
    <x v="0"/>
    <s v="Jul"/>
    <x v="4"/>
    <x v="1"/>
    <n v="105194.24100000001"/>
    <n v="27"/>
    <x v="3"/>
    <n v="3518.18"/>
    <n v="4101.1400000000003"/>
    <n v="10203.381000000007"/>
    <s v="Returning"/>
    <n v="0.05"/>
    <s v="Credit Card"/>
    <s v="Online"/>
    <x v="6"/>
  </r>
  <r>
    <n v="1016"/>
    <x v="270"/>
    <d v="2022-07-07T00:00:00"/>
    <x v="0"/>
    <s v="Jul"/>
    <x v="4"/>
    <x v="2"/>
    <n v="51183.375999999997"/>
    <n v="16"/>
    <x v="1"/>
    <n v="2457.06"/>
    <n v="3403.15"/>
    <n v="11870.415999999997"/>
    <s v="Returning"/>
    <n v="0.06"/>
    <s v="Cash"/>
    <s v="Retail"/>
    <x v="17"/>
  </r>
  <r>
    <n v="1033"/>
    <x v="99"/>
    <d v="2022-07-07T00:00:00"/>
    <x v="0"/>
    <s v="Jul"/>
    <x v="4"/>
    <x v="0"/>
    <n v="34614.961199999998"/>
    <n v="18"/>
    <x v="0"/>
    <n v="996.37"/>
    <n v="2374.14"/>
    <n v="16680.301200000002"/>
    <s v="New"/>
    <n v="0.19"/>
    <s v="Credit Card"/>
    <s v="Online"/>
    <x v="13"/>
  </r>
  <r>
    <n v="1035"/>
    <x v="76"/>
    <d v="2022-07-07T00:00:00"/>
    <x v="0"/>
    <s v="Jul"/>
    <x v="1"/>
    <x v="2"/>
    <n v="151452.0422"/>
    <n v="46"/>
    <x v="0"/>
    <n v="2579.9699999999998"/>
    <n v="3966.79"/>
    <n v="32773.422200000008"/>
    <s v="New"/>
    <n v="0.17"/>
    <s v="Cash"/>
    <s v="Online"/>
    <x v="15"/>
  </r>
  <r>
    <n v="1083"/>
    <x v="100"/>
    <d v="2022-07-08T00:00:00"/>
    <x v="0"/>
    <s v="Jul"/>
    <x v="1"/>
    <x v="0"/>
    <n v="43428.342399999994"/>
    <n v="16"/>
    <x v="3"/>
    <n v="1143.45"/>
    <n v="3718.18"/>
    <n v="25133.142399999993"/>
    <s v="Returning"/>
    <n v="0.27"/>
    <s v="Credit Card"/>
    <s v="Online"/>
    <x v="10"/>
  </r>
  <r>
    <n v="1032"/>
    <x v="148"/>
    <d v="2022-07-09T00:00:00"/>
    <x v="0"/>
    <s v="Jul"/>
    <x v="4"/>
    <x v="2"/>
    <n v="10678.376855980487"/>
    <n v="12"/>
    <x v="0"/>
    <n v="872.91"/>
    <n v="891.44"/>
    <n v="222.36000000000104"/>
    <s v="New"/>
    <n v="0"/>
    <s v="Credit Card"/>
    <s v="Online"/>
    <x v="17"/>
  </r>
  <r>
    <n v="1033"/>
    <x v="220"/>
    <d v="2022-07-09T00:00:00"/>
    <x v="0"/>
    <s v="Jul"/>
    <x v="0"/>
    <x v="3"/>
    <n v="50058.139599999995"/>
    <n v="14"/>
    <x v="1"/>
    <n v="1178.4000000000001"/>
    <n v="3803.81"/>
    <n v="33560.539599999989"/>
    <s v="New"/>
    <n v="0.06"/>
    <s v="Cash"/>
    <s v="Online"/>
    <x v="5"/>
  </r>
  <r>
    <n v="1068"/>
    <x v="78"/>
    <d v="2022-07-09T00:00:00"/>
    <x v="0"/>
    <s v="Jul"/>
    <x v="3"/>
    <x v="2"/>
    <n v="122178.28600000001"/>
    <n v="47"/>
    <x v="1"/>
    <n v="696.02"/>
    <n v="3058.28"/>
    <n v="89465.346000000005"/>
    <s v="Returning"/>
    <n v="0.15"/>
    <s v="Cash"/>
    <s v="Online"/>
    <x v="9"/>
  </r>
  <r>
    <n v="1005"/>
    <x v="253"/>
    <d v="2022-07-10T00:00:00"/>
    <x v="0"/>
    <s v="Jul"/>
    <x v="0"/>
    <x v="3"/>
    <n v="6330.5240000000003"/>
    <n v="4"/>
    <x v="2"/>
    <n v="1084.24"/>
    <n v="1683.65"/>
    <n v="1993.5640000000003"/>
    <s v="Returning"/>
    <n v="0.06"/>
    <s v="Bank Transfer"/>
    <s v="Online"/>
    <x v="5"/>
  </r>
  <r>
    <n v="1088"/>
    <x v="25"/>
    <d v="2022-07-10T00:00:00"/>
    <x v="0"/>
    <s v="Jul"/>
    <x v="4"/>
    <x v="1"/>
    <n v="44946.288"/>
    <n v="10"/>
    <x v="1"/>
    <n v="2292.88"/>
    <n v="4781.5200000000004"/>
    <n v="22017.488000000005"/>
    <s v="New"/>
    <n v="0.06"/>
    <s v="Cash"/>
    <s v="Online"/>
    <x v="6"/>
  </r>
  <r>
    <n v="1064"/>
    <x v="88"/>
    <d v="2022-07-10T00:00:00"/>
    <x v="0"/>
    <s v="Jul"/>
    <x v="0"/>
    <x v="0"/>
    <n v="70192.95719999999"/>
    <n v="29"/>
    <x v="3"/>
    <n v="1423.65"/>
    <n v="3409.08"/>
    <n v="28907.107199999988"/>
    <s v="New"/>
    <n v="0.28999999999999998"/>
    <s v="Bank Transfer"/>
    <s v="Retail"/>
    <x v="0"/>
  </r>
  <r>
    <n v="1044"/>
    <x v="209"/>
    <d v="2022-07-11T00:00:00"/>
    <x v="0"/>
    <s v="Jul"/>
    <x v="1"/>
    <x v="1"/>
    <n v="81305.207999999999"/>
    <n v="45"/>
    <x v="0"/>
    <n v="1802.95"/>
    <n v="2509.42"/>
    <n v="172.45800000000031"/>
    <s v="Returning"/>
    <n v="0.28000000000000003"/>
    <s v="Credit Card"/>
    <s v="Retail"/>
    <x v="1"/>
  </r>
  <r>
    <n v="1014"/>
    <x v="125"/>
    <d v="2022-07-11T00:00:00"/>
    <x v="0"/>
    <s v="Jul"/>
    <x v="2"/>
    <x v="3"/>
    <n v="8901.4652999999998"/>
    <n v="9"/>
    <x v="3"/>
    <n v="891.4"/>
    <n v="1086.8699999999999"/>
    <n v="878.86530000000005"/>
    <s v="New"/>
    <n v="0.09"/>
    <s v="Credit Card"/>
    <s v="Online"/>
    <x v="3"/>
  </r>
  <r>
    <n v="1059"/>
    <x v="141"/>
    <d v="2022-07-11T00:00:00"/>
    <x v="0"/>
    <s v="Jul"/>
    <x v="0"/>
    <x v="1"/>
    <n v="189606.02000000002"/>
    <n v="50"/>
    <x v="2"/>
    <n v="1009.43"/>
    <n v="4121.87"/>
    <n v="139134.52000000002"/>
    <s v="New"/>
    <n v="0.08"/>
    <s v="Credit Card"/>
    <s v="Online"/>
    <x v="19"/>
  </r>
  <r>
    <n v="1008"/>
    <x v="95"/>
    <d v="2022-07-12T00:00:00"/>
    <x v="0"/>
    <s v="Jul"/>
    <x v="0"/>
    <x v="2"/>
    <n v="45117.9"/>
    <n v="40"/>
    <x v="1"/>
    <n v="949.64"/>
    <n v="1503.93"/>
    <n v="7132.3"/>
    <s v="New"/>
    <n v="0.25"/>
    <s v="Bank Transfer"/>
    <s v="Retail"/>
    <x v="2"/>
  </r>
  <r>
    <n v="1071"/>
    <x v="186"/>
    <d v="2022-07-12T00:00:00"/>
    <x v="0"/>
    <s v="Jul"/>
    <x v="0"/>
    <x v="3"/>
    <n v="106697.22"/>
    <n v="21"/>
    <x v="1"/>
    <n v="2290.69"/>
    <n v="5080.82"/>
    <n v="58592.729999999996"/>
    <s v="New"/>
    <n v="0"/>
    <s v="Cash"/>
    <s v="Online"/>
    <x v="5"/>
  </r>
  <r>
    <n v="1003"/>
    <x v="66"/>
    <d v="2022-07-13T00:00:00"/>
    <x v="0"/>
    <s v="Jul"/>
    <x v="2"/>
    <x v="1"/>
    <n v="2479.2138"/>
    <n v="1"/>
    <x v="3"/>
    <n v="727.01"/>
    <n v="2529.81"/>
    <n v="1752.2038"/>
    <s v="Returning"/>
    <n v="0.02"/>
    <s v="Cash"/>
    <s v="Retail"/>
    <x v="8"/>
  </r>
  <r>
    <n v="1050"/>
    <x v="31"/>
    <d v="2022-07-13T00:00:00"/>
    <x v="0"/>
    <s v="Jul"/>
    <x v="0"/>
    <x v="2"/>
    <n v="5389.4475000000002"/>
    <n v="3"/>
    <x v="0"/>
    <n v="1163.4000000000001"/>
    <n v="2395.31"/>
    <n v="1899.2474999999999"/>
    <s v="New"/>
    <n v="0.25"/>
    <s v="Credit Card"/>
    <s v="Online"/>
    <x v="2"/>
  </r>
  <r>
    <n v="1097"/>
    <x v="42"/>
    <d v="2022-07-13T00:00:00"/>
    <x v="0"/>
    <s v="Jul"/>
    <x v="2"/>
    <x v="2"/>
    <n v="15076.672500000001"/>
    <n v="5"/>
    <x v="1"/>
    <n v="2155.5"/>
    <n v="4246.95"/>
    <n v="4299.1724999999997"/>
    <s v="New"/>
    <n v="0.28999999999999998"/>
    <s v="Credit Card"/>
    <s v="Online"/>
    <x v="14"/>
  </r>
  <r>
    <n v="1009"/>
    <x v="243"/>
    <d v="2022-07-13T00:00:00"/>
    <x v="0"/>
    <s v="Jul"/>
    <x v="3"/>
    <x v="1"/>
    <n v="76779.637499999997"/>
    <n v="31"/>
    <x v="2"/>
    <n v="843.89"/>
    <n v="3302.35"/>
    <n v="50619.047500000001"/>
    <s v="New"/>
    <n v="0.25"/>
    <s v="Cash"/>
    <s v="Online"/>
    <x v="16"/>
  </r>
  <r>
    <n v="1044"/>
    <x v="69"/>
    <d v="2022-07-13T00:00:00"/>
    <x v="0"/>
    <s v="Jul"/>
    <x v="0"/>
    <x v="3"/>
    <n v="189399.85680000001"/>
    <n v="44"/>
    <x v="3"/>
    <n v="2355.6799999999998"/>
    <n v="4628.54"/>
    <n v="85749.936799999996"/>
    <s v="New"/>
    <n v="7.0000000000000007E-2"/>
    <s v="Credit Card"/>
    <s v="Online"/>
    <x v="5"/>
  </r>
  <r>
    <n v="1098"/>
    <x v="106"/>
    <d v="2022-07-14T00:00:00"/>
    <x v="0"/>
    <s v="Jul"/>
    <x v="3"/>
    <x v="3"/>
    <n v="101760.48960000002"/>
    <n v="32"/>
    <x v="2"/>
    <n v="3145.91"/>
    <n v="4129.8900000000003"/>
    <n v="1091.36960000002"/>
    <s v="New"/>
    <n v="0.23"/>
    <s v="Credit Card"/>
    <s v="Online"/>
    <x v="4"/>
  </r>
  <r>
    <n v="1033"/>
    <x v="202"/>
    <d v="2022-07-14T00:00:00"/>
    <x v="0"/>
    <s v="Jul"/>
    <x v="3"/>
    <x v="3"/>
    <n v="38359.473677161121"/>
    <n v="29"/>
    <x v="3"/>
    <n v="1095.7"/>
    <n v="1337.54"/>
    <n v="6625.4734000000008"/>
    <s v="Returning"/>
    <n v="0.01"/>
    <s v="Credit Card"/>
    <s v="Retail"/>
    <x v="4"/>
  </r>
  <r>
    <n v="1048"/>
    <x v="294"/>
    <d v="2022-07-14T00:00:00"/>
    <x v="0"/>
    <s v="Jul"/>
    <x v="3"/>
    <x v="1"/>
    <n v="58819.445999999989"/>
    <n v="27"/>
    <x v="1"/>
    <n v="894.29"/>
    <n v="2593.4499999999998"/>
    <n v="34673.615999999987"/>
    <s v="Returning"/>
    <n v="0.16"/>
    <s v="Credit Card"/>
    <s v="Retail"/>
    <x v="16"/>
  </r>
  <r>
    <n v="1085"/>
    <x v="5"/>
    <d v="2022-07-14T00:00:00"/>
    <x v="0"/>
    <s v="Jul"/>
    <x v="1"/>
    <x v="0"/>
    <n v="68584.838400000008"/>
    <n v="26"/>
    <x v="0"/>
    <n v="1269.6300000000001"/>
    <n v="3256.64"/>
    <n v="35574.458399999996"/>
    <s v="New"/>
    <n v="0.19"/>
    <s v="Credit Card"/>
    <s v="Online"/>
    <x v="10"/>
  </r>
  <r>
    <n v="1007"/>
    <x v="192"/>
    <d v="2022-07-14T00:00:00"/>
    <x v="0"/>
    <s v="Jul"/>
    <x v="1"/>
    <x v="0"/>
    <n v="117520.8232"/>
    <n v="43"/>
    <x v="1"/>
    <n v="896.47"/>
    <n v="3105.73"/>
    <n v="78972.613199999993"/>
    <s v="New"/>
    <n v="0.12"/>
    <s v="Credit Card"/>
    <s v="Retail"/>
    <x v="10"/>
  </r>
  <r>
    <n v="1015"/>
    <x v="91"/>
    <d v="2022-07-15T00:00:00"/>
    <x v="0"/>
    <s v="Jul"/>
    <x v="0"/>
    <x v="2"/>
    <n v="168727.61360000001"/>
    <n v="46"/>
    <x v="0"/>
    <n v="3594.06"/>
    <n v="4030.76"/>
    <n v="3400.8536000000158"/>
    <s v="Returning"/>
    <n v="0.09"/>
    <s v="Credit Card"/>
    <s v="Online"/>
    <x v="2"/>
  </r>
  <r>
    <n v="1042"/>
    <x v="58"/>
    <d v="2022-07-15T00:00:00"/>
    <x v="0"/>
    <s v="Jul"/>
    <x v="2"/>
    <x v="0"/>
    <n v="46704.023797964954"/>
    <n v="9"/>
    <x v="3"/>
    <n v="4800.18"/>
    <n v="5429.76"/>
    <n v="3711.5063999999957"/>
    <s v="Returning"/>
    <n v="0.04"/>
    <s v="Credit Card"/>
    <s v="Online"/>
    <x v="18"/>
  </r>
  <r>
    <n v="1062"/>
    <x v="18"/>
    <d v="2022-07-15T00:00:00"/>
    <x v="0"/>
    <s v="Jul"/>
    <x v="2"/>
    <x v="2"/>
    <n v="6838.4879999999994"/>
    <n v="2"/>
    <x v="0"/>
    <n v="1085.0999999999999"/>
    <n v="4748.95"/>
    <n v="4668.2879999999996"/>
    <s v="New"/>
    <n v="0.28000000000000003"/>
    <s v="Cash"/>
    <s v="Retail"/>
    <x v="14"/>
  </r>
  <r>
    <n v="1068"/>
    <x v="307"/>
    <d v="2022-07-15T00:00:00"/>
    <x v="0"/>
    <s v="Jul"/>
    <x v="2"/>
    <x v="3"/>
    <n v="55917.004800000002"/>
    <n v="16"/>
    <x v="0"/>
    <n v="145.22"/>
    <n v="4722.72"/>
    <n v="53593.484800000006"/>
    <s v="New"/>
    <n v="0.26"/>
    <s v="Credit Card"/>
    <s v="Retail"/>
    <x v="3"/>
  </r>
  <r>
    <n v="1084"/>
    <x v="61"/>
    <d v="2022-07-16T00:00:00"/>
    <x v="0"/>
    <s v="Jul"/>
    <x v="1"/>
    <x v="0"/>
    <n v="30904.057800000002"/>
    <n v="18"/>
    <x v="3"/>
    <n v="1625.31"/>
    <n v="2229.73"/>
    <n v="1648.4778000000015"/>
    <s v="New"/>
    <n v="0.23"/>
    <s v="Bank Transfer"/>
    <s v="Online"/>
    <x v="10"/>
  </r>
  <r>
    <n v="1015"/>
    <x v="91"/>
    <d v="2022-07-16T00:00:00"/>
    <x v="0"/>
    <s v="Jul"/>
    <x v="2"/>
    <x v="0"/>
    <n v="97159.318599999999"/>
    <n v="46"/>
    <x v="0"/>
    <n v="1925.74"/>
    <n v="2544.77"/>
    <n v="8575.2785999999924"/>
    <s v="New"/>
    <n v="0.17"/>
    <s v="Credit Card"/>
    <s v="Online"/>
    <x v="18"/>
  </r>
  <r>
    <n v="1022"/>
    <x v="248"/>
    <d v="2022-07-16T00:00:00"/>
    <x v="0"/>
    <s v="Jul"/>
    <x v="4"/>
    <x v="1"/>
    <n v="22409.928"/>
    <n v="9"/>
    <x v="2"/>
    <n v="971.32"/>
    <n v="3112.49"/>
    <n v="13668.048000000001"/>
    <s v="New"/>
    <n v="0.2"/>
    <s v="Cash"/>
    <s v="Retail"/>
    <x v="6"/>
  </r>
  <r>
    <n v="1099"/>
    <x v="288"/>
    <d v="2022-07-16T00:00:00"/>
    <x v="0"/>
    <s v="Jul"/>
    <x v="2"/>
    <x v="0"/>
    <n v="129564.22484423075"/>
    <n v="33"/>
    <x v="2"/>
    <n v="3415.66"/>
    <n v="3968.94"/>
    <n v="16948.489799999999"/>
    <s v="Returning"/>
    <n v="0.01"/>
    <s v="Cash"/>
    <s v="Retail"/>
    <x v="18"/>
  </r>
  <r>
    <n v="1016"/>
    <x v="270"/>
    <d v="2022-07-17T00:00:00"/>
    <x v="0"/>
    <s v="Jul"/>
    <x v="2"/>
    <x v="2"/>
    <n v="37802.962688625281"/>
    <n v="12"/>
    <x v="1"/>
    <n v="3084.91"/>
    <n v="3154.24"/>
    <n v="831.95999999999913"/>
    <s v="New"/>
    <n v="0"/>
    <s v="Credit Card"/>
    <s v="Retail"/>
    <x v="14"/>
  </r>
  <r>
    <n v="1078"/>
    <x v="308"/>
    <d v="2022-07-18T00:00:00"/>
    <x v="0"/>
    <s v="Jul"/>
    <x v="0"/>
    <x v="3"/>
    <n v="21572.611199999999"/>
    <n v="6"/>
    <x v="1"/>
    <n v="3512.1"/>
    <n v="4993.66"/>
    <n v="500.01119999999992"/>
    <s v="New"/>
    <n v="0.28000000000000003"/>
    <s v="Credit Card"/>
    <s v="Online"/>
    <x v="5"/>
  </r>
  <r>
    <n v="1013"/>
    <x v="15"/>
    <d v="2022-07-18T00:00:00"/>
    <x v="0"/>
    <s v="Jul"/>
    <x v="3"/>
    <x v="3"/>
    <n v="48235.0674"/>
    <n v="13"/>
    <x v="0"/>
    <n v="809.24"/>
    <n v="4756.91"/>
    <n v="37714.947400000005"/>
    <s v="New"/>
    <n v="0.22"/>
    <s v="Cash"/>
    <s v="Retail"/>
    <x v="4"/>
  </r>
  <r>
    <n v="1053"/>
    <x v="309"/>
    <d v="2022-07-18T00:00:00"/>
    <x v="0"/>
    <s v="Jul"/>
    <x v="1"/>
    <x v="0"/>
    <n v="94361.668799999999"/>
    <n v="31"/>
    <x v="3"/>
    <n v="566.4"/>
    <n v="3623.72"/>
    <n v="76803.268799999991"/>
    <s v="Returning"/>
    <n v="0.16"/>
    <s v="Cash"/>
    <s v="Retail"/>
    <x v="10"/>
  </r>
  <r>
    <n v="1038"/>
    <x v="6"/>
    <d v="2022-07-19T00:00:00"/>
    <x v="0"/>
    <s v="Jul"/>
    <x v="3"/>
    <x v="1"/>
    <n v="72506.646800000002"/>
    <n v="29"/>
    <x v="0"/>
    <n v="2062.54"/>
    <n v="3049.06"/>
    <n v="12692.986800000008"/>
    <s v="Returning"/>
    <n v="0.18"/>
    <s v="Cash"/>
    <s v="Online"/>
    <x v="16"/>
  </r>
  <r>
    <n v="1084"/>
    <x v="61"/>
    <d v="2022-07-19T00:00:00"/>
    <x v="0"/>
    <s v="Jul"/>
    <x v="1"/>
    <x v="0"/>
    <n v="90149.323999999993"/>
    <n v="20"/>
    <x v="3"/>
    <n v="3031.64"/>
    <n v="5496.91"/>
    <n v="29516.523999999998"/>
    <s v="Returning"/>
    <n v="0.18"/>
    <s v="Credit Card"/>
    <s v="Retail"/>
    <x v="10"/>
  </r>
  <r>
    <n v="1065"/>
    <x v="310"/>
    <d v="2022-07-19T00:00:00"/>
    <x v="0"/>
    <s v="Jul"/>
    <x v="2"/>
    <x v="1"/>
    <n v="64895.771999999997"/>
    <n v="40"/>
    <x v="3"/>
    <n v="615.67999999999995"/>
    <n v="1744.51"/>
    <n v="40268.572"/>
    <s v="Returning"/>
    <n v="7.0000000000000007E-2"/>
    <s v="Cash"/>
    <s v="Retail"/>
    <x v="8"/>
  </r>
  <r>
    <n v="1020"/>
    <x v="48"/>
    <d v="2022-07-19T00:00:00"/>
    <x v="0"/>
    <s v="Jul"/>
    <x v="2"/>
    <x v="1"/>
    <n v="107898.00840000001"/>
    <n v="36"/>
    <x v="3"/>
    <n v="420.44"/>
    <n v="3293.59"/>
    <n v="92762.16840000001"/>
    <s v="Returning"/>
    <n v="0.09"/>
    <s v="Bank Transfer"/>
    <s v="Retail"/>
    <x v="8"/>
  </r>
  <r>
    <n v="1058"/>
    <x v="188"/>
    <d v="2022-07-20T00:00:00"/>
    <x v="0"/>
    <s v="Jul"/>
    <x v="0"/>
    <x v="3"/>
    <n v="91487.751700205888"/>
    <n v="30"/>
    <x v="2"/>
    <n v="2735.69"/>
    <n v="3199.27"/>
    <n v="9108.4949999999881"/>
    <s v="New"/>
    <n v="0.05"/>
    <s v="Cash"/>
    <s v="Retail"/>
    <x v="5"/>
  </r>
  <r>
    <n v="1038"/>
    <x v="6"/>
    <d v="2022-07-21T00:00:00"/>
    <x v="0"/>
    <s v="Jul"/>
    <x v="2"/>
    <x v="1"/>
    <n v="24777.600000000002"/>
    <n v="20"/>
    <x v="0"/>
    <n v="329.78"/>
    <n v="1238.8800000000001"/>
    <n v="18182.000000000004"/>
    <s v="Returning"/>
    <n v="0"/>
    <s v="Bank Transfer"/>
    <s v="Online"/>
    <x v="8"/>
  </r>
  <r>
    <n v="1027"/>
    <x v="182"/>
    <d v="2022-07-21T00:00:00"/>
    <x v="0"/>
    <s v="Jul"/>
    <x v="0"/>
    <x v="1"/>
    <n v="30337.5072"/>
    <n v="8"/>
    <x v="2"/>
    <n v="932.3"/>
    <n v="4167.24"/>
    <n v="22879.107199999999"/>
    <s v="New"/>
    <n v="0.09"/>
    <s v="Bank Transfer"/>
    <s v="Retail"/>
    <x v="19"/>
  </r>
  <r>
    <n v="1090"/>
    <x v="55"/>
    <d v="2022-07-21T00:00:00"/>
    <x v="0"/>
    <s v="Jul"/>
    <x v="0"/>
    <x v="3"/>
    <n v="57115.856999999996"/>
    <n v="15"/>
    <x v="3"/>
    <n v="1612.32"/>
    <n v="4050.77"/>
    <n v="32931.057000000001"/>
    <s v="Returning"/>
    <n v="0.06"/>
    <s v="Bank Transfer"/>
    <s v="Retail"/>
    <x v="5"/>
  </r>
  <r>
    <n v="1078"/>
    <x v="21"/>
    <d v="2022-07-21T00:00:00"/>
    <x v="0"/>
    <s v="Jul"/>
    <x v="1"/>
    <x v="1"/>
    <n v="60999.81719999999"/>
    <n v="43"/>
    <x v="2"/>
    <n v="630.24"/>
    <n v="1688.81"/>
    <n v="33899.497199999991"/>
    <s v="New"/>
    <n v="0.16"/>
    <s v="Bank Transfer"/>
    <s v="Online"/>
    <x v="1"/>
  </r>
  <r>
    <n v="1032"/>
    <x v="311"/>
    <d v="2022-07-21T00:00:00"/>
    <x v="0"/>
    <s v="Jul"/>
    <x v="4"/>
    <x v="3"/>
    <n v="214370.72719999999"/>
    <n v="49"/>
    <x v="1"/>
    <n v="3045.1"/>
    <n v="4755.34"/>
    <n v="65160.827200000007"/>
    <s v="New"/>
    <n v="0.08"/>
    <s v="Bank Transfer"/>
    <s v="Retail"/>
    <x v="12"/>
  </r>
  <r>
    <n v="1098"/>
    <x v="127"/>
    <d v="2022-07-22T00:00:00"/>
    <x v="0"/>
    <s v="Jul"/>
    <x v="1"/>
    <x v="3"/>
    <n v="55889.349600000001"/>
    <n v="17"/>
    <x v="1"/>
    <n v="3196.22"/>
    <n v="3913.82"/>
    <n v="1553.609600000003"/>
    <s v="Returning"/>
    <n v="0.16"/>
    <s v="Credit Card"/>
    <s v="Online"/>
    <x v="7"/>
  </r>
  <r>
    <n v="1055"/>
    <x v="312"/>
    <d v="2022-07-22T00:00:00"/>
    <x v="0"/>
    <s v="Jul"/>
    <x v="2"/>
    <x v="0"/>
    <n v="122607.48240000001"/>
    <n v="43"/>
    <x v="3"/>
    <n v="853.73"/>
    <n v="3960.19"/>
    <n v="85897.092399999994"/>
    <s v="New"/>
    <n v="0.28000000000000003"/>
    <s v="Bank Transfer"/>
    <s v="Online"/>
    <x v="18"/>
  </r>
  <r>
    <n v="1009"/>
    <x v="243"/>
    <d v="2022-07-23T00:00:00"/>
    <x v="0"/>
    <s v="Jul"/>
    <x v="2"/>
    <x v="2"/>
    <n v="23629.248499999998"/>
    <n v="11"/>
    <x v="2"/>
    <n v="2135.3000000000002"/>
    <n v="2214.5500000000002"/>
    <n v="140.94849999999724"/>
    <s v="New"/>
    <n v="0.03"/>
    <s v="Cash"/>
    <s v="Retail"/>
    <x v="14"/>
  </r>
  <r>
    <n v="1027"/>
    <x v="226"/>
    <d v="2022-07-23T00:00:00"/>
    <x v="0"/>
    <s v="Jul"/>
    <x v="4"/>
    <x v="2"/>
    <n v="26016.319999999996"/>
    <n v="10"/>
    <x v="0"/>
    <n v="330.34"/>
    <n v="2738.56"/>
    <n v="22712.919999999995"/>
    <s v="New"/>
    <n v="0.05"/>
    <s v="Bank Transfer"/>
    <s v="Retail"/>
    <x v="17"/>
  </r>
  <r>
    <n v="1039"/>
    <x v="113"/>
    <d v="2022-07-24T00:00:00"/>
    <x v="0"/>
    <s v="Jul"/>
    <x v="4"/>
    <x v="3"/>
    <n v="4630.3949999999995"/>
    <n v="2"/>
    <x v="2"/>
    <n v="1702.38"/>
    <n v="3086.93"/>
    <n v="1225.6349999999993"/>
    <s v="New"/>
    <n v="0.25"/>
    <s v="Bank Transfer"/>
    <s v="Retail"/>
    <x v="12"/>
  </r>
  <r>
    <n v="1081"/>
    <x v="250"/>
    <d v="2022-07-24T00:00:00"/>
    <x v="0"/>
    <s v="Jul"/>
    <x v="0"/>
    <x v="0"/>
    <n v="28013.467999999997"/>
    <n v="35"/>
    <x v="3"/>
    <n v="253.89"/>
    <n v="930.68"/>
    <n v="19127.317999999999"/>
    <s v="New"/>
    <n v="0.14000000000000001"/>
    <s v="Cash"/>
    <s v="Online"/>
    <x v="0"/>
  </r>
  <r>
    <n v="1025"/>
    <x v="54"/>
    <d v="2022-07-24T00:00:00"/>
    <x v="0"/>
    <s v="Jul"/>
    <x v="3"/>
    <x v="2"/>
    <n v="54725.227199999994"/>
    <n v="14"/>
    <x v="0"/>
    <n v="1394.07"/>
    <n v="4493.04"/>
    <n v="35208.247199999998"/>
    <s v="Returning"/>
    <n v="0.13"/>
    <s v="Bank Transfer"/>
    <s v="Online"/>
    <x v="9"/>
  </r>
  <r>
    <n v="1083"/>
    <x v="227"/>
    <d v="2022-07-24T00:00:00"/>
    <x v="0"/>
    <s v="Jul"/>
    <x v="0"/>
    <x v="1"/>
    <n v="243166.245"/>
    <n v="50"/>
    <x v="2"/>
    <n v="971.49"/>
    <n v="5464.41"/>
    <n v="194591.745"/>
    <s v="Returning"/>
    <n v="0.11"/>
    <s v="Cash"/>
    <s v="Retail"/>
    <x v="19"/>
  </r>
  <r>
    <n v="1098"/>
    <x v="127"/>
    <d v="2022-07-25T00:00:00"/>
    <x v="0"/>
    <s v="Jul"/>
    <x v="2"/>
    <x v="2"/>
    <n v="20303.8"/>
    <n v="4"/>
    <x v="1"/>
    <n v="3806.23"/>
    <n v="5075.95"/>
    <n v="5078.8799999999992"/>
    <s v="New"/>
    <n v="0"/>
    <s v="Credit Card"/>
    <s v="Online"/>
    <x v="14"/>
  </r>
  <r>
    <n v="1079"/>
    <x v="22"/>
    <d v="2022-07-25T00:00:00"/>
    <x v="0"/>
    <s v="Jul"/>
    <x v="4"/>
    <x v="3"/>
    <n v="134732.32304854499"/>
    <n v="33"/>
    <x v="2"/>
    <n v="3269.65"/>
    <n v="4095.69"/>
    <n v="27259.32"/>
    <s v="Returning"/>
    <n v="0"/>
    <s v="Cash"/>
    <s v="Online"/>
    <x v="12"/>
  </r>
  <r>
    <n v="1092"/>
    <x v="313"/>
    <d v="2022-07-25T00:00:00"/>
    <x v="0"/>
    <s v="Jul"/>
    <x v="3"/>
    <x v="2"/>
    <n v="70194.502799999987"/>
    <n v="17"/>
    <x v="0"/>
    <n v="1163.22"/>
    <n v="4439.88"/>
    <n v="50419.76279999999"/>
    <s v="Returning"/>
    <n v="7.0000000000000007E-2"/>
    <s v="Bank Transfer"/>
    <s v="Online"/>
    <x v="9"/>
  </r>
  <r>
    <n v="1022"/>
    <x v="116"/>
    <d v="2022-07-25T00:00:00"/>
    <x v="0"/>
    <s v="Jul"/>
    <x v="3"/>
    <x v="3"/>
    <n v="89207.247999999992"/>
    <n v="40"/>
    <x v="0"/>
    <n v="937.46"/>
    <n v="2424.11"/>
    <n v="51708.847999999998"/>
    <s v="Returning"/>
    <n v="0.08"/>
    <s v="Cash"/>
    <s v="Retail"/>
    <x v="4"/>
  </r>
  <r>
    <n v="1084"/>
    <x v="103"/>
    <d v="2022-07-25T00:00:00"/>
    <x v="0"/>
    <s v="Jul"/>
    <x v="0"/>
    <x v="1"/>
    <n v="100910.07160000001"/>
    <n v="26"/>
    <x v="0"/>
    <n v="1065.5999999999999"/>
    <n v="4128.8900000000003"/>
    <n v="73204.471600000004"/>
    <s v="New"/>
    <n v="0.06"/>
    <s v="Bank Transfer"/>
    <s v="Online"/>
    <x v="19"/>
  </r>
  <r>
    <n v="1013"/>
    <x v="231"/>
    <d v="2022-07-26T00:00:00"/>
    <x v="0"/>
    <s v="Jul"/>
    <x v="0"/>
    <x v="2"/>
    <n v="144801.95899539426"/>
    <n v="45"/>
    <x v="2"/>
    <n v="3187.72"/>
    <n v="3236.27"/>
    <n v="728.42850000000226"/>
    <s v="Returning"/>
    <n v="0.01"/>
    <s v="Bank Transfer"/>
    <s v="Online"/>
    <x v="2"/>
  </r>
  <r>
    <n v="1026"/>
    <x v="314"/>
    <d v="2022-07-26T00:00:00"/>
    <x v="0"/>
    <s v="Jul"/>
    <x v="0"/>
    <x v="1"/>
    <n v="14427.423999999999"/>
    <n v="4"/>
    <x v="2"/>
    <n v="3064.69"/>
    <n v="4098.7"/>
    <n v="2168.6639999999989"/>
    <s v="New"/>
    <n v="0.12"/>
    <s v="Bank Transfer"/>
    <s v="Online"/>
    <x v="19"/>
  </r>
  <r>
    <n v="1082"/>
    <x v="112"/>
    <d v="2022-07-26T00:00:00"/>
    <x v="0"/>
    <s v="Jul"/>
    <x v="3"/>
    <x v="0"/>
    <n v="67803.797600000005"/>
    <n v="22"/>
    <x v="2"/>
    <n v="2057.69"/>
    <n v="3349.99"/>
    <n v="22534.617599999998"/>
    <s v="New"/>
    <n v="0.08"/>
    <s v="Credit Card"/>
    <s v="Online"/>
    <x v="11"/>
  </r>
  <r>
    <n v="1001"/>
    <x v="315"/>
    <d v="2022-07-26T00:00:00"/>
    <x v="0"/>
    <s v="Jul"/>
    <x v="3"/>
    <x v="3"/>
    <n v="39968.860799999995"/>
    <n v="12"/>
    <x v="2"/>
    <n v="598.91"/>
    <n v="3784.93"/>
    <n v="32781.940799999997"/>
    <s v="New"/>
    <n v="0.12"/>
    <s v="Cash"/>
    <s v="Retail"/>
    <x v="4"/>
  </r>
  <r>
    <n v="1020"/>
    <x v="68"/>
    <d v="2022-07-26T00:00:00"/>
    <x v="0"/>
    <s v="Jul"/>
    <x v="0"/>
    <x v="0"/>
    <n v="128024.21799999998"/>
    <n v="37"/>
    <x v="2"/>
    <n v="1935.61"/>
    <n v="4873.3999999999996"/>
    <n v="56406.647999999986"/>
    <s v="Returning"/>
    <n v="0.28999999999999998"/>
    <s v="Bank Transfer"/>
    <s v="Online"/>
    <x v="0"/>
  </r>
  <r>
    <n v="1077"/>
    <x v="278"/>
    <d v="2022-07-26T00:00:00"/>
    <x v="0"/>
    <s v="Jul"/>
    <x v="2"/>
    <x v="0"/>
    <n v="105969.24"/>
    <n v="36"/>
    <x v="1"/>
    <n v="273.58999999999997"/>
    <n v="2943.59"/>
    <n v="96120"/>
    <s v="New"/>
    <n v="0"/>
    <s v="Cash"/>
    <s v="Online"/>
    <x v="18"/>
  </r>
  <r>
    <n v="1033"/>
    <x v="284"/>
    <d v="2022-07-27T00:00:00"/>
    <x v="0"/>
    <s v="Jul"/>
    <x v="3"/>
    <x v="0"/>
    <n v="99228.307648756745"/>
    <n v="26"/>
    <x v="2"/>
    <n v="3543.91"/>
    <n v="3873.07"/>
    <n v="7551.1618000000062"/>
    <s v="New"/>
    <n v="0.01"/>
    <s v="Cash"/>
    <s v="Online"/>
    <x v="11"/>
  </r>
  <r>
    <n v="1091"/>
    <x v="316"/>
    <d v="2022-07-27T00:00:00"/>
    <x v="0"/>
    <s v="Jul"/>
    <x v="0"/>
    <x v="3"/>
    <n v="17519.805"/>
    <n v="15"/>
    <x v="0"/>
    <n v="608.02"/>
    <n v="1255.9000000000001"/>
    <n v="8399.505000000001"/>
    <s v="New"/>
    <n v="7.0000000000000007E-2"/>
    <s v="Bank Transfer"/>
    <s v="Retail"/>
    <x v="5"/>
  </r>
  <r>
    <n v="1003"/>
    <x v="317"/>
    <d v="2022-07-27T00:00:00"/>
    <x v="0"/>
    <s v="Jul"/>
    <x v="3"/>
    <x v="2"/>
    <n v="81953.235000000001"/>
    <n v="42"/>
    <x v="1"/>
    <n v="991.37"/>
    <n v="2601.69"/>
    <n v="40315.695"/>
    <s v="New"/>
    <n v="0.25"/>
    <s v="Cash"/>
    <s v="Online"/>
    <x v="9"/>
  </r>
  <r>
    <n v="1073"/>
    <x v="264"/>
    <d v="2022-07-27T00:00:00"/>
    <x v="0"/>
    <s v="Jul"/>
    <x v="3"/>
    <x v="2"/>
    <n v="110430.31999999999"/>
    <n v="22"/>
    <x v="1"/>
    <n v="2386.0300000000002"/>
    <n v="5122"/>
    <n v="57937.659999999982"/>
    <s v="New"/>
    <n v="0.02"/>
    <s v="Cash"/>
    <s v="Online"/>
    <x v="9"/>
  </r>
  <r>
    <n v="1004"/>
    <x v="260"/>
    <d v="2022-07-27T00:00:00"/>
    <x v="0"/>
    <s v="Jul"/>
    <x v="4"/>
    <x v="1"/>
    <n v="192524.54520000002"/>
    <n v="39"/>
    <x v="1"/>
    <n v="470.26"/>
    <n v="5365.79"/>
    <n v="174184.40520000001"/>
    <s v="New"/>
    <n v="0.08"/>
    <s v="Bank Transfer"/>
    <s v="Retail"/>
    <x v="6"/>
  </r>
  <r>
    <n v="1043"/>
    <x v="273"/>
    <d v="2022-07-28T00:00:00"/>
    <x v="0"/>
    <s v="Jul"/>
    <x v="1"/>
    <x v="0"/>
    <n v="22681.721824127897"/>
    <n v="5"/>
    <x v="2"/>
    <n v="4077.69"/>
    <n v="4725.09"/>
    <n v="2291.9820000000004"/>
    <s v="Returning"/>
    <n v="0.04"/>
    <s v="Cash"/>
    <s v="Retail"/>
    <x v="10"/>
  </r>
  <r>
    <n v="1089"/>
    <x v="111"/>
    <d v="2022-07-29T00:00:00"/>
    <x v="0"/>
    <s v="Jul"/>
    <x v="2"/>
    <x v="2"/>
    <n v="25703.0982"/>
    <n v="6"/>
    <x v="0"/>
    <n v="2998.08"/>
    <n v="4606.29"/>
    <n v="7714.618199999999"/>
    <s v="New"/>
    <n v="7.0000000000000007E-2"/>
    <s v="Credit Card"/>
    <s v="Retail"/>
    <x v="14"/>
  </r>
  <r>
    <n v="1001"/>
    <x v="8"/>
    <d v="2022-07-30T00:00:00"/>
    <x v="0"/>
    <s v="Jul"/>
    <x v="1"/>
    <x v="3"/>
    <n v="12349.215199999999"/>
    <n v="4"/>
    <x v="0"/>
    <n v="2459.77"/>
    <n v="3150.31"/>
    <n v="2510.1351999999988"/>
    <s v="New"/>
    <n v="0.02"/>
    <s v="Credit Card"/>
    <s v="Retail"/>
    <x v="7"/>
  </r>
  <r>
    <n v="1070"/>
    <x v="318"/>
    <d v="2022-07-30T00:00:00"/>
    <x v="0"/>
    <s v="Jul"/>
    <x v="1"/>
    <x v="3"/>
    <n v="33150.3655"/>
    <n v="41"/>
    <x v="1"/>
    <n v="502.44"/>
    <n v="951.23"/>
    <n v="12550.325499999997"/>
    <s v="New"/>
    <n v="0.15"/>
    <s v="Cash"/>
    <s v="Online"/>
    <x v="7"/>
  </r>
  <r>
    <n v="1093"/>
    <x v="319"/>
    <d v="2022-07-30T00:00:00"/>
    <x v="0"/>
    <s v="Jul"/>
    <x v="1"/>
    <x v="3"/>
    <n v="56076.6"/>
    <n v="15"/>
    <x v="3"/>
    <n v="1083.1099999999999"/>
    <n v="4919"/>
    <n v="39829.949999999997"/>
    <s v="New"/>
    <n v="0.24"/>
    <s v="Credit Card"/>
    <s v="Retail"/>
    <x v="7"/>
  </r>
  <r>
    <n v="1018"/>
    <x v="320"/>
    <d v="2022-07-31T00:00:00"/>
    <x v="0"/>
    <s v="Jul"/>
    <x v="1"/>
    <x v="0"/>
    <n v="121089.20850000001"/>
    <n v="39"/>
    <x v="0"/>
    <n v="613.29"/>
    <n v="3833.15"/>
    <n v="97170.89850000001"/>
    <s v="New"/>
    <n v="0.19"/>
    <s v="Cash"/>
    <s v="Retail"/>
    <x v="10"/>
  </r>
  <r>
    <n v="1005"/>
    <x v="43"/>
    <d v="2022-08-01T00:00:00"/>
    <x v="0"/>
    <s v="Aug"/>
    <x v="0"/>
    <x v="1"/>
    <n v="95168.908800000005"/>
    <n v="48"/>
    <x v="3"/>
    <n v="701.45"/>
    <n v="2753.73"/>
    <n v="61499.308799999999"/>
    <s v="Returning"/>
    <n v="0.28000000000000003"/>
    <s v="Bank Transfer"/>
    <s v="Online"/>
    <x v="19"/>
  </r>
  <r>
    <n v="1005"/>
    <x v="253"/>
    <d v="2022-08-01T00:00:00"/>
    <x v="0"/>
    <s v="Aug"/>
    <x v="1"/>
    <x v="1"/>
    <n v="123085.3728"/>
    <n v="29"/>
    <x v="2"/>
    <n v="407.89"/>
    <n v="4421.17"/>
    <n v="111256.5628"/>
    <s v="New"/>
    <n v="0.04"/>
    <s v="Bank Transfer"/>
    <s v="Retail"/>
    <x v="1"/>
  </r>
  <r>
    <n v="1038"/>
    <x v="166"/>
    <d v="2022-08-02T00:00:00"/>
    <x v="0"/>
    <s v="Aug"/>
    <x v="4"/>
    <x v="1"/>
    <n v="17724.64"/>
    <n v="16"/>
    <x v="3"/>
    <n v="484.68"/>
    <n v="1178.5"/>
    <n v="9969.7599999999984"/>
    <s v="Returning"/>
    <n v="0.06"/>
    <s v="Credit Card"/>
    <s v="Retail"/>
    <x v="6"/>
  </r>
  <r>
    <n v="1026"/>
    <x v="293"/>
    <d v="2022-08-02T00:00:00"/>
    <x v="0"/>
    <s v="Aug"/>
    <x v="3"/>
    <x v="3"/>
    <n v="16861.25"/>
    <n v="14"/>
    <x v="3"/>
    <n v="163.22999999999999"/>
    <n v="1468.75"/>
    <n v="14576.029999999999"/>
    <s v="Returning"/>
    <n v="0.18"/>
    <s v="Cash"/>
    <s v="Retail"/>
    <x v="4"/>
  </r>
  <r>
    <n v="1026"/>
    <x v="197"/>
    <d v="2022-08-02T00:00:00"/>
    <x v="0"/>
    <s v="Aug"/>
    <x v="0"/>
    <x v="3"/>
    <n v="208591.07999999996"/>
    <n v="50"/>
    <x v="0"/>
    <n v="3775.69"/>
    <n v="4687.4399999999996"/>
    <n v="19806.579999999962"/>
    <s v="New"/>
    <n v="0.11"/>
    <s v="Bank Transfer"/>
    <s v="Retail"/>
    <x v="5"/>
  </r>
  <r>
    <n v="1050"/>
    <x v="254"/>
    <d v="2022-08-02T00:00:00"/>
    <x v="0"/>
    <s v="Aug"/>
    <x v="3"/>
    <x v="0"/>
    <n v="51395.797199999994"/>
    <n v="37"/>
    <x v="3"/>
    <n v="626.04"/>
    <n v="1477.74"/>
    <n v="28232.317199999998"/>
    <s v="Returning"/>
    <n v="0.06"/>
    <s v="Cash"/>
    <s v="Retail"/>
    <x v="11"/>
  </r>
  <r>
    <n v="1038"/>
    <x v="255"/>
    <d v="2022-08-02T00:00:00"/>
    <x v="0"/>
    <s v="Aug"/>
    <x v="0"/>
    <x v="2"/>
    <n v="69071.656500000012"/>
    <n v="23"/>
    <x v="2"/>
    <n v="518.16999999999996"/>
    <n v="3900.15"/>
    <n v="57153.746500000008"/>
    <s v="New"/>
    <n v="0.23"/>
    <s v="Credit Card"/>
    <s v="Retail"/>
    <x v="2"/>
  </r>
  <r>
    <n v="1076"/>
    <x v="321"/>
    <d v="2022-08-02T00:00:00"/>
    <x v="0"/>
    <s v="Aug"/>
    <x v="1"/>
    <x v="3"/>
    <n v="212082.04799999995"/>
    <n v="47"/>
    <x v="0"/>
    <n v="3028.96"/>
    <n v="4700.3999999999996"/>
    <n v="69720.927999999956"/>
    <s v="New"/>
    <n v="0.04"/>
    <s v="Bank Transfer"/>
    <s v="Retail"/>
    <x v="7"/>
  </r>
  <r>
    <n v="1016"/>
    <x v="305"/>
    <d v="2022-08-03T00:00:00"/>
    <x v="0"/>
    <s v="Aug"/>
    <x v="3"/>
    <x v="3"/>
    <n v="74454.504799999995"/>
    <n v="26"/>
    <x v="3"/>
    <n v="1352.67"/>
    <n v="3046.42"/>
    <n v="39285.084799999997"/>
    <s v="Returning"/>
    <n v="0.06"/>
    <s v="Credit Card"/>
    <s v="Retail"/>
    <x v="4"/>
  </r>
  <r>
    <n v="1068"/>
    <x v="78"/>
    <d v="2022-08-03T00:00:00"/>
    <x v="0"/>
    <s v="Aug"/>
    <x v="0"/>
    <x v="3"/>
    <n v="170606.29949999999"/>
    <n v="45"/>
    <x v="1"/>
    <n v="2907.27"/>
    <n v="4166.21"/>
    <n v="39779.1495"/>
    <s v="New"/>
    <n v="0.09"/>
    <s v="Cash"/>
    <s v="Online"/>
    <x v="5"/>
  </r>
  <r>
    <n v="1073"/>
    <x v="124"/>
    <d v="2022-08-03T00:00:00"/>
    <x v="0"/>
    <s v="Aug"/>
    <x v="4"/>
    <x v="3"/>
    <n v="75485.049599999998"/>
    <n v="32"/>
    <x v="2"/>
    <n v="1028.56"/>
    <n v="2536.46"/>
    <n v="42571.1296"/>
    <s v="New"/>
    <n v="7.0000000000000007E-2"/>
    <s v="Credit Card"/>
    <s v="Retail"/>
    <x v="12"/>
  </r>
  <r>
    <n v="1080"/>
    <x v="322"/>
    <d v="2022-08-04T00:00:00"/>
    <x v="0"/>
    <s v="Aug"/>
    <x v="3"/>
    <x v="3"/>
    <n v="147772.60439456379"/>
    <n v="30"/>
    <x v="1"/>
    <n v="4906.7299999999996"/>
    <n v="4980.2"/>
    <n v="710.04000000001724"/>
    <s v="New"/>
    <n v="0.01"/>
    <s v="Bank Transfer"/>
    <s v="Retail"/>
    <x v="4"/>
  </r>
  <r>
    <n v="1051"/>
    <x v="281"/>
    <d v="2022-08-04T00:00:00"/>
    <x v="0"/>
    <s v="Aug"/>
    <x v="3"/>
    <x v="2"/>
    <n v="119085.795"/>
    <n v="27"/>
    <x v="2"/>
    <n v="2567.17"/>
    <n v="4900.6499999999996"/>
    <n v="49772.205000000002"/>
    <s v="New"/>
    <n v="0.1"/>
    <s v="Credit Card"/>
    <s v="Online"/>
    <x v="9"/>
  </r>
  <r>
    <n v="1026"/>
    <x v="293"/>
    <d v="2022-08-04T00:00:00"/>
    <x v="0"/>
    <s v="Aug"/>
    <x v="2"/>
    <x v="1"/>
    <n v="82160.113200000007"/>
    <n v="33"/>
    <x v="3"/>
    <n v="633.36"/>
    <n v="3036.22"/>
    <n v="61259.233200000002"/>
    <s v="Returning"/>
    <n v="0.18"/>
    <s v="Credit Card"/>
    <s v="Online"/>
    <x v="8"/>
  </r>
  <r>
    <n v="1095"/>
    <x v="323"/>
    <d v="2022-08-05T00:00:00"/>
    <x v="0"/>
    <s v="Aug"/>
    <x v="0"/>
    <x v="3"/>
    <n v="224378.32377337664"/>
    <n v="47"/>
    <x v="3"/>
    <n v="4153.78"/>
    <n v="4798.9399999999996"/>
    <n v="28067.018199999977"/>
    <s v="New"/>
    <n v="0.01"/>
    <s v="Cash"/>
    <s v="Online"/>
    <x v="5"/>
  </r>
  <r>
    <n v="1034"/>
    <x v="139"/>
    <d v="2022-08-06T00:00:00"/>
    <x v="0"/>
    <s v="Aug"/>
    <x v="2"/>
    <x v="3"/>
    <n v="106759.8576"/>
    <n v="27"/>
    <x v="3"/>
    <n v="2695.44"/>
    <n v="4493.26"/>
    <n v="33982.977599999998"/>
    <s v="Returning"/>
    <n v="0.12"/>
    <s v="Credit Card"/>
    <s v="Online"/>
    <x v="3"/>
  </r>
  <r>
    <n v="1040"/>
    <x v="73"/>
    <d v="2022-08-06T00:00:00"/>
    <x v="0"/>
    <s v="Aug"/>
    <x v="4"/>
    <x v="2"/>
    <n v="122464.45529999999"/>
    <n v="33"/>
    <x v="3"/>
    <n v="487.82"/>
    <n v="3990.37"/>
    <n v="106366.39529999997"/>
    <s v="Returning"/>
    <n v="7.0000000000000007E-2"/>
    <s v="Bank Transfer"/>
    <s v="Retail"/>
    <x v="17"/>
  </r>
  <r>
    <n v="1078"/>
    <x v="21"/>
    <d v="2022-08-07T00:00:00"/>
    <x v="0"/>
    <s v="Aug"/>
    <x v="0"/>
    <x v="1"/>
    <n v="4026.5010000000002"/>
    <n v="1"/>
    <x v="2"/>
    <n v="2573.7199999999998"/>
    <n v="4737.0600000000004"/>
    <n v="1452.7810000000004"/>
    <s v="New"/>
    <n v="0.15"/>
    <s v="Credit Card"/>
    <s v="Online"/>
    <x v="19"/>
  </r>
  <r>
    <n v="1088"/>
    <x v="25"/>
    <d v="2022-08-08T00:00:00"/>
    <x v="0"/>
    <s v="Aug"/>
    <x v="2"/>
    <x v="1"/>
    <n v="12226.7145"/>
    <n v="3"/>
    <x v="1"/>
    <n v="3074.89"/>
    <n v="4478.6499999999996"/>
    <n v="3002.0445000000004"/>
    <s v="New"/>
    <n v="0.09"/>
    <s v="Bank Transfer"/>
    <s v="Retail"/>
    <x v="8"/>
  </r>
  <r>
    <n v="1055"/>
    <x v="312"/>
    <d v="2022-08-08T00:00:00"/>
    <x v="0"/>
    <s v="Aug"/>
    <x v="3"/>
    <x v="0"/>
    <n v="32441.594400000002"/>
    <n v="36"/>
    <x v="3"/>
    <n v="720.16"/>
    <n v="1098.97"/>
    <n v="6515.8344000000052"/>
    <s v="New"/>
    <n v="0.18"/>
    <s v="Credit Card"/>
    <s v="Online"/>
    <x v="11"/>
  </r>
  <r>
    <n v="1068"/>
    <x v="307"/>
    <d v="2022-08-08T00:00:00"/>
    <x v="0"/>
    <s v="Aug"/>
    <x v="2"/>
    <x v="2"/>
    <n v="69230.949800000002"/>
    <n v="38"/>
    <x v="0"/>
    <n v="1128.8"/>
    <n v="2566.0100000000002"/>
    <n v="26336.549800000008"/>
    <s v="New"/>
    <n v="0.28999999999999998"/>
    <s v="Bank Transfer"/>
    <s v="Retail"/>
    <x v="14"/>
  </r>
  <r>
    <n v="1012"/>
    <x v="133"/>
    <d v="2022-08-08T00:00:00"/>
    <x v="0"/>
    <s v="Aug"/>
    <x v="1"/>
    <x v="1"/>
    <n v="90956.90879999999"/>
    <n v="18"/>
    <x v="0"/>
    <n v="2513.3200000000002"/>
    <n v="5263.71"/>
    <n v="45717.148799999988"/>
    <s v="New"/>
    <n v="0.04"/>
    <s v="Credit Card"/>
    <s v="Retail"/>
    <x v="1"/>
  </r>
  <r>
    <n v="1092"/>
    <x v="324"/>
    <d v="2022-08-09T00:00:00"/>
    <x v="0"/>
    <s v="Aug"/>
    <x v="2"/>
    <x v="2"/>
    <n v="11944.626"/>
    <n v="6"/>
    <x v="2"/>
    <n v="1658.24"/>
    <n v="2314.85"/>
    <n v="1995.1859999999997"/>
    <s v="Returning"/>
    <n v="0.14000000000000001"/>
    <s v="Bank Transfer"/>
    <s v="Retail"/>
    <x v="14"/>
  </r>
  <r>
    <n v="1013"/>
    <x v="115"/>
    <d v="2022-08-09T00:00:00"/>
    <x v="0"/>
    <s v="Aug"/>
    <x v="1"/>
    <x v="3"/>
    <n v="42173.191999999995"/>
    <n v="17"/>
    <x v="1"/>
    <n v="2150.5700000000002"/>
    <n v="3100.97"/>
    <n v="5613.501999999995"/>
    <s v="New"/>
    <n v="0.2"/>
    <s v="Credit Card"/>
    <s v="Online"/>
    <x v="7"/>
  </r>
  <r>
    <n v="1011"/>
    <x v="236"/>
    <d v="2022-08-09T00:00:00"/>
    <x v="0"/>
    <s v="Aug"/>
    <x v="1"/>
    <x v="1"/>
    <n v="39221.052000000003"/>
    <n v="10"/>
    <x v="2"/>
    <n v="1651.78"/>
    <n v="5028.34"/>
    <n v="22703.252"/>
    <s v="New"/>
    <n v="0.22"/>
    <s v="Bank Transfer"/>
    <s v="Online"/>
    <x v="1"/>
  </r>
  <r>
    <n v="1015"/>
    <x v="144"/>
    <d v="2022-08-09T00:00:00"/>
    <x v="0"/>
    <s v="Aug"/>
    <x v="4"/>
    <x v="3"/>
    <n v="120945.52799999999"/>
    <n v="40"/>
    <x v="3"/>
    <n v="287.72000000000003"/>
    <n v="3054.18"/>
    <n v="109436.728"/>
    <s v="New"/>
    <n v="0.01"/>
    <s v="Bank Transfer"/>
    <s v="Online"/>
    <x v="12"/>
  </r>
  <r>
    <n v="1028"/>
    <x v="171"/>
    <d v="2022-08-10T00:00:00"/>
    <x v="0"/>
    <s v="Aug"/>
    <x v="3"/>
    <x v="3"/>
    <n v="25832.404799999997"/>
    <n v="36"/>
    <x v="3"/>
    <n v="280.35000000000002"/>
    <n v="834.38"/>
    <n v="15739.804799999998"/>
    <s v="Returning"/>
    <n v="0.14000000000000001"/>
    <s v="Credit Card"/>
    <s v="Retail"/>
    <x v="4"/>
  </r>
  <r>
    <n v="1026"/>
    <x v="293"/>
    <d v="2022-08-10T00:00:00"/>
    <x v="0"/>
    <s v="Aug"/>
    <x v="2"/>
    <x v="0"/>
    <n v="37591.516800000005"/>
    <n v="36"/>
    <x v="3"/>
    <n v="349.94"/>
    <n v="1200.24"/>
    <n v="24993.676800000001"/>
    <s v="Returning"/>
    <n v="0.13"/>
    <s v="Credit Card"/>
    <s v="Retail"/>
    <x v="18"/>
  </r>
  <r>
    <n v="1074"/>
    <x v="158"/>
    <d v="2022-08-10T00:00:00"/>
    <x v="0"/>
    <s v="Aug"/>
    <x v="4"/>
    <x v="1"/>
    <n v="100949.50799999999"/>
    <n v="33"/>
    <x v="3"/>
    <n v="434.34"/>
    <n v="3220.08"/>
    <n v="86616.287999999986"/>
    <s v="New"/>
    <n v="0.05"/>
    <s v="Bank Transfer"/>
    <s v="Online"/>
    <x v="6"/>
  </r>
  <r>
    <n v="1058"/>
    <x v="188"/>
    <d v="2022-08-11T00:00:00"/>
    <x v="0"/>
    <s v="Aug"/>
    <x v="0"/>
    <x v="2"/>
    <n v="59519.488000000005"/>
    <n v="16"/>
    <x v="2"/>
    <n v="3644"/>
    <n v="4649.96"/>
    <n v="1215.4880000000048"/>
    <s v="New"/>
    <n v="0.2"/>
    <s v="Credit Card"/>
    <s v="Retail"/>
    <x v="2"/>
  </r>
  <r>
    <n v="1035"/>
    <x v="74"/>
    <d v="2022-08-11T00:00:00"/>
    <x v="0"/>
    <s v="Aug"/>
    <x v="2"/>
    <x v="3"/>
    <n v="144245.024"/>
    <n v="40"/>
    <x v="3"/>
    <n v="3261.95"/>
    <n v="4097.87"/>
    <n v="13767.024000000001"/>
    <s v="Returning"/>
    <n v="0.12"/>
    <s v="Credit Card"/>
    <s v="Retail"/>
    <x v="3"/>
  </r>
  <r>
    <n v="1078"/>
    <x v="21"/>
    <d v="2022-08-12T00:00:00"/>
    <x v="0"/>
    <s v="Aug"/>
    <x v="1"/>
    <x v="1"/>
    <n v="24163.392"/>
    <n v="32"/>
    <x v="2"/>
    <n v="396.29"/>
    <n v="888.36"/>
    <n v="11482.111999999999"/>
    <s v="New"/>
    <n v="0.15"/>
    <s v="Bank Transfer"/>
    <s v="Retail"/>
    <x v="1"/>
  </r>
  <r>
    <n v="1015"/>
    <x v="91"/>
    <d v="2022-08-12T00:00:00"/>
    <x v="0"/>
    <s v="Aug"/>
    <x v="4"/>
    <x v="0"/>
    <n v="97484.164399999994"/>
    <n v="28"/>
    <x v="0"/>
    <n v="2914.32"/>
    <n v="4903.63"/>
    <n v="15883.204399999993"/>
    <s v="New"/>
    <n v="0.28999999999999998"/>
    <s v="Credit Card"/>
    <s v="Online"/>
    <x v="13"/>
  </r>
  <r>
    <n v="1041"/>
    <x v="24"/>
    <d v="2022-08-12T00:00:00"/>
    <x v="0"/>
    <s v="Aug"/>
    <x v="1"/>
    <x v="0"/>
    <n v="38646.931199999999"/>
    <n v="16"/>
    <x v="1"/>
    <n v="812.75"/>
    <n v="2776.36"/>
    <n v="25642.931199999999"/>
    <s v="Returning"/>
    <n v="0.13"/>
    <s v="Bank Transfer"/>
    <s v="Online"/>
    <x v="10"/>
  </r>
  <r>
    <n v="1081"/>
    <x v="246"/>
    <d v="2022-08-12T00:00:00"/>
    <x v="0"/>
    <s v="Aug"/>
    <x v="3"/>
    <x v="2"/>
    <n v="111675.95999999999"/>
    <n v="33"/>
    <x v="0"/>
    <n v="1480.82"/>
    <n v="4512.16"/>
    <n v="62808.9"/>
    <s v="New"/>
    <n v="0.25"/>
    <s v="Credit Card"/>
    <s v="Retail"/>
    <x v="9"/>
  </r>
  <r>
    <n v="1072"/>
    <x v="257"/>
    <d v="2022-08-13T00:00:00"/>
    <x v="0"/>
    <s v="Aug"/>
    <x v="2"/>
    <x v="1"/>
    <n v="72564.632800000007"/>
    <n v="44"/>
    <x v="2"/>
    <n v="110.9"/>
    <n v="1917.67"/>
    <n v="67685.032800000001"/>
    <s v="New"/>
    <n v="0.14000000000000001"/>
    <s v="Bank Transfer"/>
    <s v="Retail"/>
    <x v="8"/>
  </r>
  <r>
    <n v="1072"/>
    <x v="325"/>
    <d v="2022-08-13T00:00:00"/>
    <x v="0"/>
    <s v="Aug"/>
    <x v="3"/>
    <x v="3"/>
    <n v="149820.3334"/>
    <n v="37"/>
    <x v="0"/>
    <n v="286.97000000000003"/>
    <n v="4708.37"/>
    <n v="139202.44339999999"/>
    <s v="New"/>
    <n v="0.14000000000000001"/>
    <s v="Bank Transfer"/>
    <s v="Online"/>
    <x v="4"/>
  </r>
  <r>
    <n v="1043"/>
    <x v="273"/>
    <d v="2022-08-14T00:00:00"/>
    <x v="0"/>
    <s v="Aug"/>
    <x v="3"/>
    <x v="0"/>
    <n v="39789.861799999999"/>
    <n v="13"/>
    <x v="2"/>
    <n v="309.42"/>
    <n v="4192.82"/>
    <n v="35767.401799999992"/>
    <s v="New"/>
    <n v="0.27"/>
    <s v="Cash"/>
    <s v="Retail"/>
    <x v="11"/>
  </r>
  <r>
    <n v="1008"/>
    <x v="95"/>
    <d v="2022-08-14T00:00:00"/>
    <x v="0"/>
    <s v="Aug"/>
    <x v="3"/>
    <x v="2"/>
    <n v="60157.013800000001"/>
    <n v="13"/>
    <x v="1"/>
    <n v="477.47"/>
    <n v="4770.58"/>
    <n v="53949.903799999993"/>
    <s v="Returning"/>
    <n v="0.03"/>
    <s v="Cash"/>
    <s v="Retail"/>
    <x v="9"/>
  </r>
  <r>
    <n v="1098"/>
    <x v="326"/>
    <d v="2022-08-14T00:00:00"/>
    <x v="0"/>
    <s v="Aug"/>
    <x v="0"/>
    <x v="3"/>
    <n v="103145.14679999999"/>
    <n v="23"/>
    <x v="0"/>
    <n v="930.14"/>
    <n v="4822.12"/>
    <n v="81751.926799999987"/>
    <s v="New"/>
    <n v="7.0000000000000007E-2"/>
    <s v="Credit Card"/>
    <s v="Online"/>
    <x v="5"/>
  </r>
  <r>
    <n v="1026"/>
    <x v="314"/>
    <d v="2022-08-15T00:00:00"/>
    <x v="0"/>
    <s v="Aug"/>
    <x v="4"/>
    <x v="0"/>
    <n v="184607.26924429662"/>
    <n v="38"/>
    <x v="2"/>
    <n v="4455.21"/>
    <n v="5100.45"/>
    <n v="14828.26499999999"/>
    <s v="Returning"/>
    <n v="0.05"/>
    <s v="Cash"/>
    <s v="Retail"/>
    <x v="13"/>
  </r>
  <r>
    <n v="1062"/>
    <x v="84"/>
    <d v="2022-08-15T00:00:00"/>
    <x v="0"/>
    <s v="Aug"/>
    <x v="0"/>
    <x v="2"/>
    <n v="112496.0496"/>
    <n v="43"/>
    <x v="1"/>
    <n v="1417.75"/>
    <n v="2972.94"/>
    <n v="51532.799599999991"/>
    <s v="Returning"/>
    <n v="0.12"/>
    <s v="Credit Card"/>
    <s v="Retail"/>
    <x v="2"/>
  </r>
  <r>
    <n v="1002"/>
    <x v="53"/>
    <d v="2022-08-16T00:00:00"/>
    <x v="0"/>
    <s v="Aug"/>
    <x v="1"/>
    <x v="2"/>
    <n v="13515.72"/>
    <n v="4"/>
    <x v="0"/>
    <n v="2785.71"/>
    <n v="4505.24"/>
    <n v="2372.8799999999992"/>
    <s v="Returning"/>
    <n v="0.25"/>
    <s v="Bank Transfer"/>
    <s v="Online"/>
    <x v="15"/>
  </r>
  <r>
    <n v="1049"/>
    <x v="114"/>
    <d v="2022-08-16T00:00:00"/>
    <x v="0"/>
    <s v="Aug"/>
    <x v="4"/>
    <x v="1"/>
    <n v="113056.09480000001"/>
    <n v="44"/>
    <x v="2"/>
    <n v="561.59"/>
    <n v="2887.03"/>
    <n v="88346.1348"/>
    <s v="Returning"/>
    <n v="0.11"/>
    <s v="Cash"/>
    <s v="Retail"/>
    <x v="6"/>
  </r>
  <r>
    <n v="1079"/>
    <x v="22"/>
    <d v="2022-08-17T00:00:00"/>
    <x v="0"/>
    <s v="Aug"/>
    <x v="2"/>
    <x v="2"/>
    <n v="4214.3139999999994"/>
    <n v="4"/>
    <x v="2"/>
    <n v="261.01"/>
    <n v="1109.03"/>
    <n v="3170.2739999999994"/>
    <s v="New"/>
    <n v="0.05"/>
    <s v="Credit Card"/>
    <s v="Online"/>
    <x v="14"/>
  </r>
  <r>
    <n v="1049"/>
    <x v="297"/>
    <d v="2022-08-17T00:00:00"/>
    <x v="0"/>
    <s v="Aug"/>
    <x v="4"/>
    <x v="0"/>
    <n v="4810.4628000000002"/>
    <n v="2"/>
    <x v="0"/>
    <n v="700.99"/>
    <n v="3083.63"/>
    <n v="3408.4828000000002"/>
    <s v="New"/>
    <n v="0.22"/>
    <s v="Bank Transfer"/>
    <s v="Retail"/>
    <x v="13"/>
  </r>
  <r>
    <n v="1059"/>
    <x v="229"/>
    <d v="2022-08-18T00:00:00"/>
    <x v="0"/>
    <s v="Aug"/>
    <x v="1"/>
    <x v="3"/>
    <n v="16866.685542281895"/>
    <n v="4"/>
    <x v="0"/>
    <n v="3972.16"/>
    <n v="4361.22"/>
    <n v="1032.8935999999994"/>
    <s v="Returning"/>
    <n v="0.03"/>
    <s v="Cash"/>
    <s v="Retail"/>
    <x v="7"/>
  </r>
  <r>
    <n v="1057"/>
    <x v="232"/>
    <d v="2022-08-18T00:00:00"/>
    <x v="0"/>
    <s v="Aug"/>
    <x v="3"/>
    <x v="0"/>
    <n v="21102.1296"/>
    <n v="12"/>
    <x v="3"/>
    <n v="1272.3399999999999"/>
    <n v="2044.78"/>
    <n v="5834.0496000000012"/>
    <s v="New"/>
    <n v="0.14000000000000001"/>
    <s v="Credit Card"/>
    <s v="Online"/>
    <x v="11"/>
  </r>
  <r>
    <n v="1100"/>
    <x v="154"/>
    <d v="2022-08-18T00:00:00"/>
    <x v="0"/>
    <s v="Aug"/>
    <x v="4"/>
    <x v="1"/>
    <n v="70183.449599999993"/>
    <n v="16"/>
    <x v="1"/>
    <n v="808.59"/>
    <n v="4984.62"/>
    <n v="57246.00959999999"/>
    <s v="New"/>
    <n v="0.12"/>
    <s v="Bank Transfer"/>
    <s v="Retail"/>
    <x v="6"/>
  </r>
  <r>
    <n v="1051"/>
    <x v="327"/>
    <d v="2022-08-18T00:00:00"/>
    <x v="0"/>
    <s v="Aug"/>
    <x v="4"/>
    <x v="1"/>
    <n v="113129.7678"/>
    <n v="42"/>
    <x v="1"/>
    <n v="1315.23"/>
    <n v="3325.39"/>
    <n v="57890.107799999998"/>
    <s v="Returning"/>
    <n v="0.19"/>
    <s v="Cash"/>
    <s v="Online"/>
    <x v="6"/>
  </r>
  <r>
    <n v="1013"/>
    <x v="115"/>
    <d v="2022-08-18T00:00:00"/>
    <x v="0"/>
    <s v="Aug"/>
    <x v="0"/>
    <x v="3"/>
    <n v="105949.64159999999"/>
    <n v="44"/>
    <x v="1"/>
    <n v="579.54999999999995"/>
    <n v="3344.37"/>
    <n v="80449.441599999991"/>
    <s v="New"/>
    <n v="0.28000000000000003"/>
    <s v="Credit Card"/>
    <s v="Online"/>
    <x v="5"/>
  </r>
  <r>
    <n v="1073"/>
    <x v="264"/>
    <d v="2022-08-19T00:00:00"/>
    <x v="0"/>
    <s v="Aug"/>
    <x v="1"/>
    <x v="1"/>
    <n v="1809.0407"/>
    <n v="1"/>
    <x v="1"/>
    <n v="777.36"/>
    <n v="2032.63"/>
    <n v="1031.6806999999999"/>
    <s v="Returning"/>
    <n v="0.11"/>
    <s v="Credit Card"/>
    <s v="Online"/>
    <x v="1"/>
  </r>
  <r>
    <n v="1057"/>
    <x v="208"/>
    <d v="2022-08-19T00:00:00"/>
    <x v="0"/>
    <s v="Aug"/>
    <x v="4"/>
    <x v="2"/>
    <n v="36294.602200000008"/>
    <n v="17"/>
    <x v="0"/>
    <n v="1795.92"/>
    <n v="2603.63"/>
    <n v="5763.9622000000054"/>
    <s v="New"/>
    <n v="0.18"/>
    <s v="Bank Transfer"/>
    <s v="Online"/>
    <x v="17"/>
  </r>
  <r>
    <n v="1019"/>
    <x v="177"/>
    <d v="2022-08-19T00:00:00"/>
    <x v="0"/>
    <s v="Aug"/>
    <x v="2"/>
    <x v="2"/>
    <n v="88353.591299999985"/>
    <n v="39"/>
    <x v="0"/>
    <n v="481.48"/>
    <n v="2729.49"/>
    <n v="69575.871299999984"/>
    <s v="Returning"/>
    <n v="0.17"/>
    <s v="Cash"/>
    <s v="Online"/>
    <x v="14"/>
  </r>
  <r>
    <n v="1084"/>
    <x v="64"/>
    <d v="2022-08-20T00:00:00"/>
    <x v="0"/>
    <s v="Aug"/>
    <x v="2"/>
    <x v="0"/>
    <n v="5649.9169999999995"/>
    <n v="5"/>
    <x v="1"/>
    <n v="318.89"/>
    <n v="1202.1099999999999"/>
    <n v="4055.4669999999992"/>
    <s v="New"/>
    <n v="0.06"/>
    <s v="Credit Card"/>
    <s v="Retail"/>
    <x v="18"/>
  </r>
  <r>
    <n v="1043"/>
    <x v="274"/>
    <d v="2022-08-21T00:00:00"/>
    <x v="0"/>
    <s v="Aug"/>
    <x v="4"/>
    <x v="2"/>
    <n v="108771.712"/>
    <n v="28"/>
    <x v="3"/>
    <n v="3877.99"/>
    <n v="4570.24"/>
    <n v="187.99199999999837"/>
    <s v="New"/>
    <n v="0.15"/>
    <s v="Credit Card"/>
    <s v="Retail"/>
    <x v="17"/>
  </r>
  <r>
    <n v="1096"/>
    <x v="196"/>
    <d v="2022-08-21T00:00:00"/>
    <x v="0"/>
    <s v="Aug"/>
    <x v="0"/>
    <x v="1"/>
    <n v="100056.46800000001"/>
    <n v="20"/>
    <x v="3"/>
    <n v="3669.27"/>
    <n v="5379.38"/>
    <n v="26671.068000000007"/>
    <s v="New"/>
    <n v="7.0000000000000007E-2"/>
    <s v="Bank Transfer"/>
    <s v="Online"/>
    <x v="19"/>
  </r>
  <r>
    <n v="1088"/>
    <x v="83"/>
    <d v="2022-08-21T00:00:00"/>
    <x v="0"/>
    <s v="Aug"/>
    <x v="1"/>
    <x v="1"/>
    <n v="90016.655999999988"/>
    <n v="48"/>
    <x v="0"/>
    <n v="810.01"/>
    <n v="1995.05"/>
    <n v="51136.175999999992"/>
    <s v="Returning"/>
    <n v="0.06"/>
    <s v="Credit Card"/>
    <s v="Online"/>
    <x v="1"/>
  </r>
  <r>
    <n v="1019"/>
    <x v="63"/>
    <d v="2022-08-22T00:00:00"/>
    <x v="0"/>
    <s v="Aug"/>
    <x v="1"/>
    <x v="0"/>
    <n v="7285.3091999999997"/>
    <n v="2"/>
    <x v="1"/>
    <n v="3325.88"/>
    <n v="4670.07"/>
    <n v="633.54919999999947"/>
    <s v="Returning"/>
    <n v="0.22"/>
    <s v="Credit Card"/>
    <s v="Online"/>
    <x v="10"/>
  </r>
  <r>
    <n v="1087"/>
    <x v="328"/>
    <d v="2022-08-22T00:00:00"/>
    <x v="0"/>
    <s v="Aug"/>
    <x v="1"/>
    <x v="2"/>
    <n v="3014.8403061606359"/>
    <n v="6"/>
    <x v="1"/>
    <n v="384.6"/>
    <n v="505.11"/>
    <n v="692.75339999999983"/>
    <s v="Returning"/>
    <n v="0.01"/>
    <s v="Credit Card"/>
    <s v="Online"/>
    <x v="15"/>
  </r>
  <r>
    <n v="1036"/>
    <x v="301"/>
    <d v="2022-08-22T00:00:00"/>
    <x v="0"/>
    <s v="Aug"/>
    <x v="0"/>
    <x v="1"/>
    <n v="68153.434014496132"/>
    <n v="38"/>
    <x v="3"/>
    <n v="1533.57"/>
    <n v="1803.2"/>
    <n v="9560.7240000000074"/>
    <s v="Returning"/>
    <n v="0.01"/>
    <s v="Cash"/>
    <s v="Online"/>
    <x v="19"/>
  </r>
  <r>
    <n v="1059"/>
    <x v="329"/>
    <d v="2022-08-22T00:00:00"/>
    <x v="0"/>
    <s v="Aug"/>
    <x v="0"/>
    <x v="3"/>
    <n v="73193.256500000003"/>
    <n v="23"/>
    <x v="1"/>
    <n v="792.12"/>
    <n v="3497.05"/>
    <n v="54974.496500000008"/>
    <s v="Returning"/>
    <n v="0.09"/>
    <s v="Cash"/>
    <s v="Online"/>
    <x v="5"/>
  </r>
  <r>
    <n v="1091"/>
    <x v="14"/>
    <d v="2022-08-23T00:00:00"/>
    <x v="0"/>
    <s v="Aug"/>
    <x v="3"/>
    <x v="3"/>
    <n v="4707.1728000000003"/>
    <n v="1"/>
    <x v="3"/>
    <n v="2128.35"/>
    <n v="4754.72"/>
    <n v="2578.8228000000004"/>
    <s v="Returning"/>
    <n v="0.01"/>
    <s v="Cash"/>
    <s v="Retail"/>
    <x v="4"/>
  </r>
  <r>
    <n v="1008"/>
    <x v="128"/>
    <d v="2022-08-23T00:00:00"/>
    <x v="0"/>
    <s v="Aug"/>
    <x v="3"/>
    <x v="1"/>
    <n v="83486.718378259728"/>
    <n v="26"/>
    <x v="0"/>
    <n v="2961.03"/>
    <n v="3332.43"/>
    <n v="6190.6727999999912"/>
    <s v="Returning"/>
    <n v="0.04"/>
    <s v="Cash"/>
    <s v="Online"/>
    <x v="16"/>
  </r>
  <r>
    <n v="1023"/>
    <x v="134"/>
    <d v="2022-08-23T00:00:00"/>
    <x v="0"/>
    <s v="Aug"/>
    <x v="3"/>
    <x v="3"/>
    <n v="142061.68"/>
    <n v="40"/>
    <x v="0"/>
    <n v="1588.55"/>
    <n v="4129.7"/>
    <n v="78519.679999999993"/>
    <s v="Returning"/>
    <n v="0.14000000000000001"/>
    <s v="Bank Transfer"/>
    <s v="Retail"/>
    <x v="4"/>
  </r>
  <r>
    <n v="1066"/>
    <x v="160"/>
    <d v="2022-08-24T00:00:00"/>
    <x v="0"/>
    <s v="Aug"/>
    <x v="4"/>
    <x v="0"/>
    <n v="16863.510999999999"/>
    <n v="14"/>
    <x v="1"/>
    <n v="1130.73"/>
    <n v="1650.05"/>
    <n v="1033.2909999999988"/>
    <s v="New"/>
    <n v="0.27"/>
    <s v="Bank Transfer"/>
    <s v="Retail"/>
    <x v="13"/>
  </r>
  <r>
    <n v="1062"/>
    <x v="109"/>
    <d v="2022-08-24T00:00:00"/>
    <x v="0"/>
    <s v="Aug"/>
    <x v="4"/>
    <x v="3"/>
    <n v="24781.356000000003"/>
    <n v="12"/>
    <x v="2"/>
    <n v="1894.43"/>
    <n v="2294.5700000000002"/>
    <n v="2048.1960000000026"/>
    <s v="Returning"/>
    <n v="0.1"/>
    <s v="Cash"/>
    <s v="Online"/>
    <x v="12"/>
  </r>
  <r>
    <n v="1037"/>
    <x v="93"/>
    <d v="2022-08-24T00:00:00"/>
    <x v="0"/>
    <s v="Aug"/>
    <x v="2"/>
    <x v="2"/>
    <n v="88796.368000000002"/>
    <n v="20"/>
    <x v="0"/>
    <n v="4108.83"/>
    <n v="4988.5600000000004"/>
    <n v="6619.7680000000037"/>
    <s v="New"/>
    <n v="0.11"/>
    <s v="Cash"/>
    <s v="Retail"/>
    <x v="14"/>
  </r>
  <r>
    <n v="1085"/>
    <x v="11"/>
    <d v="2022-08-24T00:00:00"/>
    <x v="0"/>
    <s v="Aug"/>
    <x v="1"/>
    <x v="1"/>
    <n v="17807.691500000001"/>
    <n v="5"/>
    <x v="1"/>
    <n v="901.8"/>
    <n v="4291.01"/>
    <n v="13298.691500000001"/>
    <s v="Returning"/>
    <n v="0.17"/>
    <s v="Cash"/>
    <s v="Online"/>
    <x v="1"/>
  </r>
  <r>
    <n v="1014"/>
    <x v="130"/>
    <d v="2022-08-24T00:00:00"/>
    <x v="0"/>
    <s v="Aug"/>
    <x v="4"/>
    <x v="2"/>
    <n v="56978.607599999996"/>
    <n v="47"/>
    <x v="2"/>
    <n v="425.66"/>
    <n v="1303.56"/>
    <n v="36972.587599999992"/>
    <s v="Returning"/>
    <n v="7.0000000000000007E-2"/>
    <s v="Credit Card"/>
    <s v="Retail"/>
    <x v="17"/>
  </r>
  <r>
    <n v="1054"/>
    <x v="251"/>
    <d v="2022-08-24T00:00:00"/>
    <x v="0"/>
    <s v="Aug"/>
    <x v="1"/>
    <x v="3"/>
    <n v="130734.8523"/>
    <n v="39"/>
    <x v="3"/>
    <n v="209.54"/>
    <n v="3604.49"/>
    <n v="122562.79229999999"/>
    <s v="Returning"/>
    <n v="7.0000000000000007E-2"/>
    <s v="Credit Card"/>
    <s v="Retail"/>
    <x v="7"/>
  </r>
  <r>
    <n v="1045"/>
    <x v="121"/>
    <d v="2022-08-25T00:00:00"/>
    <x v="0"/>
    <s v="Aug"/>
    <x v="4"/>
    <x v="0"/>
    <n v="53456.013200000009"/>
    <n v="29"/>
    <x v="1"/>
    <n v="1658.63"/>
    <n v="2247.94"/>
    <n v="5355.7432000000026"/>
    <s v="Returning"/>
    <n v="0.18"/>
    <s v="Credit Card"/>
    <s v="Online"/>
    <x v="13"/>
  </r>
  <r>
    <n v="1015"/>
    <x v="144"/>
    <d v="2022-08-26T00:00:00"/>
    <x v="0"/>
    <s v="Aug"/>
    <x v="4"/>
    <x v="3"/>
    <n v="94632.370800000004"/>
    <n v="22"/>
    <x v="3"/>
    <n v="977.42"/>
    <n v="4944.22"/>
    <n v="73129.130800000014"/>
    <s v="Returning"/>
    <n v="0.13"/>
    <s v="Credit Card"/>
    <s v="Retail"/>
    <x v="12"/>
  </r>
  <r>
    <n v="1093"/>
    <x v="10"/>
    <d v="2022-08-27T00:00:00"/>
    <x v="0"/>
    <s v="Aug"/>
    <x v="0"/>
    <x v="3"/>
    <n v="4607.0486000000001"/>
    <n v="11"/>
    <x v="2"/>
    <n v="385.57"/>
    <n v="427.37"/>
    <n v="365.77860000000032"/>
    <s v="New"/>
    <n v="0.02"/>
    <s v="Cash"/>
    <s v="Retail"/>
    <x v="5"/>
  </r>
  <r>
    <n v="1015"/>
    <x v="147"/>
    <d v="2022-08-27T00:00:00"/>
    <x v="0"/>
    <s v="Aug"/>
    <x v="3"/>
    <x v="0"/>
    <n v="4146.7184000000007"/>
    <n v="2"/>
    <x v="1"/>
    <n v="142.30000000000001"/>
    <n v="2356.09"/>
    <n v="3862.1184000000007"/>
    <s v="Returning"/>
    <n v="0.12"/>
    <s v="Cash"/>
    <s v="Online"/>
    <x v="11"/>
  </r>
  <r>
    <n v="1076"/>
    <x v="129"/>
    <d v="2022-08-27T00:00:00"/>
    <x v="0"/>
    <s v="Aug"/>
    <x v="0"/>
    <x v="0"/>
    <n v="159546.576"/>
    <n v="47"/>
    <x v="1"/>
    <n v="354.18"/>
    <n v="4041.2"/>
    <n v="142900.11599999998"/>
    <s v="New"/>
    <n v="0.16"/>
    <s v="Cash"/>
    <s v="Retail"/>
    <x v="0"/>
  </r>
  <r>
    <n v="1044"/>
    <x v="69"/>
    <d v="2022-08-28T00:00:00"/>
    <x v="0"/>
    <s v="Aug"/>
    <x v="4"/>
    <x v="2"/>
    <n v="120545.334"/>
    <n v="27"/>
    <x v="3"/>
    <n v="4452.26"/>
    <n v="5252.52"/>
    <n v="334.31399999998939"/>
    <s v="New"/>
    <n v="0.15"/>
    <s v="Credit Card"/>
    <s v="Retail"/>
    <x v="17"/>
  </r>
  <r>
    <n v="1017"/>
    <x v="330"/>
    <d v="2022-08-28T00:00:00"/>
    <x v="0"/>
    <s v="Aug"/>
    <x v="0"/>
    <x v="1"/>
    <n v="4396.1390687155736"/>
    <n v="5"/>
    <x v="3"/>
    <n v="709.94"/>
    <n v="883"/>
    <n v="865.29999999999973"/>
    <s v="New"/>
    <n v="0"/>
    <s v="Cash"/>
    <s v="Retail"/>
    <x v="19"/>
  </r>
  <r>
    <n v="1086"/>
    <x v="82"/>
    <d v="2022-08-28T00:00:00"/>
    <x v="0"/>
    <s v="Aug"/>
    <x v="3"/>
    <x v="1"/>
    <n v="42138.332999999999"/>
    <n v="9"/>
    <x v="3"/>
    <n v="2495.7600000000002"/>
    <n v="4928.46"/>
    <n v="19676.493000000002"/>
    <s v="New"/>
    <n v="0.05"/>
    <s v="Credit Card"/>
    <s v="Online"/>
    <x v="16"/>
  </r>
  <r>
    <n v="1046"/>
    <x v="150"/>
    <d v="2022-08-28T00:00:00"/>
    <x v="0"/>
    <s v="Aug"/>
    <x v="4"/>
    <x v="1"/>
    <n v="85928.427199999991"/>
    <n v="28"/>
    <x v="1"/>
    <n v="494.19"/>
    <n v="4037.99"/>
    <n v="72091.107199999999"/>
    <s v="Returning"/>
    <n v="0.24"/>
    <s v="Cash"/>
    <s v="Retail"/>
    <x v="6"/>
  </r>
  <r>
    <n v="1017"/>
    <x v="330"/>
    <d v="2022-08-29T00:00:00"/>
    <x v="0"/>
    <s v="Aug"/>
    <x v="3"/>
    <x v="2"/>
    <n v="26196.316001051557"/>
    <n v="12"/>
    <x v="3"/>
    <n v="1916.88"/>
    <n v="2204.77"/>
    <n v="3190.1075999999975"/>
    <s v="New"/>
    <n v="0.01"/>
    <s v="Bank Transfer"/>
    <s v="Online"/>
    <x v="9"/>
  </r>
  <r>
    <n v="1081"/>
    <x v="250"/>
    <d v="2022-08-29T00:00:00"/>
    <x v="0"/>
    <s v="Aug"/>
    <x v="4"/>
    <x v="1"/>
    <n v="128221.47749517777"/>
    <n v="30"/>
    <x v="3"/>
    <n v="3891.42"/>
    <n v="4339.3500000000004"/>
    <n v="10834.29"/>
    <s v="New"/>
    <n v="0.02"/>
    <s v="Bank Transfer"/>
    <s v="Online"/>
    <x v="6"/>
  </r>
  <r>
    <n v="1059"/>
    <x v="329"/>
    <d v="2022-08-29T00:00:00"/>
    <x v="0"/>
    <s v="Aug"/>
    <x v="4"/>
    <x v="1"/>
    <n v="66523.732000000004"/>
    <n v="20"/>
    <x v="1"/>
    <n v="1570.43"/>
    <n v="4556.42"/>
    <n v="35115.131999999998"/>
    <s v="New"/>
    <n v="0.27"/>
    <s v="Bank Transfer"/>
    <s v="Online"/>
    <x v="6"/>
  </r>
  <r>
    <n v="1082"/>
    <x v="283"/>
    <d v="2022-08-30T00:00:00"/>
    <x v="0"/>
    <s v="Aug"/>
    <x v="1"/>
    <x v="1"/>
    <n v="5413.5873000000001"/>
    <n v="1"/>
    <x v="1"/>
    <n v="689.1"/>
    <n v="5468.27"/>
    <n v="4724.4872999999998"/>
    <s v="Returning"/>
    <n v="0.01"/>
    <s v="Cash"/>
    <s v="Online"/>
    <x v="1"/>
  </r>
  <r>
    <n v="1064"/>
    <x v="88"/>
    <d v="2022-08-31T00:00:00"/>
    <x v="0"/>
    <s v="Aug"/>
    <x v="0"/>
    <x v="3"/>
    <n v="10547.742379020141"/>
    <n v="27"/>
    <x v="3"/>
    <n v="337.56"/>
    <n v="406.43"/>
    <n v="1420.5455999999999"/>
    <s v="Returning"/>
    <n v="0.04"/>
    <s v="Credit Card"/>
    <s v="Retail"/>
    <x v="5"/>
  </r>
  <r>
    <n v="1051"/>
    <x v="118"/>
    <d v="2022-08-31T00:00:00"/>
    <x v="0"/>
    <s v="Aug"/>
    <x v="2"/>
    <x v="1"/>
    <n v="11254.660000000002"/>
    <n v="20"/>
    <x v="3"/>
    <n v="284.33"/>
    <n v="760.45"/>
    <n v="5568.0600000000013"/>
    <s v="New"/>
    <n v="0.26"/>
    <s v="Credit Card"/>
    <s v="Retail"/>
    <x v="8"/>
  </r>
  <r>
    <n v="1033"/>
    <x v="99"/>
    <d v="2022-08-31T00:00:00"/>
    <x v="0"/>
    <s v="Aug"/>
    <x v="4"/>
    <x v="2"/>
    <n v="115157.70000000001"/>
    <n v="30"/>
    <x v="0"/>
    <n v="2929.7"/>
    <n v="4265.1000000000004"/>
    <n v="27266.700000000023"/>
    <s v="Returning"/>
    <n v="0.1"/>
    <s v="Bank Transfer"/>
    <s v="Online"/>
    <x v="17"/>
  </r>
  <r>
    <n v="1067"/>
    <x v="331"/>
    <d v="2022-08-31T00:00:00"/>
    <x v="0"/>
    <s v="Aug"/>
    <x v="2"/>
    <x v="0"/>
    <n v="61182.928799999994"/>
    <n v="36"/>
    <x v="3"/>
    <n v="332.47"/>
    <n v="2098.1799999999998"/>
    <n v="49214.008799999996"/>
    <s v="New"/>
    <n v="0.19"/>
    <s v="Bank Transfer"/>
    <s v="Online"/>
    <x v="18"/>
  </r>
  <r>
    <n v="1059"/>
    <x v="141"/>
    <d v="2022-08-31T00:00:00"/>
    <x v="0"/>
    <s v="Aug"/>
    <x v="2"/>
    <x v="1"/>
    <n v="103662.58639999999"/>
    <n v="31"/>
    <x v="2"/>
    <n v="1636.35"/>
    <n v="4399.9399999999996"/>
    <n v="52935.736399999994"/>
    <s v="Returning"/>
    <n v="0.24"/>
    <s v="Cash"/>
    <s v="Retail"/>
    <x v="8"/>
  </r>
  <r>
    <n v="1010"/>
    <x v="165"/>
    <d v="2022-09-01T00:00:00"/>
    <x v="0"/>
    <s v="Sep"/>
    <x v="2"/>
    <x v="3"/>
    <n v="28770.794999999998"/>
    <n v="10"/>
    <x v="1"/>
    <n v="1983.34"/>
    <n v="3551.95"/>
    <n v="8937.3949999999986"/>
    <s v="Returning"/>
    <n v="0.19"/>
    <s v="Bank Transfer"/>
    <s v="Online"/>
    <x v="3"/>
  </r>
  <r>
    <n v="1028"/>
    <x v="332"/>
    <d v="2022-09-01T00:00:00"/>
    <x v="0"/>
    <s v="Sep"/>
    <x v="4"/>
    <x v="2"/>
    <n v="69647.432399999991"/>
    <n v="42"/>
    <x v="2"/>
    <n v="421.41"/>
    <n v="2125.9899999999998"/>
    <n v="51948.212399999989"/>
    <s v="Returning"/>
    <n v="0.22"/>
    <s v="Bank Transfer"/>
    <s v="Online"/>
    <x v="17"/>
  </r>
  <r>
    <n v="1065"/>
    <x v="71"/>
    <d v="2022-09-01T00:00:00"/>
    <x v="0"/>
    <s v="Sep"/>
    <x v="0"/>
    <x v="2"/>
    <n v="71460.593599999993"/>
    <n v="29"/>
    <x v="2"/>
    <n v="478.58"/>
    <n v="2800.18"/>
    <n v="57581.773599999993"/>
    <s v="New"/>
    <n v="0.12"/>
    <s v="Cash"/>
    <s v="Retail"/>
    <x v="2"/>
  </r>
  <r>
    <n v="1007"/>
    <x v="205"/>
    <d v="2022-09-01T00:00:00"/>
    <x v="0"/>
    <s v="Sep"/>
    <x v="0"/>
    <x v="3"/>
    <n v="112612.89599999999"/>
    <n v="27"/>
    <x v="0"/>
    <n v="1903.25"/>
    <n v="4906.88"/>
    <n v="61225.146000000001"/>
    <s v="Returning"/>
    <n v="0.15"/>
    <s v="Credit Card"/>
    <s v="Online"/>
    <x v="5"/>
  </r>
  <r>
    <n v="1052"/>
    <x v="333"/>
    <d v="2022-09-02T00:00:00"/>
    <x v="0"/>
    <s v="Sep"/>
    <x v="2"/>
    <x v="2"/>
    <n v="13190.202000000001"/>
    <n v="9"/>
    <x v="0"/>
    <n v="748.38"/>
    <n v="1628.42"/>
    <n v="6454.782000000002"/>
    <s v="Returning"/>
    <n v="0.1"/>
    <s v="Bank Transfer"/>
    <s v="Online"/>
    <x v="14"/>
  </r>
  <r>
    <n v="1054"/>
    <x v="251"/>
    <d v="2022-09-02T00:00:00"/>
    <x v="0"/>
    <s v="Sep"/>
    <x v="3"/>
    <x v="0"/>
    <n v="45137.664000000004"/>
    <n v="16"/>
    <x v="3"/>
    <n v="448.9"/>
    <n v="3616.8"/>
    <n v="37955.264000000003"/>
    <s v="New"/>
    <n v="0.22"/>
    <s v="Cash"/>
    <s v="Online"/>
    <x v="11"/>
  </r>
  <r>
    <n v="1037"/>
    <x v="93"/>
    <d v="2022-09-03T00:00:00"/>
    <x v="0"/>
    <s v="Sep"/>
    <x v="0"/>
    <x v="3"/>
    <n v="19234.157800000001"/>
    <n v="13"/>
    <x v="0"/>
    <n v="897.92"/>
    <n v="1573.99"/>
    <n v="7561.1978000000008"/>
    <s v="Returning"/>
    <n v="0.06"/>
    <s v="Credit Card"/>
    <s v="Online"/>
    <x v="5"/>
  </r>
  <r>
    <n v="1033"/>
    <x v="284"/>
    <d v="2022-09-03T00:00:00"/>
    <x v="0"/>
    <s v="Sep"/>
    <x v="3"/>
    <x v="0"/>
    <n v="105546.82319999998"/>
    <n v="24"/>
    <x v="2"/>
    <n v="4030.39"/>
    <n v="4832.7299999999996"/>
    <n v="8817.4631999999874"/>
    <s v="Returning"/>
    <n v="0.09"/>
    <s v="Cash"/>
    <s v="Online"/>
    <x v="11"/>
  </r>
  <r>
    <n v="1032"/>
    <x v="311"/>
    <d v="2022-09-03T00:00:00"/>
    <x v="0"/>
    <s v="Sep"/>
    <x v="3"/>
    <x v="3"/>
    <n v="84226.485000000001"/>
    <n v="30"/>
    <x v="1"/>
    <n v="1944.85"/>
    <n v="3154.55"/>
    <n v="25880.985000000004"/>
    <s v="New"/>
    <n v="0.11"/>
    <s v="Credit Card"/>
    <s v="Online"/>
    <x v="4"/>
  </r>
  <r>
    <n v="1085"/>
    <x v="11"/>
    <d v="2022-09-03T00:00:00"/>
    <x v="0"/>
    <s v="Sep"/>
    <x v="0"/>
    <x v="1"/>
    <n v="130480.56"/>
    <n v="35"/>
    <x v="1"/>
    <n v="2734.16"/>
    <n v="5177.8"/>
    <n v="34784.960000000006"/>
    <s v="Returning"/>
    <n v="0.28000000000000003"/>
    <s v="Cash"/>
    <s v="Online"/>
    <x v="19"/>
  </r>
  <r>
    <n v="1004"/>
    <x v="334"/>
    <d v="2022-09-03T00:00:00"/>
    <x v="0"/>
    <s v="Sep"/>
    <x v="2"/>
    <x v="0"/>
    <n v="176981.7672"/>
    <n v="42"/>
    <x v="3"/>
    <n v="3374.13"/>
    <n v="5016.49"/>
    <n v="35268.307199999996"/>
    <s v="Returning"/>
    <n v="0.16"/>
    <s v="Cash"/>
    <s v="Online"/>
    <x v="18"/>
  </r>
  <r>
    <n v="1002"/>
    <x v="335"/>
    <d v="2022-09-03T00:00:00"/>
    <x v="0"/>
    <s v="Sep"/>
    <x v="3"/>
    <x v="2"/>
    <n v="82254.380099999995"/>
    <n v="19"/>
    <x v="2"/>
    <n v="711.21"/>
    <n v="4655.03"/>
    <n v="68741.39009999999"/>
    <s v="Returning"/>
    <n v="7.0000000000000007E-2"/>
    <s v="Credit Card"/>
    <s v="Retail"/>
    <x v="9"/>
  </r>
  <r>
    <n v="1099"/>
    <x v="16"/>
    <d v="2022-09-04T00:00:00"/>
    <x v="0"/>
    <s v="Sep"/>
    <x v="1"/>
    <x v="2"/>
    <n v="16001.523902253737"/>
    <n v="34"/>
    <x v="1"/>
    <n v="470.52"/>
    <n v="493.99"/>
    <n v="-41.802999999999088"/>
    <s v="New"/>
    <n v="0.05"/>
    <s v="Cash"/>
    <s v="Retail"/>
    <x v="15"/>
  </r>
  <r>
    <n v="1084"/>
    <x v="61"/>
    <d v="2022-09-04T00:00:00"/>
    <x v="0"/>
    <s v="Sep"/>
    <x v="3"/>
    <x v="1"/>
    <n v="84088.896000000008"/>
    <n v="24"/>
    <x v="3"/>
    <n v="1360.4"/>
    <n v="4379.63"/>
    <n v="51439.296000000002"/>
    <s v="New"/>
    <n v="0.2"/>
    <s v="Bank Transfer"/>
    <s v="Retail"/>
    <x v="16"/>
  </r>
  <r>
    <n v="1094"/>
    <x v="336"/>
    <d v="2022-09-04T00:00:00"/>
    <x v="0"/>
    <s v="Sep"/>
    <x v="3"/>
    <x v="2"/>
    <n v="184676.25"/>
    <n v="37"/>
    <x v="1"/>
    <n v="2124.19"/>
    <n v="4991.25"/>
    <n v="106081.22"/>
    <s v="Returning"/>
    <n v="0"/>
    <s v="Bank Transfer"/>
    <s v="Online"/>
    <x v="9"/>
  </r>
  <r>
    <n v="1059"/>
    <x v="229"/>
    <d v="2022-09-05T00:00:00"/>
    <x v="0"/>
    <s v="Sep"/>
    <x v="0"/>
    <x v="0"/>
    <n v="164724.54155362834"/>
    <n v="39"/>
    <x v="0"/>
    <n v="3681.04"/>
    <n v="4319.92"/>
    <n v="21546.782400000004"/>
    <s v="Returning"/>
    <n v="0.02"/>
    <s v="Bank Transfer"/>
    <s v="Retail"/>
    <x v="0"/>
  </r>
  <r>
    <n v="1069"/>
    <x v="337"/>
    <d v="2022-09-05T00:00:00"/>
    <x v="0"/>
    <s v="Sep"/>
    <x v="4"/>
    <x v="2"/>
    <n v="72632.592000000004"/>
    <n v="19"/>
    <x v="0"/>
    <n v="958.03"/>
    <n v="4247.5200000000004"/>
    <n v="54430.022000000004"/>
    <s v="Returning"/>
    <n v="0.1"/>
    <s v="Credit Card"/>
    <s v="Online"/>
    <x v="17"/>
  </r>
  <r>
    <n v="1086"/>
    <x v="338"/>
    <d v="2022-09-06T00:00:00"/>
    <x v="0"/>
    <s v="Sep"/>
    <x v="2"/>
    <x v="3"/>
    <n v="78624.821499999991"/>
    <n v="23"/>
    <x v="2"/>
    <n v="2031.27"/>
    <n v="3598.39"/>
    <n v="31905.611499999999"/>
    <s v="New"/>
    <n v="0.05"/>
    <s v="Credit Card"/>
    <s v="Online"/>
    <x v="3"/>
  </r>
  <r>
    <n v="1054"/>
    <x v="252"/>
    <d v="2022-09-06T00:00:00"/>
    <x v="0"/>
    <s v="Sep"/>
    <x v="4"/>
    <x v="3"/>
    <n v="129310.82080000002"/>
    <n v="31"/>
    <x v="1"/>
    <n v="953.05"/>
    <n v="4534.04"/>
    <n v="99766.270800000013"/>
    <s v="Returning"/>
    <n v="0.08"/>
    <s v="Credit Card"/>
    <s v="Online"/>
    <x v="12"/>
  </r>
  <r>
    <n v="1096"/>
    <x v="339"/>
    <d v="2022-09-07T00:00:00"/>
    <x v="0"/>
    <s v="Sep"/>
    <x v="3"/>
    <x v="3"/>
    <n v="49277.483999999997"/>
    <n v="12"/>
    <x v="2"/>
    <n v="2612.4499999999998"/>
    <n v="4774.95"/>
    <n v="17928.083999999995"/>
    <s v="Returning"/>
    <n v="0.14000000000000001"/>
    <s v="Cash"/>
    <s v="Online"/>
    <x v="4"/>
  </r>
  <r>
    <n v="1047"/>
    <x v="137"/>
    <d v="2022-09-08T00:00:00"/>
    <x v="0"/>
    <s v="Sep"/>
    <x v="3"/>
    <x v="1"/>
    <n v="42031.610399999998"/>
    <n v="13"/>
    <x v="2"/>
    <n v="2401.92"/>
    <n v="3476.56"/>
    <n v="10806.650399999995"/>
    <s v="Returning"/>
    <n v="7.0000000000000007E-2"/>
    <s v="Credit Card"/>
    <s v="Online"/>
    <x v="16"/>
  </r>
  <r>
    <n v="1068"/>
    <x v="78"/>
    <d v="2022-09-08T00:00:00"/>
    <x v="0"/>
    <s v="Sep"/>
    <x v="1"/>
    <x v="0"/>
    <n v="63418.569299999996"/>
    <n v="23"/>
    <x v="1"/>
    <n v="1323.56"/>
    <n v="2964.87"/>
    <n v="32976.689299999998"/>
    <s v="New"/>
    <n v="7.0000000000000007E-2"/>
    <s v="Cash"/>
    <s v="Retail"/>
    <x v="10"/>
  </r>
  <r>
    <n v="1088"/>
    <x v="96"/>
    <d v="2022-09-08T00:00:00"/>
    <x v="0"/>
    <s v="Sep"/>
    <x v="0"/>
    <x v="3"/>
    <n v="115336.08"/>
    <n v="30"/>
    <x v="2"/>
    <n v="2270.3000000000002"/>
    <n v="4805.67"/>
    <n v="47227.079999999994"/>
    <s v="Returning"/>
    <n v="0.2"/>
    <s v="Bank Transfer"/>
    <s v="Retail"/>
    <x v="5"/>
  </r>
  <r>
    <n v="1088"/>
    <x v="25"/>
    <d v="2022-09-09T00:00:00"/>
    <x v="0"/>
    <s v="Sep"/>
    <x v="3"/>
    <x v="1"/>
    <n v="15528.93"/>
    <n v="3"/>
    <x v="1"/>
    <n v="108.63"/>
    <n v="5176.3100000000004"/>
    <n v="15203.04"/>
    <s v="Returning"/>
    <n v="0"/>
    <s v="Cash"/>
    <s v="Retail"/>
    <x v="16"/>
  </r>
  <r>
    <n v="1077"/>
    <x v="35"/>
    <d v="2022-09-09T00:00:00"/>
    <x v="0"/>
    <s v="Sep"/>
    <x v="0"/>
    <x v="3"/>
    <n v="170816.4184"/>
    <n v="46"/>
    <x v="0"/>
    <n v="2294.4699999999998"/>
    <n v="4172.3599999999997"/>
    <n v="65270.798400000007"/>
    <s v="Returning"/>
    <n v="0.11"/>
    <s v="Credit Card"/>
    <s v="Retail"/>
    <x v="5"/>
  </r>
  <r>
    <n v="1008"/>
    <x v="173"/>
    <d v="2022-09-10T00:00:00"/>
    <x v="0"/>
    <s v="Sep"/>
    <x v="2"/>
    <x v="2"/>
    <n v="30007.938478644832"/>
    <n v="7"/>
    <x v="3"/>
    <n v="4254"/>
    <n v="4321.1099999999997"/>
    <n v="167.29229999999461"/>
    <s v="Returning"/>
    <n v="0.01"/>
    <s v="Credit Card"/>
    <s v="Online"/>
    <x v="14"/>
  </r>
  <r>
    <n v="1053"/>
    <x v="4"/>
    <d v="2022-09-10T00:00:00"/>
    <x v="0"/>
    <s v="Sep"/>
    <x v="3"/>
    <x v="2"/>
    <n v="24118.463200000002"/>
    <n v="19"/>
    <x v="2"/>
    <n v="1053.52"/>
    <n v="1548.04"/>
    <n v="4101.5832000000019"/>
    <s v="Returning"/>
    <n v="0.18"/>
    <s v="Cash"/>
    <s v="Online"/>
    <x v="9"/>
  </r>
  <r>
    <n v="1001"/>
    <x v="315"/>
    <d v="2022-09-10T00:00:00"/>
    <x v="0"/>
    <s v="Sep"/>
    <x v="3"/>
    <x v="3"/>
    <n v="27812.526700000002"/>
    <n v="7"/>
    <x v="2"/>
    <n v="1318.08"/>
    <n v="5029.3900000000003"/>
    <n v="18585.966700000004"/>
    <s v="Returning"/>
    <n v="0.21"/>
    <s v="Cash"/>
    <s v="Retail"/>
    <x v="4"/>
  </r>
  <r>
    <n v="1085"/>
    <x v="5"/>
    <d v="2022-09-11T00:00:00"/>
    <x v="0"/>
    <s v="Sep"/>
    <x v="2"/>
    <x v="2"/>
    <n v="56975.212405415492"/>
    <n v="13"/>
    <x v="0"/>
    <n v="4382.4799999999996"/>
    <n v="4442.33"/>
    <n v="200.54709999999977"/>
    <s v="Returning"/>
    <n v="0.01"/>
    <s v="Cash"/>
    <s v="Online"/>
    <x v="14"/>
  </r>
  <r>
    <n v="1004"/>
    <x v="211"/>
    <d v="2022-09-11T00:00:00"/>
    <x v="0"/>
    <s v="Sep"/>
    <x v="2"/>
    <x v="2"/>
    <n v="11631.7575"/>
    <n v="5"/>
    <x v="0"/>
    <n v="1611.49"/>
    <n v="2349.85"/>
    <n v="3574.307499999999"/>
    <s v="New"/>
    <n v="0.01"/>
    <s v="Credit Card"/>
    <s v="Online"/>
    <x v="14"/>
  </r>
  <r>
    <n v="1090"/>
    <x v="298"/>
    <d v="2022-09-11T00:00:00"/>
    <x v="0"/>
    <s v="Sep"/>
    <x v="0"/>
    <x v="2"/>
    <n v="12308.8128"/>
    <n v="4"/>
    <x v="0"/>
    <n v="1889.95"/>
    <n v="3205.42"/>
    <n v="4749.0127999999995"/>
    <s v="New"/>
    <n v="0.04"/>
    <s v="Credit Card"/>
    <s v="Retail"/>
    <x v="2"/>
  </r>
  <r>
    <n v="1080"/>
    <x v="240"/>
    <d v="2022-09-11T00:00:00"/>
    <x v="0"/>
    <s v="Sep"/>
    <x v="2"/>
    <x v="1"/>
    <n v="20821.275400000002"/>
    <n v="38"/>
    <x v="3"/>
    <n v="173.52"/>
    <n v="771.73"/>
    <n v="14227.515400000002"/>
    <s v="New"/>
    <n v="0.28999999999999998"/>
    <s v="Bank Transfer"/>
    <s v="Online"/>
    <x v="8"/>
  </r>
  <r>
    <n v="1030"/>
    <x v="340"/>
    <d v="2022-09-11T00:00:00"/>
    <x v="0"/>
    <s v="Sep"/>
    <x v="3"/>
    <x v="2"/>
    <n v="41150.004000000001"/>
    <n v="21"/>
    <x v="2"/>
    <n v="923.33"/>
    <n v="2084.6"/>
    <n v="21760.074000000001"/>
    <s v="New"/>
    <n v="0.06"/>
    <s v="Credit Card"/>
    <s v="Online"/>
    <x v="9"/>
  </r>
  <r>
    <n v="1070"/>
    <x v="56"/>
    <d v="2022-09-11T00:00:00"/>
    <x v="0"/>
    <s v="Sep"/>
    <x v="2"/>
    <x v="2"/>
    <n v="108396.09479999999"/>
    <n v="49"/>
    <x v="2"/>
    <n v="1279.76"/>
    <n v="2633.53"/>
    <n v="45687.854799999994"/>
    <s v="Returning"/>
    <n v="0.16"/>
    <s v="Cash"/>
    <s v="Online"/>
    <x v="14"/>
  </r>
  <r>
    <n v="1074"/>
    <x v="158"/>
    <d v="2022-09-11T00:00:00"/>
    <x v="0"/>
    <s v="Sep"/>
    <x v="3"/>
    <x v="1"/>
    <n v="107693.11800000002"/>
    <n v="26"/>
    <x v="3"/>
    <n v="159.72999999999999"/>
    <n v="4602.2700000000004"/>
    <n v="103540.13800000002"/>
    <s v="Returning"/>
    <n v="0.1"/>
    <s v="Cash"/>
    <s v="Retail"/>
    <x v="16"/>
  </r>
  <r>
    <n v="1020"/>
    <x v="341"/>
    <d v="2022-09-12T00:00:00"/>
    <x v="0"/>
    <s v="Sep"/>
    <x v="3"/>
    <x v="0"/>
    <n v="27069.757035934981"/>
    <n v="25"/>
    <x v="0"/>
    <n v="1054.8599999999999"/>
    <n v="1094.5899999999999"/>
    <n v="719.60250000000201"/>
    <s v="New"/>
    <n v="0.01"/>
    <s v="Credit Card"/>
    <s v="Retail"/>
    <x v="11"/>
  </r>
  <r>
    <n v="1012"/>
    <x v="90"/>
    <d v="2022-09-12T00:00:00"/>
    <x v="0"/>
    <s v="Sep"/>
    <x v="3"/>
    <x v="1"/>
    <n v="27631.912"/>
    <n v="31"/>
    <x v="2"/>
    <n v="734.3"/>
    <n v="1012.9"/>
    <n v="4868.612000000001"/>
    <s v="Returning"/>
    <n v="0.12"/>
    <s v="Credit Card"/>
    <s v="Online"/>
    <x v="16"/>
  </r>
  <r>
    <n v="1090"/>
    <x v="298"/>
    <d v="2022-09-13T00:00:00"/>
    <x v="0"/>
    <s v="Sep"/>
    <x v="3"/>
    <x v="1"/>
    <n v="111923.76038556456"/>
    <n v="38"/>
    <x v="0"/>
    <n v="2874.48"/>
    <n v="3030.57"/>
    <n v="2476.570200000001"/>
    <s v="New"/>
    <n v="0.03"/>
    <s v="Cash"/>
    <s v="Online"/>
    <x v="16"/>
  </r>
  <r>
    <n v="1055"/>
    <x v="312"/>
    <d v="2022-09-13T00:00:00"/>
    <x v="0"/>
    <s v="Sep"/>
    <x v="2"/>
    <x v="1"/>
    <n v="185163.4008"/>
    <n v="43"/>
    <x v="3"/>
    <n v="3518.46"/>
    <n v="5126.34"/>
    <n v="33869.620800000012"/>
    <s v="New"/>
    <n v="0.16"/>
    <s v="Bank Transfer"/>
    <s v="Retail"/>
    <x v="8"/>
  </r>
  <r>
    <n v="1016"/>
    <x v="259"/>
    <d v="2022-09-13T00:00:00"/>
    <x v="0"/>
    <s v="Sep"/>
    <x v="0"/>
    <x v="2"/>
    <n v="184101.05280000003"/>
    <n v="42"/>
    <x v="0"/>
    <n v="3151.39"/>
    <n v="4764.5200000000004"/>
    <n v="51742.672800000044"/>
    <s v="New"/>
    <n v="0.08"/>
    <s v="Bank Transfer"/>
    <s v="Online"/>
    <x v="2"/>
  </r>
  <r>
    <n v="1018"/>
    <x v="320"/>
    <d v="2022-09-13T00:00:00"/>
    <x v="0"/>
    <s v="Sep"/>
    <x v="0"/>
    <x v="2"/>
    <n v="138527.11440000002"/>
    <n v="36"/>
    <x v="0"/>
    <n v="2019.75"/>
    <n v="4474.3900000000003"/>
    <n v="65816.114400000006"/>
    <s v="New"/>
    <n v="0.14000000000000001"/>
    <s v="Credit Card"/>
    <s v="Retail"/>
    <x v="2"/>
  </r>
  <r>
    <n v="1054"/>
    <x v="342"/>
    <d v="2022-09-13T00:00:00"/>
    <x v="0"/>
    <s v="Sep"/>
    <x v="2"/>
    <x v="1"/>
    <n v="126045.405"/>
    <n v="46"/>
    <x v="0"/>
    <n v="702.24"/>
    <n v="3653.49"/>
    <n v="93742.364999999991"/>
    <s v="New"/>
    <n v="0.25"/>
    <s v="Bank Transfer"/>
    <s v="Online"/>
    <x v="8"/>
  </r>
  <r>
    <n v="1016"/>
    <x v="193"/>
    <d v="2022-09-13T00:00:00"/>
    <x v="0"/>
    <s v="Sep"/>
    <x v="4"/>
    <x v="1"/>
    <n v="114825.05580000002"/>
    <n v="26"/>
    <x v="2"/>
    <n v="583.69000000000005"/>
    <n v="4853.13"/>
    <n v="99649.115800000014"/>
    <s v="Returning"/>
    <n v="0.09"/>
    <s v="Bank Transfer"/>
    <s v="Retail"/>
    <x v="6"/>
  </r>
  <r>
    <n v="1034"/>
    <x v="185"/>
    <d v="2022-09-14T00:00:00"/>
    <x v="0"/>
    <s v="Sep"/>
    <x v="4"/>
    <x v="3"/>
    <n v="23358.011715571662"/>
    <n v="5"/>
    <x v="1"/>
    <n v="4542.95"/>
    <n v="4704.67"/>
    <n v="573.36650000000191"/>
    <s v="New"/>
    <n v="0.01"/>
    <s v="Credit Card"/>
    <s v="Online"/>
    <x v="12"/>
  </r>
  <r>
    <n v="1035"/>
    <x v="120"/>
    <d v="2022-09-14T00:00:00"/>
    <x v="0"/>
    <s v="Sep"/>
    <x v="3"/>
    <x v="1"/>
    <n v="45630.620810858629"/>
    <n v="40"/>
    <x v="1"/>
    <n v="1117.72"/>
    <n v="1144.57"/>
    <n v="1073.9999999999964"/>
    <s v="New"/>
    <n v="0"/>
    <s v="Credit Card"/>
    <s v="Retail"/>
    <x v="16"/>
  </r>
  <r>
    <n v="1042"/>
    <x v="0"/>
    <d v="2022-09-14T00:00:00"/>
    <x v="0"/>
    <s v="Sep"/>
    <x v="4"/>
    <x v="3"/>
    <n v="133530.34691541156"/>
    <n v="33"/>
    <x v="0"/>
    <n v="3682.27"/>
    <n v="4174.8"/>
    <n v="12120.438000000002"/>
    <s v="Returning"/>
    <n v="0.03"/>
    <s v="Credit Card"/>
    <s v="Retail"/>
    <x v="12"/>
  </r>
  <r>
    <n v="1055"/>
    <x v="77"/>
    <d v="2022-09-14T00:00:00"/>
    <x v="0"/>
    <s v="Sep"/>
    <x v="4"/>
    <x v="0"/>
    <n v="225594.3536"/>
    <n v="49"/>
    <x v="2"/>
    <n v="3742.59"/>
    <n v="5231.78"/>
    <n v="42207.443600000006"/>
    <s v="New"/>
    <n v="0.12"/>
    <s v="Cash"/>
    <s v="Online"/>
    <x v="13"/>
  </r>
  <r>
    <n v="1043"/>
    <x v="72"/>
    <d v="2022-09-14T00:00:00"/>
    <x v="0"/>
    <s v="Sep"/>
    <x v="3"/>
    <x v="2"/>
    <n v="68168.606599999999"/>
    <n v="38"/>
    <x v="1"/>
    <n v="294.67"/>
    <n v="2015.63"/>
    <n v="56971.1466"/>
    <s v="New"/>
    <n v="0.11"/>
    <s v="Bank Transfer"/>
    <s v="Online"/>
    <x v="9"/>
  </r>
  <r>
    <n v="1012"/>
    <x v="296"/>
    <d v="2022-09-14T00:00:00"/>
    <x v="0"/>
    <s v="Sep"/>
    <x v="3"/>
    <x v="2"/>
    <n v="167571.39559999999"/>
    <n v="49"/>
    <x v="3"/>
    <n v="2185.7800000000002"/>
    <n v="3976.54"/>
    <n v="60468.175599999988"/>
    <s v="Returning"/>
    <n v="0.14000000000000001"/>
    <s v="Bank Transfer"/>
    <s v="Online"/>
    <x v="9"/>
  </r>
  <r>
    <n v="1100"/>
    <x v="343"/>
    <d v="2022-09-15T00:00:00"/>
    <x v="0"/>
    <s v="Sep"/>
    <x v="4"/>
    <x v="3"/>
    <n v="34795.277000000002"/>
    <n v="22"/>
    <x v="3"/>
    <n v="500"/>
    <n v="1860.71"/>
    <n v="23795.276999999998"/>
    <s v="New"/>
    <n v="0.15"/>
    <s v="Cash"/>
    <s v="Retail"/>
    <x v="12"/>
  </r>
  <r>
    <n v="1021"/>
    <x v="110"/>
    <d v="2022-09-16T00:00:00"/>
    <x v="0"/>
    <s v="Sep"/>
    <x v="1"/>
    <x v="2"/>
    <n v="26705.582399999999"/>
    <n v="16"/>
    <x v="0"/>
    <n v="1262.6099999999999"/>
    <n v="1794.73"/>
    <n v="6503.8224000000009"/>
    <s v="New"/>
    <n v="7.0000000000000007E-2"/>
    <s v="Bank Transfer"/>
    <s v="Online"/>
    <x v="15"/>
  </r>
  <r>
    <n v="1004"/>
    <x v="334"/>
    <d v="2022-09-17T00:00:00"/>
    <x v="0"/>
    <s v="Sep"/>
    <x v="1"/>
    <x v="0"/>
    <n v="60790.713199999998"/>
    <n v="14"/>
    <x v="3"/>
    <n v="1659.44"/>
    <n v="4430.8100000000004"/>
    <n v="37558.553200000002"/>
    <s v="New"/>
    <n v="0.02"/>
    <s v="Credit Card"/>
    <s v="Online"/>
    <x v="10"/>
  </r>
  <r>
    <n v="1080"/>
    <x v="49"/>
    <d v="2022-09-17T00:00:00"/>
    <x v="0"/>
    <s v="Sep"/>
    <x v="4"/>
    <x v="3"/>
    <n v="149568.18799999999"/>
    <n v="44"/>
    <x v="2"/>
    <n v="759.28"/>
    <n v="3468.65"/>
    <n v="116159.86800000002"/>
    <s v="Returning"/>
    <n v="0.02"/>
    <s v="Bank Transfer"/>
    <s v="Retail"/>
    <x v="12"/>
  </r>
  <r>
    <n v="1037"/>
    <x v="13"/>
    <d v="2022-09-18T00:00:00"/>
    <x v="0"/>
    <s v="Sep"/>
    <x v="1"/>
    <x v="0"/>
    <n v="36088.65"/>
    <n v="13"/>
    <x v="2"/>
    <n v="902.24"/>
    <n v="3701.4"/>
    <n v="24359.530000000002"/>
    <s v="Returning"/>
    <n v="0.25"/>
    <s v="Cash"/>
    <s v="Online"/>
    <x v="10"/>
  </r>
  <r>
    <n v="1083"/>
    <x v="100"/>
    <d v="2022-09-18T00:00:00"/>
    <x v="0"/>
    <s v="Sep"/>
    <x v="4"/>
    <x v="0"/>
    <n v="97396.550399999993"/>
    <n v="37"/>
    <x v="3"/>
    <n v="898.06"/>
    <n v="3707.52"/>
    <n v="64168.330399999999"/>
    <s v="New"/>
    <n v="0.28999999999999998"/>
    <s v="Bank Transfer"/>
    <s v="Retail"/>
    <x v="13"/>
  </r>
  <r>
    <n v="1039"/>
    <x v="117"/>
    <d v="2022-09-19T00:00:00"/>
    <x v="0"/>
    <s v="Sep"/>
    <x v="3"/>
    <x v="3"/>
    <n v="15471.676000000001"/>
    <n v="22"/>
    <x v="3"/>
    <n v="208.49"/>
    <n v="890.2"/>
    <n v="10884.896000000001"/>
    <s v="New"/>
    <n v="0.21"/>
    <s v="Bank Transfer"/>
    <s v="Retail"/>
    <x v="4"/>
  </r>
  <r>
    <n v="1050"/>
    <x v="44"/>
    <d v="2022-09-19T00:00:00"/>
    <x v="0"/>
    <s v="Sep"/>
    <x v="1"/>
    <x v="3"/>
    <n v="195945.74"/>
    <n v="50"/>
    <x v="1"/>
    <n v="2847.29"/>
    <n v="4259.6899999999996"/>
    <n v="53581.240000000005"/>
    <s v="Returning"/>
    <n v="0.08"/>
    <s v="Cash"/>
    <s v="Online"/>
    <x v="7"/>
  </r>
  <r>
    <n v="1014"/>
    <x v="98"/>
    <d v="2022-09-20T00:00:00"/>
    <x v="0"/>
    <s v="Sep"/>
    <x v="0"/>
    <x v="2"/>
    <n v="9326.6039999999994"/>
    <n v="3"/>
    <x v="0"/>
    <n v="1676.27"/>
    <n v="4441.24"/>
    <n v="4297.7939999999981"/>
    <s v="Returning"/>
    <n v="0.3"/>
    <s v="Bank Transfer"/>
    <s v="Online"/>
    <x v="2"/>
  </r>
  <r>
    <n v="1086"/>
    <x v="82"/>
    <d v="2022-09-20T00:00:00"/>
    <x v="0"/>
    <s v="Sep"/>
    <x v="2"/>
    <x v="1"/>
    <n v="65911.780799999993"/>
    <n v="23"/>
    <x v="3"/>
    <n v="791.16"/>
    <n v="3980.18"/>
    <n v="47715.100799999993"/>
    <s v="Returning"/>
    <n v="0.28000000000000003"/>
    <s v="Bank Transfer"/>
    <s v="Retail"/>
    <x v="8"/>
  </r>
  <r>
    <n v="1081"/>
    <x v="85"/>
    <d v="2022-09-21T00:00:00"/>
    <x v="0"/>
    <s v="Sep"/>
    <x v="2"/>
    <x v="1"/>
    <n v="128147.25839999999"/>
    <n v="28"/>
    <x v="2"/>
    <n v="2027.8"/>
    <n v="5321.73"/>
    <n v="71368.858399999983"/>
    <s v="Returning"/>
    <n v="0.14000000000000001"/>
    <s v="Cash"/>
    <s v="Retail"/>
    <x v="8"/>
  </r>
  <r>
    <n v="1025"/>
    <x v="54"/>
    <d v="2022-09-22T00:00:00"/>
    <x v="0"/>
    <s v="Sep"/>
    <x v="0"/>
    <x v="2"/>
    <n v="60009.087599999999"/>
    <n v="42"/>
    <x v="0"/>
    <n v="1347.2"/>
    <n v="1443.22"/>
    <n v="3426.6876000000007"/>
    <s v="Returning"/>
    <n v="0.01"/>
    <s v="Bank Transfer"/>
    <s v="Online"/>
    <x v="2"/>
  </r>
  <r>
    <n v="1097"/>
    <x v="174"/>
    <d v="2022-09-22T00:00:00"/>
    <x v="0"/>
    <s v="Sep"/>
    <x v="0"/>
    <x v="2"/>
    <n v="52874.463948952289"/>
    <n v="12"/>
    <x v="2"/>
    <n v="3714.11"/>
    <n v="4563.67"/>
    <n v="8551.7987999999987"/>
    <s v="New"/>
    <n v="0.03"/>
    <s v="Credit Card"/>
    <s v="Retail"/>
    <x v="2"/>
  </r>
  <r>
    <n v="1062"/>
    <x v="109"/>
    <d v="2022-09-22T00:00:00"/>
    <x v="0"/>
    <s v="Sep"/>
    <x v="0"/>
    <x v="3"/>
    <n v="71662.598761095302"/>
    <n v="27"/>
    <x v="2"/>
    <n v="2174.79"/>
    <n v="2696.05"/>
    <n v="12618.152999999998"/>
    <s v="New"/>
    <n v="0.02"/>
    <s v="Credit Card"/>
    <s v="Retail"/>
    <x v="5"/>
  </r>
  <r>
    <n v="1074"/>
    <x v="158"/>
    <d v="2022-09-22T00:00:00"/>
    <x v="0"/>
    <s v="Sep"/>
    <x v="0"/>
    <x v="1"/>
    <n v="142419.11319999999"/>
    <n v="38"/>
    <x v="3"/>
    <n v="387.2"/>
    <n v="4357.99"/>
    <n v="127705.51319999999"/>
    <s v="Returning"/>
    <n v="0.14000000000000001"/>
    <s v="Cash"/>
    <s v="Retail"/>
    <x v="19"/>
  </r>
  <r>
    <n v="1053"/>
    <x v="233"/>
    <d v="2022-09-23T00:00:00"/>
    <x v="0"/>
    <s v="Sep"/>
    <x v="4"/>
    <x v="3"/>
    <n v="39931.976377332401"/>
    <n v="9"/>
    <x v="1"/>
    <n v="3620.02"/>
    <n v="4528.32"/>
    <n v="7359.6023999999998"/>
    <s v="Returning"/>
    <n v="0.02"/>
    <s v="Credit Card"/>
    <s v="Online"/>
    <x v="12"/>
  </r>
  <r>
    <n v="1018"/>
    <x v="320"/>
    <d v="2022-09-23T00:00:00"/>
    <x v="0"/>
    <s v="Sep"/>
    <x v="3"/>
    <x v="3"/>
    <n v="127175.07686826268"/>
    <n v="35"/>
    <x v="0"/>
    <n v="3245.49"/>
    <n v="3730.11"/>
    <n v="13045.084500000014"/>
    <s v="New"/>
    <n v="0.03"/>
    <s v="Credit Card"/>
    <s v="Retail"/>
    <x v="4"/>
  </r>
  <r>
    <n v="1014"/>
    <x v="130"/>
    <d v="2022-09-23T00:00:00"/>
    <x v="0"/>
    <s v="Sep"/>
    <x v="3"/>
    <x v="1"/>
    <n v="109226.28659999999"/>
    <n v="37"/>
    <x v="2"/>
    <n v="2526.8000000000002"/>
    <n v="3432.63"/>
    <n v="15734.686599999992"/>
    <s v="Returning"/>
    <n v="0.14000000000000001"/>
    <s v="Bank Transfer"/>
    <s v="Retail"/>
    <x v="16"/>
  </r>
  <r>
    <n v="1028"/>
    <x v="295"/>
    <d v="2022-09-23T00:00:00"/>
    <x v="0"/>
    <s v="Sep"/>
    <x v="4"/>
    <x v="2"/>
    <n v="56867.517200000002"/>
    <n v="26"/>
    <x v="1"/>
    <n v="1510.56"/>
    <n v="2543.27"/>
    <n v="17592.957200000001"/>
    <s v="New"/>
    <n v="0.14000000000000001"/>
    <s v="Credit Card"/>
    <s v="Online"/>
    <x v="17"/>
  </r>
  <r>
    <n v="1075"/>
    <x v="19"/>
    <d v="2022-09-23T00:00:00"/>
    <x v="0"/>
    <s v="Sep"/>
    <x v="4"/>
    <x v="0"/>
    <n v="170013.4326"/>
    <n v="38"/>
    <x v="3"/>
    <n v="2368.14"/>
    <n v="4519.2299999999996"/>
    <n v="80024.112599999993"/>
    <s v="New"/>
    <n v="0.01"/>
    <s v="Bank Transfer"/>
    <s v="Online"/>
    <x v="13"/>
  </r>
  <r>
    <n v="1080"/>
    <x v="49"/>
    <d v="2022-09-24T00:00:00"/>
    <x v="0"/>
    <s v="Sep"/>
    <x v="3"/>
    <x v="0"/>
    <n v="6462.5"/>
    <n v="5"/>
    <x v="2"/>
    <n v="611.88"/>
    <n v="1468.75"/>
    <n v="3403.1"/>
    <s v="Returning"/>
    <n v="0.12"/>
    <s v="Credit Card"/>
    <s v="Online"/>
    <x v="11"/>
  </r>
  <r>
    <n v="1040"/>
    <x v="344"/>
    <d v="2022-09-24T00:00:00"/>
    <x v="0"/>
    <s v="Sep"/>
    <x v="4"/>
    <x v="2"/>
    <n v="116888.40418492179"/>
    <n v="23"/>
    <x v="2"/>
    <n v="4884.8599999999997"/>
    <n v="5245.18"/>
    <n v="4668.1858000000057"/>
    <s v="Returning"/>
    <n v="0.03"/>
    <s v="Cash"/>
    <s v="Online"/>
    <x v="17"/>
  </r>
  <r>
    <n v="1007"/>
    <x v="12"/>
    <d v="2022-09-24T00:00:00"/>
    <x v="0"/>
    <s v="Sep"/>
    <x v="3"/>
    <x v="2"/>
    <n v="44552.678399999997"/>
    <n v="16"/>
    <x v="2"/>
    <n v="1934.9"/>
    <n v="3867.42"/>
    <n v="13594.278399999996"/>
    <s v="New"/>
    <n v="0.28000000000000003"/>
    <s v="Bank Transfer"/>
    <s v="Retail"/>
    <x v="9"/>
  </r>
  <r>
    <n v="1049"/>
    <x v="297"/>
    <d v="2022-09-24T00:00:00"/>
    <x v="0"/>
    <s v="Sep"/>
    <x v="0"/>
    <x v="1"/>
    <n v="47944.079999999994"/>
    <n v="34"/>
    <x v="0"/>
    <n v="193.83"/>
    <n v="1958.5"/>
    <n v="41353.86"/>
    <s v="New"/>
    <n v="0.28000000000000003"/>
    <s v="Cash"/>
    <s v="Retail"/>
    <x v="19"/>
  </r>
  <r>
    <n v="1058"/>
    <x v="345"/>
    <d v="2022-09-25T00:00:00"/>
    <x v="0"/>
    <s v="Sep"/>
    <x v="3"/>
    <x v="2"/>
    <n v="52832.973399999995"/>
    <n v="37"/>
    <x v="0"/>
    <n v="1312.51"/>
    <n v="1660.37"/>
    <n v="4270.1033999999945"/>
    <s v="New"/>
    <n v="0.14000000000000001"/>
    <s v="Bank Transfer"/>
    <s v="Online"/>
    <x v="9"/>
  </r>
  <r>
    <n v="1064"/>
    <x v="88"/>
    <d v="2022-09-25T00:00:00"/>
    <x v="0"/>
    <s v="Sep"/>
    <x v="2"/>
    <x v="3"/>
    <n v="34754.540799999995"/>
    <n v="16"/>
    <x v="3"/>
    <n v="1811.45"/>
    <n v="2975.56"/>
    <n v="5771.3407999999945"/>
    <s v="Returning"/>
    <n v="0.27"/>
    <s v="Bank Transfer"/>
    <s v="Retail"/>
    <x v="3"/>
  </r>
  <r>
    <n v="1043"/>
    <x v="72"/>
    <d v="2022-09-26T00:00:00"/>
    <x v="0"/>
    <s v="Sep"/>
    <x v="1"/>
    <x v="2"/>
    <n v="22554.784800000001"/>
    <n v="9"/>
    <x v="1"/>
    <n v="1145.3599999999999"/>
    <n v="2880.56"/>
    <n v="12246.5448"/>
    <s v="Returning"/>
    <n v="0.13"/>
    <s v="Bank Transfer"/>
    <s v="Online"/>
    <x v="15"/>
  </r>
  <r>
    <n v="1064"/>
    <x v="126"/>
    <d v="2022-09-27T00:00:00"/>
    <x v="0"/>
    <s v="Sep"/>
    <x v="4"/>
    <x v="3"/>
    <n v="72750.646800000002"/>
    <n v="26"/>
    <x v="1"/>
    <n v="2139.27"/>
    <n v="3587.31"/>
    <n v="17129.626799999998"/>
    <s v="New"/>
    <n v="0.22"/>
    <s v="Credit Card"/>
    <s v="Retail"/>
    <x v="12"/>
  </r>
  <r>
    <n v="1019"/>
    <x v="215"/>
    <d v="2022-09-28T00:00:00"/>
    <x v="0"/>
    <s v="Sep"/>
    <x v="2"/>
    <x v="0"/>
    <n v="87697.584000000003"/>
    <n v="26"/>
    <x v="2"/>
    <n v="2405.7199999999998"/>
    <n v="3747.76"/>
    <n v="25148.864000000016"/>
    <s v="New"/>
    <n v="0.1"/>
    <s v="Bank Transfer"/>
    <s v="Online"/>
    <x v="18"/>
  </r>
  <r>
    <n v="1050"/>
    <x v="254"/>
    <d v="2022-09-28T00:00:00"/>
    <x v="0"/>
    <s v="Sep"/>
    <x v="2"/>
    <x v="3"/>
    <n v="140069.4768"/>
    <n v="44"/>
    <x v="3"/>
    <n v="939.34"/>
    <n v="3930.12"/>
    <n v="98738.516800000012"/>
    <s v="New"/>
    <n v="0.19"/>
    <s v="Cash"/>
    <s v="Online"/>
    <x v="3"/>
  </r>
  <r>
    <n v="1026"/>
    <x v="50"/>
    <d v="2022-09-29T00:00:00"/>
    <x v="0"/>
    <s v="Sep"/>
    <x v="3"/>
    <x v="0"/>
    <n v="6866.2691999999997"/>
    <n v="2"/>
    <x v="1"/>
    <n v="2294.64"/>
    <n v="4345.74"/>
    <n v="2276.9892"/>
    <s v="New"/>
    <n v="0.21"/>
    <s v="Bank Transfer"/>
    <s v="Retail"/>
    <x v="11"/>
  </r>
  <r>
    <n v="1015"/>
    <x v="144"/>
    <d v="2022-09-30T00:00:00"/>
    <x v="0"/>
    <s v="Sep"/>
    <x v="3"/>
    <x v="2"/>
    <n v="29701.7199"/>
    <n v="9"/>
    <x v="3"/>
    <n v="1396.33"/>
    <n v="4074.31"/>
    <n v="17134.749900000003"/>
    <s v="New"/>
    <n v="0.19"/>
    <s v="Bank Transfer"/>
    <s v="Online"/>
    <x v="9"/>
  </r>
  <r>
    <n v="1085"/>
    <x v="234"/>
    <d v="2022-10-01T00:00:00"/>
    <x v="0"/>
    <s v="Oct"/>
    <x v="2"/>
    <x v="3"/>
    <n v="196735.77869997019"/>
    <n v="50"/>
    <x v="3"/>
    <n v="3893.29"/>
    <n v="3946.34"/>
    <n v="2652.5000000000091"/>
    <s v="Returning"/>
    <n v="0"/>
    <s v="Cash"/>
    <s v="Online"/>
    <x v="3"/>
  </r>
  <r>
    <n v="1038"/>
    <x v="6"/>
    <d v="2022-10-01T00:00:00"/>
    <x v="0"/>
    <s v="Oct"/>
    <x v="4"/>
    <x v="1"/>
    <n v="18702.84"/>
    <n v="10"/>
    <x v="0"/>
    <n v="791.89"/>
    <n v="2397.8000000000002"/>
    <n v="10783.940000000002"/>
    <s v="Returning"/>
    <n v="0.22"/>
    <s v="Bank Transfer"/>
    <s v="Retail"/>
    <x v="6"/>
  </r>
  <r>
    <n v="1097"/>
    <x v="42"/>
    <d v="2022-10-01T00:00:00"/>
    <x v="0"/>
    <s v="Oct"/>
    <x v="4"/>
    <x v="1"/>
    <n v="30632.985000000004"/>
    <n v="45"/>
    <x v="1"/>
    <n v="302.94"/>
    <n v="756.37"/>
    <n v="17000.685000000001"/>
    <s v="New"/>
    <n v="0.1"/>
    <s v="Bank Transfer"/>
    <s v="Retail"/>
    <x v="6"/>
  </r>
  <r>
    <n v="1065"/>
    <x v="190"/>
    <d v="2022-10-02T00:00:00"/>
    <x v="0"/>
    <s v="Oct"/>
    <x v="1"/>
    <x v="3"/>
    <n v="1320.942"/>
    <n v="7"/>
    <x v="0"/>
    <n v="71.599999999999994"/>
    <n v="269.58"/>
    <n v="819.74199999999996"/>
    <s v="New"/>
    <n v="0.3"/>
    <s v="Cash"/>
    <s v="Online"/>
    <x v="7"/>
  </r>
  <r>
    <n v="1098"/>
    <x v="127"/>
    <d v="2022-10-02T00:00:00"/>
    <x v="0"/>
    <s v="Oct"/>
    <x v="2"/>
    <x v="2"/>
    <n v="22223.782986144637"/>
    <n v="9"/>
    <x v="1"/>
    <n v="2250.69"/>
    <n v="2580.63"/>
    <n v="2040.4331999999977"/>
    <s v="Returning"/>
    <n v="0.04"/>
    <s v="Cash"/>
    <s v="Online"/>
    <x v="14"/>
  </r>
  <r>
    <n v="1094"/>
    <x v="336"/>
    <d v="2022-10-02T00:00:00"/>
    <x v="0"/>
    <s v="Oct"/>
    <x v="3"/>
    <x v="0"/>
    <n v="55003.103999999999"/>
    <n v="30"/>
    <x v="1"/>
    <n v="1083.9100000000001"/>
    <n v="2208.96"/>
    <n v="22485.803999999996"/>
    <s v="New"/>
    <n v="0.17"/>
    <s v="Bank Transfer"/>
    <s v="Online"/>
    <x v="11"/>
  </r>
  <r>
    <n v="1024"/>
    <x v="140"/>
    <d v="2022-10-02T00:00:00"/>
    <x v="0"/>
    <s v="Oct"/>
    <x v="1"/>
    <x v="1"/>
    <n v="106357.3792"/>
    <n v="38"/>
    <x v="3"/>
    <n v="1719.99"/>
    <n v="3834.08"/>
    <n v="40997.7592"/>
    <s v="New"/>
    <n v="0.27"/>
    <s v="Cash"/>
    <s v="Retail"/>
    <x v="1"/>
  </r>
  <r>
    <n v="1062"/>
    <x v="109"/>
    <d v="2022-10-03T00:00:00"/>
    <x v="0"/>
    <s v="Oct"/>
    <x v="0"/>
    <x v="3"/>
    <n v="191394.59999999998"/>
    <n v="50"/>
    <x v="2"/>
    <n v="3273.15"/>
    <n v="5036.7"/>
    <n v="27737.099999999988"/>
    <s v="New"/>
    <n v="0.24"/>
    <s v="Cash"/>
    <s v="Online"/>
    <x v="5"/>
  </r>
  <r>
    <n v="1026"/>
    <x v="293"/>
    <d v="2022-10-04T00:00:00"/>
    <x v="0"/>
    <s v="Oct"/>
    <x v="2"/>
    <x v="1"/>
    <n v="98114"/>
    <n v="50"/>
    <x v="3"/>
    <n v="1961.45"/>
    <n v="1962.28"/>
    <n v="41.499999999996362"/>
    <s v="Returning"/>
    <n v="0"/>
    <s v="Cash"/>
    <s v="Retail"/>
    <x v="8"/>
  </r>
  <r>
    <n v="1076"/>
    <x v="9"/>
    <d v="2022-10-04T00:00:00"/>
    <x v="0"/>
    <s v="Oct"/>
    <x v="1"/>
    <x v="1"/>
    <n v="5298.3935999999994"/>
    <n v="2"/>
    <x v="3"/>
    <n v="2590.0100000000002"/>
    <n v="2759.58"/>
    <n v="118.37359999999899"/>
    <s v="Returning"/>
    <n v="0.04"/>
    <s v="Bank Transfer"/>
    <s v="Retail"/>
    <x v="1"/>
  </r>
  <r>
    <n v="1068"/>
    <x v="78"/>
    <d v="2022-10-04T00:00:00"/>
    <x v="0"/>
    <s v="Oct"/>
    <x v="1"/>
    <x v="1"/>
    <n v="134118.8928"/>
    <n v="27"/>
    <x v="1"/>
    <n v="4574.63"/>
    <n v="5174.34"/>
    <n v="10603.882799999994"/>
    <s v="Returning"/>
    <n v="0.04"/>
    <s v="Bank Transfer"/>
    <s v="Retail"/>
    <x v="1"/>
  </r>
  <r>
    <n v="1082"/>
    <x v="183"/>
    <d v="2022-10-05T00:00:00"/>
    <x v="0"/>
    <s v="Oct"/>
    <x v="2"/>
    <x v="0"/>
    <n v="36419.100000000006"/>
    <n v="34"/>
    <x v="0"/>
    <n v="1055.71"/>
    <n v="1447.5"/>
    <n v="524.96000000000186"/>
    <s v="Returning"/>
    <n v="0.26"/>
    <s v="Bank Transfer"/>
    <s v="Retail"/>
    <x v="18"/>
  </r>
  <r>
    <n v="1053"/>
    <x v="4"/>
    <d v="2022-10-05T00:00:00"/>
    <x v="0"/>
    <s v="Oct"/>
    <x v="1"/>
    <x v="1"/>
    <n v="93987.968235965047"/>
    <n v="33"/>
    <x v="2"/>
    <n v="2823.2"/>
    <n v="2854.64"/>
    <n v="1037.5200000000018"/>
    <s v="Returning"/>
    <n v="0"/>
    <s v="Bank Transfer"/>
    <s v="Retail"/>
    <x v="1"/>
  </r>
  <r>
    <n v="1066"/>
    <x v="346"/>
    <d v="2022-10-05T00:00:00"/>
    <x v="0"/>
    <s v="Oct"/>
    <x v="2"/>
    <x v="2"/>
    <n v="131849.5962"/>
    <n v="34"/>
    <x v="3"/>
    <n v="3736.39"/>
    <n v="4457.3900000000003"/>
    <n v="4812.3362000000125"/>
    <s v="Returning"/>
    <n v="0.13"/>
    <s v="Credit Card"/>
    <s v="Retail"/>
    <x v="14"/>
  </r>
  <r>
    <n v="1063"/>
    <x v="291"/>
    <d v="2022-10-05T00:00:00"/>
    <x v="0"/>
    <s v="Oct"/>
    <x v="3"/>
    <x v="3"/>
    <n v="8496.4698000000008"/>
    <n v="2"/>
    <x v="3"/>
    <n v="1621.62"/>
    <n v="4668.3900000000003"/>
    <n v="5253.229800000001"/>
    <s v="New"/>
    <n v="0.09"/>
    <s v="Bank Transfer"/>
    <s v="Online"/>
    <x v="4"/>
  </r>
  <r>
    <n v="1046"/>
    <x v="261"/>
    <d v="2022-10-05T00:00:00"/>
    <x v="0"/>
    <s v="Oct"/>
    <x v="0"/>
    <x v="1"/>
    <n v="9241.6759999999995"/>
    <n v="10"/>
    <x v="2"/>
    <n v="302.49"/>
    <n v="1216.01"/>
    <n v="6216.7759999999998"/>
    <s v="New"/>
    <n v="0.24"/>
    <s v="Cash"/>
    <s v="Online"/>
    <x v="19"/>
  </r>
  <r>
    <n v="1015"/>
    <x v="91"/>
    <d v="2022-10-06T00:00:00"/>
    <x v="0"/>
    <s v="Oct"/>
    <x v="3"/>
    <x v="2"/>
    <n v="64104.539233226649"/>
    <n v="13"/>
    <x v="0"/>
    <n v="4159.29"/>
    <n v="5150.05"/>
    <n v="10201.853999999998"/>
    <s v="New"/>
    <n v="0.04"/>
    <s v="Credit Card"/>
    <s v="Retail"/>
    <x v="9"/>
  </r>
  <r>
    <n v="1048"/>
    <x v="294"/>
    <d v="2022-10-06T00:00:00"/>
    <x v="0"/>
    <s v="Oct"/>
    <x v="0"/>
    <x v="1"/>
    <n v="37058.918399999995"/>
    <n v="14"/>
    <x v="1"/>
    <n v="916.75"/>
    <n v="3676.48"/>
    <n v="24224.418399999999"/>
    <s v="New"/>
    <n v="0.28000000000000003"/>
    <s v="Cash"/>
    <s v="Retail"/>
    <x v="19"/>
  </r>
  <r>
    <n v="1027"/>
    <x v="3"/>
    <d v="2022-10-06T00:00:00"/>
    <x v="0"/>
    <s v="Oct"/>
    <x v="2"/>
    <x v="2"/>
    <n v="140334.04500000001"/>
    <n v="50"/>
    <x v="3"/>
    <n v="904.74"/>
    <n v="3226.07"/>
    <n v="95097.045000000013"/>
    <s v="Returning"/>
    <n v="0.13"/>
    <s v="Cash"/>
    <s v="Retail"/>
    <x v="14"/>
  </r>
  <r>
    <n v="1022"/>
    <x v="248"/>
    <d v="2022-10-07T00:00:00"/>
    <x v="0"/>
    <s v="Oct"/>
    <x v="0"/>
    <x v="2"/>
    <n v="3149.8487999999998"/>
    <n v="1"/>
    <x v="2"/>
    <n v="1275.0999999999999"/>
    <n v="4374.79"/>
    <n v="1874.7487999999998"/>
    <s v="New"/>
    <n v="0.28000000000000003"/>
    <s v="Cash"/>
    <s v="Online"/>
    <x v="2"/>
  </r>
  <r>
    <n v="1001"/>
    <x v="315"/>
    <d v="2022-10-07T00:00:00"/>
    <x v="0"/>
    <s v="Oct"/>
    <x v="3"/>
    <x v="0"/>
    <n v="57569.341199999988"/>
    <n v="14"/>
    <x v="2"/>
    <n v="3486.98"/>
    <n v="4374.57"/>
    <n v="8751.6211999999869"/>
    <s v="Returning"/>
    <n v="0.06"/>
    <s v="Cash"/>
    <s v="Retail"/>
    <x v="11"/>
  </r>
  <r>
    <n v="1070"/>
    <x v="56"/>
    <d v="2022-10-07T00:00:00"/>
    <x v="0"/>
    <s v="Oct"/>
    <x v="4"/>
    <x v="2"/>
    <n v="39884.829300000005"/>
    <n v="9"/>
    <x v="2"/>
    <n v="1314.92"/>
    <n v="5471.17"/>
    <n v="28050.549300000002"/>
    <s v="New"/>
    <n v="0.19"/>
    <s v="Cash"/>
    <s v="Online"/>
    <x v="17"/>
  </r>
  <r>
    <n v="1089"/>
    <x v="214"/>
    <d v="2022-10-07T00:00:00"/>
    <x v="0"/>
    <s v="Oct"/>
    <x v="2"/>
    <x v="0"/>
    <n v="155486.72159999999"/>
    <n v="42"/>
    <x v="2"/>
    <n v="3028.03"/>
    <n v="4407.22"/>
    <n v="28309.461599999995"/>
    <s v="Returning"/>
    <n v="0.16"/>
    <s v="Cash"/>
    <s v="Online"/>
    <x v="18"/>
  </r>
  <r>
    <n v="1009"/>
    <x v="39"/>
    <d v="2022-10-08T00:00:00"/>
    <x v="0"/>
    <s v="Oct"/>
    <x v="2"/>
    <x v="2"/>
    <n v="9467.3432218582639"/>
    <n v="2"/>
    <x v="3"/>
    <n v="4682.2299999999996"/>
    <n v="4745.8599999999997"/>
    <n v="127.26000000000022"/>
    <s v="New"/>
    <n v="0"/>
    <s v="Bank Transfer"/>
    <s v="Online"/>
    <x v="14"/>
  </r>
  <r>
    <n v="1040"/>
    <x v="45"/>
    <d v="2022-10-08T00:00:00"/>
    <x v="0"/>
    <s v="Oct"/>
    <x v="0"/>
    <x v="3"/>
    <n v="8008.5096000000003"/>
    <n v="3"/>
    <x v="1"/>
    <n v="540.07000000000005"/>
    <n v="3177.98"/>
    <n v="6388.2996000000003"/>
    <s v="New"/>
    <n v="0.16"/>
    <s v="Cash"/>
    <s v="Retail"/>
    <x v="5"/>
  </r>
  <r>
    <n v="1027"/>
    <x v="269"/>
    <d v="2022-10-08T00:00:00"/>
    <x v="0"/>
    <s v="Oct"/>
    <x v="0"/>
    <x v="0"/>
    <n v="110198.25682727754"/>
    <n v="38"/>
    <x v="1"/>
    <n v="2491.7800000000002"/>
    <n v="2966.97"/>
    <n v="15802.322799999991"/>
    <s v="New"/>
    <n v="0.02"/>
    <s v="Cash"/>
    <s v="Online"/>
    <x v="0"/>
  </r>
  <r>
    <n v="1076"/>
    <x v="321"/>
    <d v="2022-10-08T00:00:00"/>
    <x v="0"/>
    <s v="Oct"/>
    <x v="2"/>
    <x v="3"/>
    <n v="94662.096636908944"/>
    <n v="26"/>
    <x v="0"/>
    <n v="3026.1"/>
    <n v="3710.85"/>
    <n v="15873.857999999997"/>
    <s v="Returning"/>
    <n v="0.02"/>
    <s v="Credit Card"/>
    <s v="Retail"/>
    <x v="3"/>
  </r>
  <r>
    <n v="1042"/>
    <x v="0"/>
    <d v="2022-10-08T00:00:00"/>
    <x v="0"/>
    <s v="Oct"/>
    <x v="4"/>
    <x v="3"/>
    <n v="46427.94"/>
    <n v="39"/>
    <x v="0"/>
    <n v="131.57"/>
    <n v="1190.46"/>
    <n v="41296.710000000006"/>
    <s v="New"/>
    <n v="0"/>
    <s v="Cash"/>
    <s v="Retail"/>
    <x v="12"/>
  </r>
  <r>
    <n v="1019"/>
    <x v="177"/>
    <d v="2022-10-09T00:00:00"/>
    <x v="0"/>
    <s v="Oct"/>
    <x v="2"/>
    <x v="3"/>
    <n v="23936.034"/>
    <n v="6"/>
    <x v="0"/>
    <n v="2022.29"/>
    <n v="4693.34"/>
    <n v="11802.294"/>
    <s v="New"/>
    <n v="0.15"/>
    <s v="Credit Card"/>
    <s v="Retail"/>
    <x v="3"/>
  </r>
  <r>
    <n v="1007"/>
    <x v="192"/>
    <d v="2022-10-09T00:00:00"/>
    <x v="0"/>
    <s v="Oct"/>
    <x v="1"/>
    <x v="0"/>
    <n v="95046.890400000004"/>
    <n v="36"/>
    <x v="1"/>
    <n v="2264.1"/>
    <n v="2666.86"/>
    <n v="13539.290400000009"/>
    <s v="Returning"/>
    <n v="0.01"/>
    <s v="Bank Transfer"/>
    <s v="Online"/>
    <x v="10"/>
  </r>
  <r>
    <n v="1068"/>
    <x v="307"/>
    <d v="2022-10-09T00:00:00"/>
    <x v="0"/>
    <s v="Oct"/>
    <x v="3"/>
    <x v="1"/>
    <n v="34887.191999999995"/>
    <n v="8"/>
    <x v="0"/>
    <n v="1550.85"/>
    <n v="4590.42"/>
    <n v="22480.391999999996"/>
    <s v="New"/>
    <n v="0.05"/>
    <s v="Bank Transfer"/>
    <s v="Online"/>
    <x v="16"/>
  </r>
  <r>
    <n v="1092"/>
    <x v="313"/>
    <d v="2022-10-09T00:00:00"/>
    <x v="0"/>
    <s v="Oct"/>
    <x v="2"/>
    <x v="2"/>
    <n v="158088.95849999998"/>
    <n v="33"/>
    <x v="0"/>
    <n v="3722.01"/>
    <n v="5042.71"/>
    <n v="35262.628499999984"/>
    <s v="Returning"/>
    <n v="0.05"/>
    <s v="Cash"/>
    <s v="Retail"/>
    <x v="14"/>
  </r>
  <r>
    <n v="1015"/>
    <x v="275"/>
    <d v="2022-10-09T00:00:00"/>
    <x v="0"/>
    <s v="Oct"/>
    <x v="0"/>
    <x v="1"/>
    <n v="102361.1358"/>
    <n v="38"/>
    <x v="2"/>
    <n v="1343.64"/>
    <n v="3498.33"/>
    <n v="51302.815800000004"/>
    <s v="Returning"/>
    <n v="0.23"/>
    <s v="Credit Card"/>
    <s v="Online"/>
    <x v="19"/>
  </r>
  <r>
    <n v="1025"/>
    <x v="7"/>
    <d v="2022-10-10T00:00:00"/>
    <x v="0"/>
    <s v="Oct"/>
    <x v="0"/>
    <x v="2"/>
    <n v="97856.351999999999"/>
    <n v="48"/>
    <x v="3"/>
    <n v="1808.25"/>
    <n v="2398.44"/>
    <n v="11060.351999999999"/>
    <s v="New"/>
    <n v="0.15"/>
    <s v="Credit Card"/>
    <s v="Retail"/>
    <x v="2"/>
  </r>
  <r>
    <n v="1074"/>
    <x v="158"/>
    <d v="2022-10-10T00:00:00"/>
    <x v="0"/>
    <s v="Oct"/>
    <x v="0"/>
    <x v="1"/>
    <n v="116675.04000000001"/>
    <n v="30"/>
    <x v="3"/>
    <n v="3424.61"/>
    <n v="4861.46"/>
    <n v="13936.74"/>
    <s v="New"/>
    <n v="0.2"/>
    <s v="Credit Card"/>
    <s v="Online"/>
    <x v="19"/>
  </r>
  <r>
    <n v="1011"/>
    <x v="236"/>
    <d v="2022-10-10T00:00:00"/>
    <x v="0"/>
    <s v="Oct"/>
    <x v="3"/>
    <x v="3"/>
    <n v="79405.470699999991"/>
    <n v="19"/>
    <x v="2"/>
    <n v="2370.54"/>
    <n v="4308.49"/>
    <n v="34365.210699999989"/>
    <s v="Returning"/>
    <n v="0.03"/>
    <s v="Credit Card"/>
    <s v="Online"/>
    <x v="4"/>
  </r>
  <r>
    <n v="1005"/>
    <x v="218"/>
    <d v="2022-10-10T00:00:00"/>
    <x v="0"/>
    <s v="Oct"/>
    <x v="1"/>
    <x v="3"/>
    <n v="128746.128"/>
    <n v="38"/>
    <x v="1"/>
    <n v="1720.41"/>
    <n v="3939.6"/>
    <n v="63370.547999999995"/>
    <s v="Returning"/>
    <n v="0.14000000000000001"/>
    <s v="Bank Transfer"/>
    <s v="Retail"/>
    <x v="7"/>
  </r>
  <r>
    <n v="1029"/>
    <x v="152"/>
    <d v="2022-10-10T00:00:00"/>
    <x v="0"/>
    <s v="Oct"/>
    <x v="1"/>
    <x v="2"/>
    <n v="120717.34000000001"/>
    <n v="34"/>
    <x v="3"/>
    <n v="1189.76"/>
    <n v="3550.51"/>
    <n v="80265.5"/>
    <s v="Returning"/>
    <n v="0"/>
    <s v="Bank Transfer"/>
    <s v="Online"/>
    <x v="15"/>
  </r>
  <r>
    <n v="1089"/>
    <x v="26"/>
    <d v="2022-10-11T00:00:00"/>
    <x v="0"/>
    <s v="Oct"/>
    <x v="1"/>
    <x v="3"/>
    <n v="74626.239600000001"/>
    <n v="34"/>
    <x v="3"/>
    <n v="1465.9"/>
    <n v="2709.74"/>
    <n v="24785.639599999999"/>
    <s v="Returning"/>
    <n v="0.19"/>
    <s v="Credit Card"/>
    <s v="Retail"/>
    <x v="7"/>
  </r>
  <r>
    <n v="1076"/>
    <x v="321"/>
    <d v="2022-10-11T00:00:00"/>
    <x v="0"/>
    <s v="Oct"/>
    <x v="1"/>
    <x v="0"/>
    <n v="95753.469599999982"/>
    <n v="24"/>
    <x v="0"/>
    <n v="1079.76"/>
    <n v="4290.03"/>
    <n v="69839.229599999991"/>
    <s v="New"/>
    <n v="7.0000000000000007E-2"/>
    <s v="Cash"/>
    <s v="Online"/>
    <x v="10"/>
  </r>
  <r>
    <n v="1062"/>
    <x v="84"/>
    <d v="2022-10-11T00:00:00"/>
    <x v="0"/>
    <s v="Oct"/>
    <x v="1"/>
    <x v="0"/>
    <n v="128768.1596"/>
    <n v="31"/>
    <x v="1"/>
    <n v="1638.63"/>
    <n v="4282.28"/>
    <n v="77970.6296"/>
    <s v="New"/>
    <n v="0.03"/>
    <s v="Bank Transfer"/>
    <s v="Retail"/>
    <x v="10"/>
  </r>
  <r>
    <n v="1056"/>
    <x v="145"/>
    <d v="2022-10-12T00:00:00"/>
    <x v="0"/>
    <s v="Oct"/>
    <x v="2"/>
    <x v="2"/>
    <n v="72511.52459999999"/>
    <n v="29"/>
    <x v="2"/>
    <n v="834.37"/>
    <n v="2874.02"/>
    <n v="48314.794600000001"/>
    <s v="Returning"/>
    <n v="0.13"/>
    <s v="Cash"/>
    <s v="Online"/>
    <x v="14"/>
  </r>
  <r>
    <n v="1001"/>
    <x v="315"/>
    <d v="2022-10-12T00:00:00"/>
    <x v="0"/>
    <s v="Oct"/>
    <x v="4"/>
    <x v="2"/>
    <n v="127775.0019"/>
    <n v="39"/>
    <x v="2"/>
    <n v="434.41"/>
    <n v="3600.31"/>
    <n v="110833.0119"/>
    <s v="New"/>
    <n v="0.09"/>
    <s v="Bank Transfer"/>
    <s v="Online"/>
    <x v="17"/>
  </r>
  <r>
    <n v="1056"/>
    <x v="101"/>
    <d v="2022-10-12T00:00:00"/>
    <x v="0"/>
    <s v="Oct"/>
    <x v="0"/>
    <x v="0"/>
    <n v="166000.7475"/>
    <n v="43"/>
    <x v="1"/>
    <n v="622.61"/>
    <n v="5147.3100000000004"/>
    <n v="139228.51749999999"/>
    <s v="New"/>
    <n v="0.25"/>
    <s v="Credit Card"/>
    <s v="Online"/>
    <x v="0"/>
  </r>
  <r>
    <n v="1031"/>
    <x v="224"/>
    <d v="2022-10-13T00:00:00"/>
    <x v="0"/>
    <s v="Oct"/>
    <x v="1"/>
    <x v="3"/>
    <n v="13505.373581213931"/>
    <n v="11"/>
    <x v="2"/>
    <n v="1176.8599999999999"/>
    <n v="1278.1400000000001"/>
    <n v="551.69840000000136"/>
    <s v="Returning"/>
    <n v="0.04"/>
    <s v="Credit Card"/>
    <s v="Online"/>
    <x v="7"/>
  </r>
  <r>
    <n v="1063"/>
    <x v="291"/>
    <d v="2022-10-13T00:00:00"/>
    <x v="0"/>
    <s v="Oct"/>
    <x v="0"/>
    <x v="1"/>
    <n v="23910.080680948326"/>
    <n v="8"/>
    <x v="3"/>
    <n v="2757.02"/>
    <n v="3028.26"/>
    <n v="1927.6592000000019"/>
    <s v="Returning"/>
    <n v="0.01"/>
    <s v="Bank Transfer"/>
    <s v="Online"/>
    <x v="19"/>
  </r>
  <r>
    <n v="1010"/>
    <x v="165"/>
    <d v="2022-10-13T00:00:00"/>
    <x v="0"/>
    <s v="Oct"/>
    <x v="4"/>
    <x v="1"/>
    <n v="31099.067999999999"/>
    <n v="13"/>
    <x v="1"/>
    <n v="1065.8599999999999"/>
    <n v="2658.04"/>
    <n v="17242.887999999999"/>
    <s v="New"/>
    <n v="0.1"/>
    <s v="Credit Card"/>
    <s v="Retail"/>
    <x v="6"/>
  </r>
  <r>
    <n v="1062"/>
    <x v="84"/>
    <d v="2022-10-13T00:00:00"/>
    <x v="0"/>
    <s v="Oct"/>
    <x v="2"/>
    <x v="2"/>
    <n v="148711.14000000001"/>
    <n v="37"/>
    <x v="1"/>
    <n v="169.61"/>
    <n v="5358.96"/>
    <n v="142435.57"/>
    <s v="Returning"/>
    <n v="0.25"/>
    <s v="Credit Card"/>
    <s v="Online"/>
    <x v="14"/>
  </r>
  <r>
    <n v="1040"/>
    <x v="169"/>
    <d v="2022-10-14T00:00:00"/>
    <x v="0"/>
    <s v="Oct"/>
    <x v="4"/>
    <x v="3"/>
    <n v="12929.452800000001"/>
    <n v="4"/>
    <x v="0"/>
    <n v="1433.88"/>
    <n v="3715.36"/>
    <n v="7193.9328000000005"/>
    <s v="Returning"/>
    <n v="0.13"/>
    <s v="Cash"/>
    <s v="Retail"/>
    <x v="12"/>
  </r>
  <r>
    <n v="1006"/>
    <x v="347"/>
    <d v="2022-10-14T00:00:00"/>
    <x v="0"/>
    <s v="Oct"/>
    <x v="1"/>
    <x v="1"/>
    <n v="92965.683096464054"/>
    <n v="35"/>
    <x v="2"/>
    <n v="2206.7600000000002"/>
    <n v="2783.15"/>
    <n v="15303.137499999986"/>
    <s v="Returning"/>
    <n v="0.05"/>
    <s v="Credit Card"/>
    <s v="Retail"/>
    <x v="1"/>
  </r>
  <r>
    <n v="1024"/>
    <x v="207"/>
    <d v="2022-10-14T00:00:00"/>
    <x v="0"/>
    <s v="Oct"/>
    <x v="4"/>
    <x v="2"/>
    <n v="69459.983999999997"/>
    <n v="30"/>
    <x v="0"/>
    <n v="777.04"/>
    <n v="2631.06"/>
    <n v="46148.784000000007"/>
    <s v="New"/>
    <n v="0.12"/>
    <s v="Bank Transfer"/>
    <s v="Online"/>
    <x v="17"/>
  </r>
  <r>
    <n v="1074"/>
    <x v="107"/>
    <d v="2022-10-14T00:00:00"/>
    <x v="0"/>
    <s v="Oct"/>
    <x v="0"/>
    <x v="3"/>
    <n v="143056.04399999999"/>
    <n v="45"/>
    <x v="0"/>
    <n v="2005.53"/>
    <n v="4415.3100000000004"/>
    <n v="52807.194000000003"/>
    <s v="New"/>
    <n v="0.28000000000000003"/>
    <s v="Bank Transfer"/>
    <s v="Retail"/>
    <x v="5"/>
  </r>
  <r>
    <n v="1034"/>
    <x v="139"/>
    <d v="2022-10-15T00:00:00"/>
    <x v="0"/>
    <s v="Oct"/>
    <x v="3"/>
    <x v="3"/>
    <n v="4441.7764000000006"/>
    <n v="2"/>
    <x v="3"/>
    <n v="419.79"/>
    <n v="2495.38"/>
    <n v="3602.1964000000007"/>
    <s v="Returning"/>
    <n v="0.11"/>
    <s v="Cash"/>
    <s v="Online"/>
    <x v="4"/>
  </r>
  <r>
    <n v="1063"/>
    <x v="33"/>
    <d v="2022-10-15T00:00:00"/>
    <x v="0"/>
    <s v="Oct"/>
    <x v="0"/>
    <x v="2"/>
    <n v="89924.464066681583"/>
    <n v="22"/>
    <x v="1"/>
    <n v="3772.79"/>
    <n v="4168.34"/>
    <n v="6868.0303999999987"/>
    <s v="New"/>
    <n v="0.02"/>
    <s v="Credit Card"/>
    <s v="Retail"/>
    <x v="2"/>
  </r>
  <r>
    <n v="1031"/>
    <x v="224"/>
    <d v="2022-10-15T00:00:00"/>
    <x v="0"/>
    <s v="Oct"/>
    <x v="1"/>
    <x v="2"/>
    <n v="23119.208000000002"/>
    <n v="20"/>
    <x v="2"/>
    <n v="419.78"/>
    <n v="1344.14"/>
    <n v="14723.608000000004"/>
    <s v="New"/>
    <n v="0.14000000000000001"/>
    <s v="Cash"/>
    <s v="Online"/>
    <x v="15"/>
  </r>
  <r>
    <n v="1056"/>
    <x v="136"/>
    <d v="2022-10-15T00:00:00"/>
    <x v="0"/>
    <s v="Oct"/>
    <x v="0"/>
    <x v="1"/>
    <n v="157129.54547932156"/>
    <n v="34"/>
    <x v="0"/>
    <n v="3931.95"/>
    <n v="4712.6099999999997"/>
    <n v="23337.8652"/>
    <s v="New"/>
    <n v="0.02"/>
    <s v="Cash"/>
    <s v="Retail"/>
    <x v="19"/>
  </r>
  <r>
    <n v="1044"/>
    <x v="69"/>
    <d v="2022-10-15T00:00:00"/>
    <x v="0"/>
    <s v="Oct"/>
    <x v="3"/>
    <x v="3"/>
    <n v="69490.080000000016"/>
    <n v="25"/>
    <x v="3"/>
    <n v="567.94000000000005"/>
    <n v="3389.76"/>
    <n v="55291.580000000009"/>
    <s v="New"/>
    <n v="0.18"/>
    <s v="Cash"/>
    <s v="Retail"/>
    <x v="4"/>
  </r>
  <r>
    <n v="1011"/>
    <x v="237"/>
    <d v="2022-10-16T00:00:00"/>
    <x v="0"/>
    <s v="Oct"/>
    <x v="2"/>
    <x v="1"/>
    <n v="51720.739766161052"/>
    <n v="20"/>
    <x v="3"/>
    <n v="2530.7600000000002"/>
    <n v="2611.1999999999998"/>
    <n v="1086.5599999999904"/>
    <s v="Returning"/>
    <n v="0.01"/>
    <s v="Cash"/>
    <s v="Retail"/>
    <x v="8"/>
  </r>
  <r>
    <n v="1006"/>
    <x v="299"/>
    <d v="2022-10-16T00:00:00"/>
    <x v="0"/>
    <s v="Oct"/>
    <x v="4"/>
    <x v="1"/>
    <n v="20169.966999999997"/>
    <n v="5"/>
    <x v="0"/>
    <n v="2984.41"/>
    <n v="4690.6899999999996"/>
    <n v="5247.9169999999976"/>
    <s v="New"/>
    <n v="0.14000000000000001"/>
    <s v="Cash"/>
    <s v="Retail"/>
    <x v="6"/>
  </r>
  <r>
    <n v="1062"/>
    <x v="18"/>
    <d v="2022-10-16T00:00:00"/>
    <x v="0"/>
    <s v="Oct"/>
    <x v="1"/>
    <x v="0"/>
    <n v="174305.86005046064"/>
    <n v="43"/>
    <x v="0"/>
    <n v="3913.99"/>
    <n v="4172.5600000000004"/>
    <n v="5735.9076000000186"/>
    <s v="New"/>
    <n v="0.03"/>
    <s v="Credit Card"/>
    <s v="Online"/>
    <x v="10"/>
  </r>
  <r>
    <n v="1031"/>
    <x v="135"/>
    <d v="2022-10-16T00:00:00"/>
    <x v="0"/>
    <s v="Oct"/>
    <x v="0"/>
    <x v="0"/>
    <n v="129559.43000000001"/>
    <n v="43"/>
    <x v="3"/>
    <n v="2506.08"/>
    <n v="3311"/>
    <n v="21797.990000000013"/>
    <s v="New"/>
    <n v="0.09"/>
    <s v="Cash"/>
    <s v="Online"/>
    <x v="0"/>
  </r>
  <r>
    <n v="1045"/>
    <x v="239"/>
    <d v="2022-10-17T00:00:00"/>
    <x v="0"/>
    <s v="Oct"/>
    <x v="0"/>
    <x v="0"/>
    <n v="2793.4557535378008"/>
    <n v="1"/>
    <x v="3"/>
    <n v="2748.86"/>
    <n v="2890.5"/>
    <n v="54.924999999999727"/>
    <s v="New"/>
    <n v="0.03"/>
    <s v="Cash"/>
    <s v="Retail"/>
    <x v="0"/>
  </r>
  <r>
    <n v="1008"/>
    <x v="162"/>
    <d v="2022-10-17T00:00:00"/>
    <x v="0"/>
    <s v="Oct"/>
    <x v="0"/>
    <x v="2"/>
    <n v="39039.167999999998"/>
    <n v="40"/>
    <x v="2"/>
    <n v="969.3"/>
    <n v="1049.44"/>
    <n v="267.16800000000148"/>
    <s v="New"/>
    <n v="7.0000000000000007E-2"/>
    <s v="Bank Transfer"/>
    <s v="Online"/>
    <x v="2"/>
  </r>
  <r>
    <n v="1100"/>
    <x v="154"/>
    <d v="2022-10-17T00:00:00"/>
    <x v="0"/>
    <s v="Oct"/>
    <x v="1"/>
    <x v="0"/>
    <n v="10498.217500000001"/>
    <n v="5"/>
    <x v="1"/>
    <n v="1823.48"/>
    <n v="2359.15"/>
    <n v="1380.8175000000006"/>
    <s v="New"/>
    <n v="0.11"/>
    <s v="Cash"/>
    <s v="Retail"/>
    <x v="10"/>
  </r>
  <r>
    <n v="1016"/>
    <x v="259"/>
    <d v="2022-10-17T00:00:00"/>
    <x v="0"/>
    <s v="Oct"/>
    <x v="1"/>
    <x v="1"/>
    <n v="46478.730099999993"/>
    <n v="43"/>
    <x v="0"/>
    <n v="197.98"/>
    <n v="1302.29"/>
    <n v="37965.590099999994"/>
    <s v="New"/>
    <n v="0.17"/>
    <s v="Bank Transfer"/>
    <s v="Online"/>
    <x v="1"/>
  </r>
  <r>
    <n v="1061"/>
    <x v="201"/>
    <d v="2022-10-17T00:00:00"/>
    <x v="0"/>
    <s v="Oct"/>
    <x v="0"/>
    <x v="3"/>
    <n v="107957.7772"/>
    <n v="46"/>
    <x v="0"/>
    <n v="749.86"/>
    <n v="2579.02"/>
    <n v="73464.217199999985"/>
    <s v="Returning"/>
    <n v="0.09"/>
    <s v="Credit Card"/>
    <s v="Online"/>
    <x v="5"/>
  </r>
  <r>
    <n v="1094"/>
    <x v="230"/>
    <d v="2022-10-18T00:00:00"/>
    <x v="0"/>
    <s v="Oct"/>
    <x v="3"/>
    <x v="2"/>
    <n v="38806.373956430725"/>
    <n v="44"/>
    <x v="3"/>
    <n v="802.61"/>
    <n v="914.18"/>
    <n v="3300.1231999999941"/>
    <s v="Returning"/>
    <n v="0.04"/>
    <s v="Credit Card"/>
    <s v="Online"/>
    <x v="9"/>
  </r>
  <r>
    <n v="1025"/>
    <x v="54"/>
    <d v="2022-10-20T00:00:00"/>
    <x v="0"/>
    <s v="Oct"/>
    <x v="0"/>
    <x v="0"/>
    <n v="86673.896000000008"/>
    <n v="20"/>
    <x v="0"/>
    <n v="3745"/>
    <n v="5039.18"/>
    <n v="11773.896000000004"/>
    <s v="New"/>
    <n v="0.14000000000000001"/>
    <s v="Bank Transfer"/>
    <s v="Retail"/>
    <x v="0"/>
  </r>
  <r>
    <n v="1008"/>
    <x v="173"/>
    <d v="2022-10-20T00:00:00"/>
    <x v="0"/>
    <s v="Oct"/>
    <x v="2"/>
    <x v="0"/>
    <n v="24454.136500000001"/>
    <n v="5"/>
    <x v="3"/>
    <n v="1345.21"/>
    <n v="5042.09"/>
    <n v="17728.086499999998"/>
    <s v="Returning"/>
    <n v="0.03"/>
    <s v="Credit Card"/>
    <s v="Retail"/>
    <x v="18"/>
  </r>
  <r>
    <n v="1062"/>
    <x v="109"/>
    <d v="2022-10-20T00:00:00"/>
    <x v="0"/>
    <s v="Oct"/>
    <x v="3"/>
    <x v="0"/>
    <n v="107013.4932"/>
    <n v="41"/>
    <x v="2"/>
    <n v="566.33000000000004"/>
    <n v="2932.68"/>
    <n v="83793.963199999998"/>
    <s v="Returning"/>
    <n v="0.11"/>
    <s v="Bank Transfer"/>
    <s v="Retail"/>
    <x v="11"/>
  </r>
  <r>
    <n v="1040"/>
    <x v="45"/>
    <d v="2022-10-21T00:00:00"/>
    <x v="0"/>
    <s v="Oct"/>
    <x v="3"/>
    <x v="1"/>
    <n v="3696.5796"/>
    <n v="1"/>
    <x v="1"/>
    <n v="3351.41"/>
    <n v="3772.02"/>
    <n v="345.16960000000017"/>
    <s v="New"/>
    <n v="0.02"/>
    <s v="Cash"/>
    <s v="Retail"/>
    <x v="16"/>
  </r>
  <r>
    <n v="1062"/>
    <x v="282"/>
    <d v="2022-10-21T00:00:00"/>
    <x v="0"/>
    <s v="Oct"/>
    <x v="3"/>
    <x v="3"/>
    <n v="37081.18685103357"/>
    <n v="11"/>
    <x v="3"/>
    <n v="3273.32"/>
    <n v="3406.86"/>
    <n v="1094.1853999999989"/>
    <s v="New"/>
    <n v="0.01"/>
    <s v="Cash"/>
    <s v="Retail"/>
    <x v="4"/>
  </r>
  <r>
    <n v="1090"/>
    <x v="55"/>
    <d v="2022-10-21T00:00:00"/>
    <x v="0"/>
    <s v="Oct"/>
    <x v="0"/>
    <x v="1"/>
    <n v="48349.205999999998"/>
    <n v="15"/>
    <x v="3"/>
    <n v="1733.09"/>
    <n v="3704.92"/>
    <n v="22352.856000000003"/>
    <s v="Returning"/>
    <n v="0.13"/>
    <s v="Bank Transfer"/>
    <s v="Online"/>
    <x v="19"/>
  </r>
  <r>
    <n v="1045"/>
    <x v="272"/>
    <d v="2022-10-21T00:00:00"/>
    <x v="0"/>
    <s v="Oct"/>
    <x v="1"/>
    <x v="1"/>
    <n v="101887.04399999999"/>
    <n v="24"/>
    <x v="0"/>
    <n v="467.55"/>
    <n v="4468.7299999999996"/>
    <n v="90665.843999999983"/>
    <s v="New"/>
    <n v="0.05"/>
    <s v="Cash"/>
    <s v="Retail"/>
    <x v="1"/>
  </r>
  <r>
    <n v="1078"/>
    <x v="217"/>
    <d v="2022-10-22T00:00:00"/>
    <x v="0"/>
    <s v="Oct"/>
    <x v="3"/>
    <x v="2"/>
    <n v="78936.787800000006"/>
    <n v="18"/>
    <x v="0"/>
    <n v="4348"/>
    <n v="4927.3900000000003"/>
    <n v="672.78780000001098"/>
    <s v="New"/>
    <n v="0.11"/>
    <s v="Bank Transfer"/>
    <s v="Online"/>
    <x v="9"/>
  </r>
  <r>
    <n v="1015"/>
    <x v="275"/>
    <d v="2022-10-22T00:00:00"/>
    <x v="0"/>
    <s v="Oct"/>
    <x v="3"/>
    <x v="2"/>
    <n v="56362.48"/>
    <n v="16"/>
    <x v="2"/>
    <n v="1129.23"/>
    <n v="4144.3"/>
    <n v="38294.800000000003"/>
    <s v="Returning"/>
    <n v="0.15"/>
    <s v="Bank Transfer"/>
    <s v="Retail"/>
    <x v="9"/>
  </r>
  <r>
    <n v="1004"/>
    <x v="260"/>
    <d v="2022-10-22T00:00:00"/>
    <x v="0"/>
    <s v="Oct"/>
    <x v="2"/>
    <x v="3"/>
    <n v="162749.83619999999"/>
    <n v="41"/>
    <x v="1"/>
    <n v="626.96"/>
    <n v="4782.54"/>
    <n v="137044.47619999998"/>
    <s v="New"/>
    <n v="0.17"/>
    <s v="Bank Transfer"/>
    <s v="Online"/>
    <x v="3"/>
  </r>
  <r>
    <n v="1062"/>
    <x v="282"/>
    <d v="2022-10-23T00:00:00"/>
    <x v="0"/>
    <s v="Oct"/>
    <x v="1"/>
    <x v="2"/>
    <n v="42790.93"/>
    <n v="50"/>
    <x v="3"/>
    <n v="362.81"/>
    <n v="940.46"/>
    <n v="24650.430000000004"/>
    <s v="Returning"/>
    <n v="0.09"/>
    <s v="Cash"/>
    <s v="Online"/>
    <x v="15"/>
  </r>
  <r>
    <n v="1064"/>
    <x v="200"/>
    <d v="2022-10-24T00:00:00"/>
    <x v="0"/>
    <s v="Oct"/>
    <x v="4"/>
    <x v="3"/>
    <n v="13050.179999999998"/>
    <n v="12"/>
    <x v="2"/>
    <n v="549.66"/>
    <n v="1450.02"/>
    <n v="6454.2599999999984"/>
    <s v="Returning"/>
    <n v="0.25"/>
    <s v="Credit Card"/>
    <s v="Online"/>
    <x v="12"/>
  </r>
  <r>
    <n v="1091"/>
    <x v="316"/>
    <d v="2022-10-24T00:00:00"/>
    <x v="0"/>
    <s v="Oct"/>
    <x v="4"/>
    <x v="2"/>
    <n v="84733.5625"/>
    <n v="25"/>
    <x v="0"/>
    <n v="2862.97"/>
    <n v="3808.25"/>
    <n v="13159.312500000011"/>
    <s v="Returning"/>
    <n v="0.11"/>
    <s v="Credit Card"/>
    <s v="Retail"/>
    <x v="17"/>
  </r>
  <r>
    <n v="1003"/>
    <x v="317"/>
    <d v="2022-10-25T00:00:00"/>
    <x v="0"/>
    <s v="Oct"/>
    <x v="3"/>
    <x v="1"/>
    <n v="2273.1455999999998"/>
    <n v="2"/>
    <x v="1"/>
    <n v="354.09"/>
    <n v="1209.1199999999999"/>
    <n v="1564.9656"/>
    <s v="New"/>
    <n v="0.06"/>
    <s v="Credit Card"/>
    <s v="Online"/>
    <x v="16"/>
  </r>
  <r>
    <n v="1082"/>
    <x v="283"/>
    <d v="2022-10-25T00:00:00"/>
    <x v="0"/>
    <s v="Oct"/>
    <x v="4"/>
    <x v="3"/>
    <n v="15068.453821620647"/>
    <n v="11"/>
    <x v="1"/>
    <n v="1030.5999999999999"/>
    <n v="1396.89"/>
    <n v="3721.8742000000029"/>
    <s v="Returning"/>
    <n v="0.02"/>
    <s v="Bank Transfer"/>
    <s v="Online"/>
    <x v="12"/>
  </r>
  <r>
    <n v="1091"/>
    <x v="14"/>
    <d v="2022-10-25T00:00:00"/>
    <x v="0"/>
    <s v="Oct"/>
    <x v="4"/>
    <x v="0"/>
    <n v="17818.847200000004"/>
    <n v="7"/>
    <x v="3"/>
    <n v="1767.15"/>
    <n v="2892.67"/>
    <n v="5448.7972000000009"/>
    <s v="New"/>
    <n v="0.12"/>
    <s v="Credit Card"/>
    <s v="Online"/>
    <x v="13"/>
  </r>
  <r>
    <n v="1097"/>
    <x v="174"/>
    <d v="2022-10-25T00:00:00"/>
    <x v="0"/>
    <s v="Oct"/>
    <x v="4"/>
    <x v="3"/>
    <n v="9937.2728000000006"/>
    <n v="4"/>
    <x v="2"/>
    <n v="933.86"/>
    <n v="2730.02"/>
    <n v="6201.8328000000001"/>
    <s v="Returning"/>
    <n v="0.09"/>
    <s v="Credit Card"/>
    <s v="Online"/>
    <x v="12"/>
  </r>
  <r>
    <n v="1048"/>
    <x v="280"/>
    <d v="2022-10-25T00:00:00"/>
    <x v="0"/>
    <s v="Oct"/>
    <x v="4"/>
    <x v="0"/>
    <n v="28073.476200000001"/>
    <n v="7"/>
    <x v="0"/>
    <n v="2330.7399999999998"/>
    <n v="5419.59"/>
    <n v="11758.296200000001"/>
    <s v="New"/>
    <n v="0.26"/>
    <s v="Credit Card"/>
    <s v="Retail"/>
    <x v="13"/>
  </r>
  <r>
    <n v="1089"/>
    <x v="214"/>
    <d v="2022-10-25T00:00:00"/>
    <x v="0"/>
    <s v="Oct"/>
    <x v="3"/>
    <x v="1"/>
    <n v="147305.83679999999"/>
    <n v="46"/>
    <x v="2"/>
    <n v="831.3"/>
    <n v="4447.6400000000003"/>
    <n v="109066.03679999999"/>
    <s v="New"/>
    <n v="0.28000000000000003"/>
    <s v="Cash"/>
    <s v="Retail"/>
    <x v="16"/>
  </r>
  <r>
    <n v="1075"/>
    <x v="28"/>
    <d v="2022-10-26T00:00:00"/>
    <x v="0"/>
    <s v="Oct"/>
    <x v="2"/>
    <x v="0"/>
    <n v="135650.1051425387"/>
    <n v="36"/>
    <x v="0"/>
    <n v="3764.74"/>
    <n v="3793.97"/>
    <n v="-313.54919999999584"/>
    <s v="New"/>
    <n v="0.01"/>
    <s v="Credit Card"/>
    <s v="Retail"/>
    <x v="18"/>
  </r>
  <r>
    <n v="1060"/>
    <x v="245"/>
    <d v="2022-10-26T00:00:00"/>
    <x v="0"/>
    <s v="Oct"/>
    <x v="1"/>
    <x v="1"/>
    <n v="4474.0123999999996"/>
    <n v="1"/>
    <x v="2"/>
    <n v="2098.91"/>
    <n v="5202.34"/>
    <n v="2375.1023999999998"/>
    <s v="Returning"/>
    <n v="0.14000000000000001"/>
    <s v="Credit Card"/>
    <s v="Retail"/>
    <x v="1"/>
  </r>
  <r>
    <n v="1089"/>
    <x v="348"/>
    <d v="2022-10-26T00:00:00"/>
    <x v="0"/>
    <s v="Oct"/>
    <x v="1"/>
    <x v="3"/>
    <n v="46223.170000000006"/>
    <n v="28"/>
    <x v="1"/>
    <n v="629.70000000000005"/>
    <n v="1942.15"/>
    <n v="28591.57"/>
    <s v="New"/>
    <n v="0.15"/>
    <s v="Cash"/>
    <s v="Online"/>
    <x v="7"/>
  </r>
  <r>
    <n v="1004"/>
    <x v="211"/>
    <d v="2022-10-27T00:00:00"/>
    <x v="0"/>
    <s v="Oct"/>
    <x v="0"/>
    <x v="2"/>
    <n v="65207.400664894987"/>
    <n v="24"/>
    <x v="0"/>
    <n v="2274.19"/>
    <n v="2717.34"/>
    <n v="10635.600000000002"/>
    <s v="New"/>
    <n v="0"/>
    <s v="Credit Card"/>
    <s v="Online"/>
    <x v="2"/>
  </r>
  <r>
    <n v="1080"/>
    <x v="349"/>
    <d v="2022-10-27T00:00:00"/>
    <x v="0"/>
    <s v="Oct"/>
    <x v="0"/>
    <x v="3"/>
    <n v="142421.92800000001"/>
    <n v="33"/>
    <x v="0"/>
    <n v="1672.52"/>
    <n v="5394.77"/>
    <n v="87228.768000000025"/>
    <s v="Returning"/>
    <n v="0.2"/>
    <s v="Bank Transfer"/>
    <s v="Retail"/>
    <x v="5"/>
  </r>
  <r>
    <n v="1067"/>
    <x v="191"/>
    <d v="2022-10-28T00:00:00"/>
    <x v="0"/>
    <s v="Oct"/>
    <x v="3"/>
    <x v="0"/>
    <n v="46843.419687057612"/>
    <n v="10"/>
    <x v="1"/>
    <n v="3938.8"/>
    <n v="4750.68"/>
    <n v="7643.732"/>
    <s v="Returning"/>
    <n v="0.01"/>
    <s v="Credit Card"/>
    <s v="Retail"/>
    <x v="11"/>
  </r>
  <r>
    <n v="1088"/>
    <x v="96"/>
    <d v="2022-10-28T00:00:00"/>
    <x v="0"/>
    <s v="Oct"/>
    <x v="2"/>
    <x v="3"/>
    <n v="93767.674000000014"/>
    <n v="28"/>
    <x v="2"/>
    <n v="1435.49"/>
    <n v="3680.05"/>
    <n v="53573.954000000012"/>
    <s v="New"/>
    <n v="0.09"/>
    <s v="Cash"/>
    <s v="Online"/>
    <x v="3"/>
  </r>
  <r>
    <n v="1100"/>
    <x v="350"/>
    <d v="2022-10-28T00:00:00"/>
    <x v="0"/>
    <s v="Oct"/>
    <x v="3"/>
    <x v="1"/>
    <n v="60675.44"/>
    <n v="14"/>
    <x v="0"/>
    <n v="113.9"/>
    <n v="4333.96"/>
    <n v="59080.840000000004"/>
    <s v="Returning"/>
    <n v="0"/>
    <s v="Cash"/>
    <s v="Retail"/>
    <x v="16"/>
  </r>
  <r>
    <n v="1078"/>
    <x v="308"/>
    <d v="2022-10-28T00:00:00"/>
    <x v="0"/>
    <s v="Oct"/>
    <x v="3"/>
    <x v="0"/>
    <n v="106425.34000000001"/>
    <n v="28"/>
    <x v="1"/>
    <n v="261.2"/>
    <n v="4635.25"/>
    <n v="99111.74"/>
    <s v="New"/>
    <n v="0.18"/>
    <s v="Credit Card"/>
    <s v="Online"/>
    <x v="11"/>
  </r>
  <r>
    <n v="1061"/>
    <x v="178"/>
    <d v="2022-10-29T00:00:00"/>
    <x v="0"/>
    <s v="Oct"/>
    <x v="1"/>
    <x v="0"/>
    <n v="9961.9874999999993"/>
    <n v="9"/>
    <x v="2"/>
    <n v="531.92999999999995"/>
    <n v="1475.85"/>
    <n v="5174.6174999999985"/>
    <s v="New"/>
    <n v="0.25"/>
    <s v="Bank Transfer"/>
    <s v="Retail"/>
    <x v="10"/>
  </r>
  <r>
    <n v="1022"/>
    <x v="79"/>
    <d v="2022-10-29T00:00:00"/>
    <x v="0"/>
    <s v="Oct"/>
    <x v="2"/>
    <x v="0"/>
    <n v="148418.90444754748"/>
    <n v="28"/>
    <x v="3"/>
    <n v="4130.8900000000003"/>
    <n v="5482.15"/>
    <n v="33230.273999999976"/>
    <s v="New"/>
    <n v="0.03"/>
    <s v="Bank Transfer"/>
    <s v="Online"/>
    <x v="18"/>
  </r>
  <r>
    <n v="1011"/>
    <x v="223"/>
    <d v="2022-10-31T00:00:00"/>
    <x v="0"/>
    <s v="Oct"/>
    <x v="4"/>
    <x v="3"/>
    <n v="70816.233599999992"/>
    <n v="21"/>
    <x v="1"/>
    <n v="3334.08"/>
    <n v="3512.71"/>
    <n v="800.55359999999882"/>
    <s v="New"/>
    <n v="0.04"/>
    <s v="Bank Transfer"/>
    <s v="Online"/>
    <x v="12"/>
  </r>
  <r>
    <n v="1049"/>
    <x v="114"/>
    <d v="2022-10-31T00:00:00"/>
    <x v="0"/>
    <s v="Oct"/>
    <x v="3"/>
    <x v="3"/>
    <n v="239423.93719999999"/>
    <n v="46"/>
    <x v="2"/>
    <n v="4000.96"/>
    <n v="5311.09"/>
    <n v="55379.777199999997"/>
    <s v="New"/>
    <n v="0.02"/>
    <s v="Bank Transfer"/>
    <s v="Retail"/>
    <x v="4"/>
  </r>
  <r>
    <n v="1013"/>
    <x v="189"/>
    <d v="2022-10-31T00:00:00"/>
    <x v="0"/>
    <s v="Oct"/>
    <x v="4"/>
    <x v="1"/>
    <n v="124679.57759999999"/>
    <n v="24"/>
    <x v="3"/>
    <n v="2886.51"/>
    <n v="5411.44"/>
    <n v="55403.337599999992"/>
    <s v="Returning"/>
    <n v="0.04"/>
    <s v="Credit Card"/>
    <s v="Retail"/>
    <x v="6"/>
  </r>
  <r>
    <n v="1003"/>
    <x v="317"/>
    <d v="2022-11-01T00:00:00"/>
    <x v="0"/>
    <s v="Nov"/>
    <x v="3"/>
    <x v="3"/>
    <n v="43304.324699999997"/>
    <n v="13"/>
    <x v="1"/>
    <n v="2728.93"/>
    <n v="3581.83"/>
    <n v="7828.2346999999972"/>
    <s v="New"/>
    <n v="7.0000000000000007E-2"/>
    <s v="Cash"/>
    <s v="Retail"/>
    <x v="4"/>
  </r>
  <r>
    <n v="1005"/>
    <x v="43"/>
    <d v="2022-11-01T00:00:00"/>
    <x v="0"/>
    <s v="Nov"/>
    <x v="3"/>
    <x v="1"/>
    <n v="169959.73679999998"/>
    <n v="42"/>
    <x v="3"/>
    <n v="1476.93"/>
    <n v="5468.46"/>
    <n v="107928.67679999997"/>
    <s v="New"/>
    <n v="0.26"/>
    <s v="Credit Card"/>
    <s v="Retail"/>
    <x v="16"/>
  </r>
  <r>
    <n v="1005"/>
    <x v="218"/>
    <d v="2022-11-02T00:00:00"/>
    <x v="0"/>
    <s v="Nov"/>
    <x v="4"/>
    <x v="2"/>
    <n v="13098.8325"/>
    <n v="13"/>
    <x v="1"/>
    <n v="1001.38"/>
    <n v="1343.47"/>
    <n v="80.892499999999586"/>
    <s v="Returning"/>
    <n v="0.25"/>
    <s v="Bank Transfer"/>
    <s v="Online"/>
    <x v="17"/>
  </r>
  <r>
    <n v="1054"/>
    <x v="351"/>
    <d v="2022-11-02T00:00:00"/>
    <x v="0"/>
    <s v="Nov"/>
    <x v="1"/>
    <x v="1"/>
    <n v="89421.233813822342"/>
    <n v="18"/>
    <x v="2"/>
    <n v="4944.2700000000004"/>
    <n v="5157.32"/>
    <n v="121.62959999998384"/>
    <s v="New"/>
    <n v="0.04"/>
    <s v="Cash"/>
    <s v="Online"/>
    <x v="1"/>
  </r>
  <r>
    <n v="1057"/>
    <x v="41"/>
    <d v="2022-11-02T00:00:00"/>
    <x v="0"/>
    <s v="Nov"/>
    <x v="3"/>
    <x v="1"/>
    <n v="22867.98"/>
    <n v="25"/>
    <x v="1"/>
    <n v="428.55"/>
    <n v="1253.04"/>
    <n v="12154.23"/>
    <s v="Returning"/>
    <n v="0.27"/>
    <s v="Credit Card"/>
    <s v="Retail"/>
    <x v="16"/>
  </r>
  <r>
    <n v="1096"/>
    <x v="339"/>
    <d v="2022-11-02T00:00:00"/>
    <x v="0"/>
    <s v="Nov"/>
    <x v="3"/>
    <x v="0"/>
    <n v="157697.92500000002"/>
    <n v="50"/>
    <x v="2"/>
    <n v="2377.17"/>
    <n v="4096.05"/>
    <n v="38839.425000000003"/>
    <s v="New"/>
    <n v="0.23"/>
    <s v="Bank Transfer"/>
    <s v="Retail"/>
    <x v="11"/>
  </r>
  <r>
    <n v="1039"/>
    <x v="117"/>
    <d v="2022-11-04T00:00:00"/>
    <x v="0"/>
    <s v="Nov"/>
    <x v="0"/>
    <x v="2"/>
    <n v="38239.029599999994"/>
    <n v="24"/>
    <x v="3"/>
    <n v="676.81"/>
    <n v="1919.63"/>
    <n v="21995.589599999999"/>
    <s v="New"/>
    <n v="0.17"/>
    <s v="Credit Card"/>
    <s v="Online"/>
    <x v="2"/>
  </r>
  <r>
    <n v="1042"/>
    <x v="138"/>
    <d v="2022-11-04T00:00:00"/>
    <x v="0"/>
    <s v="Nov"/>
    <x v="4"/>
    <x v="0"/>
    <n v="201171.24800000002"/>
    <n v="40"/>
    <x v="2"/>
    <n v="2017.78"/>
    <n v="5466.61"/>
    <n v="120460.04800000002"/>
    <s v="New"/>
    <n v="0.08"/>
    <s v="Cash"/>
    <s v="Online"/>
    <x v="13"/>
  </r>
  <r>
    <n v="1035"/>
    <x v="120"/>
    <d v="2022-11-05T00:00:00"/>
    <x v="0"/>
    <s v="Nov"/>
    <x v="4"/>
    <x v="2"/>
    <n v="5282.5439561951171"/>
    <n v="1"/>
    <x v="1"/>
    <n v="4918.33"/>
    <n v="5396.42"/>
    <n v="370.16160000000036"/>
    <s v="New"/>
    <n v="0.02"/>
    <s v="Credit Card"/>
    <s v="Retail"/>
    <x v="17"/>
  </r>
  <r>
    <n v="1010"/>
    <x v="165"/>
    <d v="2022-11-05T00:00:00"/>
    <x v="0"/>
    <s v="Nov"/>
    <x v="4"/>
    <x v="0"/>
    <n v="147639.66800000003"/>
    <n v="46"/>
    <x v="1"/>
    <n v="2297.86"/>
    <n v="3488.65"/>
    <n v="41938.108000000015"/>
    <s v="New"/>
    <n v="0.08"/>
    <s v="Cash"/>
    <s v="Online"/>
    <x v="13"/>
  </r>
  <r>
    <n v="1078"/>
    <x v="308"/>
    <d v="2022-11-05T00:00:00"/>
    <x v="0"/>
    <s v="Nov"/>
    <x v="4"/>
    <x v="2"/>
    <n v="96302.975999999995"/>
    <n v="32"/>
    <x v="1"/>
    <n v="346.94"/>
    <n v="3582.7"/>
    <n v="85200.895999999993"/>
    <s v="New"/>
    <n v="0.16"/>
    <s v="Credit Card"/>
    <s v="Retail"/>
    <x v="17"/>
  </r>
  <r>
    <n v="1021"/>
    <x v="38"/>
    <d v="2022-11-06T00:00:00"/>
    <x v="0"/>
    <s v="Nov"/>
    <x v="0"/>
    <x v="2"/>
    <n v="161863.48752861778"/>
    <n v="40"/>
    <x v="2"/>
    <n v="4043.3"/>
    <n v="4120.57"/>
    <n v="-205.65600000001723"/>
    <s v="Returning"/>
    <n v="0.02"/>
    <s v="Cash"/>
    <s v="Retail"/>
    <x v="2"/>
  </r>
  <r>
    <n v="1001"/>
    <x v="8"/>
    <d v="2022-11-06T00:00:00"/>
    <x v="0"/>
    <s v="Nov"/>
    <x v="2"/>
    <x v="2"/>
    <n v="41548.979999999996"/>
    <n v="11"/>
    <x v="0"/>
    <n v="3615.44"/>
    <n v="5036.24"/>
    <n v="1779.1399999999976"/>
    <s v="New"/>
    <n v="0.25"/>
    <s v="Cash"/>
    <s v="Retail"/>
    <x v="14"/>
  </r>
  <r>
    <n v="1056"/>
    <x v="145"/>
    <d v="2022-11-06T00:00:00"/>
    <x v="0"/>
    <s v="Nov"/>
    <x v="4"/>
    <x v="1"/>
    <n v="110428.128"/>
    <n v="32"/>
    <x v="2"/>
    <n v="1673.52"/>
    <n v="4012.65"/>
    <n v="56875.487999999998"/>
    <s v="New"/>
    <n v="0.14000000000000001"/>
    <s v="Bank Transfer"/>
    <s v="Retail"/>
    <x v="6"/>
  </r>
  <r>
    <n v="1076"/>
    <x v="321"/>
    <d v="2022-11-06T00:00:00"/>
    <x v="0"/>
    <s v="Nov"/>
    <x v="3"/>
    <x v="1"/>
    <n v="130915.0206"/>
    <n v="39"/>
    <x v="0"/>
    <n v="1144.04"/>
    <n v="4536.21"/>
    <n v="86297.460600000006"/>
    <s v="Returning"/>
    <n v="0.26"/>
    <s v="Credit Card"/>
    <s v="Online"/>
    <x v="16"/>
  </r>
  <r>
    <n v="1024"/>
    <x v="290"/>
    <d v="2022-11-07T00:00:00"/>
    <x v="0"/>
    <s v="Nov"/>
    <x v="1"/>
    <x v="3"/>
    <n v="3658.4315525857328"/>
    <n v="1"/>
    <x v="2"/>
    <n v="3127.87"/>
    <n v="3778.88"/>
    <n v="537.64360000000033"/>
    <s v="Returning"/>
    <n v="0.03"/>
    <s v="Credit Card"/>
    <s v="Online"/>
    <x v="7"/>
  </r>
  <r>
    <n v="1095"/>
    <x v="323"/>
    <d v="2022-11-07T00:00:00"/>
    <x v="0"/>
    <s v="Nov"/>
    <x v="4"/>
    <x v="1"/>
    <n v="65390.438688766371"/>
    <n v="13"/>
    <x v="3"/>
    <n v="4672.87"/>
    <n v="5241.0200000000004"/>
    <n v="4660.6196000000054"/>
    <s v="Returning"/>
    <n v="0.04"/>
    <s v="Credit Card"/>
    <s v="Retail"/>
    <x v="6"/>
  </r>
  <r>
    <n v="1006"/>
    <x v="81"/>
    <d v="2022-11-07T00:00:00"/>
    <x v="0"/>
    <s v="Nov"/>
    <x v="3"/>
    <x v="3"/>
    <n v="6804.3636000000006"/>
    <n v="3"/>
    <x v="1"/>
    <n v="670.96"/>
    <n v="2438.84"/>
    <n v="4791.4835999999996"/>
    <s v="Returning"/>
    <n v="7.0000000000000007E-2"/>
    <s v="Bank Transfer"/>
    <s v="Online"/>
    <x v="4"/>
  </r>
  <r>
    <n v="1090"/>
    <x v="37"/>
    <d v="2022-11-07T00:00:00"/>
    <x v="0"/>
    <s v="Nov"/>
    <x v="3"/>
    <x v="0"/>
    <n v="38721.0936"/>
    <n v="12"/>
    <x v="1"/>
    <n v="1668.15"/>
    <n v="3292.61"/>
    <n v="18703.293599999997"/>
    <s v="New"/>
    <n v="0.02"/>
    <s v="Credit Card"/>
    <s v="Retail"/>
    <x v="11"/>
  </r>
  <r>
    <n v="1031"/>
    <x v="224"/>
    <d v="2022-11-07T00:00:00"/>
    <x v="0"/>
    <s v="Nov"/>
    <x v="2"/>
    <x v="1"/>
    <n v="123470.745"/>
    <n v="30"/>
    <x v="2"/>
    <n v="1392.47"/>
    <n v="4841.99"/>
    <n v="81696.64499999999"/>
    <s v="Returning"/>
    <n v="0.15"/>
    <s v="Credit Card"/>
    <s v="Retail"/>
    <x v="8"/>
  </r>
  <r>
    <n v="1081"/>
    <x v="57"/>
    <d v="2022-11-09T00:00:00"/>
    <x v="0"/>
    <s v="Nov"/>
    <x v="2"/>
    <x v="2"/>
    <n v="48034.205099999999"/>
    <n v="29"/>
    <x v="1"/>
    <n v="1573.5"/>
    <n v="2332.89"/>
    <n v="2402.7050999999965"/>
    <s v="Returning"/>
    <n v="0.28999999999999998"/>
    <s v="Bank Transfer"/>
    <s v="Retail"/>
    <x v="14"/>
  </r>
  <r>
    <n v="1028"/>
    <x v="171"/>
    <d v="2022-11-09T00:00:00"/>
    <x v="0"/>
    <s v="Nov"/>
    <x v="0"/>
    <x v="1"/>
    <n v="93297.568000000014"/>
    <n v="26"/>
    <x v="3"/>
    <n v="3148.69"/>
    <n v="3900.4"/>
    <n v="11431.628000000008"/>
    <s v="New"/>
    <n v="0.08"/>
    <s v="Cash"/>
    <s v="Retail"/>
    <x v="19"/>
  </r>
  <r>
    <n v="1038"/>
    <x v="255"/>
    <d v="2022-11-09T00:00:00"/>
    <x v="0"/>
    <s v="Nov"/>
    <x v="4"/>
    <x v="3"/>
    <n v="67822.176600000006"/>
    <n v="17"/>
    <x v="2"/>
    <n v="1717.18"/>
    <n v="5391.27"/>
    <n v="38630.116600000001"/>
    <s v="New"/>
    <n v="0.26"/>
    <s v="Bank Transfer"/>
    <s v="Retail"/>
    <x v="12"/>
  </r>
  <r>
    <n v="1072"/>
    <x v="325"/>
    <d v="2022-11-09T00:00:00"/>
    <x v="0"/>
    <s v="Nov"/>
    <x v="1"/>
    <x v="1"/>
    <n v="106645.25200000001"/>
    <n v="35"/>
    <x v="0"/>
    <n v="1243.5"/>
    <n v="4009.22"/>
    <n v="63122.752"/>
    <s v="Returning"/>
    <n v="0.24"/>
    <s v="Cash"/>
    <s v="Online"/>
    <x v="1"/>
  </r>
  <r>
    <n v="1094"/>
    <x v="336"/>
    <d v="2022-11-10T00:00:00"/>
    <x v="0"/>
    <s v="Nov"/>
    <x v="1"/>
    <x v="0"/>
    <n v="44204.89309454411"/>
    <n v="14"/>
    <x v="1"/>
    <n v="3148.45"/>
    <n v="3197.35"/>
    <n v="236.97100000000046"/>
    <s v="New"/>
    <n v="0.01"/>
    <s v="Credit Card"/>
    <s v="Online"/>
    <x v="10"/>
  </r>
  <r>
    <n v="1072"/>
    <x v="249"/>
    <d v="2022-11-10T00:00:00"/>
    <x v="0"/>
    <s v="Nov"/>
    <x v="2"/>
    <x v="3"/>
    <n v="26749.439999999999"/>
    <n v="36"/>
    <x v="3"/>
    <n v="493.36"/>
    <n v="774"/>
    <n v="8988.4799999999977"/>
    <s v="New"/>
    <n v="0.04"/>
    <s v="Bank Transfer"/>
    <s v="Online"/>
    <x v="3"/>
  </r>
  <r>
    <n v="1050"/>
    <x v="228"/>
    <d v="2022-11-10T00:00:00"/>
    <x v="0"/>
    <s v="Nov"/>
    <x v="0"/>
    <x v="3"/>
    <n v="113165.946"/>
    <n v="29"/>
    <x v="2"/>
    <n v="3279.21"/>
    <n v="4335.8599999999997"/>
    <n v="18068.855999999996"/>
    <s v="New"/>
    <n v="0.1"/>
    <s v="Cash"/>
    <s v="Retail"/>
    <x v="5"/>
  </r>
  <r>
    <n v="1036"/>
    <x v="301"/>
    <d v="2022-11-10T00:00:00"/>
    <x v="0"/>
    <s v="Nov"/>
    <x v="2"/>
    <x v="0"/>
    <n v="105861.8946"/>
    <n v="33"/>
    <x v="3"/>
    <n v="1306.55"/>
    <n v="4518.22"/>
    <n v="62745.744600000005"/>
    <s v="New"/>
    <n v="0.28999999999999998"/>
    <s v="Bank Transfer"/>
    <s v="Online"/>
    <x v="18"/>
  </r>
  <r>
    <n v="1067"/>
    <x v="331"/>
    <d v="2022-11-11T00:00:00"/>
    <x v="0"/>
    <s v="Nov"/>
    <x v="4"/>
    <x v="2"/>
    <n v="9208.7855999999992"/>
    <n v="2"/>
    <x v="3"/>
    <n v="3389.44"/>
    <n v="4950.96"/>
    <n v="2429.9055999999991"/>
    <s v="Returning"/>
    <n v="7.0000000000000007E-2"/>
    <s v="Cash"/>
    <s v="Online"/>
    <x v="17"/>
  </r>
  <r>
    <n v="1008"/>
    <x v="162"/>
    <d v="2022-11-11T00:00:00"/>
    <x v="0"/>
    <s v="Nov"/>
    <x v="4"/>
    <x v="3"/>
    <n v="75154.278318016921"/>
    <n v="25"/>
    <x v="2"/>
    <n v="2722.69"/>
    <n v="3124.85"/>
    <n v="6929.1499999999924"/>
    <s v="New"/>
    <n v="0.04"/>
    <s v="Cash"/>
    <s v="Retail"/>
    <x v="12"/>
  </r>
  <r>
    <n v="1087"/>
    <x v="258"/>
    <d v="2022-11-11T00:00:00"/>
    <x v="0"/>
    <s v="Nov"/>
    <x v="1"/>
    <x v="0"/>
    <n v="68251.283100000001"/>
    <n v="27"/>
    <x v="3"/>
    <n v="700.77"/>
    <n v="3282.89"/>
    <n v="49330.4931"/>
    <s v="New"/>
    <n v="0.23"/>
    <s v="Bank Transfer"/>
    <s v="Online"/>
    <x v="10"/>
  </r>
  <r>
    <n v="1035"/>
    <x v="74"/>
    <d v="2022-11-11T00:00:00"/>
    <x v="0"/>
    <s v="Nov"/>
    <x v="1"/>
    <x v="0"/>
    <n v="87957.107499999998"/>
    <n v="25"/>
    <x v="3"/>
    <n v="287.97000000000003"/>
    <n v="4955.33"/>
    <n v="80757.857499999998"/>
    <s v="New"/>
    <n v="0.28999999999999998"/>
    <s v="Credit Card"/>
    <s v="Online"/>
    <x v="10"/>
  </r>
  <r>
    <n v="1066"/>
    <x v="346"/>
    <d v="2022-11-12T00:00:00"/>
    <x v="0"/>
    <s v="Nov"/>
    <x v="0"/>
    <x v="0"/>
    <n v="14549.192782511767"/>
    <n v="4"/>
    <x v="3"/>
    <n v="2943.11"/>
    <n v="3787.44"/>
    <n v="2771.3295999999991"/>
    <s v="Returning"/>
    <n v="0.04"/>
    <s v="Cash"/>
    <s v="Online"/>
    <x v="0"/>
  </r>
  <r>
    <n v="1003"/>
    <x v="66"/>
    <d v="2022-11-12T00:00:00"/>
    <x v="0"/>
    <s v="Nov"/>
    <x v="3"/>
    <x v="1"/>
    <n v="130052.51560000001"/>
    <n v="47"/>
    <x v="3"/>
    <n v="2467.5500000000002"/>
    <n v="3007.69"/>
    <n v="14077.665600000008"/>
    <s v="New"/>
    <n v="0.08"/>
    <s v="Credit Card"/>
    <s v="Online"/>
    <x v="16"/>
  </r>
  <r>
    <n v="1020"/>
    <x v="341"/>
    <d v="2022-11-12T00:00:00"/>
    <x v="0"/>
    <s v="Nov"/>
    <x v="2"/>
    <x v="0"/>
    <n v="67472.928"/>
    <n v="16"/>
    <x v="0"/>
    <n v="452.17"/>
    <n v="4685.62"/>
    <n v="60238.207999999999"/>
    <s v="Returning"/>
    <n v="0.1"/>
    <s v="Cash"/>
    <s v="Online"/>
    <x v="18"/>
  </r>
  <r>
    <n v="1072"/>
    <x v="352"/>
    <d v="2022-11-12T00:00:00"/>
    <x v="0"/>
    <s v="Nov"/>
    <x v="3"/>
    <x v="1"/>
    <n v="108206.8806"/>
    <n v="26"/>
    <x v="1"/>
    <n v="1601.84"/>
    <n v="4573.41"/>
    <n v="66559.040599999993"/>
    <s v="Returning"/>
    <n v="0.09"/>
    <s v="Credit Card"/>
    <s v="Online"/>
    <x v="16"/>
  </r>
  <r>
    <n v="1029"/>
    <x v="206"/>
    <d v="2022-11-13T00:00:00"/>
    <x v="0"/>
    <s v="Nov"/>
    <x v="3"/>
    <x v="1"/>
    <n v="115614.68400000001"/>
    <n v="45"/>
    <x v="2"/>
    <n v="2464.13"/>
    <n v="3095.44"/>
    <n v="4728.8339999999989"/>
    <s v="Returning"/>
    <n v="0.17"/>
    <s v="Cash"/>
    <s v="Online"/>
    <x v="16"/>
  </r>
  <r>
    <n v="1019"/>
    <x v="215"/>
    <d v="2022-11-13T00:00:00"/>
    <x v="0"/>
    <s v="Nov"/>
    <x v="1"/>
    <x v="3"/>
    <n v="156622.76980141574"/>
    <n v="44"/>
    <x v="2"/>
    <n v="3368.89"/>
    <n v="3623.95"/>
    <n v="8033.5639999999858"/>
    <s v="Returning"/>
    <n v="0.02"/>
    <s v="Cash"/>
    <s v="Online"/>
    <x v="7"/>
  </r>
  <r>
    <n v="1088"/>
    <x v="25"/>
    <d v="2022-11-13T00:00:00"/>
    <x v="0"/>
    <s v="Nov"/>
    <x v="1"/>
    <x v="1"/>
    <n v="115382.25"/>
    <n v="38"/>
    <x v="1"/>
    <n v="2442.4"/>
    <n v="3373.75"/>
    <n v="22571.049999999996"/>
    <s v="New"/>
    <n v="0.1"/>
    <s v="Cash"/>
    <s v="Retail"/>
    <x v="1"/>
  </r>
  <r>
    <n v="1021"/>
    <x v="110"/>
    <d v="2022-11-14T00:00:00"/>
    <x v="0"/>
    <s v="Nov"/>
    <x v="4"/>
    <x v="1"/>
    <n v="170525.63991308553"/>
    <n v="35"/>
    <x v="0"/>
    <n v="4513.29"/>
    <n v="4939.01"/>
    <n v="13171.546500000022"/>
    <s v="Returning"/>
    <n v="0.01"/>
    <s v="Bank Transfer"/>
    <s v="Online"/>
    <x v="6"/>
  </r>
  <r>
    <n v="1049"/>
    <x v="114"/>
    <d v="2022-11-14T00:00:00"/>
    <x v="0"/>
    <s v="Nov"/>
    <x v="2"/>
    <x v="1"/>
    <n v="89631.360000000001"/>
    <n v="28"/>
    <x v="2"/>
    <n v="2324.6799999999998"/>
    <n v="4446"/>
    <n v="24540.32"/>
    <s v="New"/>
    <n v="0.28000000000000003"/>
    <s v="Credit Card"/>
    <s v="Online"/>
    <x v="8"/>
  </r>
  <r>
    <n v="1064"/>
    <x v="88"/>
    <d v="2022-11-14T00:00:00"/>
    <x v="0"/>
    <s v="Nov"/>
    <x v="2"/>
    <x v="0"/>
    <n v="95923.799999999988"/>
    <n v="46"/>
    <x v="3"/>
    <n v="1390.8"/>
    <n v="2979"/>
    <n v="31946.999999999989"/>
    <s v="New"/>
    <n v="0.3"/>
    <s v="Bank Transfer"/>
    <s v="Retail"/>
    <x v="18"/>
  </r>
  <r>
    <n v="1056"/>
    <x v="353"/>
    <d v="2022-11-15T00:00:00"/>
    <x v="0"/>
    <s v="Nov"/>
    <x v="4"/>
    <x v="1"/>
    <n v="30534.722399999999"/>
    <n v="13"/>
    <x v="3"/>
    <n v="1725.77"/>
    <n v="2796.22"/>
    <n v="8099.7123999999985"/>
    <s v="New"/>
    <n v="0.16"/>
    <s v="Credit Card"/>
    <s v="Retail"/>
    <x v="6"/>
  </r>
  <r>
    <n v="1087"/>
    <x v="194"/>
    <d v="2022-11-15T00:00:00"/>
    <x v="0"/>
    <s v="Nov"/>
    <x v="1"/>
    <x v="3"/>
    <n v="24100.02"/>
    <n v="6"/>
    <x v="2"/>
    <n v="1319.89"/>
    <n v="4781.75"/>
    <n v="16180.679999999998"/>
    <s v="New"/>
    <n v="0.16"/>
    <s v="Credit Card"/>
    <s v="Online"/>
    <x v="7"/>
  </r>
  <r>
    <n v="1099"/>
    <x v="288"/>
    <d v="2022-11-15T00:00:00"/>
    <x v="0"/>
    <s v="Nov"/>
    <x v="0"/>
    <x v="1"/>
    <n v="43643.418000000005"/>
    <n v="14"/>
    <x v="2"/>
    <n v="1320.75"/>
    <n v="3996.65"/>
    <n v="25152.918000000001"/>
    <s v="Returning"/>
    <n v="0.22"/>
    <s v="Bank Transfer"/>
    <s v="Online"/>
    <x v="19"/>
  </r>
  <r>
    <n v="1059"/>
    <x v="141"/>
    <d v="2022-11-15T00:00:00"/>
    <x v="0"/>
    <s v="Nov"/>
    <x v="4"/>
    <x v="2"/>
    <n v="152089.72290000002"/>
    <n v="43"/>
    <x v="2"/>
    <n v="1886.91"/>
    <n v="4366.63"/>
    <n v="70952.592900000018"/>
    <s v="New"/>
    <n v="0.19"/>
    <s v="Credit Card"/>
    <s v="Online"/>
    <x v="17"/>
  </r>
  <r>
    <n v="1077"/>
    <x v="35"/>
    <d v="2022-11-16T00:00:00"/>
    <x v="0"/>
    <s v="Nov"/>
    <x v="3"/>
    <x v="3"/>
    <n v="68138.244000000006"/>
    <n v="24"/>
    <x v="0"/>
    <n v="2831.26"/>
    <n v="3340.11"/>
    <n v="188.00399999999354"/>
    <s v="Returning"/>
    <n v="0.15"/>
    <s v="Cash"/>
    <s v="Online"/>
    <x v="4"/>
  </r>
  <r>
    <n v="1048"/>
    <x v="354"/>
    <d v="2022-11-16T00:00:00"/>
    <x v="0"/>
    <s v="Nov"/>
    <x v="0"/>
    <x v="3"/>
    <n v="75188.294999999998"/>
    <n v="45"/>
    <x v="2"/>
    <n v="1609.83"/>
    <n v="1942.85"/>
    <n v="2745.9449999999979"/>
    <s v="Returning"/>
    <n v="0.14000000000000001"/>
    <s v="Bank Transfer"/>
    <s v="Online"/>
    <x v="5"/>
  </r>
  <r>
    <n v="1053"/>
    <x v="233"/>
    <d v="2022-11-16T00:00:00"/>
    <x v="0"/>
    <s v="Nov"/>
    <x v="0"/>
    <x v="3"/>
    <n v="61566.235499999995"/>
    <n v="15"/>
    <x v="1"/>
    <n v="3419.78"/>
    <n v="5330.41"/>
    <n v="10269.535499999991"/>
    <s v="Returning"/>
    <n v="0.23"/>
    <s v="Cash"/>
    <s v="Online"/>
    <x v="5"/>
  </r>
  <r>
    <n v="1009"/>
    <x v="355"/>
    <d v="2022-11-16T00:00:00"/>
    <x v="0"/>
    <s v="Nov"/>
    <x v="4"/>
    <x v="3"/>
    <n v="33248.810099999995"/>
    <n v="33"/>
    <x v="1"/>
    <n v="492.2"/>
    <n v="1419.07"/>
    <n v="17006.2101"/>
    <s v="New"/>
    <n v="0.28999999999999998"/>
    <s v="Credit Card"/>
    <s v="Online"/>
    <x v="12"/>
  </r>
  <r>
    <n v="1031"/>
    <x v="224"/>
    <d v="2022-11-16T00:00:00"/>
    <x v="0"/>
    <s v="Nov"/>
    <x v="0"/>
    <x v="3"/>
    <n v="34127.526399999995"/>
    <n v="44"/>
    <x v="2"/>
    <n v="69.37"/>
    <n v="1020.56"/>
    <n v="31075.246399999996"/>
    <s v="New"/>
    <n v="0.24"/>
    <s v="Cash"/>
    <s v="Retail"/>
    <x v="5"/>
  </r>
  <r>
    <n v="1083"/>
    <x v="131"/>
    <d v="2022-11-16T00:00:00"/>
    <x v="0"/>
    <s v="Nov"/>
    <x v="3"/>
    <x v="3"/>
    <n v="121294.7824"/>
    <n v="34"/>
    <x v="0"/>
    <n v="1727.04"/>
    <n v="4053.97"/>
    <n v="62575.422399999996"/>
    <s v="New"/>
    <n v="0.12"/>
    <s v="Cash"/>
    <s v="Retail"/>
    <x v="4"/>
  </r>
  <r>
    <n v="1016"/>
    <x v="259"/>
    <d v="2022-11-17T00:00:00"/>
    <x v="0"/>
    <s v="Nov"/>
    <x v="0"/>
    <x v="2"/>
    <n v="7811.5208577798339"/>
    <n v="2"/>
    <x v="0"/>
    <n v="3817.58"/>
    <n v="3974.33"/>
    <n v="154.52679999999964"/>
    <s v="New"/>
    <n v="0.02"/>
    <s v="Cash"/>
    <s v="Retail"/>
    <x v="2"/>
  </r>
  <r>
    <n v="1084"/>
    <x v="123"/>
    <d v="2022-11-17T00:00:00"/>
    <x v="0"/>
    <s v="Nov"/>
    <x v="4"/>
    <x v="2"/>
    <n v="70837.905599999998"/>
    <n v="22"/>
    <x v="2"/>
    <n v="1379.2"/>
    <n v="3833.22"/>
    <n v="40495.505599999997"/>
    <s v="Returning"/>
    <n v="0.16"/>
    <s v="Bank Transfer"/>
    <s v="Retail"/>
    <x v="17"/>
  </r>
  <r>
    <n v="1022"/>
    <x v="356"/>
    <d v="2022-11-18T00:00:00"/>
    <x v="0"/>
    <s v="Nov"/>
    <x v="4"/>
    <x v="0"/>
    <n v="56496.895199999999"/>
    <n v="18"/>
    <x v="1"/>
    <n v="1736.56"/>
    <n v="3339.06"/>
    <n v="25238.815199999997"/>
    <s v="New"/>
    <n v="0.06"/>
    <s v="Cash"/>
    <s v="Retail"/>
    <x v="13"/>
  </r>
  <r>
    <n v="1040"/>
    <x v="344"/>
    <d v="2022-11-19T00:00:00"/>
    <x v="0"/>
    <s v="Nov"/>
    <x v="4"/>
    <x v="1"/>
    <n v="17579.018099999998"/>
    <n v="7"/>
    <x v="2"/>
    <n v="789.76"/>
    <n v="2700.31"/>
    <n v="12050.698099999998"/>
    <s v="New"/>
    <n v="7.0000000000000007E-2"/>
    <s v="Cash"/>
    <s v="Retail"/>
    <x v="6"/>
  </r>
  <r>
    <n v="1079"/>
    <x v="22"/>
    <d v="2022-11-20T00:00:00"/>
    <x v="0"/>
    <s v="Nov"/>
    <x v="3"/>
    <x v="1"/>
    <n v="6556.1286"/>
    <n v="7"/>
    <x v="2"/>
    <n v="912.94"/>
    <n v="1076.54"/>
    <n v="165.5485999999994"/>
    <s v="New"/>
    <n v="0.13"/>
    <s v="Credit Card"/>
    <s v="Online"/>
    <x v="16"/>
  </r>
  <r>
    <n v="1036"/>
    <x v="97"/>
    <d v="2022-11-20T00:00:00"/>
    <x v="0"/>
    <s v="Nov"/>
    <x v="3"/>
    <x v="0"/>
    <n v="12058.02"/>
    <n v="4"/>
    <x v="2"/>
    <n v="1752.41"/>
    <n v="4019.34"/>
    <n v="5048.38"/>
    <s v="Returning"/>
    <n v="0.25"/>
    <s v="Bank Transfer"/>
    <s v="Online"/>
    <x v="11"/>
  </r>
  <r>
    <n v="1089"/>
    <x v="111"/>
    <d v="2022-11-20T00:00:00"/>
    <x v="0"/>
    <s v="Nov"/>
    <x v="2"/>
    <x v="3"/>
    <n v="172564.41620000001"/>
    <n v="41"/>
    <x v="0"/>
    <n v="3199.01"/>
    <n v="4339.0600000000004"/>
    <n v="41405.006200000003"/>
    <s v="New"/>
    <n v="0.03"/>
    <s v="Cash"/>
    <s v="Online"/>
    <x v="3"/>
  </r>
  <r>
    <n v="1062"/>
    <x v="282"/>
    <d v="2022-11-21T00:00:00"/>
    <x v="0"/>
    <s v="Nov"/>
    <x v="3"/>
    <x v="3"/>
    <n v="86573.894400000005"/>
    <n v="48"/>
    <x v="3"/>
    <n v="1615.83"/>
    <n v="2147.17"/>
    <n v="9014.0544000000082"/>
    <s v="Returning"/>
    <n v="0.16"/>
    <s v="Cash"/>
    <s v="Online"/>
    <x v="4"/>
  </r>
  <r>
    <n v="1036"/>
    <x v="97"/>
    <d v="2022-11-21T00:00:00"/>
    <x v="0"/>
    <s v="Nov"/>
    <x v="0"/>
    <x v="0"/>
    <n v="92207.203999999998"/>
    <n v="20"/>
    <x v="2"/>
    <n v="3858.46"/>
    <n v="5180.18"/>
    <n v="15038.004000000001"/>
    <s v="Returning"/>
    <n v="0.11"/>
    <s v="Cash"/>
    <s v="Retail"/>
    <x v="0"/>
  </r>
  <r>
    <n v="1006"/>
    <x v="299"/>
    <d v="2022-11-21T00:00:00"/>
    <x v="0"/>
    <s v="Nov"/>
    <x v="4"/>
    <x v="3"/>
    <n v="178064.88279999999"/>
    <n v="49"/>
    <x v="0"/>
    <n v="1030.67"/>
    <n v="3708.14"/>
    <n v="127562.05279999999"/>
    <s v="Returning"/>
    <n v="0.02"/>
    <s v="Credit Card"/>
    <s v="Online"/>
    <x v="12"/>
  </r>
  <r>
    <n v="1007"/>
    <x v="205"/>
    <d v="2022-11-22T00:00:00"/>
    <x v="0"/>
    <s v="Nov"/>
    <x v="2"/>
    <x v="0"/>
    <n v="16771.645799999998"/>
    <n v="9"/>
    <x v="0"/>
    <n v="1785"/>
    <n v="2047.82"/>
    <n v="706.64580000000024"/>
    <s v="New"/>
    <n v="0.09"/>
    <s v="Cash"/>
    <s v="Online"/>
    <x v="18"/>
  </r>
  <r>
    <n v="1044"/>
    <x v="357"/>
    <d v="2022-11-22T00:00:00"/>
    <x v="0"/>
    <s v="Nov"/>
    <x v="1"/>
    <x v="2"/>
    <n v="18333.743999999999"/>
    <n v="5"/>
    <x v="2"/>
    <n v="2798.53"/>
    <n v="3819.53"/>
    <n v="4341.0939999999982"/>
    <s v="Returning"/>
    <n v="0.04"/>
    <s v="Bank Transfer"/>
    <s v="Retail"/>
    <x v="15"/>
  </r>
  <r>
    <n v="1062"/>
    <x v="109"/>
    <d v="2022-11-22T00:00:00"/>
    <x v="0"/>
    <s v="Nov"/>
    <x v="2"/>
    <x v="2"/>
    <n v="128683.31000000001"/>
    <n v="50"/>
    <x v="2"/>
    <n v="2401.17"/>
    <n v="2626.19"/>
    <n v="8624.8100000000013"/>
    <s v="New"/>
    <n v="0.02"/>
    <s v="Bank Transfer"/>
    <s v="Online"/>
    <x v="14"/>
  </r>
  <r>
    <n v="1070"/>
    <x v="358"/>
    <d v="2022-11-23T00:00:00"/>
    <x v="0"/>
    <s v="Nov"/>
    <x v="4"/>
    <x v="3"/>
    <n v="17831.3508"/>
    <n v="27"/>
    <x v="3"/>
    <n v="450.17"/>
    <n v="892.46"/>
    <n v="5676.7607999999991"/>
    <s v="New"/>
    <n v="0.26"/>
    <s v="Credit Card"/>
    <s v="Online"/>
    <x v="12"/>
  </r>
  <r>
    <n v="1029"/>
    <x v="152"/>
    <d v="2022-11-23T00:00:00"/>
    <x v="0"/>
    <s v="Nov"/>
    <x v="4"/>
    <x v="1"/>
    <n v="109842.44916080838"/>
    <n v="22"/>
    <x v="3"/>
    <n v="4664.68"/>
    <n v="5166.32"/>
    <n v="7626.3087999999898"/>
    <s v="New"/>
    <n v="0.03"/>
    <s v="Cash"/>
    <s v="Online"/>
    <x v="6"/>
  </r>
  <r>
    <n v="1013"/>
    <x v="115"/>
    <d v="2022-11-23T00:00:00"/>
    <x v="0"/>
    <s v="Nov"/>
    <x v="3"/>
    <x v="2"/>
    <n v="13115.8344"/>
    <n v="6"/>
    <x v="1"/>
    <n v="664.86"/>
    <n v="2665.82"/>
    <n v="9126.6743999999999"/>
    <s v="Returning"/>
    <n v="0.18"/>
    <s v="Bank Transfer"/>
    <s v="Online"/>
    <x v="9"/>
  </r>
  <r>
    <n v="1090"/>
    <x v="159"/>
    <d v="2022-11-23T00:00:00"/>
    <x v="0"/>
    <s v="Nov"/>
    <x v="3"/>
    <x v="1"/>
    <n v="13876.6716"/>
    <n v="4"/>
    <x v="2"/>
    <n v="140.78"/>
    <n v="3504.21"/>
    <n v="13313.551599999999"/>
    <s v="New"/>
    <n v="0.01"/>
    <s v="Credit Card"/>
    <s v="Online"/>
    <x v="16"/>
  </r>
  <r>
    <n v="1062"/>
    <x v="282"/>
    <d v="2022-11-23T00:00:00"/>
    <x v="0"/>
    <s v="Nov"/>
    <x v="2"/>
    <x v="0"/>
    <n v="123862.21379999998"/>
    <n v="39"/>
    <x v="3"/>
    <n v="2110.85"/>
    <n v="3692.97"/>
    <n v="41539.063799999989"/>
    <s v="New"/>
    <n v="0.14000000000000001"/>
    <s v="Credit Card"/>
    <s v="Online"/>
    <x v="18"/>
  </r>
  <r>
    <n v="1097"/>
    <x v="42"/>
    <d v="2022-11-23T00:00:00"/>
    <x v="0"/>
    <s v="Nov"/>
    <x v="4"/>
    <x v="0"/>
    <n v="103530.63979999999"/>
    <n v="37"/>
    <x v="1"/>
    <n v="1025.5999999999999"/>
    <n v="2855.23"/>
    <n v="65583.439799999993"/>
    <s v="New"/>
    <n v="0.02"/>
    <s v="Bank Transfer"/>
    <s v="Online"/>
    <x v="13"/>
  </r>
  <r>
    <n v="1031"/>
    <x v="359"/>
    <d v="2022-11-24T00:00:00"/>
    <x v="0"/>
    <s v="Nov"/>
    <x v="1"/>
    <x v="0"/>
    <n v="35895.120000000003"/>
    <n v="8"/>
    <x v="1"/>
    <n v="4482.63"/>
    <n v="4486.8900000000003"/>
    <n v="34.080000000001746"/>
    <s v="Returning"/>
    <n v="0"/>
    <s v="Cash"/>
    <s v="Online"/>
    <x v="10"/>
  </r>
  <r>
    <n v="1071"/>
    <x v="163"/>
    <d v="2022-11-24T00:00:00"/>
    <x v="0"/>
    <s v="Nov"/>
    <x v="3"/>
    <x v="3"/>
    <n v="65373.384185375871"/>
    <n v="45"/>
    <x v="2"/>
    <n v="1122.69"/>
    <n v="1463.81"/>
    <n v="14691.685499999989"/>
    <s v="New"/>
    <n v="0.01"/>
    <s v="Bank Transfer"/>
    <s v="Retail"/>
    <x v="4"/>
  </r>
  <r>
    <n v="1028"/>
    <x v="171"/>
    <d v="2022-11-24T00:00:00"/>
    <x v="0"/>
    <s v="Nov"/>
    <x v="0"/>
    <x v="0"/>
    <n v="237691.68571540082"/>
    <n v="50"/>
    <x v="3"/>
    <n v="4262.41"/>
    <n v="4905.5600000000004"/>
    <n v="24799.160000000029"/>
    <s v="New"/>
    <n v="0.03"/>
    <s v="Bank Transfer"/>
    <s v="Retail"/>
    <x v="0"/>
  </r>
  <r>
    <n v="1075"/>
    <x v="149"/>
    <d v="2022-11-24T00:00:00"/>
    <x v="0"/>
    <s v="Nov"/>
    <x v="2"/>
    <x v="0"/>
    <n v="89492.306400000001"/>
    <n v="29"/>
    <x v="1"/>
    <n v="1740.11"/>
    <n v="3148.92"/>
    <n v="39029.116400000006"/>
    <s v="New"/>
    <n v="0.02"/>
    <s v="Credit Card"/>
    <s v="Online"/>
    <x v="18"/>
  </r>
  <r>
    <n v="1089"/>
    <x v="348"/>
    <d v="2022-11-25T00:00:00"/>
    <x v="0"/>
    <s v="Nov"/>
    <x v="2"/>
    <x v="0"/>
    <n v="45470.813064802511"/>
    <n v="30"/>
    <x v="1"/>
    <n v="1502.21"/>
    <n v="1529.74"/>
    <n v="366.97800000000143"/>
    <s v="Returning"/>
    <n v="0.01"/>
    <s v="Credit Card"/>
    <s v="Retail"/>
    <x v="18"/>
  </r>
  <r>
    <n v="1071"/>
    <x v="186"/>
    <d v="2022-11-25T00:00:00"/>
    <x v="0"/>
    <s v="Nov"/>
    <x v="2"/>
    <x v="3"/>
    <n v="28988.2395"/>
    <n v="11"/>
    <x v="1"/>
    <n v="1006.75"/>
    <n v="3253.45"/>
    <n v="17913.9895"/>
    <s v="New"/>
    <n v="0.19"/>
    <s v="Cash"/>
    <s v="Retail"/>
    <x v="3"/>
  </r>
  <r>
    <n v="1028"/>
    <x v="295"/>
    <d v="2022-11-25T00:00:00"/>
    <x v="0"/>
    <s v="Nov"/>
    <x v="1"/>
    <x v="3"/>
    <n v="136534.71369999999"/>
    <n v="43"/>
    <x v="1"/>
    <n v="1977.99"/>
    <n v="4123.67"/>
    <n v="51481.143699999993"/>
    <s v="New"/>
    <n v="0.23"/>
    <s v="Bank Transfer"/>
    <s v="Online"/>
    <x v="7"/>
  </r>
  <r>
    <n v="1098"/>
    <x v="127"/>
    <d v="2022-11-26T00:00:00"/>
    <x v="0"/>
    <s v="Nov"/>
    <x v="2"/>
    <x v="2"/>
    <n v="19147.083000000002"/>
    <n v="5"/>
    <x v="1"/>
    <n v="3305.51"/>
    <n v="4452.8100000000004"/>
    <n v="2619.5330000000013"/>
    <s v="Returning"/>
    <n v="0.14000000000000001"/>
    <s v="Cash"/>
    <s v="Retail"/>
    <x v="14"/>
  </r>
  <r>
    <n v="1082"/>
    <x v="360"/>
    <d v="2022-11-26T00:00:00"/>
    <x v="0"/>
    <s v="Nov"/>
    <x v="3"/>
    <x v="2"/>
    <n v="13765.166800000001"/>
    <n v="4"/>
    <x v="3"/>
    <n v="961.95"/>
    <n v="4469.21"/>
    <n v="9917.3667999999998"/>
    <s v="New"/>
    <n v="0.23"/>
    <s v="Cash"/>
    <s v="Online"/>
    <x v="9"/>
  </r>
  <r>
    <n v="1023"/>
    <x v="361"/>
    <d v="2022-11-26T00:00:00"/>
    <x v="0"/>
    <s v="Nov"/>
    <x v="3"/>
    <x v="0"/>
    <n v="22265.818199999998"/>
    <n v="6"/>
    <x v="2"/>
    <n v="227.43"/>
    <n v="3990.29"/>
    <n v="20901.2382"/>
    <s v="New"/>
    <n v="7.0000000000000007E-2"/>
    <s v="Cash"/>
    <s v="Retail"/>
    <x v="11"/>
  </r>
  <r>
    <n v="1099"/>
    <x v="122"/>
    <d v="2022-11-27T00:00:00"/>
    <x v="0"/>
    <s v="Nov"/>
    <x v="2"/>
    <x v="0"/>
    <n v="15377.178"/>
    <n v="5"/>
    <x v="0"/>
    <n v="723.16"/>
    <n v="3306.92"/>
    <n v="11761.378000000001"/>
    <s v="Returning"/>
    <n v="7.0000000000000007E-2"/>
    <s v="Bank Transfer"/>
    <s v="Retail"/>
    <x v="18"/>
  </r>
  <r>
    <n v="1084"/>
    <x v="64"/>
    <d v="2022-11-27T00:00:00"/>
    <x v="0"/>
    <s v="Nov"/>
    <x v="1"/>
    <x v="3"/>
    <n v="228409.2557372156"/>
    <n v="50"/>
    <x v="1"/>
    <n v="3945.19"/>
    <n v="4640.76"/>
    <n v="30137.740000000009"/>
    <s v="Returning"/>
    <n v="0.02"/>
    <s v="Cash"/>
    <s v="Online"/>
    <x v="7"/>
  </r>
  <r>
    <n v="1013"/>
    <x v="15"/>
    <d v="2022-11-27T00:00:00"/>
    <x v="0"/>
    <s v="Nov"/>
    <x v="0"/>
    <x v="2"/>
    <n v="98327.892200000002"/>
    <n v="37"/>
    <x v="0"/>
    <n v="1705.04"/>
    <n v="3201.82"/>
    <n v="35241.412200000006"/>
    <s v="Returning"/>
    <n v="0.17"/>
    <s v="Cash"/>
    <s v="Online"/>
    <x v="2"/>
  </r>
  <r>
    <n v="1100"/>
    <x v="343"/>
    <d v="2022-11-27T00:00:00"/>
    <x v="0"/>
    <s v="Nov"/>
    <x v="1"/>
    <x v="1"/>
    <n v="54322.918999999994"/>
    <n v="38"/>
    <x v="3"/>
    <n v="319.63"/>
    <n v="1504.79"/>
    <n v="42176.978999999992"/>
    <s v="Returning"/>
    <n v="0.05"/>
    <s v="Bank Transfer"/>
    <s v="Online"/>
    <x v="1"/>
  </r>
  <r>
    <n v="1070"/>
    <x v="56"/>
    <d v="2022-11-28T00:00:00"/>
    <x v="0"/>
    <s v="Nov"/>
    <x v="2"/>
    <x v="0"/>
    <n v="28131.767999999996"/>
    <n v="12"/>
    <x v="2"/>
    <n v="2226.9299999999998"/>
    <n v="2790.85"/>
    <n v="1408.6080000000002"/>
    <s v="New"/>
    <n v="0.16"/>
    <s v="Cash"/>
    <s v="Retail"/>
    <x v="18"/>
  </r>
  <r>
    <n v="1012"/>
    <x v="296"/>
    <d v="2022-11-28T00:00:00"/>
    <x v="0"/>
    <s v="Nov"/>
    <x v="1"/>
    <x v="3"/>
    <n v="48306.213199999991"/>
    <n v="14"/>
    <x v="3"/>
    <n v="1936.34"/>
    <n v="4859.78"/>
    <n v="21197.453199999996"/>
    <s v="Returning"/>
    <n v="0.28999999999999998"/>
    <s v="Cash"/>
    <s v="Retail"/>
    <x v="7"/>
  </r>
  <r>
    <n v="1099"/>
    <x v="288"/>
    <d v="2022-11-28T00:00:00"/>
    <x v="0"/>
    <s v="Nov"/>
    <x v="0"/>
    <x v="1"/>
    <n v="69053.155400000003"/>
    <n v="19"/>
    <x v="2"/>
    <n v="1990.73"/>
    <n v="3746.78"/>
    <n v="31229.285400000001"/>
    <s v="New"/>
    <n v="0.03"/>
    <s v="Bank Transfer"/>
    <s v="Online"/>
    <x v="19"/>
  </r>
  <r>
    <n v="1066"/>
    <x v="362"/>
    <d v="2022-11-29T00:00:00"/>
    <x v="0"/>
    <s v="Nov"/>
    <x v="3"/>
    <x v="3"/>
    <n v="87692.33"/>
    <n v="25"/>
    <x v="2"/>
    <n v="2298.1"/>
    <n v="3812.71"/>
    <n v="30239.830000000005"/>
    <s v="New"/>
    <n v="0.08"/>
    <s v="Bank Transfer"/>
    <s v="Online"/>
    <x v="4"/>
  </r>
  <r>
    <n v="1058"/>
    <x v="188"/>
    <d v="2022-11-29T00:00:00"/>
    <x v="0"/>
    <s v="Nov"/>
    <x v="4"/>
    <x v="3"/>
    <n v="175090.89600000001"/>
    <n v="45"/>
    <x v="2"/>
    <n v="412.42"/>
    <n v="4053.03"/>
    <n v="156531.99600000001"/>
    <s v="Returning"/>
    <n v="0.04"/>
    <s v="Cash"/>
    <s v="Retail"/>
    <x v="12"/>
  </r>
  <r>
    <n v="1099"/>
    <x v="122"/>
    <d v="2022-11-30T00:00:00"/>
    <x v="0"/>
    <s v="Nov"/>
    <x v="2"/>
    <x v="0"/>
    <n v="127350.43275303912"/>
    <n v="43"/>
    <x v="0"/>
    <n v="2893.3"/>
    <n v="3046.45"/>
    <n v="2655.5294999999787"/>
    <s v="New"/>
    <n v="0.03"/>
    <s v="Credit Card"/>
    <s v="Online"/>
    <x v="18"/>
  </r>
  <r>
    <n v="1015"/>
    <x v="144"/>
    <d v="2022-11-30T00:00:00"/>
    <x v="0"/>
    <s v="Nov"/>
    <x v="0"/>
    <x v="3"/>
    <n v="149462.6336"/>
    <n v="38"/>
    <x v="3"/>
    <n v="3624.35"/>
    <n v="4573.5200000000004"/>
    <n v="11737.333600000013"/>
    <s v="Returning"/>
    <n v="0.14000000000000001"/>
    <s v="Credit Card"/>
    <s v="Retail"/>
    <x v="5"/>
  </r>
  <r>
    <n v="1020"/>
    <x v="235"/>
    <d v="2022-11-30T00:00:00"/>
    <x v="0"/>
    <s v="Nov"/>
    <x v="1"/>
    <x v="1"/>
    <n v="211226.73059948668"/>
    <n v="49"/>
    <x v="1"/>
    <n v="3893.01"/>
    <n v="4518.37"/>
    <n v="19572.633499999996"/>
    <s v="Returning"/>
    <n v="0.05"/>
    <s v="Credit Card"/>
    <s v="Online"/>
    <x v="1"/>
  </r>
  <r>
    <n v="1087"/>
    <x v="194"/>
    <d v="2022-11-30T00:00:00"/>
    <x v="0"/>
    <s v="Nov"/>
    <x v="1"/>
    <x v="3"/>
    <n v="74446.217999999993"/>
    <n v="21"/>
    <x v="2"/>
    <n v="712.91"/>
    <n v="4664.55"/>
    <n v="59475.108"/>
    <s v="Returning"/>
    <n v="0.24"/>
    <s v="Cash"/>
    <s v="Online"/>
    <x v="7"/>
  </r>
  <r>
    <n v="1098"/>
    <x v="326"/>
    <d v="2022-11-30T00:00:00"/>
    <x v="0"/>
    <s v="Nov"/>
    <x v="1"/>
    <x v="1"/>
    <n v="150527.196"/>
    <n v="40"/>
    <x v="0"/>
    <n v="1607.97"/>
    <n v="4046.43"/>
    <n v="86208.395999999993"/>
    <s v="New"/>
    <n v="7.0000000000000007E-2"/>
    <s v="Cash"/>
    <s v="Online"/>
    <x v="1"/>
  </r>
  <r>
    <n v="1014"/>
    <x v="125"/>
    <d v="2022-12-01T00:00:00"/>
    <x v="0"/>
    <s v="Dec"/>
    <x v="1"/>
    <x v="0"/>
    <n v="53408.806308546576"/>
    <n v="13"/>
    <x v="3"/>
    <n v="3950.64"/>
    <n v="4243.03"/>
    <n v="2146.2882999999988"/>
    <s v="New"/>
    <n v="0.03"/>
    <s v="Cash"/>
    <s v="Retail"/>
    <x v="10"/>
  </r>
  <r>
    <n v="1057"/>
    <x v="208"/>
    <d v="2022-12-01T00:00:00"/>
    <x v="0"/>
    <s v="Dec"/>
    <x v="2"/>
    <x v="0"/>
    <n v="6564.5964000000004"/>
    <n v="3"/>
    <x v="0"/>
    <n v="534.89"/>
    <n v="2701.48"/>
    <n v="4959.9264000000003"/>
    <s v="New"/>
    <n v="0.19"/>
    <s v="Cash"/>
    <s v="Online"/>
    <x v="18"/>
  </r>
  <r>
    <n v="1056"/>
    <x v="136"/>
    <d v="2022-12-01T00:00:00"/>
    <x v="0"/>
    <s v="Dec"/>
    <x v="4"/>
    <x v="1"/>
    <n v="62475.811199999989"/>
    <n v="22"/>
    <x v="0"/>
    <n v="2522.5100000000002"/>
    <n v="3944.18"/>
    <n v="6980.5911999999862"/>
    <s v="Returning"/>
    <n v="0.28000000000000003"/>
    <s v="Cash"/>
    <s v="Retail"/>
    <x v="6"/>
  </r>
  <r>
    <n v="1099"/>
    <x v="288"/>
    <d v="2022-12-01T00:00:00"/>
    <x v="0"/>
    <s v="Dec"/>
    <x v="3"/>
    <x v="2"/>
    <n v="153372.44999999998"/>
    <n v="35"/>
    <x v="2"/>
    <n v="3980.75"/>
    <n v="4471.5"/>
    <n v="14046.19999999999"/>
    <s v="Returning"/>
    <n v="0.02"/>
    <s v="Cash"/>
    <s v="Retail"/>
    <x v="9"/>
  </r>
  <r>
    <n v="1097"/>
    <x v="174"/>
    <d v="2022-12-01T00:00:00"/>
    <x v="0"/>
    <s v="Dec"/>
    <x v="1"/>
    <x v="3"/>
    <n v="171508.84895914895"/>
    <n v="39"/>
    <x v="2"/>
    <n v="3981.81"/>
    <n v="4472.7299999999996"/>
    <n v="15657.150599999984"/>
    <s v="Returning"/>
    <n v="0.02"/>
    <s v="Bank Transfer"/>
    <s v="Retail"/>
    <x v="7"/>
  </r>
  <r>
    <n v="1001"/>
    <x v="212"/>
    <d v="2022-12-02T00:00:00"/>
    <x v="0"/>
    <s v="Dec"/>
    <x v="4"/>
    <x v="0"/>
    <n v="49613.832800000004"/>
    <n v="14"/>
    <x v="3"/>
    <n v="3437.53"/>
    <n v="4485.88"/>
    <n v="1488.4128000000001"/>
    <s v="Returning"/>
    <n v="0.21"/>
    <s v="Cash"/>
    <s v="Online"/>
    <x v="13"/>
  </r>
  <r>
    <n v="1051"/>
    <x v="281"/>
    <d v="2022-12-02T00:00:00"/>
    <x v="0"/>
    <s v="Dec"/>
    <x v="3"/>
    <x v="1"/>
    <n v="34887.136500000001"/>
    <n v="17"/>
    <x v="2"/>
    <n v="927.72"/>
    <n v="2206.65"/>
    <n v="19115.896499999995"/>
    <s v="New"/>
    <n v="7.0000000000000007E-2"/>
    <s v="Credit Card"/>
    <s v="Retail"/>
    <x v="16"/>
  </r>
  <r>
    <n v="1026"/>
    <x v="50"/>
    <d v="2022-12-03T00:00:00"/>
    <x v="0"/>
    <s v="Dec"/>
    <x v="3"/>
    <x v="3"/>
    <n v="93631.72"/>
    <n v="29"/>
    <x v="1"/>
    <n v="1911.84"/>
    <n v="3548"/>
    <n v="38188.360000000008"/>
    <s v="Returning"/>
    <n v="0.09"/>
    <s v="Bank Transfer"/>
    <s v="Retail"/>
    <x v="4"/>
  </r>
  <r>
    <n v="1012"/>
    <x v="90"/>
    <d v="2022-12-04T00:00:00"/>
    <x v="0"/>
    <s v="Dec"/>
    <x v="0"/>
    <x v="2"/>
    <n v="23094.898200000003"/>
    <n v="6"/>
    <x v="2"/>
    <n v="2351.48"/>
    <n v="4424.3100000000004"/>
    <n v="8986.0182000000023"/>
    <s v="Returning"/>
    <n v="0.13"/>
    <s v="Bank Transfer"/>
    <s v="Retail"/>
    <x v="2"/>
  </r>
  <r>
    <n v="1019"/>
    <x v="32"/>
    <d v="2022-12-04T00:00:00"/>
    <x v="0"/>
    <s v="Dec"/>
    <x v="0"/>
    <x v="2"/>
    <n v="124263.54439999998"/>
    <n v="47"/>
    <x v="3"/>
    <n v="1860.15"/>
    <n v="2970.68"/>
    <n v="36836.494399999981"/>
    <s v="New"/>
    <n v="0.11"/>
    <s v="Cash"/>
    <s v="Online"/>
    <x v="2"/>
  </r>
  <r>
    <n v="1019"/>
    <x v="32"/>
    <d v="2022-12-05T00:00:00"/>
    <x v="0"/>
    <s v="Dec"/>
    <x v="3"/>
    <x v="1"/>
    <n v="139576.86960000001"/>
    <n v="28"/>
    <x v="3"/>
    <n v="4790.6499999999996"/>
    <n v="5139.0600000000004"/>
    <n v="5438.6696000000193"/>
    <s v="Returning"/>
    <n v="0.03"/>
    <s v="Cash"/>
    <s v="Online"/>
    <x v="16"/>
  </r>
  <r>
    <n v="1067"/>
    <x v="331"/>
    <d v="2022-12-05T00:00:00"/>
    <x v="0"/>
    <s v="Dec"/>
    <x v="2"/>
    <x v="0"/>
    <n v="81808.98980444709"/>
    <n v="16"/>
    <x v="3"/>
    <n v="4156.5600000000004"/>
    <n v="5191.76"/>
    <n v="14901.83679999999"/>
    <s v="Returning"/>
    <n v="0.02"/>
    <s v="Cash"/>
    <s v="Online"/>
    <x v="18"/>
  </r>
  <r>
    <n v="1010"/>
    <x v="165"/>
    <d v="2022-12-05T00:00:00"/>
    <x v="0"/>
    <s v="Dec"/>
    <x v="2"/>
    <x v="1"/>
    <n v="124661.01699999999"/>
    <n v="34"/>
    <x v="1"/>
    <n v="183.74"/>
    <n v="4313.53"/>
    <n v="118413.85699999997"/>
    <s v="Returning"/>
    <n v="0.15"/>
    <s v="Credit Card"/>
    <s v="Online"/>
    <x v="8"/>
  </r>
  <r>
    <n v="1100"/>
    <x v="343"/>
    <d v="2022-12-06T00:00:00"/>
    <x v="0"/>
    <s v="Dec"/>
    <x v="4"/>
    <x v="3"/>
    <n v="104119.54919999999"/>
    <n v="41"/>
    <x v="3"/>
    <n v="1741.62"/>
    <n v="3059.64"/>
    <n v="32713.129199999992"/>
    <s v="New"/>
    <n v="0.17"/>
    <s v="Credit Card"/>
    <s v="Retail"/>
    <x v="12"/>
  </r>
  <r>
    <n v="1073"/>
    <x v="279"/>
    <d v="2022-12-07T00:00:00"/>
    <x v="0"/>
    <s v="Dec"/>
    <x v="3"/>
    <x v="3"/>
    <n v="35496.078031125668"/>
    <n v="10"/>
    <x v="0"/>
    <n v="2753.13"/>
    <n v="3666.69"/>
    <n v="8035.5929999999989"/>
    <s v="New"/>
    <n v="0.03"/>
    <s v="Bank Transfer"/>
    <s v="Retail"/>
    <x v="4"/>
  </r>
  <r>
    <n v="1044"/>
    <x v="209"/>
    <d v="2022-12-07T00:00:00"/>
    <x v="0"/>
    <s v="Dec"/>
    <x v="1"/>
    <x v="1"/>
    <n v="126352.51726767018"/>
    <n v="24"/>
    <x v="0"/>
    <n v="4816.04"/>
    <n v="5470.6"/>
    <n v="10457.663999999997"/>
    <s v="New"/>
    <n v="0.04"/>
    <s v="Cash"/>
    <s v="Online"/>
    <x v="1"/>
  </r>
  <r>
    <n v="1076"/>
    <x v="9"/>
    <d v="2022-12-07T00:00:00"/>
    <x v="0"/>
    <s v="Dec"/>
    <x v="0"/>
    <x v="3"/>
    <n v="29729.083999999999"/>
    <n v="20"/>
    <x v="3"/>
    <n v="349.99"/>
    <n v="1516.79"/>
    <n v="22729.284"/>
    <s v="New"/>
    <n v="0.02"/>
    <s v="Credit Card"/>
    <s v="Retail"/>
    <x v="5"/>
  </r>
  <r>
    <n v="1061"/>
    <x v="363"/>
    <d v="2022-12-07T00:00:00"/>
    <x v="0"/>
    <s v="Dec"/>
    <x v="4"/>
    <x v="3"/>
    <n v="48114.504899999993"/>
    <n v="21"/>
    <x v="3"/>
    <n v="934.73"/>
    <n v="2314.31"/>
    <n v="28485.174899999995"/>
    <s v="Returning"/>
    <n v="0.01"/>
    <s v="Bank Transfer"/>
    <s v="Online"/>
    <x v="12"/>
  </r>
  <r>
    <n v="1056"/>
    <x v="136"/>
    <d v="2022-12-08T00:00:00"/>
    <x v="0"/>
    <s v="Dec"/>
    <x v="0"/>
    <x v="3"/>
    <n v="18572.592000000001"/>
    <n v="46"/>
    <x v="0"/>
    <n v="313.49"/>
    <n v="504.69"/>
    <n v="4152.0519999999997"/>
    <s v="Returning"/>
    <n v="0.2"/>
    <s v="Cash"/>
    <s v="Retail"/>
    <x v="5"/>
  </r>
  <r>
    <n v="1059"/>
    <x v="329"/>
    <d v="2022-12-08T00:00:00"/>
    <x v="0"/>
    <s v="Dec"/>
    <x v="3"/>
    <x v="3"/>
    <n v="96452.971999999994"/>
    <n v="35"/>
    <x v="1"/>
    <n v="502.87"/>
    <n v="2812.04"/>
    <n v="78852.521999999997"/>
    <s v="Returning"/>
    <n v="0.02"/>
    <s v="Credit Card"/>
    <s v="Retail"/>
    <x v="4"/>
  </r>
  <r>
    <n v="1031"/>
    <x v="135"/>
    <d v="2022-12-09T00:00:00"/>
    <x v="0"/>
    <s v="Dec"/>
    <x v="2"/>
    <x v="3"/>
    <n v="10012.780799999999"/>
    <n v="6"/>
    <x v="3"/>
    <n v="1459.91"/>
    <n v="1738.33"/>
    <n v="1253.3207999999986"/>
    <s v="New"/>
    <n v="0.04"/>
    <s v="Credit Card"/>
    <s v="Retail"/>
    <x v="3"/>
  </r>
  <r>
    <n v="1044"/>
    <x v="69"/>
    <d v="2022-12-09T00:00:00"/>
    <x v="0"/>
    <s v="Dec"/>
    <x v="2"/>
    <x v="1"/>
    <n v="113183.144"/>
    <n v="47"/>
    <x v="3"/>
    <n v="373.84"/>
    <n v="3010.19"/>
    <n v="95612.664000000004"/>
    <s v="Returning"/>
    <n v="0.2"/>
    <s v="Credit Card"/>
    <s v="Retail"/>
    <x v="8"/>
  </r>
  <r>
    <n v="1048"/>
    <x v="354"/>
    <d v="2022-12-10T00:00:00"/>
    <x v="0"/>
    <s v="Dec"/>
    <x v="1"/>
    <x v="3"/>
    <n v="102097.68"/>
    <n v="24"/>
    <x v="2"/>
    <n v="2496.9699999999998"/>
    <n v="4254.07"/>
    <n v="42170.399999999994"/>
    <s v="Returning"/>
    <n v="0"/>
    <s v="Cash"/>
    <s v="Online"/>
    <x v="7"/>
  </r>
  <r>
    <n v="1048"/>
    <x v="364"/>
    <d v="2022-12-10T00:00:00"/>
    <x v="0"/>
    <s v="Dec"/>
    <x v="0"/>
    <x v="3"/>
    <n v="171682.71119999996"/>
    <n v="49"/>
    <x v="3"/>
    <n v="2044.55"/>
    <n v="4221.3599999999997"/>
    <n v="71499.761199999979"/>
    <s v="New"/>
    <n v="0.17"/>
    <s v="Cash"/>
    <s v="Retail"/>
    <x v="5"/>
  </r>
  <r>
    <n v="1086"/>
    <x v="87"/>
    <d v="2022-12-10T00:00:00"/>
    <x v="0"/>
    <s v="Dec"/>
    <x v="2"/>
    <x v="1"/>
    <n v="96380.524799999985"/>
    <n v="21"/>
    <x v="0"/>
    <n v="300.29000000000002"/>
    <n v="4780.78"/>
    <n v="90074.434799999988"/>
    <s v="Returning"/>
    <n v="0.04"/>
    <s v="Credit Card"/>
    <s v="Online"/>
    <x v="8"/>
  </r>
  <r>
    <n v="1054"/>
    <x v="351"/>
    <d v="2022-12-11T00:00:00"/>
    <x v="0"/>
    <s v="Dec"/>
    <x v="2"/>
    <x v="1"/>
    <n v="11956.612800000003"/>
    <n v="3"/>
    <x v="2"/>
    <n v="679.05"/>
    <n v="4529.0200000000004"/>
    <n v="9919.4628000000012"/>
    <s v="Returning"/>
    <n v="0.12"/>
    <s v="Bank Transfer"/>
    <s v="Retail"/>
    <x v="8"/>
  </r>
  <r>
    <n v="1070"/>
    <x v="358"/>
    <d v="2022-12-11T00:00:00"/>
    <x v="0"/>
    <s v="Dec"/>
    <x v="2"/>
    <x v="1"/>
    <n v="70416.623999999996"/>
    <n v="16"/>
    <x v="3"/>
    <n v="190.5"/>
    <n v="4732.3"/>
    <n v="67368.623999999996"/>
    <s v="Returning"/>
    <n v="7.0000000000000007E-2"/>
    <s v="Bank Transfer"/>
    <s v="Retail"/>
    <x v="8"/>
  </r>
  <r>
    <n v="1047"/>
    <x v="287"/>
    <d v="2022-12-12T00:00:00"/>
    <x v="0"/>
    <s v="Dec"/>
    <x v="4"/>
    <x v="3"/>
    <n v="18059.4558"/>
    <n v="9"/>
    <x v="0"/>
    <n v="1033.19"/>
    <n v="2711.63"/>
    <n v="8760.7457999999988"/>
    <s v="New"/>
    <n v="0.26"/>
    <s v="Cash"/>
    <s v="Retail"/>
    <x v="12"/>
  </r>
  <r>
    <n v="1094"/>
    <x v="336"/>
    <d v="2022-12-12T00:00:00"/>
    <x v="0"/>
    <s v="Dec"/>
    <x v="0"/>
    <x v="2"/>
    <n v="28037.084599999998"/>
    <n v="7"/>
    <x v="1"/>
    <n v="396.52"/>
    <n v="4825.66"/>
    <n v="25261.444599999999"/>
    <s v="New"/>
    <n v="0.17"/>
    <s v="Cash"/>
    <s v="Retail"/>
    <x v="2"/>
  </r>
  <r>
    <n v="1076"/>
    <x v="142"/>
    <d v="2022-12-12T00:00:00"/>
    <x v="0"/>
    <s v="Dec"/>
    <x v="4"/>
    <x v="0"/>
    <n v="139526.42408280962"/>
    <n v="29"/>
    <x v="2"/>
    <n v="3866.1"/>
    <n v="5060.05"/>
    <n v="27287.477499999994"/>
    <s v="New"/>
    <n v="0.05"/>
    <s v="Credit Card"/>
    <s v="Online"/>
    <x v="13"/>
  </r>
  <r>
    <n v="1022"/>
    <x v="248"/>
    <d v="2022-12-12T00:00:00"/>
    <x v="0"/>
    <s v="Dec"/>
    <x v="1"/>
    <x v="0"/>
    <n v="60688.431999999993"/>
    <n v="16"/>
    <x v="2"/>
    <n v="1247.18"/>
    <n v="3992.66"/>
    <n v="40733.551999999996"/>
    <s v="New"/>
    <n v="0.05"/>
    <s v="Bank Transfer"/>
    <s v="Retail"/>
    <x v="10"/>
  </r>
  <r>
    <n v="1053"/>
    <x v="309"/>
    <d v="2022-12-12T00:00:00"/>
    <x v="0"/>
    <s v="Dec"/>
    <x v="4"/>
    <x v="1"/>
    <n v="72814.464000000007"/>
    <n v="18"/>
    <x v="3"/>
    <n v="536.59"/>
    <n v="4213.8"/>
    <n v="63155.843999999997"/>
    <s v="Returning"/>
    <n v="0.04"/>
    <s v="Credit Card"/>
    <s v="Online"/>
    <x v="6"/>
  </r>
  <r>
    <n v="1037"/>
    <x v="365"/>
    <d v="2022-12-13T00:00:00"/>
    <x v="0"/>
    <s v="Dec"/>
    <x v="2"/>
    <x v="2"/>
    <n v="8188.6512000000002"/>
    <n v="8"/>
    <x v="1"/>
    <n v="963.9"/>
    <n v="1248.27"/>
    <n v="477.45120000000043"/>
    <s v="Returning"/>
    <n v="0.18"/>
    <s v="Credit Card"/>
    <s v="Retail"/>
    <x v="14"/>
  </r>
  <r>
    <n v="1004"/>
    <x v="211"/>
    <d v="2022-12-13T00:00:00"/>
    <x v="0"/>
    <s v="Dec"/>
    <x v="3"/>
    <x v="3"/>
    <n v="108189.1492597852"/>
    <n v="31"/>
    <x v="0"/>
    <n v="3255.11"/>
    <n v="3644.43"/>
    <n v="7549.8267999999916"/>
    <s v="Returning"/>
    <n v="0.04"/>
    <s v="Bank Transfer"/>
    <s v="Online"/>
    <x v="4"/>
  </r>
  <r>
    <n v="1060"/>
    <x v="366"/>
    <d v="2022-12-13T00:00:00"/>
    <x v="0"/>
    <s v="Dec"/>
    <x v="4"/>
    <x v="3"/>
    <n v="52874.760000000009"/>
    <n v="12"/>
    <x v="1"/>
    <n v="3407.31"/>
    <n v="5183.8"/>
    <n v="11987.040000000006"/>
    <s v="Returning"/>
    <n v="0.15"/>
    <s v="Bank Transfer"/>
    <s v="Online"/>
    <x v="12"/>
  </r>
  <r>
    <n v="1004"/>
    <x v="102"/>
    <d v="2022-12-13T00:00:00"/>
    <x v="0"/>
    <s v="Dec"/>
    <x v="1"/>
    <x v="2"/>
    <n v="137524.18400000001"/>
    <n v="40"/>
    <x v="2"/>
    <n v="1244.8800000000001"/>
    <n v="3508.27"/>
    <n v="87728.983999999997"/>
    <s v="Returning"/>
    <n v="0.02"/>
    <s v="Cash"/>
    <s v="Online"/>
    <x v="15"/>
  </r>
  <r>
    <n v="1064"/>
    <x v="126"/>
    <d v="2022-12-14T00:00:00"/>
    <x v="0"/>
    <s v="Dec"/>
    <x v="1"/>
    <x v="0"/>
    <n v="134269.15575224903"/>
    <n v="32"/>
    <x v="1"/>
    <n v="4153.2"/>
    <n v="4256"/>
    <n v="1927.679999999993"/>
    <s v="Returning"/>
    <n v="0.01"/>
    <s v="Cash"/>
    <s v="Online"/>
    <x v="10"/>
  </r>
  <r>
    <n v="1087"/>
    <x v="194"/>
    <d v="2022-12-14T00:00:00"/>
    <x v="0"/>
    <s v="Dec"/>
    <x v="3"/>
    <x v="2"/>
    <n v="26357.184000000001"/>
    <n v="14"/>
    <x v="2"/>
    <n v="925.24"/>
    <n v="2614.8000000000002"/>
    <n v="13403.823999999999"/>
    <s v="New"/>
    <n v="0.28000000000000003"/>
    <s v="Credit Card"/>
    <s v="Online"/>
    <x v="9"/>
  </r>
  <r>
    <n v="1068"/>
    <x v="307"/>
    <d v="2022-12-15T00:00:00"/>
    <x v="0"/>
    <s v="Dec"/>
    <x v="1"/>
    <x v="0"/>
    <n v="8445.1103999999996"/>
    <n v="17"/>
    <x v="0"/>
    <n v="345.41"/>
    <n v="517.47"/>
    <n v="2573.1403999999998"/>
    <s v="Returning"/>
    <n v="0.04"/>
    <s v="Credit Card"/>
    <s v="Online"/>
    <x v="10"/>
  </r>
  <r>
    <n v="1071"/>
    <x v="153"/>
    <d v="2022-12-15T00:00:00"/>
    <x v="0"/>
    <s v="Dec"/>
    <x v="0"/>
    <x v="1"/>
    <n v="11612.1312"/>
    <n v="24"/>
    <x v="0"/>
    <n v="360.66"/>
    <n v="636.63"/>
    <n v="2956.2911999999992"/>
    <s v="Returning"/>
    <n v="0.24"/>
    <s v="Bank Transfer"/>
    <s v="Retail"/>
    <x v="19"/>
  </r>
  <r>
    <n v="1086"/>
    <x v="82"/>
    <d v="2022-12-16T00:00:00"/>
    <x v="0"/>
    <s v="Dec"/>
    <x v="1"/>
    <x v="3"/>
    <n v="94893.631799999988"/>
    <n v="22"/>
    <x v="3"/>
    <n v="4257.99"/>
    <n v="4957.87"/>
    <n v="1217.8517999999949"/>
    <s v="Returning"/>
    <n v="0.13"/>
    <s v="Credit Card"/>
    <s v="Online"/>
    <x v="7"/>
  </r>
  <r>
    <n v="1066"/>
    <x v="160"/>
    <d v="2022-12-16T00:00:00"/>
    <x v="0"/>
    <s v="Dec"/>
    <x v="2"/>
    <x v="3"/>
    <n v="130893.5494001437"/>
    <n v="32"/>
    <x v="1"/>
    <n v="3629.69"/>
    <n v="4280.8999999999996"/>
    <n v="15359.167999999991"/>
    <s v="Returning"/>
    <n v="0.04"/>
    <s v="Bank Transfer"/>
    <s v="Online"/>
    <x v="3"/>
  </r>
  <r>
    <n v="1090"/>
    <x v="298"/>
    <d v="2022-12-16T00:00:00"/>
    <x v="0"/>
    <s v="Dec"/>
    <x v="4"/>
    <x v="1"/>
    <n v="105662.48599999999"/>
    <n v="29"/>
    <x v="0"/>
    <n v="2723.34"/>
    <n v="3876.1"/>
    <n v="26685.625999999986"/>
    <s v="New"/>
    <n v="0.06"/>
    <s v="Credit Card"/>
    <s v="Online"/>
    <x v="6"/>
  </r>
  <r>
    <n v="1088"/>
    <x v="25"/>
    <d v="2022-12-17T00:00:00"/>
    <x v="0"/>
    <s v="Dec"/>
    <x v="3"/>
    <x v="1"/>
    <n v="31805.537400000001"/>
    <n v="9"/>
    <x v="1"/>
    <n v="2945.48"/>
    <n v="3883.46"/>
    <n v="5296.2174000000014"/>
    <s v="New"/>
    <n v="0.09"/>
    <s v="Credit Card"/>
    <s v="Online"/>
    <x v="16"/>
  </r>
  <r>
    <n v="1040"/>
    <x v="45"/>
    <d v="2022-12-17T00:00:00"/>
    <x v="0"/>
    <s v="Dec"/>
    <x v="3"/>
    <x v="1"/>
    <n v="35164.872000000003"/>
    <n v="9"/>
    <x v="1"/>
    <n v="3217.23"/>
    <n v="4884.01"/>
    <n v="6209.8020000000051"/>
    <s v="New"/>
    <n v="0.2"/>
    <s v="Credit Card"/>
    <s v="Online"/>
    <x v="16"/>
  </r>
  <r>
    <n v="1048"/>
    <x v="280"/>
    <d v="2022-12-17T00:00:00"/>
    <x v="0"/>
    <s v="Dec"/>
    <x v="1"/>
    <x v="3"/>
    <n v="151284.1875"/>
    <n v="47"/>
    <x v="0"/>
    <n v="2604"/>
    <n v="4291.75"/>
    <n v="28896.1875"/>
    <s v="Returning"/>
    <n v="0.25"/>
    <s v="Cash"/>
    <s v="Online"/>
    <x v="7"/>
  </r>
  <r>
    <n v="1090"/>
    <x v="37"/>
    <d v="2022-12-17T00:00:00"/>
    <x v="0"/>
    <s v="Dec"/>
    <x v="2"/>
    <x v="3"/>
    <n v="98903.037200000021"/>
    <n v="22"/>
    <x v="1"/>
    <n v="3171.03"/>
    <n v="5482.43"/>
    <n v="29140.377200000014"/>
    <s v="Returning"/>
    <n v="0.18"/>
    <s v="Cash"/>
    <s v="Retail"/>
    <x v="3"/>
  </r>
  <r>
    <n v="1036"/>
    <x v="301"/>
    <d v="2022-12-18T00:00:00"/>
    <x v="0"/>
    <s v="Dec"/>
    <x v="0"/>
    <x v="3"/>
    <n v="82838.468999999997"/>
    <n v="35"/>
    <x v="3"/>
    <n v="1841.66"/>
    <n v="3333.54"/>
    <n v="18380.368999999999"/>
    <s v="Returning"/>
    <n v="0.28999999999999998"/>
    <s v="Cash"/>
    <s v="Retail"/>
    <x v="5"/>
  </r>
  <r>
    <n v="1024"/>
    <x v="290"/>
    <d v="2022-12-18T00:00:00"/>
    <x v="0"/>
    <s v="Dec"/>
    <x v="2"/>
    <x v="2"/>
    <n v="96953.60500000001"/>
    <n v="43"/>
    <x v="2"/>
    <n v="940.19"/>
    <n v="3221.05"/>
    <n v="56525.435000000005"/>
    <s v="New"/>
    <n v="0.3"/>
    <s v="Bank Transfer"/>
    <s v="Retail"/>
    <x v="14"/>
  </r>
  <r>
    <n v="1041"/>
    <x v="175"/>
    <d v="2022-12-19T00:00:00"/>
    <x v="0"/>
    <s v="Dec"/>
    <x v="2"/>
    <x v="2"/>
    <n v="19804.135999999999"/>
    <n v="5"/>
    <x v="3"/>
    <n v="3042.98"/>
    <n v="4500.9399999999996"/>
    <n v="4589.235999999999"/>
    <s v="New"/>
    <n v="0.12"/>
    <s v="Cash"/>
    <s v="Online"/>
    <x v="14"/>
  </r>
  <r>
    <n v="1016"/>
    <x v="270"/>
    <d v="2022-12-19T00:00:00"/>
    <x v="0"/>
    <s v="Dec"/>
    <x v="3"/>
    <x v="1"/>
    <n v="18006.151199999997"/>
    <n v="6"/>
    <x v="1"/>
    <n v="1374.67"/>
    <n v="3192.58"/>
    <n v="9758.1311999999962"/>
    <s v="New"/>
    <n v="0.06"/>
    <s v="Credit Card"/>
    <s v="Retail"/>
    <x v="16"/>
  </r>
  <r>
    <n v="1062"/>
    <x v="84"/>
    <d v="2022-12-19T00:00:00"/>
    <x v="0"/>
    <s v="Dec"/>
    <x v="3"/>
    <x v="2"/>
    <n v="81954.087599999999"/>
    <n v="23"/>
    <x v="1"/>
    <n v="2414.59"/>
    <n v="4241.93"/>
    <n v="26418.517599999996"/>
    <s v="New"/>
    <n v="0.16"/>
    <s v="Credit Card"/>
    <s v="Online"/>
    <x v="9"/>
  </r>
  <r>
    <n v="1003"/>
    <x v="367"/>
    <d v="2022-12-20T00:00:00"/>
    <x v="0"/>
    <s v="Dec"/>
    <x v="3"/>
    <x v="3"/>
    <n v="3806.4215000000004"/>
    <n v="5"/>
    <x v="2"/>
    <n v="673.86"/>
    <n v="917.21"/>
    <n v="437.12150000000008"/>
    <s v="Returning"/>
    <n v="0.17"/>
    <s v="Bank Transfer"/>
    <s v="Online"/>
    <x v="4"/>
  </r>
  <r>
    <n v="1053"/>
    <x v="4"/>
    <d v="2022-12-20T00:00:00"/>
    <x v="0"/>
    <s v="Dec"/>
    <x v="1"/>
    <x v="2"/>
    <n v="23312.384000000002"/>
    <n v="16"/>
    <x v="2"/>
    <n v="1329.64"/>
    <n v="1821.28"/>
    <n v="2038.1440000000002"/>
    <s v="Returning"/>
    <n v="0.2"/>
    <s v="Credit Card"/>
    <s v="Online"/>
    <x v="15"/>
  </r>
  <r>
    <n v="1014"/>
    <x v="130"/>
    <d v="2022-12-20T00:00:00"/>
    <x v="0"/>
    <s v="Dec"/>
    <x v="2"/>
    <x v="1"/>
    <n v="22786.413"/>
    <n v="13"/>
    <x v="2"/>
    <n v="1279.0899999999999"/>
    <n v="2368.65"/>
    <n v="6158.2430000000031"/>
    <s v="Returning"/>
    <n v="0.26"/>
    <s v="Bank Transfer"/>
    <s v="Retail"/>
    <x v="8"/>
  </r>
  <r>
    <n v="1072"/>
    <x v="257"/>
    <d v="2022-12-20T00:00:00"/>
    <x v="0"/>
    <s v="Dec"/>
    <x v="3"/>
    <x v="2"/>
    <n v="86974.726800000004"/>
    <n v="38"/>
    <x v="2"/>
    <n v="912.98"/>
    <n v="2791.23"/>
    <n v="52281.486800000013"/>
    <s v="New"/>
    <n v="0.18"/>
    <s v="Cash"/>
    <s v="Retail"/>
    <x v="9"/>
  </r>
  <r>
    <n v="1005"/>
    <x v="218"/>
    <d v="2022-12-21T00:00:00"/>
    <x v="0"/>
    <s v="Dec"/>
    <x v="1"/>
    <x v="3"/>
    <n v="62827.293599999997"/>
    <n v="29"/>
    <x v="1"/>
    <n v="1813.47"/>
    <n v="2674.64"/>
    <n v="10236.663599999998"/>
    <s v="Returning"/>
    <n v="0.19"/>
    <s v="Credit Card"/>
    <s v="Retail"/>
    <x v="7"/>
  </r>
  <r>
    <n v="1078"/>
    <x v="21"/>
    <d v="2022-12-21T00:00:00"/>
    <x v="0"/>
    <s v="Dec"/>
    <x v="3"/>
    <x v="3"/>
    <n v="15959.034"/>
    <n v="7"/>
    <x v="2"/>
    <n v="632.4"/>
    <n v="2533.1799999999998"/>
    <n v="11532.234"/>
    <s v="Returning"/>
    <n v="0.1"/>
    <s v="Bank Transfer"/>
    <s v="Online"/>
    <x v="4"/>
  </r>
  <r>
    <n v="1088"/>
    <x v="156"/>
    <d v="2022-12-21T00:00:00"/>
    <x v="0"/>
    <s v="Dec"/>
    <x v="0"/>
    <x v="0"/>
    <n v="60485.827799999999"/>
    <n v="23"/>
    <x v="3"/>
    <n v="1629.28"/>
    <n v="3022.78"/>
    <n v="23012.3878"/>
    <s v="New"/>
    <n v="0.13"/>
    <s v="Credit Card"/>
    <s v="Retail"/>
    <x v="0"/>
  </r>
  <r>
    <n v="1058"/>
    <x v="188"/>
    <d v="2022-12-22T00:00:00"/>
    <x v="0"/>
    <s v="Dec"/>
    <x v="1"/>
    <x v="3"/>
    <n v="151412.83920000002"/>
    <n v="38"/>
    <x v="2"/>
    <n v="3718.24"/>
    <n v="4743.51"/>
    <n v="10119.719200000014"/>
    <s v="New"/>
    <n v="0.16"/>
    <s v="Bank Transfer"/>
    <s v="Online"/>
    <x v="7"/>
  </r>
  <r>
    <n v="1085"/>
    <x v="34"/>
    <d v="2022-12-22T00:00:00"/>
    <x v="0"/>
    <s v="Dec"/>
    <x v="3"/>
    <x v="2"/>
    <n v="143539.3518"/>
    <n v="41"/>
    <x v="2"/>
    <n v="3068.78"/>
    <n v="4488.41"/>
    <n v="17719.371799999994"/>
    <s v="Returning"/>
    <n v="0.22"/>
    <s v="Credit Card"/>
    <s v="Retail"/>
    <x v="9"/>
  </r>
  <r>
    <n v="1070"/>
    <x v="56"/>
    <d v="2022-12-22T00:00:00"/>
    <x v="0"/>
    <s v="Dec"/>
    <x v="3"/>
    <x v="2"/>
    <n v="83550.851999999999"/>
    <n v="45"/>
    <x v="2"/>
    <n v="1346.51"/>
    <n v="2578.73"/>
    <n v="22957.902000000002"/>
    <s v="New"/>
    <n v="0.28000000000000003"/>
    <s v="Credit Card"/>
    <s v="Retail"/>
    <x v="9"/>
  </r>
  <r>
    <n v="1002"/>
    <x v="368"/>
    <d v="2022-12-23T00:00:00"/>
    <x v="0"/>
    <s v="Dec"/>
    <x v="3"/>
    <x v="0"/>
    <n v="27369.014767688168"/>
    <n v="50"/>
    <x v="3"/>
    <n v="460.31"/>
    <n v="560.76"/>
    <n v="4461.7400000000007"/>
    <s v="Returning"/>
    <n v="0.02"/>
    <s v="Bank Transfer"/>
    <s v="Retail"/>
    <x v="11"/>
  </r>
  <r>
    <n v="1045"/>
    <x v="239"/>
    <d v="2022-12-23T00:00:00"/>
    <x v="0"/>
    <s v="Dec"/>
    <x v="3"/>
    <x v="0"/>
    <n v="58864.319999999992"/>
    <n v="36"/>
    <x v="3"/>
    <n v="157.15"/>
    <n v="1635.12"/>
    <n v="53206.919999999991"/>
    <s v="Returning"/>
    <n v="0"/>
    <s v="Cash"/>
    <s v="Retail"/>
    <x v="11"/>
  </r>
  <r>
    <n v="1060"/>
    <x v="369"/>
    <d v="2022-12-24T00:00:00"/>
    <x v="0"/>
    <s v="Dec"/>
    <x v="3"/>
    <x v="1"/>
    <n v="187236.09599999996"/>
    <n v="40"/>
    <x v="0"/>
    <n v="4208.05"/>
    <n v="4875.9399999999996"/>
    <n v="18914.095999999954"/>
    <s v="Returning"/>
    <n v="0.04"/>
    <s v="Cash"/>
    <s v="Retail"/>
    <x v="16"/>
  </r>
  <r>
    <n v="1092"/>
    <x v="370"/>
    <d v="2022-12-24T00:00:00"/>
    <x v="0"/>
    <s v="Dec"/>
    <x v="1"/>
    <x v="1"/>
    <n v="47978.52"/>
    <n v="16"/>
    <x v="3"/>
    <n v="1156.0999999999999"/>
    <n v="4107.75"/>
    <n v="29480.92"/>
    <s v="Returning"/>
    <n v="0.27"/>
    <s v="Cash"/>
    <s v="Retail"/>
    <x v="1"/>
  </r>
  <r>
    <n v="1092"/>
    <x v="1"/>
    <d v="2022-12-24T00:00:00"/>
    <x v="0"/>
    <s v="Dec"/>
    <x v="2"/>
    <x v="0"/>
    <n v="110286.5956"/>
    <n v="34"/>
    <x v="1"/>
    <n v="1674.3"/>
    <n v="4383.41"/>
    <n v="53360.395599999996"/>
    <s v="New"/>
    <n v="0.26"/>
    <s v="Cash"/>
    <s v="Retail"/>
    <x v="18"/>
  </r>
  <r>
    <n v="1091"/>
    <x v="60"/>
    <d v="2022-12-24T00:00:00"/>
    <x v="0"/>
    <s v="Dec"/>
    <x v="0"/>
    <x v="2"/>
    <n v="143424.7317"/>
    <n v="37"/>
    <x v="1"/>
    <n v="1527.03"/>
    <n v="4785.6099999999997"/>
    <n v="86924.621699999989"/>
    <s v="New"/>
    <n v="0.19"/>
    <s v="Credit Card"/>
    <s v="Retail"/>
    <x v="2"/>
  </r>
  <r>
    <n v="1033"/>
    <x v="202"/>
    <d v="2022-12-24T00:00:00"/>
    <x v="0"/>
    <s v="Dec"/>
    <x v="0"/>
    <x v="3"/>
    <n v="202688.43840000001"/>
    <n v="46"/>
    <x v="3"/>
    <n v="1057.97"/>
    <n v="5439.84"/>
    <n v="154021.81839999999"/>
    <s v="New"/>
    <n v="0.19"/>
    <s v="Bank Transfer"/>
    <s v="Online"/>
    <x v="5"/>
  </r>
  <r>
    <n v="1073"/>
    <x v="124"/>
    <d v="2022-12-25T00:00:00"/>
    <x v="0"/>
    <s v="Dec"/>
    <x v="3"/>
    <x v="0"/>
    <n v="3068.8559999999998"/>
    <n v="4"/>
    <x v="2"/>
    <n v="760.91"/>
    <n v="1096.02"/>
    <n v="25.215999999999894"/>
    <s v="New"/>
    <n v="0.3"/>
    <s v="Bank Transfer"/>
    <s v="Retail"/>
    <x v="11"/>
  </r>
  <r>
    <n v="1072"/>
    <x v="325"/>
    <d v="2022-12-25T00:00:00"/>
    <x v="0"/>
    <s v="Dec"/>
    <x v="2"/>
    <x v="1"/>
    <n v="10800.0864"/>
    <n v="8"/>
    <x v="0"/>
    <n v="1273"/>
    <n v="1776.33"/>
    <n v="616.08640000000014"/>
    <s v="Returning"/>
    <n v="0.24"/>
    <s v="Bank Transfer"/>
    <s v="Retail"/>
    <x v="8"/>
  </r>
  <r>
    <n v="1037"/>
    <x v="365"/>
    <d v="2022-12-25T00:00:00"/>
    <x v="0"/>
    <s v="Dec"/>
    <x v="2"/>
    <x v="2"/>
    <n v="8167.1880000000001"/>
    <n v="3"/>
    <x v="1"/>
    <n v="1568.41"/>
    <n v="3582.1"/>
    <n v="3461.9580000000005"/>
    <s v="Returning"/>
    <n v="0.24"/>
    <s v="Cash"/>
    <s v="Retail"/>
    <x v="14"/>
  </r>
  <r>
    <n v="1008"/>
    <x v="162"/>
    <d v="2022-12-25T00:00:00"/>
    <x v="0"/>
    <s v="Dec"/>
    <x v="4"/>
    <x v="1"/>
    <n v="31503.443999999996"/>
    <n v="8"/>
    <x v="2"/>
    <n v="885.08"/>
    <n v="4145.1899999999996"/>
    <n v="24422.803999999996"/>
    <s v="Returning"/>
    <n v="0.05"/>
    <s v="Cash"/>
    <s v="Retail"/>
    <x v="6"/>
  </r>
  <r>
    <n v="1088"/>
    <x v="156"/>
    <d v="2022-12-25T00:00:00"/>
    <x v="0"/>
    <s v="Dec"/>
    <x v="4"/>
    <x v="0"/>
    <n v="151990.745"/>
    <n v="50"/>
    <x v="3"/>
    <n v="2139.46"/>
    <n v="4164.13"/>
    <n v="45017.744999999988"/>
    <s v="Returning"/>
    <n v="0.27"/>
    <s v="Bank Transfer"/>
    <s v="Retail"/>
    <x v="13"/>
  </r>
  <r>
    <n v="1047"/>
    <x v="287"/>
    <d v="2022-12-26T00:00:00"/>
    <x v="0"/>
    <s v="Dec"/>
    <x v="3"/>
    <x v="2"/>
    <n v="9556.1235000000015"/>
    <n v="3"/>
    <x v="0"/>
    <n v="1224.1099999999999"/>
    <n v="4136.8500000000004"/>
    <n v="5883.7935000000016"/>
    <s v="Returning"/>
    <n v="0.23"/>
    <s v="Credit Card"/>
    <s v="Retail"/>
    <x v="9"/>
  </r>
  <r>
    <n v="1003"/>
    <x v="66"/>
    <d v="2022-12-26T00:00:00"/>
    <x v="0"/>
    <s v="Dec"/>
    <x v="0"/>
    <x v="0"/>
    <n v="13326.615"/>
    <n v="9"/>
    <x v="3"/>
    <n v="683.22"/>
    <n v="1575.25"/>
    <n v="7177.6349999999984"/>
    <s v="New"/>
    <n v="0.06"/>
    <s v="Credit Card"/>
    <s v="Online"/>
    <x v="0"/>
  </r>
  <r>
    <n v="1091"/>
    <x v="316"/>
    <d v="2022-12-26T00:00:00"/>
    <x v="0"/>
    <s v="Dec"/>
    <x v="0"/>
    <x v="2"/>
    <n v="57509.275999999998"/>
    <n v="19"/>
    <x v="0"/>
    <n v="802.44"/>
    <n v="3439.55"/>
    <n v="42262.915999999997"/>
    <s v="Returning"/>
    <n v="0.12"/>
    <s v="Cash"/>
    <s v="Retail"/>
    <x v="2"/>
  </r>
  <r>
    <n v="1049"/>
    <x v="297"/>
    <d v="2022-12-27T00:00:00"/>
    <x v="0"/>
    <s v="Dec"/>
    <x v="2"/>
    <x v="0"/>
    <n v="6739.0672862464853"/>
    <n v="5"/>
    <x v="0"/>
    <n v="1292.72"/>
    <n v="1364.93"/>
    <n v="292.80349999999999"/>
    <s v="New"/>
    <n v="0.01"/>
    <s v="Bank Transfer"/>
    <s v="Retail"/>
    <x v="18"/>
  </r>
  <r>
    <n v="1069"/>
    <x v="210"/>
    <d v="2022-12-27T00:00:00"/>
    <x v="0"/>
    <s v="Dec"/>
    <x v="0"/>
    <x v="3"/>
    <n v="65831.947999999989"/>
    <n v="26"/>
    <x v="1"/>
    <n v="1901.01"/>
    <n v="3050.6"/>
    <n v="16405.687999999991"/>
    <s v="Returning"/>
    <n v="0.17"/>
    <s v="Cash"/>
    <s v="Retail"/>
    <x v="5"/>
  </r>
  <r>
    <n v="1030"/>
    <x v="371"/>
    <d v="2022-12-27T00:00:00"/>
    <x v="0"/>
    <s v="Dec"/>
    <x v="0"/>
    <x v="2"/>
    <n v="38795.257799999999"/>
    <n v="9"/>
    <x v="1"/>
    <n v="2408.1"/>
    <n v="5256.81"/>
    <n v="17122.357800000002"/>
    <s v="Returning"/>
    <n v="0.18"/>
    <s v="Cash"/>
    <s v="Retail"/>
    <x v="2"/>
  </r>
  <r>
    <n v="1019"/>
    <x v="32"/>
    <d v="2022-12-28T00:00:00"/>
    <x v="0"/>
    <s v="Dec"/>
    <x v="2"/>
    <x v="3"/>
    <n v="160119.38379999998"/>
    <n v="43"/>
    <x v="3"/>
    <n v="2982.24"/>
    <n v="3961.39"/>
    <n v="31883.063799999989"/>
    <s v="New"/>
    <n v="0.06"/>
    <s v="Credit Card"/>
    <s v="Retail"/>
    <x v="3"/>
  </r>
  <r>
    <n v="1049"/>
    <x v="204"/>
    <d v="2022-12-28T00:00:00"/>
    <x v="0"/>
    <s v="Dec"/>
    <x v="1"/>
    <x v="3"/>
    <n v="141245.56799999997"/>
    <n v="40"/>
    <x v="3"/>
    <n v="2591.92"/>
    <n v="4904.3599999999997"/>
    <n v="37568.767999999982"/>
    <s v="New"/>
    <n v="0.28000000000000003"/>
    <s v="Bank Transfer"/>
    <s v="Online"/>
    <x v="7"/>
  </r>
  <r>
    <n v="1024"/>
    <x v="290"/>
    <d v="2022-12-28T00:00:00"/>
    <x v="0"/>
    <s v="Dec"/>
    <x v="2"/>
    <x v="1"/>
    <n v="76050.144"/>
    <n v="46"/>
    <x v="2"/>
    <n v="333.02"/>
    <n v="1922.4"/>
    <n v="60731.224000000009"/>
    <s v="New"/>
    <n v="0.14000000000000001"/>
    <s v="Bank Transfer"/>
    <s v="Online"/>
    <x v="8"/>
  </r>
  <r>
    <n v="1021"/>
    <x v="176"/>
    <d v="2022-12-29T00:00:00"/>
    <x v="0"/>
    <s v="Dec"/>
    <x v="0"/>
    <x v="1"/>
    <n v="55333.043303552586"/>
    <n v="20"/>
    <x v="1"/>
    <n v="2457.77"/>
    <n v="2886.21"/>
    <n v="6259.8319999999967"/>
    <s v="New"/>
    <n v="0.04"/>
    <s v="Bank Transfer"/>
    <s v="Online"/>
    <x v="19"/>
  </r>
  <r>
    <n v="1080"/>
    <x v="322"/>
    <d v="2022-12-29T00:00:00"/>
    <x v="0"/>
    <s v="Dec"/>
    <x v="2"/>
    <x v="3"/>
    <n v="82136.612400000013"/>
    <n v="38"/>
    <x v="1"/>
    <n v="1618.47"/>
    <n v="2228.34"/>
    <n v="20634.752400000008"/>
    <s v="New"/>
    <n v="0.03"/>
    <s v="Cash"/>
    <s v="Online"/>
    <x v="3"/>
  </r>
  <r>
    <n v="1010"/>
    <x v="165"/>
    <d v="2022-12-29T00:00:00"/>
    <x v="0"/>
    <s v="Dec"/>
    <x v="3"/>
    <x v="2"/>
    <n v="124474.74540000001"/>
    <n v="29"/>
    <x v="1"/>
    <n v="3303.08"/>
    <n v="5234.43"/>
    <n v="28685.425400000011"/>
    <s v="Returning"/>
    <n v="0.18"/>
    <s v="Credit Card"/>
    <s v="Online"/>
    <x v="9"/>
  </r>
  <r>
    <n v="1094"/>
    <x v="336"/>
    <d v="2022-12-30T00:00:00"/>
    <x v="0"/>
    <s v="Dec"/>
    <x v="0"/>
    <x v="3"/>
    <n v="136160.83799999999"/>
    <n v="30"/>
    <x v="1"/>
    <n v="2313.38"/>
    <n v="4584.54"/>
    <n v="66759.437999999995"/>
    <s v="New"/>
    <n v="0.01"/>
    <s v="Credit Card"/>
    <s v="Online"/>
    <x v="5"/>
  </r>
  <r>
    <n v="1001"/>
    <x v="212"/>
    <d v="2022-12-31T00:00:00"/>
    <x v="0"/>
    <s v="Dec"/>
    <x v="3"/>
    <x v="3"/>
    <n v="84675.380247037159"/>
    <n v="19"/>
    <x v="3"/>
    <n v="4422.8599999999997"/>
    <n v="4475.01"/>
    <n v="990.85000000001037"/>
    <s v="Returning"/>
    <n v="0"/>
    <s v="Cash"/>
    <s v="Retail"/>
    <x v="4"/>
  </r>
  <r>
    <n v="1083"/>
    <x v="100"/>
    <d v="2022-12-31T00:00:00"/>
    <x v="0"/>
    <s v="Dec"/>
    <x v="0"/>
    <x v="2"/>
    <n v="96385.964999999997"/>
    <n v="25"/>
    <x v="3"/>
    <n v="3527.8"/>
    <n v="4942.87"/>
    <n v="8190.9649999999947"/>
    <s v="Returning"/>
    <n v="0.22"/>
    <s v="Bank Transfer"/>
    <s v="Online"/>
    <x v="2"/>
  </r>
  <r>
    <n v="1033"/>
    <x v="202"/>
    <d v="2022-12-31T00:00:00"/>
    <x v="0"/>
    <s v="Dec"/>
    <x v="0"/>
    <x v="0"/>
    <n v="30244.132799999999"/>
    <n v="12"/>
    <x v="3"/>
    <n v="958.96"/>
    <n v="3000.41"/>
    <n v="18736.612799999999"/>
    <s v="New"/>
    <n v="0.16"/>
    <s v="Cash"/>
    <s v="Online"/>
    <x v="0"/>
  </r>
  <r>
    <n v="1018"/>
    <x v="303"/>
    <d v="2022-12-31T00:00:00"/>
    <x v="0"/>
    <s v="Dec"/>
    <x v="4"/>
    <x v="1"/>
    <n v="77630.599199999997"/>
    <n v="21"/>
    <x v="2"/>
    <n v="1290.06"/>
    <n v="4200.79"/>
    <n v="50539.339200000002"/>
    <s v="Returning"/>
    <n v="0.12"/>
    <s v="Credit Card"/>
    <s v="Retail"/>
    <x v="6"/>
  </r>
  <r>
    <n v="1089"/>
    <x v="348"/>
    <d v="2023-01-01T00:00:00"/>
    <x v="1"/>
    <s v="Jan"/>
    <x v="1"/>
    <x v="3"/>
    <n v="143783.98907291607"/>
    <n v="35"/>
    <x v="1"/>
    <n v="4071.01"/>
    <n v="4304.7"/>
    <n v="645.92499999998154"/>
    <s v="New"/>
    <n v="0.05"/>
    <s v="Credit Card"/>
    <s v="Online"/>
    <x v="7"/>
  </r>
  <r>
    <n v="1070"/>
    <x v="62"/>
    <d v="2023-01-01T00:00:00"/>
    <x v="1"/>
    <s v="Jan"/>
    <x v="0"/>
    <x v="0"/>
    <n v="10059.703447356322"/>
    <n v="12"/>
    <x v="0"/>
    <n v="664.33"/>
    <n v="863.03"/>
    <n v="2073.7091999999993"/>
    <s v="Returning"/>
    <n v="0.03"/>
    <s v="Bank Transfer"/>
    <s v="Retail"/>
    <x v="0"/>
  </r>
  <r>
    <n v="1008"/>
    <x v="95"/>
    <d v="2023-01-01T00:00:00"/>
    <x v="1"/>
    <s v="Jan"/>
    <x v="0"/>
    <x v="3"/>
    <n v="183223.38399999999"/>
    <n v="38"/>
    <x v="1"/>
    <n v="4635.2299999999996"/>
    <n v="5075.4399999999996"/>
    <n v="7084.6440000000039"/>
    <s v="Returning"/>
    <n v="0.05"/>
    <s v="Cash"/>
    <s v="Online"/>
    <x v="5"/>
  </r>
  <r>
    <n v="1064"/>
    <x v="200"/>
    <d v="2023-01-02T00:00:00"/>
    <x v="1"/>
    <s v="Jan"/>
    <x v="4"/>
    <x v="0"/>
    <n v="22643.28387028621"/>
    <n v="10"/>
    <x v="2"/>
    <n v="2242.0100000000002"/>
    <n v="2282.23"/>
    <n v="173.97699999999986"/>
    <s v="Returning"/>
    <n v="0.01"/>
    <s v="Credit Card"/>
    <s v="Online"/>
    <x v="13"/>
  </r>
  <r>
    <n v="1075"/>
    <x v="170"/>
    <d v="2023-01-02T00:00:00"/>
    <x v="1"/>
    <s v="Jan"/>
    <x v="4"/>
    <x v="2"/>
    <n v="118496.56000000001"/>
    <n v="26"/>
    <x v="2"/>
    <n v="4535.38"/>
    <n v="4557.5600000000004"/>
    <n v="576.68000000000757"/>
    <s v="New"/>
    <n v="0"/>
    <s v="Credit Card"/>
    <s v="Online"/>
    <x v="17"/>
  </r>
  <r>
    <n v="1099"/>
    <x v="122"/>
    <d v="2023-01-03T00:00:00"/>
    <x v="1"/>
    <s v="Jan"/>
    <x v="2"/>
    <x v="1"/>
    <n v="145315.15601393965"/>
    <n v="31"/>
    <x v="0"/>
    <n v="4632.8500000000004"/>
    <n v="4711.7000000000007"/>
    <n v="983.72300000000541"/>
    <s v="New"/>
    <n v="0.01"/>
    <s v="Cash"/>
    <s v="Retail"/>
    <x v="8"/>
  </r>
  <r>
    <n v="1087"/>
    <x v="372"/>
    <d v="2023-01-03T00:00:00"/>
    <x v="1"/>
    <s v="Jan"/>
    <x v="1"/>
    <x v="1"/>
    <n v="75937.371372614347"/>
    <n v="20"/>
    <x v="0"/>
    <n v="3625.94"/>
    <n v="3880.53"/>
    <n v="3539.5880000000034"/>
    <s v="New"/>
    <n v="0.02"/>
    <s v="Bank Transfer"/>
    <s v="Online"/>
    <x v="1"/>
  </r>
  <r>
    <n v="1027"/>
    <x v="226"/>
    <d v="2023-01-03T00:00:00"/>
    <x v="1"/>
    <s v="Jan"/>
    <x v="2"/>
    <x v="1"/>
    <n v="27432.480000000003"/>
    <n v="30"/>
    <x v="0"/>
    <n v="745.93"/>
    <n v="1143.02"/>
    <n v="5054.5800000000036"/>
    <s v="Returning"/>
    <n v="0.2"/>
    <s v="Credit Card"/>
    <s v="Online"/>
    <x v="8"/>
  </r>
  <r>
    <n v="1051"/>
    <x v="281"/>
    <d v="2023-01-04T00:00:00"/>
    <x v="1"/>
    <s v="Jan"/>
    <x v="0"/>
    <x v="3"/>
    <n v="51672.485748043051"/>
    <n v="14"/>
    <x v="2"/>
    <n v="3686.81"/>
    <n v="3710.92"/>
    <n v="-181.98879999999644"/>
    <s v="New"/>
    <n v="0.01"/>
    <s v="Bank Transfer"/>
    <s v="Retail"/>
    <x v="5"/>
  </r>
  <r>
    <n v="1086"/>
    <x v="87"/>
    <d v="2023-01-04T00:00:00"/>
    <x v="1"/>
    <s v="Jan"/>
    <x v="2"/>
    <x v="0"/>
    <n v="13377.2688"/>
    <n v="8"/>
    <x v="0"/>
    <n v="1569.31"/>
    <n v="1798.02"/>
    <n v="822.78880000000026"/>
    <s v="New"/>
    <n v="7.0000000000000007E-2"/>
    <s v="Credit Card"/>
    <s v="Online"/>
    <x v="18"/>
  </r>
  <r>
    <n v="1064"/>
    <x v="200"/>
    <d v="2023-01-04T00:00:00"/>
    <x v="1"/>
    <s v="Jan"/>
    <x v="0"/>
    <x v="1"/>
    <n v="48890.907680701261"/>
    <n v="10"/>
    <x v="2"/>
    <n v="4764.96"/>
    <n v="5074.42"/>
    <n v="1064.8319999999967"/>
    <s v="New"/>
    <n v="0.04"/>
    <s v="Cash"/>
    <s v="Online"/>
    <x v="19"/>
  </r>
  <r>
    <n v="1002"/>
    <x v="53"/>
    <d v="2023-01-04T00:00:00"/>
    <x v="1"/>
    <s v="Jan"/>
    <x v="2"/>
    <x v="1"/>
    <n v="31204.561137654357"/>
    <n v="17"/>
    <x v="0"/>
    <n v="1727.12"/>
    <n v="1865.83"/>
    <n v="1723.6877999999988"/>
    <s v="New"/>
    <n v="0.02"/>
    <s v="Cash"/>
    <s v="Online"/>
    <x v="8"/>
  </r>
  <r>
    <n v="1090"/>
    <x v="298"/>
    <d v="2023-01-04T00:00:00"/>
    <x v="1"/>
    <s v="Jan"/>
    <x v="0"/>
    <x v="3"/>
    <n v="60159.078071070267"/>
    <n v="14"/>
    <x v="0"/>
    <n v="4037.21"/>
    <n v="4323.71"/>
    <n v="3405.680599999996"/>
    <s v="Returning"/>
    <n v="0.01"/>
    <s v="Credit Card"/>
    <s v="Online"/>
    <x v="5"/>
  </r>
  <r>
    <n v="1074"/>
    <x v="107"/>
    <d v="2023-01-04T00:00:00"/>
    <x v="1"/>
    <s v="Jan"/>
    <x v="0"/>
    <x v="0"/>
    <n v="70250.22"/>
    <n v="38"/>
    <x v="0"/>
    <n v="1394.74"/>
    <n v="1848.69"/>
    <n v="17250.100000000002"/>
    <s v="Returning"/>
    <n v="0"/>
    <s v="Bank Transfer"/>
    <s v="Retail"/>
    <x v="0"/>
  </r>
  <r>
    <n v="1023"/>
    <x v="373"/>
    <d v="2023-01-05T00:00:00"/>
    <x v="1"/>
    <s v="Jan"/>
    <x v="3"/>
    <x v="1"/>
    <n v="1353.8596"/>
    <n v="2"/>
    <x v="1"/>
    <n v="575.32000000000005"/>
    <n v="914.77"/>
    <n v="203.2195999999999"/>
    <s v="Returning"/>
    <n v="0.26"/>
    <s v="Bank Transfer"/>
    <s v="Online"/>
    <x v="16"/>
  </r>
  <r>
    <n v="1052"/>
    <x v="52"/>
    <d v="2023-01-05T00:00:00"/>
    <x v="1"/>
    <s v="Jan"/>
    <x v="2"/>
    <x v="3"/>
    <n v="41671.088444806439"/>
    <n v="11"/>
    <x v="1"/>
    <n v="3451.59"/>
    <n v="3929.26"/>
    <n v="3525.4956000000011"/>
    <s v="New"/>
    <n v="0.04"/>
    <s v="Credit Card"/>
    <s v="Retail"/>
    <x v="3"/>
  </r>
  <r>
    <n v="1081"/>
    <x v="250"/>
    <d v="2023-01-05T00:00:00"/>
    <x v="1"/>
    <s v="Jan"/>
    <x v="2"/>
    <x v="0"/>
    <n v="40035.547200000001"/>
    <n v="44"/>
    <x v="3"/>
    <n v="618.79"/>
    <n v="938.04"/>
    <n v="12808.787199999999"/>
    <s v="Returning"/>
    <n v="0.03"/>
    <s v="Cash"/>
    <s v="Online"/>
    <x v="18"/>
  </r>
  <r>
    <n v="1062"/>
    <x v="84"/>
    <d v="2023-01-06T00:00:00"/>
    <x v="1"/>
    <s v="Jan"/>
    <x v="0"/>
    <x v="1"/>
    <n v="73140.35391867932"/>
    <n v="15"/>
    <x v="1"/>
    <n v="4756.55"/>
    <n v="4888.46"/>
    <n v="1978.6499999999978"/>
    <s v="New"/>
    <n v="0"/>
    <s v="Credit Card"/>
    <s v="Online"/>
    <x v="19"/>
  </r>
  <r>
    <n v="1087"/>
    <x v="372"/>
    <d v="2023-01-06T00:00:00"/>
    <x v="1"/>
    <s v="Jan"/>
    <x v="0"/>
    <x v="0"/>
    <n v="175073.47092530711"/>
    <n v="46"/>
    <x v="0"/>
    <n v="3702.51"/>
    <n v="3964.65"/>
    <n v="4763.4839999999831"/>
    <s v="New"/>
    <n v="0.04"/>
    <s v="Bank Transfer"/>
    <s v="Online"/>
    <x v="0"/>
  </r>
  <r>
    <n v="1065"/>
    <x v="374"/>
    <d v="2023-01-07T00:00:00"/>
    <x v="1"/>
    <s v="Jan"/>
    <x v="0"/>
    <x v="3"/>
    <n v="12389.513726481347"/>
    <n v="6"/>
    <x v="1"/>
    <n v="2019.9"/>
    <n v="2116.7400000000002"/>
    <n v="327.03120000000035"/>
    <s v="New"/>
    <n v="0.02"/>
    <s v="Credit Card"/>
    <s v="Online"/>
    <x v="5"/>
  </r>
  <r>
    <n v="1034"/>
    <x v="181"/>
    <d v="2023-01-07T00:00:00"/>
    <x v="1"/>
    <s v="Jan"/>
    <x v="4"/>
    <x v="2"/>
    <n v="4795.8371999999999"/>
    <n v="28"/>
    <x v="0"/>
    <n v="137.47"/>
    <n v="234.63"/>
    <n v="946.67719999999997"/>
    <s v="New"/>
    <n v="0.27"/>
    <s v="Bank Transfer"/>
    <s v="Retail"/>
    <x v="17"/>
  </r>
  <r>
    <n v="1069"/>
    <x v="184"/>
    <d v="2023-01-07T00:00:00"/>
    <x v="1"/>
    <s v="Jan"/>
    <x v="3"/>
    <x v="1"/>
    <n v="12321.262779855831"/>
    <n v="6"/>
    <x v="3"/>
    <n v="1768.6"/>
    <n v="2152.1999999999998"/>
    <n v="1655.9399999999987"/>
    <s v="New"/>
    <n v="0.05"/>
    <s v="Bank Transfer"/>
    <s v="Retail"/>
    <x v="16"/>
  </r>
  <r>
    <n v="1021"/>
    <x v="110"/>
    <d v="2023-01-07T00:00:00"/>
    <x v="1"/>
    <s v="Jan"/>
    <x v="2"/>
    <x v="3"/>
    <n v="32747.123544836788"/>
    <n v="9"/>
    <x v="0"/>
    <n v="3365.28"/>
    <n v="3730.4300000000003"/>
    <n v="2614.8726000000006"/>
    <s v="New"/>
    <n v="0.02"/>
    <s v="Bank Transfer"/>
    <s v="Online"/>
    <x v="3"/>
  </r>
  <r>
    <n v="1085"/>
    <x v="234"/>
    <d v="2023-01-07T00:00:00"/>
    <x v="1"/>
    <s v="Jan"/>
    <x v="0"/>
    <x v="2"/>
    <n v="13479.36"/>
    <n v="16"/>
    <x v="3"/>
    <n v="472.08"/>
    <n v="842.46"/>
    <n v="5926.0800000000008"/>
    <s v="New"/>
    <n v="0"/>
    <s v="Cash"/>
    <s v="Retail"/>
    <x v="2"/>
  </r>
  <r>
    <n v="1039"/>
    <x v="113"/>
    <d v="2023-01-08T00:00:00"/>
    <x v="1"/>
    <s v="Jan"/>
    <x v="0"/>
    <x v="0"/>
    <n v="4469.8579080079508"/>
    <n v="4"/>
    <x v="2"/>
    <n v="1054.1199999999999"/>
    <n v="1175.2199999999998"/>
    <n v="249.35599999999977"/>
    <s v="Returning"/>
    <n v="0.05"/>
    <s v="Bank Transfer"/>
    <s v="Retail"/>
    <x v="0"/>
  </r>
  <r>
    <n v="1041"/>
    <x v="175"/>
    <d v="2023-01-08T00:00:00"/>
    <x v="1"/>
    <s v="Jan"/>
    <x v="4"/>
    <x v="1"/>
    <n v="37491.926399999997"/>
    <n v="36"/>
    <x v="3"/>
    <n v="864.77"/>
    <n v="1170.1599999999999"/>
    <n v="6360.2063999999973"/>
    <s v="Returning"/>
    <n v="0.11"/>
    <s v="Cash"/>
    <s v="Retail"/>
    <x v="6"/>
  </r>
  <r>
    <n v="1057"/>
    <x v="208"/>
    <d v="2023-01-09T00:00:00"/>
    <x v="1"/>
    <s v="Jan"/>
    <x v="1"/>
    <x v="3"/>
    <n v="8597.1455999999998"/>
    <n v="12"/>
    <x v="0"/>
    <n v="639.16"/>
    <n v="746.28"/>
    <n v="927.2255999999993"/>
    <s v="Returning"/>
    <n v="0.04"/>
    <s v="Bank Transfer"/>
    <s v="Retail"/>
    <x v="7"/>
  </r>
  <r>
    <n v="1051"/>
    <x v="213"/>
    <d v="2023-01-09T00:00:00"/>
    <x v="1"/>
    <s v="Jan"/>
    <x v="4"/>
    <x v="0"/>
    <n v="67857.228213885712"/>
    <n v="23"/>
    <x v="0"/>
    <n v="2598.1799999999998"/>
    <n v="3042.73"/>
    <n v="8125.1663000000053"/>
    <s v="Returning"/>
    <n v="0.03"/>
    <s v="Credit Card"/>
    <s v="Online"/>
    <x v="13"/>
  </r>
  <r>
    <n v="1037"/>
    <x v="365"/>
    <d v="2023-01-09T00:00:00"/>
    <x v="1"/>
    <s v="Jan"/>
    <x v="1"/>
    <x v="3"/>
    <n v="212818.64669999998"/>
    <n v="41"/>
    <x v="1"/>
    <n v="4965.07"/>
    <n v="5243.13"/>
    <n v="9250.7767000000094"/>
    <s v="New"/>
    <n v="0.01"/>
    <s v="Credit Card"/>
    <s v="Online"/>
    <x v="7"/>
  </r>
  <r>
    <n v="1066"/>
    <x v="160"/>
    <d v="2023-01-09T00:00:00"/>
    <x v="1"/>
    <s v="Jan"/>
    <x v="3"/>
    <x v="3"/>
    <n v="137861.26608268413"/>
    <n v="48"/>
    <x v="1"/>
    <n v="2588.54"/>
    <n v="2872.8"/>
    <n v="13644.48000000001"/>
    <s v="New"/>
    <n v="0"/>
    <s v="Cash"/>
    <s v="Online"/>
    <x v="4"/>
  </r>
  <r>
    <n v="1067"/>
    <x v="119"/>
    <d v="2023-01-09T00:00:00"/>
    <x v="1"/>
    <s v="Jan"/>
    <x v="1"/>
    <x v="3"/>
    <n v="24587.366399999995"/>
    <n v="48"/>
    <x v="2"/>
    <n v="210.63"/>
    <n v="533.57999999999993"/>
    <n v="14477.126399999996"/>
    <s v="New"/>
    <n v="0.04"/>
    <s v="Bank Transfer"/>
    <s v="Online"/>
    <x v="7"/>
  </r>
  <r>
    <n v="1094"/>
    <x v="20"/>
    <d v="2023-01-10T00:00:00"/>
    <x v="1"/>
    <s v="Jan"/>
    <x v="0"/>
    <x v="3"/>
    <n v="48969.83826915895"/>
    <n v="25"/>
    <x v="2"/>
    <n v="1933.39"/>
    <n v="1982.92"/>
    <n v="742.51999999999612"/>
    <s v="New"/>
    <n v="0.01"/>
    <s v="Bank Transfer"/>
    <s v="Online"/>
    <x v="5"/>
  </r>
  <r>
    <n v="1054"/>
    <x v="342"/>
    <d v="2023-01-10T00:00:00"/>
    <x v="1"/>
    <s v="Jan"/>
    <x v="0"/>
    <x v="0"/>
    <n v="107798.976"/>
    <n v="40"/>
    <x v="0"/>
    <n v="2654.11"/>
    <n v="2929.32"/>
    <n v="1634.5759999999973"/>
    <s v="Returning"/>
    <n v="0.08"/>
    <s v="Cash"/>
    <s v="Online"/>
    <x v="0"/>
  </r>
  <r>
    <n v="1088"/>
    <x v="156"/>
    <d v="2023-01-11T00:00:00"/>
    <x v="1"/>
    <s v="Jan"/>
    <x v="3"/>
    <x v="0"/>
    <n v="42887.057663653017"/>
    <n v="11"/>
    <x v="3"/>
    <n v="3884.13"/>
    <n v="3915.4100000000003"/>
    <n v="344.0800000000022"/>
    <s v="Returning"/>
    <n v="0"/>
    <s v="Cash"/>
    <s v="Online"/>
    <x v="11"/>
  </r>
  <r>
    <n v="1044"/>
    <x v="69"/>
    <d v="2023-01-11T00:00:00"/>
    <x v="1"/>
    <s v="Jan"/>
    <x v="0"/>
    <x v="3"/>
    <n v="24127.682289118875"/>
    <n v="5"/>
    <x v="3"/>
    <n v="4762.87"/>
    <n v="5050.46"/>
    <n v="427.85800000000108"/>
    <s v="New"/>
    <n v="0.04"/>
    <s v="Cash"/>
    <s v="Retail"/>
    <x v="5"/>
  </r>
  <r>
    <n v="1084"/>
    <x v="64"/>
    <d v="2023-01-11T00:00:00"/>
    <x v="1"/>
    <s v="Jan"/>
    <x v="2"/>
    <x v="1"/>
    <n v="13231.186785025866"/>
    <n v="21"/>
    <x v="1"/>
    <n v="576.74"/>
    <n v="648.29"/>
    <n v="1094.1272999999983"/>
    <s v="Returning"/>
    <n v="0.03"/>
    <s v="Bank Transfer"/>
    <s v="Online"/>
    <x v="8"/>
  </r>
  <r>
    <n v="1060"/>
    <x v="245"/>
    <d v="2023-01-11T00:00:00"/>
    <x v="1"/>
    <s v="Jan"/>
    <x v="1"/>
    <x v="2"/>
    <n v="172625.74456565798"/>
    <n v="34"/>
    <x v="2"/>
    <n v="4984.21"/>
    <n v="5184.6400000000003"/>
    <n v="3289.0648000000165"/>
    <s v="New"/>
    <n v="0.02"/>
    <s v="Cash"/>
    <s v="Online"/>
    <x v="15"/>
  </r>
  <r>
    <n v="1077"/>
    <x v="172"/>
    <d v="2023-01-11T00:00:00"/>
    <x v="1"/>
    <s v="Jan"/>
    <x v="0"/>
    <x v="3"/>
    <n v="28872.077500000003"/>
    <n v="35"/>
    <x v="2"/>
    <n v="585.37"/>
    <n v="970.49"/>
    <n v="8384.1275000000005"/>
    <s v="Returning"/>
    <n v="0.15"/>
    <s v="Bank Transfer"/>
    <s v="Retail"/>
    <x v="5"/>
  </r>
  <r>
    <n v="1022"/>
    <x v="79"/>
    <d v="2023-01-12T00:00:00"/>
    <x v="1"/>
    <s v="Jan"/>
    <x v="0"/>
    <x v="1"/>
    <n v="30606.211999999996"/>
    <n v="13"/>
    <x v="3"/>
    <n v="2312.4499999999998"/>
    <n v="2504.6"/>
    <n v="544.36199999999735"/>
    <s v="Returning"/>
    <n v="0.06"/>
    <s v="Bank Transfer"/>
    <s v="Online"/>
    <x v="19"/>
  </r>
  <r>
    <n v="1013"/>
    <x v="231"/>
    <d v="2023-01-12T00:00:00"/>
    <x v="1"/>
    <s v="Jan"/>
    <x v="3"/>
    <x v="2"/>
    <n v="46996.692934397841"/>
    <n v="35"/>
    <x v="2"/>
    <n v="1312.71"/>
    <n v="1352.1100000000001"/>
    <n v="905.76150000000553"/>
    <s v="Returning"/>
    <n v="0.01"/>
    <s v="Bank Transfer"/>
    <s v="Retail"/>
    <x v="9"/>
  </r>
  <r>
    <n v="1087"/>
    <x v="258"/>
    <d v="2023-01-12T00:00:00"/>
    <x v="1"/>
    <s v="Jan"/>
    <x v="1"/>
    <x v="3"/>
    <n v="81249.819000000003"/>
    <n v="21"/>
    <x v="3"/>
    <n v="3724.38"/>
    <n v="3988.7000000000003"/>
    <n v="3037.8390000000022"/>
    <s v="New"/>
    <n v="0.03"/>
    <s v="Bank Transfer"/>
    <s v="Retail"/>
    <x v="7"/>
  </r>
  <r>
    <n v="1048"/>
    <x v="294"/>
    <d v="2023-01-12T00:00:00"/>
    <x v="1"/>
    <s v="Jan"/>
    <x v="1"/>
    <x v="1"/>
    <n v="38136.815200000005"/>
    <n v="47"/>
    <x v="1"/>
    <n v="702.44"/>
    <n v="1067.6600000000001"/>
    <n v="5122.1352000000034"/>
    <s v="New"/>
    <n v="0.24"/>
    <s v="Cash"/>
    <s v="Retail"/>
    <x v="1"/>
  </r>
  <r>
    <n v="1078"/>
    <x v="268"/>
    <d v="2023-01-12T00:00:00"/>
    <x v="1"/>
    <s v="Jan"/>
    <x v="0"/>
    <x v="1"/>
    <n v="172294.61259944161"/>
    <n v="36"/>
    <x v="3"/>
    <n v="4548.88"/>
    <n v="4853.41"/>
    <n v="9215.8523999999961"/>
    <s v="Returning"/>
    <n v="0.01"/>
    <s v="Credit Card"/>
    <s v="Retail"/>
    <x v="19"/>
  </r>
  <r>
    <n v="1045"/>
    <x v="272"/>
    <d v="2023-01-12T00:00:00"/>
    <x v="1"/>
    <s v="Jan"/>
    <x v="1"/>
    <x v="0"/>
    <n v="143183.48667013709"/>
    <n v="35"/>
    <x v="0"/>
    <n v="3777.94"/>
    <n v="4188.66"/>
    <n v="11443.138000000006"/>
    <s v="New"/>
    <n v="0.02"/>
    <s v="Bank Transfer"/>
    <s v="Online"/>
    <x v="10"/>
  </r>
  <r>
    <n v="1094"/>
    <x v="230"/>
    <d v="2023-01-12T00:00:00"/>
    <x v="1"/>
    <s v="Jan"/>
    <x v="0"/>
    <x v="2"/>
    <n v="143719.68600000002"/>
    <n v="38"/>
    <x v="3"/>
    <n v="3443.98"/>
    <n v="3820.3"/>
    <n v="12848.446000000007"/>
    <s v="Returning"/>
    <n v="0.01"/>
    <s v="Credit Card"/>
    <s v="Retail"/>
    <x v="2"/>
  </r>
  <r>
    <n v="1012"/>
    <x v="133"/>
    <d v="2023-01-13T00:00:00"/>
    <x v="1"/>
    <s v="Jan"/>
    <x v="3"/>
    <x v="1"/>
    <n v="124352.54520000001"/>
    <n v="39"/>
    <x v="0"/>
    <n v="3126.52"/>
    <n v="3465.79"/>
    <n v="2418.2652000000044"/>
    <s v="New"/>
    <n v="0.08"/>
    <s v="Cash"/>
    <s v="Online"/>
    <x v="16"/>
  </r>
  <r>
    <n v="1090"/>
    <x v="37"/>
    <d v="2023-01-13T00:00:00"/>
    <x v="1"/>
    <s v="Jan"/>
    <x v="3"/>
    <x v="1"/>
    <n v="47874.31189893718"/>
    <n v="17"/>
    <x v="1"/>
    <n v="2382.98"/>
    <n v="2839.73"/>
    <n v="7281.9958999999981"/>
    <s v="Returning"/>
    <n v="0.01"/>
    <s v="Bank Transfer"/>
    <s v="Retail"/>
    <x v="16"/>
  </r>
  <r>
    <n v="1058"/>
    <x v="222"/>
    <d v="2023-01-14T00:00:00"/>
    <x v="1"/>
    <s v="Jan"/>
    <x v="2"/>
    <x v="1"/>
    <n v="29992.68"/>
    <n v="6"/>
    <x v="3"/>
    <n v="4987.71"/>
    <n v="4998.78"/>
    <n v="66.419999999998254"/>
    <s v="Returning"/>
    <n v="0"/>
    <s v="Cash"/>
    <s v="Retail"/>
    <x v="8"/>
  </r>
  <r>
    <n v="1033"/>
    <x v="220"/>
    <d v="2023-01-14T00:00:00"/>
    <x v="1"/>
    <s v="Jan"/>
    <x v="3"/>
    <x v="2"/>
    <n v="32675.444315482477"/>
    <n v="24"/>
    <x v="1"/>
    <n v="1345.67"/>
    <n v="1367.76"/>
    <n v="530.15999999999804"/>
    <s v="New"/>
    <n v="0"/>
    <s v="Bank Transfer"/>
    <s v="Online"/>
    <x v="9"/>
  </r>
  <r>
    <n v="1056"/>
    <x v="353"/>
    <d v="2023-01-14T00:00:00"/>
    <x v="1"/>
    <s v="Jan"/>
    <x v="1"/>
    <x v="2"/>
    <n v="63375.40139297214"/>
    <n v="25"/>
    <x v="3"/>
    <n v="2361.7399999999998"/>
    <n v="2584.35"/>
    <n v="4273.0750000000062"/>
    <s v="Returning"/>
    <n v="0.02"/>
    <s v="Cash"/>
    <s v="Online"/>
    <x v="15"/>
  </r>
  <r>
    <n v="1024"/>
    <x v="59"/>
    <d v="2023-01-14T00:00:00"/>
    <x v="1"/>
    <s v="Jan"/>
    <x v="2"/>
    <x v="0"/>
    <n v="135696.62699999998"/>
    <n v="45"/>
    <x v="1"/>
    <n v="2693.99"/>
    <n v="3045.9399999999996"/>
    <n v="14467.076999999983"/>
    <s v="New"/>
    <n v="0.01"/>
    <s v="Cash"/>
    <s v="Retail"/>
    <x v="18"/>
  </r>
  <r>
    <n v="1017"/>
    <x v="75"/>
    <d v="2023-01-15T00:00:00"/>
    <x v="1"/>
    <s v="Jan"/>
    <x v="0"/>
    <x v="3"/>
    <n v="16637.616000000002"/>
    <n v="6"/>
    <x v="0"/>
    <n v="2594.42"/>
    <n v="3081.04"/>
    <n v="1071.0960000000005"/>
    <s v="Returning"/>
    <n v="0.1"/>
    <s v="Bank Transfer"/>
    <s v="Retail"/>
    <x v="5"/>
  </r>
  <r>
    <n v="1094"/>
    <x v="51"/>
    <d v="2023-01-15T00:00:00"/>
    <x v="1"/>
    <s v="Jan"/>
    <x v="2"/>
    <x v="3"/>
    <n v="206377.58055857671"/>
    <n v="45"/>
    <x v="0"/>
    <n v="4470.91"/>
    <n v="4695.54"/>
    <n v="5882.3640000000205"/>
    <s v="Returning"/>
    <n v="0.02"/>
    <s v="Cash"/>
    <s v="Retail"/>
    <x v="3"/>
  </r>
  <r>
    <n v="1040"/>
    <x v="169"/>
    <d v="2023-01-15T00:00:00"/>
    <x v="1"/>
    <s v="Jan"/>
    <x v="1"/>
    <x v="3"/>
    <n v="13279.757399999999"/>
    <n v="19"/>
    <x v="0"/>
    <n v="342.3"/>
    <n v="768.06"/>
    <n v="6776.0573999999988"/>
    <s v="Returning"/>
    <n v="0.09"/>
    <s v="Credit Card"/>
    <s v="Online"/>
    <x v="7"/>
  </r>
  <r>
    <n v="1027"/>
    <x v="3"/>
    <d v="2023-01-15T00:00:00"/>
    <x v="1"/>
    <s v="Jan"/>
    <x v="2"/>
    <x v="2"/>
    <n v="10680.7012"/>
    <n v="26"/>
    <x v="3"/>
    <n v="149.11000000000001"/>
    <n v="477.67"/>
    <n v="6803.8411999999998"/>
    <s v="Returning"/>
    <n v="0.14000000000000001"/>
    <s v="Cash"/>
    <s v="Retail"/>
    <x v="14"/>
  </r>
  <r>
    <n v="1042"/>
    <x v="0"/>
    <d v="2023-01-15T00:00:00"/>
    <x v="1"/>
    <s v="Jan"/>
    <x v="4"/>
    <x v="0"/>
    <n v="108645.71664063365"/>
    <n v="46"/>
    <x v="0"/>
    <n v="2172.38"/>
    <n v="2367.11"/>
    <n v="8957.5800000000017"/>
    <s v="New"/>
    <n v="0"/>
    <s v="Cash"/>
    <s v="Retail"/>
    <x v="13"/>
  </r>
  <r>
    <n v="1034"/>
    <x v="181"/>
    <d v="2023-01-16T00:00:00"/>
    <x v="1"/>
    <s v="Jan"/>
    <x v="3"/>
    <x v="3"/>
    <n v="5636.2592000000004"/>
    <n v="13"/>
    <x v="0"/>
    <n v="366.31"/>
    <n v="492.68"/>
    <n v="874.22919999999999"/>
    <s v="New"/>
    <n v="0.12"/>
    <s v="Credit Card"/>
    <s v="Retail"/>
    <x v="4"/>
  </r>
  <r>
    <n v="1013"/>
    <x v="115"/>
    <d v="2023-01-16T00:00:00"/>
    <x v="1"/>
    <s v="Jan"/>
    <x v="0"/>
    <x v="1"/>
    <n v="71421.189999999988"/>
    <n v="20"/>
    <x v="1"/>
    <n v="3356.62"/>
    <n v="3759.0099999999998"/>
    <n v="4288.78999999999"/>
    <s v="Returning"/>
    <n v="0.05"/>
    <s v="Credit Card"/>
    <s v="Retail"/>
    <x v="19"/>
  </r>
  <r>
    <n v="1060"/>
    <x v="245"/>
    <d v="2023-01-17T00:00:00"/>
    <x v="1"/>
    <s v="Jan"/>
    <x v="2"/>
    <x v="0"/>
    <n v="4653.6966000000002"/>
    <n v="3"/>
    <x v="2"/>
    <n v="1190.4100000000001"/>
    <n v="1582.89"/>
    <n v="1082.4666000000002"/>
    <s v="New"/>
    <n v="0.02"/>
    <s v="Credit Card"/>
    <s v="Retail"/>
    <x v="18"/>
  </r>
  <r>
    <n v="1016"/>
    <x v="193"/>
    <d v="2023-01-17T00:00:00"/>
    <x v="1"/>
    <s v="Jan"/>
    <x v="0"/>
    <x v="2"/>
    <n v="62020.508299336652"/>
    <n v="21"/>
    <x v="2"/>
    <n v="2863.74"/>
    <n v="2953.91"/>
    <n v="1893.5700000000015"/>
    <s v="New"/>
    <n v="0"/>
    <s v="Bank Transfer"/>
    <s v="Retail"/>
    <x v="2"/>
  </r>
  <r>
    <n v="1009"/>
    <x v="276"/>
    <d v="2023-01-17T00:00:00"/>
    <x v="1"/>
    <s v="Jan"/>
    <x v="4"/>
    <x v="2"/>
    <n v="29234.903296326338"/>
    <n v="12"/>
    <x v="0"/>
    <n v="2278.67"/>
    <n v="2476.8000000000002"/>
    <n v="1783.1280000000006"/>
    <s v="New"/>
    <n v="0.02"/>
    <s v="Cash"/>
    <s v="Retail"/>
    <x v="17"/>
  </r>
  <r>
    <n v="1076"/>
    <x v="129"/>
    <d v="2023-01-17T00:00:00"/>
    <x v="1"/>
    <s v="Jan"/>
    <x v="1"/>
    <x v="0"/>
    <n v="34953.972018694723"/>
    <n v="16"/>
    <x v="1"/>
    <n v="1964.15"/>
    <n v="2211.17"/>
    <n v="3598.5328000000009"/>
    <s v="Returning"/>
    <n v="0.01"/>
    <s v="Bank Transfer"/>
    <s v="Online"/>
    <x v="10"/>
  </r>
  <r>
    <n v="1080"/>
    <x v="349"/>
    <d v="2023-01-17T00:00:00"/>
    <x v="1"/>
    <s v="Jan"/>
    <x v="2"/>
    <x v="0"/>
    <n v="196362.23195941441"/>
    <n v="47"/>
    <x v="0"/>
    <n v="4035.33"/>
    <n v="4211.25"/>
    <n v="6288.9524999999949"/>
    <s v="Returning"/>
    <n v="0.01"/>
    <s v="Bank Transfer"/>
    <s v="Online"/>
    <x v="18"/>
  </r>
  <r>
    <n v="1029"/>
    <x v="206"/>
    <d v="2023-01-17T00:00:00"/>
    <x v="1"/>
    <s v="Jan"/>
    <x v="1"/>
    <x v="3"/>
    <n v="92971.716914729346"/>
    <n v="31"/>
    <x v="2"/>
    <n v="2719"/>
    <n v="3133.55"/>
    <n v="8965.4480000000021"/>
    <s v="Returning"/>
    <n v="0.04"/>
    <s v="Bank Transfer"/>
    <s v="Retail"/>
    <x v="7"/>
  </r>
  <r>
    <n v="1080"/>
    <x v="49"/>
    <d v="2023-01-18T00:00:00"/>
    <x v="1"/>
    <s v="Jan"/>
    <x v="1"/>
    <x v="1"/>
    <n v="84816.876056455469"/>
    <n v="44"/>
    <x v="2"/>
    <n v="1763.67"/>
    <n v="1983.8200000000002"/>
    <n v="7067.9576000000052"/>
    <s v="New"/>
    <n v="0.03"/>
    <s v="Credit Card"/>
    <s v="Online"/>
    <x v="1"/>
  </r>
  <r>
    <n v="1048"/>
    <x v="294"/>
    <d v="2023-01-19T00:00:00"/>
    <x v="1"/>
    <s v="Jan"/>
    <x v="2"/>
    <x v="2"/>
    <n v="31409.279999999999"/>
    <n v="7"/>
    <x v="1"/>
    <n v="4310.95"/>
    <n v="4723.2"/>
    <n v="1232.630000000001"/>
    <s v="Returning"/>
    <n v="0.05"/>
    <s v="Credit Card"/>
    <s v="Retail"/>
    <x v="14"/>
  </r>
  <r>
    <n v="1017"/>
    <x v="167"/>
    <d v="2023-01-20T00:00:00"/>
    <x v="1"/>
    <s v="Jan"/>
    <x v="2"/>
    <x v="1"/>
    <n v="100389.70690797782"/>
    <n v="29"/>
    <x v="1"/>
    <n v="3410.49"/>
    <n v="3481.72"/>
    <n v="1055.9712000000018"/>
    <s v="New"/>
    <n v="0.01"/>
    <s v="Bank Transfer"/>
    <s v="Retail"/>
    <x v="8"/>
  </r>
  <r>
    <n v="1046"/>
    <x v="150"/>
    <d v="2023-01-20T00:00:00"/>
    <x v="1"/>
    <s v="Jan"/>
    <x v="0"/>
    <x v="1"/>
    <n v="176514.59559113477"/>
    <n v="43"/>
    <x v="1"/>
    <n v="4052.42"/>
    <n v="4199.3"/>
    <n v="2704.44200000001"/>
    <s v="New"/>
    <n v="0.02"/>
    <s v="Bank Transfer"/>
    <s v="Retail"/>
    <x v="19"/>
  </r>
  <r>
    <n v="1092"/>
    <x v="324"/>
    <d v="2023-01-20T00:00:00"/>
    <x v="1"/>
    <s v="Jan"/>
    <x v="1"/>
    <x v="1"/>
    <n v="187684.31403092164"/>
    <n v="40"/>
    <x v="2"/>
    <n v="4624.16"/>
    <n v="4731.9799999999996"/>
    <n v="2420.0079999999798"/>
    <s v="New"/>
    <n v="0.01"/>
    <s v="Bank Transfer"/>
    <s v="Retail"/>
    <x v="1"/>
  </r>
  <r>
    <n v="1053"/>
    <x v="265"/>
    <d v="2023-01-20T00:00:00"/>
    <x v="1"/>
    <s v="Jan"/>
    <x v="4"/>
    <x v="2"/>
    <n v="119020.37744351634"/>
    <n v="42"/>
    <x v="0"/>
    <n v="2443.5700000000002"/>
    <n v="2943.3100000000004"/>
    <n v="16044.319199999996"/>
    <s v="New"/>
    <n v="0.04"/>
    <s v="Cash"/>
    <s v="Online"/>
    <x v="17"/>
  </r>
  <r>
    <n v="1003"/>
    <x v="104"/>
    <d v="2023-01-21T00:00:00"/>
    <x v="1"/>
    <s v="Jan"/>
    <x v="1"/>
    <x v="3"/>
    <n v="5709.0579000000007"/>
    <n v="3"/>
    <x v="0"/>
    <n v="1792.05"/>
    <n v="2091.23"/>
    <n v="332.90790000000061"/>
    <s v="Returning"/>
    <n v="0.09"/>
    <s v="Cash"/>
    <s v="Retail"/>
    <x v="7"/>
  </r>
  <r>
    <n v="1006"/>
    <x v="347"/>
    <d v="2023-01-22T00:00:00"/>
    <x v="1"/>
    <s v="Jan"/>
    <x v="3"/>
    <x v="0"/>
    <n v="127232.05081980594"/>
    <n v="29"/>
    <x v="2"/>
    <n v="4353.29"/>
    <n v="4405.8"/>
    <n v="1522.7900000000063"/>
    <s v="New"/>
    <n v="0"/>
    <s v="Bank Transfer"/>
    <s v="Online"/>
    <x v="11"/>
  </r>
  <r>
    <n v="1045"/>
    <x v="239"/>
    <d v="2023-01-22T00:00:00"/>
    <x v="1"/>
    <s v="Jan"/>
    <x v="2"/>
    <x v="1"/>
    <n v="122608.584"/>
    <n v="46"/>
    <x v="3"/>
    <n v="2577.08"/>
    <n v="2961.56"/>
    <n v="4062.9040000000032"/>
    <s v="Returning"/>
    <n v="0.1"/>
    <s v="Cash"/>
    <s v="Online"/>
    <x v="8"/>
  </r>
  <r>
    <n v="1035"/>
    <x v="76"/>
    <d v="2023-01-22T00:00:00"/>
    <x v="1"/>
    <s v="Jan"/>
    <x v="3"/>
    <x v="3"/>
    <n v="116985.67024617491"/>
    <n v="28"/>
    <x v="0"/>
    <n v="3771.38"/>
    <n v="4234.92"/>
    <n v="11793.342400000009"/>
    <s v="New"/>
    <n v="0.01"/>
    <s v="Credit Card"/>
    <s v="Retail"/>
    <x v="4"/>
  </r>
  <r>
    <n v="1018"/>
    <x v="320"/>
    <d v="2023-01-23T00:00:00"/>
    <x v="1"/>
    <s v="Jan"/>
    <x v="4"/>
    <x v="3"/>
    <n v="24649.033485383588"/>
    <n v="20"/>
    <x v="0"/>
    <n v="1140.6199999999999"/>
    <n v="1258.6299999999999"/>
    <n v="1856.7479999999978"/>
    <s v="Returning"/>
    <n v="0.02"/>
    <s v="Bank Transfer"/>
    <s v="Online"/>
    <x v="12"/>
  </r>
  <r>
    <n v="1037"/>
    <x v="375"/>
    <d v="2023-01-23T00:00:00"/>
    <x v="1"/>
    <s v="Jan"/>
    <x v="1"/>
    <x v="1"/>
    <n v="34498.593010891855"/>
    <n v="25"/>
    <x v="3"/>
    <n v="1074.6199999999999"/>
    <n v="1382.4299999999998"/>
    <n v="7695.2499999999982"/>
    <s v="Returning"/>
    <n v="0"/>
    <s v="Credit Card"/>
    <s v="Retail"/>
    <x v="1"/>
  </r>
  <r>
    <n v="1037"/>
    <x v="365"/>
    <d v="2023-01-23T00:00:00"/>
    <x v="1"/>
    <s v="Jan"/>
    <x v="2"/>
    <x v="3"/>
    <n v="126717.28813452413"/>
    <n v="40"/>
    <x v="1"/>
    <n v="2790.11"/>
    <n v="3192.37"/>
    <n v="14813.451999999997"/>
    <s v="Returning"/>
    <n v="0.01"/>
    <s v="Bank Transfer"/>
    <s v="Online"/>
    <x v="3"/>
  </r>
  <r>
    <n v="1017"/>
    <x v="376"/>
    <d v="2023-01-24T00:00:00"/>
    <x v="1"/>
    <s v="Jan"/>
    <x v="0"/>
    <x v="3"/>
    <n v="27576.063899999997"/>
    <n v="27"/>
    <x v="2"/>
    <n v="927.89"/>
    <n v="1399.09"/>
    <n v="2523.0338999999967"/>
    <s v="Returning"/>
    <n v="0.27"/>
    <s v="Credit Card"/>
    <s v="Online"/>
    <x v="5"/>
  </r>
  <r>
    <n v="1054"/>
    <x v="351"/>
    <d v="2023-01-24T00:00:00"/>
    <x v="1"/>
    <s v="Jan"/>
    <x v="2"/>
    <x v="1"/>
    <n v="98773.095713177856"/>
    <n v="22"/>
    <x v="2"/>
    <n v="4200.08"/>
    <n v="4647.28"/>
    <n v="6771.1951999999856"/>
    <s v="Returning"/>
    <n v="0.03"/>
    <s v="Cash"/>
    <s v="Online"/>
    <x v="8"/>
  </r>
  <r>
    <n v="1061"/>
    <x v="201"/>
    <d v="2023-01-25T00:00:00"/>
    <x v="1"/>
    <s v="Jan"/>
    <x v="2"/>
    <x v="1"/>
    <n v="170889.00975550566"/>
    <n v="38"/>
    <x v="0"/>
    <n v="4440.8599999999997"/>
    <n v="4506.8099999999995"/>
    <n v="2506.0999999999931"/>
    <s v="Returning"/>
    <n v="0"/>
    <s v="Bank Transfer"/>
    <s v="Online"/>
    <x v="8"/>
  </r>
  <r>
    <n v="1048"/>
    <x v="354"/>
    <d v="2023-01-25T00:00:00"/>
    <x v="1"/>
    <s v="Jan"/>
    <x v="0"/>
    <x v="0"/>
    <n v="13902.009454875129"/>
    <n v="7"/>
    <x v="2"/>
    <n v="1655.43"/>
    <n v="2001.08"/>
    <n v="2279.4743999999992"/>
    <s v="New"/>
    <n v="0.01"/>
    <s v="Bank Transfer"/>
    <s v="Online"/>
    <x v="0"/>
  </r>
  <r>
    <n v="1096"/>
    <x v="179"/>
    <d v="2023-01-25T00:00:00"/>
    <x v="1"/>
    <s v="Jan"/>
    <x v="1"/>
    <x v="2"/>
    <n v="133401.04738194478"/>
    <n v="27"/>
    <x v="1"/>
    <n v="4809"/>
    <n v="4967.4399999999996"/>
    <n v="2936.6711999999925"/>
    <s v="New"/>
    <n v="0.01"/>
    <s v="Cash"/>
    <s v="Online"/>
    <x v="15"/>
  </r>
  <r>
    <n v="1011"/>
    <x v="236"/>
    <d v="2023-01-25T00:00:00"/>
    <x v="1"/>
    <s v="Jan"/>
    <x v="0"/>
    <x v="3"/>
    <n v="32952.660566846556"/>
    <n v="22"/>
    <x v="2"/>
    <n v="1324.52"/>
    <n v="1510.3"/>
    <n v="3754.893999999998"/>
    <s v="Returning"/>
    <n v="0.01"/>
    <s v="Cash"/>
    <s v="Retail"/>
    <x v="5"/>
  </r>
  <r>
    <n v="1090"/>
    <x v="37"/>
    <d v="2023-01-25T00:00:00"/>
    <x v="1"/>
    <s v="Jan"/>
    <x v="1"/>
    <x v="0"/>
    <n v="75065.995318405985"/>
    <n v="17"/>
    <x v="1"/>
    <n v="4190.26"/>
    <n v="4645.3500000000004"/>
    <n v="3787.9825000000037"/>
    <s v="New"/>
    <n v="0.05"/>
    <s v="Credit Card"/>
    <s v="Retail"/>
    <x v="10"/>
  </r>
  <r>
    <n v="1083"/>
    <x v="377"/>
    <d v="2023-01-25T00:00:00"/>
    <x v="1"/>
    <s v="Jan"/>
    <x v="4"/>
    <x v="1"/>
    <n v="46820.087600000006"/>
    <n v="34"/>
    <x v="1"/>
    <n v="1167.9100000000001"/>
    <n v="1547.2600000000002"/>
    <n v="7111.1476000000066"/>
    <s v="New"/>
    <n v="0.11"/>
    <s v="Bank Transfer"/>
    <s v="Online"/>
    <x v="6"/>
  </r>
  <r>
    <n v="1026"/>
    <x v="293"/>
    <d v="2023-01-26T00:00:00"/>
    <x v="1"/>
    <s v="Jan"/>
    <x v="4"/>
    <x v="1"/>
    <n v="20475.463879624982"/>
    <n v="5"/>
    <x v="3"/>
    <n v="4093.61"/>
    <n v="4117.88"/>
    <n v="-84.544000000000779"/>
    <s v="Returning"/>
    <n v="0.01"/>
    <s v="Credit Card"/>
    <s v="Retail"/>
    <x v="6"/>
  </r>
  <r>
    <n v="1018"/>
    <x v="219"/>
    <d v="2023-01-26T00:00:00"/>
    <x v="1"/>
    <s v="Jan"/>
    <x v="3"/>
    <x v="1"/>
    <n v="27709.77"/>
    <n v="11"/>
    <x v="1"/>
    <n v="2414.8200000000002"/>
    <n v="2519.0700000000002"/>
    <n v="1146.75"/>
    <s v="Returning"/>
    <n v="0"/>
    <s v="Cash"/>
    <s v="Online"/>
    <x v="16"/>
  </r>
  <r>
    <n v="1023"/>
    <x v="373"/>
    <d v="2023-01-26T00:00:00"/>
    <x v="1"/>
    <s v="Jan"/>
    <x v="4"/>
    <x v="3"/>
    <n v="80600.617362429301"/>
    <n v="36"/>
    <x v="1"/>
    <n v="1991.72"/>
    <n v="2329.37"/>
    <n v="8801.1071999999876"/>
    <s v="New"/>
    <n v="0.04"/>
    <s v="Credit Card"/>
    <s v="Retail"/>
    <x v="12"/>
  </r>
  <r>
    <n v="1065"/>
    <x v="71"/>
    <d v="2023-01-27T00:00:00"/>
    <x v="1"/>
    <s v="Jan"/>
    <x v="2"/>
    <x v="0"/>
    <n v="24711.331082794124"/>
    <n v="12"/>
    <x v="2"/>
    <n v="2035.68"/>
    <n v="2079.64"/>
    <n v="277.9631999999956"/>
    <s v="Returning"/>
    <n v="0.01"/>
    <s v="Cash"/>
    <s v="Online"/>
    <x v="18"/>
  </r>
  <r>
    <n v="1016"/>
    <x v="305"/>
    <d v="2023-01-27T00:00:00"/>
    <x v="1"/>
    <s v="Jan"/>
    <x v="0"/>
    <x v="3"/>
    <n v="140303.24533241143"/>
    <n v="41"/>
    <x v="3"/>
    <n v="3386.49"/>
    <n v="3430.99"/>
    <n v="1824.5"/>
    <s v="New"/>
    <n v="0"/>
    <s v="Bank Transfer"/>
    <s v="Retail"/>
    <x v="5"/>
  </r>
  <r>
    <n v="1092"/>
    <x v="313"/>
    <d v="2023-01-27T00:00:00"/>
    <x v="1"/>
    <s v="Jan"/>
    <x v="4"/>
    <x v="2"/>
    <n v="100579.63407117853"/>
    <n v="26"/>
    <x v="0"/>
    <n v="3697.29"/>
    <n v="4003.96"/>
    <n v="4850.3311999999969"/>
    <s v="New"/>
    <n v="0.03"/>
    <s v="Cash"/>
    <s v="Online"/>
    <x v="17"/>
  </r>
  <r>
    <n v="1034"/>
    <x v="139"/>
    <d v="2023-01-27T00:00:00"/>
    <x v="1"/>
    <s v="Jan"/>
    <x v="2"/>
    <x v="1"/>
    <n v="115926.03"/>
    <n v="38"/>
    <x v="3"/>
    <n v="2729.75"/>
    <n v="3081.5"/>
    <n v="12195.529999999999"/>
    <s v="New"/>
    <n v="0.01"/>
    <s v="Bank Transfer"/>
    <s v="Online"/>
    <x v="8"/>
  </r>
  <r>
    <n v="1007"/>
    <x v="205"/>
    <d v="2023-01-29T00:00:00"/>
    <x v="1"/>
    <s v="Jan"/>
    <x v="1"/>
    <x v="2"/>
    <n v="49758.531118106424"/>
    <n v="13"/>
    <x v="0"/>
    <n v="3765.46"/>
    <n v="3860.56"/>
    <n v="734.42720000000054"/>
    <s v="Returning"/>
    <n v="0.01"/>
    <s v="Cash"/>
    <s v="Retail"/>
    <x v="15"/>
  </r>
  <r>
    <n v="1009"/>
    <x v="355"/>
    <d v="2023-01-29T00:00:00"/>
    <x v="1"/>
    <s v="Jan"/>
    <x v="0"/>
    <x v="2"/>
    <n v="61574.340264699997"/>
    <n v="16"/>
    <x v="1"/>
    <n v="3745.69"/>
    <n v="3883.77"/>
    <n v="1587.8767999999982"/>
    <s v="Returning"/>
    <n v="0.01"/>
    <s v="Bank Transfer"/>
    <s v="Retail"/>
    <x v="2"/>
  </r>
  <r>
    <n v="1042"/>
    <x v="58"/>
    <d v="2023-01-29T00:00:00"/>
    <x v="1"/>
    <s v="Jan"/>
    <x v="0"/>
    <x v="3"/>
    <n v="61999.68"/>
    <n v="25"/>
    <x v="3"/>
    <n v="2403.54"/>
    <n v="2850.56"/>
    <n v="1911.1800000000017"/>
    <s v="New"/>
    <n v="0.13"/>
    <s v="Bank Transfer"/>
    <s v="Online"/>
    <x v="5"/>
  </r>
  <r>
    <n v="1092"/>
    <x v="1"/>
    <d v="2023-01-29T00:00:00"/>
    <x v="1"/>
    <s v="Jan"/>
    <x v="2"/>
    <x v="0"/>
    <n v="37448.426730661362"/>
    <n v="13"/>
    <x v="1"/>
    <n v="2684.5"/>
    <n v="2913.78"/>
    <n v="2601.848600000003"/>
    <s v="New"/>
    <n v="0.01"/>
    <s v="Credit Card"/>
    <s v="Retail"/>
    <x v="18"/>
  </r>
  <r>
    <n v="1018"/>
    <x v="378"/>
    <d v="2023-01-29T00:00:00"/>
    <x v="1"/>
    <s v="Jan"/>
    <x v="4"/>
    <x v="2"/>
    <n v="119454.29562094978"/>
    <n v="25"/>
    <x v="3"/>
    <n v="4660.82"/>
    <n v="5011.4299999999994"/>
    <n v="2500.9624999999915"/>
    <s v="New"/>
    <n v="0.05"/>
    <s v="Bank Transfer"/>
    <s v="Online"/>
    <x v="17"/>
  </r>
  <r>
    <n v="1017"/>
    <x v="376"/>
    <d v="2023-01-29T00:00:00"/>
    <x v="1"/>
    <s v="Jan"/>
    <x v="1"/>
    <x v="0"/>
    <n v="29021.948999999997"/>
    <n v="19"/>
    <x v="2"/>
    <n v="1233.1199999999999"/>
    <n v="1697.1899999999998"/>
    <n v="5592.6689999999981"/>
    <s v="New"/>
    <n v="0.1"/>
    <s v="Credit Card"/>
    <s v="Online"/>
    <x v="10"/>
  </r>
  <r>
    <n v="1042"/>
    <x v="58"/>
    <d v="2023-01-31T00:00:00"/>
    <x v="1"/>
    <s v="Jan"/>
    <x v="3"/>
    <x v="3"/>
    <n v="8776.4292000000005"/>
    <n v="11"/>
    <x v="3"/>
    <n v="635.20000000000005"/>
    <n v="814.1400000000001"/>
    <n v="1789.2291999999998"/>
    <s v="Returning"/>
    <n v="0.02"/>
    <s v="Cash"/>
    <s v="Online"/>
    <x v="4"/>
  </r>
  <r>
    <n v="1057"/>
    <x v="232"/>
    <d v="2023-01-31T00:00:00"/>
    <x v="1"/>
    <s v="Jan"/>
    <x v="1"/>
    <x v="3"/>
    <n v="184844.56440041645"/>
    <n v="36"/>
    <x v="3"/>
    <n v="4995.3"/>
    <n v="5165.09"/>
    <n v="4253.0076000000117"/>
    <s v="Returning"/>
    <n v="0.01"/>
    <s v="Cash"/>
    <s v="Online"/>
    <x v="7"/>
  </r>
  <r>
    <n v="1069"/>
    <x v="337"/>
    <d v="2023-02-01T00:00:00"/>
    <x v="1"/>
    <s v="Feb"/>
    <x v="0"/>
    <x v="3"/>
    <n v="55910.107721276116"/>
    <n v="18"/>
    <x v="0"/>
    <n v="2760.21"/>
    <n v="3219.58"/>
    <n v="5950.5623999999925"/>
    <s v="New"/>
    <n v="0.04"/>
    <s v="Bank Transfer"/>
    <s v="Retail"/>
    <x v="5"/>
  </r>
  <r>
    <n v="1097"/>
    <x v="174"/>
    <d v="2023-02-01T00:00:00"/>
    <x v="1"/>
    <s v="Feb"/>
    <x v="3"/>
    <x v="2"/>
    <n v="113884.18560000001"/>
    <n v="27"/>
    <x v="2"/>
    <n v="3955.19"/>
    <n v="4393.68"/>
    <n v="7094.0556000000124"/>
    <s v="Returning"/>
    <n v="0.04"/>
    <s v="Credit Card"/>
    <s v="Online"/>
    <x v="9"/>
  </r>
  <r>
    <n v="1096"/>
    <x v="339"/>
    <d v="2023-02-02T00:00:00"/>
    <x v="1"/>
    <s v="Feb"/>
    <x v="3"/>
    <x v="1"/>
    <n v="61813.602063411534"/>
    <n v="31"/>
    <x v="2"/>
    <n v="1724.24"/>
    <n v="2036.2"/>
    <n v="8408.3160000000025"/>
    <s v="New"/>
    <n v="0.02"/>
    <s v="Cash"/>
    <s v="Online"/>
    <x v="16"/>
  </r>
  <r>
    <n v="1013"/>
    <x v="115"/>
    <d v="2023-02-03T00:00:00"/>
    <x v="1"/>
    <s v="Feb"/>
    <x v="2"/>
    <x v="3"/>
    <n v="194721.40554025135"/>
    <n v="42"/>
    <x v="1"/>
    <n v="4625.33"/>
    <n v="4642.83"/>
    <n v="735"/>
    <s v="New"/>
    <n v="0"/>
    <s v="Credit Card"/>
    <s v="Online"/>
    <x v="3"/>
  </r>
  <r>
    <n v="1035"/>
    <x v="74"/>
    <d v="2023-02-03T00:00:00"/>
    <x v="1"/>
    <s v="Feb"/>
    <x v="1"/>
    <x v="3"/>
    <n v="23377.418553082483"/>
    <n v="5"/>
    <x v="3"/>
    <n v="4483.8500000000004"/>
    <n v="4795.42"/>
    <n v="838.53699999999662"/>
    <s v="Returning"/>
    <n v="0.03"/>
    <s v="Cash"/>
    <s v="Online"/>
    <x v="7"/>
  </r>
  <r>
    <n v="1052"/>
    <x v="333"/>
    <d v="2023-02-03T00:00:00"/>
    <x v="1"/>
    <s v="Feb"/>
    <x v="2"/>
    <x v="3"/>
    <n v="4377.0636000000004"/>
    <n v="18"/>
    <x v="0"/>
    <n v="152.75"/>
    <n v="267.22000000000003"/>
    <n v="1627.5636000000004"/>
    <s v="Returning"/>
    <n v="0.09"/>
    <s v="Cash"/>
    <s v="Online"/>
    <x v="3"/>
  </r>
  <r>
    <n v="1038"/>
    <x v="6"/>
    <d v="2023-02-04T00:00:00"/>
    <x v="1"/>
    <s v="Feb"/>
    <x v="1"/>
    <x v="3"/>
    <n v="4611.5999999999995"/>
    <n v="7"/>
    <x v="0"/>
    <n v="523.02"/>
    <n v="686.25"/>
    <n v="950.45999999999981"/>
    <s v="Returning"/>
    <n v="0.04"/>
    <s v="Cash"/>
    <s v="Online"/>
    <x v="7"/>
  </r>
  <r>
    <n v="1026"/>
    <x v="314"/>
    <d v="2023-02-04T00:00:00"/>
    <x v="1"/>
    <s v="Feb"/>
    <x v="3"/>
    <x v="2"/>
    <n v="30970.731499999998"/>
    <n v="19"/>
    <x v="2"/>
    <n v="1265.48"/>
    <n v="1715.83"/>
    <n v="6926.6114999999972"/>
    <s v="New"/>
    <n v="0.05"/>
    <s v="Credit Card"/>
    <s v="Retail"/>
    <x v="9"/>
  </r>
  <r>
    <n v="1080"/>
    <x v="49"/>
    <d v="2023-02-05T00:00:00"/>
    <x v="1"/>
    <s v="Feb"/>
    <x v="1"/>
    <x v="0"/>
    <n v="13607.35629887912"/>
    <n v="9"/>
    <x v="2"/>
    <n v="1141.52"/>
    <n v="1550.19"/>
    <n v="3398.9958000000011"/>
    <s v="New"/>
    <n v="0.02"/>
    <s v="Credit Card"/>
    <s v="Retail"/>
    <x v="10"/>
  </r>
  <r>
    <n v="1030"/>
    <x v="379"/>
    <d v="2023-02-05T00:00:00"/>
    <x v="1"/>
    <s v="Feb"/>
    <x v="4"/>
    <x v="1"/>
    <n v="138078.14153287749"/>
    <n v="49"/>
    <x v="0"/>
    <n v="2590.29"/>
    <n v="2925.86"/>
    <n v="10708.244400000007"/>
    <s v="Returning"/>
    <n v="0.04"/>
    <s v="Cash"/>
    <s v="Retail"/>
    <x v="6"/>
  </r>
  <r>
    <n v="1048"/>
    <x v="354"/>
    <d v="2023-02-05T00:00:00"/>
    <x v="1"/>
    <s v="Feb"/>
    <x v="4"/>
    <x v="3"/>
    <n v="211769.18333193316"/>
    <n v="42"/>
    <x v="2"/>
    <n v="4723.83"/>
    <n v="5186.1899999999996"/>
    <n v="12884.520599999963"/>
    <s v="Returning"/>
    <n v="0.03"/>
    <s v="Credit Card"/>
    <s v="Online"/>
    <x v="12"/>
  </r>
  <r>
    <n v="1036"/>
    <x v="97"/>
    <d v="2023-02-06T00:00:00"/>
    <x v="1"/>
    <s v="Feb"/>
    <x v="1"/>
    <x v="1"/>
    <n v="111690.75583513116"/>
    <n v="26"/>
    <x v="2"/>
    <n v="4266.3599999999997"/>
    <n v="4331.4299999999994"/>
    <n v="565.64819999999236"/>
    <s v="Returning"/>
    <n v="0.01"/>
    <s v="Credit Card"/>
    <s v="Retail"/>
    <x v="1"/>
  </r>
  <r>
    <n v="1026"/>
    <x v="314"/>
    <d v="2023-02-06T00:00:00"/>
    <x v="1"/>
    <s v="Feb"/>
    <x v="2"/>
    <x v="2"/>
    <n v="7299.7456000000002"/>
    <n v="34"/>
    <x v="2"/>
    <n v="68.33"/>
    <n v="219.07999999999998"/>
    <n v="4976.5255999999999"/>
    <s v="New"/>
    <n v="0.02"/>
    <s v="Credit Card"/>
    <s v="Online"/>
    <x v="14"/>
  </r>
  <r>
    <n v="1027"/>
    <x v="3"/>
    <d v="2023-02-06T00:00:00"/>
    <x v="1"/>
    <s v="Feb"/>
    <x v="0"/>
    <x v="2"/>
    <n v="65583.858743120785"/>
    <n v="45"/>
    <x v="3"/>
    <n v="1153.9000000000001"/>
    <n v="1485.3400000000001"/>
    <n v="13577.994000000006"/>
    <s v="New"/>
    <n v="0.02"/>
    <s v="Credit Card"/>
    <s v="Retail"/>
    <x v="2"/>
  </r>
  <r>
    <n v="1017"/>
    <x v="330"/>
    <d v="2023-02-07T00:00:00"/>
    <x v="1"/>
    <s v="Feb"/>
    <x v="1"/>
    <x v="2"/>
    <n v="1664.2784000000001"/>
    <n v="2"/>
    <x v="3"/>
    <n v="728.41"/>
    <n v="1094.92"/>
    <n v="207.45840000000021"/>
    <s v="New"/>
    <n v="0.24"/>
    <s v="Cash"/>
    <s v="Retail"/>
    <x v="15"/>
  </r>
  <r>
    <n v="1027"/>
    <x v="3"/>
    <d v="2023-02-07T00:00:00"/>
    <x v="1"/>
    <s v="Feb"/>
    <x v="2"/>
    <x v="2"/>
    <n v="3243.5744999999997"/>
    <n v="3"/>
    <x v="3"/>
    <n v="999.09"/>
    <n v="1271.99"/>
    <n v="246.30449999999962"/>
    <s v="New"/>
    <n v="0.15"/>
    <s v="Credit Card"/>
    <s v="Online"/>
    <x v="14"/>
  </r>
  <r>
    <n v="1081"/>
    <x v="246"/>
    <d v="2023-02-07T00:00:00"/>
    <x v="1"/>
    <s v="Feb"/>
    <x v="4"/>
    <x v="1"/>
    <n v="114661.2020529583"/>
    <n v="41"/>
    <x v="0"/>
    <n v="2782.08"/>
    <n v="2879.24"/>
    <n v="442.09479999999803"/>
    <s v="New"/>
    <n v="0.03"/>
    <s v="Bank Transfer"/>
    <s v="Online"/>
    <x v="6"/>
  </r>
  <r>
    <n v="1077"/>
    <x v="278"/>
    <d v="2023-02-07T00:00:00"/>
    <x v="1"/>
    <s v="Feb"/>
    <x v="0"/>
    <x v="2"/>
    <n v="31577.571880307871"/>
    <n v="12"/>
    <x v="1"/>
    <n v="2427.46"/>
    <n v="2743.09"/>
    <n v="2470.8767999999982"/>
    <s v="New"/>
    <n v="0.04"/>
    <s v="Credit Card"/>
    <s v="Retail"/>
    <x v="2"/>
  </r>
  <r>
    <n v="1072"/>
    <x v="249"/>
    <d v="2023-02-07T00:00:00"/>
    <x v="1"/>
    <s v="Feb"/>
    <x v="2"/>
    <x v="1"/>
    <n v="98864.96100000001"/>
    <n v="26"/>
    <x v="3"/>
    <n v="3640.17"/>
    <n v="4002.63"/>
    <n v="4220.541000000002"/>
    <s v="New"/>
    <n v="0.05"/>
    <s v="Credit Card"/>
    <s v="Retail"/>
    <x v="8"/>
  </r>
  <r>
    <n v="1015"/>
    <x v="275"/>
    <d v="2023-02-08T00:00:00"/>
    <x v="1"/>
    <s v="Feb"/>
    <x v="1"/>
    <x v="1"/>
    <n v="61395.000124428443"/>
    <n v="23"/>
    <x v="2"/>
    <n v="2644.77"/>
    <n v="2684.83"/>
    <n v="303.86909999999625"/>
    <s v="New"/>
    <n v="0.01"/>
    <s v="Cash"/>
    <s v="Online"/>
    <x v="1"/>
  </r>
  <r>
    <n v="1090"/>
    <x v="37"/>
    <d v="2023-02-08T00:00:00"/>
    <x v="1"/>
    <s v="Feb"/>
    <x v="1"/>
    <x v="3"/>
    <n v="157065.85276125249"/>
    <n v="44"/>
    <x v="1"/>
    <n v="3542.18"/>
    <n v="3578.49"/>
    <n v="1597.6399999999976"/>
    <s v="Returning"/>
    <n v="0"/>
    <s v="Cash"/>
    <s v="Online"/>
    <x v="7"/>
  </r>
  <r>
    <n v="1048"/>
    <x v="294"/>
    <d v="2023-02-08T00:00:00"/>
    <x v="1"/>
    <s v="Feb"/>
    <x v="1"/>
    <x v="2"/>
    <n v="88743.632400000002"/>
    <n v="27"/>
    <x v="1"/>
    <n v="3197.76"/>
    <n v="3572.61"/>
    <n v="2404.1124000000032"/>
    <s v="Returning"/>
    <n v="0.08"/>
    <s v="Credit Card"/>
    <s v="Online"/>
    <x v="15"/>
  </r>
  <r>
    <n v="1033"/>
    <x v="284"/>
    <d v="2023-02-08T00:00:00"/>
    <x v="1"/>
    <s v="Feb"/>
    <x v="0"/>
    <x v="3"/>
    <n v="168969.76748457088"/>
    <n v="39"/>
    <x v="2"/>
    <n v="4232.8100000000004"/>
    <n v="4345.25"/>
    <n v="4385.1599999999844"/>
    <s v="Returning"/>
    <n v="0"/>
    <s v="Bank Transfer"/>
    <s v="Online"/>
    <x v="5"/>
  </r>
  <r>
    <n v="1078"/>
    <x v="217"/>
    <d v="2023-02-08T00:00:00"/>
    <x v="1"/>
    <s v="Feb"/>
    <x v="3"/>
    <x v="0"/>
    <n v="152454.36023302149"/>
    <n v="49"/>
    <x v="0"/>
    <n v="3026.85"/>
    <n v="3183.58"/>
    <n v="4559.8615999999947"/>
    <s v="Returning"/>
    <n v="0.02"/>
    <s v="Cash"/>
    <s v="Retail"/>
    <x v="11"/>
  </r>
  <r>
    <n v="1027"/>
    <x v="182"/>
    <d v="2023-02-08T00:00:00"/>
    <x v="1"/>
    <s v="Feb"/>
    <x v="3"/>
    <x v="2"/>
    <n v="44380.544381771571"/>
    <n v="20"/>
    <x v="2"/>
    <n v="1748.11"/>
    <n v="2220.9"/>
    <n v="9455.8000000000029"/>
    <s v="New"/>
    <n v="0"/>
    <s v="Credit Card"/>
    <s v="Retail"/>
    <x v="9"/>
  </r>
  <r>
    <n v="1046"/>
    <x v="263"/>
    <d v="2023-02-09T00:00:00"/>
    <x v="1"/>
    <s v="Feb"/>
    <x v="1"/>
    <x v="1"/>
    <n v="3768.5140471243826"/>
    <n v="3"/>
    <x v="0"/>
    <n v="1216.1600000000001"/>
    <n v="1295.3700000000001"/>
    <n v="121.04669999999987"/>
    <s v="New"/>
    <n v="0.03"/>
    <s v="Cash"/>
    <s v="Retail"/>
    <x v="1"/>
  </r>
  <r>
    <n v="1039"/>
    <x v="117"/>
    <d v="2023-02-09T00:00:00"/>
    <x v="1"/>
    <s v="Feb"/>
    <x v="4"/>
    <x v="0"/>
    <n v="40718.880536319928"/>
    <n v="20"/>
    <x v="3"/>
    <n v="2014.11"/>
    <n v="2056.35"/>
    <n v="433.53000000000065"/>
    <s v="Returning"/>
    <n v="0.01"/>
    <s v="Bank Transfer"/>
    <s v="Retail"/>
    <x v="13"/>
  </r>
  <r>
    <n v="1038"/>
    <x v="6"/>
    <d v="2023-02-09T00:00:00"/>
    <x v="1"/>
    <s v="Feb"/>
    <x v="3"/>
    <x v="1"/>
    <n v="65955.594513233824"/>
    <n v="16"/>
    <x v="0"/>
    <n v="3899.7"/>
    <n v="4228.18"/>
    <n v="3226.1536000000051"/>
    <s v="New"/>
    <n v="0.03"/>
    <s v="Cash"/>
    <s v="Retail"/>
    <x v="16"/>
  </r>
  <r>
    <n v="1092"/>
    <x v="1"/>
    <d v="2023-02-09T00:00:00"/>
    <x v="1"/>
    <s v="Feb"/>
    <x v="3"/>
    <x v="0"/>
    <n v="54537.584505853134"/>
    <n v="14"/>
    <x v="1"/>
    <n v="3586.58"/>
    <n v="4068.43"/>
    <n v="4467.5791999999983"/>
    <s v="New"/>
    <n v="0.04"/>
    <s v="Credit Card"/>
    <s v="Online"/>
    <x v="11"/>
  </r>
  <r>
    <n v="1092"/>
    <x v="313"/>
    <d v="2023-02-09T00:00:00"/>
    <x v="1"/>
    <s v="Feb"/>
    <x v="4"/>
    <x v="2"/>
    <n v="75473.307816122426"/>
    <n v="34"/>
    <x v="0"/>
    <n v="2037.41"/>
    <n v="2238.65"/>
    <n v="6081.0189999999984"/>
    <s v="New"/>
    <n v="0.01"/>
    <s v="Credit Card"/>
    <s v="Online"/>
    <x v="17"/>
  </r>
  <r>
    <n v="1020"/>
    <x v="68"/>
    <d v="2023-02-09T00:00:00"/>
    <x v="1"/>
    <s v="Feb"/>
    <x v="1"/>
    <x v="1"/>
    <n v="17641.251000000004"/>
    <n v="29"/>
    <x v="2"/>
    <n v="184.05"/>
    <n v="675.91000000000008"/>
    <n v="12303.801000000001"/>
    <s v="Returning"/>
    <n v="0.1"/>
    <s v="Cash"/>
    <s v="Retail"/>
    <x v="1"/>
  </r>
  <r>
    <n v="1024"/>
    <x v="59"/>
    <d v="2023-02-10T00:00:00"/>
    <x v="1"/>
    <s v="Feb"/>
    <x v="4"/>
    <x v="1"/>
    <n v="22228.003200000003"/>
    <n v="13"/>
    <x v="1"/>
    <n v="1493.88"/>
    <n v="1781.0900000000001"/>
    <n v="2807.5632000000005"/>
    <s v="New"/>
    <n v="0.04"/>
    <s v="Cash"/>
    <s v="Retail"/>
    <x v="6"/>
  </r>
  <r>
    <n v="1056"/>
    <x v="136"/>
    <d v="2023-02-10T00:00:00"/>
    <x v="1"/>
    <s v="Feb"/>
    <x v="2"/>
    <x v="2"/>
    <n v="53833.625999999997"/>
    <n v="42"/>
    <x v="0"/>
    <n v="1080.1199999999999"/>
    <n v="1424.1699999999998"/>
    <n v="8468.5860000000011"/>
    <s v="New"/>
    <n v="0.1"/>
    <s v="Cash"/>
    <s v="Online"/>
    <x v="14"/>
  </r>
  <r>
    <n v="1092"/>
    <x v="313"/>
    <d v="2023-02-10T00:00:00"/>
    <x v="1"/>
    <s v="Feb"/>
    <x v="2"/>
    <x v="1"/>
    <n v="186936.42077778079"/>
    <n v="47"/>
    <x v="0"/>
    <n v="3681.53"/>
    <n v="4076.96"/>
    <n v="14752.867599999985"/>
    <s v="Returning"/>
    <n v="0.02"/>
    <s v="Cash"/>
    <s v="Retail"/>
    <x v="8"/>
  </r>
  <r>
    <n v="1034"/>
    <x v="256"/>
    <d v="2023-02-11T00:00:00"/>
    <x v="1"/>
    <s v="Feb"/>
    <x v="0"/>
    <x v="0"/>
    <n v="17879.031482809747"/>
    <n v="26"/>
    <x v="2"/>
    <n v="667"/>
    <n v="718.72"/>
    <n v="597.25119999999879"/>
    <s v="New"/>
    <n v="0.04"/>
    <s v="Cash"/>
    <s v="Retail"/>
    <x v="0"/>
  </r>
  <r>
    <n v="1028"/>
    <x v="295"/>
    <d v="2023-02-11T00:00:00"/>
    <x v="1"/>
    <s v="Feb"/>
    <x v="3"/>
    <x v="1"/>
    <n v="63702.874846975858"/>
    <n v="24"/>
    <x v="1"/>
    <n v="2521.0300000000002"/>
    <n v="2766.05"/>
    <n v="3225.0719999999928"/>
    <s v="Returning"/>
    <n v="0.04"/>
    <s v="Bank Transfer"/>
    <s v="Retail"/>
    <x v="16"/>
  </r>
  <r>
    <n v="1050"/>
    <x v="31"/>
    <d v="2023-02-11T00:00:00"/>
    <x v="1"/>
    <s v="Feb"/>
    <x v="1"/>
    <x v="2"/>
    <n v="39230.207999999999"/>
    <n v="48"/>
    <x v="0"/>
    <n v="710.06"/>
    <n v="851.34999999999991"/>
    <n v="5147.3279999999995"/>
    <s v="Returning"/>
    <n v="0.04"/>
    <s v="Bank Transfer"/>
    <s v="Online"/>
    <x v="15"/>
  </r>
  <r>
    <n v="1021"/>
    <x v="380"/>
    <d v="2023-02-11T00:00:00"/>
    <x v="1"/>
    <s v="Feb"/>
    <x v="1"/>
    <x v="2"/>
    <n v="35348.665144792903"/>
    <n v="32"/>
    <x v="3"/>
    <n v="900.79"/>
    <n v="1106.51"/>
    <n v="6583.0400000000009"/>
    <s v="New"/>
    <n v="0"/>
    <s v="Cash"/>
    <s v="Online"/>
    <x v="15"/>
  </r>
  <r>
    <n v="1014"/>
    <x v="125"/>
    <d v="2023-02-11T00:00:00"/>
    <x v="1"/>
    <s v="Feb"/>
    <x v="4"/>
    <x v="2"/>
    <n v="118547.41029166638"/>
    <n v="44"/>
    <x v="3"/>
    <n v="2257.48"/>
    <n v="2747.81"/>
    <n v="19156.447199999995"/>
    <s v="Returning"/>
    <n v="0.02"/>
    <s v="Cash"/>
    <s v="Online"/>
    <x v="17"/>
  </r>
  <r>
    <n v="1076"/>
    <x v="129"/>
    <d v="2023-02-13T00:00:00"/>
    <x v="1"/>
    <s v="Feb"/>
    <x v="0"/>
    <x v="3"/>
    <n v="10386.761451521543"/>
    <n v="17"/>
    <x v="1"/>
    <n v="604.08000000000004"/>
    <n v="624.71"/>
    <n v="138.3086000000003"/>
    <s v="New"/>
    <n v="0.02"/>
    <s v="Bank Transfer"/>
    <s v="Retail"/>
    <x v="5"/>
  </r>
  <r>
    <n v="1044"/>
    <x v="357"/>
    <d v="2023-02-14T00:00:00"/>
    <x v="1"/>
    <s v="Feb"/>
    <x v="4"/>
    <x v="2"/>
    <n v="29550.11625779697"/>
    <n v="12"/>
    <x v="2"/>
    <n v="2221.31"/>
    <n v="2494.48"/>
    <n v="2978.7023999999983"/>
    <s v="Returning"/>
    <n v="0.01"/>
    <s v="Bank Transfer"/>
    <s v="Online"/>
    <x v="17"/>
  </r>
  <r>
    <n v="1099"/>
    <x v="16"/>
    <d v="2023-02-14T00:00:00"/>
    <x v="1"/>
    <s v="Feb"/>
    <x v="4"/>
    <x v="0"/>
    <n v="61103.705600000001"/>
    <n v="32"/>
    <x v="1"/>
    <n v="1517.86"/>
    <n v="1948.46"/>
    <n v="12532.185600000004"/>
    <s v="New"/>
    <n v="0.02"/>
    <s v="Credit Card"/>
    <s v="Online"/>
    <x v="13"/>
  </r>
  <r>
    <n v="1074"/>
    <x v="107"/>
    <d v="2023-02-15T00:00:00"/>
    <x v="1"/>
    <s v="Feb"/>
    <x v="2"/>
    <x v="2"/>
    <n v="1688.6529"/>
    <n v="1"/>
    <x v="0"/>
    <n v="1304.23"/>
    <n v="1705.71"/>
    <n v="384.42290000000003"/>
    <s v="Returning"/>
    <n v="0.01"/>
    <s v="Cash"/>
    <s v="Retail"/>
    <x v="14"/>
  </r>
  <r>
    <n v="1025"/>
    <x v="155"/>
    <d v="2023-02-15T00:00:00"/>
    <x v="1"/>
    <s v="Feb"/>
    <x v="4"/>
    <x v="0"/>
    <n v="73175.148376093988"/>
    <n v="45"/>
    <x v="1"/>
    <n v="1588.04"/>
    <n v="1703.6399999999999"/>
    <n v="1368.8099999999952"/>
    <s v="New"/>
    <n v="0.05"/>
    <s v="Bank Transfer"/>
    <s v="Retail"/>
    <x v="13"/>
  </r>
  <r>
    <n v="1094"/>
    <x v="230"/>
    <d v="2023-02-15T00:00:00"/>
    <x v="1"/>
    <s v="Feb"/>
    <x v="1"/>
    <x v="0"/>
    <n v="165678.2742372014"/>
    <n v="47"/>
    <x v="3"/>
    <n v="3450.36"/>
    <n v="3557.38"/>
    <n v="3357.9713999999935"/>
    <s v="New"/>
    <n v="0.01"/>
    <s v="Credit Card"/>
    <s v="Online"/>
    <x v="10"/>
  </r>
  <r>
    <n v="1074"/>
    <x v="107"/>
    <d v="2023-02-15T00:00:00"/>
    <x v="1"/>
    <s v="Feb"/>
    <x v="3"/>
    <x v="0"/>
    <n v="39224.194567366671"/>
    <n v="31"/>
    <x v="0"/>
    <n v="1138.32"/>
    <n v="1266.25"/>
    <n v="3965.8300000000017"/>
    <s v="Returning"/>
    <n v="0"/>
    <s v="Cash"/>
    <s v="Retail"/>
    <x v="11"/>
  </r>
  <r>
    <n v="1053"/>
    <x v="265"/>
    <d v="2023-02-16T00:00:00"/>
    <x v="1"/>
    <s v="Feb"/>
    <x v="0"/>
    <x v="2"/>
    <n v="17735.481499999998"/>
    <n v="11"/>
    <x v="0"/>
    <n v="1582.86"/>
    <n v="1942.55"/>
    <n v="324.02150000000006"/>
    <s v="New"/>
    <n v="0.17"/>
    <s v="Credit Card"/>
    <s v="Retail"/>
    <x v="2"/>
  </r>
  <r>
    <n v="1010"/>
    <x v="29"/>
    <d v="2023-02-16T00:00:00"/>
    <x v="1"/>
    <s v="Feb"/>
    <x v="4"/>
    <x v="1"/>
    <n v="107354.30740000001"/>
    <n v="47"/>
    <x v="0"/>
    <n v="2265.38"/>
    <n v="2429.9300000000003"/>
    <n v="881.44739999999319"/>
    <s v="Returning"/>
    <n v="0.06"/>
    <s v="Bank Transfer"/>
    <s v="Online"/>
    <x v="6"/>
  </r>
  <r>
    <n v="1044"/>
    <x v="69"/>
    <d v="2023-02-16T00:00:00"/>
    <x v="1"/>
    <s v="Feb"/>
    <x v="4"/>
    <x v="0"/>
    <n v="75289.654209087486"/>
    <n v="22"/>
    <x v="3"/>
    <n v="3373.46"/>
    <n v="3454.76"/>
    <n v="1028.5528000000068"/>
    <s v="Returning"/>
    <n v="0.01"/>
    <s v="Bank Transfer"/>
    <s v="Retail"/>
    <x v="13"/>
  </r>
  <r>
    <n v="1028"/>
    <x v="332"/>
    <d v="2023-02-16T00:00:00"/>
    <x v="1"/>
    <s v="Feb"/>
    <x v="2"/>
    <x v="1"/>
    <n v="52730.8992"/>
    <n v="24"/>
    <x v="2"/>
    <n v="1969.09"/>
    <n v="2241.96"/>
    <n v="5472.7392000000054"/>
    <s v="Returning"/>
    <n v="0.02"/>
    <s v="Credit Card"/>
    <s v="Online"/>
    <x v="8"/>
  </r>
  <r>
    <n v="1001"/>
    <x v="292"/>
    <d v="2023-02-18T00:00:00"/>
    <x v="1"/>
    <s v="Feb"/>
    <x v="4"/>
    <x v="2"/>
    <n v="32314.561199999996"/>
    <n v="27"/>
    <x v="1"/>
    <n v="939.02"/>
    <n v="1286.92"/>
    <n v="6961.0211999999974"/>
    <s v="Returning"/>
    <n v="7.0000000000000007E-2"/>
    <s v="Credit Card"/>
    <s v="Retail"/>
    <x v="17"/>
  </r>
  <r>
    <n v="1007"/>
    <x v="192"/>
    <d v="2023-02-18T00:00:00"/>
    <x v="1"/>
    <s v="Feb"/>
    <x v="3"/>
    <x v="0"/>
    <n v="72386.717399999994"/>
    <n v="34"/>
    <x v="1"/>
    <n v="1921.07"/>
    <n v="2289.27"/>
    <n v="7070.3374000000003"/>
    <s v="Returning"/>
    <n v="7.0000000000000007E-2"/>
    <s v="Bank Transfer"/>
    <s v="Retail"/>
    <x v="11"/>
  </r>
  <r>
    <n v="1084"/>
    <x v="61"/>
    <d v="2023-02-19T00:00:00"/>
    <x v="1"/>
    <s v="Feb"/>
    <x v="4"/>
    <x v="2"/>
    <n v="23899.554000000004"/>
    <n v="35"/>
    <x v="3"/>
    <n v="465.61"/>
    <n v="812.91000000000008"/>
    <n v="7603.2040000000015"/>
    <s v="New"/>
    <n v="0.16"/>
    <s v="Bank Transfer"/>
    <s v="Online"/>
    <x v="17"/>
  </r>
  <r>
    <n v="1003"/>
    <x v="367"/>
    <d v="2023-02-19T00:00:00"/>
    <x v="1"/>
    <s v="Feb"/>
    <x v="3"/>
    <x v="1"/>
    <n v="234820.17275299458"/>
    <n v="45"/>
    <x v="2"/>
    <n v="4974.1400000000003"/>
    <n v="5227.93"/>
    <n v="11420.55"/>
    <s v="New"/>
    <n v="0"/>
    <s v="Bank Transfer"/>
    <s v="Online"/>
    <x v="16"/>
  </r>
  <r>
    <n v="1017"/>
    <x v="75"/>
    <d v="2023-02-20T00:00:00"/>
    <x v="1"/>
    <s v="Feb"/>
    <x v="1"/>
    <x v="3"/>
    <n v="2566.9632000000001"/>
    <n v="16"/>
    <x v="0"/>
    <n v="102.23"/>
    <n v="167.12"/>
    <n v="931.28320000000008"/>
    <s v="New"/>
    <n v="0.04"/>
    <s v="Credit Card"/>
    <s v="Retail"/>
    <x v="7"/>
  </r>
  <r>
    <n v="1002"/>
    <x v="368"/>
    <d v="2023-02-20T00:00:00"/>
    <x v="1"/>
    <s v="Feb"/>
    <x v="1"/>
    <x v="2"/>
    <n v="14277.692089366552"/>
    <n v="26"/>
    <x v="3"/>
    <n v="508.94"/>
    <n v="557.69000000000005"/>
    <n v="977.50120000000027"/>
    <s v="New"/>
    <n v="0.02"/>
    <s v="Credit Card"/>
    <s v="Retail"/>
    <x v="15"/>
  </r>
  <r>
    <n v="1049"/>
    <x v="114"/>
    <d v="2023-02-21T00:00:00"/>
    <x v="1"/>
    <s v="Feb"/>
    <x v="3"/>
    <x v="1"/>
    <n v="111627.35749999998"/>
    <n v="31"/>
    <x v="2"/>
    <n v="3570.24"/>
    <n v="3712.25"/>
    <n v="949.91749999999774"/>
    <s v="New"/>
    <n v="0.03"/>
    <s v="Credit Card"/>
    <s v="Online"/>
    <x v="16"/>
  </r>
  <r>
    <n v="1046"/>
    <x v="150"/>
    <d v="2023-02-22T00:00:00"/>
    <x v="1"/>
    <s v="Feb"/>
    <x v="3"/>
    <x v="0"/>
    <n v="118952.72480000001"/>
    <n v="46"/>
    <x v="1"/>
    <n v="2551.56"/>
    <n v="2841.68"/>
    <n v="1580.9648000000088"/>
    <s v="New"/>
    <n v="0.09"/>
    <s v="Bank Transfer"/>
    <s v="Retail"/>
    <x v="11"/>
  </r>
  <r>
    <n v="1048"/>
    <x v="364"/>
    <d v="2023-02-23T00:00:00"/>
    <x v="1"/>
    <s v="Feb"/>
    <x v="2"/>
    <x v="2"/>
    <n v="216577.21348113785"/>
    <n v="47"/>
    <x v="3"/>
    <n v="4535.8599999999997"/>
    <n v="4641.41"/>
    <n v="2779.3873000000103"/>
    <s v="New"/>
    <n v="0.01"/>
    <s v="Credit Card"/>
    <s v="Retail"/>
    <x v="14"/>
  </r>
  <r>
    <n v="1100"/>
    <x v="350"/>
    <d v="2023-02-23T00:00:00"/>
    <x v="1"/>
    <s v="Feb"/>
    <x v="0"/>
    <x v="3"/>
    <n v="105274.7586"/>
    <n v="43"/>
    <x v="0"/>
    <n v="2116.09"/>
    <n v="2472.98"/>
    <n v="14282.888599999991"/>
    <s v="New"/>
    <n v="0.01"/>
    <s v="Credit Card"/>
    <s v="Retail"/>
    <x v="5"/>
  </r>
  <r>
    <n v="1094"/>
    <x v="51"/>
    <d v="2023-02-24T00:00:00"/>
    <x v="1"/>
    <s v="Feb"/>
    <x v="2"/>
    <x v="2"/>
    <n v="29285.899268860157"/>
    <n v="7"/>
    <x v="0"/>
    <n v="4122.38"/>
    <n v="4358.78"/>
    <n v="434.34159999999702"/>
    <s v="Returning"/>
    <n v="0.04"/>
    <s v="Bank Transfer"/>
    <s v="Retail"/>
    <x v="14"/>
  </r>
  <r>
    <n v="1008"/>
    <x v="162"/>
    <d v="2023-02-24T00:00:00"/>
    <x v="1"/>
    <s v="Feb"/>
    <x v="0"/>
    <x v="2"/>
    <n v="50476.569000000003"/>
    <n v="22"/>
    <x v="2"/>
    <n v="2269.3200000000002"/>
    <n v="2365.3500000000004"/>
    <n v="551.52900000000136"/>
    <s v="New"/>
    <n v="0.03"/>
    <s v="Cash"/>
    <s v="Retail"/>
    <x v="2"/>
  </r>
  <r>
    <n v="1068"/>
    <x v="78"/>
    <d v="2023-02-24T00:00:00"/>
    <x v="1"/>
    <s v="Feb"/>
    <x v="2"/>
    <x v="3"/>
    <n v="80285.628659363399"/>
    <n v="22"/>
    <x v="1"/>
    <n v="3619.61"/>
    <n v="3651.42"/>
    <n v="699.8199999999988"/>
    <s v="Returning"/>
    <n v="0"/>
    <s v="Bank Transfer"/>
    <s v="Online"/>
    <x v="3"/>
  </r>
  <r>
    <n v="1099"/>
    <x v="16"/>
    <d v="2023-02-24T00:00:00"/>
    <x v="1"/>
    <s v="Feb"/>
    <x v="4"/>
    <x v="1"/>
    <n v="92450.727550514668"/>
    <n v="35"/>
    <x v="1"/>
    <n v="2610.19"/>
    <n v="2682.53"/>
    <n v="654.12900000000718"/>
    <s v="New"/>
    <n v="0.02"/>
    <s v="Cash"/>
    <s v="Retail"/>
    <x v="6"/>
  </r>
  <r>
    <n v="1054"/>
    <x v="251"/>
    <d v="2023-02-24T00:00:00"/>
    <x v="1"/>
    <s v="Feb"/>
    <x v="3"/>
    <x v="3"/>
    <n v="94103.254885235685"/>
    <n v="43"/>
    <x v="3"/>
    <n v="2124.7199999999998"/>
    <n v="2188.66"/>
    <n v="2749.4200000000023"/>
    <s v="Returning"/>
    <n v="0"/>
    <s v="Credit Card"/>
    <s v="Retail"/>
    <x v="4"/>
  </r>
  <r>
    <n v="1013"/>
    <x v="189"/>
    <d v="2023-02-25T00:00:00"/>
    <x v="1"/>
    <s v="Feb"/>
    <x v="0"/>
    <x v="1"/>
    <n v="91043.412810173002"/>
    <n v="31"/>
    <x v="3"/>
    <n v="2757.06"/>
    <n v="3023.97"/>
    <n v="5461.9178999999876"/>
    <s v="Returning"/>
    <n v="0.03"/>
    <s v="Cash"/>
    <s v="Online"/>
    <x v="19"/>
  </r>
  <r>
    <n v="1086"/>
    <x v="338"/>
    <d v="2023-02-26T00:00:00"/>
    <x v="1"/>
    <s v="Feb"/>
    <x v="2"/>
    <x v="2"/>
    <n v="25307.69885578391"/>
    <n v="5"/>
    <x v="2"/>
    <n v="4934.1000000000004"/>
    <n v="5191.0200000000004"/>
    <n v="765.49799999999777"/>
    <s v="New"/>
    <n v="0.02"/>
    <s v="Bank Transfer"/>
    <s v="Online"/>
    <x v="14"/>
  </r>
  <r>
    <n v="1083"/>
    <x v="377"/>
    <d v="2023-02-27T00:00:00"/>
    <x v="1"/>
    <s v="Feb"/>
    <x v="3"/>
    <x v="2"/>
    <n v="79269.3"/>
    <n v="20"/>
    <x v="1"/>
    <n v="3617.59"/>
    <n v="4003.5"/>
    <n v="6917.5"/>
    <s v="New"/>
    <n v="0.01"/>
    <s v="Credit Card"/>
    <s v="Retail"/>
    <x v="9"/>
  </r>
  <r>
    <n v="1085"/>
    <x v="5"/>
    <d v="2023-02-27T00:00:00"/>
    <x v="1"/>
    <s v="Feb"/>
    <x v="0"/>
    <x v="2"/>
    <n v="168348.45000156958"/>
    <n v="45"/>
    <x v="0"/>
    <n v="3325.96"/>
    <n v="3781.4"/>
    <n v="18793.170000000009"/>
    <s v="Returning"/>
    <n v="0.01"/>
    <s v="Credit Card"/>
    <s v="Online"/>
    <x v="2"/>
  </r>
  <r>
    <n v="1025"/>
    <x v="381"/>
    <d v="2023-02-28T00:00:00"/>
    <x v="1"/>
    <s v="Feb"/>
    <x v="2"/>
    <x v="1"/>
    <n v="12341.369687475299"/>
    <n v="14"/>
    <x v="2"/>
    <n v="859.59"/>
    <n v="884.51"/>
    <n v="348.87999999999943"/>
    <s v="New"/>
    <n v="0"/>
    <s v="Bank Transfer"/>
    <s v="Online"/>
    <x v="8"/>
  </r>
  <r>
    <n v="1033"/>
    <x v="220"/>
    <d v="2023-02-28T00:00:00"/>
    <x v="1"/>
    <s v="Feb"/>
    <x v="4"/>
    <x v="2"/>
    <n v="9255.0289793499633"/>
    <n v="3"/>
    <x v="1"/>
    <n v="2958.75"/>
    <n v="3177.64"/>
    <n v="370.68239999999923"/>
    <s v="Returning"/>
    <n v="0.03"/>
    <s v="Cash"/>
    <s v="Online"/>
    <x v="17"/>
  </r>
  <r>
    <n v="1087"/>
    <x v="372"/>
    <d v="2023-02-28T00:00:00"/>
    <x v="1"/>
    <s v="Feb"/>
    <x v="3"/>
    <x v="2"/>
    <n v="61560.508373151031"/>
    <n v="15"/>
    <x v="0"/>
    <n v="4074.66"/>
    <n v="4261.1099999999997"/>
    <n v="240.08399999999256"/>
    <s v="Returning"/>
    <n v="0.04"/>
    <s v="Credit Card"/>
    <s v="Retail"/>
    <x v="9"/>
  </r>
  <r>
    <n v="1056"/>
    <x v="145"/>
    <d v="2023-02-28T00:00:00"/>
    <x v="1"/>
    <s v="Feb"/>
    <x v="0"/>
    <x v="3"/>
    <n v="59272.576876104831"/>
    <n v="37"/>
    <x v="2"/>
    <n v="1555.41"/>
    <n v="1609.94"/>
    <n v="2017.609999999999"/>
    <s v="Returning"/>
    <n v="0"/>
    <s v="Credit Card"/>
    <s v="Online"/>
    <x v="5"/>
  </r>
  <r>
    <n v="1012"/>
    <x v="296"/>
    <d v="2023-02-28T00:00:00"/>
    <x v="1"/>
    <s v="Feb"/>
    <x v="4"/>
    <x v="1"/>
    <n v="128804.32910016848"/>
    <n v="33"/>
    <x v="3"/>
    <n v="3831.09"/>
    <n v="3908.3700000000003"/>
    <n v="2550.2400000000066"/>
    <s v="New"/>
    <n v="0"/>
    <s v="Cash"/>
    <s v="Retail"/>
    <x v="6"/>
  </r>
  <r>
    <n v="1007"/>
    <x v="205"/>
    <d v="2023-02-28T00:00:00"/>
    <x v="1"/>
    <s v="Feb"/>
    <x v="1"/>
    <x v="1"/>
    <n v="176518.1178979"/>
    <n v="43"/>
    <x v="0"/>
    <n v="3967.25"/>
    <n v="4272.92"/>
    <n v="5794.3876000000046"/>
    <s v="New"/>
    <n v="0.04"/>
    <s v="Credit Card"/>
    <s v="Online"/>
    <x v="1"/>
  </r>
  <r>
    <n v="1029"/>
    <x v="146"/>
    <d v="2023-03-01T00:00:00"/>
    <x v="1"/>
    <s v="Mar"/>
    <x v="4"/>
    <x v="1"/>
    <n v="83043.814221128661"/>
    <n v="28"/>
    <x v="1"/>
    <n v="2873.53"/>
    <n v="3108.3"/>
    <n v="2221.9400000000005"/>
    <s v="New"/>
    <n v="0.05"/>
    <s v="Credit Card"/>
    <s v="Retail"/>
    <x v="6"/>
  </r>
  <r>
    <n v="1041"/>
    <x v="382"/>
    <d v="2023-03-01T00:00:00"/>
    <x v="1"/>
    <s v="Mar"/>
    <x v="1"/>
    <x v="1"/>
    <n v="148011.05164929118"/>
    <n v="44"/>
    <x v="2"/>
    <n v="3288.39"/>
    <n v="3391.46"/>
    <n v="3042.8376000000044"/>
    <s v="New"/>
    <n v="0.01"/>
    <s v="Credit Card"/>
    <s v="Retail"/>
    <x v="1"/>
  </r>
  <r>
    <n v="1034"/>
    <x v="139"/>
    <d v="2023-03-01T00:00:00"/>
    <x v="1"/>
    <s v="Mar"/>
    <x v="1"/>
    <x v="2"/>
    <n v="103114.87073786974"/>
    <n v="45"/>
    <x v="3"/>
    <n v="2013.12"/>
    <n v="2321.87"/>
    <n v="12848.908500000005"/>
    <s v="New"/>
    <n v="0.01"/>
    <s v="Bank Transfer"/>
    <s v="Retail"/>
    <x v="15"/>
  </r>
  <r>
    <n v="1058"/>
    <x v="222"/>
    <d v="2023-03-02T00:00:00"/>
    <x v="1"/>
    <s v="Mar"/>
    <x v="0"/>
    <x v="2"/>
    <n v="139117.05855627314"/>
    <n v="39"/>
    <x v="3"/>
    <n v="3542.8"/>
    <n v="3603.02"/>
    <n v="943.40219999998635"/>
    <s v="Returning"/>
    <n v="0.01"/>
    <s v="Cash"/>
    <s v="Online"/>
    <x v="2"/>
  </r>
  <r>
    <n v="1023"/>
    <x v="383"/>
    <d v="2023-03-02T00:00:00"/>
    <x v="1"/>
    <s v="Mar"/>
    <x v="4"/>
    <x v="2"/>
    <n v="180254.4604082717"/>
    <n v="39"/>
    <x v="3"/>
    <n v="4450.6099999999997"/>
    <n v="4663.3399999999992"/>
    <n v="6477.7673999999943"/>
    <s v="New"/>
    <n v="0.01"/>
    <s v="Cash"/>
    <s v="Retail"/>
    <x v="17"/>
  </r>
  <r>
    <n v="1058"/>
    <x v="345"/>
    <d v="2023-03-02T00:00:00"/>
    <x v="1"/>
    <s v="Mar"/>
    <x v="0"/>
    <x v="1"/>
    <n v="73540.616361709937"/>
    <n v="49"/>
    <x v="0"/>
    <n v="1307.22"/>
    <n v="1528.4"/>
    <n v="9339.9880000000048"/>
    <s v="Returning"/>
    <n v="0.02"/>
    <s v="Cash"/>
    <s v="Retail"/>
    <x v="19"/>
  </r>
  <r>
    <n v="1007"/>
    <x v="221"/>
    <d v="2023-03-03T00:00:00"/>
    <x v="1"/>
    <s v="Mar"/>
    <x v="0"/>
    <x v="2"/>
    <n v="2610.5212424160427"/>
    <n v="1"/>
    <x v="3"/>
    <n v="2543.2600000000002"/>
    <n v="2637.9100000000003"/>
    <n v="68.270899999999983"/>
    <s v="Returning"/>
    <n v="0.01"/>
    <s v="Credit Card"/>
    <s v="Online"/>
    <x v="2"/>
  </r>
  <r>
    <n v="1089"/>
    <x v="111"/>
    <d v="2023-03-03T00:00:00"/>
    <x v="1"/>
    <s v="Mar"/>
    <x v="1"/>
    <x v="3"/>
    <n v="16859.98469875865"/>
    <n v="4"/>
    <x v="0"/>
    <n v="4117.67"/>
    <n v="4280.0600000000004"/>
    <n v="307.15520000000106"/>
    <s v="Returning"/>
    <n v="0.02"/>
    <s v="Bank Transfer"/>
    <s v="Online"/>
    <x v="7"/>
  </r>
  <r>
    <n v="1095"/>
    <x v="94"/>
    <d v="2023-03-03T00:00:00"/>
    <x v="1"/>
    <s v="Mar"/>
    <x v="0"/>
    <x v="1"/>
    <n v="57861.94549133371"/>
    <n v="16"/>
    <x v="2"/>
    <n v="3591.05"/>
    <n v="3625.3500000000004"/>
    <n v="548.80000000000291"/>
    <s v="Returning"/>
    <n v="0"/>
    <s v="Credit Card"/>
    <s v="Retail"/>
    <x v="19"/>
  </r>
  <r>
    <n v="1035"/>
    <x v="384"/>
    <d v="2023-03-03T00:00:00"/>
    <x v="1"/>
    <s v="Mar"/>
    <x v="2"/>
    <x v="2"/>
    <n v="140212.91124648644"/>
    <n v="47"/>
    <x v="2"/>
    <n v="2936.48"/>
    <n v="3096.64"/>
    <n v="1705.8367999999891"/>
    <s v="New"/>
    <n v="0.04"/>
    <s v="Bank Transfer"/>
    <s v="Online"/>
    <x v="14"/>
  </r>
  <r>
    <n v="1009"/>
    <x v="355"/>
    <d v="2023-03-04T00:00:00"/>
    <x v="1"/>
    <s v="Mar"/>
    <x v="4"/>
    <x v="1"/>
    <n v="3515.3980476172533"/>
    <n v="1"/>
    <x v="1"/>
    <n v="3223.07"/>
    <n v="3590.83"/>
    <n v="295.94339999999966"/>
    <s v="New"/>
    <n v="0.02"/>
    <s v="Bank Transfer"/>
    <s v="Retail"/>
    <x v="6"/>
  </r>
  <r>
    <n v="1070"/>
    <x v="56"/>
    <d v="2023-03-04T00:00:00"/>
    <x v="1"/>
    <s v="Mar"/>
    <x v="2"/>
    <x v="0"/>
    <n v="56689.564499999993"/>
    <n v="15"/>
    <x v="2"/>
    <n v="3653.66"/>
    <n v="3896.19"/>
    <n v="1884.664499999999"/>
    <s v="New"/>
    <n v="0.03"/>
    <s v="Credit Card"/>
    <s v="Retail"/>
    <x v="18"/>
  </r>
  <r>
    <n v="1033"/>
    <x v="220"/>
    <d v="2023-03-04T00:00:00"/>
    <x v="1"/>
    <s v="Mar"/>
    <x v="2"/>
    <x v="2"/>
    <n v="8548.2053999999989"/>
    <n v="14"/>
    <x v="1"/>
    <n v="362.38"/>
    <n v="753.81"/>
    <n v="3474.8854000000001"/>
    <s v="Returning"/>
    <n v="0.19"/>
    <s v="Cash"/>
    <s v="Retail"/>
    <x v="14"/>
  </r>
  <r>
    <n v="1094"/>
    <x v="230"/>
    <d v="2023-03-04T00:00:00"/>
    <x v="1"/>
    <s v="Mar"/>
    <x v="2"/>
    <x v="3"/>
    <n v="34034.592912587919"/>
    <n v="49"/>
    <x v="3"/>
    <n v="615.47"/>
    <n v="715.84"/>
    <n v="3865.8452000000016"/>
    <s v="Returning"/>
    <n v="0.03"/>
    <s v="Credit Card"/>
    <s v="Retail"/>
    <x v="3"/>
  </r>
  <r>
    <n v="1099"/>
    <x v="122"/>
    <d v="2023-03-04T00:00:00"/>
    <x v="1"/>
    <s v="Mar"/>
    <x v="4"/>
    <x v="1"/>
    <n v="19555.599999999999"/>
    <n v="10"/>
    <x v="0"/>
    <n v="1531.2"/>
    <n v="1955.56"/>
    <n v="4243.5999999999985"/>
    <s v="New"/>
    <n v="0"/>
    <s v="Credit Card"/>
    <s v="Online"/>
    <x v="6"/>
  </r>
  <r>
    <n v="1058"/>
    <x v="345"/>
    <d v="2023-03-05T00:00:00"/>
    <x v="1"/>
    <s v="Mar"/>
    <x v="0"/>
    <x v="3"/>
    <n v="125109.50399999999"/>
    <n v="48"/>
    <x v="0"/>
    <n v="2596.7199999999998"/>
    <n v="2715.0499999999997"/>
    <n v="466.94400000000314"/>
    <s v="Returning"/>
    <n v="0.04"/>
    <s v="Cash"/>
    <s v="Online"/>
    <x v="5"/>
  </r>
  <r>
    <n v="1050"/>
    <x v="228"/>
    <d v="2023-03-05T00:00:00"/>
    <x v="1"/>
    <s v="Mar"/>
    <x v="2"/>
    <x v="3"/>
    <n v="72157.994977675757"/>
    <n v="20"/>
    <x v="2"/>
    <n v="3318.92"/>
    <n v="3785.91"/>
    <n v="5553.8899999999921"/>
    <s v="New"/>
    <n v="0.05"/>
    <s v="Bank Transfer"/>
    <s v="Online"/>
    <x v="3"/>
  </r>
  <r>
    <n v="1024"/>
    <x v="290"/>
    <d v="2023-03-06T00:00:00"/>
    <x v="1"/>
    <s v="Mar"/>
    <x v="3"/>
    <x v="0"/>
    <n v="52321.457999999999"/>
    <n v="35"/>
    <x v="2"/>
    <n v="1258.53"/>
    <n v="1624.8899999999999"/>
    <n v="8272.9079999999994"/>
    <s v="New"/>
    <n v="0.08"/>
    <s v="Credit Card"/>
    <s v="Online"/>
    <x v="11"/>
  </r>
  <r>
    <n v="1005"/>
    <x v="218"/>
    <d v="2023-03-08T00:00:00"/>
    <x v="1"/>
    <s v="Mar"/>
    <x v="3"/>
    <x v="3"/>
    <n v="6154.02"/>
    <n v="12"/>
    <x v="1"/>
    <n v="253.29"/>
    <n v="683.78"/>
    <n v="3114.5400000000009"/>
    <s v="New"/>
    <n v="0.25"/>
    <s v="Credit Card"/>
    <s v="Online"/>
    <x v="4"/>
  </r>
  <r>
    <n v="1067"/>
    <x v="119"/>
    <d v="2023-03-08T00:00:00"/>
    <x v="1"/>
    <s v="Mar"/>
    <x v="2"/>
    <x v="1"/>
    <n v="104363.658"/>
    <n v="28"/>
    <x v="2"/>
    <n v="3489.85"/>
    <n v="3842.5499999999997"/>
    <n v="6647.8579999999965"/>
    <s v="New"/>
    <n v="0.03"/>
    <s v="Bank Transfer"/>
    <s v="Online"/>
    <x v="8"/>
  </r>
  <r>
    <n v="1058"/>
    <x v="345"/>
    <d v="2023-03-09T00:00:00"/>
    <x v="1"/>
    <s v="Mar"/>
    <x v="0"/>
    <x v="0"/>
    <n v="100273.9489037818"/>
    <n v="40"/>
    <x v="0"/>
    <n v="2249.7600000000002"/>
    <n v="2598.4"/>
    <n v="9788.1599999999889"/>
    <s v="Returning"/>
    <n v="0.04"/>
    <s v="Credit Card"/>
    <s v="Retail"/>
    <x v="0"/>
  </r>
  <r>
    <n v="1040"/>
    <x v="45"/>
    <d v="2023-03-10T00:00:00"/>
    <x v="1"/>
    <s v="Mar"/>
    <x v="1"/>
    <x v="1"/>
    <n v="36024.642520507274"/>
    <n v="13"/>
    <x v="1"/>
    <n v="2750.18"/>
    <n v="2882.85"/>
    <n v="225.62799999999697"/>
    <s v="Returning"/>
    <n v="0.04"/>
    <s v="Credit Card"/>
    <s v="Online"/>
    <x v="1"/>
  </r>
  <r>
    <n v="1027"/>
    <x v="3"/>
    <d v="2023-03-10T00:00:00"/>
    <x v="1"/>
    <s v="Mar"/>
    <x v="0"/>
    <x v="0"/>
    <n v="56227.41599999999"/>
    <n v="21"/>
    <x v="3"/>
    <n v="2511.41"/>
    <n v="2848.3999999999996"/>
    <n v="3487.8059999999955"/>
    <s v="Returning"/>
    <n v="0.06"/>
    <s v="Bank Transfer"/>
    <s v="Online"/>
    <x v="0"/>
  </r>
  <r>
    <n v="1040"/>
    <x v="344"/>
    <d v="2023-03-10T00:00:00"/>
    <x v="1"/>
    <s v="Mar"/>
    <x v="3"/>
    <x v="1"/>
    <n v="181879.67538177362"/>
    <n v="42"/>
    <x v="2"/>
    <n v="4205.29"/>
    <n v="4382.3500000000004"/>
    <n v="5595.9329999999991"/>
    <s v="New"/>
    <n v="0.01"/>
    <s v="Cash"/>
    <s v="Retail"/>
    <x v="16"/>
  </r>
  <r>
    <n v="1038"/>
    <x v="225"/>
    <d v="2023-03-11T00:00:00"/>
    <x v="1"/>
    <s v="Mar"/>
    <x v="2"/>
    <x v="0"/>
    <n v="38921.895000000004"/>
    <n v="15"/>
    <x v="1"/>
    <n v="2543.36"/>
    <n v="2790.1000000000004"/>
    <n v="771.49499999999989"/>
    <s v="Returning"/>
    <n v="7.0000000000000007E-2"/>
    <s v="Cash"/>
    <s v="Online"/>
    <x v="18"/>
  </r>
  <r>
    <n v="1038"/>
    <x v="225"/>
    <d v="2023-03-13T00:00:00"/>
    <x v="1"/>
    <s v="Mar"/>
    <x v="4"/>
    <x v="3"/>
    <n v="3974.8401000000003"/>
    <n v="9"/>
    <x v="1"/>
    <n v="400.42"/>
    <n v="446.11"/>
    <n v="371.06010000000009"/>
    <s v="New"/>
    <n v="0.01"/>
    <s v="Bank Transfer"/>
    <s v="Retail"/>
    <x v="12"/>
  </r>
  <r>
    <n v="1030"/>
    <x v="195"/>
    <d v="2023-03-13T00:00:00"/>
    <x v="1"/>
    <s v="Mar"/>
    <x v="3"/>
    <x v="3"/>
    <n v="99370.507312816611"/>
    <n v="39"/>
    <x v="3"/>
    <n v="2511.2800000000002"/>
    <n v="2658.0600000000004"/>
    <n v="1577.8464000000072"/>
    <s v="New"/>
    <n v="0.04"/>
    <s v="Credit Card"/>
    <s v="Retail"/>
    <x v="4"/>
  </r>
  <r>
    <n v="1061"/>
    <x v="385"/>
    <d v="2023-03-13T00:00:00"/>
    <x v="1"/>
    <s v="Mar"/>
    <x v="2"/>
    <x v="0"/>
    <n v="30160.072799999998"/>
    <n v="11"/>
    <x v="1"/>
    <n v="2594.71"/>
    <n v="2769.52"/>
    <n v="1618.2627999999982"/>
    <s v="Returning"/>
    <n v="0.01"/>
    <s v="Bank Transfer"/>
    <s v="Retail"/>
    <x v="18"/>
  </r>
  <r>
    <n v="1032"/>
    <x v="386"/>
    <d v="2023-03-13T00:00:00"/>
    <x v="1"/>
    <s v="Mar"/>
    <x v="3"/>
    <x v="3"/>
    <n v="98191.016704855661"/>
    <n v="20"/>
    <x v="2"/>
    <n v="4741.59"/>
    <n v="4975.2300000000005"/>
    <n v="3677.7540000000045"/>
    <s v="New"/>
    <n v="0.01"/>
    <s v="Credit Card"/>
    <s v="Online"/>
    <x v="4"/>
  </r>
  <r>
    <n v="1062"/>
    <x v="282"/>
    <d v="2023-03-14T00:00:00"/>
    <x v="1"/>
    <s v="Mar"/>
    <x v="3"/>
    <x v="1"/>
    <n v="78004.691787276461"/>
    <n v="24"/>
    <x v="3"/>
    <n v="3018.01"/>
    <n v="3418.19"/>
    <n v="5502.4919999999911"/>
    <s v="Returning"/>
    <n v="0.05"/>
    <s v="Bank Transfer"/>
    <s v="Retail"/>
    <x v="16"/>
  </r>
  <r>
    <n v="1021"/>
    <x v="380"/>
    <d v="2023-03-14T00:00:00"/>
    <x v="1"/>
    <s v="Mar"/>
    <x v="4"/>
    <x v="0"/>
    <n v="20452.2624"/>
    <n v="23"/>
    <x v="3"/>
    <n v="580.75"/>
    <n v="956.16000000000008"/>
    <n v="7095.0123999999996"/>
    <s v="Returning"/>
    <n v="7.0000000000000007E-2"/>
    <s v="Cash"/>
    <s v="Retail"/>
    <x v="13"/>
  </r>
  <r>
    <n v="1090"/>
    <x v="298"/>
    <d v="2023-03-14T00:00:00"/>
    <x v="1"/>
    <s v="Mar"/>
    <x v="4"/>
    <x v="1"/>
    <n v="124135.66778702399"/>
    <n v="47"/>
    <x v="0"/>
    <n v="2310.8200000000002"/>
    <n v="2714.71"/>
    <n v="15155.088899999995"/>
    <s v="New"/>
    <n v="0.03"/>
    <s v="Cash"/>
    <s v="Retail"/>
    <x v="6"/>
  </r>
  <r>
    <n v="1060"/>
    <x v="366"/>
    <d v="2023-03-15T00:00:00"/>
    <x v="1"/>
    <s v="Mar"/>
    <x v="4"/>
    <x v="0"/>
    <n v="106142.36159999997"/>
    <n v="44"/>
    <x v="1"/>
    <n v="2211.9499999999998"/>
    <n v="2512.8399999999997"/>
    <n v="8816.5615999999845"/>
    <s v="Returning"/>
    <n v="0.04"/>
    <s v="Cash"/>
    <s v="Online"/>
    <x v="13"/>
  </r>
  <r>
    <n v="1098"/>
    <x v="326"/>
    <d v="2023-03-16T00:00:00"/>
    <x v="1"/>
    <s v="Mar"/>
    <x v="4"/>
    <x v="0"/>
    <n v="9330.763598914451"/>
    <n v="11"/>
    <x v="0"/>
    <n v="741.48"/>
    <n v="878.09"/>
    <n v="1212.9402999999998"/>
    <s v="New"/>
    <n v="0.03"/>
    <s v="Cash"/>
    <s v="Retail"/>
    <x v="13"/>
  </r>
  <r>
    <n v="1039"/>
    <x v="105"/>
    <d v="2023-03-16T00:00:00"/>
    <x v="1"/>
    <s v="Mar"/>
    <x v="0"/>
    <x v="3"/>
    <n v="100208.74499999998"/>
    <n v="35"/>
    <x v="0"/>
    <n v="2735.74"/>
    <n v="3181.2299999999996"/>
    <n v="4457.8449999999903"/>
    <s v="New"/>
    <n v="0.1"/>
    <s v="Credit Card"/>
    <s v="Retail"/>
    <x v="5"/>
  </r>
  <r>
    <n v="1062"/>
    <x v="18"/>
    <d v="2023-03-16T00:00:00"/>
    <x v="1"/>
    <s v="Mar"/>
    <x v="4"/>
    <x v="2"/>
    <n v="228136.02777546764"/>
    <n v="45"/>
    <x v="0"/>
    <n v="4849.6000000000004"/>
    <n v="5166.72"/>
    <n v="9620.3520000000062"/>
    <s v="Returning"/>
    <n v="0.02"/>
    <s v="Credit Card"/>
    <s v="Online"/>
    <x v="17"/>
  </r>
  <r>
    <n v="1097"/>
    <x v="306"/>
    <d v="2023-03-16T00:00:00"/>
    <x v="1"/>
    <s v="Mar"/>
    <x v="4"/>
    <x v="0"/>
    <n v="78698.655992014232"/>
    <n v="35"/>
    <x v="3"/>
    <n v="1958.49"/>
    <n v="2254.84"/>
    <n v="10372.250000000005"/>
    <s v="New"/>
    <n v="0"/>
    <s v="Credit Card"/>
    <s v="Online"/>
    <x v="13"/>
  </r>
  <r>
    <n v="1017"/>
    <x v="167"/>
    <d v="2023-03-17T00:00:00"/>
    <x v="1"/>
    <s v="Mar"/>
    <x v="2"/>
    <x v="3"/>
    <n v="106289.44310753138"/>
    <n v="28"/>
    <x v="1"/>
    <n v="3780.91"/>
    <n v="3892.73"/>
    <n v="951.03120000000126"/>
    <s v="Returning"/>
    <n v="0.02"/>
    <s v="Cash"/>
    <s v="Retail"/>
    <x v="3"/>
  </r>
  <r>
    <n v="1036"/>
    <x v="301"/>
    <d v="2023-03-17T00:00:00"/>
    <x v="1"/>
    <s v="Mar"/>
    <x v="3"/>
    <x v="1"/>
    <n v="83486.69720000001"/>
    <n v="23"/>
    <x v="3"/>
    <n v="3335.53"/>
    <n v="3742.1200000000003"/>
    <n v="6769.5071999999982"/>
    <s v="New"/>
    <n v="0.03"/>
    <s v="Bank Transfer"/>
    <s v="Retail"/>
    <x v="16"/>
  </r>
  <r>
    <n v="1024"/>
    <x v="290"/>
    <d v="2023-03-17T00:00:00"/>
    <x v="1"/>
    <s v="Mar"/>
    <x v="0"/>
    <x v="0"/>
    <n v="106501.88396529207"/>
    <n v="46"/>
    <x v="2"/>
    <n v="2016.49"/>
    <n v="2338.66"/>
    <n v="13744.036400000001"/>
    <s v="Returning"/>
    <n v="0.01"/>
    <s v="Bank Transfer"/>
    <s v="Retail"/>
    <x v="0"/>
  </r>
  <r>
    <n v="1016"/>
    <x v="305"/>
    <d v="2023-03-18T00:00:00"/>
    <x v="1"/>
    <s v="Mar"/>
    <x v="4"/>
    <x v="0"/>
    <n v="3379.1164497399736"/>
    <n v="4"/>
    <x v="3"/>
    <n v="688.98"/>
    <n v="863.81000000000006"/>
    <n v="630.2152000000001"/>
    <s v="New"/>
    <n v="0.02"/>
    <s v="Credit Card"/>
    <s v="Retail"/>
    <x v="13"/>
  </r>
  <r>
    <n v="1095"/>
    <x v="285"/>
    <d v="2023-03-18T00:00:00"/>
    <x v="1"/>
    <s v="Mar"/>
    <x v="0"/>
    <x v="0"/>
    <n v="58239.827799999999"/>
    <n v="43"/>
    <x v="0"/>
    <n v="1331.86"/>
    <n v="1758.98"/>
    <n v="969.84780000000706"/>
    <s v="Returning"/>
    <n v="0.23"/>
    <s v="Bank Transfer"/>
    <s v="Retail"/>
    <x v="0"/>
  </r>
  <r>
    <n v="1030"/>
    <x v="371"/>
    <d v="2023-03-19T00:00:00"/>
    <x v="1"/>
    <s v="Mar"/>
    <x v="4"/>
    <x v="1"/>
    <n v="1887.4856000000002"/>
    <n v="2"/>
    <x v="1"/>
    <n v="844.94"/>
    <n v="1225.6400000000001"/>
    <n v="197.60560000000009"/>
    <s v="Returning"/>
    <n v="0.23"/>
    <s v="Credit Card"/>
    <s v="Online"/>
    <x v="6"/>
  </r>
  <r>
    <n v="1035"/>
    <x v="120"/>
    <d v="2023-03-19T00:00:00"/>
    <x v="1"/>
    <s v="Mar"/>
    <x v="2"/>
    <x v="0"/>
    <n v="24370.297268683906"/>
    <n v="9"/>
    <x v="1"/>
    <n v="2534.94"/>
    <n v="2755.56"/>
    <n v="1489.5792000000006"/>
    <s v="Returning"/>
    <n v="0.02"/>
    <s v="Credit Card"/>
    <s v="Retail"/>
    <x v="18"/>
  </r>
  <r>
    <n v="1020"/>
    <x v="48"/>
    <d v="2023-03-19T00:00:00"/>
    <x v="1"/>
    <s v="Mar"/>
    <x v="0"/>
    <x v="2"/>
    <n v="35509.593053963174"/>
    <n v="19"/>
    <x v="3"/>
    <n v="1783.48"/>
    <n v="1931.56"/>
    <n v="1712.5307999999998"/>
    <s v="Returning"/>
    <n v="0.03"/>
    <s v="Bank Transfer"/>
    <s v="Retail"/>
    <x v="2"/>
  </r>
  <r>
    <n v="1011"/>
    <x v="387"/>
    <d v="2023-03-20T00:00:00"/>
    <x v="1"/>
    <s v="Mar"/>
    <x v="2"/>
    <x v="1"/>
    <n v="10185.970591917974"/>
    <n v="2"/>
    <x v="0"/>
    <n v="4906.17"/>
    <n v="5107.43"/>
    <n v="402.52000000000044"/>
    <s v="Returning"/>
    <n v="0"/>
    <s v="Cash"/>
    <s v="Online"/>
    <x v="8"/>
  </r>
  <r>
    <n v="1026"/>
    <x v="314"/>
    <d v="2023-03-20T00:00:00"/>
    <x v="1"/>
    <s v="Mar"/>
    <x v="2"/>
    <x v="1"/>
    <n v="99060.806015898983"/>
    <n v="19"/>
    <x v="2"/>
    <n v="4991.68"/>
    <n v="5296.6500000000015"/>
    <n v="3781.7030000000223"/>
    <s v="New"/>
    <n v="0.02"/>
    <s v="Bank Transfer"/>
    <s v="Online"/>
    <x v="8"/>
  </r>
  <r>
    <n v="1069"/>
    <x v="337"/>
    <d v="2023-03-21T00:00:00"/>
    <x v="1"/>
    <s v="Mar"/>
    <x v="2"/>
    <x v="1"/>
    <n v="74214.456799999985"/>
    <n v="29"/>
    <x v="0"/>
    <n v="2462.66"/>
    <n v="2908.0899999999997"/>
    <n v="2797.3167999999937"/>
    <s v="New"/>
    <n v="0.12"/>
    <s v="Credit Card"/>
    <s v="Online"/>
    <x v="8"/>
  </r>
  <r>
    <n v="1084"/>
    <x v="61"/>
    <d v="2023-03-21T00:00:00"/>
    <x v="1"/>
    <s v="Mar"/>
    <x v="0"/>
    <x v="0"/>
    <n v="119053.12203221457"/>
    <n v="40"/>
    <x v="3"/>
    <n v="2890.95"/>
    <n v="3104.43"/>
    <n v="3572.1119999999974"/>
    <s v="New"/>
    <n v="0.04"/>
    <s v="Bank Transfer"/>
    <s v="Online"/>
    <x v="0"/>
  </r>
  <r>
    <n v="1097"/>
    <x v="174"/>
    <d v="2023-03-22T00:00:00"/>
    <x v="1"/>
    <s v="Mar"/>
    <x v="0"/>
    <x v="3"/>
    <n v="29526.539849889905"/>
    <n v="6"/>
    <x v="2"/>
    <n v="4885.9799999999996"/>
    <n v="4949.95"/>
    <n v="86.823000000002139"/>
    <s v="Returning"/>
    <n v="0.01"/>
    <s v="Bank Transfer"/>
    <s v="Online"/>
    <x v="5"/>
  </r>
  <r>
    <n v="1076"/>
    <x v="9"/>
    <d v="2023-03-22T00:00:00"/>
    <x v="1"/>
    <s v="Mar"/>
    <x v="1"/>
    <x v="0"/>
    <n v="65498.645760611857"/>
    <n v="23"/>
    <x v="3"/>
    <n v="2759.16"/>
    <n v="2864.45"/>
    <n v="1762.8465000000019"/>
    <s v="Returning"/>
    <n v="0.01"/>
    <s v="Credit Card"/>
    <s v="Retail"/>
    <x v="10"/>
  </r>
  <r>
    <n v="1061"/>
    <x v="385"/>
    <d v="2023-03-22T00:00:00"/>
    <x v="1"/>
    <s v="Mar"/>
    <x v="3"/>
    <x v="1"/>
    <n v="94181.00473438637"/>
    <n v="34"/>
    <x v="1"/>
    <n v="2680.82"/>
    <n v="2771.02"/>
    <n v="3066.7999999999938"/>
    <s v="New"/>
    <n v="0"/>
    <s v="Bank Transfer"/>
    <s v="Online"/>
    <x v="16"/>
  </r>
  <r>
    <n v="1092"/>
    <x v="370"/>
    <d v="2023-03-23T00:00:00"/>
    <x v="1"/>
    <s v="Mar"/>
    <x v="2"/>
    <x v="0"/>
    <n v="60738.564338492957"/>
    <n v="18"/>
    <x v="3"/>
    <n v="3070.47"/>
    <n v="3475.29"/>
    <n v="5410.1033999999972"/>
    <s v="Returning"/>
    <n v="0.03"/>
    <s v="Bank Transfer"/>
    <s v="Online"/>
    <x v="18"/>
  </r>
  <r>
    <n v="1031"/>
    <x v="359"/>
    <d v="2023-03-23T00:00:00"/>
    <x v="1"/>
    <s v="Mar"/>
    <x v="0"/>
    <x v="1"/>
    <n v="113529.13413963525"/>
    <n v="32"/>
    <x v="1"/>
    <n v="3351.33"/>
    <n v="3711.47"/>
    <n v="6773.7983999999851"/>
    <s v="New"/>
    <n v="0.04"/>
    <s v="Cash"/>
    <s v="Retail"/>
    <x v="19"/>
  </r>
  <r>
    <n v="1078"/>
    <x v="308"/>
    <d v="2023-03-23T00:00:00"/>
    <x v="1"/>
    <s v="Mar"/>
    <x v="0"/>
    <x v="2"/>
    <n v="87122.385472509995"/>
    <n v="33"/>
    <x v="1"/>
    <n v="2396.6799999999998"/>
    <n v="2661.54"/>
    <n v="7862.0717999999997"/>
    <s v="New"/>
    <n v="0.01"/>
    <s v="Bank Transfer"/>
    <s v="Online"/>
    <x v="2"/>
  </r>
  <r>
    <n v="1035"/>
    <x v="120"/>
    <d v="2023-03-23T00:00:00"/>
    <x v="1"/>
    <s v="Mar"/>
    <x v="4"/>
    <x v="1"/>
    <n v="47652.695999999996"/>
    <n v="30"/>
    <x v="1"/>
    <n v="1300.03"/>
    <n v="1745.52"/>
    <n v="8651.7959999999985"/>
    <s v="New"/>
    <n v="0.09"/>
    <s v="Cash"/>
    <s v="Retail"/>
    <x v="6"/>
  </r>
  <r>
    <n v="1061"/>
    <x v="178"/>
    <d v="2023-03-24T00:00:00"/>
    <x v="1"/>
    <s v="Mar"/>
    <x v="1"/>
    <x v="1"/>
    <n v="8603.0951150580077"/>
    <n v="13"/>
    <x v="2"/>
    <n v="637.37"/>
    <n v="692.71"/>
    <n v="359.21080000000063"/>
    <s v="New"/>
    <n v="0.04"/>
    <s v="Credit Card"/>
    <s v="Online"/>
    <x v="1"/>
  </r>
  <r>
    <n v="1005"/>
    <x v="218"/>
    <d v="2023-03-25T00:00:00"/>
    <x v="1"/>
    <s v="Mar"/>
    <x v="2"/>
    <x v="2"/>
    <n v="26149.41"/>
    <n v="14"/>
    <x v="1"/>
    <n v="1861.2"/>
    <n v="2075.35"/>
    <n v="92.610000000000127"/>
    <s v="Returning"/>
    <n v="0.1"/>
    <s v="Credit Card"/>
    <s v="Retail"/>
    <x v="14"/>
  </r>
  <r>
    <n v="1053"/>
    <x v="233"/>
    <d v="2023-03-25T00:00:00"/>
    <x v="1"/>
    <s v="Mar"/>
    <x v="2"/>
    <x v="1"/>
    <n v="1851.3428400239893"/>
    <n v="1"/>
    <x v="1"/>
    <n v="1702.82"/>
    <n v="1862.61"/>
    <n v="141.16390000000001"/>
    <s v="Returning"/>
    <n v="0.01"/>
    <s v="Cash"/>
    <s v="Retail"/>
    <x v="8"/>
  </r>
  <r>
    <n v="1055"/>
    <x v="77"/>
    <d v="2023-03-25T00:00:00"/>
    <x v="1"/>
    <s v="Mar"/>
    <x v="4"/>
    <x v="1"/>
    <n v="27639.375368927969"/>
    <n v="11"/>
    <x v="2"/>
    <n v="2495.1999999999998"/>
    <n v="2600.9299999999998"/>
    <n v="304.7230999999997"/>
    <s v="New"/>
    <n v="0.03"/>
    <s v="Bank Transfer"/>
    <s v="Retail"/>
    <x v="6"/>
  </r>
  <r>
    <n v="1092"/>
    <x v="313"/>
    <d v="2023-03-25T00:00:00"/>
    <x v="1"/>
    <s v="Mar"/>
    <x v="3"/>
    <x v="2"/>
    <n v="115787.90570851606"/>
    <n v="49"/>
    <x v="0"/>
    <n v="2315"/>
    <n v="2467.2800000000002"/>
    <n v="2625.8511999999996"/>
    <s v="New"/>
    <n v="0.04"/>
    <s v="Bank Transfer"/>
    <s v="Retail"/>
    <x v="9"/>
  </r>
  <r>
    <n v="1074"/>
    <x v="158"/>
    <d v="2023-03-25T00:00:00"/>
    <x v="1"/>
    <s v="Mar"/>
    <x v="0"/>
    <x v="2"/>
    <n v="102878.85662494716"/>
    <n v="38"/>
    <x v="3"/>
    <n v="2610.6"/>
    <n v="2836.94"/>
    <n v="3210.7339999999976"/>
    <s v="Returning"/>
    <n v="0.05"/>
    <s v="Credit Card"/>
    <s v="Online"/>
    <x v="2"/>
  </r>
  <r>
    <n v="1049"/>
    <x v="114"/>
    <d v="2023-03-25T00:00:00"/>
    <x v="1"/>
    <s v="Mar"/>
    <x v="0"/>
    <x v="1"/>
    <n v="16557.279200000001"/>
    <n v="17"/>
    <x v="2"/>
    <n v="558.70000000000005"/>
    <n v="1004.08"/>
    <n v="7059.3791999999985"/>
    <s v="Returning"/>
    <n v="0.03"/>
    <s v="Credit Card"/>
    <s v="Online"/>
    <x v="19"/>
  </r>
  <r>
    <n v="1097"/>
    <x v="42"/>
    <d v="2023-03-26T00:00:00"/>
    <x v="1"/>
    <s v="Mar"/>
    <x v="4"/>
    <x v="1"/>
    <n v="16107.288395628724"/>
    <n v="7"/>
    <x v="1"/>
    <n v="1896.35"/>
    <n v="2394.1999999999998"/>
    <n v="2814.5739999999992"/>
    <s v="New"/>
    <n v="0.04"/>
    <s v="Bank Transfer"/>
    <s v="Online"/>
    <x v="6"/>
  </r>
  <r>
    <n v="1010"/>
    <x v="165"/>
    <d v="2023-03-27T00:00:00"/>
    <x v="1"/>
    <s v="Mar"/>
    <x v="0"/>
    <x v="0"/>
    <n v="164684.08439999999"/>
    <n v="37"/>
    <x v="1"/>
    <n v="4354.92"/>
    <n v="4495.88"/>
    <n v="3552.0443999999889"/>
    <s v="Returning"/>
    <n v="0.01"/>
    <s v="Bank Transfer"/>
    <s v="Online"/>
    <x v="0"/>
  </r>
  <r>
    <n v="1069"/>
    <x v="302"/>
    <d v="2023-03-27T00:00:00"/>
    <x v="1"/>
    <s v="Mar"/>
    <x v="4"/>
    <x v="1"/>
    <n v="202933.17540581748"/>
    <n v="47"/>
    <x v="2"/>
    <n v="4171.83"/>
    <n v="4320.93"/>
    <n v="7007.7000000000171"/>
    <s v="New"/>
    <n v="0"/>
    <s v="Cash"/>
    <s v="Online"/>
    <x v="6"/>
  </r>
  <r>
    <n v="1096"/>
    <x v="179"/>
    <d v="2023-03-27T00:00:00"/>
    <x v="1"/>
    <s v="Mar"/>
    <x v="3"/>
    <x v="3"/>
    <n v="128974.98239999999"/>
    <n v="48"/>
    <x v="1"/>
    <n v="2449.21"/>
    <n v="2714.12"/>
    <n v="11412.902399999992"/>
    <s v="New"/>
    <n v="0.01"/>
    <s v="Credit Card"/>
    <s v="Online"/>
    <x v="4"/>
  </r>
  <r>
    <n v="1066"/>
    <x v="160"/>
    <d v="2023-03-28T00:00:00"/>
    <x v="1"/>
    <s v="Mar"/>
    <x v="1"/>
    <x v="3"/>
    <n v="4291.3461945943227"/>
    <n v="7"/>
    <x v="1"/>
    <n v="523.41999999999996"/>
    <n v="632.43999999999994"/>
    <n v="630.32759999999973"/>
    <s v="New"/>
    <n v="0.03"/>
    <s v="Bank Transfer"/>
    <s v="Online"/>
    <x v="7"/>
  </r>
  <r>
    <n v="1045"/>
    <x v="121"/>
    <d v="2023-03-28T00:00:00"/>
    <x v="1"/>
    <s v="Mar"/>
    <x v="0"/>
    <x v="2"/>
    <n v="9657.730599999999"/>
    <n v="14"/>
    <x v="1"/>
    <n v="635.28"/>
    <n v="831.13"/>
    <n v="763.81060000000025"/>
    <s v="Returning"/>
    <n v="0.17"/>
    <s v="Bank Transfer"/>
    <s v="Retail"/>
    <x v="2"/>
  </r>
  <r>
    <n v="1063"/>
    <x v="291"/>
    <d v="2023-03-28T00:00:00"/>
    <x v="1"/>
    <s v="Mar"/>
    <x v="1"/>
    <x v="0"/>
    <n v="61721.351999999992"/>
    <n v="42"/>
    <x v="3"/>
    <n v="1170.07"/>
    <n v="1669.9499999999998"/>
    <n v="12578.411999999995"/>
    <s v="Returning"/>
    <n v="0.12"/>
    <s v="Bank Transfer"/>
    <s v="Retail"/>
    <x v="10"/>
  </r>
  <r>
    <n v="1022"/>
    <x v="116"/>
    <d v="2023-03-29T00:00:00"/>
    <x v="1"/>
    <s v="Mar"/>
    <x v="2"/>
    <x v="2"/>
    <n v="182098.56713451227"/>
    <n v="45"/>
    <x v="0"/>
    <n v="4020.09"/>
    <n v="4087.9100000000003"/>
    <n v="1212.3405000000025"/>
    <s v="Returning"/>
    <n v="0.01"/>
    <s v="Bank Transfer"/>
    <s v="Online"/>
    <x v="14"/>
  </r>
  <r>
    <n v="1010"/>
    <x v="65"/>
    <d v="2023-03-29T00:00:00"/>
    <x v="1"/>
    <s v="Mar"/>
    <x v="3"/>
    <x v="0"/>
    <n v="60155.281199999998"/>
    <n v="49"/>
    <x v="3"/>
    <n v="1150.3"/>
    <n v="1306.02"/>
    <n v="3790.5811999999987"/>
    <s v="New"/>
    <n v="0.06"/>
    <s v="Credit Card"/>
    <s v="Retail"/>
    <x v="11"/>
  </r>
  <r>
    <n v="1009"/>
    <x v="355"/>
    <d v="2023-03-30T00:00:00"/>
    <x v="1"/>
    <s v="Mar"/>
    <x v="1"/>
    <x v="0"/>
    <n v="43803.93"/>
    <n v="10"/>
    <x v="1"/>
    <n v="4364.3500000000004"/>
    <n v="4710.1000000000004"/>
    <n v="160.42999999999665"/>
    <s v="New"/>
    <n v="7.0000000000000007E-2"/>
    <s v="Credit Card"/>
    <s v="Online"/>
    <x v="10"/>
  </r>
  <r>
    <n v="1007"/>
    <x v="205"/>
    <d v="2023-03-30T00:00:00"/>
    <x v="1"/>
    <s v="Mar"/>
    <x v="4"/>
    <x v="1"/>
    <n v="17567.659200000002"/>
    <n v="14"/>
    <x v="0"/>
    <n v="1122.07"/>
    <n v="1608.76"/>
    <n v="1858.6792000000028"/>
    <s v="New"/>
    <n v="0.22"/>
    <s v="Cash"/>
    <s v="Retail"/>
    <x v="6"/>
  </r>
  <r>
    <n v="1005"/>
    <x v="253"/>
    <d v="2023-03-30T00:00:00"/>
    <x v="1"/>
    <s v="Mar"/>
    <x v="3"/>
    <x v="1"/>
    <n v="9243.9935999999998"/>
    <n v="12"/>
    <x v="2"/>
    <n v="319.83"/>
    <n v="802.43000000000006"/>
    <n v="5406.0336000000007"/>
    <s v="New"/>
    <n v="0.04"/>
    <s v="Credit Card"/>
    <s v="Retail"/>
    <x v="16"/>
  </r>
  <r>
    <n v="1085"/>
    <x v="11"/>
    <d v="2023-03-30T00:00:00"/>
    <x v="1"/>
    <s v="Mar"/>
    <x v="4"/>
    <x v="2"/>
    <n v="223476.51355035507"/>
    <n v="45"/>
    <x v="1"/>
    <n v="4763.1099999999997"/>
    <n v="5119.91"/>
    <n v="9144.121499999992"/>
    <s v="Returning"/>
    <n v="0.03"/>
    <s v="Cash"/>
    <s v="Retail"/>
    <x v="17"/>
  </r>
  <r>
    <n v="1025"/>
    <x v="54"/>
    <d v="2023-03-31T00:00:00"/>
    <x v="1"/>
    <s v="Mar"/>
    <x v="4"/>
    <x v="2"/>
    <n v="11336.672617398997"/>
    <n v="4"/>
    <x v="0"/>
    <n v="2751.06"/>
    <n v="2976.0099999999998"/>
    <n v="304.59799999999814"/>
    <s v="Returning"/>
    <n v="0.05"/>
    <s v="Credit Card"/>
    <s v="Online"/>
    <x v="17"/>
  </r>
  <r>
    <n v="1004"/>
    <x v="260"/>
    <d v="2023-03-31T00:00:00"/>
    <x v="1"/>
    <s v="Mar"/>
    <x v="1"/>
    <x v="1"/>
    <n v="55023.040799999995"/>
    <n v="12"/>
    <x v="1"/>
    <n v="4553.2299999999996"/>
    <n v="5038.74"/>
    <n v="384.28080000000045"/>
    <s v="New"/>
    <n v="0.09"/>
    <s v="Credit Card"/>
    <s v="Retail"/>
    <x v="1"/>
  </r>
  <r>
    <n v="1047"/>
    <x v="137"/>
    <d v="2023-03-31T00:00:00"/>
    <x v="1"/>
    <s v="Mar"/>
    <x v="3"/>
    <x v="1"/>
    <n v="116257.65376465287"/>
    <n v="37"/>
    <x v="2"/>
    <n v="3114.88"/>
    <n v="3256.78"/>
    <n v="430.26559999999836"/>
    <s v="Returning"/>
    <n v="0.04"/>
    <s v="Credit Card"/>
    <s v="Online"/>
    <x v="16"/>
  </r>
  <r>
    <n v="1016"/>
    <x v="193"/>
    <d v="2023-03-31T00:00:00"/>
    <x v="1"/>
    <s v="Mar"/>
    <x v="0"/>
    <x v="1"/>
    <n v="152886.95632814549"/>
    <n v="38"/>
    <x v="2"/>
    <n v="3883.38"/>
    <n v="4152.72"/>
    <n v="5500.8192000000063"/>
    <s v="Returning"/>
    <n v="0.03"/>
    <s v="Cash"/>
    <s v="Online"/>
    <x v="19"/>
  </r>
  <r>
    <n v="1062"/>
    <x v="84"/>
    <d v="2023-04-02T00:00:00"/>
    <x v="1"/>
    <s v="Apr"/>
    <x v="2"/>
    <x v="1"/>
    <n v="15605.297272128297"/>
    <n v="10"/>
    <x v="1"/>
    <n v="1524.88"/>
    <n v="1636.14"/>
    <n v="294.52999999999975"/>
    <s v="New"/>
    <n v="0.05"/>
    <s v="Bank Transfer"/>
    <s v="Online"/>
    <x v="8"/>
  </r>
  <r>
    <n v="1034"/>
    <x v="256"/>
    <d v="2023-04-02T00:00:00"/>
    <x v="1"/>
    <s v="Apr"/>
    <x v="1"/>
    <x v="2"/>
    <n v="18715.107613666194"/>
    <n v="7"/>
    <x v="2"/>
    <n v="2492.36"/>
    <n v="2738.6800000000003"/>
    <n v="1340.8248000000012"/>
    <s v="Returning"/>
    <n v="0.02"/>
    <s v="Cash"/>
    <s v="Online"/>
    <x v="15"/>
  </r>
  <r>
    <n v="1059"/>
    <x v="388"/>
    <d v="2023-04-02T00:00:00"/>
    <x v="1"/>
    <s v="Apr"/>
    <x v="0"/>
    <x v="2"/>
    <n v="45616.111177425024"/>
    <n v="12"/>
    <x v="3"/>
    <n v="3496.15"/>
    <n v="3955.75"/>
    <n v="3616.4399999999987"/>
    <s v="Returning"/>
    <n v="0.04"/>
    <s v="Cash"/>
    <s v="Retail"/>
    <x v="2"/>
  </r>
  <r>
    <n v="1048"/>
    <x v="354"/>
    <d v="2023-04-02T00:00:00"/>
    <x v="1"/>
    <s v="Apr"/>
    <x v="4"/>
    <x v="0"/>
    <n v="195527.48034457749"/>
    <n v="45"/>
    <x v="2"/>
    <n v="4262.21"/>
    <n v="4533.3100000000004"/>
    <n v="4039.5420000000058"/>
    <s v="Returning"/>
    <n v="0.04"/>
    <s v="Credit Card"/>
    <s v="Online"/>
    <x v="13"/>
  </r>
  <r>
    <n v="1005"/>
    <x v="300"/>
    <d v="2023-04-02T00:00:00"/>
    <x v="1"/>
    <s v="Apr"/>
    <x v="4"/>
    <x v="0"/>
    <n v="227715.75230833492"/>
    <n v="46"/>
    <x v="0"/>
    <n v="4691.42"/>
    <n v="5026.1900000000005"/>
    <n v="10775.325200000023"/>
    <s v="Returning"/>
    <n v="0.02"/>
    <s v="Bank Transfer"/>
    <s v="Retail"/>
    <x v="13"/>
  </r>
  <r>
    <n v="1095"/>
    <x v="323"/>
    <d v="2023-04-03T00:00:00"/>
    <x v="1"/>
    <s v="Apr"/>
    <x v="1"/>
    <x v="1"/>
    <n v="24518.504859589753"/>
    <n v="9"/>
    <x v="3"/>
    <n v="2650.95"/>
    <n v="2860.4199999999996"/>
    <n v="598.04099999999653"/>
    <s v="New"/>
    <n v="0.05"/>
    <s v="Cash"/>
    <s v="Retail"/>
    <x v="1"/>
  </r>
  <r>
    <n v="1099"/>
    <x v="122"/>
    <d v="2023-04-03T00:00:00"/>
    <x v="1"/>
    <s v="Apr"/>
    <x v="3"/>
    <x v="3"/>
    <n v="142141.52301119975"/>
    <n v="30"/>
    <x v="0"/>
    <n v="4495.82"/>
    <n v="4794.0099999999993"/>
    <n v="7507.4969999999939"/>
    <s v="New"/>
    <n v="0.01"/>
    <s v="Bank Transfer"/>
    <s v="Retail"/>
    <x v="4"/>
  </r>
  <r>
    <n v="1051"/>
    <x v="281"/>
    <d v="2023-04-04T00:00:00"/>
    <x v="1"/>
    <s v="Apr"/>
    <x v="2"/>
    <x v="1"/>
    <n v="43015.78562695835"/>
    <n v="12"/>
    <x v="2"/>
    <n v="3544.48"/>
    <n v="3723.66"/>
    <n v="362.80319999999483"/>
    <s v="Returning"/>
    <n v="0.04"/>
    <s v="Cash"/>
    <s v="Online"/>
    <x v="8"/>
  </r>
  <r>
    <n v="1078"/>
    <x v="217"/>
    <d v="2023-04-04T00:00:00"/>
    <x v="1"/>
    <s v="Apr"/>
    <x v="4"/>
    <x v="1"/>
    <n v="100275.42305058391"/>
    <n v="49"/>
    <x v="0"/>
    <n v="1833.95"/>
    <n v="2147.14"/>
    <n v="10085.816999999981"/>
    <s v="Returning"/>
    <n v="0.05"/>
    <s v="Credit Card"/>
    <s v="Retail"/>
    <x v="6"/>
  </r>
  <r>
    <n v="1062"/>
    <x v="282"/>
    <d v="2023-04-05T00:00:00"/>
    <x v="1"/>
    <s v="Apr"/>
    <x v="2"/>
    <x v="3"/>
    <n v="120467.54459870918"/>
    <n v="48"/>
    <x v="3"/>
    <n v="2487.19"/>
    <n v="2521.4500000000003"/>
    <n v="1644.4800000000105"/>
    <s v="New"/>
    <n v="0"/>
    <s v="Cash"/>
    <s v="Online"/>
    <x v="3"/>
  </r>
  <r>
    <n v="1058"/>
    <x v="345"/>
    <d v="2023-04-05T00:00:00"/>
    <x v="1"/>
    <s v="Apr"/>
    <x v="3"/>
    <x v="3"/>
    <n v="34846.367725933356"/>
    <n v="33"/>
    <x v="0"/>
    <n v="1011.65"/>
    <n v="1084.28"/>
    <n v="1323.3528000000024"/>
    <s v="Returning"/>
    <n v="0.03"/>
    <s v="Bank Transfer"/>
    <s v="Retail"/>
    <x v="4"/>
  </r>
  <r>
    <n v="1087"/>
    <x v="372"/>
    <d v="2023-04-05T00:00:00"/>
    <x v="1"/>
    <s v="Apr"/>
    <x v="0"/>
    <x v="1"/>
    <n v="22399.146010617314"/>
    <n v="43"/>
    <x v="0"/>
    <n v="481"/>
    <n v="531.02"/>
    <n v="1694.1827999999985"/>
    <s v="New"/>
    <n v="0.02"/>
    <s v="Cash"/>
    <s v="Online"/>
    <x v="19"/>
  </r>
  <r>
    <n v="1052"/>
    <x v="52"/>
    <d v="2023-04-05T00:00:00"/>
    <x v="1"/>
    <s v="Apr"/>
    <x v="1"/>
    <x v="0"/>
    <n v="129734.00835336292"/>
    <n v="26"/>
    <x v="1"/>
    <n v="4771.99"/>
    <n v="5079.6499999999996"/>
    <n v="5357.7420000000002"/>
    <s v="New"/>
    <n v="0.02"/>
    <s v="Credit Card"/>
    <s v="Online"/>
    <x v="10"/>
  </r>
  <r>
    <n v="1026"/>
    <x v="314"/>
    <d v="2023-04-06T00:00:00"/>
    <x v="1"/>
    <s v="Apr"/>
    <x v="2"/>
    <x v="0"/>
    <n v="17146.80381964397"/>
    <n v="4"/>
    <x v="2"/>
    <n v="3993.39"/>
    <n v="4288.3"/>
    <n v="1179.6400000000012"/>
    <s v="New"/>
    <n v="0"/>
    <s v="Credit Card"/>
    <s v="Online"/>
    <x v="18"/>
  </r>
  <r>
    <n v="1068"/>
    <x v="78"/>
    <d v="2023-04-06T00:00:00"/>
    <x v="1"/>
    <s v="Apr"/>
    <x v="3"/>
    <x v="0"/>
    <n v="102355.0146672519"/>
    <n v="31"/>
    <x v="1"/>
    <n v="3169.37"/>
    <n v="3304.15"/>
    <n v="4178.1800000000057"/>
    <s v="Returning"/>
    <n v="0"/>
    <s v="Credit Card"/>
    <s v="Retail"/>
    <x v="11"/>
  </r>
  <r>
    <n v="1086"/>
    <x v="338"/>
    <d v="2023-04-06T00:00:00"/>
    <x v="1"/>
    <s v="Apr"/>
    <x v="1"/>
    <x v="2"/>
    <n v="125519.66865146658"/>
    <n v="32"/>
    <x v="2"/>
    <n v="3743.59"/>
    <n v="4116.38"/>
    <n v="5343.0719999999856"/>
    <s v="Returning"/>
    <n v="0.05"/>
    <s v="Cash"/>
    <s v="Online"/>
    <x v="15"/>
  </r>
  <r>
    <n v="1033"/>
    <x v="202"/>
    <d v="2023-04-07T00:00:00"/>
    <x v="1"/>
    <s v="Apr"/>
    <x v="2"/>
    <x v="1"/>
    <n v="8057.6067999999987"/>
    <n v="4"/>
    <x v="3"/>
    <n v="2000.75"/>
    <n v="2426.9899999999998"/>
    <n v="54.606799999998657"/>
    <s v="Returning"/>
    <n v="0.17"/>
    <s v="Bank Transfer"/>
    <s v="Online"/>
    <x v="8"/>
  </r>
  <r>
    <n v="1051"/>
    <x v="281"/>
    <d v="2023-04-07T00:00:00"/>
    <x v="1"/>
    <s v="Apr"/>
    <x v="3"/>
    <x v="2"/>
    <n v="77291.58463972852"/>
    <n v="23"/>
    <x v="2"/>
    <n v="3325.43"/>
    <n v="3401.1"/>
    <n v="958.15700000000243"/>
    <s v="New"/>
    <n v="0.01"/>
    <s v="Cash"/>
    <s v="Online"/>
    <x v="9"/>
  </r>
  <r>
    <n v="1098"/>
    <x v="106"/>
    <d v="2023-04-08T00:00:00"/>
    <x v="1"/>
    <s v="Apr"/>
    <x v="0"/>
    <x v="3"/>
    <n v="15448.879512571366"/>
    <n v="5"/>
    <x v="2"/>
    <n v="2947.22"/>
    <n v="3145.27"/>
    <n v="675.72300000000041"/>
    <s v="New"/>
    <n v="0.02"/>
    <s v="Credit Card"/>
    <s v="Retail"/>
    <x v="5"/>
  </r>
  <r>
    <n v="1009"/>
    <x v="355"/>
    <d v="2023-04-08T00:00:00"/>
    <x v="1"/>
    <s v="Apr"/>
    <x v="1"/>
    <x v="0"/>
    <n v="104612.91283250143"/>
    <n v="32"/>
    <x v="1"/>
    <n v="3219.88"/>
    <n v="3384.5"/>
    <n v="2018.7199999999866"/>
    <s v="Returning"/>
    <n v="0.03"/>
    <s v="Cash"/>
    <s v="Retail"/>
    <x v="10"/>
  </r>
  <r>
    <n v="1007"/>
    <x v="192"/>
    <d v="2023-04-08T00:00:00"/>
    <x v="1"/>
    <s v="Apr"/>
    <x v="1"/>
    <x v="1"/>
    <n v="50744.489104141801"/>
    <n v="13"/>
    <x v="1"/>
    <n v="3597.2"/>
    <n v="4071.8199999999997"/>
    <n v="4052.7135999999973"/>
    <s v="Returning"/>
    <n v="0.04"/>
    <s v="Bank Transfer"/>
    <s v="Online"/>
    <x v="1"/>
  </r>
  <r>
    <n v="1061"/>
    <x v="385"/>
    <d v="2023-04-08T00:00:00"/>
    <x v="1"/>
    <s v="Apr"/>
    <x v="1"/>
    <x v="1"/>
    <n v="39733.828000000001"/>
    <n v="29"/>
    <x v="1"/>
    <n v="1221.74"/>
    <n v="1611.92"/>
    <n v="4303.3680000000013"/>
    <s v="New"/>
    <n v="0.15"/>
    <s v="Cash"/>
    <s v="Retail"/>
    <x v="1"/>
  </r>
  <r>
    <n v="1096"/>
    <x v="179"/>
    <d v="2023-04-08T00:00:00"/>
    <x v="1"/>
    <s v="Apr"/>
    <x v="1"/>
    <x v="0"/>
    <n v="20614.04513605154"/>
    <n v="45"/>
    <x v="1"/>
    <n v="357.92"/>
    <n v="461.3"/>
    <n v="4444.5149999999994"/>
    <s v="Returning"/>
    <n v="0.01"/>
    <s v="Cash"/>
    <s v="Online"/>
    <x v="10"/>
  </r>
  <r>
    <n v="1059"/>
    <x v="141"/>
    <d v="2023-04-09T00:00:00"/>
    <x v="1"/>
    <s v="Apr"/>
    <x v="1"/>
    <x v="0"/>
    <n v="465.46960000000001"/>
    <n v="1"/>
    <x v="2"/>
    <n v="332.62"/>
    <n v="612.46"/>
    <n v="132.84960000000001"/>
    <s v="Returning"/>
    <n v="0.24"/>
    <s v="Cash"/>
    <s v="Retail"/>
    <x v="10"/>
  </r>
  <r>
    <n v="1039"/>
    <x v="117"/>
    <d v="2023-04-09T00:00:00"/>
    <x v="1"/>
    <s v="Apr"/>
    <x v="3"/>
    <x v="3"/>
    <n v="1358.3279348277463"/>
    <n v="3"/>
    <x v="3"/>
    <n v="391.19"/>
    <n v="471.75"/>
    <n v="185.07"/>
    <s v="Returning"/>
    <n v="0.04"/>
    <s v="Cash"/>
    <s v="Online"/>
    <x v="4"/>
  </r>
  <r>
    <n v="1002"/>
    <x v="368"/>
    <d v="2023-04-11T00:00:00"/>
    <x v="1"/>
    <s v="Apr"/>
    <x v="2"/>
    <x v="3"/>
    <n v="20001.386440636154"/>
    <n v="21"/>
    <x v="3"/>
    <n v="914.22"/>
    <n v="971.57"/>
    <n v="796.29059999999936"/>
    <s v="Returning"/>
    <n v="0.02"/>
    <s v="Cash"/>
    <s v="Online"/>
    <x v="3"/>
  </r>
  <r>
    <n v="1083"/>
    <x v="131"/>
    <d v="2023-04-11T00:00:00"/>
    <x v="1"/>
    <s v="Apr"/>
    <x v="2"/>
    <x v="2"/>
    <n v="72419.178130563218"/>
    <n v="29"/>
    <x v="0"/>
    <n v="2408.81"/>
    <n v="2624.09"/>
    <n v="2438.1894999999977"/>
    <s v="Returning"/>
    <n v="0.05"/>
    <s v="Cash"/>
    <s v="Online"/>
    <x v="14"/>
  </r>
  <r>
    <n v="1067"/>
    <x v="331"/>
    <d v="2023-04-11T00:00:00"/>
    <x v="1"/>
    <s v="Apr"/>
    <x v="2"/>
    <x v="1"/>
    <n v="53403.785341324037"/>
    <n v="17"/>
    <x v="3"/>
    <n v="2831.58"/>
    <n v="3186.15"/>
    <n v="5486.0445000000036"/>
    <s v="New"/>
    <n v="0.01"/>
    <s v="Bank Transfer"/>
    <s v="Retail"/>
    <x v="8"/>
  </r>
  <r>
    <n v="1014"/>
    <x v="125"/>
    <d v="2023-04-11T00:00:00"/>
    <x v="1"/>
    <s v="Apr"/>
    <x v="3"/>
    <x v="0"/>
    <n v="95065.74"/>
    <n v="38"/>
    <x v="3"/>
    <n v="2091.21"/>
    <n v="2527"/>
    <n v="15599.759999999998"/>
    <s v="Returning"/>
    <n v="0.01"/>
    <s v="Credit Card"/>
    <s v="Online"/>
    <x v="11"/>
  </r>
  <r>
    <n v="1081"/>
    <x v="250"/>
    <d v="2023-04-12T00:00:00"/>
    <x v="1"/>
    <s v="Apr"/>
    <x v="2"/>
    <x v="0"/>
    <n v="46758.136392512344"/>
    <n v="19"/>
    <x v="3"/>
    <n v="2443.69"/>
    <n v="2462.34"/>
    <n v="354.35000000000173"/>
    <s v="New"/>
    <n v="0"/>
    <s v="Bank Transfer"/>
    <s v="Retail"/>
    <x v="18"/>
  </r>
  <r>
    <n v="1063"/>
    <x v="2"/>
    <d v="2023-04-12T00:00:00"/>
    <x v="1"/>
    <s v="Apr"/>
    <x v="1"/>
    <x v="3"/>
    <n v="94007.515096406481"/>
    <n v="40"/>
    <x v="2"/>
    <n v="2101.3200000000002"/>
    <n v="2440.63"/>
    <n v="9667.3919999999998"/>
    <s v="New"/>
    <n v="0.04"/>
    <s v="Bank Transfer"/>
    <s v="Retail"/>
    <x v="7"/>
  </r>
  <r>
    <n v="1008"/>
    <x v="128"/>
    <d v="2023-04-13T00:00:00"/>
    <x v="1"/>
    <s v="Apr"/>
    <x v="1"/>
    <x v="0"/>
    <n v="116363.08959137305"/>
    <n v="24"/>
    <x v="0"/>
    <n v="4739.13"/>
    <n v="4868.95"/>
    <n v="3115.679999999993"/>
    <s v="New"/>
    <n v="0"/>
    <s v="Credit Card"/>
    <s v="Retail"/>
    <x v="10"/>
  </r>
  <r>
    <n v="1091"/>
    <x v="36"/>
    <d v="2023-04-13T00:00:00"/>
    <x v="1"/>
    <s v="Apr"/>
    <x v="0"/>
    <x v="2"/>
    <n v="146877.09479999999"/>
    <n v="36"/>
    <x v="2"/>
    <n v="3951.59"/>
    <n v="4387.01"/>
    <n v="4619.8547999999955"/>
    <s v="New"/>
    <n v="7.0000000000000007E-2"/>
    <s v="Bank Transfer"/>
    <s v="Retail"/>
    <x v="2"/>
  </r>
  <r>
    <n v="1034"/>
    <x v="185"/>
    <d v="2023-04-14T00:00:00"/>
    <x v="1"/>
    <s v="Apr"/>
    <x v="3"/>
    <x v="2"/>
    <n v="10524.24"/>
    <n v="3"/>
    <x v="1"/>
    <n v="3472.51"/>
    <n v="3732"/>
    <n v="106.70999999999913"/>
    <s v="New"/>
    <n v="0.06"/>
    <s v="Cash"/>
    <s v="Online"/>
    <x v="9"/>
  </r>
  <r>
    <n v="1001"/>
    <x v="315"/>
    <d v="2023-04-14T00:00:00"/>
    <x v="1"/>
    <s v="Apr"/>
    <x v="4"/>
    <x v="1"/>
    <n v="5564.4168780238824"/>
    <n v="2"/>
    <x v="2"/>
    <n v="2631.68"/>
    <n v="2904.06"/>
    <n v="312.4351999999999"/>
    <s v="New"/>
    <n v="0.04"/>
    <s v="Bank Transfer"/>
    <s v="Online"/>
    <x v="6"/>
  </r>
  <r>
    <n v="1052"/>
    <x v="333"/>
    <d v="2023-04-14T00:00:00"/>
    <x v="1"/>
    <s v="Apr"/>
    <x v="4"/>
    <x v="3"/>
    <n v="4096.5191819345082"/>
    <n v="5"/>
    <x v="0"/>
    <n v="745.71"/>
    <n v="856.91000000000008"/>
    <n v="384.61799999999982"/>
    <s v="Returning"/>
    <n v="0.04"/>
    <s v="Bank Transfer"/>
    <s v="Retail"/>
    <x v="12"/>
  </r>
  <r>
    <n v="1099"/>
    <x v="168"/>
    <d v="2023-04-14T00:00:00"/>
    <x v="1"/>
    <s v="Apr"/>
    <x v="3"/>
    <x v="1"/>
    <n v="134504.5684465158"/>
    <n v="27"/>
    <x v="3"/>
    <n v="4929.55"/>
    <n v="4990.33"/>
    <n v="1641.0599999999931"/>
    <s v="Returning"/>
    <n v="0"/>
    <s v="Credit Card"/>
    <s v="Online"/>
    <x v="16"/>
  </r>
  <r>
    <n v="1032"/>
    <x v="311"/>
    <d v="2023-04-14T00:00:00"/>
    <x v="1"/>
    <s v="Apr"/>
    <x v="4"/>
    <x v="3"/>
    <n v="168791.66338675685"/>
    <n v="45"/>
    <x v="1"/>
    <n v="3712.35"/>
    <n v="3780.88"/>
    <n v="1382.4539999999979"/>
    <s v="New"/>
    <n v="0.01"/>
    <s v="Cash"/>
    <s v="Retail"/>
    <x v="12"/>
  </r>
  <r>
    <n v="1047"/>
    <x v="389"/>
    <d v="2023-04-14T00:00:00"/>
    <x v="1"/>
    <s v="Apr"/>
    <x v="0"/>
    <x v="2"/>
    <n v="66310.983610330324"/>
    <n v="16"/>
    <x v="1"/>
    <n v="3966.86"/>
    <n v="4321.04"/>
    <n v="2901.4144000000015"/>
    <s v="Returning"/>
    <n v="0.04"/>
    <s v="Credit Card"/>
    <s v="Retail"/>
    <x v="2"/>
  </r>
  <r>
    <n v="1010"/>
    <x v="65"/>
    <d v="2023-04-15T00:00:00"/>
    <x v="1"/>
    <s v="Apr"/>
    <x v="1"/>
    <x v="3"/>
    <n v="21481.190319436297"/>
    <n v="4"/>
    <x v="3"/>
    <n v="4943.03"/>
    <n v="5442.15"/>
    <n v="1778.7939999999981"/>
    <s v="Returning"/>
    <n v="0.01"/>
    <s v="Cash"/>
    <s v="Online"/>
    <x v="7"/>
  </r>
  <r>
    <n v="1013"/>
    <x v="15"/>
    <d v="2023-04-15T00:00:00"/>
    <x v="1"/>
    <s v="Apr"/>
    <x v="0"/>
    <x v="3"/>
    <n v="69741.907200000001"/>
    <n v="42"/>
    <x v="0"/>
    <n v="1375.57"/>
    <n v="1729.71"/>
    <n v="11967.967200000005"/>
    <s v="New"/>
    <n v="0.04"/>
    <s v="Cash"/>
    <s v="Online"/>
    <x v="5"/>
  </r>
  <r>
    <n v="1027"/>
    <x v="3"/>
    <d v="2023-04-16T00:00:00"/>
    <x v="1"/>
    <s v="Apr"/>
    <x v="3"/>
    <x v="1"/>
    <n v="16684.999100000001"/>
    <n v="7"/>
    <x v="3"/>
    <n v="2371.85"/>
    <n v="2457.29"/>
    <n v="82.04910000000109"/>
    <s v="New"/>
    <n v="0.03"/>
    <s v="Cash"/>
    <s v="Retail"/>
    <x v="16"/>
  </r>
  <r>
    <n v="1081"/>
    <x v="85"/>
    <d v="2023-04-16T00:00:00"/>
    <x v="1"/>
    <s v="Apr"/>
    <x v="1"/>
    <x v="2"/>
    <n v="80707.787677106491"/>
    <n v="44"/>
    <x v="2"/>
    <n v="1362.15"/>
    <n v="1844.0700000000002"/>
    <n v="20393.089199999999"/>
    <s v="New"/>
    <n v="0.01"/>
    <s v="Credit Card"/>
    <s v="Online"/>
    <x v="15"/>
  </r>
  <r>
    <n v="1052"/>
    <x v="390"/>
    <d v="2023-04-17T00:00:00"/>
    <x v="1"/>
    <s v="Apr"/>
    <x v="3"/>
    <x v="0"/>
    <n v="4607.7145919494087"/>
    <n v="2"/>
    <x v="3"/>
    <n v="1935.41"/>
    <n v="2305.44"/>
    <n v="740.06"/>
    <s v="Returning"/>
    <n v="0"/>
    <s v="Credit Card"/>
    <s v="Online"/>
    <x v="11"/>
  </r>
  <r>
    <n v="1012"/>
    <x v="90"/>
    <d v="2023-04-18T00:00:00"/>
    <x v="1"/>
    <s v="Apr"/>
    <x v="3"/>
    <x v="0"/>
    <n v="8062.6293000000005"/>
    <n v="9"/>
    <x v="2"/>
    <n v="709.97"/>
    <n v="1029.71"/>
    <n v="1672.8993"/>
    <s v="Returning"/>
    <n v="0.13"/>
    <s v="Bank Transfer"/>
    <s v="Retail"/>
    <x v="11"/>
  </r>
  <r>
    <n v="1035"/>
    <x v="74"/>
    <d v="2023-04-18T00:00:00"/>
    <x v="1"/>
    <s v="Apr"/>
    <x v="4"/>
    <x v="0"/>
    <n v="40124.94568911197"/>
    <n v="34"/>
    <x v="3"/>
    <n v="1105.05"/>
    <n v="1200.96"/>
    <n v="2444.2872000000043"/>
    <s v="Returning"/>
    <n v="0.02"/>
    <s v="Cash"/>
    <s v="Online"/>
    <x v="13"/>
  </r>
  <r>
    <n v="1061"/>
    <x v="178"/>
    <d v="2023-04-18T00:00:00"/>
    <x v="1"/>
    <s v="Apr"/>
    <x v="0"/>
    <x v="3"/>
    <n v="22021.962800000001"/>
    <n v="47"/>
    <x v="2"/>
    <n v="146.27000000000001"/>
    <n v="498.46000000000004"/>
    <n v="15147.272800000002"/>
    <s v="New"/>
    <n v="0.06"/>
    <s v="Cash"/>
    <s v="Retail"/>
    <x v="5"/>
  </r>
  <r>
    <n v="1033"/>
    <x v="99"/>
    <d v="2023-04-19T00:00:00"/>
    <x v="1"/>
    <s v="Apr"/>
    <x v="2"/>
    <x v="0"/>
    <n v="17049.650000000001"/>
    <n v="5"/>
    <x v="0"/>
    <n v="3162.92"/>
    <n v="3409.9300000000003"/>
    <n v="1235.0500000000011"/>
    <s v="New"/>
    <n v="0"/>
    <s v="Cash"/>
    <s v="Online"/>
    <x v="18"/>
  </r>
  <r>
    <n v="1044"/>
    <x v="69"/>
    <d v="2023-04-20T00:00:00"/>
    <x v="1"/>
    <s v="Apr"/>
    <x v="1"/>
    <x v="2"/>
    <n v="125892.7758"/>
    <n v="34"/>
    <x v="3"/>
    <n v="3573.3"/>
    <n v="3740.13"/>
    <n v="4400.5757999999978"/>
    <s v="Returning"/>
    <n v="0.01"/>
    <s v="Credit Card"/>
    <s v="Online"/>
    <x v="15"/>
  </r>
  <r>
    <n v="1088"/>
    <x v="83"/>
    <d v="2023-04-21T00:00:00"/>
    <x v="1"/>
    <s v="Apr"/>
    <x v="1"/>
    <x v="1"/>
    <n v="22802.395499999999"/>
    <n v="29"/>
    <x v="0"/>
    <n v="639.58000000000004"/>
    <n v="1107.45"/>
    <n v="4254.5754999999981"/>
    <s v="New"/>
    <n v="0.28999999999999998"/>
    <s v="Cash"/>
    <s v="Retail"/>
    <x v="1"/>
  </r>
  <r>
    <n v="1090"/>
    <x v="159"/>
    <d v="2023-04-21T00:00:00"/>
    <x v="1"/>
    <s v="Apr"/>
    <x v="4"/>
    <x v="2"/>
    <n v="44645.180999999997"/>
    <n v="35"/>
    <x v="2"/>
    <n v="1130.5999999999999"/>
    <n v="1466.1799999999998"/>
    <n v="5074.1809999999987"/>
    <s v="Returning"/>
    <n v="0.13"/>
    <s v="Cash"/>
    <s v="Online"/>
    <x v="17"/>
  </r>
  <r>
    <n v="1093"/>
    <x v="161"/>
    <d v="2023-04-21T00:00:00"/>
    <x v="1"/>
    <s v="Apr"/>
    <x v="2"/>
    <x v="2"/>
    <n v="70392.720136355405"/>
    <n v="17"/>
    <x v="0"/>
    <n v="3816.39"/>
    <n v="4209.4399999999996"/>
    <n v="5250.6403999999966"/>
    <s v="Returning"/>
    <n v="0.02"/>
    <s v="Cash"/>
    <s v="Retail"/>
    <x v="14"/>
  </r>
  <r>
    <n v="1047"/>
    <x v="287"/>
    <d v="2023-04-21T00:00:00"/>
    <x v="1"/>
    <s v="Apr"/>
    <x v="0"/>
    <x v="2"/>
    <n v="34563.437185821684"/>
    <n v="17"/>
    <x v="0"/>
    <n v="1591.34"/>
    <n v="2043.82"/>
    <n v="7344.7105999999994"/>
    <s v="New"/>
    <n v="0.01"/>
    <s v="Cash"/>
    <s v="Retail"/>
    <x v="2"/>
  </r>
  <r>
    <n v="1009"/>
    <x v="355"/>
    <d v="2023-04-21T00:00:00"/>
    <x v="1"/>
    <s v="Apr"/>
    <x v="0"/>
    <x v="3"/>
    <n v="27560.799999999999"/>
    <n v="47"/>
    <x v="1"/>
    <n v="359.41"/>
    <n v="733"/>
    <n v="10668.529999999997"/>
    <s v="Returning"/>
    <n v="0.2"/>
    <s v="Bank Transfer"/>
    <s v="Retail"/>
    <x v="5"/>
  </r>
  <r>
    <n v="1002"/>
    <x v="335"/>
    <d v="2023-04-22T00:00:00"/>
    <x v="1"/>
    <s v="Apr"/>
    <x v="0"/>
    <x v="3"/>
    <n v="39611.525725814616"/>
    <n v="9"/>
    <x v="2"/>
    <n v="4398.16"/>
    <n v="4439.12"/>
    <n v="-30.880799999999908"/>
    <s v="New"/>
    <n v="0.01"/>
    <s v="Bank Transfer"/>
    <s v="Online"/>
    <x v="5"/>
  </r>
  <r>
    <n v="1061"/>
    <x v="178"/>
    <d v="2023-04-22T00:00:00"/>
    <x v="1"/>
    <s v="Apr"/>
    <x v="0"/>
    <x v="0"/>
    <n v="138943.9350914825"/>
    <n v="39"/>
    <x v="2"/>
    <n v="3494.19"/>
    <n v="3746"/>
    <n v="2515.8899999999908"/>
    <s v="Returning"/>
    <n v="0.05"/>
    <s v="Bank Transfer"/>
    <s v="Retail"/>
    <x v="0"/>
  </r>
  <r>
    <n v="1016"/>
    <x v="259"/>
    <d v="2023-04-23T00:00:00"/>
    <x v="1"/>
    <s v="Apr"/>
    <x v="4"/>
    <x v="0"/>
    <n v="29271.94411395114"/>
    <n v="6"/>
    <x v="0"/>
    <n v="4502.09"/>
    <n v="4879.72"/>
    <n v="2265.7800000000007"/>
    <s v="New"/>
    <n v="0"/>
    <s v="Credit Card"/>
    <s v="Online"/>
    <x v="13"/>
  </r>
  <r>
    <n v="1060"/>
    <x v="366"/>
    <d v="2023-04-23T00:00:00"/>
    <x v="1"/>
    <s v="Apr"/>
    <x v="0"/>
    <x v="1"/>
    <n v="98542.790282231261"/>
    <n v="23"/>
    <x v="1"/>
    <n v="4110.6000000000004"/>
    <n v="4488.3700000000008"/>
    <n v="3527.0844999999945"/>
    <s v="New"/>
    <n v="0.05"/>
    <s v="Credit Card"/>
    <s v="Online"/>
    <x v="19"/>
  </r>
  <r>
    <n v="1033"/>
    <x v="284"/>
    <d v="2023-04-23T00:00:00"/>
    <x v="1"/>
    <s v="Apr"/>
    <x v="1"/>
    <x v="1"/>
    <n v="57181.534978630094"/>
    <n v="44"/>
    <x v="2"/>
    <n v="1195.22"/>
    <n v="1320.06"/>
    <n v="4331.3071999999956"/>
    <s v="Returning"/>
    <n v="0.02"/>
    <s v="Bank Transfer"/>
    <s v="Retail"/>
    <x v="1"/>
  </r>
  <r>
    <n v="1008"/>
    <x v="95"/>
    <d v="2023-04-23T00:00:00"/>
    <x v="1"/>
    <s v="Apr"/>
    <x v="0"/>
    <x v="3"/>
    <n v="26336.527000000002"/>
    <n v="35"/>
    <x v="1"/>
    <n v="600.20000000000005"/>
    <n v="1059.8200000000002"/>
    <n v="5329.527"/>
    <s v="Returning"/>
    <n v="0.28999999999999998"/>
    <s v="Bank Transfer"/>
    <s v="Retail"/>
    <x v="5"/>
  </r>
  <r>
    <n v="1024"/>
    <x v="207"/>
    <d v="2023-04-24T00:00:00"/>
    <x v="1"/>
    <s v="Apr"/>
    <x v="4"/>
    <x v="3"/>
    <n v="72614.169788135623"/>
    <n v="35"/>
    <x v="0"/>
    <n v="2051"/>
    <n v="2121.5500000000002"/>
    <n v="984.16500000000497"/>
    <s v="Returning"/>
    <n v="0.02"/>
    <s v="Cash"/>
    <s v="Retail"/>
    <x v="12"/>
  </r>
  <r>
    <n v="1054"/>
    <x v="251"/>
    <d v="2023-04-24T00:00:00"/>
    <x v="1"/>
    <s v="Apr"/>
    <x v="4"/>
    <x v="3"/>
    <n v="113477.99040000001"/>
    <n v="48"/>
    <x v="3"/>
    <n v="2316.92"/>
    <n v="2462.63"/>
    <n v="2265.8303999999989"/>
    <s v="New"/>
    <n v="0.04"/>
    <s v="Credit Card"/>
    <s v="Online"/>
    <x v="12"/>
  </r>
  <r>
    <n v="1095"/>
    <x v="94"/>
    <d v="2023-04-25T00:00:00"/>
    <x v="1"/>
    <s v="Apr"/>
    <x v="2"/>
    <x v="0"/>
    <n v="32271.615310147616"/>
    <n v="10"/>
    <x v="2"/>
    <n v="3155.97"/>
    <n v="3263.49"/>
    <n v="748.85099999999966"/>
    <s v="Returning"/>
    <n v="0.01"/>
    <s v="Credit Card"/>
    <s v="Online"/>
    <x v="18"/>
  </r>
  <r>
    <n v="1039"/>
    <x v="277"/>
    <d v="2023-04-25T00:00:00"/>
    <x v="1"/>
    <s v="Apr"/>
    <x v="3"/>
    <x v="1"/>
    <n v="73422.509717037479"/>
    <n v="24"/>
    <x v="1"/>
    <n v="2615.48"/>
    <n v="3062.2200000000003"/>
    <n v="10721.760000000006"/>
    <s v="New"/>
    <n v="0"/>
    <s v="Bank Transfer"/>
    <s v="Retail"/>
    <x v="16"/>
  </r>
  <r>
    <n v="1075"/>
    <x v="28"/>
    <d v="2023-04-25T00:00:00"/>
    <x v="1"/>
    <s v="Apr"/>
    <x v="4"/>
    <x v="2"/>
    <n v="167709.46128256974"/>
    <n v="44"/>
    <x v="0"/>
    <n v="3519.29"/>
    <n v="3822.98"/>
    <n v="13362.360000000002"/>
    <s v="Returning"/>
    <n v="0"/>
    <s v="Bank Transfer"/>
    <s v="Online"/>
    <x v="17"/>
  </r>
  <r>
    <n v="1075"/>
    <x v="170"/>
    <d v="2023-04-26T00:00:00"/>
    <x v="1"/>
    <s v="Apr"/>
    <x v="4"/>
    <x v="0"/>
    <n v="171344.99861663696"/>
    <n v="37"/>
    <x v="2"/>
    <n v="4399.8"/>
    <n v="4801.0600000000004"/>
    <n v="7741.0511999999981"/>
    <s v="New"/>
    <n v="0.04"/>
    <s v="Bank Transfer"/>
    <s v="Retail"/>
    <x v="13"/>
  </r>
  <r>
    <n v="1020"/>
    <x v="341"/>
    <d v="2023-04-27T00:00:00"/>
    <x v="1"/>
    <s v="Apr"/>
    <x v="3"/>
    <x v="0"/>
    <n v="157840.7839898557"/>
    <n v="33"/>
    <x v="0"/>
    <n v="4772.03"/>
    <n v="4805.17"/>
    <n v="1093.6200000000108"/>
    <s v="Returning"/>
    <n v="0"/>
    <s v="Bank Transfer"/>
    <s v="Online"/>
    <x v="11"/>
  </r>
  <r>
    <n v="1018"/>
    <x v="219"/>
    <d v="2023-04-27T00:00:00"/>
    <x v="1"/>
    <s v="Apr"/>
    <x v="4"/>
    <x v="0"/>
    <n v="7003.5546000000004"/>
    <n v="17"/>
    <x v="1"/>
    <n v="355.72"/>
    <n v="438.27000000000004"/>
    <n v="956.31460000000015"/>
    <s v="Returning"/>
    <n v="0.06"/>
    <s v="Bank Transfer"/>
    <s v="Online"/>
    <x v="13"/>
  </r>
  <r>
    <n v="1001"/>
    <x v="315"/>
    <d v="2023-04-27T00:00:00"/>
    <x v="1"/>
    <s v="Apr"/>
    <x v="0"/>
    <x v="1"/>
    <n v="37078.902678546765"/>
    <n v="25"/>
    <x v="2"/>
    <n v="1330.62"/>
    <n v="1543.6899999999998"/>
    <n v="3783.0599999999949"/>
    <s v="New"/>
    <n v="0.04"/>
    <s v="Credit Card"/>
    <s v="Online"/>
    <x v="19"/>
  </r>
  <r>
    <n v="1064"/>
    <x v="126"/>
    <d v="2023-04-27T00:00:00"/>
    <x v="1"/>
    <s v="Apr"/>
    <x v="2"/>
    <x v="3"/>
    <n v="25815.619834505647"/>
    <n v="13"/>
    <x v="1"/>
    <n v="1645.51"/>
    <n v="2045.53"/>
    <n v="4402.5032999999994"/>
    <s v="Returning"/>
    <n v="0.03"/>
    <s v="Cash"/>
    <s v="Retail"/>
    <x v="3"/>
  </r>
  <r>
    <n v="1024"/>
    <x v="140"/>
    <d v="2023-04-27T00:00:00"/>
    <x v="1"/>
    <s v="Apr"/>
    <x v="3"/>
    <x v="2"/>
    <n v="92333.934000000008"/>
    <n v="42"/>
    <x v="3"/>
    <n v="2069.0500000000002"/>
    <n v="2363.9"/>
    <n v="5433.833999999998"/>
    <s v="Returning"/>
    <n v="7.0000000000000007E-2"/>
    <s v="Cash"/>
    <s v="Online"/>
    <x v="9"/>
  </r>
  <r>
    <n v="1036"/>
    <x v="92"/>
    <d v="2023-04-28T00:00:00"/>
    <x v="1"/>
    <s v="Apr"/>
    <x v="1"/>
    <x v="2"/>
    <n v="101156.7375"/>
    <n v="25"/>
    <x v="0"/>
    <n v="4037.73"/>
    <n v="4446.45"/>
    <n v="213.48749999999654"/>
    <s v="Returning"/>
    <n v="0.09"/>
    <s v="Bank Transfer"/>
    <s v="Online"/>
    <x v="15"/>
  </r>
  <r>
    <n v="1023"/>
    <x v="361"/>
    <d v="2023-04-28T00:00:00"/>
    <x v="1"/>
    <s v="Apr"/>
    <x v="1"/>
    <x v="3"/>
    <n v="11816.400789034196"/>
    <n v="5"/>
    <x v="2"/>
    <n v="2311.25"/>
    <n v="2482.34"/>
    <n v="234.86499999999978"/>
    <s v="Returning"/>
    <n v="0.05"/>
    <s v="Credit Card"/>
    <s v="Retail"/>
    <x v="7"/>
  </r>
  <r>
    <n v="1003"/>
    <x v="104"/>
    <d v="2023-04-28T00:00:00"/>
    <x v="1"/>
    <s v="Apr"/>
    <x v="1"/>
    <x v="0"/>
    <n v="22126.867200000001"/>
    <n v="27"/>
    <x v="0"/>
    <n v="623.32000000000005"/>
    <n v="853.66000000000008"/>
    <n v="5297.2271999999984"/>
    <s v="Returning"/>
    <n v="0.04"/>
    <s v="Cash"/>
    <s v="Online"/>
    <x v="10"/>
  </r>
  <r>
    <n v="1009"/>
    <x v="355"/>
    <d v="2023-04-28T00:00:00"/>
    <x v="1"/>
    <s v="Apr"/>
    <x v="3"/>
    <x v="3"/>
    <n v="82353.314999999988"/>
    <n v="33"/>
    <x v="1"/>
    <n v="2278.9"/>
    <n v="2626.9"/>
    <n v="7149.6149999999916"/>
    <s v="New"/>
    <n v="0.05"/>
    <s v="Credit Card"/>
    <s v="Online"/>
    <x v="4"/>
  </r>
  <r>
    <n v="1093"/>
    <x v="319"/>
    <d v="2023-04-29T00:00:00"/>
    <x v="1"/>
    <s v="Apr"/>
    <x v="3"/>
    <x v="3"/>
    <n v="143298.95000000001"/>
    <n v="34"/>
    <x v="3"/>
    <n v="4201.1099999999997"/>
    <n v="4436.5"/>
    <n v="461.21000000001732"/>
    <s v="New"/>
    <n v="0.05"/>
    <s v="Cash"/>
    <s v="Online"/>
    <x v="4"/>
  </r>
  <r>
    <n v="1056"/>
    <x v="101"/>
    <d v="2023-04-29T00:00:00"/>
    <x v="1"/>
    <s v="Apr"/>
    <x v="1"/>
    <x v="3"/>
    <n v="7139.3199999999988"/>
    <n v="10"/>
    <x v="1"/>
    <n v="536.80999999999995"/>
    <n v="839.92"/>
    <n v="1771.2199999999996"/>
    <s v="Returning"/>
    <n v="0.15"/>
    <s v="Bank Transfer"/>
    <s v="Online"/>
    <x v="7"/>
  </r>
  <r>
    <n v="1051"/>
    <x v="118"/>
    <d v="2023-04-30T00:00:00"/>
    <x v="1"/>
    <s v="Apr"/>
    <x v="2"/>
    <x v="2"/>
    <n v="3066.7827379497016"/>
    <n v="3"/>
    <x v="3"/>
    <n v="1000.18"/>
    <n v="1023.64"/>
    <n v="70.380000000000109"/>
    <s v="Returning"/>
    <n v="0"/>
    <s v="Credit Card"/>
    <s v="Online"/>
    <x v="14"/>
  </r>
  <r>
    <n v="1032"/>
    <x v="386"/>
    <d v="2023-04-30T00:00:00"/>
    <x v="1"/>
    <s v="Apr"/>
    <x v="3"/>
    <x v="2"/>
    <n v="44670.525480385688"/>
    <n v="18"/>
    <x v="2"/>
    <n v="2466.1799999999998"/>
    <n v="2483.87"/>
    <n v="318.42000000000098"/>
    <s v="Returning"/>
    <n v="0"/>
    <s v="Cash"/>
    <s v="Online"/>
    <x v="9"/>
  </r>
  <r>
    <n v="1076"/>
    <x v="129"/>
    <d v="2023-04-30T00:00:00"/>
    <x v="1"/>
    <s v="Apr"/>
    <x v="0"/>
    <x v="2"/>
    <n v="141732.22415763489"/>
    <n v="32"/>
    <x v="1"/>
    <n v="4337.82"/>
    <n v="4460.71"/>
    <n v="2505.0528000000049"/>
    <s v="Returning"/>
    <n v="0.01"/>
    <s v="Cash"/>
    <s v="Retail"/>
    <x v="2"/>
  </r>
  <r>
    <n v="1006"/>
    <x v="81"/>
    <d v="2023-04-30T00:00:00"/>
    <x v="1"/>
    <s v="Apr"/>
    <x v="1"/>
    <x v="3"/>
    <n v="59401.468924661021"/>
    <n v="19"/>
    <x v="1"/>
    <n v="2962.41"/>
    <n v="3218.8999999999996"/>
    <n v="3038.5369999999957"/>
    <s v="New"/>
    <n v="0.03"/>
    <s v="Cash"/>
    <s v="Retail"/>
    <x v="7"/>
  </r>
  <r>
    <n v="1096"/>
    <x v="27"/>
    <d v="2023-05-02T00:00:00"/>
    <x v="1"/>
    <s v="May"/>
    <x v="3"/>
    <x v="1"/>
    <n v="33526.954441989779"/>
    <n v="32"/>
    <x v="0"/>
    <n v="991.63"/>
    <n v="1065.55"/>
    <n v="1683.4880000000012"/>
    <s v="Returning"/>
    <n v="0.02"/>
    <s v="Bank Transfer"/>
    <s v="Retail"/>
    <x v="16"/>
  </r>
  <r>
    <n v="1036"/>
    <x v="92"/>
    <d v="2023-05-02T00:00:00"/>
    <x v="1"/>
    <s v="May"/>
    <x v="4"/>
    <x v="3"/>
    <n v="182284.4171822035"/>
    <n v="42"/>
    <x v="0"/>
    <n v="4292.63"/>
    <n v="4387.99"/>
    <n v="2162.1641999999902"/>
    <s v="New"/>
    <n v="0.01"/>
    <s v="Credit Card"/>
    <s v="Retail"/>
    <x v="12"/>
  </r>
  <r>
    <n v="1051"/>
    <x v="213"/>
    <d v="2023-05-02T00:00:00"/>
    <x v="1"/>
    <s v="May"/>
    <x v="3"/>
    <x v="3"/>
    <n v="132442.91999999998"/>
    <n v="34"/>
    <x v="0"/>
    <n v="3764.14"/>
    <n v="4100.3999999999996"/>
    <n v="4462.1599999999926"/>
    <s v="Returning"/>
    <n v="0.05"/>
    <s v="Bank Transfer"/>
    <s v="Retail"/>
    <x v="4"/>
  </r>
  <r>
    <n v="1042"/>
    <x v="0"/>
    <d v="2023-05-03T00:00:00"/>
    <x v="1"/>
    <s v="May"/>
    <x v="3"/>
    <x v="2"/>
    <n v="20098.548000000003"/>
    <n v="37"/>
    <x v="0"/>
    <n v="502.86"/>
    <n v="687.6"/>
    <n v="1492.7280000000019"/>
    <s v="Returning"/>
    <n v="0.21"/>
    <s v="Cash"/>
    <s v="Online"/>
    <x v="9"/>
  </r>
  <r>
    <n v="1015"/>
    <x v="144"/>
    <d v="2023-05-03T00:00:00"/>
    <x v="1"/>
    <s v="May"/>
    <x v="4"/>
    <x v="0"/>
    <n v="87497.864374804951"/>
    <n v="30"/>
    <x v="3"/>
    <n v="2680.22"/>
    <n v="3027.9199999999996"/>
    <n v="6797.4959999999874"/>
    <s v="Returning"/>
    <n v="0.04"/>
    <s v="Bank Transfer"/>
    <s v="Online"/>
    <x v="13"/>
  </r>
  <r>
    <n v="1061"/>
    <x v="201"/>
    <d v="2023-05-03T00:00:00"/>
    <x v="1"/>
    <s v="May"/>
    <x v="2"/>
    <x v="0"/>
    <n v="126336.95431280739"/>
    <n v="41"/>
    <x v="0"/>
    <n v="2894.18"/>
    <n v="3193.92"/>
    <n v="7051.3112000000056"/>
    <s v="New"/>
    <n v="0.04"/>
    <s v="Bank Transfer"/>
    <s v="Retail"/>
    <x v="18"/>
  </r>
  <r>
    <n v="1086"/>
    <x v="82"/>
    <d v="2023-05-04T00:00:00"/>
    <x v="1"/>
    <s v="May"/>
    <x v="2"/>
    <x v="2"/>
    <n v="60398.46"/>
    <n v="25"/>
    <x v="3"/>
    <n v="2248.71"/>
    <n v="2626.02"/>
    <n v="4180.7099999999991"/>
    <s v="New"/>
    <n v="0.08"/>
    <s v="Bank Transfer"/>
    <s v="Online"/>
    <x v="14"/>
  </r>
  <r>
    <n v="1062"/>
    <x v="84"/>
    <d v="2023-05-05T00:00:00"/>
    <x v="1"/>
    <s v="May"/>
    <x v="0"/>
    <x v="0"/>
    <n v="31846.326818221089"/>
    <n v="26"/>
    <x v="1"/>
    <n v="992.17"/>
    <n v="1263.49"/>
    <n v="6068.7978000000003"/>
    <s v="Returning"/>
    <n v="0.03"/>
    <s v="Bank Transfer"/>
    <s v="Retail"/>
    <x v="0"/>
  </r>
  <r>
    <n v="1056"/>
    <x v="101"/>
    <d v="2023-05-07T00:00:00"/>
    <x v="1"/>
    <s v="May"/>
    <x v="4"/>
    <x v="1"/>
    <n v="44046.145923369906"/>
    <n v="28"/>
    <x v="1"/>
    <n v="1566.03"/>
    <n v="1576.34"/>
    <n v="288.67999999999847"/>
    <s v="Returning"/>
    <n v="0"/>
    <s v="Bank Transfer"/>
    <s v="Online"/>
    <x v="6"/>
  </r>
  <r>
    <n v="1073"/>
    <x v="264"/>
    <d v="2023-05-07T00:00:00"/>
    <x v="1"/>
    <s v="May"/>
    <x v="4"/>
    <x v="3"/>
    <n v="69210.854500561647"/>
    <n v="29"/>
    <x v="1"/>
    <n v="2152.6799999999998"/>
    <n v="2475.9299999999998"/>
    <n v="6502.1711999999934"/>
    <s v="Returning"/>
    <n v="0.04"/>
    <s v="Bank Transfer"/>
    <s v="Online"/>
    <x v="12"/>
  </r>
  <r>
    <n v="1093"/>
    <x v="161"/>
    <d v="2023-05-08T00:00:00"/>
    <x v="1"/>
    <s v="May"/>
    <x v="2"/>
    <x v="1"/>
    <n v="12592.122803464177"/>
    <n v="17"/>
    <x v="0"/>
    <n v="727.38"/>
    <n v="764.54"/>
    <n v="241.80459999999971"/>
    <s v="Returning"/>
    <n v="0.03"/>
    <s v="Credit Card"/>
    <s v="Retail"/>
    <x v="8"/>
  </r>
  <r>
    <n v="1067"/>
    <x v="331"/>
    <d v="2023-05-08T00:00:00"/>
    <x v="1"/>
    <s v="May"/>
    <x v="1"/>
    <x v="3"/>
    <n v="72134.092387110111"/>
    <n v="32"/>
    <x v="3"/>
    <n v="2171.79"/>
    <n v="2307.64"/>
    <n v="2870.3104000000021"/>
    <s v="Returning"/>
    <n v="0.02"/>
    <s v="Bank Transfer"/>
    <s v="Online"/>
    <x v="7"/>
  </r>
  <r>
    <n v="1026"/>
    <x v="50"/>
    <d v="2023-05-08T00:00:00"/>
    <x v="1"/>
    <s v="May"/>
    <x v="1"/>
    <x v="2"/>
    <n v="68637.214267304371"/>
    <n v="20"/>
    <x v="1"/>
    <n v="2985.63"/>
    <n v="3452.1400000000003"/>
    <n v="8639.7720000000027"/>
    <s v="New"/>
    <n v="0.01"/>
    <s v="Credit Card"/>
    <s v="Retail"/>
    <x v="15"/>
  </r>
  <r>
    <n v="1012"/>
    <x v="296"/>
    <d v="2023-05-09T00:00:00"/>
    <x v="1"/>
    <s v="May"/>
    <x v="4"/>
    <x v="2"/>
    <n v="18203.885699999999"/>
    <n v="13"/>
    <x v="3"/>
    <n v="1311.01"/>
    <n v="1538.79"/>
    <n v="1160.7557000000002"/>
    <s v="Returning"/>
    <n v="0.09"/>
    <s v="Bank Transfer"/>
    <s v="Retail"/>
    <x v="17"/>
  </r>
  <r>
    <n v="1030"/>
    <x v="371"/>
    <d v="2023-05-10T00:00:00"/>
    <x v="1"/>
    <s v="May"/>
    <x v="2"/>
    <x v="0"/>
    <n v="202688.24000000002"/>
    <n v="43"/>
    <x v="1"/>
    <n v="4696.6400000000003"/>
    <n v="4713.68"/>
    <n v="732.71999999999844"/>
    <s v="Returning"/>
    <n v="0"/>
    <s v="Bank Transfer"/>
    <s v="Online"/>
    <x v="18"/>
  </r>
  <r>
    <n v="1034"/>
    <x v="185"/>
    <d v="2023-05-10T00:00:00"/>
    <x v="1"/>
    <s v="May"/>
    <x v="0"/>
    <x v="1"/>
    <n v="40491.46341807452"/>
    <n v="19"/>
    <x v="1"/>
    <n v="1922.21"/>
    <n v="2180.83"/>
    <n v="4085.0646000000011"/>
    <s v="Returning"/>
    <n v="0.02"/>
    <s v="Credit Card"/>
    <s v="Retail"/>
    <x v="19"/>
  </r>
  <r>
    <n v="1001"/>
    <x v="212"/>
    <d v="2023-05-10T00:00:00"/>
    <x v="1"/>
    <s v="May"/>
    <x v="4"/>
    <x v="1"/>
    <n v="234866.62339999998"/>
    <n v="47"/>
    <x v="3"/>
    <n v="4865.33"/>
    <n v="5316.13"/>
    <n v="6196.113399999992"/>
    <s v="New"/>
    <n v="0.06"/>
    <s v="Bank Transfer"/>
    <s v="Online"/>
    <x v="6"/>
  </r>
  <r>
    <n v="1063"/>
    <x v="2"/>
    <d v="2023-05-10T00:00:00"/>
    <x v="1"/>
    <s v="May"/>
    <x v="4"/>
    <x v="1"/>
    <n v="213740.84883707625"/>
    <n v="47"/>
    <x v="2"/>
    <n v="4291.33"/>
    <n v="4658.6400000000003"/>
    <n v="12884.448400000005"/>
    <s v="New"/>
    <n v="0.02"/>
    <s v="Credit Card"/>
    <s v="Retail"/>
    <x v="6"/>
  </r>
  <r>
    <n v="1051"/>
    <x v="118"/>
    <d v="2023-05-11T00:00:00"/>
    <x v="1"/>
    <s v="May"/>
    <x v="2"/>
    <x v="3"/>
    <n v="160630.38719999997"/>
    <n v="36"/>
    <x v="3"/>
    <n v="4418.95"/>
    <n v="4647.87"/>
    <n v="1548.1871999999858"/>
    <s v="New"/>
    <n v="0.04"/>
    <s v="Bank Transfer"/>
    <s v="Online"/>
    <x v="3"/>
  </r>
  <r>
    <n v="1001"/>
    <x v="292"/>
    <d v="2023-05-11T00:00:00"/>
    <x v="1"/>
    <s v="May"/>
    <x v="0"/>
    <x v="1"/>
    <n v="5273.3872000000001"/>
    <n v="8"/>
    <x v="1"/>
    <n v="442.11"/>
    <n v="803.87"/>
    <n v="1736.5072"/>
    <s v="New"/>
    <n v="0.18"/>
    <s v="Cash"/>
    <s v="Retail"/>
    <x v="19"/>
  </r>
  <r>
    <n v="1003"/>
    <x v="367"/>
    <d v="2023-05-11T00:00:00"/>
    <x v="1"/>
    <s v="May"/>
    <x v="1"/>
    <x v="3"/>
    <n v="99060.605341656221"/>
    <n v="26"/>
    <x v="2"/>
    <n v="3418.78"/>
    <n v="3824.1000000000004"/>
    <n v="10538.320000000003"/>
    <s v="New"/>
    <n v="0"/>
    <s v="Credit Card"/>
    <s v="Online"/>
    <x v="7"/>
  </r>
  <r>
    <n v="1099"/>
    <x v="168"/>
    <d v="2023-05-11T00:00:00"/>
    <x v="1"/>
    <s v="May"/>
    <x v="3"/>
    <x v="0"/>
    <n v="176429.43831423527"/>
    <n v="48"/>
    <x v="3"/>
    <n v="3441.61"/>
    <n v="3693.4500000000003"/>
    <n v="12088.320000000007"/>
    <s v="Returning"/>
    <n v="0"/>
    <s v="Bank Transfer"/>
    <s v="Online"/>
    <x v="11"/>
  </r>
  <r>
    <n v="1038"/>
    <x v="225"/>
    <d v="2023-05-12T00:00:00"/>
    <x v="1"/>
    <s v="May"/>
    <x v="2"/>
    <x v="0"/>
    <n v="55240.091889173556"/>
    <n v="20"/>
    <x v="1"/>
    <n v="2607.31"/>
    <n v="2774.86"/>
    <n v="3351.0000000000036"/>
    <s v="New"/>
    <n v="0"/>
    <s v="Credit Card"/>
    <s v="Retail"/>
    <x v="18"/>
  </r>
  <r>
    <n v="1033"/>
    <x v="99"/>
    <d v="2023-05-12T00:00:00"/>
    <x v="1"/>
    <s v="May"/>
    <x v="2"/>
    <x v="3"/>
    <n v="53856.357045488607"/>
    <n v="16"/>
    <x v="0"/>
    <n v="2915.88"/>
    <n v="3397.36"/>
    <n v="7160.1024000000034"/>
    <s v="New"/>
    <n v="0.01"/>
    <s v="Bank Transfer"/>
    <s v="Retail"/>
    <x v="3"/>
  </r>
  <r>
    <n v="1075"/>
    <x v="149"/>
    <d v="2023-05-13T00:00:00"/>
    <x v="1"/>
    <s v="May"/>
    <x v="2"/>
    <x v="1"/>
    <n v="157097.77567358955"/>
    <n v="36"/>
    <x v="1"/>
    <n v="4337.6099999999997"/>
    <n v="4386.82"/>
    <n v="192.30480000000534"/>
    <s v="Returning"/>
    <n v="0.01"/>
    <s v="Credit Card"/>
    <s v="Online"/>
    <x v="8"/>
  </r>
  <r>
    <n v="1060"/>
    <x v="245"/>
    <d v="2023-05-13T00:00:00"/>
    <x v="1"/>
    <s v="May"/>
    <x v="1"/>
    <x v="2"/>
    <n v="101458.87079999999"/>
    <n v="31"/>
    <x v="2"/>
    <n v="3161.4"/>
    <n v="3339.66"/>
    <n v="3455.4707999999905"/>
    <s v="Returning"/>
    <n v="0.02"/>
    <s v="Bank Transfer"/>
    <s v="Online"/>
    <x v="15"/>
  </r>
  <r>
    <n v="1039"/>
    <x v="105"/>
    <d v="2023-05-13T00:00:00"/>
    <x v="1"/>
    <s v="May"/>
    <x v="0"/>
    <x v="2"/>
    <n v="155943.72868934582"/>
    <n v="40"/>
    <x v="0"/>
    <n v="3536.46"/>
    <n v="3945.82"/>
    <n v="14796.072000000004"/>
    <s v="New"/>
    <n v="0.01"/>
    <s v="Bank Transfer"/>
    <s v="Online"/>
    <x v="2"/>
  </r>
  <r>
    <n v="1087"/>
    <x v="194"/>
    <d v="2023-05-14T00:00:00"/>
    <x v="1"/>
    <s v="May"/>
    <x v="1"/>
    <x v="2"/>
    <n v="40282.184999999998"/>
    <n v="10"/>
    <x v="2"/>
    <n v="3988.52"/>
    <n v="4240.2299999999996"/>
    <n v="396.98499999999513"/>
    <s v="New"/>
    <n v="0.05"/>
    <s v="Credit Card"/>
    <s v="Online"/>
    <x v="15"/>
  </r>
  <r>
    <n v="1064"/>
    <x v="200"/>
    <d v="2023-05-14T00:00:00"/>
    <x v="1"/>
    <s v="May"/>
    <x v="2"/>
    <x v="0"/>
    <n v="34857.185450750701"/>
    <n v="8"/>
    <x v="2"/>
    <n v="4271.99"/>
    <n v="4417.79"/>
    <n v="812.976800000004"/>
    <s v="Returning"/>
    <n v="0.01"/>
    <s v="Cash"/>
    <s v="Online"/>
    <x v="18"/>
  </r>
  <r>
    <n v="1049"/>
    <x v="114"/>
    <d v="2023-05-14T00:00:00"/>
    <x v="1"/>
    <s v="May"/>
    <x v="0"/>
    <x v="0"/>
    <n v="101804.73599999999"/>
    <n v="22"/>
    <x v="2"/>
    <n v="4573.6899999999996"/>
    <n v="4820.2999999999993"/>
    <n v="1183.555999999995"/>
    <s v="New"/>
    <n v="0.04"/>
    <s v="Cash"/>
    <s v="Online"/>
    <x v="0"/>
  </r>
  <r>
    <n v="1009"/>
    <x v="276"/>
    <d v="2023-05-14T00:00:00"/>
    <x v="1"/>
    <s v="May"/>
    <x v="4"/>
    <x v="2"/>
    <n v="123704.94422396265"/>
    <n v="40"/>
    <x v="0"/>
    <n v="2799.71"/>
    <n v="3231.08"/>
    <n v="12085.072"/>
    <s v="Returning"/>
    <n v="0.04"/>
    <s v="Credit Card"/>
    <s v="Retail"/>
    <x v="17"/>
  </r>
  <r>
    <n v="1001"/>
    <x v="315"/>
    <d v="2023-05-14T00:00:00"/>
    <x v="1"/>
    <s v="May"/>
    <x v="0"/>
    <x v="0"/>
    <n v="107888.27"/>
    <n v="35"/>
    <x v="2"/>
    <n v="2745.75"/>
    <n v="3244.76"/>
    <n v="11787.019999999997"/>
    <s v="New"/>
    <n v="0.05"/>
    <s v="Bank Transfer"/>
    <s v="Online"/>
    <x v="0"/>
  </r>
  <r>
    <n v="1062"/>
    <x v="18"/>
    <d v="2023-05-16T00:00:00"/>
    <x v="1"/>
    <s v="May"/>
    <x v="1"/>
    <x v="3"/>
    <n v="13535.923200000001"/>
    <n v="46"/>
    <x v="0"/>
    <n v="159.32"/>
    <n v="303.36"/>
    <n v="6207.2032000000017"/>
    <s v="New"/>
    <n v="0.03"/>
    <s v="Cash"/>
    <s v="Retail"/>
    <x v="7"/>
  </r>
  <r>
    <n v="1049"/>
    <x v="297"/>
    <d v="2023-05-17T00:00:00"/>
    <x v="1"/>
    <s v="May"/>
    <x v="3"/>
    <x v="2"/>
    <n v="3299.7732675313614"/>
    <n v="1"/>
    <x v="0"/>
    <n v="3290.89"/>
    <n v="3317.75"/>
    <n v="-6.3175000000001091"/>
    <s v="Returning"/>
    <n v="0.01"/>
    <s v="Bank Transfer"/>
    <s v="Online"/>
    <x v="9"/>
  </r>
  <r>
    <n v="1053"/>
    <x v="233"/>
    <d v="2023-05-17T00:00:00"/>
    <x v="1"/>
    <s v="May"/>
    <x v="2"/>
    <x v="0"/>
    <n v="154636.04519999999"/>
    <n v="36"/>
    <x v="1"/>
    <n v="4252.17"/>
    <n v="4720.2700000000004"/>
    <n v="1557.9252000000051"/>
    <s v="New"/>
    <n v="0.09"/>
    <s v="Cash"/>
    <s v="Retail"/>
    <x v="18"/>
  </r>
  <r>
    <n v="1056"/>
    <x v="136"/>
    <d v="2023-05-17T00:00:00"/>
    <x v="1"/>
    <s v="May"/>
    <x v="4"/>
    <x v="2"/>
    <n v="118601.54655808503"/>
    <n v="47"/>
    <x v="0"/>
    <n v="2461.6999999999998"/>
    <n v="2529.02"/>
    <n v="3164.0400000000077"/>
    <s v="Returning"/>
    <n v="0"/>
    <s v="Cash"/>
    <s v="Retail"/>
    <x v="17"/>
  </r>
  <r>
    <n v="1004"/>
    <x v="334"/>
    <d v="2023-05-17T00:00:00"/>
    <x v="1"/>
    <s v="May"/>
    <x v="3"/>
    <x v="3"/>
    <n v="151834.27379223605"/>
    <n v="36"/>
    <x v="3"/>
    <n v="3981.2"/>
    <n v="4432.3499999999995"/>
    <n v="8263.1699999999764"/>
    <s v="New"/>
    <n v="0.05"/>
    <s v="Cash"/>
    <s v="Online"/>
    <x v="4"/>
  </r>
  <r>
    <n v="1050"/>
    <x v="31"/>
    <d v="2023-05-17T00:00:00"/>
    <x v="1"/>
    <s v="May"/>
    <x v="2"/>
    <x v="3"/>
    <n v="18992.231999999996"/>
    <n v="45"/>
    <x v="0"/>
    <n v="112.35"/>
    <n v="586.17999999999995"/>
    <n v="13936.481999999996"/>
    <s v="Returning"/>
    <n v="0.28000000000000003"/>
    <s v="Credit Card"/>
    <s v="Retail"/>
    <x v="3"/>
  </r>
  <r>
    <n v="1063"/>
    <x v="291"/>
    <d v="2023-05-18T00:00:00"/>
    <x v="1"/>
    <s v="May"/>
    <x v="2"/>
    <x v="2"/>
    <n v="146436.4321959946"/>
    <n v="39"/>
    <x v="3"/>
    <n v="3577.69"/>
    <n v="3931.25"/>
    <n v="7656.0899999999983"/>
    <s v="Returning"/>
    <n v="0.04"/>
    <s v="Cash"/>
    <s v="Retail"/>
    <x v="14"/>
  </r>
  <r>
    <n v="1050"/>
    <x v="44"/>
    <d v="2023-05-19T00:00:00"/>
    <x v="1"/>
    <s v="May"/>
    <x v="1"/>
    <x v="1"/>
    <n v="75942.502999999997"/>
    <n v="35"/>
    <x v="1"/>
    <n v="2158.69"/>
    <n v="2384.38"/>
    <n v="388.35300000000188"/>
    <s v="Returning"/>
    <n v="0.09"/>
    <s v="Bank Transfer"/>
    <s v="Retail"/>
    <x v="1"/>
  </r>
  <r>
    <n v="1071"/>
    <x v="153"/>
    <d v="2023-05-20T00:00:00"/>
    <x v="1"/>
    <s v="May"/>
    <x v="0"/>
    <x v="2"/>
    <n v="18087.367199999997"/>
    <n v="6"/>
    <x v="0"/>
    <n v="2831.23"/>
    <n v="3206.98"/>
    <n v="1099.9871999999978"/>
    <s v="Returning"/>
    <n v="0.06"/>
    <s v="Bank Transfer"/>
    <s v="Retail"/>
    <x v="2"/>
  </r>
  <r>
    <n v="1012"/>
    <x v="296"/>
    <d v="2023-05-20T00:00:00"/>
    <x v="1"/>
    <s v="May"/>
    <x v="2"/>
    <x v="3"/>
    <n v="60186.772799999999"/>
    <n v="16"/>
    <x v="3"/>
    <n v="3466.11"/>
    <n v="3799.67"/>
    <n v="4729.0127999999968"/>
    <s v="Returning"/>
    <n v="0.01"/>
    <s v="Cash"/>
    <s v="Retail"/>
    <x v="3"/>
  </r>
  <r>
    <n v="1059"/>
    <x v="141"/>
    <d v="2023-05-21T00:00:00"/>
    <x v="1"/>
    <s v="May"/>
    <x v="3"/>
    <x v="3"/>
    <n v="154196.46550329297"/>
    <n v="37"/>
    <x v="2"/>
    <n v="4146.99"/>
    <n v="4172.3499999999995"/>
    <n v="938.31999999998789"/>
    <s v="Returning"/>
    <n v="0"/>
    <s v="Cash"/>
    <s v="Retail"/>
    <x v="4"/>
  </r>
  <r>
    <n v="1002"/>
    <x v="262"/>
    <d v="2023-05-21T00:00:00"/>
    <x v="1"/>
    <s v="May"/>
    <x v="1"/>
    <x v="2"/>
    <n v="57889.727146444689"/>
    <n v="26"/>
    <x v="1"/>
    <n v="2041.42"/>
    <n v="2291.17"/>
    <n v="4706.3874000000033"/>
    <s v="Returning"/>
    <n v="0.03"/>
    <s v="Cash"/>
    <s v="Online"/>
    <x v="15"/>
  </r>
  <r>
    <n v="1008"/>
    <x v="128"/>
    <d v="2023-05-21T00:00:00"/>
    <x v="1"/>
    <s v="May"/>
    <x v="4"/>
    <x v="1"/>
    <n v="71700.433876590134"/>
    <n v="37"/>
    <x v="0"/>
    <n v="1712.43"/>
    <n v="1980.06"/>
    <n v="8437.0655999999926"/>
    <s v="New"/>
    <n v="0.02"/>
    <s v="Cash"/>
    <s v="Online"/>
    <x v="6"/>
  </r>
  <r>
    <n v="1049"/>
    <x v="157"/>
    <d v="2023-05-22T00:00:00"/>
    <x v="1"/>
    <s v="May"/>
    <x v="2"/>
    <x v="1"/>
    <n v="65216.672343006772"/>
    <n v="19"/>
    <x v="1"/>
    <n v="3316.97"/>
    <n v="3544.02"/>
    <n v="2293.8586000000032"/>
    <s v="Returning"/>
    <n v="0.03"/>
    <s v="Cash"/>
    <s v="Online"/>
    <x v="8"/>
  </r>
  <r>
    <n v="1035"/>
    <x v="74"/>
    <d v="2023-05-22T00:00:00"/>
    <x v="1"/>
    <s v="May"/>
    <x v="3"/>
    <x v="0"/>
    <n v="202178.66202281954"/>
    <n v="45"/>
    <x v="3"/>
    <n v="4132.79"/>
    <n v="4624.1000000000004"/>
    <n v="15866.415000000019"/>
    <s v="New"/>
    <n v="0.03"/>
    <s v="Credit Card"/>
    <s v="Retail"/>
    <x v="11"/>
  </r>
  <r>
    <n v="1100"/>
    <x v="343"/>
    <d v="2023-05-23T00:00:00"/>
    <x v="1"/>
    <s v="May"/>
    <x v="2"/>
    <x v="2"/>
    <n v="103610.58459473557"/>
    <n v="29"/>
    <x v="3"/>
    <n v="3559.56"/>
    <n v="3607.15"/>
    <n v="334.0365000000038"/>
    <s v="Returning"/>
    <n v="0.01"/>
    <s v="Cash"/>
    <s v="Retail"/>
    <x v="14"/>
  </r>
  <r>
    <n v="1067"/>
    <x v="267"/>
    <d v="2023-05-23T00:00:00"/>
    <x v="1"/>
    <s v="May"/>
    <x v="2"/>
    <x v="3"/>
    <n v="129312.05822700427"/>
    <n v="49"/>
    <x v="0"/>
    <n v="2628.38"/>
    <n v="2644.54"/>
    <n v="791.83999999999287"/>
    <s v="Returning"/>
    <n v="0"/>
    <s v="Cash"/>
    <s v="Online"/>
    <x v="3"/>
  </r>
  <r>
    <n v="1044"/>
    <x v="69"/>
    <d v="2023-05-23T00:00:00"/>
    <x v="1"/>
    <s v="May"/>
    <x v="2"/>
    <x v="2"/>
    <n v="47100.804299999996"/>
    <n v="19"/>
    <x v="3"/>
    <n v="2182.75"/>
    <n v="2504.0299999999997"/>
    <n v="5628.5542999999925"/>
    <s v="New"/>
    <n v="0.01"/>
    <s v="Bank Transfer"/>
    <s v="Online"/>
    <x v="14"/>
  </r>
  <r>
    <n v="1019"/>
    <x v="32"/>
    <d v="2023-05-24T00:00:00"/>
    <x v="1"/>
    <s v="May"/>
    <x v="0"/>
    <x v="0"/>
    <n v="40942.780012861549"/>
    <n v="13"/>
    <x v="3"/>
    <n v="3102.73"/>
    <n v="3202.68"/>
    <n v="466.65319999999519"/>
    <s v="New"/>
    <n v="0.02"/>
    <s v="Cash"/>
    <s v="Online"/>
    <x v="0"/>
  </r>
  <r>
    <n v="1005"/>
    <x v="218"/>
    <d v="2023-05-25T00:00:00"/>
    <x v="1"/>
    <s v="May"/>
    <x v="0"/>
    <x v="3"/>
    <n v="2839.1384000000003"/>
    <n v="2"/>
    <x v="1"/>
    <n v="1392.15"/>
    <n v="1448.5400000000002"/>
    <n v="54.838400000000092"/>
    <s v="Returning"/>
    <n v="0.02"/>
    <s v="Bank Transfer"/>
    <s v="Retail"/>
    <x v="5"/>
  </r>
  <r>
    <n v="1091"/>
    <x v="60"/>
    <d v="2023-05-25T00:00:00"/>
    <x v="1"/>
    <s v="May"/>
    <x v="3"/>
    <x v="3"/>
    <n v="88800.238633479137"/>
    <n v="24"/>
    <x v="1"/>
    <n v="3639.3"/>
    <n v="3750.63"/>
    <n v="1771.768799999998"/>
    <s v="New"/>
    <n v="0.01"/>
    <s v="Bank Transfer"/>
    <s v="Retail"/>
    <x v="4"/>
  </r>
  <r>
    <n v="1092"/>
    <x v="370"/>
    <d v="2023-05-25T00:00:00"/>
    <x v="1"/>
    <s v="May"/>
    <x v="2"/>
    <x v="1"/>
    <n v="15707.369983524957"/>
    <n v="20"/>
    <x v="3"/>
    <n v="668.11"/>
    <n v="803.49"/>
    <n v="2386.2040000000002"/>
    <s v="New"/>
    <n v="0.02"/>
    <s v="Bank Transfer"/>
    <s v="Online"/>
    <x v="8"/>
  </r>
  <r>
    <n v="1042"/>
    <x v="138"/>
    <d v="2023-05-26T00:00:00"/>
    <x v="1"/>
    <s v="May"/>
    <x v="2"/>
    <x v="1"/>
    <n v="1412.7244000000001"/>
    <n v="1"/>
    <x v="2"/>
    <n v="1406.24"/>
    <n v="1535.57"/>
    <n v="6.4844000000000506"/>
    <s v="New"/>
    <n v="0.08"/>
    <s v="Credit Card"/>
    <s v="Retail"/>
    <x v="8"/>
  </r>
  <r>
    <n v="1082"/>
    <x v="183"/>
    <d v="2023-05-26T00:00:00"/>
    <x v="1"/>
    <s v="May"/>
    <x v="4"/>
    <x v="0"/>
    <n v="2774.9744000000001"/>
    <n v="2"/>
    <x v="0"/>
    <n v="1349.3"/>
    <n v="1576.69"/>
    <n v="76.374400000000151"/>
    <s v="Returning"/>
    <n v="0.12"/>
    <s v="Credit Card"/>
    <s v="Online"/>
    <x v="13"/>
  </r>
  <r>
    <n v="1074"/>
    <x v="158"/>
    <d v="2023-05-27T00:00:00"/>
    <x v="1"/>
    <s v="May"/>
    <x v="0"/>
    <x v="2"/>
    <n v="6928.7610554671646"/>
    <n v="2"/>
    <x v="3"/>
    <n v="3173.69"/>
    <n v="3503.11"/>
    <n v="588.77779999999984"/>
    <s v="New"/>
    <n v="0.01"/>
    <s v="Bank Transfer"/>
    <s v="Retail"/>
    <x v="2"/>
  </r>
  <r>
    <n v="1001"/>
    <x v="315"/>
    <d v="2023-05-27T00:00:00"/>
    <x v="1"/>
    <s v="May"/>
    <x v="3"/>
    <x v="0"/>
    <n v="31809.603825523605"/>
    <n v="7"/>
    <x v="2"/>
    <n v="4094.68"/>
    <n v="4576.5"/>
    <n v="3052.3849999999989"/>
    <s v="New"/>
    <n v="0.01"/>
    <s v="Cash"/>
    <s v="Retail"/>
    <x v="11"/>
  </r>
  <r>
    <n v="1003"/>
    <x v="317"/>
    <d v="2023-05-27T00:00:00"/>
    <x v="1"/>
    <s v="May"/>
    <x v="0"/>
    <x v="1"/>
    <n v="17320.087199999998"/>
    <n v="39"/>
    <x v="1"/>
    <n v="310.95999999999998"/>
    <n v="457.84"/>
    <n v="5192.6471999999994"/>
    <s v="New"/>
    <n v="0.03"/>
    <s v="Credit Card"/>
    <s v="Online"/>
    <x v="19"/>
  </r>
  <r>
    <n v="1069"/>
    <x v="302"/>
    <d v="2023-05-27T00:00:00"/>
    <x v="1"/>
    <s v="May"/>
    <x v="1"/>
    <x v="2"/>
    <n v="59393.62"/>
    <n v="44"/>
    <x v="2"/>
    <n v="1084.73"/>
    <n v="1420.9"/>
    <n v="11665.5"/>
    <s v="Returning"/>
    <n v="0.05"/>
    <s v="Credit Card"/>
    <s v="Online"/>
    <x v="15"/>
  </r>
  <r>
    <n v="1062"/>
    <x v="109"/>
    <d v="2023-05-28T00:00:00"/>
    <x v="1"/>
    <s v="May"/>
    <x v="2"/>
    <x v="0"/>
    <n v="26935.879553750085"/>
    <n v="28"/>
    <x v="2"/>
    <n v="933.16"/>
    <n v="1004.6999999999999"/>
    <n v="877.85599999999931"/>
    <s v="Returning"/>
    <n v="0.04"/>
    <s v="Bank Transfer"/>
    <s v="Online"/>
    <x v="18"/>
  </r>
  <r>
    <n v="1050"/>
    <x v="31"/>
    <d v="2023-05-28T00:00:00"/>
    <x v="1"/>
    <s v="May"/>
    <x v="3"/>
    <x v="3"/>
    <n v="24442.459274297202"/>
    <n v="6"/>
    <x v="0"/>
    <n v="3763.26"/>
    <n v="4102.72"/>
    <n v="1790.5968000000003"/>
    <s v="New"/>
    <n v="0.01"/>
    <s v="Credit Card"/>
    <s v="Retail"/>
    <x v="4"/>
  </r>
  <r>
    <n v="1006"/>
    <x v="70"/>
    <d v="2023-05-28T00:00:00"/>
    <x v="1"/>
    <s v="May"/>
    <x v="2"/>
    <x v="3"/>
    <n v="52473.294871666083"/>
    <n v="11"/>
    <x v="3"/>
    <n v="4562.58"/>
    <n v="4925.17"/>
    <n v="2363.1838999999982"/>
    <s v="New"/>
    <n v="0.03"/>
    <s v="Cash"/>
    <s v="Retail"/>
    <x v="3"/>
  </r>
  <r>
    <n v="1019"/>
    <x v="177"/>
    <d v="2023-05-28T00:00:00"/>
    <x v="1"/>
    <s v="May"/>
    <x v="3"/>
    <x v="1"/>
    <n v="114680.16342593326"/>
    <n v="28"/>
    <x v="0"/>
    <n v="3907.86"/>
    <n v="4205.37"/>
    <n v="4797.7691999999861"/>
    <s v="New"/>
    <n v="0.03"/>
    <s v="Credit Card"/>
    <s v="Online"/>
    <x v="16"/>
  </r>
  <r>
    <n v="1017"/>
    <x v="376"/>
    <d v="2023-05-28T00:00:00"/>
    <x v="1"/>
    <s v="May"/>
    <x v="4"/>
    <x v="1"/>
    <n v="180339.37019180032"/>
    <n v="35"/>
    <x v="2"/>
    <n v="4867.6400000000003"/>
    <n v="5287.05"/>
    <n v="9127.9474999999948"/>
    <s v="Returning"/>
    <n v="0.03"/>
    <s v="Credit Card"/>
    <s v="Online"/>
    <x v="6"/>
  </r>
  <r>
    <n v="1070"/>
    <x v="62"/>
    <d v="2023-05-29T00:00:00"/>
    <x v="1"/>
    <s v="May"/>
    <x v="1"/>
    <x v="0"/>
    <n v="54625.926015474717"/>
    <n v="14"/>
    <x v="0"/>
    <n v="3796.79"/>
    <n v="3947.5"/>
    <n v="1557.2900000000018"/>
    <s v="Returning"/>
    <n v="0.01"/>
    <s v="Bank Transfer"/>
    <s v="Online"/>
    <x v="10"/>
  </r>
  <r>
    <n v="1069"/>
    <x v="302"/>
    <d v="2023-05-29T00:00:00"/>
    <x v="1"/>
    <s v="May"/>
    <x v="3"/>
    <x v="3"/>
    <n v="12754.055999999999"/>
    <n v="30"/>
    <x v="2"/>
    <n v="300.01"/>
    <n v="477.67999999999995"/>
    <n v="3753.7559999999985"/>
    <s v="New"/>
    <n v="0.11"/>
    <s v="Bank Transfer"/>
    <s v="Retail"/>
    <x v="4"/>
  </r>
  <r>
    <n v="1055"/>
    <x v="391"/>
    <d v="2023-05-29T00:00:00"/>
    <x v="1"/>
    <s v="May"/>
    <x v="0"/>
    <x v="3"/>
    <n v="43510.522544163803"/>
    <n v="40"/>
    <x v="0"/>
    <n v="959.73"/>
    <n v="1111.4100000000001"/>
    <n v="5178.0720000000019"/>
    <s v="New"/>
    <n v="0.02"/>
    <s v="Bank Transfer"/>
    <s v="Online"/>
    <x v="5"/>
  </r>
  <r>
    <n v="1040"/>
    <x v="45"/>
    <d v="2023-05-30T00:00:00"/>
    <x v="1"/>
    <s v="May"/>
    <x v="3"/>
    <x v="0"/>
    <n v="81095.313551960266"/>
    <n v="47"/>
    <x v="1"/>
    <n v="1656.82"/>
    <n v="1750.3799999999999"/>
    <n v="3574.6413999999995"/>
    <s v="New"/>
    <n v="0.01"/>
    <s v="Credit Card"/>
    <s v="Online"/>
    <x v="11"/>
  </r>
  <r>
    <n v="1002"/>
    <x v="53"/>
    <d v="2023-05-30T00:00:00"/>
    <x v="1"/>
    <s v="May"/>
    <x v="4"/>
    <x v="3"/>
    <n v="72136.848000000013"/>
    <n v="17"/>
    <x v="0"/>
    <n v="4024.76"/>
    <n v="4420.1500000000015"/>
    <n v="3715.9280000000126"/>
    <s v="Returning"/>
    <n v="0.04"/>
    <s v="Cash"/>
    <s v="Online"/>
    <x v="12"/>
  </r>
  <r>
    <n v="1002"/>
    <x v="53"/>
    <d v="2023-05-30T00:00:00"/>
    <x v="1"/>
    <s v="May"/>
    <x v="0"/>
    <x v="3"/>
    <n v="66538.969147356955"/>
    <n v="44"/>
    <x v="0"/>
    <n v="1393.58"/>
    <n v="1533.09"/>
    <n v="5463.8804000000027"/>
    <s v="Returning"/>
    <n v="0.01"/>
    <s v="Credit Card"/>
    <s v="Retail"/>
    <x v="5"/>
  </r>
  <r>
    <n v="1064"/>
    <x v="126"/>
    <d v="2023-05-31T00:00:00"/>
    <x v="1"/>
    <s v="May"/>
    <x v="4"/>
    <x v="0"/>
    <n v="9249.1440000000002"/>
    <n v="8"/>
    <x v="1"/>
    <n v="816.54"/>
    <n v="1191.9000000000001"/>
    <n v="2716.8240000000005"/>
    <s v="New"/>
    <n v="0.03"/>
    <s v="Cash"/>
    <s v="Retail"/>
    <x v="13"/>
  </r>
  <r>
    <n v="1099"/>
    <x v="288"/>
    <d v="2023-06-01T00:00:00"/>
    <x v="1"/>
    <s v="Jun"/>
    <x v="3"/>
    <x v="0"/>
    <n v="4129.2777621377609"/>
    <n v="2"/>
    <x v="2"/>
    <n v="2038.4"/>
    <n v="2073.3200000000002"/>
    <n v="69.840000000000146"/>
    <s v="New"/>
    <n v="0"/>
    <s v="Cash"/>
    <s v="Retail"/>
    <x v="11"/>
  </r>
  <r>
    <n v="1013"/>
    <x v="15"/>
    <d v="2023-06-01T00:00:00"/>
    <x v="1"/>
    <s v="Jun"/>
    <x v="1"/>
    <x v="1"/>
    <n v="19933.267200000002"/>
    <n v="16"/>
    <x v="0"/>
    <n v="1222.1500000000001"/>
    <n v="1284.3600000000001"/>
    <n v="378.86720000000059"/>
    <s v="Returning"/>
    <n v="0.03"/>
    <s v="Credit Card"/>
    <s v="Retail"/>
    <x v="1"/>
  </r>
  <r>
    <n v="1022"/>
    <x v="248"/>
    <d v="2023-06-01T00:00:00"/>
    <x v="1"/>
    <s v="Jun"/>
    <x v="4"/>
    <x v="1"/>
    <n v="22339.6335"/>
    <n v="9"/>
    <x v="2"/>
    <n v="2263.65"/>
    <n v="2558.9500000000003"/>
    <n v="1966.7835000000005"/>
    <s v="New"/>
    <n v="0.03"/>
    <s v="Cash"/>
    <s v="Online"/>
    <x v="6"/>
  </r>
  <r>
    <n v="1019"/>
    <x v="63"/>
    <d v="2023-06-01T00:00:00"/>
    <x v="1"/>
    <s v="Jun"/>
    <x v="2"/>
    <x v="1"/>
    <n v="141672.8768"/>
    <n v="38"/>
    <x v="1"/>
    <n v="3637.25"/>
    <n v="4096.96"/>
    <n v="3457.3768000000009"/>
    <s v="Returning"/>
    <n v="0.09"/>
    <s v="Bank Transfer"/>
    <s v="Online"/>
    <x v="8"/>
  </r>
  <r>
    <n v="1050"/>
    <x v="31"/>
    <d v="2023-06-01T00:00:00"/>
    <x v="1"/>
    <s v="Jun"/>
    <x v="2"/>
    <x v="0"/>
    <n v="93966.518399999986"/>
    <n v="23"/>
    <x v="0"/>
    <n v="3756.06"/>
    <n v="4255.7299999999996"/>
    <n v="7577.1383999999862"/>
    <s v="Returning"/>
    <n v="0.04"/>
    <s v="Cash"/>
    <s v="Online"/>
    <x v="18"/>
  </r>
  <r>
    <n v="1086"/>
    <x v="338"/>
    <d v="2023-06-02T00:00:00"/>
    <x v="1"/>
    <s v="Jun"/>
    <x v="2"/>
    <x v="1"/>
    <n v="4868.3504969016285"/>
    <n v="3"/>
    <x v="2"/>
    <n v="1595.35"/>
    <n v="1625.7099999999998"/>
    <n v="91.0799999999997"/>
    <s v="New"/>
    <n v="0"/>
    <s v="Cash"/>
    <s v="Online"/>
    <x v="8"/>
  </r>
  <r>
    <n v="1024"/>
    <x v="207"/>
    <d v="2023-06-02T00:00:00"/>
    <x v="1"/>
    <s v="Jun"/>
    <x v="3"/>
    <x v="2"/>
    <n v="7555.1724671485226"/>
    <n v="2"/>
    <x v="0"/>
    <n v="3604.93"/>
    <n v="3830.71"/>
    <n v="374.94580000000042"/>
    <s v="Returning"/>
    <n v="0.01"/>
    <s v="Credit Card"/>
    <s v="Online"/>
    <x v="9"/>
  </r>
  <r>
    <n v="1057"/>
    <x v="232"/>
    <d v="2023-06-02T00:00:00"/>
    <x v="1"/>
    <s v="Jun"/>
    <x v="0"/>
    <x v="1"/>
    <n v="77155.966172628672"/>
    <n v="22"/>
    <x v="3"/>
    <n v="3462.61"/>
    <n v="3672.8900000000003"/>
    <n v="585.98099999999704"/>
    <s v="Returning"/>
    <n v="0.05"/>
    <s v="Credit Card"/>
    <s v="Online"/>
    <x v="19"/>
  </r>
  <r>
    <n v="1057"/>
    <x v="216"/>
    <d v="2023-06-02T00:00:00"/>
    <x v="1"/>
    <s v="Jun"/>
    <x v="2"/>
    <x v="0"/>
    <n v="23796.929999999997"/>
    <n v="12"/>
    <x v="2"/>
    <n v="1878.3"/>
    <n v="2087.4499999999998"/>
    <n v="1257.3299999999963"/>
    <s v="New"/>
    <n v="0.05"/>
    <s v="Bank Transfer"/>
    <s v="Retail"/>
    <x v="18"/>
  </r>
  <r>
    <n v="1059"/>
    <x v="229"/>
    <d v="2023-06-02T00:00:00"/>
    <x v="1"/>
    <s v="Jun"/>
    <x v="2"/>
    <x v="2"/>
    <n v="26573.724800000004"/>
    <n v="47"/>
    <x v="0"/>
    <n v="287.17"/>
    <n v="657.44"/>
    <n v="13076.7348"/>
    <s v="Returning"/>
    <n v="0.14000000000000001"/>
    <s v="Credit Card"/>
    <s v="Retail"/>
    <x v="14"/>
  </r>
  <r>
    <n v="1039"/>
    <x v="277"/>
    <d v="2023-06-03T00:00:00"/>
    <x v="1"/>
    <s v="Jun"/>
    <x v="2"/>
    <x v="0"/>
    <n v="28520.375666226977"/>
    <n v="8"/>
    <x v="1"/>
    <n v="3380.14"/>
    <n v="3609.3399999999997"/>
    <n v="1544.8527999999969"/>
    <s v="Returning"/>
    <n v="0.01"/>
    <s v="Credit Card"/>
    <s v="Online"/>
    <x v="18"/>
  </r>
  <r>
    <n v="1069"/>
    <x v="210"/>
    <d v="2023-06-03T00:00:00"/>
    <x v="1"/>
    <s v="Jun"/>
    <x v="4"/>
    <x v="2"/>
    <n v="62020.02285178475"/>
    <n v="42"/>
    <x v="1"/>
    <n v="1434.2"/>
    <n v="1482.88"/>
    <n v="2044.5600000000027"/>
    <s v="New"/>
    <n v="0"/>
    <s v="Credit Card"/>
    <s v="Retail"/>
    <x v="17"/>
  </r>
  <r>
    <n v="1016"/>
    <x v="270"/>
    <d v="2023-06-03T00:00:00"/>
    <x v="1"/>
    <s v="Jun"/>
    <x v="4"/>
    <x v="2"/>
    <n v="51185.150796092465"/>
    <n v="46"/>
    <x v="1"/>
    <n v="1023.5"/>
    <n v="1164.4100000000001"/>
    <n v="4339.3455999999969"/>
    <s v="Returning"/>
    <n v="0.04"/>
    <s v="Credit Card"/>
    <s v="Retail"/>
    <x v="17"/>
  </r>
  <r>
    <n v="1090"/>
    <x v="298"/>
    <d v="2023-06-03T00:00:00"/>
    <x v="1"/>
    <s v="Jun"/>
    <x v="4"/>
    <x v="0"/>
    <n v="12200.6736"/>
    <n v="47"/>
    <x v="0"/>
    <n v="85.35"/>
    <n v="360.53999999999996"/>
    <n v="8189.2236000000003"/>
    <s v="New"/>
    <n v="0.28000000000000003"/>
    <s v="Cash"/>
    <s v="Online"/>
    <x v="13"/>
  </r>
  <r>
    <n v="1090"/>
    <x v="298"/>
    <d v="2023-06-03T00:00:00"/>
    <x v="1"/>
    <s v="Jun"/>
    <x v="0"/>
    <x v="3"/>
    <n v="99151.143316466012"/>
    <n v="41"/>
    <x v="0"/>
    <n v="2055.4899999999998"/>
    <n v="2441.46"/>
    <n v="14823.771400000009"/>
    <s v="New"/>
    <n v="0.01"/>
    <s v="Credit Card"/>
    <s v="Online"/>
    <x v="5"/>
  </r>
  <r>
    <n v="1021"/>
    <x v="38"/>
    <d v="2023-06-04T00:00:00"/>
    <x v="1"/>
    <s v="Jun"/>
    <x v="0"/>
    <x v="3"/>
    <n v="30051.278400000003"/>
    <n v="22"/>
    <x v="2"/>
    <n v="1296.44"/>
    <n v="1751.24"/>
    <n v="1529.5983999999999"/>
    <s v="New"/>
    <n v="0.22"/>
    <s v="Cash"/>
    <s v="Online"/>
    <x v="5"/>
  </r>
  <r>
    <n v="1096"/>
    <x v="27"/>
    <d v="2023-06-04T00:00:00"/>
    <x v="1"/>
    <s v="Jun"/>
    <x v="2"/>
    <x v="0"/>
    <n v="34953.185185859569"/>
    <n v="14"/>
    <x v="0"/>
    <n v="2251.9499999999998"/>
    <n v="2626.3199999999997"/>
    <n v="3402.7559999999949"/>
    <s v="Returning"/>
    <n v="0.05"/>
    <s v="Credit Card"/>
    <s v="Online"/>
    <x v="18"/>
  </r>
  <r>
    <n v="1082"/>
    <x v="283"/>
    <d v="2023-06-05T00:00:00"/>
    <x v="1"/>
    <s v="Jun"/>
    <x v="1"/>
    <x v="1"/>
    <n v="26668.925083540344"/>
    <n v="15"/>
    <x v="1"/>
    <n v="1719.47"/>
    <n v="1832.6"/>
    <n v="872.27999999999724"/>
    <s v="Returning"/>
    <n v="0.03"/>
    <s v="Credit Card"/>
    <s v="Online"/>
    <x v="1"/>
  </r>
  <r>
    <n v="1006"/>
    <x v="347"/>
    <d v="2023-06-06T00:00:00"/>
    <x v="1"/>
    <s v="Jun"/>
    <x v="2"/>
    <x v="1"/>
    <n v="35924.943599999999"/>
    <n v="21"/>
    <x v="2"/>
    <n v="1701.62"/>
    <n v="2193.2199999999998"/>
    <n v="190.9235999999994"/>
    <s v="New"/>
    <n v="0.22"/>
    <s v="Bank Transfer"/>
    <s v="Retail"/>
    <x v="8"/>
  </r>
  <r>
    <n v="1079"/>
    <x v="67"/>
    <d v="2023-06-06T00:00:00"/>
    <x v="1"/>
    <s v="Jun"/>
    <x v="4"/>
    <x v="0"/>
    <n v="67435.029484240804"/>
    <n v="34"/>
    <x v="0"/>
    <n v="1967.96"/>
    <n v="1993.4"/>
    <n v="187.20400000000291"/>
    <s v="Returning"/>
    <n v="0.01"/>
    <s v="Credit Card"/>
    <s v="Online"/>
    <x v="13"/>
  </r>
  <r>
    <n v="1033"/>
    <x v="202"/>
    <d v="2023-06-06T00:00:00"/>
    <x v="1"/>
    <s v="Jun"/>
    <x v="3"/>
    <x v="1"/>
    <n v="8213.3760000000002"/>
    <n v="32"/>
    <x v="3"/>
    <n v="108.99"/>
    <n v="351.6"/>
    <n v="4725.6959999999999"/>
    <s v="Returning"/>
    <n v="0.27"/>
    <s v="Credit Card"/>
    <s v="Retail"/>
    <x v="16"/>
  </r>
  <r>
    <n v="1042"/>
    <x v="58"/>
    <d v="2023-06-06T00:00:00"/>
    <x v="1"/>
    <s v="Jun"/>
    <x v="2"/>
    <x v="3"/>
    <n v="68491.550391897879"/>
    <n v="20"/>
    <x v="3"/>
    <n v="3115.06"/>
    <n v="3565.58"/>
    <n v="6157.9359999999997"/>
    <s v="Returning"/>
    <n v="0.04"/>
    <s v="Credit Card"/>
    <s v="Retail"/>
    <x v="3"/>
  </r>
  <r>
    <n v="1045"/>
    <x v="266"/>
    <d v="2023-06-06T00:00:00"/>
    <x v="1"/>
    <s v="Jun"/>
    <x v="2"/>
    <x v="0"/>
    <n v="11985.599999999999"/>
    <n v="15"/>
    <x v="2"/>
    <n v="316.22000000000003"/>
    <n v="799.04"/>
    <n v="7242.2999999999993"/>
    <s v="New"/>
    <n v="0"/>
    <s v="Bank Transfer"/>
    <s v="Online"/>
    <x v="18"/>
  </r>
  <r>
    <n v="1014"/>
    <x v="130"/>
    <d v="2023-06-07T00:00:00"/>
    <x v="1"/>
    <s v="Jun"/>
    <x v="3"/>
    <x v="3"/>
    <n v="7515.8388000000014"/>
    <n v="3"/>
    <x v="2"/>
    <n v="2468.29"/>
    <n v="2723.13"/>
    <n v="110.96880000000101"/>
    <s v="Returning"/>
    <n v="0.08"/>
    <s v="Cash"/>
    <s v="Retail"/>
    <x v="4"/>
  </r>
  <r>
    <n v="1037"/>
    <x v="375"/>
    <d v="2023-06-07T00:00:00"/>
    <x v="1"/>
    <s v="Jun"/>
    <x v="3"/>
    <x v="0"/>
    <n v="19903.823601150078"/>
    <n v="4"/>
    <x v="3"/>
    <n v="4721.7"/>
    <n v="5017.58"/>
    <n v="982.81680000000051"/>
    <s v="New"/>
    <n v="0.01"/>
    <s v="Cash"/>
    <s v="Retail"/>
    <x v="11"/>
  </r>
  <r>
    <n v="1085"/>
    <x v="11"/>
    <d v="2023-06-07T00:00:00"/>
    <x v="1"/>
    <s v="Jun"/>
    <x v="1"/>
    <x v="1"/>
    <n v="99026.106983760052"/>
    <n v="42"/>
    <x v="1"/>
    <n v="2254.11"/>
    <n v="2382.23"/>
    <n v="4380.5034000000032"/>
    <s v="Returning"/>
    <n v="0.01"/>
    <s v="Credit Card"/>
    <s v="Retail"/>
    <x v="1"/>
  </r>
  <r>
    <n v="1099"/>
    <x v="168"/>
    <d v="2023-06-07T00:00:00"/>
    <x v="1"/>
    <s v="Jun"/>
    <x v="1"/>
    <x v="1"/>
    <n v="69066.237380997467"/>
    <n v="31"/>
    <x v="3"/>
    <n v="1974.4"/>
    <n v="2259.5"/>
    <n v="8137.6550000000034"/>
    <s v="New"/>
    <n v="0.01"/>
    <s v="Cash"/>
    <s v="Retail"/>
    <x v="1"/>
  </r>
  <r>
    <n v="1012"/>
    <x v="133"/>
    <d v="2023-06-08T00:00:00"/>
    <x v="1"/>
    <s v="Jun"/>
    <x v="2"/>
    <x v="1"/>
    <n v="68173.388104942831"/>
    <n v="19"/>
    <x v="0"/>
    <n v="3457.28"/>
    <n v="3598.7200000000003"/>
    <n v="2687.360000000001"/>
    <s v="New"/>
    <n v="0"/>
    <s v="Bank Transfer"/>
    <s v="Online"/>
    <x v="8"/>
  </r>
  <r>
    <n v="1032"/>
    <x v="386"/>
    <d v="2023-06-08T00:00:00"/>
    <x v="1"/>
    <s v="Jun"/>
    <x v="0"/>
    <x v="2"/>
    <n v="239161.59432265974"/>
    <n v="49"/>
    <x v="2"/>
    <n v="4812.41"/>
    <n v="5088"/>
    <n v="3531.4299999999857"/>
    <s v="Returning"/>
    <n v="0.04"/>
    <s v="Credit Card"/>
    <s v="Online"/>
    <x v="2"/>
  </r>
  <r>
    <n v="1057"/>
    <x v="208"/>
    <d v="2023-06-08T00:00:00"/>
    <x v="1"/>
    <s v="Jun"/>
    <x v="1"/>
    <x v="1"/>
    <n v="204698.43840000001"/>
    <n v="43"/>
    <x v="0"/>
    <n v="4567.3900000000003"/>
    <n v="4958.7800000000007"/>
    <n v="8300.6684000000114"/>
    <s v="New"/>
    <n v="0.04"/>
    <s v="Cash"/>
    <s v="Retail"/>
    <x v="1"/>
  </r>
  <r>
    <n v="1047"/>
    <x v="389"/>
    <d v="2023-06-09T00:00:00"/>
    <x v="1"/>
    <s v="Jun"/>
    <x v="4"/>
    <x v="1"/>
    <n v="13643.8092"/>
    <n v="18"/>
    <x v="1"/>
    <n v="560.91999999999996"/>
    <n v="1024.31"/>
    <n v="3547.2491999999993"/>
    <s v="Returning"/>
    <n v="0.26"/>
    <s v="Cash"/>
    <s v="Online"/>
    <x v="6"/>
  </r>
  <r>
    <n v="1017"/>
    <x v="75"/>
    <d v="2023-06-09T00:00:00"/>
    <x v="1"/>
    <s v="Jun"/>
    <x v="1"/>
    <x v="1"/>
    <n v="164106.43199999997"/>
    <n v="35"/>
    <x v="0"/>
    <n v="4480.63"/>
    <n v="4884.12"/>
    <n v="7284.3819999999823"/>
    <s v="New"/>
    <n v="0.04"/>
    <s v="Cash"/>
    <s v="Online"/>
    <x v="1"/>
  </r>
  <r>
    <n v="1093"/>
    <x v="319"/>
    <d v="2023-06-09T00:00:00"/>
    <x v="1"/>
    <s v="Jun"/>
    <x v="2"/>
    <x v="0"/>
    <n v="11140.365000000002"/>
    <n v="38"/>
    <x v="3"/>
    <n v="86.59"/>
    <n v="390.89"/>
    <n v="7849.9450000000006"/>
    <s v="Returning"/>
    <n v="0.25"/>
    <s v="Credit Card"/>
    <s v="Online"/>
    <x v="18"/>
  </r>
  <r>
    <n v="1028"/>
    <x v="392"/>
    <d v="2023-06-10T00:00:00"/>
    <x v="1"/>
    <s v="Jun"/>
    <x v="3"/>
    <x v="3"/>
    <n v="6482.8210320171856"/>
    <n v="2"/>
    <x v="0"/>
    <n v="3146.12"/>
    <n v="3255.5299999999997"/>
    <n v="218.81999999999971"/>
    <s v="Returning"/>
    <n v="0"/>
    <s v="Bank Transfer"/>
    <s v="Online"/>
    <x v="4"/>
  </r>
  <r>
    <n v="1029"/>
    <x v="146"/>
    <d v="2023-06-10T00:00:00"/>
    <x v="1"/>
    <s v="Jun"/>
    <x v="0"/>
    <x v="1"/>
    <n v="8466.0360000000001"/>
    <n v="15"/>
    <x v="1"/>
    <n v="498.27"/>
    <n v="634.16"/>
    <n v="991.98599999999942"/>
    <s v="Returning"/>
    <n v="0.11"/>
    <s v="Credit Card"/>
    <s v="Retail"/>
    <x v="19"/>
  </r>
  <r>
    <n v="1053"/>
    <x v="265"/>
    <d v="2023-06-10T00:00:00"/>
    <x v="1"/>
    <s v="Jun"/>
    <x v="1"/>
    <x v="1"/>
    <n v="183044.2065955057"/>
    <n v="39"/>
    <x v="0"/>
    <n v="4643.67"/>
    <n v="4829.5200000000004"/>
    <n v="1597.6115999999938"/>
    <s v="Returning"/>
    <n v="0.03"/>
    <s v="Bank Transfer"/>
    <s v="Online"/>
    <x v="1"/>
  </r>
  <r>
    <n v="1096"/>
    <x v="27"/>
    <d v="2023-06-10T00:00:00"/>
    <x v="1"/>
    <s v="Jun"/>
    <x v="1"/>
    <x v="0"/>
    <n v="3472.56"/>
    <n v="6"/>
    <x v="0"/>
    <n v="252.62"/>
    <n v="742"/>
    <n v="1956.84"/>
    <s v="New"/>
    <n v="0.22"/>
    <s v="Credit Card"/>
    <s v="Retail"/>
    <x v="10"/>
  </r>
  <r>
    <n v="1054"/>
    <x v="342"/>
    <d v="2023-06-10T00:00:00"/>
    <x v="1"/>
    <s v="Jun"/>
    <x v="2"/>
    <x v="0"/>
    <n v="100552.389"/>
    <n v="21"/>
    <x v="0"/>
    <n v="4668.1400000000003"/>
    <n v="5040.22"/>
    <n v="2521.4489999999896"/>
    <s v="New"/>
    <n v="0.05"/>
    <s v="Bank Transfer"/>
    <s v="Online"/>
    <x v="18"/>
  </r>
  <r>
    <n v="1085"/>
    <x v="234"/>
    <d v="2023-06-11T00:00:00"/>
    <x v="1"/>
    <s v="Jun"/>
    <x v="4"/>
    <x v="1"/>
    <n v="24820.670399999999"/>
    <n v="8"/>
    <x v="3"/>
    <n v="3048.48"/>
    <n v="3198.54"/>
    <n v="432.83039999999892"/>
    <s v="Returning"/>
    <n v="0.03"/>
    <s v="Bank Transfer"/>
    <s v="Online"/>
    <x v="6"/>
  </r>
  <r>
    <n v="1082"/>
    <x v="183"/>
    <d v="2023-06-11T00:00:00"/>
    <x v="1"/>
    <s v="Jun"/>
    <x v="3"/>
    <x v="3"/>
    <n v="18521.7788"/>
    <n v="17"/>
    <x v="0"/>
    <n v="890.31"/>
    <n v="1159.06"/>
    <n v="3386.5088000000005"/>
    <s v="Returning"/>
    <n v="0.06"/>
    <s v="Cash"/>
    <s v="Retail"/>
    <x v="4"/>
  </r>
  <r>
    <n v="1078"/>
    <x v="21"/>
    <d v="2023-06-12T00:00:00"/>
    <x v="1"/>
    <s v="Jun"/>
    <x v="1"/>
    <x v="0"/>
    <n v="92529.44256684673"/>
    <n v="29"/>
    <x v="2"/>
    <n v="3177.81"/>
    <n v="3222.65"/>
    <n v="365.791499999998"/>
    <s v="Returning"/>
    <n v="0.01"/>
    <s v="Credit Card"/>
    <s v="Retail"/>
    <x v="10"/>
  </r>
  <r>
    <n v="1008"/>
    <x v="173"/>
    <d v="2023-06-12T00:00:00"/>
    <x v="1"/>
    <s v="Jun"/>
    <x v="3"/>
    <x v="1"/>
    <n v="140035.836553748"/>
    <n v="32"/>
    <x v="3"/>
    <n v="4298.12"/>
    <n v="4446.8999999999996"/>
    <n v="1914.9439999999886"/>
    <s v="New"/>
    <n v="0.02"/>
    <s v="Bank Transfer"/>
    <s v="Online"/>
    <x v="16"/>
  </r>
  <r>
    <n v="1097"/>
    <x v="46"/>
    <d v="2023-06-13T00:00:00"/>
    <x v="1"/>
    <s v="Jun"/>
    <x v="1"/>
    <x v="1"/>
    <n v="21661.915696316384"/>
    <n v="10"/>
    <x v="0"/>
    <n v="2162.9499999999998"/>
    <n v="2191.1899999999996"/>
    <n v="63.280999999997221"/>
    <s v="Returning"/>
    <n v="0.01"/>
    <s v="Credit Card"/>
    <s v="Online"/>
    <x v="1"/>
  </r>
  <r>
    <n v="1030"/>
    <x v="371"/>
    <d v="2023-06-13T00:00:00"/>
    <x v="1"/>
    <s v="Jun"/>
    <x v="1"/>
    <x v="2"/>
    <n v="20241.324487129685"/>
    <n v="5"/>
    <x v="1"/>
    <n v="3932.14"/>
    <n v="4082.7599999999998"/>
    <n v="548.96199999999908"/>
    <s v="New"/>
    <n v="0.01"/>
    <s v="Credit Card"/>
    <s v="Online"/>
    <x v="15"/>
  </r>
  <r>
    <n v="1007"/>
    <x v="192"/>
    <d v="2023-06-14T00:00:00"/>
    <x v="1"/>
    <s v="Jun"/>
    <x v="3"/>
    <x v="3"/>
    <n v="14329.94242489695"/>
    <n v="9"/>
    <x v="1"/>
    <n v="1481.76"/>
    <n v="1668.95"/>
    <n v="933.68250000000057"/>
    <s v="Returning"/>
    <n v="0.05"/>
    <s v="Credit Card"/>
    <s v="Retail"/>
    <x v="4"/>
  </r>
  <r>
    <n v="1011"/>
    <x v="387"/>
    <d v="2023-06-14T00:00:00"/>
    <x v="1"/>
    <s v="Jun"/>
    <x v="3"/>
    <x v="0"/>
    <n v="171635.75996996131"/>
    <n v="38"/>
    <x v="0"/>
    <n v="4456.67"/>
    <n v="4642.46"/>
    <n v="1767.615600000001"/>
    <s v="New"/>
    <n v="0.03"/>
    <s v="Bank Transfer"/>
    <s v="Online"/>
    <x v="11"/>
  </r>
  <r>
    <n v="1008"/>
    <x v="95"/>
    <d v="2023-06-14T00:00:00"/>
    <x v="1"/>
    <s v="Jun"/>
    <x v="0"/>
    <x v="3"/>
    <n v="35853.739199999996"/>
    <n v="24"/>
    <x v="1"/>
    <n v="1394.17"/>
    <n v="1891.02"/>
    <n v="2393.6591999999982"/>
    <s v="New"/>
    <n v="0.21"/>
    <s v="Credit Card"/>
    <s v="Online"/>
    <x v="5"/>
  </r>
  <r>
    <n v="1004"/>
    <x v="211"/>
    <d v="2023-06-15T00:00:00"/>
    <x v="1"/>
    <s v="Jun"/>
    <x v="3"/>
    <x v="1"/>
    <n v="41659.292497914052"/>
    <n v="13"/>
    <x v="0"/>
    <n v="3087.73"/>
    <n v="3263.96"/>
    <n v="1442.3604000000009"/>
    <s v="New"/>
    <n v="0.02"/>
    <s v="Cash"/>
    <s v="Retail"/>
    <x v="16"/>
  </r>
  <r>
    <n v="1075"/>
    <x v="28"/>
    <d v="2023-06-15T00:00:00"/>
    <x v="1"/>
    <s v="Jun"/>
    <x v="0"/>
    <x v="3"/>
    <n v="48468.246097690469"/>
    <n v="26"/>
    <x v="0"/>
    <n v="1749.34"/>
    <n v="1935.25"/>
    <n v="2821"/>
    <s v="New"/>
    <n v="0.04"/>
    <s v="Credit Card"/>
    <s v="Online"/>
    <x v="5"/>
  </r>
  <r>
    <n v="1072"/>
    <x v="257"/>
    <d v="2023-06-15T00:00:00"/>
    <x v="1"/>
    <s v="Jun"/>
    <x v="4"/>
    <x v="3"/>
    <n v="158515.53615324933"/>
    <n v="35"/>
    <x v="2"/>
    <n v="4349.3599999999997"/>
    <n v="4645.17"/>
    <n v="5475.9215000000222"/>
    <s v="Returning"/>
    <n v="0.03"/>
    <s v="Credit Card"/>
    <s v="Retail"/>
    <x v="12"/>
  </r>
  <r>
    <n v="1038"/>
    <x v="166"/>
    <d v="2023-06-15T00:00:00"/>
    <x v="1"/>
    <s v="Jun"/>
    <x v="3"/>
    <x v="2"/>
    <n v="53512.771199999996"/>
    <n v="42"/>
    <x v="3"/>
    <n v="1089.0899999999999"/>
    <n v="1355.44"/>
    <n v="7770.9911999999995"/>
    <s v="New"/>
    <n v="0.06"/>
    <s v="Cash"/>
    <s v="Retail"/>
    <x v="9"/>
  </r>
  <r>
    <n v="1044"/>
    <x v="209"/>
    <d v="2023-06-17T00:00:00"/>
    <x v="1"/>
    <s v="Jun"/>
    <x v="1"/>
    <x v="3"/>
    <n v="15710.270970993795"/>
    <n v="6"/>
    <x v="0"/>
    <n v="2388.9499999999998"/>
    <n v="2742.97"/>
    <n v="1301.2289999999985"/>
    <s v="Returning"/>
    <n v="0.05"/>
    <s v="Credit Card"/>
    <s v="Retail"/>
    <x v="7"/>
  </r>
  <r>
    <n v="1092"/>
    <x v="313"/>
    <d v="2023-06-17T00:00:00"/>
    <x v="1"/>
    <s v="Jun"/>
    <x v="3"/>
    <x v="1"/>
    <n v="70436.907200000001"/>
    <n v="47"/>
    <x v="0"/>
    <n v="1447.45"/>
    <n v="1703.02"/>
    <n v="2406.7571999999982"/>
    <s v="Returning"/>
    <n v="0.12"/>
    <s v="Bank Transfer"/>
    <s v="Retail"/>
    <x v="16"/>
  </r>
  <r>
    <n v="1092"/>
    <x v="1"/>
    <d v="2023-06-17T00:00:00"/>
    <x v="1"/>
    <s v="Jun"/>
    <x v="4"/>
    <x v="1"/>
    <n v="66978.638999999996"/>
    <n v="21"/>
    <x v="1"/>
    <n v="2792.2"/>
    <n v="3254.5499999999997"/>
    <n v="8342.4390000000003"/>
    <s v="New"/>
    <n v="0.02"/>
    <s v="Credit Card"/>
    <s v="Retail"/>
    <x v="6"/>
  </r>
  <r>
    <n v="1038"/>
    <x v="225"/>
    <d v="2023-06-18T00:00:00"/>
    <x v="1"/>
    <s v="Jun"/>
    <x v="0"/>
    <x v="2"/>
    <n v="40685.299200000001"/>
    <n v="24"/>
    <x v="1"/>
    <n v="1543.91"/>
    <n v="1862.88"/>
    <n v="3631.4591999999993"/>
    <s v="New"/>
    <n v="0.09"/>
    <s v="Bank Transfer"/>
    <s v="Online"/>
    <x v="2"/>
  </r>
  <r>
    <n v="1002"/>
    <x v="368"/>
    <d v="2023-06-19T00:00:00"/>
    <x v="1"/>
    <s v="Jun"/>
    <x v="0"/>
    <x v="2"/>
    <n v="8508.2544000000016"/>
    <n v="18"/>
    <x v="3"/>
    <n v="117.63"/>
    <n v="576.44000000000005"/>
    <n v="6390.9144000000015"/>
    <s v="New"/>
    <n v="0.18"/>
    <s v="Credit Card"/>
    <s v="Retail"/>
    <x v="2"/>
  </r>
  <r>
    <n v="1045"/>
    <x v="266"/>
    <d v="2023-06-19T00:00:00"/>
    <x v="1"/>
    <s v="Jun"/>
    <x v="4"/>
    <x v="3"/>
    <n v="144742.18238985966"/>
    <n v="36"/>
    <x v="2"/>
    <n v="3835.64"/>
    <n v="4076.77"/>
    <n v="7213.0428000000084"/>
    <s v="Returning"/>
    <n v="0.01"/>
    <s v="Credit Card"/>
    <s v="Retail"/>
    <x v="12"/>
  </r>
  <r>
    <n v="1029"/>
    <x v="152"/>
    <d v="2023-06-19T00:00:00"/>
    <x v="1"/>
    <s v="Jun"/>
    <x v="0"/>
    <x v="0"/>
    <n v="96138.1872"/>
    <n v="27"/>
    <x v="3"/>
    <n v="3196.38"/>
    <n v="3596.6400000000003"/>
    <n v="9835.9271999999983"/>
    <s v="New"/>
    <n v="0.01"/>
    <s v="Cash"/>
    <s v="Retail"/>
    <x v="0"/>
  </r>
  <r>
    <n v="1058"/>
    <x v="289"/>
    <d v="2023-06-20T00:00:00"/>
    <x v="1"/>
    <s v="Jun"/>
    <x v="0"/>
    <x v="2"/>
    <n v="131718.52799999999"/>
    <n v="48"/>
    <x v="1"/>
    <n v="2614.48"/>
    <n v="3049.04"/>
    <n v="6223.4879999999976"/>
    <s v="New"/>
    <n v="0.1"/>
    <s v="Credit Card"/>
    <s v="Retail"/>
    <x v="2"/>
  </r>
  <r>
    <n v="1012"/>
    <x v="393"/>
    <d v="2023-06-20T00:00:00"/>
    <x v="1"/>
    <s v="Jun"/>
    <x v="3"/>
    <x v="0"/>
    <n v="33241.445599999999"/>
    <n v="47"/>
    <x v="1"/>
    <n v="325.75"/>
    <n v="803.71"/>
    <n v="17931.195600000003"/>
    <s v="New"/>
    <n v="0.12"/>
    <s v="Bank Transfer"/>
    <s v="Retail"/>
    <x v="11"/>
  </r>
  <r>
    <n v="1018"/>
    <x v="219"/>
    <d v="2023-06-21T00:00:00"/>
    <x v="1"/>
    <s v="Jun"/>
    <x v="0"/>
    <x v="3"/>
    <n v="28970.989065164798"/>
    <n v="28"/>
    <x v="1"/>
    <n v="1006.14"/>
    <n v="1043.45"/>
    <n v="752.51399999999967"/>
    <s v="New"/>
    <n v="0.01"/>
    <s v="Bank Transfer"/>
    <s v="Retail"/>
    <x v="5"/>
  </r>
  <r>
    <n v="1064"/>
    <x v="200"/>
    <d v="2023-06-21T00:00:00"/>
    <x v="1"/>
    <s v="Jun"/>
    <x v="2"/>
    <x v="2"/>
    <n v="50275.718399999998"/>
    <n v="46"/>
    <x v="2"/>
    <n v="984.53"/>
    <n v="1138.49"/>
    <n v="4987.3383999999987"/>
    <s v="New"/>
    <n v="0.04"/>
    <s v="Bank Transfer"/>
    <s v="Online"/>
    <x v="14"/>
  </r>
  <r>
    <n v="1063"/>
    <x v="2"/>
    <d v="2023-06-22T00:00:00"/>
    <x v="1"/>
    <s v="Jun"/>
    <x v="2"/>
    <x v="0"/>
    <n v="104570.18088482266"/>
    <n v="25"/>
    <x v="2"/>
    <n v="3997.1"/>
    <n v="4212.6499999999996"/>
    <n v="4335.5874999999851"/>
    <s v="New"/>
    <n v="0.01"/>
    <s v="Cash"/>
    <s v="Online"/>
    <x v="18"/>
  </r>
  <r>
    <n v="1079"/>
    <x v="271"/>
    <d v="2023-06-22T00:00:00"/>
    <x v="1"/>
    <s v="Jun"/>
    <x v="0"/>
    <x v="1"/>
    <n v="29791.313999999998"/>
    <n v="49"/>
    <x v="1"/>
    <n v="437.59"/>
    <n v="675.54"/>
    <n v="8349.4040000000005"/>
    <s v="Returning"/>
    <n v="0.1"/>
    <s v="Cash"/>
    <s v="Online"/>
    <x v="19"/>
  </r>
  <r>
    <n v="1004"/>
    <x v="102"/>
    <d v="2023-06-22T00:00:00"/>
    <x v="1"/>
    <s v="Jun"/>
    <x v="0"/>
    <x v="0"/>
    <n v="102939.71999999999"/>
    <n v="39"/>
    <x v="2"/>
    <n v="2416.89"/>
    <n v="2778.3999999999996"/>
    <n v="8681.0099999999875"/>
    <s v="Returning"/>
    <n v="0.05"/>
    <s v="Cash"/>
    <s v="Online"/>
    <x v="0"/>
  </r>
  <r>
    <n v="1084"/>
    <x v="103"/>
    <d v="2023-06-22T00:00:00"/>
    <x v="1"/>
    <s v="Jun"/>
    <x v="0"/>
    <x v="3"/>
    <n v="223101.02852834261"/>
    <n v="49"/>
    <x v="0"/>
    <n v="4291.97"/>
    <n v="4645.6400000000003"/>
    <n v="12777.102800000001"/>
    <s v="Returning"/>
    <n v="0.02"/>
    <s v="Credit Card"/>
    <s v="Online"/>
    <x v="5"/>
  </r>
  <r>
    <n v="1054"/>
    <x v="351"/>
    <d v="2023-06-23T00:00:00"/>
    <x v="1"/>
    <s v="Jun"/>
    <x v="4"/>
    <x v="2"/>
    <n v="39405.020307288432"/>
    <n v="27"/>
    <x v="2"/>
    <n v="1456.09"/>
    <n v="1510.4299999999998"/>
    <n v="243.73169999999436"/>
    <s v="Returning"/>
    <n v="0.03"/>
    <s v="Cash"/>
    <s v="Retail"/>
    <x v="17"/>
  </r>
  <r>
    <n v="1067"/>
    <x v="267"/>
    <d v="2023-06-23T00:00:00"/>
    <x v="1"/>
    <s v="Jun"/>
    <x v="2"/>
    <x v="3"/>
    <n v="38641.630956880312"/>
    <n v="11"/>
    <x v="0"/>
    <n v="3435.68"/>
    <n v="3552.6299999999997"/>
    <n v="895.66069999999809"/>
    <s v="New"/>
    <n v="0.01"/>
    <s v="Cash"/>
    <s v="Retail"/>
    <x v="3"/>
  </r>
  <r>
    <n v="1066"/>
    <x v="394"/>
    <d v="2023-06-24T00:00:00"/>
    <x v="1"/>
    <s v="Jun"/>
    <x v="2"/>
    <x v="2"/>
    <n v="54434.891735674122"/>
    <n v="13"/>
    <x v="0"/>
    <n v="4133.92"/>
    <n v="4358.37"/>
    <n v="651.4975999999906"/>
    <s v="New"/>
    <n v="0.04"/>
    <s v="Cash"/>
    <s v="Retail"/>
    <x v="14"/>
  </r>
  <r>
    <n v="1021"/>
    <x v="38"/>
    <d v="2023-06-24T00:00:00"/>
    <x v="1"/>
    <s v="Jun"/>
    <x v="3"/>
    <x v="2"/>
    <n v="121862.10406513128"/>
    <n v="24"/>
    <x v="2"/>
    <n v="4916.17"/>
    <n v="5309.32"/>
    <n v="4338.6527999999889"/>
    <s v="Returning"/>
    <n v="0.04"/>
    <s v="Credit Card"/>
    <s v="Online"/>
    <x v="9"/>
  </r>
  <r>
    <n v="1024"/>
    <x v="59"/>
    <d v="2023-06-24T00:00:00"/>
    <x v="1"/>
    <s v="Jun"/>
    <x v="3"/>
    <x v="3"/>
    <n v="139368.82130865881"/>
    <n v="43"/>
    <x v="1"/>
    <n v="3105.24"/>
    <n v="3246.33"/>
    <n v="6066.8700000000063"/>
    <s v="New"/>
    <n v="0"/>
    <s v="Cash"/>
    <s v="Online"/>
    <x v="4"/>
  </r>
  <r>
    <n v="1045"/>
    <x v="121"/>
    <d v="2023-06-25T00:00:00"/>
    <x v="1"/>
    <s v="Jun"/>
    <x v="0"/>
    <x v="0"/>
    <n v="44529.232698480904"/>
    <n v="9"/>
    <x v="1"/>
    <n v="4920.34"/>
    <n v="5129.1900000000005"/>
    <n v="33.141600000005383"/>
    <s v="Returning"/>
    <n v="0.04"/>
    <s v="Credit Card"/>
    <s v="Online"/>
    <x v="0"/>
  </r>
  <r>
    <n v="1016"/>
    <x v="193"/>
    <d v="2023-06-25T00:00:00"/>
    <x v="1"/>
    <s v="Jun"/>
    <x v="3"/>
    <x v="2"/>
    <n v="6707.802853352111"/>
    <n v="2"/>
    <x v="2"/>
    <n v="3144.82"/>
    <n v="3480.58"/>
    <n v="393.07359999999971"/>
    <s v="Returning"/>
    <n v="0.04"/>
    <s v="Cash"/>
    <s v="Retail"/>
    <x v="9"/>
  </r>
  <r>
    <n v="1031"/>
    <x v="224"/>
    <d v="2023-06-25T00:00:00"/>
    <x v="1"/>
    <s v="Jun"/>
    <x v="3"/>
    <x v="2"/>
    <n v="6136.05"/>
    <n v="10"/>
    <x v="2"/>
    <n v="566.86"/>
    <n v="818.14"/>
    <n v="467.45000000000005"/>
    <s v="Returning"/>
    <n v="0.25"/>
    <s v="Credit Card"/>
    <s v="Retail"/>
    <x v="9"/>
  </r>
  <r>
    <n v="1016"/>
    <x v="193"/>
    <d v="2023-06-26T00:00:00"/>
    <x v="1"/>
    <s v="Jun"/>
    <x v="1"/>
    <x v="3"/>
    <n v="10529.0622"/>
    <n v="3"/>
    <x v="2"/>
    <n v="3401.87"/>
    <n v="3733.71"/>
    <n v="323.45219999999972"/>
    <s v="Returning"/>
    <n v="0.06"/>
    <s v="Bank Transfer"/>
    <s v="Retail"/>
    <x v="7"/>
  </r>
  <r>
    <n v="1089"/>
    <x v="111"/>
    <d v="2023-06-26T00:00:00"/>
    <x v="1"/>
    <s v="Jun"/>
    <x v="0"/>
    <x v="3"/>
    <n v="141571.57821563724"/>
    <n v="35"/>
    <x v="0"/>
    <n v="3925.85"/>
    <n v="4082.1099999999997"/>
    <n v="4040.3614999999877"/>
    <s v="New"/>
    <n v="0.01"/>
    <s v="Cash"/>
    <s v="Online"/>
    <x v="5"/>
  </r>
  <r>
    <n v="1064"/>
    <x v="126"/>
    <d v="2023-06-26T00:00:00"/>
    <x v="1"/>
    <s v="Jun"/>
    <x v="3"/>
    <x v="3"/>
    <n v="53478.776400000002"/>
    <n v="21"/>
    <x v="1"/>
    <n v="2278.04"/>
    <n v="2598.58"/>
    <n v="5639.9364000000023"/>
    <s v="Returning"/>
    <n v="0.02"/>
    <s v="Credit Card"/>
    <s v="Retail"/>
    <x v="4"/>
  </r>
  <r>
    <n v="1025"/>
    <x v="54"/>
    <d v="2023-06-26T00:00:00"/>
    <x v="1"/>
    <s v="Jun"/>
    <x v="4"/>
    <x v="3"/>
    <n v="187683.04049269223"/>
    <n v="47"/>
    <x v="0"/>
    <n v="3861.61"/>
    <n v="3998.9100000000003"/>
    <n v="6453.1000000000085"/>
    <s v="New"/>
    <n v="0"/>
    <s v="Credit Card"/>
    <s v="Online"/>
    <x v="12"/>
  </r>
  <r>
    <n v="1071"/>
    <x v="186"/>
    <d v="2023-06-26T00:00:00"/>
    <x v="1"/>
    <s v="Jun"/>
    <x v="4"/>
    <x v="3"/>
    <n v="23244.5465"/>
    <n v="35"/>
    <x v="1"/>
    <n v="295.82"/>
    <n v="684.67000000000007"/>
    <n v="12890.846500000001"/>
    <s v="New"/>
    <n v="0.03"/>
    <s v="Credit Card"/>
    <s v="Online"/>
    <x v="12"/>
  </r>
  <r>
    <n v="1004"/>
    <x v="102"/>
    <d v="2023-06-27T00:00:00"/>
    <x v="1"/>
    <s v="Jun"/>
    <x v="3"/>
    <x v="2"/>
    <n v="5955.04"/>
    <n v="2"/>
    <x v="2"/>
    <n v="2953.23"/>
    <n v="2977.52"/>
    <n v="48.579999999999927"/>
    <s v="Returning"/>
    <n v="0"/>
    <s v="Credit Card"/>
    <s v="Retail"/>
    <x v="9"/>
  </r>
  <r>
    <n v="1039"/>
    <x v="113"/>
    <d v="2023-06-27T00:00:00"/>
    <x v="1"/>
    <s v="Jun"/>
    <x v="2"/>
    <x v="1"/>
    <n v="8983.4770250469955"/>
    <n v="2"/>
    <x v="2"/>
    <n v="4394.58"/>
    <n v="4545.78"/>
    <n v="211.48439999999937"/>
    <s v="Returning"/>
    <n v="0.01"/>
    <s v="Credit Card"/>
    <s v="Retail"/>
    <x v="8"/>
  </r>
  <r>
    <n v="1021"/>
    <x v="38"/>
    <d v="2023-06-27T00:00:00"/>
    <x v="1"/>
    <s v="Jun"/>
    <x v="1"/>
    <x v="3"/>
    <n v="27829.49"/>
    <n v="19"/>
    <x v="2"/>
    <n v="1222.4000000000001"/>
    <n v="1464.71"/>
    <n v="4603.8899999999994"/>
    <s v="New"/>
    <n v="0"/>
    <s v="Credit Card"/>
    <s v="Retail"/>
    <x v="7"/>
  </r>
  <r>
    <n v="1080"/>
    <x v="349"/>
    <d v="2023-06-27T00:00:00"/>
    <x v="1"/>
    <s v="Jun"/>
    <x v="0"/>
    <x v="2"/>
    <n v="41617.170000000006"/>
    <n v="35"/>
    <x v="0"/>
    <n v="900.97"/>
    <n v="1321.18"/>
    <n v="10083.220000000003"/>
    <s v="Returning"/>
    <n v="0.1"/>
    <s v="Cash"/>
    <s v="Online"/>
    <x v="2"/>
  </r>
  <r>
    <n v="1059"/>
    <x v="141"/>
    <d v="2023-06-28T00:00:00"/>
    <x v="1"/>
    <s v="Jun"/>
    <x v="2"/>
    <x v="3"/>
    <n v="25668.981"/>
    <n v="13"/>
    <x v="2"/>
    <n v="1969.78"/>
    <n v="2437.6999999999998"/>
    <n v="61.841000000000804"/>
    <s v="New"/>
    <n v="0.19"/>
    <s v="Credit Card"/>
    <s v="Retail"/>
    <x v="3"/>
  </r>
  <r>
    <n v="1023"/>
    <x v="373"/>
    <d v="2023-06-28T00:00:00"/>
    <x v="1"/>
    <s v="Jun"/>
    <x v="0"/>
    <x v="1"/>
    <n v="38207.908761321181"/>
    <n v="9"/>
    <x v="1"/>
    <n v="4155.46"/>
    <n v="4273.6000000000004"/>
    <n v="678.63600000000406"/>
    <s v="Returning"/>
    <n v="0.01"/>
    <s v="Cash"/>
    <s v="Retail"/>
    <x v="19"/>
  </r>
  <r>
    <n v="1090"/>
    <x v="37"/>
    <d v="2023-06-28T00:00:00"/>
    <x v="1"/>
    <s v="Jun"/>
    <x v="1"/>
    <x v="3"/>
    <n v="160606.85860349779"/>
    <n v="41"/>
    <x v="1"/>
    <n v="3736.88"/>
    <n v="3946.77"/>
    <n v="6987.3142999999891"/>
    <s v="Returning"/>
    <n v="0.01"/>
    <s v="Credit Card"/>
    <s v="Online"/>
    <x v="7"/>
  </r>
  <r>
    <n v="1004"/>
    <x v="211"/>
    <d v="2023-06-28T00:00:00"/>
    <x v="1"/>
    <s v="Jun"/>
    <x v="2"/>
    <x v="2"/>
    <n v="193091.15102638118"/>
    <n v="38"/>
    <x v="0"/>
    <n v="4881.63"/>
    <n v="5088.0600000000004"/>
    <n v="7844.3400000000111"/>
    <s v="Returning"/>
    <n v="0"/>
    <s v="Credit Card"/>
    <s v="Retail"/>
    <x v="14"/>
  </r>
  <r>
    <n v="1075"/>
    <x v="28"/>
    <d v="2023-06-29T00:00:00"/>
    <x v="1"/>
    <s v="Jun"/>
    <x v="4"/>
    <x v="0"/>
    <n v="31220.324999999993"/>
    <n v="30"/>
    <x v="0"/>
    <n v="738.06"/>
    <n v="1095.4499999999998"/>
    <n v="9078.5249999999942"/>
    <s v="New"/>
    <n v="0.05"/>
    <s v="Bank Transfer"/>
    <s v="Online"/>
    <x v="13"/>
  </r>
  <r>
    <n v="1067"/>
    <x v="331"/>
    <d v="2023-06-29T00:00:00"/>
    <x v="1"/>
    <s v="Jun"/>
    <x v="0"/>
    <x v="0"/>
    <n v="220632.9723996871"/>
    <n v="48"/>
    <x v="3"/>
    <n v="4319.32"/>
    <n v="4625.5599999999995"/>
    <n v="12479.25119999997"/>
    <s v="Returning"/>
    <n v="0.01"/>
    <s v="Bank Transfer"/>
    <s v="Online"/>
    <x v="0"/>
  </r>
  <r>
    <n v="1086"/>
    <x v="23"/>
    <d v="2023-06-30T00:00:00"/>
    <x v="1"/>
    <s v="Jun"/>
    <x v="2"/>
    <x v="3"/>
    <n v="103997.26"/>
    <n v="46"/>
    <x v="1"/>
    <n v="2245.64"/>
    <n v="2260.81"/>
    <n v="697.82000000000335"/>
    <s v="New"/>
    <n v="0"/>
    <s v="Cash"/>
    <s v="Retail"/>
    <x v="3"/>
  </r>
  <r>
    <n v="1032"/>
    <x v="311"/>
    <d v="2023-06-30T00:00:00"/>
    <x v="1"/>
    <s v="Jun"/>
    <x v="0"/>
    <x v="3"/>
    <n v="15847.981200000002"/>
    <n v="6"/>
    <x v="1"/>
    <n v="2522.7600000000002"/>
    <n v="2840.1400000000003"/>
    <n v="711.42120000000068"/>
    <s v="Returning"/>
    <n v="7.0000000000000007E-2"/>
    <s v="Credit Card"/>
    <s v="Retail"/>
    <x v="5"/>
  </r>
  <r>
    <n v="1065"/>
    <x v="190"/>
    <d v="2023-06-30T00:00:00"/>
    <x v="1"/>
    <s v="Jun"/>
    <x v="0"/>
    <x v="0"/>
    <n v="18728.438531299893"/>
    <n v="13"/>
    <x v="0"/>
    <n v="1339"/>
    <n v="1441.88"/>
    <n v="1337.4400000000014"/>
    <s v="Returning"/>
    <n v="0"/>
    <s v="Credit Card"/>
    <s v="Retail"/>
    <x v="0"/>
  </r>
  <r>
    <n v="1027"/>
    <x v="269"/>
    <d v="2023-07-01T00:00:00"/>
    <x v="1"/>
    <s v="Jul"/>
    <x v="0"/>
    <x v="3"/>
    <n v="25106.600160732611"/>
    <n v="15"/>
    <x v="1"/>
    <n v="1615.26"/>
    <n v="1710.95"/>
    <n v="922.06500000000005"/>
    <s v="New"/>
    <n v="0.02"/>
    <s v="Credit Card"/>
    <s v="Retail"/>
    <x v="5"/>
  </r>
  <r>
    <n v="1090"/>
    <x v="298"/>
    <d v="2023-07-01T00:00:00"/>
    <x v="1"/>
    <s v="Jul"/>
    <x v="4"/>
    <x v="3"/>
    <n v="142226.51199999999"/>
    <n v="31"/>
    <x v="0"/>
    <n v="4496.8599999999997"/>
    <n v="4880.7999999999993"/>
    <n v="2823.8519999999889"/>
    <s v="New"/>
    <n v="0.06"/>
    <s v="Cash"/>
    <s v="Retail"/>
    <x v="12"/>
  </r>
  <r>
    <n v="1036"/>
    <x v="92"/>
    <d v="2023-07-01T00:00:00"/>
    <x v="1"/>
    <s v="Jul"/>
    <x v="3"/>
    <x v="2"/>
    <n v="28163.780999999999"/>
    <n v="17"/>
    <x v="0"/>
    <n v="1475"/>
    <n v="1840.77"/>
    <n v="3088.7809999999999"/>
    <s v="Returning"/>
    <n v="0.1"/>
    <s v="Credit Card"/>
    <s v="Online"/>
    <x v="9"/>
  </r>
  <r>
    <n v="1014"/>
    <x v="187"/>
    <d v="2023-07-02T00:00:00"/>
    <x v="1"/>
    <s v="Jul"/>
    <x v="4"/>
    <x v="1"/>
    <n v="33212.614294245417"/>
    <n v="7"/>
    <x v="1"/>
    <n v="4705.46"/>
    <n v="4747.07"/>
    <n v="291.26999999999771"/>
    <s v="New"/>
    <n v="0"/>
    <s v="Bank Transfer"/>
    <s v="Retail"/>
    <x v="6"/>
  </r>
  <r>
    <n v="1067"/>
    <x v="119"/>
    <d v="2023-07-02T00:00:00"/>
    <x v="1"/>
    <s v="Jul"/>
    <x v="3"/>
    <x v="3"/>
    <n v="33128.063999999998"/>
    <n v="36"/>
    <x v="2"/>
    <n v="689.66"/>
    <n v="1150.28"/>
    <n v="8300.3040000000037"/>
    <s v="New"/>
    <n v="0.2"/>
    <s v="Bank Transfer"/>
    <s v="Online"/>
    <x v="4"/>
  </r>
  <r>
    <n v="1066"/>
    <x v="394"/>
    <d v="2023-07-03T00:00:00"/>
    <x v="1"/>
    <s v="Jul"/>
    <x v="1"/>
    <x v="3"/>
    <n v="41289.983999999997"/>
    <n v="15"/>
    <x v="0"/>
    <n v="2579.31"/>
    <n v="2867.36"/>
    <n v="2600.333999999998"/>
    <s v="Returning"/>
    <n v="0.04"/>
    <s v="Bank Transfer"/>
    <s v="Retail"/>
    <x v="7"/>
  </r>
  <r>
    <n v="1029"/>
    <x v="203"/>
    <d v="2023-07-04T00:00:00"/>
    <x v="1"/>
    <s v="Jul"/>
    <x v="1"/>
    <x v="3"/>
    <n v="34790.432000000008"/>
    <n v="31"/>
    <x v="0"/>
    <n v="951.21"/>
    <n v="1320.3200000000002"/>
    <n v="5302.9220000000041"/>
    <s v="New"/>
    <n v="0.15"/>
    <s v="Cash"/>
    <s v="Online"/>
    <x v="7"/>
  </r>
  <r>
    <n v="1067"/>
    <x v="267"/>
    <d v="2023-07-05T00:00:00"/>
    <x v="1"/>
    <s v="Jul"/>
    <x v="3"/>
    <x v="2"/>
    <n v="102593.19362477488"/>
    <n v="27"/>
    <x v="0"/>
    <n v="3624.97"/>
    <n v="3836.52"/>
    <n v="4675.9895999999999"/>
    <s v="New"/>
    <n v="0.01"/>
    <s v="Cash"/>
    <s v="Online"/>
    <x v="9"/>
  </r>
  <r>
    <n v="1055"/>
    <x v="395"/>
    <d v="2023-07-06T00:00:00"/>
    <x v="1"/>
    <s v="Jul"/>
    <x v="0"/>
    <x v="0"/>
    <n v="68181.419649919364"/>
    <n v="16"/>
    <x v="1"/>
    <n v="4195.38"/>
    <n v="4461.51"/>
    <n v="1402.7136000000028"/>
    <s v="Returning"/>
    <n v="0.04"/>
    <s v="Bank Transfer"/>
    <s v="Online"/>
    <x v="0"/>
  </r>
  <r>
    <n v="1053"/>
    <x v="4"/>
    <d v="2023-07-06T00:00:00"/>
    <x v="1"/>
    <s v="Jul"/>
    <x v="1"/>
    <x v="1"/>
    <n v="4874.2276000000002"/>
    <n v="11"/>
    <x v="2"/>
    <n v="200.56"/>
    <n v="540.38"/>
    <n v="2668.0676000000003"/>
    <s v="New"/>
    <n v="0.18"/>
    <s v="Bank Transfer"/>
    <s v="Online"/>
    <x v="1"/>
  </r>
  <r>
    <n v="1033"/>
    <x v="202"/>
    <d v="2023-07-07T00:00:00"/>
    <x v="1"/>
    <s v="Jul"/>
    <x v="0"/>
    <x v="1"/>
    <n v="56647.369999999995"/>
    <n v="13"/>
    <x v="3"/>
    <n v="4342.53"/>
    <n v="4357.49"/>
    <n v="194.48000000000047"/>
    <s v="New"/>
    <n v="0"/>
    <s v="Bank Transfer"/>
    <s v="Online"/>
    <x v="19"/>
  </r>
  <r>
    <n v="1092"/>
    <x v="313"/>
    <d v="2023-07-07T00:00:00"/>
    <x v="1"/>
    <s v="Jul"/>
    <x v="3"/>
    <x v="0"/>
    <n v="36365.144868872339"/>
    <n v="14"/>
    <x v="0"/>
    <n v="2559.65"/>
    <n v="2709.4"/>
    <n v="579.23599999999715"/>
    <s v="Returning"/>
    <n v="0.04"/>
    <s v="Credit Card"/>
    <s v="Retail"/>
    <x v="11"/>
  </r>
  <r>
    <n v="1080"/>
    <x v="240"/>
    <d v="2023-07-07T00:00:00"/>
    <x v="1"/>
    <s v="Jul"/>
    <x v="1"/>
    <x v="2"/>
    <n v="59155.910799999998"/>
    <n v="14"/>
    <x v="3"/>
    <n v="4127.54"/>
    <n v="4495.13"/>
    <n v="1370.3508000000002"/>
    <s v="New"/>
    <n v="0.06"/>
    <s v="Bank Transfer"/>
    <s v="Retail"/>
    <x v="15"/>
  </r>
  <r>
    <n v="1047"/>
    <x v="389"/>
    <d v="2023-07-07T00:00:00"/>
    <x v="1"/>
    <s v="Jul"/>
    <x v="4"/>
    <x v="0"/>
    <n v="15751.731000000002"/>
    <n v="15"/>
    <x v="1"/>
    <n v="957.95"/>
    <n v="1329.26"/>
    <n v="1382.4810000000014"/>
    <s v="New"/>
    <n v="0.21"/>
    <s v="Cash"/>
    <s v="Online"/>
    <x v="13"/>
  </r>
  <r>
    <n v="1004"/>
    <x v="260"/>
    <d v="2023-07-07T00:00:00"/>
    <x v="1"/>
    <s v="Jul"/>
    <x v="0"/>
    <x v="3"/>
    <n v="84291.980499999991"/>
    <n v="35"/>
    <x v="1"/>
    <n v="2278.87"/>
    <n v="2646.5299999999997"/>
    <n v="4531.5304999999971"/>
    <s v="Returning"/>
    <n v="0.09"/>
    <s v="Bank Transfer"/>
    <s v="Online"/>
    <x v="5"/>
  </r>
  <r>
    <n v="1042"/>
    <x v="138"/>
    <d v="2023-07-08T00:00:00"/>
    <x v="1"/>
    <s v="Jul"/>
    <x v="3"/>
    <x v="1"/>
    <n v="30650.098999999995"/>
    <n v="23"/>
    <x v="2"/>
    <n v="1314"/>
    <n v="1567.78"/>
    <n v="428.09899999999607"/>
    <s v="Returning"/>
    <n v="0.15"/>
    <s v="Credit Card"/>
    <s v="Retail"/>
    <x v="16"/>
  </r>
  <r>
    <n v="1086"/>
    <x v="82"/>
    <d v="2023-07-09T00:00:00"/>
    <x v="1"/>
    <s v="Jul"/>
    <x v="4"/>
    <x v="3"/>
    <n v="75034.293362400655"/>
    <n v="28"/>
    <x v="3"/>
    <n v="2564.35"/>
    <n v="2765.79"/>
    <n v="3317.0564000000013"/>
    <s v="Returning"/>
    <n v="0.03"/>
    <s v="Credit Card"/>
    <s v="Online"/>
    <x v="12"/>
  </r>
  <r>
    <n v="1047"/>
    <x v="89"/>
    <d v="2023-07-10T00:00:00"/>
    <x v="1"/>
    <s v="Jul"/>
    <x v="4"/>
    <x v="3"/>
    <n v="151666.82932079103"/>
    <n v="36"/>
    <x v="3"/>
    <n v="4043.53"/>
    <n v="4384.8500000000004"/>
    <n v="5973.3359999999975"/>
    <s v="New"/>
    <n v="0.04"/>
    <s v="Cash"/>
    <s v="Online"/>
    <x v="12"/>
  </r>
  <r>
    <n v="1092"/>
    <x v="324"/>
    <d v="2023-07-11T00:00:00"/>
    <x v="1"/>
    <s v="Jul"/>
    <x v="0"/>
    <x v="1"/>
    <n v="93601.7016"/>
    <n v="33"/>
    <x v="2"/>
    <n v="2595.42"/>
    <n v="3083.06"/>
    <n v="7952.8415999999943"/>
    <s v="New"/>
    <n v="0.08"/>
    <s v="Credit Card"/>
    <s v="Online"/>
    <x v="19"/>
  </r>
  <r>
    <n v="1025"/>
    <x v="381"/>
    <d v="2023-07-11T00:00:00"/>
    <x v="1"/>
    <s v="Jul"/>
    <x v="1"/>
    <x v="2"/>
    <n v="129388.54128580555"/>
    <n v="40"/>
    <x v="2"/>
    <n v="2983.85"/>
    <n v="3239.74"/>
    <n v="10235.599999999995"/>
    <s v="New"/>
    <n v="0"/>
    <s v="Credit Card"/>
    <s v="Online"/>
    <x v="15"/>
  </r>
  <r>
    <n v="1023"/>
    <x v="383"/>
    <d v="2023-07-12T00:00:00"/>
    <x v="1"/>
    <s v="Jul"/>
    <x v="3"/>
    <x v="3"/>
    <n v="1700.6220000000001"/>
    <n v="2"/>
    <x v="3"/>
    <n v="665.89"/>
    <n v="944.79"/>
    <n v="368.8420000000001"/>
    <s v="New"/>
    <n v="0.1"/>
    <s v="Credit Card"/>
    <s v="Retail"/>
    <x v="4"/>
  </r>
  <r>
    <n v="1046"/>
    <x v="263"/>
    <d v="2023-07-12T00:00:00"/>
    <x v="1"/>
    <s v="Jul"/>
    <x v="0"/>
    <x v="3"/>
    <n v="66426.699211146828"/>
    <n v="17"/>
    <x v="0"/>
    <n v="3850.99"/>
    <n v="4045.3399999999997"/>
    <n v="1240.8265999999971"/>
    <s v="Returning"/>
    <n v="0.03"/>
    <s v="Credit Card"/>
    <s v="Online"/>
    <x v="5"/>
  </r>
  <r>
    <n v="1058"/>
    <x v="188"/>
    <d v="2023-07-12T00:00:00"/>
    <x v="1"/>
    <s v="Jul"/>
    <x v="0"/>
    <x v="1"/>
    <n v="39055.476263396828"/>
    <n v="14"/>
    <x v="2"/>
    <n v="2703.97"/>
    <n v="2796.8799999999997"/>
    <n v="1300.739999999998"/>
    <s v="New"/>
    <n v="0"/>
    <s v="Bank Transfer"/>
    <s v="Online"/>
    <x v="19"/>
  </r>
  <r>
    <n v="1004"/>
    <x v="260"/>
    <d v="2023-07-13T00:00:00"/>
    <x v="1"/>
    <s v="Jul"/>
    <x v="0"/>
    <x v="1"/>
    <n v="18897.6592415919"/>
    <n v="16"/>
    <x v="1"/>
    <n v="1067.83"/>
    <n v="1189.22"/>
    <n v="1751.9648000000016"/>
    <s v="Returning"/>
    <n v="0.01"/>
    <s v="Credit Card"/>
    <s v="Retail"/>
    <x v="19"/>
  </r>
  <r>
    <n v="1054"/>
    <x v="251"/>
    <d v="2023-07-13T00:00:00"/>
    <x v="1"/>
    <s v="Jul"/>
    <x v="3"/>
    <x v="0"/>
    <n v="211649.22897833533"/>
    <n v="47"/>
    <x v="3"/>
    <n v="4429.8"/>
    <n v="4694.21"/>
    <n v="3602.1551999999965"/>
    <s v="New"/>
    <n v="0.04"/>
    <s v="Bank Transfer"/>
    <s v="Online"/>
    <x v="11"/>
  </r>
  <r>
    <n v="1021"/>
    <x v="110"/>
    <d v="2023-07-13T00:00:00"/>
    <x v="1"/>
    <s v="Jul"/>
    <x v="2"/>
    <x v="2"/>
    <n v="187725.48322376815"/>
    <n v="43"/>
    <x v="0"/>
    <n v="4154.3"/>
    <n v="4469.07"/>
    <n v="9691.7097999999714"/>
    <s v="Returning"/>
    <n v="0.02"/>
    <s v="Cash"/>
    <s v="Retail"/>
    <x v="14"/>
  </r>
  <r>
    <n v="1081"/>
    <x v="57"/>
    <d v="2023-07-14T00:00:00"/>
    <x v="1"/>
    <s v="Jul"/>
    <x v="0"/>
    <x v="3"/>
    <n v="40679.179199999999"/>
    <n v="16"/>
    <x v="1"/>
    <n v="2530.15"/>
    <n v="2568.13"/>
    <n v="196.77919999999722"/>
    <s v="New"/>
    <n v="0.01"/>
    <s v="Credit Card"/>
    <s v="Online"/>
    <x v="5"/>
  </r>
  <r>
    <n v="1027"/>
    <x v="3"/>
    <d v="2023-07-14T00:00:00"/>
    <x v="1"/>
    <s v="Jul"/>
    <x v="2"/>
    <x v="0"/>
    <n v="73780.601399999985"/>
    <n v="22"/>
    <x v="3"/>
    <n v="3240.2"/>
    <n v="3606.0899999999997"/>
    <n v="2496.2013999999954"/>
    <s v="New"/>
    <n v="7.0000000000000007E-2"/>
    <s v="Cash"/>
    <s v="Online"/>
    <x v="18"/>
  </r>
  <r>
    <n v="1030"/>
    <x v="371"/>
    <d v="2023-07-14T00:00:00"/>
    <x v="1"/>
    <s v="Jul"/>
    <x v="2"/>
    <x v="1"/>
    <n v="196463.50759233345"/>
    <n v="39"/>
    <x v="1"/>
    <n v="4929.7299999999996"/>
    <n v="5088.0199999999995"/>
    <n v="4188.982200000014"/>
    <s v="New"/>
    <n v="0.01"/>
    <s v="Bank Transfer"/>
    <s v="Retail"/>
    <x v="8"/>
  </r>
  <r>
    <n v="1052"/>
    <x v="390"/>
    <d v="2023-07-15T00:00:00"/>
    <x v="1"/>
    <s v="Jul"/>
    <x v="1"/>
    <x v="1"/>
    <n v="147221.81935999793"/>
    <n v="48"/>
    <x v="3"/>
    <n v="3002.35"/>
    <n v="3080.61"/>
    <n v="3756.4800000000105"/>
    <s v="Returning"/>
    <n v="0"/>
    <s v="Bank Transfer"/>
    <s v="Retail"/>
    <x v="1"/>
  </r>
  <r>
    <n v="1017"/>
    <x v="376"/>
    <d v="2023-07-15T00:00:00"/>
    <x v="1"/>
    <s v="Jul"/>
    <x v="4"/>
    <x v="3"/>
    <n v="45941.441999999995"/>
    <n v="23"/>
    <x v="2"/>
    <n v="1771.52"/>
    <n v="2147.8000000000002"/>
    <n v="5196.4819999999991"/>
    <s v="New"/>
    <n v="7.0000000000000007E-2"/>
    <s v="Bank Transfer"/>
    <s v="Online"/>
    <x v="12"/>
  </r>
  <r>
    <n v="1017"/>
    <x v="75"/>
    <d v="2023-07-16T00:00:00"/>
    <x v="1"/>
    <s v="Jul"/>
    <x v="3"/>
    <x v="0"/>
    <n v="20409.175966052117"/>
    <n v="18"/>
    <x v="0"/>
    <n v="1069.73"/>
    <n v="1180.04"/>
    <n v="1135.9511999999972"/>
    <s v="Returning"/>
    <n v="0.04"/>
    <s v="Bank Transfer"/>
    <s v="Online"/>
    <x v="11"/>
  </r>
  <r>
    <n v="1030"/>
    <x v="371"/>
    <d v="2023-07-17T00:00:00"/>
    <x v="1"/>
    <s v="Jul"/>
    <x v="4"/>
    <x v="2"/>
    <n v="58743.796253990928"/>
    <n v="19"/>
    <x v="1"/>
    <n v="3049.33"/>
    <n v="3209.22"/>
    <n v="598.90279999999393"/>
    <s v="Returning"/>
    <n v="0.04"/>
    <s v="Cash"/>
    <s v="Online"/>
    <x v="17"/>
  </r>
  <r>
    <n v="1003"/>
    <x v="367"/>
    <d v="2023-07-17T00:00:00"/>
    <x v="1"/>
    <s v="Jul"/>
    <x v="0"/>
    <x v="2"/>
    <n v="26807.183088416237"/>
    <n v="15"/>
    <x v="2"/>
    <n v="1729.14"/>
    <n v="1870.88"/>
    <n v="1003.5720000000003"/>
    <s v="Returning"/>
    <n v="0.04"/>
    <s v="Cash"/>
    <s v="Online"/>
    <x v="2"/>
  </r>
  <r>
    <n v="1090"/>
    <x v="159"/>
    <d v="2023-07-17T00:00:00"/>
    <x v="1"/>
    <s v="Jul"/>
    <x v="4"/>
    <x v="3"/>
    <n v="20644.927238993794"/>
    <n v="14"/>
    <x v="2"/>
    <n v="1350.47"/>
    <n v="1514.6100000000001"/>
    <n v="1661.823800000001"/>
    <s v="New"/>
    <n v="0.03"/>
    <s v="Credit Card"/>
    <s v="Retail"/>
    <x v="12"/>
  </r>
  <r>
    <n v="1019"/>
    <x v="63"/>
    <d v="2023-07-17T00:00:00"/>
    <x v="1"/>
    <s v="Jul"/>
    <x v="4"/>
    <x v="0"/>
    <n v="25383.546054980376"/>
    <n v="14"/>
    <x v="1"/>
    <n v="1614.19"/>
    <n v="1882.79"/>
    <n v="2706.0375999999987"/>
    <s v="New"/>
    <n v="0.04"/>
    <s v="Credit Card"/>
    <s v="Retail"/>
    <x v="13"/>
  </r>
  <r>
    <n v="1089"/>
    <x v="348"/>
    <d v="2023-07-17T00:00:00"/>
    <x v="1"/>
    <s v="Jul"/>
    <x v="1"/>
    <x v="3"/>
    <n v="30123.223900000001"/>
    <n v="31"/>
    <x v="1"/>
    <n v="845.14"/>
    <n v="1001.77"/>
    <n v="3923.8839000000007"/>
    <s v="New"/>
    <n v="0.03"/>
    <s v="Cash"/>
    <s v="Online"/>
    <x v="7"/>
  </r>
  <r>
    <n v="1050"/>
    <x v="31"/>
    <d v="2023-07-18T00:00:00"/>
    <x v="1"/>
    <s v="Jul"/>
    <x v="0"/>
    <x v="0"/>
    <n v="210526.78270531463"/>
    <n v="43"/>
    <x v="0"/>
    <n v="4834.47"/>
    <n v="4973.38"/>
    <n v="1696.023199999996"/>
    <s v="Returning"/>
    <n v="0.02"/>
    <s v="Bank Transfer"/>
    <s v="Online"/>
    <x v="0"/>
  </r>
  <r>
    <n v="1019"/>
    <x v="63"/>
    <d v="2023-07-18T00:00:00"/>
    <x v="1"/>
    <s v="Jul"/>
    <x v="3"/>
    <x v="3"/>
    <n v="59969.423895917251"/>
    <n v="12"/>
    <x v="1"/>
    <n v="4745.18"/>
    <n v="5145.88"/>
    <n v="2955.8831999999966"/>
    <s v="Returning"/>
    <n v="0.03"/>
    <s v="Credit Card"/>
    <s v="Online"/>
    <x v="4"/>
  </r>
  <r>
    <n v="1052"/>
    <x v="86"/>
    <d v="2023-07-18T00:00:00"/>
    <x v="1"/>
    <s v="Jul"/>
    <x v="0"/>
    <x v="0"/>
    <n v="36595.641600000003"/>
    <n v="42"/>
    <x v="2"/>
    <n v="417.96"/>
    <n v="907.63"/>
    <n v="19041.321599999999"/>
    <s v="New"/>
    <n v="0.04"/>
    <s v="Cash"/>
    <s v="Retail"/>
    <x v="0"/>
  </r>
  <r>
    <n v="1090"/>
    <x v="298"/>
    <d v="2023-07-19T00:00:00"/>
    <x v="1"/>
    <s v="Jul"/>
    <x v="1"/>
    <x v="2"/>
    <n v="23901.906000000003"/>
    <n v="10"/>
    <x v="0"/>
    <n v="2387.63"/>
    <n v="2438.9700000000003"/>
    <n v="25.606000000002496"/>
    <s v="Returning"/>
    <n v="0.02"/>
    <s v="Bank Transfer"/>
    <s v="Retail"/>
    <x v="15"/>
  </r>
  <r>
    <n v="1062"/>
    <x v="109"/>
    <d v="2023-07-19T00:00:00"/>
    <x v="1"/>
    <s v="Jul"/>
    <x v="1"/>
    <x v="3"/>
    <n v="29524.677085930685"/>
    <n v="10"/>
    <x v="2"/>
    <n v="2940.4"/>
    <n v="3054.79"/>
    <n v="227.46299999999792"/>
    <s v="Returning"/>
    <n v="0.03"/>
    <s v="Credit Card"/>
    <s v="Online"/>
    <x v="7"/>
  </r>
  <r>
    <n v="1086"/>
    <x v="82"/>
    <d v="2023-07-20T00:00:00"/>
    <x v="1"/>
    <s v="Jul"/>
    <x v="2"/>
    <x v="3"/>
    <n v="18353.706599999998"/>
    <n v="17"/>
    <x v="3"/>
    <n v="1057.27"/>
    <n v="1366.62"/>
    <n v="380.11659999999915"/>
    <s v="New"/>
    <n v="0.21"/>
    <s v="Credit Card"/>
    <s v="Retail"/>
    <x v="3"/>
  </r>
  <r>
    <n v="1062"/>
    <x v="109"/>
    <d v="2023-07-20T00:00:00"/>
    <x v="1"/>
    <s v="Jul"/>
    <x v="0"/>
    <x v="3"/>
    <n v="84697.267200000002"/>
    <n v="48"/>
    <x v="2"/>
    <n v="1679.69"/>
    <n v="1939.04"/>
    <n v="4072.1471999999958"/>
    <s v="New"/>
    <n v="0.09"/>
    <s v="Credit Card"/>
    <s v="Online"/>
    <x v="5"/>
  </r>
  <r>
    <n v="1055"/>
    <x v="391"/>
    <d v="2023-07-20T00:00:00"/>
    <x v="1"/>
    <s v="Jul"/>
    <x v="0"/>
    <x v="2"/>
    <n v="192144.88650253916"/>
    <n v="43"/>
    <x v="0"/>
    <n v="4111.7"/>
    <n v="4537.9399999999996"/>
    <n v="14425.691599999969"/>
    <s v="Returning"/>
    <n v="0.02"/>
    <s v="Bank Transfer"/>
    <s v="Online"/>
    <x v="2"/>
  </r>
  <r>
    <n v="1023"/>
    <x v="373"/>
    <d v="2023-07-21T00:00:00"/>
    <x v="1"/>
    <s v="Jul"/>
    <x v="0"/>
    <x v="3"/>
    <n v="6154.8220000000001"/>
    <n v="4"/>
    <x v="1"/>
    <n v="1532.8"/>
    <n v="1619.69"/>
    <n v="23.622000000000298"/>
    <s v="Returning"/>
    <n v="0.05"/>
    <s v="Bank Transfer"/>
    <s v="Retail"/>
    <x v="5"/>
  </r>
  <r>
    <n v="1017"/>
    <x v="330"/>
    <d v="2023-07-21T00:00:00"/>
    <x v="1"/>
    <s v="Jul"/>
    <x v="4"/>
    <x v="1"/>
    <n v="287.32990000000001"/>
    <n v="1"/>
    <x v="3"/>
    <n v="172.59"/>
    <n v="404.69"/>
    <n v="114.73990000000001"/>
    <s v="Returning"/>
    <n v="0.28999999999999998"/>
    <s v="Bank Transfer"/>
    <s v="Online"/>
    <x v="6"/>
  </r>
  <r>
    <n v="1066"/>
    <x v="394"/>
    <d v="2023-07-21T00:00:00"/>
    <x v="1"/>
    <s v="Jul"/>
    <x v="1"/>
    <x v="1"/>
    <n v="3721.69"/>
    <n v="4"/>
    <x v="0"/>
    <n v="868.83"/>
    <n v="1177.75"/>
    <n v="246.36999999999989"/>
    <s v="Returning"/>
    <n v="0.21"/>
    <s v="Credit Card"/>
    <s v="Retail"/>
    <x v="1"/>
  </r>
  <r>
    <n v="1063"/>
    <x v="2"/>
    <d v="2023-07-21T00:00:00"/>
    <x v="1"/>
    <s v="Jul"/>
    <x v="2"/>
    <x v="1"/>
    <n v="37569.625092483824"/>
    <n v="32"/>
    <x v="2"/>
    <n v="975.31"/>
    <n v="1176.17"/>
    <n v="6427.5200000000041"/>
    <s v="New"/>
    <n v="0"/>
    <s v="Bank Transfer"/>
    <s v="Retail"/>
    <x v="8"/>
  </r>
  <r>
    <n v="1039"/>
    <x v="277"/>
    <d v="2023-07-22T00:00:00"/>
    <x v="1"/>
    <s v="Jul"/>
    <x v="3"/>
    <x v="1"/>
    <n v="149591.14404016995"/>
    <n v="42"/>
    <x v="1"/>
    <n v="3120.19"/>
    <n v="3600.14"/>
    <n v="18645.841199999988"/>
    <s v="Returning"/>
    <n v="0.01"/>
    <s v="Credit Card"/>
    <s v="Retail"/>
    <x v="16"/>
  </r>
  <r>
    <n v="1042"/>
    <x v="138"/>
    <d v="2023-07-23T00:00:00"/>
    <x v="1"/>
    <s v="Jul"/>
    <x v="1"/>
    <x v="2"/>
    <n v="109890.56000000001"/>
    <n v="26"/>
    <x v="2"/>
    <n v="4208.09"/>
    <n v="4226.5600000000004"/>
    <n v="480.22000000000662"/>
    <s v="Returning"/>
    <n v="0"/>
    <s v="Cash"/>
    <s v="Retail"/>
    <x v="15"/>
  </r>
  <r>
    <n v="1056"/>
    <x v="136"/>
    <d v="2023-07-23T00:00:00"/>
    <x v="1"/>
    <s v="Jul"/>
    <x v="2"/>
    <x v="2"/>
    <n v="83383.3"/>
    <n v="35"/>
    <x v="0"/>
    <n v="2344.9299999999998"/>
    <n v="2707.25"/>
    <n v="1310.7500000000095"/>
    <s v="New"/>
    <n v="0.12"/>
    <s v="Credit Card"/>
    <s v="Retail"/>
    <x v="14"/>
  </r>
  <r>
    <n v="1098"/>
    <x v="106"/>
    <d v="2023-07-24T00:00:00"/>
    <x v="1"/>
    <s v="Jul"/>
    <x v="3"/>
    <x v="0"/>
    <n v="78490.421200000012"/>
    <n v="19"/>
    <x v="2"/>
    <n v="4055.51"/>
    <n v="4258.84"/>
    <n v="1435.731200000002"/>
    <s v="Returning"/>
    <n v="0.03"/>
    <s v="Credit Card"/>
    <s v="Online"/>
    <x v="11"/>
  </r>
  <r>
    <n v="1003"/>
    <x v="66"/>
    <d v="2023-07-25T00:00:00"/>
    <x v="1"/>
    <s v="Jul"/>
    <x v="0"/>
    <x v="2"/>
    <n v="12072.933444999595"/>
    <n v="5"/>
    <x v="3"/>
    <n v="2206.58"/>
    <n v="2490.4699999999998"/>
    <n v="1045.8794999999986"/>
    <s v="New"/>
    <n v="0.03"/>
    <s v="Cash"/>
    <s v="Online"/>
    <x v="2"/>
  </r>
  <r>
    <n v="1047"/>
    <x v="287"/>
    <d v="2023-07-25T00:00:00"/>
    <x v="1"/>
    <s v="Jul"/>
    <x v="1"/>
    <x v="1"/>
    <n v="70773.296082378729"/>
    <n v="19"/>
    <x v="0"/>
    <n v="3484.62"/>
    <n v="3781.5499999999997"/>
    <n v="4923.1754999999939"/>
    <s v="Returning"/>
    <n v="0.01"/>
    <s v="Credit Card"/>
    <s v="Retail"/>
    <x v="1"/>
  </r>
  <r>
    <n v="1015"/>
    <x v="275"/>
    <d v="2023-07-26T00:00:00"/>
    <x v="1"/>
    <s v="Jul"/>
    <x v="4"/>
    <x v="3"/>
    <n v="42151.033243359365"/>
    <n v="9"/>
    <x v="2"/>
    <n v="4680.3500000000004"/>
    <n v="4758.1100000000006"/>
    <n v="-156.61979999999585"/>
    <s v="Returning"/>
    <n v="0.02"/>
    <s v="Bank Transfer"/>
    <s v="Online"/>
    <x v="12"/>
  </r>
  <r>
    <n v="1078"/>
    <x v="308"/>
    <d v="2023-07-27T00:00:00"/>
    <x v="1"/>
    <s v="Jul"/>
    <x v="0"/>
    <x v="3"/>
    <n v="3352.8627000000006"/>
    <n v="3"/>
    <x v="1"/>
    <n v="902.38"/>
    <n v="1128.9100000000001"/>
    <n v="645.72270000000037"/>
    <s v="New"/>
    <n v="0.01"/>
    <s v="Bank Transfer"/>
    <s v="Retail"/>
    <x v="5"/>
  </r>
  <r>
    <n v="1062"/>
    <x v="109"/>
    <d v="2023-07-27T00:00:00"/>
    <x v="1"/>
    <s v="Jul"/>
    <x v="4"/>
    <x v="0"/>
    <n v="48895.633600000001"/>
    <n v="44"/>
    <x v="2"/>
    <n v="987.74"/>
    <n v="1462.19"/>
    <n v="5435.0736000000006"/>
    <s v="New"/>
    <n v="0.24"/>
    <s v="Bank Transfer"/>
    <s v="Online"/>
    <x v="13"/>
  </r>
  <r>
    <n v="1025"/>
    <x v="381"/>
    <d v="2023-07-28T00:00:00"/>
    <x v="1"/>
    <s v="Jul"/>
    <x v="4"/>
    <x v="2"/>
    <n v="41785.760809799802"/>
    <n v="37"/>
    <x v="2"/>
    <n v="1115.02"/>
    <n v="1174.48"/>
    <n v="461.78960000000166"/>
    <s v="New"/>
    <n v="0.04"/>
    <s v="Credit Card"/>
    <s v="Online"/>
    <x v="17"/>
  </r>
  <r>
    <n v="1054"/>
    <x v="252"/>
    <d v="2023-07-28T00:00:00"/>
    <x v="1"/>
    <s v="Jul"/>
    <x v="4"/>
    <x v="1"/>
    <n v="99178.269356876554"/>
    <n v="20"/>
    <x v="1"/>
    <n v="4622.1400000000003"/>
    <n v="5122.0700000000006"/>
    <n v="6925.3579999999965"/>
    <s v="New"/>
    <n v="0.03"/>
    <s v="Cash"/>
    <s v="Retail"/>
    <x v="6"/>
  </r>
  <r>
    <n v="1082"/>
    <x v="360"/>
    <d v="2023-07-28T00:00:00"/>
    <x v="1"/>
    <s v="Jul"/>
    <x v="3"/>
    <x v="1"/>
    <n v="176812.05700502638"/>
    <n v="48"/>
    <x v="3"/>
    <n v="3380.52"/>
    <n v="3778.94"/>
    <n v="13682.486400000009"/>
    <s v="Returning"/>
    <n v="0.03"/>
    <s v="Bank Transfer"/>
    <s v="Online"/>
    <x v="16"/>
  </r>
  <r>
    <n v="1059"/>
    <x v="229"/>
    <d v="2023-07-29T00:00:00"/>
    <x v="1"/>
    <s v="Jul"/>
    <x v="2"/>
    <x v="0"/>
    <n v="70011.745786690793"/>
    <n v="16"/>
    <x v="0"/>
    <n v="4287.21"/>
    <n v="4464.28"/>
    <n v="1404.5503999999928"/>
    <s v="Returning"/>
    <n v="0.02"/>
    <s v="Credit Card"/>
    <s v="Retail"/>
    <x v="18"/>
  </r>
  <r>
    <n v="1044"/>
    <x v="357"/>
    <d v="2023-07-29T00:00:00"/>
    <x v="1"/>
    <s v="Jul"/>
    <x v="3"/>
    <x v="3"/>
    <n v="75720.233600000007"/>
    <n v="47"/>
    <x v="2"/>
    <n v="1512.34"/>
    <n v="1830.76"/>
    <n v="4640.2536000000046"/>
    <s v="New"/>
    <n v="0.12"/>
    <s v="Bank Transfer"/>
    <s v="Online"/>
    <x v="4"/>
  </r>
  <r>
    <n v="1096"/>
    <x v="339"/>
    <d v="2023-07-29T00:00:00"/>
    <x v="1"/>
    <s v="Jul"/>
    <x v="1"/>
    <x v="2"/>
    <n v="156442.46079239491"/>
    <n v="38"/>
    <x v="2"/>
    <n v="3955.66"/>
    <n v="4270.59"/>
    <n v="5476.0432000000219"/>
    <s v="Returning"/>
    <n v="0.04"/>
    <s v="Credit Card"/>
    <s v="Online"/>
    <x v="15"/>
  </r>
  <r>
    <n v="1082"/>
    <x v="360"/>
    <d v="2023-07-29T00:00:00"/>
    <x v="1"/>
    <s v="Jul"/>
    <x v="0"/>
    <x v="1"/>
    <n v="58835.692800000004"/>
    <n v="46"/>
    <x v="3"/>
    <n v="1102.69"/>
    <n v="1437.1200000000001"/>
    <n v="8111.9528000000009"/>
    <s v="New"/>
    <n v="0.11"/>
    <s v="Credit Card"/>
    <s v="Online"/>
    <x v="19"/>
  </r>
  <r>
    <n v="1088"/>
    <x v="83"/>
    <d v="2023-07-30T00:00:00"/>
    <x v="1"/>
    <s v="Jul"/>
    <x v="0"/>
    <x v="1"/>
    <n v="4597.73593994371"/>
    <n v="1"/>
    <x v="0"/>
    <n v="4384.6400000000003"/>
    <n v="4693.9000000000005"/>
    <n v="215.38200000000052"/>
    <s v="New"/>
    <n v="0.02"/>
    <s v="Cash"/>
    <s v="Retail"/>
    <x v="19"/>
  </r>
  <r>
    <n v="1048"/>
    <x v="280"/>
    <d v="2023-07-30T00:00:00"/>
    <x v="1"/>
    <s v="Jul"/>
    <x v="3"/>
    <x v="3"/>
    <n v="13428.784140472917"/>
    <n v="6"/>
    <x v="0"/>
    <n v="1945.27"/>
    <n v="2309.4299999999998"/>
    <n v="1769.2625999999982"/>
    <s v="New"/>
    <n v="0.03"/>
    <s v="Credit Card"/>
    <s v="Online"/>
    <x v="4"/>
  </r>
  <r>
    <n v="1002"/>
    <x v="262"/>
    <d v="2023-07-31T00:00:00"/>
    <x v="1"/>
    <s v="Jul"/>
    <x v="4"/>
    <x v="1"/>
    <n v="88203.426286226022"/>
    <n v="21"/>
    <x v="1"/>
    <n v="4138.41"/>
    <n v="4361.7"/>
    <n v="1025.2620000000024"/>
    <s v="Returning"/>
    <n v="0.04"/>
    <s v="Credit Card"/>
    <s v="Retail"/>
    <x v="6"/>
  </r>
  <r>
    <n v="1063"/>
    <x v="2"/>
    <d v="2023-08-01T00:00:00"/>
    <x v="1"/>
    <s v="Aug"/>
    <x v="2"/>
    <x v="0"/>
    <n v="5370.0555999999997"/>
    <n v="4"/>
    <x v="2"/>
    <n v="1046.26"/>
    <n v="1475.29"/>
    <n v="1185.0155999999997"/>
    <s v="Returning"/>
    <n v="0.09"/>
    <s v="Bank Transfer"/>
    <s v="Retail"/>
    <x v="18"/>
  </r>
  <r>
    <n v="1039"/>
    <x v="277"/>
    <d v="2023-08-01T00:00:00"/>
    <x v="1"/>
    <s v="Aug"/>
    <x v="0"/>
    <x v="2"/>
    <n v="107464.90399528839"/>
    <n v="36"/>
    <x v="1"/>
    <n v="2919"/>
    <n v="3125.01"/>
    <n v="2916.3456000000115"/>
    <s v="New"/>
    <n v="0.04"/>
    <s v="Cash"/>
    <s v="Online"/>
    <x v="2"/>
  </r>
  <r>
    <n v="1038"/>
    <x v="6"/>
    <d v="2023-08-02T00:00:00"/>
    <x v="1"/>
    <s v="Aug"/>
    <x v="3"/>
    <x v="1"/>
    <n v="133195.90584447069"/>
    <n v="43"/>
    <x v="0"/>
    <n v="3031.17"/>
    <n v="3231.32"/>
    <n v="3048.579599999995"/>
    <s v="Returning"/>
    <n v="0.04"/>
    <s v="Cash"/>
    <s v="Retail"/>
    <x v="16"/>
  </r>
  <r>
    <n v="1096"/>
    <x v="339"/>
    <d v="2023-08-02T00:00:00"/>
    <x v="1"/>
    <s v="Aug"/>
    <x v="2"/>
    <x v="3"/>
    <n v="123007.26156588827"/>
    <n v="30"/>
    <x v="2"/>
    <n v="3969.86"/>
    <n v="4281.79"/>
    <n v="4219.751999999994"/>
    <s v="Returning"/>
    <n v="0.04"/>
    <s v="Bank Transfer"/>
    <s v="Retail"/>
    <x v="3"/>
  </r>
  <r>
    <n v="1029"/>
    <x v="203"/>
    <d v="2023-08-02T00:00:00"/>
    <x v="1"/>
    <s v="Aug"/>
    <x v="0"/>
    <x v="0"/>
    <n v="219347.47754406097"/>
    <n v="46"/>
    <x v="0"/>
    <n v="4609.66"/>
    <n v="4879.1499999999996"/>
    <n v="7907.722000000007"/>
    <s v="Returning"/>
    <n v="0.02"/>
    <s v="Cash"/>
    <s v="Retail"/>
    <x v="0"/>
  </r>
  <r>
    <n v="1023"/>
    <x v="383"/>
    <d v="2023-08-03T00:00:00"/>
    <x v="1"/>
    <s v="Aug"/>
    <x v="4"/>
    <x v="2"/>
    <n v="212257.76694882958"/>
    <n v="45"/>
    <x v="3"/>
    <n v="4692.24"/>
    <n v="4825.92"/>
    <n v="1672.2720000000163"/>
    <s v="Returning"/>
    <n v="0.02"/>
    <s v="Bank Transfer"/>
    <s v="Retail"/>
    <x v="17"/>
  </r>
  <r>
    <n v="1016"/>
    <x v="259"/>
    <d v="2023-08-03T00:00:00"/>
    <x v="1"/>
    <s v="Aug"/>
    <x v="3"/>
    <x v="2"/>
    <n v="72921.265121031654"/>
    <n v="16"/>
    <x v="0"/>
    <n v="4457.68"/>
    <n v="4743.0300000000007"/>
    <n v="1530.0608000000066"/>
    <s v="Returning"/>
    <n v="0.04"/>
    <s v="Cash"/>
    <s v="Online"/>
    <x v="9"/>
  </r>
  <r>
    <n v="1033"/>
    <x v="202"/>
    <d v="2023-08-03T00:00:00"/>
    <x v="1"/>
    <s v="Aug"/>
    <x v="3"/>
    <x v="2"/>
    <n v="23410.914926292302"/>
    <n v="40"/>
    <x v="3"/>
    <n v="541.19000000000005"/>
    <n v="595.20000000000005"/>
    <n v="1684.2399999999998"/>
    <s v="Returning"/>
    <n v="0.02"/>
    <s v="Credit Card"/>
    <s v="Online"/>
    <x v="9"/>
  </r>
  <r>
    <n v="1001"/>
    <x v="212"/>
    <d v="2023-08-03T00:00:00"/>
    <x v="1"/>
    <s v="Aug"/>
    <x v="2"/>
    <x v="2"/>
    <n v="45613.26"/>
    <n v="20"/>
    <x v="3"/>
    <n v="2153.52"/>
    <n v="2303.6999999999998"/>
    <n v="2542.8600000000006"/>
    <s v="Returning"/>
    <n v="0.01"/>
    <s v="Cash"/>
    <s v="Retail"/>
    <x v="14"/>
  </r>
  <r>
    <n v="1002"/>
    <x v="53"/>
    <d v="2023-08-03T00:00:00"/>
    <x v="1"/>
    <s v="Aug"/>
    <x v="3"/>
    <x v="0"/>
    <n v="49056.153600000005"/>
    <n v="16"/>
    <x v="0"/>
    <n v="2872.4"/>
    <n v="3193.76"/>
    <n v="3097.7536000000036"/>
    <s v="Returning"/>
    <n v="0.04"/>
    <s v="Credit Card"/>
    <s v="Online"/>
    <x v="11"/>
  </r>
  <r>
    <n v="1043"/>
    <x v="273"/>
    <d v="2023-08-03T00:00:00"/>
    <x v="1"/>
    <s v="Aug"/>
    <x v="4"/>
    <x v="1"/>
    <n v="102444.76"/>
    <n v="22"/>
    <x v="2"/>
    <n v="4260"/>
    <n v="4656.58"/>
    <n v="8724.7599999999984"/>
    <s v="New"/>
    <n v="0"/>
    <s v="Bank Transfer"/>
    <s v="Online"/>
    <x v="6"/>
  </r>
  <r>
    <n v="1035"/>
    <x v="384"/>
    <d v="2023-08-04T00:00:00"/>
    <x v="1"/>
    <s v="Aug"/>
    <x v="4"/>
    <x v="0"/>
    <n v="114778.96688686697"/>
    <n v="30"/>
    <x v="2"/>
    <n v="3813.62"/>
    <n v="3839.72"/>
    <n v="782.99999999999727"/>
    <s v="New"/>
    <n v="0"/>
    <s v="Credit Card"/>
    <s v="Online"/>
    <x v="13"/>
  </r>
  <r>
    <n v="1028"/>
    <x v="295"/>
    <d v="2023-08-04T00:00:00"/>
    <x v="1"/>
    <s v="Aug"/>
    <x v="3"/>
    <x v="3"/>
    <n v="130260.65744426571"/>
    <n v="38"/>
    <x v="1"/>
    <n v="3350.32"/>
    <n v="3449.94"/>
    <n v="2474.5827999999901"/>
    <s v="New"/>
    <n v="0.01"/>
    <s v="Cash"/>
    <s v="Online"/>
    <x v="4"/>
  </r>
  <r>
    <n v="1047"/>
    <x v="389"/>
    <d v="2023-08-04T00:00:00"/>
    <x v="1"/>
    <s v="Aug"/>
    <x v="0"/>
    <x v="0"/>
    <n v="225957.19122404358"/>
    <n v="47"/>
    <x v="1"/>
    <n v="4729.59"/>
    <n v="4976.68"/>
    <n v="4596.111200000003"/>
    <s v="Returning"/>
    <n v="0.03"/>
    <s v="Credit Card"/>
    <s v="Retail"/>
    <x v="0"/>
  </r>
  <r>
    <n v="1001"/>
    <x v="212"/>
    <d v="2023-08-04T00:00:00"/>
    <x v="1"/>
    <s v="Aug"/>
    <x v="4"/>
    <x v="2"/>
    <n v="70513.812816687772"/>
    <n v="20"/>
    <x v="3"/>
    <n v="3279.76"/>
    <n v="3563.9700000000003"/>
    <n v="4971.4059999999972"/>
    <s v="Returning"/>
    <n v="0.01"/>
    <s v="Cash"/>
    <s v="Retail"/>
    <x v="17"/>
  </r>
  <r>
    <n v="1001"/>
    <x v="212"/>
    <d v="2023-08-05T00:00:00"/>
    <x v="1"/>
    <s v="Aug"/>
    <x v="2"/>
    <x v="3"/>
    <n v="7452.8068507073613"/>
    <n v="4"/>
    <x v="3"/>
    <n v="1791.83"/>
    <n v="1871.22"/>
    <n v="317.5600000000004"/>
    <s v="Returning"/>
    <n v="0"/>
    <s v="Bank Transfer"/>
    <s v="Online"/>
    <x v="3"/>
  </r>
  <r>
    <n v="1030"/>
    <x v="340"/>
    <d v="2023-08-05T00:00:00"/>
    <x v="1"/>
    <s v="Aug"/>
    <x v="2"/>
    <x v="2"/>
    <n v="110276.03860000001"/>
    <n v="34"/>
    <x v="2"/>
    <n v="3125.07"/>
    <n v="3564.19"/>
    <n v="4023.6586000000034"/>
    <s v="Returning"/>
    <n v="0.09"/>
    <s v="Cash"/>
    <s v="Online"/>
    <x v="14"/>
  </r>
  <r>
    <n v="1069"/>
    <x v="302"/>
    <d v="2023-08-06T00:00:00"/>
    <x v="1"/>
    <s v="Aug"/>
    <x v="2"/>
    <x v="3"/>
    <n v="10030.165200000001"/>
    <n v="4"/>
    <x v="2"/>
    <n v="2485.86"/>
    <n v="2532.8700000000003"/>
    <n v="86.725200000000768"/>
    <s v="New"/>
    <n v="0.01"/>
    <s v="Credit Card"/>
    <s v="Online"/>
    <x v="3"/>
  </r>
  <r>
    <n v="1079"/>
    <x v="271"/>
    <d v="2023-08-06T00:00:00"/>
    <x v="1"/>
    <s v="Aug"/>
    <x v="4"/>
    <x v="3"/>
    <n v="66979.407507799086"/>
    <n v="45"/>
    <x v="1"/>
    <n v="1406.9"/>
    <n v="1547.3500000000001"/>
    <n v="3535.0200000000018"/>
    <s v="New"/>
    <n v="0.04"/>
    <s v="Cash"/>
    <s v="Retail"/>
    <x v="12"/>
  </r>
  <r>
    <n v="1015"/>
    <x v="147"/>
    <d v="2023-08-07T00:00:00"/>
    <x v="1"/>
    <s v="Aug"/>
    <x v="3"/>
    <x v="1"/>
    <n v="8446.1528721664417"/>
    <n v="19"/>
    <x v="1"/>
    <n v="433.54"/>
    <n v="445.48"/>
    <n v="226.85999999999996"/>
    <s v="New"/>
    <n v="0"/>
    <s v="Bank Transfer"/>
    <s v="Retail"/>
    <x v="16"/>
  </r>
  <r>
    <n v="1077"/>
    <x v="108"/>
    <d v="2023-08-07T00:00:00"/>
    <x v="1"/>
    <s v="Aug"/>
    <x v="1"/>
    <x v="1"/>
    <n v="195974.87904059197"/>
    <n v="43"/>
    <x v="3"/>
    <n v="4402.66"/>
    <n v="4724.7"/>
    <n v="5721.2359999999862"/>
    <s v="New"/>
    <n v="0.04"/>
    <s v="Bank Transfer"/>
    <s v="Retail"/>
    <x v="1"/>
  </r>
  <r>
    <n v="1044"/>
    <x v="241"/>
    <d v="2023-08-08T00:00:00"/>
    <x v="1"/>
    <s v="Aug"/>
    <x v="3"/>
    <x v="3"/>
    <n v="10040.8788"/>
    <n v="18"/>
    <x v="1"/>
    <n v="430.14"/>
    <n v="641.17999999999995"/>
    <n v="2298.3588"/>
    <s v="New"/>
    <n v="0.13"/>
    <s v="Cash"/>
    <s v="Online"/>
    <x v="4"/>
  </r>
  <r>
    <n v="1047"/>
    <x v="137"/>
    <d v="2023-08-08T00:00:00"/>
    <x v="1"/>
    <s v="Aug"/>
    <x v="4"/>
    <x v="3"/>
    <n v="47040.83772512131"/>
    <n v="33"/>
    <x v="2"/>
    <n v="1341.55"/>
    <n v="1427.21"/>
    <n v="2826.7800000000025"/>
    <s v="Returning"/>
    <n v="0"/>
    <s v="Credit Card"/>
    <s v="Online"/>
    <x v="12"/>
  </r>
  <r>
    <n v="1047"/>
    <x v="389"/>
    <d v="2023-08-09T00:00:00"/>
    <x v="1"/>
    <s v="Aug"/>
    <x v="4"/>
    <x v="3"/>
    <n v="119532.1355163906"/>
    <n v="41"/>
    <x v="1"/>
    <n v="2888.49"/>
    <n v="2929.45"/>
    <n v="1679.3600000000015"/>
    <s v="New"/>
    <n v="0"/>
    <s v="Cash"/>
    <s v="Retail"/>
    <x v="12"/>
  </r>
  <r>
    <n v="1064"/>
    <x v="88"/>
    <d v="2023-08-10T00:00:00"/>
    <x v="1"/>
    <s v="Aug"/>
    <x v="2"/>
    <x v="0"/>
    <n v="2270.2694999999999"/>
    <n v="5"/>
    <x v="3"/>
    <n v="421.05"/>
    <n v="488.23"/>
    <n v="165.01949999999994"/>
    <s v="Returning"/>
    <n v="7.0000000000000007E-2"/>
    <s v="Credit Card"/>
    <s v="Retail"/>
    <x v="18"/>
  </r>
  <r>
    <n v="1024"/>
    <x v="140"/>
    <d v="2023-08-10T00:00:00"/>
    <x v="1"/>
    <s v="Aug"/>
    <x v="0"/>
    <x v="0"/>
    <n v="46535.222669400042"/>
    <n v="30"/>
    <x v="3"/>
    <n v="1543.96"/>
    <n v="1558.8700000000001"/>
    <n v="447.30000000000246"/>
    <s v="Returning"/>
    <n v="0"/>
    <s v="Credit Card"/>
    <s v="Online"/>
    <x v="0"/>
  </r>
  <r>
    <n v="1075"/>
    <x v="170"/>
    <d v="2023-08-10T00:00:00"/>
    <x v="1"/>
    <s v="Aug"/>
    <x v="1"/>
    <x v="3"/>
    <n v="84790.826830278602"/>
    <n v="17"/>
    <x v="2"/>
    <n v="4966.66"/>
    <n v="5037.2699999999995"/>
    <n v="344.03409999999622"/>
    <s v="Returning"/>
    <n v="0.01"/>
    <s v="Bank Transfer"/>
    <s v="Retail"/>
    <x v="7"/>
  </r>
  <r>
    <n v="1017"/>
    <x v="75"/>
    <d v="2023-08-10T00:00:00"/>
    <x v="1"/>
    <s v="Aug"/>
    <x v="3"/>
    <x v="3"/>
    <n v="69862.998699999996"/>
    <n v="43"/>
    <x v="0"/>
    <n v="1454.8"/>
    <n v="1674.97"/>
    <n v="7306.5987000000032"/>
    <s v="New"/>
    <n v="0.03"/>
    <s v="Credit Card"/>
    <s v="Online"/>
    <x v="4"/>
  </r>
  <r>
    <n v="1032"/>
    <x v="151"/>
    <d v="2023-08-11T00:00:00"/>
    <x v="1"/>
    <s v="Aug"/>
    <x v="4"/>
    <x v="1"/>
    <n v="24912.144931063318"/>
    <n v="5"/>
    <x v="3"/>
    <n v="4714.74"/>
    <n v="5129.1099999999997"/>
    <n v="1302.4834999999985"/>
    <s v="New"/>
    <n v="0.03"/>
    <s v="Bank Transfer"/>
    <s v="Online"/>
    <x v="6"/>
  </r>
  <r>
    <n v="1028"/>
    <x v="295"/>
    <d v="2023-08-11T00:00:00"/>
    <x v="1"/>
    <s v="Aug"/>
    <x v="1"/>
    <x v="2"/>
    <n v="220216.00941914317"/>
    <n v="45"/>
    <x v="1"/>
    <n v="4848.9799999999996"/>
    <n v="4985.75"/>
    <n v="1667.4750000000131"/>
    <s v="Returning"/>
    <n v="0.02"/>
    <s v="Bank Transfer"/>
    <s v="Online"/>
    <x v="15"/>
  </r>
  <r>
    <n v="1082"/>
    <x v="183"/>
    <d v="2023-08-11T00:00:00"/>
    <x v="1"/>
    <s v="Aug"/>
    <x v="1"/>
    <x v="3"/>
    <n v="105433.84999999999"/>
    <n v="43"/>
    <x v="0"/>
    <n v="2289.2199999999998"/>
    <n v="2581"/>
    <n v="6997.3900000000012"/>
    <s v="New"/>
    <n v="0.05"/>
    <s v="Bank Transfer"/>
    <s v="Online"/>
    <x v="7"/>
  </r>
  <r>
    <n v="1015"/>
    <x v="91"/>
    <d v="2023-08-11T00:00:00"/>
    <x v="1"/>
    <s v="Aug"/>
    <x v="0"/>
    <x v="1"/>
    <n v="40031.667199999996"/>
    <n v="32"/>
    <x v="0"/>
    <n v="970.51"/>
    <n v="1330.84"/>
    <n v="8975.3471999999965"/>
    <s v="Returning"/>
    <n v="0.06"/>
    <s v="Cash"/>
    <s v="Retail"/>
    <x v="19"/>
  </r>
  <r>
    <n v="1027"/>
    <x v="269"/>
    <d v="2023-08-11T00:00:00"/>
    <x v="1"/>
    <s v="Aug"/>
    <x v="0"/>
    <x v="3"/>
    <n v="194638.9797"/>
    <n v="43"/>
    <x v="1"/>
    <n v="4232.6099999999997"/>
    <n v="4572.21"/>
    <n v="12636.749700000018"/>
    <s v="New"/>
    <n v="0.01"/>
    <s v="Cash"/>
    <s v="Retail"/>
    <x v="5"/>
  </r>
  <r>
    <n v="1074"/>
    <x v="158"/>
    <d v="2023-08-12T00:00:00"/>
    <x v="1"/>
    <s v="Aug"/>
    <x v="2"/>
    <x v="1"/>
    <n v="5912.6628522934034"/>
    <n v="2"/>
    <x v="3"/>
    <n v="2868.02"/>
    <n v="2994.74"/>
    <n v="193.54519999999957"/>
    <s v="Returning"/>
    <n v="0.01"/>
    <s v="Bank Transfer"/>
    <s v="Online"/>
    <x v="8"/>
  </r>
  <r>
    <n v="1018"/>
    <x v="303"/>
    <d v="2023-08-12T00:00:00"/>
    <x v="1"/>
    <s v="Aug"/>
    <x v="1"/>
    <x v="3"/>
    <n v="28813.080886335989"/>
    <n v="9"/>
    <x v="2"/>
    <n v="3161.09"/>
    <n v="3216.42"/>
    <n v="497.96999999999935"/>
    <s v="New"/>
    <n v="0"/>
    <s v="Bank Transfer"/>
    <s v="Online"/>
    <x v="7"/>
  </r>
  <r>
    <n v="1060"/>
    <x v="369"/>
    <d v="2023-08-12T00:00:00"/>
    <x v="1"/>
    <s v="Aug"/>
    <x v="4"/>
    <x v="3"/>
    <n v="20386.676927807737"/>
    <n v="5"/>
    <x v="0"/>
    <n v="3970.08"/>
    <n v="4096.4799999999996"/>
    <n v="631.99999999999818"/>
    <s v="Returning"/>
    <n v="0"/>
    <s v="Cash"/>
    <s v="Retail"/>
    <x v="12"/>
  </r>
  <r>
    <n v="1028"/>
    <x v="295"/>
    <d v="2023-08-12T00:00:00"/>
    <x v="1"/>
    <s v="Aug"/>
    <x v="1"/>
    <x v="0"/>
    <n v="165721.88769697302"/>
    <n v="41"/>
    <x v="1"/>
    <n v="3956.03"/>
    <n v="4163.68"/>
    <n v="3392.3235999999952"/>
    <s v="New"/>
    <n v="0.03"/>
    <s v="Bank Transfer"/>
    <s v="Retail"/>
    <x v="10"/>
  </r>
  <r>
    <n v="1075"/>
    <x v="28"/>
    <d v="2023-08-12T00:00:00"/>
    <x v="1"/>
    <s v="Aug"/>
    <x v="4"/>
    <x v="1"/>
    <n v="26183.231917923338"/>
    <n v="14"/>
    <x v="0"/>
    <n v="1612.93"/>
    <n v="1964.15"/>
    <n v="3542.1750000000006"/>
    <s v="Returning"/>
    <n v="0.05"/>
    <s v="Bank Transfer"/>
    <s v="Retail"/>
    <x v="6"/>
  </r>
  <r>
    <n v="1023"/>
    <x v="373"/>
    <d v="2023-08-13T00:00:00"/>
    <x v="1"/>
    <s v="Aug"/>
    <x v="2"/>
    <x v="1"/>
    <n v="12712.616320648203"/>
    <n v="38"/>
    <x v="1"/>
    <n v="324.45"/>
    <n v="336.37"/>
    <n v="325.13940000000082"/>
    <s v="New"/>
    <n v="0.01"/>
    <s v="Credit Card"/>
    <s v="Retail"/>
    <x v="8"/>
  </r>
  <r>
    <n v="1035"/>
    <x v="120"/>
    <d v="2023-08-13T00:00:00"/>
    <x v="1"/>
    <s v="Aug"/>
    <x v="3"/>
    <x v="2"/>
    <n v="21227.08140252365"/>
    <n v="5"/>
    <x v="1"/>
    <n v="3991.69"/>
    <n v="4454.97"/>
    <n v="1202.657499999998"/>
    <s v="New"/>
    <n v="0.05"/>
    <s v="Credit Card"/>
    <s v="Retail"/>
    <x v="9"/>
  </r>
  <r>
    <n v="1084"/>
    <x v="103"/>
    <d v="2023-08-13T00:00:00"/>
    <x v="1"/>
    <s v="Aug"/>
    <x v="3"/>
    <x v="2"/>
    <n v="76265.74900986116"/>
    <n v="21"/>
    <x v="0"/>
    <n v="3497.98"/>
    <n v="3765.31"/>
    <n v="2451.0695999999989"/>
    <s v="New"/>
    <n v="0.04"/>
    <s v="Cash"/>
    <s v="Online"/>
    <x v="9"/>
  </r>
  <r>
    <n v="1100"/>
    <x v="343"/>
    <d v="2023-08-14T00:00:00"/>
    <x v="1"/>
    <s v="Aug"/>
    <x v="2"/>
    <x v="2"/>
    <n v="48223.680490769439"/>
    <n v="43"/>
    <x v="3"/>
    <n v="1100.81"/>
    <n v="1137.44"/>
    <n v="1085.990800000008"/>
    <s v="Returning"/>
    <n v="0.01"/>
    <s v="Bank Transfer"/>
    <s v="Online"/>
    <x v="14"/>
  </r>
  <r>
    <n v="1066"/>
    <x v="362"/>
    <d v="2023-08-14T00:00:00"/>
    <x v="1"/>
    <s v="Aug"/>
    <x v="3"/>
    <x v="0"/>
    <n v="20812.707999999999"/>
    <n v="20"/>
    <x v="2"/>
    <n v="955.18"/>
    <n v="1072.82"/>
    <n v="1709.1079999999988"/>
    <s v="New"/>
    <n v="0.03"/>
    <s v="Bank Transfer"/>
    <s v="Retail"/>
    <x v="11"/>
  </r>
  <r>
    <n v="1093"/>
    <x v="319"/>
    <d v="2023-08-14T00:00:00"/>
    <x v="1"/>
    <s v="Aug"/>
    <x v="4"/>
    <x v="2"/>
    <n v="3414.6000000000004"/>
    <n v="6"/>
    <x v="3"/>
    <n v="235.12"/>
    <n v="677.5"/>
    <n v="2003.88"/>
    <s v="Returning"/>
    <n v="0.16"/>
    <s v="Credit Card"/>
    <s v="Online"/>
    <x v="17"/>
  </r>
  <r>
    <n v="1083"/>
    <x v="377"/>
    <d v="2023-08-14T00:00:00"/>
    <x v="1"/>
    <s v="Aug"/>
    <x v="0"/>
    <x v="2"/>
    <n v="109754.02299872777"/>
    <n v="42"/>
    <x v="1"/>
    <n v="2505.41"/>
    <n v="2638.96"/>
    <n v="4500.7368000000088"/>
    <s v="New"/>
    <n v="0.01"/>
    <s v="Bank Transfer"/>
    <s v="Online"/>
    <x v="2"/>
  </r>
  <r>
    <n v="1013"/>
    <x v="115"/>
    <d v="2023-08-14T00:00:00"/>
    <x v="1"/>
    <s v="Aug"/>
    <x v="3"/>
    <x v="1"/>
    <n v="103143.39045793985"/>
    <n v="26"/>
    <x v="1"/>
    <n v="3749.12"/>
    <n v="4138.83"/>
    <n v="5828.0767999999935"/>
    <s v="New"/>
    <n v="0.04"/>
    <s v="Credit Card"/>
    <s v="Online"/>
    <x v="16"/>
  </r>
  <r>
    <n v="1065"/>
    <x v="374"/>
    <d v="2023-08-14T00:00:00"/>
    <x v="1"/>
    <s v="Aug"/>
    <x v="2"/>
    <x v="2"/>
    <n v="118725.49260000003"/>
    <n v="26"/>
    <x v="1"/>
    <n v="4337.8500000000004"/>
    <n v="4612.4900000000007"/>
    <n v="5941.3926000000138"/>
    <s v="Returning"/>
    <n v="0.01"/>
    <s v="Cash"/>
    <s v="Retail"/>
    <x v="14"/>
  </r>
  <r>
    <n v="1063"/>
    <x v="33"/>
    <d v="2023-08-14T00:00:00"/>
    <x v="1"/>
    <s v="Aug"/>
    <x v="2"/>
    <x v="3"/>
    <n v="109704.26176122387"/>
    <n v="27"/>
    <x v="1"/>
    <n v="3760.25"/>
    <n v="4147.1099999999997"/>
    <n v="8205.7805999999928"/>
    <s v="New"/>
    <n v="0.02"/>
    <s v="Cash"/>
    <s v="Online"/>
    <x v="3"/>
  </r>
  <r>
    <n v="1046"/>
    <x v="263"/>
    <d v="2023-08-15T00:00:00"/>
    <x v="1"/>
    <s v="Aug"/>
    <x v="3"/>
    <x v="0"/>
    <n v="16498.461866629423"/>
    <n v="4"/>
    <x v="0"/>
    <n v="4095.1"/>
    <n v="4134.55"/>
    <n v="157.80000000000109"/>
    <s v="Returning"/>
    <n v="0"/>
    <s v="Bank Transfer"/>
    <s v="Retail"/>
    <x v="11"/>
  </r>
  <r>
    <n v="1075"/>
    <x v="149"/>
    <d v="2023-08-15T00:00:00"/>
    <x v="1"/>
    <s v="Aug"/>
    <x v="1"/>
    <x v="3"/>
    <n v="73063.373114765403"/>
    <n v="28"/>
    <x v="1"/>
    <n v="2570.2199999999998"/>
    <n v="2610.8399999999997"/>
    <n v="1137.3599999999969"/>
    <s v="Returning"/>
    <n v="0"/>
    <s v="Bank Transfer"/>
    <s v="Retail"/>
    <x v="7"/>
  </r>
  <r>
    <n v="1033"/>
    <x v="220"/>
    <d v="2023-08-15T00:00:00"/>
    <x v="1"/>
    <s v="Aug"/>
    <x v="0"/>
    <x v="1"/>
    <n v="43061.650499999989"/>
    <n v="29"/>
    <x v="1"/>
    <n v="1412.09"/>
    <n v="1596.6499999999999"/>
    <n v="2111.0404999999928"/>
    <s v="Returning"/>
    <n v="7.0000000000000007E-2"/>
    <s v="Cash"/>
    <s v="Online"/>
    <x v="19"/>
  </r>
  <r>
    <n v="1068"/>
    <x v="396"/>
    <d v="2023-08-15T00:00:00"/>
    <x v="1"/>
    <s v="Aug"/>
    <x v="3"/>
    <x v="0"/>
    <n v="28488.894"/>
    <n v="21"/>
    <x v="3"/>
    <n v="1142.53"/>
    <n v="1384.3"/>
    <n v="4495.764000000001"/>
    <s v="Returning"/>
    <n v="0.02"/>
    <s v="Credit Card"/>
    <s v="Retail"/>
    <x v="11"/>
  </r>
  <r>
    <n v="1074"/>
    <x v="107"/>
    <d v="2023-08-15T00:00:00"/>
    <x v="1"/>
    <s v="Aug"/>
    <x v="4"/>
    <x v="2"/>
    <n v="59264.417399999998"/>
    <n v="29"/>
    <x v="0"/>
    <n v="1723.01"/>
    <n v="2197.42"/>
    <n v="9297.1273999999994"/>
    <s v="New"/>
    <n v="7.0000000000000007E-2"/>
    <s v="Bank Transfer"/>
    <s v="Retail"/>
    <x v="17"/>
  </r>
  <r>
    <n v="1063"/>
    <x v="291"/>
    <d v="2023-08-15T00:00:00"/>
    <x v="1"/>
    <s v="Aug"/>
    <x v="3"/>
    <x v="1"/>
    <n v="36950.667000000001"/>
    <n v="26"/>
    <x v="3"/>
    <n v="1046.96"/>
    <n v="1528.15"/>
    <n v="9729.7069999999985"/>
    <s v="New"/>
    <n v="7.0000000000000007E-2"/>
    <s v="Credit Card"/>
    <s v="Retail"/>
    <x v="16"/>
  </r>
  <r>
    <n v="1059"/>
    <x v="329"/>
    <d v="2023-08-16T00:00:00"/>
    <x v="1"/>
    <s v="Aug"/>
    <x v="3"/>
    <x v="2"/>
    <n v="66919.640241919609"/>
    <n v="21"/>
    <x v="1"/>
    <n v="3110.54"/>
    <n v="3192.99"/>
    <n v="1731.4499999999962"/>
    <s v="New"/>
    <n v="0"/>
    <s v="Credit Card"/>
    <s v="Online"/>
    <x v="9"/>
  </r>
  <r>
    <n v="1014"/>
    <x v="98"/>
    <d v="2023-08-16T00:00:00"/>
    <x v="1"/>
    <s v="Aug"/>
    <x v="4"/>
    <x v="0"/>
    <n v="16652.48"/>
    <n v="26"/>
    <x v="0"/>
    <n v="433.19"/>
    <n v="800.6"/>
    <n v="5389.5400000000009"/>
    <s v="Returning"/>
    <n v="0.2"/>
    <s v="Cash"/>
    <s v="Online"/>
    <x v="13"/>
  </r>
  <r>
    <n v="1086"/>
    <x v="82"/>
    <d v="2023-08-16T00:00:00"/>
    <x v="1"/>
    <s v="Aug"/>
    <x v="3"/>
    <x v="1"/>
    <n v="133926.08383249506"/>
    <n v="48"/>
    <x v="3"/>
    <n v="2632.58"/>
    <n v="2926.68"/>
    <n v="7092.7679999999818"/>
    <s v="Returning"/>
    <n v="0.05"/>
    <s v="Cash"/>
    <s v="Online"/>
    <x v="16"/>
  </r>
  <r>
    <n v="1016"/>
    <x v="305"/>
    <d v="2023-08-17T00:00:00"/>
    <x v="1"/>
    <s v="Aug"/>
    <x v="0"/>
    <x v="2"/>
    <n v="3927.8231999999994"/>
    <n v="7"/>
    <x v="3"/>
    <n v="282.94"/>
    <n v="779.32999999999993"/>
    <n v="1947.2431999999994"/>
    <s v="Returning"/>
    <n v="0.28000000000000003"/>
    <s v="Credit Card"/>
    <s v="Online"/>
    <x v="2"/>
  </r>
  <r>
    <n v="1007"/>
    <x v="205"/>
    <d v="2023-08-17T00:00:00"/>
    <x v="1"/>
    <s v="Aug"/>
    <x v="0"/>
    <x v="1"/>
    <n v="72555.154000669965"/>
    <n v="16"/>
    <x v="0"/>
    <n v="4310.3100000000004"/>
    <n v="4633.1000000000004"/>
    <n v="3682.0479999999952"/>
    <s v="New"/>
    <n v="0.02"/>
    <s v="Credit Card"/>
    <s v="Retail"/>
    <x v="19"/>
  </r>
  <r>
    <n v="1060"/>
    <x v="366"/>
    <d v="2023-08-17T00:00:00"/>
    <x v="1"/>
    <s v="Aug"/>
    <x v="2"/>
    <x v="1"/>
    <n v="68334.719582288322"/>
    <n v="16"/>
    <x v="1"/>
    <n v="3975.99"/>
    <n v="4422.59"/>
    <n v="5022.7568000000028"/>
    <s v="New"/>
    <n v="0.03"/>
    <s v="Cash"/>
    <s v="Online"/>
    <x v="8"/>
  </r>
  <r>
    <n v="1022"/>
    <x v="79"/>
    <d v="2023-08-17T00:00:00"/>
    <x v="1"/>
    <s v="Aug"/>
    <x v="1"/>
    <x v="0"/>
    <n v="59413.889579657698"/>
    <n v="21"/>
    <x v="3"/>
    <n v="2537.1999999999998"/>
    <n v="2869.6"/>
    <n v="6377.7840000000033"/>
    <s v="New"/>
    <n v="0.01"/>
    <s v="Bank Transfer"/>
    <s v="Retail"/>
    <x v="10"/>
  </r>
  <r>
    <n v="1009"/>
    <x v="355"/>
    <d v="2023-08-17T00:00:00"/>
    <x v="1"/>
    <s v="Aug"/>
    <x v="2"/>
    <x v="2"/>
    <n v="26966.652900000005"/>
    <n v="33"/>
    <x v="1"/>
    <n v="450.72"/>
    <n v="918.17000000000007"/>
    <n v="12092.892900000003"/>
    <s v="Returning"/>
    <n v="0.11"/>
    <s v="Cash"/>
    <s v="Online"/>
    <x v="14"/>
  </r>
  <r>
    <n v="1090"/>
    <x v="37"/>
    <d v="2023-08-19T00:00:00"/>
    <x v="1"/>
    <s v="Aug"/>
    <x v="2"/>
    <x v="2"/>
    <n v="75264.844200000007"/>
    <n v="31"/>
    <x v="1"/>
    <n v="2347.81"/>
    <n v="2668.02"/>
    <n v="2482.7342000000044"/>
    <s v="Returning"/>
    <n v="0.09"/>
    <s v="Bank Transfer"/>
    <s v="Retail"/>
    <x v="14"/>
  </r>
  <r>
    <n v="1005"/>
    <x v="43"/>
    <d v="2023-08-20T00:00:00"/>
    <x v="1"/>
    <s v="Aug"/>
    <x v="2"/>
    <x v="3"/>
    <n v="101197.95"/>
    <n v="21"/>
    <x v="3"/>
    <n v="4376.37"/>
    <n v="4818.95"/>
    <n v="9294.1799999999985"/>
    <s v="New"/>
    <n v="0"/>
    <s v="Credit Card"/>
    <s v="Retail"/>
    <x v="3"/>
  </r>
  <r>
    <n v="1072"/>
    <x v="352"/>
    <d v="2023-08-21T00:00:00"/>
    <x v="1"/>
    <s v="Aug"/>
    <x v="3"/>
    <x v="2"/>
    <n v="10201.9944"/>
    <n v="12"/>
    <x v="1"/>
    <n v="710.99"/>
    <n v="876.46"/>
    <n v="1670.1143999999999"/>
    <s v="Returning"/>
    <n v="0.03"/>
    <s v="Credit Card"/>
    <s v="Online"/>
    <x v="9"/>
  </r>
  <r>
    <n v="1080"/>
    <x v="49"/>
    <d v="2023-08-21T00:00:00"/>
    <x v="1"/>
    <s v="Aug"/>
    <x v="4"/>
    <x v="0"/>
    <n v="30111.26356607546"/>
    <n v="12"/>
    <x v="2"/>
    <n v="2316.13"/>
    <n v="2525.27"/>
    <n v="2206.6475999999984"/>
    <s v="Returning"/>
    <n v="0.01"/>
    <s v="Credit Card"/>
    <s v="Retail"/>
    <x v="13"/>
  </r>
  <r>
    <n v="1050"/>
    <x v="31"/>
    <d v="2023-08-21T00:00:00"/>
    <x v="1"/>
    <s v="Aug"/>
    <x v="4"/>
    <x v="3"/>
    <n v="44251.92240192389"/>
    <n v="17"/>
    <x v="0"/>
    <n v="2346.8000000000002"/>
    <n v="2654.65"/>
    <n v="4330.8690000000006"/>
    <s v="New"/>
    <n v="0.02"/>
    <s v="Cash"/>
    <s v="Retail"/>
    <x v="12"/>
  </r>
  <r>
    <n v="1092"/>
    <x v="1"/>
    <d v="2023-08-22T00:00:00"/>
    <x v="1"/>
    <s v="Aug"/>
    <x v="4"/>
    <x v="1"/>
    <n v="52839.670400000003"/>
    <n v="29"/>
    <x v="1"/>
    <n v="1742.24"/>
    <n v="2070.52"/>
    <n v="2314.7104000000027"/>
    <s v="New"/>
    <n v="0.12"/>
    <s v="Cash"/>
    <s v="Online"/>
    <x v="6"/>
  </r>
  <r>
    <n v="1027"/>
    <x v="182"/>
    <d v="2023-08-23T00:00:00"/>
    <x v="1"/>
    <s v="Aug"/>
    <x v="2"/>
    <x v="1"/>
    <n v="1820.1899999999998"/>
    <n v="4"/>
    <x v="2"/>
    <n v="282.61"/>
    <n v="548.25"/>
    <n v="689.74999999999977"/>
    <s v="New"/>
    <n v="0.17"/>
    <s v="Credit Card"/>
    <s v="Online"/>
    <x v="8"/>
  </r>
  <r>
    <n v="1036"/>
    <x v="301"/>
    <d v="2023-08-23T00:00:00"/>
    <x v="1"/>
    <s v="Aug"/>
    <x v="4"/>
    <x v="1"/>
    <n v="65887.124229703477"/>
    <n v="25"/>
    <x v="3"/>
    <n v="2520.9699999999998"/>
    <n v="2707.1099999999997"/>
    <n v="2623.1674999999996"/>
    <s v="New"/>
    <n v="0.03"/>
    <s v="Cash"/>
    <s v="Retail"/>
    <x v="6"/>
  </r>
  <r>
    <n v="1079"/>
    <x v="271"/>
    <d v="2023-08-24T00:00:00"/>
    <x v="1"/>
    <s v="Aug"/>
    <x v="3"/>
    <x v="3"/>
    <n v="31041.445660764155"/>
    <n v="8"/>
    <x v="1"/>
    <n v="3808.23"/>
    <n v="3891.62"/>
    <n v="667.11999999999898"/>
    <s v="Returning"/>
    <n v="0"/>
    <s v="Bank Transfer"/>
    <s v="Online"/>
    <x v="4"/>
  </r>
  <r>
    <n v="1089"/>
    <x v="111"/>
    <d v="2023-08-24T00:00:00"/>
    <x v="1"/>
    <s v="Aug"/>
    <x v="0"/>
    <x v="3"/>
    <n v="18209.811048497315"/>
    <n v="4"/>
    <x v="0"/>
    <n v="4231.75"/>
    <n v="4727.75"/>
    <n v="1227.5599999999977"/>
    <s v="Returning"/>
    <n v="0.04"/>
    <s v="Credit Card"/>
    <s v="Retail"/>
    <x v="5"/>
  </r>
  <r>
    <n v="1072"/>
    <x v="352"/>
    <d v="2023-08-24T00:00:00"/>
    <x v="1"/>
    <s v="Aug"/>
    <x v="2"/>
    <x v="0"/>
    <n v="170757.40499999997"/>
    <n v="39"/>
    <x v="1"/>
    <n v="4330.03"/>
    <n v="4467.75"/>
    <n v="1886.2349999999915"/>
    <s v="New"/>
    <n v="0.02"/>
    <s v="Credit Card"/>
    <s v="Retail"/>
    <x v="18"/>
  </r>
  <r>
    <n v="1095"/>
    <x v="323"/>
    <d v="2023-08-24T00:00:00"/>
    <x v="1"/>
    <s v="Aug"/>
    <x v="2"/>
    <x v="2"/>
    <n v="17985.240000000002"/>
    <n v="20"/>
    <x v="3"/>
    <n v="729.27"/>
    <n v="999.18000000000006"/>
    <n v="3399.8400000000015"/>
    <s v="New"/>
    <n v="0.1"/>
    <s v="Bank Transfer"/>
    <s v="Online"/>
    <x v="14"/>
  </r>
  <r>
    <n v="1080"/>
    <x v="349"/>
    <d v="2023-08-24T00:00:00"/>
    <x v="1"/>
    <s v="Aug"/>
    <x v="2"/>
    <x v="2"/>
    <n v="50147.341199999995"/>
    <n v="17"/>
    <x v="0"/>
    <n v="2742.67"/>
    <n v="2979.64"/>
    <n v="3521.9511999999936"/>
    <s v="Returning"/>
    <n v="0.01"/>
    <s v="Cash"/>
    <s v="Retail"/>
    <x v="14"/>
  </r>
  <r>
    <n v="1075"/>
    <x v="149"/>
    <d v="2023-08-24T00:00:00"/>
    <x v="1"/>
    <s v="Aug"/>
    <x v="1"/>
    <x v="2"/>
    <n v="49322.716800000002"/>
    <n v="42"/>
    <x v="1"/>
    <n v="967.77"/>
    <n v="1414.88"/>
    <n v="8676.3768000000018"/>
    <s v="New"/>
    <n v="0.17"/>
    <s v="Bank Transfer"/>
    <s v="Online"/>
    <x v="15"/>
  </r>
  <r>
    <n v="1072"/>
    <x v="249"/>
    <d v="2023-08-25T00:00:00"/>
    <x v="1"/>
    <s v="Aug"/>
    <x v="1"/>
    <x v="0"/>
    <n v="18435.168958577542"/>
    <n v="12"/>
    <x v="3"/>
    <n v="1517.4"/>
    <n v="1545.02"/>
    <n v="146.03759999999875"/>
    <s v="New"/>
    <n v="0.01"/>
    <s v="Bank Transfer"/>
    <s v="Retail"/>
    <x v="10"/>
  </r>
  <r>
    <n v="1032"/>
    <x v="386"/>
    <d v="2023-08-25T00:00:00"/>
    <x v="1"/>
    <s v="Aug"/>
    <x v="2"/>
    <x v="3"/>
    <n v="107874.75401422144"/>
    <n v="23"/>
    <x v="2"/>
    <n v="4673.1899999999996"/>
    <n v="4761.1799999999994"/>
    <n v="928.69860000000244"/>
    <s v="Returning"/>
    <n v="0.01"/>
    <s v="Credit Card"/>
    <s v="Retail"/>
    <x v="3"/>
  </r>
  <r>
    <n v="1041"/>
    <x v="175"/>
    <d v="2023-08-25T00:00:00"/>
    <x v="1"/>
    <s v="Aug"/>
    <x v="2"/>
    <x v="0"/>
    <n v="52319.353256430957"/>
    <n v="31"/>
    <x v="3"/>
    <n v="1604.52"/>
    <n v="1756.34"/>
    <n v="2528.5583999999981"/>
    <s v="Returning"/>
    <n v="0.04"/>
    <s v="Cash"/>
    <s v="Retail"/>
    <x v="18"/>
  </r>
  <r>
    <n v="1024"/>
    <x v="290"/>
    <d v="2023-08-25T00:00:00"/>
    <x v="1"/>
    <s v="Aug"/>
    <x v="4"/>
    <x v="0"/>
    <n v="82340.795877829296"/>
    <n v="42"/>
    <x v="2"/>
    <n v="1586.02"/>
    <n v="2047.13"/>
    <n v="15927.441599999998"/>
    <s v="New"/>
    <n v="0.04"/>
    <s v="Cash"/>
    <s v="Retail"/>
    <x v="13"/>
  </r>
  <r>
    <n v="1099"/>
    <x v="168"/>
    <d v="2023-08-26T00:00:00"/>
    <x v="1"/>
    <s v="Aug"/>
    <x v="4"/>
    <x v="2"/>
    <n v="42206.919606150834"/>
    <n v="17"/>
    <x v="3"/>
    <n v="2471.73"/>
    <n v="2568.73"/>
    <n v="338.94769999999744"/>
    <s v="New"/>
    <n v="0.03"/>
    <s v="Cash"/>
    <s v="Retail"/>
    <x v="17"/>
  </r>
  <r>
    <n v="1021"/>
    <x v="176"/>
    <d v="2023-08-27T00:00:00"/>
    <x v="1"/>
    <s v="Aug"/>
    <x v="0"/>
    <x v="3"/>
    <n v="10831.2871458476"/>
    <n v="19"/>
    <x v="1"/>
    <n v="444.05"/>
    <n v="584.44000000000005"/>
    <n v="2445.3228000000004"/>
    <s v="Returning"/>
    <n v="0.02"/>
    <s v="Cash"/>
    <s v="Retail"/>
    <x v="5"/>
  </r>
  <r>
    <n v="1019"/>
    <x v="32"/>
    <d v="2023-08-27T00:00:00"/>
    <x v="1"/>
    <s v="Aug"/>
    <x v="1"/>
    <x v="3"/>
    <n v="68329.509669545703"/>
    <n v="18"/>
    <x v="3"/>
    <n v="3591.14"/>
    <n v="3822.99"/>
    <n v="3485.1618000000017"/>
    <s v="Returning"/>
    <n v="0.01"/>
    <s v="Credit Card"/>
    <s v="Online"/>
    <x v="7"/>
  </r>
  <r>
    <n v="1008"/>
    <x v="95"/>
    <d v="2023-08-27T00:00:00"/>
    <x v="1"/>
    <s v="Aug"/>
    <x v="4"/>
    <x v="0"/>
    <n v="117628.67311629378"/>
    <n v="40"/>
    <x v="1"/>
    <n v="2687.49"/>
    <n v="3001.56"/>
    <n v="10161.552000000011"/>
    <s v="Returning"/>
    <n v="0.02"/>
    <s v="Bank Transfer"/>
    <s v="Online"/>
    <x v="13"/>
  </r>
  <r>
    <n v="1099"/>
    <x v="16"/>
    <d v="2023-08-29T00:00:00"/>
    <x v="1"/>
    <s v="Aug"/>
    <x v="3"/>
    <x v="2"/>
    <n v="220426.97000228212"/>
    <n v="44"/>
    <x v="1"/>
    <n v="4933.1099999999997"/>
    <n v="5245.86"/>
    <n v="2220.1079999999747"/>
    <s v="Returning"/>
    <n v="0.05"/>
    <s v="Bank Transfer"/>
    <s v="Retail"/>
    <x v="9"/>
  </r>
  <r>
    <n v="1042"/>
    <x v="397"/>
    <d v="2023-08-29T00:00:00"/>
    <x v="1"/>
    <s v="Aug"/>
    <x v="0"/>
    <x v="0"/>
    <n v="37840.9375313934"/>
    <n v="27"/>
    <x v="1"/>
    <n v="1139.45"/>
    <n v="1454.41"/>
    <n v="6933.1571999999996"/>
    <s v="Returning"/>
    <n v="0.04"/>
    <s v="Bank Transfer"/>
    <s v="Online"/>
    <x v="0"/>
  </r>
  <r>
    <n v="1033"/>
    <x v="202"/>
    <d v="2023-08-30T00:00:00"/>
    <x v="1"/>
    <s v="Aug"/>
    <x v="2"/>
    <x v="1"/>
    <n v="8139.6070000000009"/>
    <n v="14"/>
    <x v="3"/>
    <n v="504.3"/>
    <n v="735.95"/>
    <n v="1079.4070000000011"/>
    <s v="Returning"/>
    <n v="0.21"/>
    <s v="Cash"/>
    <s v="Retail"/>
    <x v="8"/>
  </r>
  <r>
    <n v="1077"/>
    <x v="172"/>
    <d v="2023-08-30T00:00:00"/>
    <x v="1"/>
    <s v="Aug"/>
    <x v="3"/>
    <x v="2"/>
    <n v="5372.5899999999992"/>
    <n v="25"/>
    <x v="2"/>
    <n v="61.5"/>
    <n v="258.91999999999996"/>
    <n v="3835.0899999999988"/>
    <s v="New"/>
    <n v="0.17"/>
    <s v="Credit Card"/>
    <s v="Online"/>
    <x v="9"/>
  </r>
  <r>
    <n v="1018"/>
    <x v="303"/>
    <d v="2023-08-31T00:00:00"/>
    <x v="1"/>
    <s v="Aug"/>
    <x v="3"/>
    <x v="1"/>
    <n v="2333.0278661066859"/>
    <n v="1"/>
    <x v="2"/>
    <n v="2315.83"/>
    <n v="2333.19"/>
    <n v="17.360000000000127"/>
    <s v="New"/>
    <n v="0"/>
    <s v="Cash"/>
    <s v="Retail"/>
    <x v="16"/>
  </r>
  <r>
    <n v="1026"/>
    <x v="314"/>
    <d v="2023-08-31T00:00:00"/>
    <x v="1"/>
    <s v="Aug"/>
    <x v="3"/>
    <x v="1"/>
    <n v="34184.980000000003"/>
    <n v="25"/>
    <x v="2"/>
    <n v="1156.8800000000001"/>
    <n v="1454.68"/>
    <n v="5262.9799999999987"/>
    <s v="Returning"/>
    <n v="0.06"/>
    <s v="Credit Card"/>
    <s v="Online"/>
    <x v="16"/>
  </r>
  <r>
    <n v="1092"/>
    <x v="370"/>
    <d v="2023-08-31T00:00:00"/>
    <x v="1"/>
    <s v="Aug"/>
    <x v="0"/>
    <x v="0"/>
    <n v="209420.73164298874"/>
    <n v="47"/>
    <x v="3"/>
    <n v="4284.9799999999996"/>
    <n v="4462.3999999999996"/>
    <n v="8338.7400000000034"/>
    <s v="New"/>
    <n v="0"/>
    <s v="Credit Card"/>
    <s v="Retail"/>
    <x v="0"/>
  </r>
  <r>
    <n v="1028"/>
    <x v="392"/>
    <d v="2023-08-31T00:00:00"/>
    <x v="1"/>
    <s v="Aug"/>
    <x v="0"/>
    <x v="3"/>
    <n v="66928.481892538868"/>
    <n v="28"/>
    <x v="0"/>
    <n v="2055.2800000000002"/>
    <n v="2449.6400000000003"/>
    <n v="9670.2816000000039"/>
    <s v="New"/>
    <n v="0.02"/>
    <s v="Credit Card"/>
    <s v="Online"/>
    <x v="5"/>
  </r>
  <r>
    <n v="1059"/>
    <x v="388"/>
    <d v="2023-08-31T00:00:00"/>
    <x v="1"/>
    <s v="Aug"/>
    <x v="3"/>
    <x v="3"/>
    <n v="129123.03600000001"/>
    <n v="35"/>
    <x v="3"/>
    <n v="3333.64"/>
    <n v="3764.52"/>
    <n v="12445.63600000001"/>
    <s v="Returning"/>
    <n v="0.02"/>
    <s v="Credit Card"/>
    <s v="Online"/>
    <x v="4"/>
  </r>
  <r>
    <n v="1086"/>
    <x v="338"/>
    <d v="2023-09-01T00:00:00"/>
    <x v="1"/>
    <s v="Sep"/>
    <x v="1"/>
    <x v="2"/>
    <n v="70208.036012416705"/>
    <n v="17"/>
    <x v="2"/>
    <n v="4075.08"/>
    <n v="4262.21"/>
    <n v="1007.4829000000072"/>
    <s v="New"/>
    <n v="0.03"/>
    <s v="Cash"/>
    <s v="Online"/>
    <x v="15"/>
  </r>
  <r>
    <n v="1019"/>
    <x v="63"/>
    <d v="2023-09-01T00:00:00"/>
    <x v="1"/>
    <s v="Sep"/>
    <x v="4"/>
    <x v="2"/>
    <n v="6078.1344000000008"/>
    <n v="16"/>
    <x v="1"/>
    <n v="97.24"/>
    <n v="487.03000000000003"/>
    <n v="4522.2944000000007"/>
    <s v="New"/>
    <n v="0.22"/>
    <s v="Bank Transfer"/>
    <s v="Retail"/>
    <x v="17"/>
  </r>
  <r>
    <n v="1058"/>
    <x v="345"/>
    <d v="2023-09-02T00:00:00"/>
    <x v="1"/>
    <s v="Sep"/>
    <x v="4"/>
    <x v="0"/>
    <n v="8314.7084999999988"/>
    <n v="9"/>
    <x v="0"/>
    <n v="760.55"/>
    <n v="1086.8899999999999"/>
    <n v="1469.7584999999992"/>
    <s v="Returning"/>
    <n v="0.15"/>
    <s v="Cash"/>
    <s v="Retail"/>
    <x v="13"/>
  </r>
  <r>
    <n v="1023"/>
    <x v="361"/>
    <d v="2023-09-03T00:00:00"/>
    <x v="1"/>
    <s v="Sep"/>
    <x v="4"/>
    <x v="0"/>
    <n v="153141.12"/>
    <n v="32"/>
    <x v="2"/>
    <n v="4775.04"/>
    <n v="4785.66"/>
    <n v="339.83999999999651"/>
    <s v="New"/>
    <n v="0"/>
    <s v="Cash"/>
    <s v="Online"/>
    <x v="13"/>
  </r>
  <r>
    <n v="1055"/>
    <x v="77"/>
    <d v="2023-09-03T00:00:00"/>
    <x v="1"/>
    <s v="Sep"/>
    <x v="1"/>
    <x v="2"/>
    <n v="34297.662058414993"/>
    <n v="12"/>
    <x v="2"/>
    <n v="2538.61"/>
    <n v="2971.75"/>
    <n v="3771.24"/>
    <s v="Returning"/>
    <n v="0.04"/>
    <s v="Cash"/>
    <s v="Online"/>
    <x v="15"/>
  </r>
  <r>
    <n v="1081"/>
    <x v="85"/>
    <d v="2023-09-04T00:00:00"/>
    <x v="1"/>
    <s v="Sep"/>
    <x v="3"/>
    <x v="3"/>
    <n v="31947.966000000004"/>
    <n v="23"/>
    <x v="2"/>
    <n v="1236.25"/>
    <n v="1543.38"/>
    <n v="3514.2160000000031"/>
    <s v="New"/>
    <n v="0.1"/>
    <s v="Bank Transfer"/>
    <s v="Online"/>
    <x v="4"/>
  </r>
  <r>
    <n v="1068"/>
    <x v="396"/>
    <d v="2023-09-04T00:00:00"/>
    <x v="1"/>
    <s v="Sep"/>
    <x v="0"/>
    <x v="1"/>
    <n v="19538.360799999999"/>
    <n v="14"/>
    <x v="3"/>
    <n v="1140.58"/>
    <n v="1438.76"/>
    <n v="3570.2408"/>
    <s v="Returning"/>
    <n v="0.03"/>
    <s v="Bank Transfer"/>
    <s v="Online"/>
    <x v="19"/>
  </r>
  <r>
    <n v="1091"/>
    <x v="14"/>
    <d v="2023-09-04T00:00:00"/>
    <x v="1"/>
    <s v="Sep"/>
    <x v="1"/>
    <x v="0"/>
    <n v="99536.148799999995"/>
    <n v="44"/>
    <x v="3"/>
    <n v="2085.46"/>
    <n v="2406.58"/>
    <n v="7775.9087999999938"/>
    <s v="Returning"/>
    <n v="0.06"/>
    <s v="Bank Transfer"/>
    <s v="Retail"/>
    <x v="10"/>
  </r>
  <r>
    <n v="1020"/>
    <x v="235"/>
    <d v="2023-09-06T00:00:00"/>
    <x v="1"/>
    <s v="Sep"/>
    <x v="1"/>
    <x v="1"/>
    <n v="14981.428148372093"/>
    <n v="4"/>
    <x v="1"/>
    <n v="3730"/>
    <n v="3893.6"/>
    <n v="31.423999999999069"/>
    <s v="New"/>
    <n v="0.04"/>
    <s v="Bank Transfer"/>
    <s v="Retail"/>
    <x v="1"/>
  </r>
  <r>
    <n v="1020"/>
    <x v="235"/>
    <d v="2023-09-06T00:00:00"/>
    <x v="1"/>
    <s v="Sep"/>
    <x v="2"/>
    <x v="1"/>
    <n v="99536.934044170586"/>
    <n v="45"/>
    <x v="1"/>
    <n v="2188.4499999999998"/>
    <n v="2255.0499999999997"/>
    <n v="967.45499999999083"/>
    <s v="New"/>
    <n v="0.02"/>
    <s v="Bank Transfer"/>
    <s v="Retail"/>
    <x v="8"/>
  </r>
  <r>
    <n v="1067"/>
    <x v="191"/>
    <d v="2023-09-07T00:00:00"/>
    <x v="1"/>
    <s v="Sep"/>
    <x v="2"/>
    <x v="3"/>
    <n v="65570.17224152296"/>
    <n v="37"/>
    <x v="1"/>
    <n v="1754.32"/>
    <n v="1856.3999999999999"/>
    <n v="342.61999999999125"/>
    <s v="New"/>
    <n v="0.05"/>
    <s v="Bank Transfer"/>
    <s v="Retail"/>
    <x v="3"/>
  </r>
  <r>
    <n v="1013"/>
    <x v="15"/>
    <d v="2023-09-07T00:00:00"/>
    <x v="1"/>
    <s v="Sep"/>
    <x v="3"/>
    <x v="2"/>
    <n v="17314.208000000002"/>
    <n v="16"/>
    <x v="0"/>
    <n v="919.58"/>
    <n v="1258.3000000000002"/>
    <n v="2600.9280000000017"/>
    <s v="Returning"/>
    <n v="0.14000000000000001"/>
    <s v="Bank Transfer"/>
    <s v="Online"/>
    <x v="9"/>
  </r>
  <r>
    <n v="1019"/>
    <x v="215"/>
    <d v="2023-09-07T00:00:00"/>
    <x v="1"/>
    <s v="Sep"/>
    <x v="2"/>
    <x v="2"/>
    <n v="68372.878705571842"/>
    <n v="27"/>
    <x v="2"/>
    <n v="2387.52"/>
    <n v="2604.06"/>
    <n v="3737.2914000000019"/>
    <s v="Returning"/>
    <n v="0.03"/>
    <s v="Cash"/>
    <s v="Online"/>
    <x v="14"/>
  </r>
  <r>
    <n v="1087"/>
    <x v="328"/>
    <d v="2023-09-08T00:00:00"/>
    <x v="1"/>
    <s v="Sep"/>
    <x v="1"/>
    <x v="3"/>
    <n v="4643.9639999999999"/>
    <n v="20"/>
    <x v="1"/>
    <n v="193.27"/>
    <n v="297.69"/>
    <n v="778.56400000000008"/>
    <s v="New"/>
    <n v="0.22"/>
    <s v="Cash"/>
    <s v="Online"/>
    <x v="7"/>
  </r>
  <r>
    <n v="1089"/>
    <x v="111"/>
    <d v="2023-09-08T00:00:00"/>
    <x v="1"/>
    <s v="Sep"/>
    <x v="2"/>
    <x v="2"/>
    <n v="164397.31636332773"/>
    <n v="40"/>
    <x v="0"/>
    <n v="4089.66"/>
    <n v="4275.96"/>
    <n v="610.46399999999267"/>
    <s v="New"/>
    <n v="0.04"/>
    <s v="Credit Card"/>
    <s v="Online"/>
    <x v="14"/>
  </r>
  <r>
    <n v="1005"/>
    <x v="253"/>
    <d v="2023-09-08T00:00:00"/>
    <x v="1"/>
    <s v="Sep"/>
    <x v="0"/>
    <x v="3"/>
    <n v="43609.770396213236"/>
    <n v="9"/>
    <x v="2"/>
    <n v="4737.0600000000004"/>
    <n v="4869.5"/>
    <n v="1191.9599999999964"/>
    <s v="New"/>
    <n v="0"/>
    <s v="Cash"/>
    <s v="Online"/>
    <x v="5"/>
  </r>
  <r>
    <n v="1020"/>
    <x v="235"/>
    <d v="2023-09-08T00:00:00"/>
    <x v="1"/>
    <s v="Sep"/>
    <x v="0"/>
    <x v="3"/>
    <n v="122790.61079999999"/>
    <n v="26"/>
    <x v="1"/>
    <n v="4472.3500000000004"/>
    <n v="4770.42"/>
    <n v="6509.5107999999891"/>
    <s v="New"/>
    <n v="0.01"/>
    <s v="Credit Card"/>
    <s v="Retail"/>
    <x v="5"/>
  </r>
  <r>
    <n v="1046"/>
    <x v="263"/>
    <d v="2023-09-08T00:00:00"/>
    <x v="1"/>
    <s v="Sep"/>
    <x v="3"/>
    <x v="3"/>
    <n v="18713.903999999999"/>
    <n v="30"/>
    <x v="0"/>
    <n v="320.73"/>
    <n v="678.04"/>
    <n v="9092.003999999999"/>
    <s v="Returning"/>
    <n v="0.08"/>
    <s v="Cash"/>
    <s v="Retail"/>
    <x v="4"/>
  </r>
  <r>
    <n v="1003"/>
    <x v="66"/>
    <d v="2023-09-11T00:00:00"/>
    <x v="1"/>
    <s v="Sep"/>
    <x v="4"/>
    <x v="1"/>
    <n v="94887.686943289067"/>
    <n v="22"/>
    <x v="3"/>
    <n v="4218.43"/>
    <n v="4331.42"/>
    <n v="2485.7799999999952"/>
    <s v="New"/>
    <n v="0"/>
    <s v="Bank Transfer"/>
    <s v="Online"/>
    <x v="6"/>
  </r>
  <r>
    <n v="1096"/>
    <x v="339"/>
    <d v="2023-09-11T00:00:00"/>
    <x v="1"/>
    <s v="Sep"/>
    <x v="0"/>
    <x v="0"/>
    <n v="17805.794999999998"/>
    <n v="23"/>
    <x v="2"/>
    <n v="608.57000000000005"/>
    <n v="1032.22"/>
    <n v="3808.6849999999981"/>
    <s v="New"/>
    <n v="0.25"/>
    <s v="Cash"/>
    <s v="Retail"/>
    <x v="0"/>
  </r>
  <r>
    <n v="1014"/>
    <x v="98"/>
    <d v="2023-09-12T00:00:00"/>
    <x v="1"/>
    <s v="Sep"/>
    <x v="1"/>
    <x v="1"/>
    <n v="31604.126400000001"/>
    <n v="48"/>
    <x v="0"/>
    <n v="556.72"/>
    <n v="665.07"/>
    <n v="4881.5663999999997"/>
    <s v="Returning"/>
    <n v="0.01"/>
    <s v="Bank Transfer"/>
    <s v="Retail"/>
    <x v="1"/>
  </r>
  <r>
    <n v="1037"/>
    <x v="93"/>
    <d v="2023-09-13T00:00:00"/>
    <x v="1"/>
    <s v="Sep"/>
    <x v="2"/>
    <x v="0"/>
    <n v="10138.289999999999"/>
    <n v="5"/>
    <x v="0"/>
    <n v="1941.56"/>
    <n v="2385.48"/>
    <n v="430.48999999999978"/>
    <s v="Returning"/>
    <n v="0.15"/>
    <s v="Credit Card"/>
    <s v="Online"/>
    <x v="18"/>
  </r>
  <r>
    <n v="1003"/>
    <x v="317"/>
    <d v="2023-09-14T00:00:00"/>
    <x v="1"/>
    <s v="Sep"/>
    <x v="2"/>
    <x v="2"/>
    <n v="49559.754525932585"/>
    <n v="15"/>
    <x v="1"/>
    <n v="3286.24"/>
    <n v="3388.8399999999997"/>
    <n v="14.021999999999935"/>
    <s v="Returning"/>
    <n v="0.03"/>
    <s v="Credit Card"/>
    <s v="Retail"/>
    <x v="14"/>
  </r>
  <r>
    <n v="1074"/>
    <x v="107"/>
    <d v="2023-09-14T00:00:00"/>
    <x v="1"/>
    <s v="Sep"/>
    <x v="4"/>
    <x v="0"/>
    <n v="11482.085999999999"/>
    <n v="29"/>
    <x v="0"/>
    <n v="173.67"/>
    <n v="565.62"/>
    <n v="6445.655999999999"/>
    <s v="Returning"/>
    <n v="0.3"/>
    <s v="Cash"/>
    <s v="Online"/>
    <x v="13"/>
  </r>
  <r>
    <n v="1090"/>
    <x v="37"/>
    <d v="2023-09-14T00:00:00"/>
    <x v="1"/>
    <s v="Sep"/>
    <x v="1"/>
    <x v="2"/>
    <n v="120679.6722154478"/>
    <n v="47"/>
    <x v="1"/>
    <n v="2357.9499999999998"/>
    <n v="2693.33"/>
    <n v="9433.5344999999925"/>
    <s v="New"/>
    <n v="0.05"/>
    <s v="Bank Transfer"/>
    <s v="Online"/>
    <x v="15"/>
  </r>
  <r>
    <n v="1001"/>
    <x v="212"/>
    <d v="2023-09-14T00:00:00"/>
    <x v="1"/>
    <s v="Sep"/>
    <x v="0"/>
    <x v="0"/>
    <n v="110326.01576581399"/>
    <n v="39"/>
    <x v="3"/>
    <n v="2437.2600000000002"/>
    <n v="2889.67"/>
    <n v="15390.047399999994"/>
    <s v="Returning"/>
    <n v="0.02"/>
    <s v="Cash"/>
    <s v="Online"/>
    <x v="0"/>
  </r>
  <r>
    <n v="1054"/>
    <x v="351"/>
    <d v="2023-09-15T00:00:00"/>
    <x v="1"/>
    <s v="Sep"/>
    <x v="2"/>
    <x v="0"/>
    <n v="76781.012470102884"/>
    <n v="16"/>
    <x v="2"/>
    <n v="4557.79"/>
    <n v="5043.3599999999997"/>
    <n v="3734.4319999999861"/>
    <s v="Returning"/>
    <n v="0.05"/>
    <s v="Credit Card"/>
    <s v="Retail"/>
    <x v="18"/>
  </r>
  <r>
    <n v="1006"/>
    <x v="70"/>
    <d v="2023-09-16T00:00:00"/>
    <x v="1"/>
    <s v="Sep"/>
    <x v="2"/>
    <x v="3"/>
    <n v="141848.728"/>
    <n v="49"/>
    <x v="3"/>
    <n v="2843.76"/>
    <n v="3146.6000000000004"/>
    <n v="2504.4880000000039"/>
    <s v="New"/>
    <n v="0.08"/>
    <s v="Cash"/>
    <s v="Retail"/>
    <x v="3"/>
  </r>
  <r>
    <n v="1012"/>
    <x v="90"/>
    <d v="2023-09-16T00:00:00"/>
    <x v="1"/>
    <s v="Sep"/>
    <x v="4"/>
    <x v="0"/>
    <n v="32504.806699999997"/>
    <n v="19"/>
    <x v="2"/>
    <n v="1427.42"/>
    <n v="1763.69"/>
    <n v="5383.8266999999969"/>
    <s v="New"/>
    <n v="0.03"/>
    <s v="Cash"/>
    <s v="Retail"/>
    <x v="13"/>
  </r>
  <r>
    <n v="1100"/>
    <x v="198"/>
    <d v="2023-09-17T00:00:00"/>
    <x v="1"/>
    <s v="Sep"/>
    <x v="1"/>
    <x v="3"/>
    <n v="7816.3670999999995"/>
    <n v="17"/>
    <x v="2"/>
    <n v="83.64"/>
    <n v="528.49"/>
    <n v="6394.4871000000003"/>
    <s v="New"/>
    <n v="0.13"/>
    <s v="Credit Card"/>
    <s v="Online"/>
    <x v="7"/>
  </r>
  <r>
    <n v="1093"/>
    <x v="10"/>
    <d v="2023-09-18T00:00:00"/>
    <x v="1"/>
    <s v="Sep"/>
    <x v="4"/>
    <x v="2"/>
    <n v="72933.769822259317"/>
    <n v="19"/>
    <x v="2"/>
    <n v="3808.59"/>
    <n v="3844.51"/>
    <n v="682.48000000000138"/>
    <s v="New"/>
    <n v="0"/>
    <s v="Credit Card"/>
    <s v="Online"/>
    <x v="17"/>
  </r>
  <r>
    <n v="1057"/>
    <x v="232"/>
    <d v="2023-09-18T00:00:00"/>
    <x v="1"/>
    <s v="Sep"/>
    <x v="1"/>
    <x v="2"/>
    <n v="49679.63"/>
    <n v="25"/>
    <x v="3"/>
    <n v="1821.91"/>
    <n v="2027.74"/>
    <n v="4131.8799999999956"/>
    <s v="New"/>
    <n v="0.02"/>
    <s v="Bank Transfer"/>
    <s v="Retail"/>
    <x v="15"/>
  </r>
  <r>
    <n v="1008"/>
    <x v="173"/>
    <d v="2023-09-18T00:00:00"/>
    <x v="1"/>
    <s v="Sep"/>
    <x v="1"/>
    <x v="0"/>
    <n v="34808.576000000001"/>
    <n v="32"/>
    <x v="3"/>
    <n v="921.32"/>
    <n v="1236.0999999999999"/>
    <n v="5326.3359999999993"/>
    <s v="New"/>
    <n v="0.12"/>
    <s v="Credit Card"/>
    <s v="Online"/>
    <x v="10"/>
  </r>
  <r>
    <n v="1006"/>
    <x v="299"/>
    <d v="2023-09-18T00:00:00"/>
    <x v="1"/>
    <s v="Sep"/>
    <x v="4"/>
    <x v="2"/>
    <n v="78577.33196816995"/>
    <n v="45"/>
    <x v="0"/>
    <n v="1623.63"/>
    <n v="1814.63"/>
    <n v="5328.6660000000011"/>
    <s v="New"/>
    <n v="0.04"/>
    <s v="Bank Transfer"/>
    <s v="Retail"/>
    <x v="17"/>
  </r>
  <r>
    <n v="1085"/>
    <x v="11"/>
    <d v="2023-09-18T00:00:00"/>
    <x v="1"/>
    <s v="Sep"/>
    <x v="0"/>
    <x v="1"/>
    <n v="174856.85397688064"/>
    <n v="40"/>
    <x v="1"/>
    <n v="4083.23"/>
    <n v="4521.57"/>
    <n v="12107.715999999982"/>
    <s v="New"/>
    <n v="0.03"/>
    <s v="Bank Transfer"/>
    <s v="Retail"/>
    <x v="19"/>
  </r>
  <r>
    <n v="1037"/>
    <x v="13"/>
    <d v="2023-09-19T00:00:00"/>
    <x v="1"/>
    <s v="Sep"/>
    <x v="3"/>
    <x v="0"/>
    <n v="25714.701162268033"/>
    <n v="17"/>
    <x v="2"/>
    <n v="1308.58"/>
    <n v="1575.59"/>
    <n v="3467.7687999999998"/>
    <s v="New"/>
    <n v="0.04"/>
    <s v="Cash"/>
    <s v="Online"/>
    <x v="11"/>
  </r>
  <r>
    <n v="1039"/>
    <x v="277"/>
    <d v="2023-09-19T00:00:00"/>
    <x v="1"/>
    <s v="Sep"/>
    <x v="2"/>
    <x v="0"/>
    <n v="22428.358399999997"/>
    <n v="28"/>
    <x v="1"/>
    <n v="666.84"/>
    <n v="817.36"/>
    <n v="3756.8383999999983"/>
    <s v="Returning"/>
    <n v="0.02"/>
    <s v="Cash"/>
    <s v="Retail"/>
    <x v="18"/>
  </r>
  <r>
    <n v="1025"/>
    <x v="381"/>
    <d v="2023-09-19T00:00:00"/>
    <x v="1"/>
    <s v="Sep"/>
    <x v="3"/>
    <x v="1"/>
    <n v="56611.476147547706"/>
    <n v="26"/>
    <x v="2"/>
    <n v="2007.32"/>
    <n v="2202.87"/>
    <n v="4511.5538000000033"/>
    <s v="Returning"/>
    <n v="0.01"/>
    <s v="Cash"/>
    <s v="Online"/>
    <x v="16"/>
  </r>
  <r>
    <n v="1019"/>
    <x v="63"/>
    <d v="2023-09-19T00:00:00"/>
    <x v="1"/>
    <s v="Sep"/>
    <x v="1"/>
    <x v="2"/>
    <n v="129796.69499999998"/>
    <n v="45"/>
    <x v="1"/>
    <n v="2590.64"/>
    <n v="3036.18"/>
    <n v="13217.89499999999"/>
    <s v="New"/>
    <n v="0.05"/>
    <s v="Bank Transfer"/>
    <s v="Retail"/>
    <x v="15"/>
  </r>
  <r>
    <n v="1097"/>
    <x v="42"/>
    <d v="2023-09-20T00:00:00"/>
    <x v="1"/>
    <s v="Sep"/>
    <x v="4"/>
    <x v="3"/>
    <n v="80379.97080027443"/>
    <n v="45"/>
    <x v="1"/>
    <n v="1525.13"/>
    <n v="1868.3200000000002"/>
    <n v="12080.574000000002"/>
    <s v="Returning"/>
    <n v="0.04"/>
    <s v="Cash"/>
    <s v="Retail"/>
    <x v="12"/>
  </r>
  <r>
    <n v="1084"/>
    <x v="103"/>
    <d v="2023-09-21T00:00:00"/>
    <x v="1"/>
    <s v="Sep"/>
    <x v="0"/>
    <x v="0"/>
    <n v="53415.511286239169"/>
    <n v="36"/>
    <x v="0"/>
    <n v="1458.77"/>
    <n v="1485.75"/>
    <n v="971.28000000000065"/>
    <s v="New"/>
    <n v="0"/>
    <s v="Credit Card"/>
    <s v="Online"/>
    <x v="0"/>
  </r>
  <r>
    <n v="1015"/>
    <x v="144"/>
    <d v="2023-09-21T00:00:00"/>
    <x v="1"/>
    <s v="Sep"/>
    <x v="4"/>
    <x v="0"/>
    <n v="8913.6"/>
    <n v="30"/>
    <x v="3"/>
    <n v="261.56"/>
    <n v="371.4"/>
    <n v="1066.8000000000002"/>
    <s v="Returning"/>
    <n v="0.2"/>
    <s v="Bank Transfer"/>
    <s v="Retail"/>
    <x v="13"/>
  </r>
  <r>
    <n v="1062"/>
    <x v="109"/>
    <d v="2023-09-21T00:00:00"/>
    <x v="1"/>
    <s v="Sep"/>
    <x v="4"/>
    <x v="3"/>
    <n v="175256.88114675699"/>
    <n v="37"/>
    <x v="2"/>
    <n v="4658.4399999999996"/>
    <n v="4823.5"/>
    <n v="2537.8300000000054"/>
    <s v="Returning"/>
    <n v="0.02"/>
    <s v="Credit Card"/>
    <s v="Online"/>
    <x v="12"/>
  </r>
  <r>
    <n v="1061"/>
    <x v="363"/>
    <d v="2023-09-21T00:00:00"/>
    <x v="1"/>
    <s v="Sep"/>
    <x v="1"/>
    <x v="0"/>
    <n v="74749.15475756154"/>
    <n v="25"/>
    <x v="3"/>
    <n v="2747.66"/>
    <n v="3027.0099999999998"/>
    <n v="6226.9974999999931"/>
    <s v="New"/>
    <n v="0.01"/>
    <s v="Cash"/>
    <s v="Online"/>
    <x v="10"/>
  </r>
  <r>
    <n v="1076"/>
    <x v="142"/>
    <d v="2023-09-21T00:00:00"/>
    <x v="1"/>
    <s v="Sep"/>
    <x v="2"/>
    <x v="3"/>
    <n v="51916.673295182729"/>
    <n v="26"/>
    <x v="2"/>
    <n v="1762"/>
    <n v="2002.95"/>
    <n v="6264.7000000000007"/>
    <s v="Returning"/>
    <n v="0"/>
    <s v="Credit Card"/>
    <s v="Retail"/>
    <x v="3"/>
  </r>
  <r>
    <n v="1015"/>
    <x v="275"/>
    <d v="2023-09-22T00:00:00"/>
    <x v="1"/>
    <s v="Sep"/>
    <x v="4"/>
    <x v="0"/>
    <n v="98674.083199999994"/>
    <n v="22"/>
    <x v="2"/>
    <n v="4275.59"/>
    <n v="4576.72"/>
    <n v="4611.1031999999923"/>
    <s v="Returning"/>
    <n v="0.02"/>
    <s v="Cash"/>
    <s v="Retail"/>
    <x v="13"/>
  </r>
  <r>
    <n v="1093"/>
    <x v="161"/>
    <d v="2023-09-23T00:00:00"/>
    <x v="1"/>
    <s v="Sep"/>
    <x v="1"/>
    <x v="3"/>
    <n v="42532.015286443646"/>
    <n v="40"/>
    <x v="0"/>
    <n v="1047.25"/>
    <n v="1075.8900000000001"/>
    <n v="715.24400000000242"/>
    <s v="New"/>
    <n v="0.01"/>
    <s v="Credit Card"/>
    <s v="Retail"/>
    <x v="7"/>
  </r>
  <r>
    <n v="1100"/>
    <x v="198"/>
    <d v="2023-09-23T00:00:00"/>
    <x v="1"/>
    <s v="Sep"/>
    <x v="1"/>
    <x v="3"/>
    <n v="37752.422400000003"/>
    <n v="19"/>
    <x v="2"/>
    <n v="1820.89"/>
    <n v="2257.92"/>
    <n v="3155.5124000000005"/>
    <s v="New"/>
    <n v="0.12"/>
    <s v="Cash"/>
    <s v="Retail"/>
    <x v="7"/>
  </r>
  <r>
    <n v="1036"/>
    <x v="92"/>
    <d v="2023-09-23T00:00:00"/>
    <x v="1"/>
    <s v="Sep"/>
    <x v="2"/>
    <x v="3"/>
    <n v="166492.96608789871"/>
    <n v="42"/>
    <x v="0"/>
    <n v="3549.43"/>
    <n v="3967.6899999999996"/>
    <n v="17566.919999999991"/>
    <s v="New"/>
    <n v="0"/>
    <s v="Bank Transfer"/>
    <s v="Online"/>
    <x v="3"/>
  </r>
  <r>
    <n v="1005"/>
    <x v="43"/>
    <d v="2023-09-24T00:00:00"/>
    <x v="1"/>
    <s v="Sep"/>
    <x v="0"/>
    <x v="0"/>
    <n v="2083.482"/>
    <n v="6"/>
    <x v="3"/>
    <n v="122.5"/>
    <n v="385.83"/>
    <n v="1348.482"/>
    <s v="Returning"/>
    <n v="0.1"/>
    <s v="Cash"/>
    <s v="Retail"/>
    <x v="0"/>
  </r>
  <r>
    <n v="1097"/>
    <x v="306"/>
    <d v="2023-09-24T00:00:00"/>
    <x v="1"/>
    <s v="Sep"/>
    <x v="3"/>
    <x v="1"/>
    <n v="39175.279872866937"/>
    <n v="9"/>
    <x v="3"/>
    <n v="4067.28"/>
    <n v="4548.09"/>
    <n v="2689.9775999999988"/>
    <s v="Returning"/>
    <n v="0.04"/>
    <s v="Credit Card"/>
    <s v="Retail"/>
    <x v="16"/>
  </r>
  <r>
    <n v="1015"/>
    <x v="147"/>
    <d v="2023-09-24T00:00:00"/>
    <x v="1"/>
    <s v="Sep"/>
    <x v="2"/>
    <x v="1"/>
    <n v="125809.25028907537"/>
    <n v="35"/>
    <x v="1"/>
    <n v="3461.15"/>
    <n v="3631.75"/>
    <n v="4699.8874999999935"/>
    <s v="Returning"/>
    <n v="0.01"/>
    <s v="Credit Card"/>
    <s v="Online"/>
    <x v="8"/>
  </r>
  <r>
    <n v="1046"/>
    <x v="150"/>
    <d v="2023-09-24T00:00:00"/>
    <x v="1"/>
    <s v="Sep"/>
    <x v="1"/>
    <x v="2"/>
    <n v="82394.038575701081"/>
    <n v="41"/>
    <x v="1"/>
    <n v="1825.37"/>
    <n v="2073.88"/>
    <n v="7638.0376000000078"/>
    <s v="Returning"/>
    <n v="0.03"/>
    <s v="Cash"/>
    <s v="Retail"/>
    <x v="15"/>
  </r>
  <r>
    <n v="1089"/>
    <x v="26"/>
    <d v="2023-09-24T00:00:00"/>
    <x v="1"/>
    <s v="Sep"/>
    <x v="2"/>
    <x v="0"/>
    <n v="115754.67839999998"/>
    <n v="48"/>
    <x v="3"/>
    <n v="2246.67"/>
    <n v="2486.14"/>
    <n v="7914.518399999979"/>
    <s v="New"/>
    <n v="0.03"/>
    <s v="Cash"/>
    <s v="Retail"/>
    <x v="18"/>
  </r>
  <r>
    <n v="1039"/>
    <x v="113"/>
    <d v="2023-09-25T00:00:00"/>
    <x v="1"/>
    <s v="Sep"/>
    <x v="0"/>
    <x v="2"/>
    <n v="153307.56805578544"/>
    <n v="37"/>
    <x v="2"/>
    <n v="4127.05"/>
    <n v="4313.45"/>
    <n v="512.89399999996931"/>
    <s v="New"/>
    <n v="0.04"/>
    <s v="Cash"/>
    <s v="Online"/>
    <x v="2"/>
  </r>
  <r>
    <n v="1066"/>
    <x v="346"/>
    <d v="2023-09-25T00:00:00"/>
    <x v="1"/>
    <s v="Sep"/>
    <x v="0"/>
    <x v="1"/>
    <n v="62797.376799999998"/>
    <n v="47"/>
    <x v="3"/>
    <n v="1319.24"/>
    <n v="1805.56"/>
    <n v="793.09679999999639"/>
    <s v="New"/>
    <n v="0.26"/>
    <s v="Credit Card"/>
    <s v="Retail"/>
    <x v="19"/>
  </r>
  <r>
    <n v="1018"/>
    <x v="320"/>
    <d v="2023-09-26T00:00:00"/>
    <x v="1"/>
    <s v="Sep"/>
    <x v="4"/>
    <x v="1"/>
    <n v="20406.055"/>
    <n v="25"/>
    <x v="0"/>
    <n v="739.63"/>
    <n v="1103.03"/>
    <n v="1915.3050000000007"/>
    <s v="New"/>
    <n v="0.26"/>
    <s v="Bank Transfer"/>
    <s v="Retail"/>
    <x v="6"/>
  </r>
  <r>
    <n v="1090"/>
    <x v="159"/>
    <d v="2023-09-26T00:00:00"/>
    <x v="1"/>
    <s v="Sep"/>
    <x v="0"/>
    <x v="3"/>
    <n v="4981.6557999999995"/>
    <n v="11"/>
    <x v="2"/>
    <n v="210.33"/>
    <n v="552.29"/>
    <n v="2668.0257999999994"/>
    <s v="Returning"/>
    <n v="0.18"/>
    <s v="Cash"/>
    <s v="Retail"/>
    <x v="5"/>
  </r>
  <r>
    <n v="1006"/>
    <x v="70"/>
    <d v="2023-09-26T00:00:00"/>
    <x v="1"/>
    <s v="Sep"/>
    <x v="2"/>
    <x v="1"/>
    <n v="66607.02413289524"/>
    <n v="14"/>
    <x v="3"/>
    <n v="4503.7299999999996"/>
    <n v="4879.8799999999992"/>
    <n v="3216.5503999999873"/>
    <s v="New"/>
    <n v="0.03"/>
    <s v="Bank Transfer"/>
    <s v="Retail"/>
    <x v="8"/>
  </r>
  <r>
    <n v="1058"/>
    <x v="188"/>
    <d v="2023-09-27T00:00:00"/>
    <x v="1"/>
    <s v="Sep"/>
    <x v="0"/>
    <x v="2"/>
    <n v="105354.41004070538"/>
    <n v="29"/>
    <x v="2"/>
    <n v="3578.77"/>
    <n v="3635.02"/>
    <n v="1631.25"/>
    <s v="New"/>
    <n v="0"/>
    <s v="Bank Transfer"/>
    <s v="Retail"/>
    <x v="2"/>
  </r>
  <r>
    <n v="1088"/>
    <x v="25"/>
    <d v="2023-09-27T00:00:00"/>
    <x v="1"/>
    <s v="Sep"/>
    <x v="0"/>
    <x v="3"/>
    <n v="55396.139844030942"/>
    <n v="12"/>
    <x v="1"/>
    <n v="4389.24"/>
    <n v="4856.2199999999993"/>
    <n v="2690.0279999999875"/>
    <s v="Returning"/>
    <n v="0.05"/>
    <s v="Cash"/>
    <s v="Retail"/>
    <x v="5"/>
  </r>
  <r>
    <n v="1047"/>
    <x v="137"/>
    <d v="2023-09-27T00:00:00"/>
    <x v="1"/>
    <s v="Sep"/>
    <x v="0"/>
    <x v="3"/>
    <n v="20121.254400000002"/>
    <n v="32"/>
    <x v="2"/>
    <n v="367.98"/>
    <n v="806.1400000000001"/>
    <n v="8345.894400000001"/>
    <s v="Returning"/>
    <n v="0.22"/>
    <s v="Credit Card"/>
    <s v="Retail"/>
    <x v="5"/>
  </r>
  <r>
    <n v="1049"/>
    <x v="297"/>
    <d v="2023-09-28T00:00:00"/>
    <x v="1"/>
    <s v="Sep"/>
    <x v="3"/>
    <x v="2"/>
    <n v="152016.17609268404"/>
    <n v="44"/>
    <x v="0"/>
    <n v="3351.33"/>
    <n v="3465.35"/>
    <n v="5016.8799999999992"/>
    <s v="Returning"/>
    <n v="0"/>
    <s v="Bank Transfer"/>
    <s v="Online"/>
    <x v="9"/>
  </r>
  <r>
    <n v="1004"/>
    <x v="260"/>
    <d v="2023-09-28T00:00:00"/>
    <x v="1"/>
    <s v="Sep"/>
    <x v="0"/>
    <x v="0"/>
    <n v="124769.28085090994"/>
    <n v="27"/>
    <x v="1"/>
    <n v="4354.6000000000004"/>
    <n v="4820.2000000000007"/>
    <n v="7365.38400000001"/>
    <s v="New"/>
    <n v="0.04"/>
    <s v="Credit Card"/>
    <s v="Retail"/>
    <x v="0"/>
  </r>
  <r>
    <n v="1036"/>
    <x v="242"/>
    <d v="2023-09-29T00:00:00"/>
    <x v="1"/>
    <s v="Sep"/>
    <x v="2"/>
    <x v="3"/>
    <n v="19625.51280787183"/>
    <n v="7"/>
    <x v="1"/>
    <n v="2588.67"/>
    <n v="2847.76"/>
    <n v="1414.9436000000019"/>
    <s v="New"/>
    <n v="0.02"/>
    <s v="Cash"/>
    <s v="Retail"/>
    <x v="3"/>
  </r>
  <r>
    <n v="1048"/>
    <x v="280"/>
    <d v="2023-09-30T00:00:00"/>
    <x v="1"/>
    <s v="Sep"/>
    <x v="1"/>
    <x v="3"/>
    <n v="11642.039999999999"/>
    <n v="4"/>
    <x v="0"/>
    <n v="2900.14"/>
    <n v="2910.5099999999998"/>
    <n v="41.479999999999563"/>
    <s v="New"/>
    <n v="0"/>
    <s v="Credit Card"/>
    <s v="Retail"/>
    <x v="7"/>
  </r>
  <r>
    <n v="1023"/>
    <x v="134"/>
    <d v="2023-09-30T00:00:00"/>
    <x v="1"/>
    <s v="Sep"/>
    <x v="1"/>
    <x v="3"/>
    <n v="14370.244075749039"/>
    <n v="8"/>
    <x v="0"/>
    <n v="1563.78"/>
    <n v="1829.1599999999999"/>
    <n v="1830.3743999999988"/>
    <s v="Returning"/>
    <n v="0.02"/>
    <s v="Cash"/>
    <s v="Online"/>
    <x v="7"/>
  </r>
  <r>
    <n v="1084"/>
    <x v="61"/>
    <d v="2023-09-30T00:00:00"/>
    <x v="1"/>
    <s v="Sep"/>
    <x v="3"/>
    <x v="1"/>
    <n v="8478.6239999999998"/>
    <n v="30"/>
    <x v="3"/>
    <n v="169"/>
    <n v="381.91999999999996"/>
    <n v="3408.6239999999993"/>
    <s v="Returning"/>
    <n v="0.26"/>
    <s v="Cash"/>
    <s v="Retail"/>
    <x v="16"/>
  </r>
  <r>
    <n v="1077"/>
    <x v="172"/>
    <d v="2023-10-01T00:00:00"/>
    <x v="1"/>
    <s v="Oct"/>
    <x v="3"/>
    <x v="2"/>
    <n v="19581.317991025328"/>
    <n v="5"/>
    <x v="2"/>
    <n v="3650.89"/>
    <n v="3930.06"/>
    <n v="1395.8500000000004"/>
    <s v="New"/>
    <n v="0"/>
    <s v="Bank Transfer"/>
    <s v="Online"/>
    <x v="9"/>
  </r>
  <r>
    <n v="1091"/>
    <x v="36"/>
    <d v="2023-10-01T00:00:00"/>
    <x v="1"/>
    <s v="Oct"/>
    <x v="0"/>
    <x v="1"/>
    <n v="27813.941999999999"/>
    <n v="15"/>
    <x v="2"/>
    <n v="1534.7"/>
    <n v="1972.6200000000001"/>
    <n v="4793.4419999999991"/>
    <s v="Returning"/>
    <n v="0.06"/>
    <s v="Credit Card"/>
    <s v="Retail"/>
    <x v="19"/>
  </r>
  <r>
    <n v="1093"/>
    <x v="10"/>
    <d v="2023-10-01T00:00:00"/>
    <x v="1"/>
    <s v="Oct"/>
    <x v="0"/>
    <x v="1"/>
    <n v="65021.219999999994"/>
    <n v="22"/>
    <x v="2"/>
    <n v="2593.64"/>
    <n v="2955.5099999999998"/>
    <n v="7961.1399999999976"/>
    <s v="Returning"/>
    <n v="0"/>
    <s v="Bank Transfer"/>
    <s v="Retail"/>
    <x v="19"/>
  </r>
  <r>
    <n v="1093"/>
    <x v="10"/>
    <d v="2023-10-02T00:00:00"/>
    <x v="1"/>
    <s v="Oct"/>
    <x v="2"/>
    <x v="2"/>
    <n v="64645.07229591121"/>
    <n v="43"/>
    <x v="2"/>
    <n v="1486.76"/>
    <n v="1505.44"/>
    <n v="803.24000000000274"/>
    <s v="New"/>
    <n v="0"/>
    <s v="Cash"/>
    <s v="Retail"/>
    <x v="14"/>
  </r>
  <r>
    <n v="1053"/>
    <x v="4"/>
    <d v="2023-10-02T00:00:00"/>
    <x v="1"/>
    <s v="Oct"/>
    <x v="4"/>
    <x v="1"/>
    <n v="117132.8027017046"/>
    <n v="29"/>
    <x v="2"/>
    <n v="3741.3"/>
    <n v="4061.04"/>
    <n v="8094.7583999999933"/>
    <s v="Returning"/>
    <n v="0.01"/>
    <s v="Credit Card"/>
    <s v="Online"/>
    <x v="6"/>
  </r>
  <r>
    <n v="1079"/>
    <x v="244"/>
    <d v="2023-10-04T00:00:00"/>
    <x v="1"/>
    <s v="Oct"/>
    <x v="0"/>
    <x v="1"/>
    <n v="60780.392337976249"/>
    <n v="12"/>
    <x v="3"/>
    <n v="4754.0200000000004"/>
    <n v="5080.7400000000007"/>
    <n v="3920.6400000000031"/>
    <s v="New"/>
    <n v="0"/>
    <s v="Cash"/>
    <s v="Online"/>
    <x v="19"/>
  </r>
  <r>
    <n v="1088"/>
    <x v="96"/>
    <d v="2023-10-04T00:00:00"/>
    <x v="1"/>
    <s v="Oct"/>
    <x v="2"/>
    <x v="1"/>
    <n v="200785.18020540185"/>
    <n v="40"/>
    <x v="2"/>
    <n v="4904.93"/>
    <n v="5034.3500000000004"/>
    <n v="5176.8000000000029"/>
    <s v="New"/>
    <n v="0"/>
    <s v="Credit Card"/>
    <s v="Retail"/>
    <x v="8"/>
  </r>
  <r>
    <n v="1063"/>
    <x v="291"/>
    <d v="2023-10-05T00:00:00"/>
    <x v="1"/>
    <s v="Oct"/>
    <x v="3"/>
    <x v="0"/>
    <n v="57009.571199999991"/>
    <n v="27"/>
    <x v="3"/>
    <n v="2069.08"/>
    <n v="2246.2399999999998"/>
    <n v="1144.4111999999895"/>
    <s v="New"/>
    <n v="0.06"/>
    <s v="Bank Transfer"/>
    <s v="Retail"/>
    <x v="11"/>
  </r>
  <r>
    <n v="1066"/>
    <x v="394"/>
    <d v="2023-10-05T00:00:00"/>
    <x v="1"/>
    <s v="Oct"/>
    <x v="3"/>
    <x v="0"/>
    <n v="19977.170400000003"/>
    <n v="4"/>
    <x v="0"/>
    <n v="4596.68"/>
    <n v="5044.7400000000007"/>
    <n v="1590.4504000000015"/>
    <s v="New"/>
    <n v="0.01"/>
    <s v="Bank Transfer"/>
    <s v="Online"/>
    <x v="11"/>
  </r>
  <r>
    <n v="1051"/>
    <x v="213"/>
    <d v="2023-10-07T00:00:00"/>
    <x v="1"/>
    <s v="Oct"/>
    <x v="2"/>
    <x v="2"/>
    <n v="10675.724393900637"/>
    <n v="3"/>
    <x v="0"/>
    <n v="3434.75"/>
    <n v="3659.42"/>
    <n v="344.66220000000021"/>
    <s v="New"/>
    <n v="0.03"/>
    <s v="Cash"/>
    <s v="Online"/>
    <x v="14"/>
  </r>
  <r>
    <n v="1060"/>
    <x v="245"/>
    <d v="2023-10-07T00:00:00"/>
    <x v="1"/>
    <s v="Oct"/>
    <x v="3"/>
    <x v="0"/>
    <n v="17224.143399999997"/>
    <n v="23"/>
    <x v="2"/>
    <n v="647.70000000000005"/>
    <n v="902.26"/>
    <n v="2327.0433999999968"/>
    <s v="New"/>
    <n v="0.17"/>
    <s v="Bank Transfer"/>
    <s v="Online"/>
    <x v="11"/>
  </r>
  <r>
    <n v="1032"/>
    <x v="151"/>
    <d v="2023-10-08T00:00:00"/>
    <x v="1"/>
    <s v="Oct"/>
    <x v="0"/>
    <x v="1"/>
    <n v="22658.828236299763"/>
    <n v="11"/>
    <x v="3"/>
    <n v="2025.67"/>
    <n v="2081.5500000000002"/>
    <n v="385.70949999999948"/>
    <s v="New"/>
    <n v="0.01"/>
    <s v="Bank Transfer"/>
    <s v="Online"/>
    <x v="19"/>
  </r>
  <r>
    <n v="1001"/>
    <x v="8"/>
    <d v="2023-10-08T00:00:00"/>
    <x v="1"/>
    <s v="Oct"/>
    <x v="2"/>
    <x v="2"/>
    <n v="108064.1925"/>
    <n v="33"/>
    <x v="0"/>
    <n v="2933.54"/>
    <n v="3307.75"/>
    <n v="11257.372500000005"/>
    <s v="Returning"/>
    <n v="0.01"/>
    <s v="Bank Transfer"/>
    <s v="Retail"/>
    <x v="14"/>
  </r>
  <r>
    <n v="1095"/>
    <x v="40"/>
    <d v="2023-10-09T00:00:00"/>
    <x v="1"/>
    <s v="Oct"/>
    <x v="4"/>
    <x v="3"/>
    <n v="13093.105199999998"/>
    <n v="21"/>
    <x v="1"/>
    <n v="621.04999999999995"/>
    <n v="820.36999999999989"/>
    <n v="51.055199999999786"/>
    <s v="Returning"/>
    <n v="0.24"/>
    <s v="Bank Transfer"/>
    <s v="Online"/>
    <x v="12"/>
  </r>
  <r>
    <n v="1062"/>
    <x v="109"/>
    <d v="2023-10-09T00:00:00"/>
    <x v="1"/>
    <s v="Oct"/>
    <x v="2"/>
    <x v="1"/>
    <n v="6427.9139999999998"/>
    <n v="4"/>
    <x v="2"/>
    <n v="1581.59"/>
    <n v="2034.1499999999999"/>
    <n v="101.55400000000009"/>
    <s v="Returning"/>
    <n v="0.21"/>
    <s v="Cash"/>
    <s v="Online"/>
    <x v="8"/>
  </r>
  <r>
    <n v="1075"/>
    <x v="149"/>
    <d v="2023-10-09T00:00:00"/>
    <x v="1"/>
    <s v="Oct"/>
    <x v="1"/>
    <x v="2"/>
    <n v="42005.4444"/>
    <n v="18"/>
    <x v="1"/>
    <n v="2228.35"/>
    <n v="2682.34"/>
    <n v="1895.144400000002"/>
    <s v="New"/>
    <n v="0.13"/>
    <s v="Bank Transfer"/>
    <s v="Online"/>
    <x v="15"/>
  </r>
  <r>
    <n v="1052"/>
    <x v="86"/>
    <d v="2023-10-09T00:00:00"/>
    <x v="1"/>
    <s v="Oct"/>
    <x v="4"/>
    <x v="2"/>
    <n v="70565.788799999995"/>
    <n v="41"/>
    <x v="2"/>
    <n v="1509.98"/>
    <n v="1792.83"/>
    <n v="8656.6087999999909"/>
    <s v="New"/>
    <n v="0.04"/>
    <s v="Cash"/>
    <s v="Retail"/>
    <x v="17"/>
  </r>
  <r>
    <n v="1001"/>
    <x v="8"/>
    <d v="2023-10-10T00:00:00"/>
    <x v="1"/>
    <s v="Oct"/>
    <x v="4"/>
    <x v="2"/>
    <n v="49903.394400000005"/>
    <n v="18"/>
    <x v="0"/>
    <n v="2602.6"/>
    <n v="3013.49"/>
    <n v="3056.5944000000036"/>
    <s v="Returning"/>
    <n v="0.08"/>
    <s v="Bank Transfer"/>
    <s v="Online"/>
    <x v="17"/>
  </r>
  <r>
    <n v="1019"/>
    <x v="215"/>
    <d v="2023-10-11T00:00:00"/>
    <x v="1"/>
    <s v="Oct"/>
    <x v="0"/>
    <x v="0"/>
    <n v="95702.006399999998"/>
    <n v="32"/>
    <x v="2"/>
    <n v="2866.47"/>
    <n v="3286.47"/>
    <n v="3974.9664000000048"/>
    <s v="New"/>
    <n v="0.09"/>
    <s v="Credit Card"/>
    <s v="Online"/>
    <x v="0"/>
  </r>
  <r>
    <n v="1019"/>
    <x v="63"/>
    <d v="2023-10-12T00:00:00"/>
    <x v="1"/>
    <s v="Oct"/>
    <x v="1"/>
    <x v="2"/>
    <n v="79928.800000000003"/>
    <n v="16"/>
    <x v="1"/>
    <n v="4977.78"/>
    <n v="4995.55"/>
    <n v="284.32000000000698"/>
    <s v="New"/>
    <n v="0"/>
    <s v="Credit Card"/>
    <s v="Online"/>
    <x v="15"/>
  </r>
  <r>
    <n v="1077"/>
    <x v="172"/>
    <d v="2023-10-12T00:00:00"/>
    <x v="1"/>
    <s v="Oct"/>
    <x v="4"/>
    <x v="0"/>
    <n v="13429.628699999999"/>
    <n v="23"/>
    <x v="2"/>
    <n v="557.52"/>
    <n v="822.39"/>
    <n v="606.66869999999949"/>
    <s v="Returning"/>
    <n v="0.28999999999999998"/>
    <s v="Credit Card"/>
    <s v="Online"/>
    <x v="13"/>
  </r>
  <r>
    <n v="1032"/>
    <x v="311"/>
    <d v="2023-10-12T00:00:00"/>
    <x v="1"/>
    <s v="Oct"/>
    <x v="3"/>
    <x v="3"/>
    <n v="23127.566700000003"/>
    <n v="17"/>
    <x v="1"/>
    <n v="1291.9100000000001"/>
    <n v="1528.5900000000001"/>
    <n v="1165.096700000001"/>
    <s v="Returning"/>
    <n v="0.11"/>
    <s v="Credit Card"/>
    <s v="Retail"/>
    <x v="4"/>
  </r>
  <r>
    <n v="1010"/>
    <x v="29"/>
    <d v="2023-10-12T00:00:00"/>
    <x v="1"/>
    <s v="Oct"/>
    <x v="1"/>
    <x v="3"/>
    <n v="87743.566897626268"/>
    <n v="20"/>
    <x v="0"/>
    <n v="4298.74"/>
    <n v="4475.1899999999996"/>
    <n v="1738.9239999999882"/>
    <s v="Returning"/>
    <n v="0.02"/>
    <s v="Cash"/>
    <s v="Online"/>
    <x v="7"/>
  </r>
  <r>
    <n v="1052"/>
    <x v="86"/>
    <d v="2023-10-12T00:00:00"/>
    <x v="1"/>
    <s v="Oct"/>
    <x v="4"/>
    <x v="3"/>
    <n v="146339.05614239146"/>
    <n v="46"/>
    <x v="2"/>
    <n v="3136.42"/>
    <n v="3198.4900000000002"/>
    <n v="1383.914600000011"/>
    <s v="Returning"/>
    <n v="0.01"/>
    <s v="Cash"/>
    <s v="Retail"/>
    <x v="12"/>
  </r>
  <r>
    <n v="1089"/>
    <x v="111"/>
    <d v="2023-10-12T00:00:00"/>
    <x v="1"/>
    <s v="Oct"/>
    <x v="4"/>
    <x v="0"/>
    <n v="96142.277499999997"/>
    <n v="25"/>
    <x v="0"/>
    <n v="3512.69"/>
    <n v="3964.63"/>
    <n v="8325.0274999999983"/>
    <s v="Returning"/>
    <n v="0.03"/>
    <s v="Credit Card"/>
    <s v="Retail"/>
    <x v="13"/>
  </r>
  <r>
    <n v="1008"/>
    <x v="162"/>
    <d v="2023-10-13T00:00:00"/>
    <x v="1"/>
    <s v="Oct"/>
    <x v="0"/>
    <x v="2"/>
    <n v="40138.18261437137"/>
    <n v="24"/>
    <x v="2"/>
    <n v="1542.24"/>
    <n v="1739.45"/>
    <n v="3063.1680000000015"/>
    <s v="Returning"/>
    <n v="0.04"/>
    <s v="Bank Transfer"/>
    <s v="Retail"/>
    <x v="2"/>
  </r>
  <r>
    <n v="1099"/>
    <x v="168"/>
    <d v="2023-10-13T00:00:00"/>
    <x v="1"/>
    <s v="Oct"/>
    <x v="1"/>
    <x v="3"/>
    <n v="31838.545676086291"/>
    <n v="14"/>
    <x v="3"/>
    <n v="1996.64"/>
    <n v="2341.4700000000003"/>
    <n v="3844.2026000000037"/>
    <s v="Returning"/>
    <n v="0.03"/>
    <s v="Credit Card"/>
    <s v="Online"/>
    <x v="7"/>
  </r>
  <r>
    <n v="1002"/>
    <x v="262"/>
    <d v="2023-10-14T00:00:00"/>
    <x v="1"/>
    <s v="Oct"/>
    <x v="4"/>
    <x v="0"/>
    <n v="41180.333999999995"/>
    <n v="39"/>
    <x v="1"/>
    <n v="1004.71"/>
    <n v="1389.35"/>
    <n v="1996.6439999999966"/>
    <s v="New"/>
    <n v="0.24"/>
    <s v="Bank Transfer"/>
    <s v="Online"/>
    <x v="13"/>
  </r>
  <r>
    <n v="1076"/>
    <x v="9"/>
    <d v="2023-10-14T00:00:00"/>
    <x v="1"/>
    <s v="Oct"/>
    <x v="1"/>
    <x v="0"/>
    <n v="43947.903505127804"/>
    <n v="23"/>
    <x v="3"/>
    <n v="1727.78"/>
    <n v="1984.34"/>
    <n v="4075.2871999999961"/>
    <s v="Returning"/>
    <n v="0.04"/>
    <s v="Bank Transfer"/>
    <s v="Online"/>
    <x v="10"/>
  </r>
  <r>
    <n v="1035"/>
    <x v="76"/>
    <d v="2023-10-15T00:00:00"/>
    <x v="1"/>
    <s v="Oct"/>
    <x v="4"/>
    <x v="3"/>
    <n v="630.77820000000008"/>
    <n v="1"/>
    <x v="0"/>
    <n v="610.83000000000004"/>
    <n v="808.69"/>
    <n v="19.948200000000043"/>
    <s v="New"/>
    <n v="0.22"/>
    <s v="Credit Card"/>
    <s v="Online"/>
    <x v="12"/>
  </r>
  <r>
    <n v="1038"/>
    <x v="225"/>
    <d v="2023-10-15T00:00:00"/>
    <x v="1"/>
    <s v="Oct"/>
    <x v="4"/>
    <x v="2"/>
    <n v="85717.953988513516"/>
    <n v="31"/>
    <x v="1"/>
    <n v="2709.84"/>
    <n v="2766.51"/>
    <n v="1756.7700000000023"/>
    <s v="New"/>
    <n v="0"/>
    <s v="Cash"/>
    <s v="Retail"/>
    <x v="17"/>
  </r>
  <r>
    <n v="1048"/>
    <x v="354"/>
    <d v="2023-10-15T00:00:00"/>
    <x v="1"/>
    <s v="Oct"/>
    <x v="1"/>
    <x v="3"/>
    <n v="135175.57822744944"/>
    <n v="42"/>
    <x v="2"/>
    <n v="3139.99"/>
    <n v="3349.37"/>
    <n v="3167.0184000000063"/>
    <s v="Returning"/>
    <n v="0.04"/>
    <s v="Credit Card"/>
    <s v="Retail"/>
    <x v="7"/>
  </r>
  <r>
    <n v="1099"/>
    <x v="288"/>
    <d v="2023-10-15T00:00:00"/>
    <x v="1"/>
    <s v="Oct"/>
    <x v="4"/>
    <x v="1"/>
    <n v="148580.68474658049"/>
    <n v="39"/>
    <x v="2"/>
    <n v="3592.89"/>
    <n v="4004"/>
    <n v="8225.4899999999943"/>
    <s v="New"/>
    <n v="0.05"/>
    <s v="Cash"/>
    <s v="Online"/>
    <x v="6"/>
  </r>
  <r>
    <n v="1025"/>
    <x v="7"/>
    <d v="2023-10-15T00:00:00"/>
    <x v="1"/>
    <s v="Oct"/>
    <x v="4"/>
    <x v="3"/>
    <n v="74078.866399999999"/>
    <n v="44"/>
    <x v="3"/>
    <n v="1485.72"/>
    <n v="1717.97"/>
    <n v="8707.1863999999987"/>
    <s v="New"/>
    <n v="0.02"/>
    <s v="Credit Card"/>
    <s v="Retail"/>
    <x v="12"/>
  </r>
  <r>
    <n v="1069"/>
    <x v="184"/>
    <d v="2023-10-15T00:00:00"/>
    <x v="1"/>
    <s v="Oct"/>
    <x v="2"/>
    <x v="2"/>
    <n v="179395.81759762517"/>
    <n v="46"/>
    <x v="3"/>
    <n v="3663.51"/>
    <n v="4007.9800000000005"/>
    <n v="10314.607600000014"/>
    <s v="New"/>
    <n v="0.03"/>
    <s v="Cash"/>
    <s v="Online"/>
    <x v="14"/>
  </r>
  <r>
    <n v="1090"/>
    <x v="159"/>
    <d v="2023-10-15T00:00:00"/>
    <x v="1"/>
    <s v="Oct"/>
    <x v="1"/>
    <x v="0"/>
    <n v="249625.88639999996"/>
    <n v="48"/>
    <x v="2"/>
    <n v="4766.53"/>
    <n v="5253.07"/>
    <n v="20832.446399999986"/>
    <s v="Returning"/>
    <n v="0.01"/>
    <s v="Bank Transfer"/>
    <s v="Online"/>
    <x v="10"/>
  </r>
  <r>
    <n v="1063"/>
    <x v="33"/>
    <d v="2023-10-16T00:00:00"/>
    <x v="1"/>
    <s v="Oct"/>
    <x v="1"/>
    <x v="3"/>
    <n v="4758.2679798429544"/>
    <n v="4"/>
    <x v="1"/>
    <n v="1134.67"/>
    <n v="1201.3900000000001"/>
    <n v="218.82440000000042"/>
    <s v="New"/>
    <n v="0.01"/>
    <s v="Bank Transfer"/>
    <s v="Retail"/>
    <x v="7"/>
  </r>
  <r>
    <n v="1016"/>
    <x v="193"/>
    <d v="2023-10-16T00:00:00"/>
    <x v="1"/>
    <s v="Oct"/>
    <x v="0"/>
    <x v="2"/>
    <n v="35299.440000000002"/>
    <n v="11"/>
    <x v="2"/>
    <n v="3094.57"/>
    <n v="3565.6000000000004"/>
    <n v="1259.1700000000028"/>
    <s v="Returning"/>
    <n v="0.1"/>
    <s v="Credit Card"/>
    <s v="Retail"/>
    <x v="2"/>
  </r>
  <r>
    <n v="1015"/>
    <x v="144"/>
    <d v="2023-10-16T00:00:00"/>
    <x v="1"/>
    <s v="Oct"/>
    <x v="1"/>
    <x v="3"/>
    <n v="68915.593622480126"/>
    <n v="23"/>
    <x v="3"/>
    <n v="2937.94"/>
    <n v="3007.53"/>
    <n v="1600.5700000000033"/>
    <s v="Returning"/>
    <n v="0"/>
    <s v="Cash"/>
    <s v="Retail"/>
    <x v="7"/>
  </r>
  <r>
    <n v="1061"/>
    <x v="201"/>
    <d v="2023-10-16T00:00:00"/>
    <x v="1"/>
    <s v="Oct"/>
    <x v="0"/>
    <x v="1"/>
    <n v="175653.46717102433"/>
    <n v="37"/>
    <x v="0"/>
    <n v="4651.7700000000004"/>
    <n v="4984.3900000000003"/>
    <n v="3085.8184999999903"/>
    <s v="Returning"/>
    <n v="0.05"/>
    <s v="Cash"/>
    <s v="Retail"/>
    <x v="19"/>
  </r>
  <r>
    <n v="1055"/>
    <x v="395"/>
    <d v="2023-10-16T00:00:00"/>
    <x v="1"/>
    <s v="Oct"/>
    <x v="4"/>
    <x v="1"/>
    <n v="195694.62668423139"/>
    <n v="46"/>
    <x v="1"/>
    <n v="4173.5200000000004"/>
    <n v="4294.8500000000004"/>
    <n v="3605.5489999999772"/>
    <s v="Returning"/>
    <n v="0.01"/>
    <s v="Bank Transfer"/>
    <s v="Retail"/>
    <x v="6"/>
  </r>
  <r>
    <n v="1053"/>
    <x v="265"/>
    <d v="2023-10-16T00:00:00"/>
    <x v="1"/>
    <s v="Oct"/>
    <x v="2"/>
    <x v="3"/>
    <n v="19193.903999999999"/>
    <n v="48"/>
    <x v="0"/>
    <n v="121.19"/>
    <n v="487.65"/>
    <n v="13376.784"/>
    <s v="New"/>
    <n v="0.18"/>
    <s v="Cash"/>
    <s v="Retail"/>
    <x v="3"/>
  </r>
  <r>
    <n v="1051"/>
    <x v="327"/>
    <d v="2023-10-16T00:00:00"/>
    <x v="1"/>
    <s v="Oct"/>
    <x v="3"/>
    <x v="2"/>
    <n v="28665.52"/>
    <n v="43"/>
    <x v="1"/>
    <n v="287.99"/>
    <n v="666.64"/>
    <n v="16281.949999999999"/>
    <s v="Returning"/>
    <n v="0"/>
    <s v="Bank Transfer"/>
    <s v="Online"/>
    <x v="9"/>
  </r>
  <r>
    <n v="1088"/>
    <x v="83"/>
    <d v="2023-10-18T00:00:00"/>
    <x v="1"/>
    <s v="Oct"/>
    <x v="0"/>
    <x v="2"/>
    <n v="48439.372145365975"/>
    <n v="16"/>
    <x v="0"/>
    <n v="3016.9"/>
    <n v="3040.73"/>
    <n v="381.27999999999884"/>
    <s v="New"/>
    <n v="0"/>
    <s v="Bank Transfer"/>
    <s v="Retail"/>
    <x v="2"/>
  </r>
  <r>
    <n v="1098"/>
    <x v="326"/>
    <d v="2023-10-18T00:00:00"/>
    <x v="1"/>
    <s v="Oct"/>
    <x v="0"/>
    <x v="2"/>
    <n v="17351.938103242901"/>
    <n v="21"/>
    <x v="0"/>
    <n v="725.03"/>
    <n v="828.94999999999993"/>
    <n v="2182.3199999999993"/>
    <s v="New"/>
    <n v="0"/>
    <s v="Bank Transfer"/>
    <s v="Online"/>
    <x v="2"/>
  </r>
  <r>
    <n v="1089"/>
    <x v="26"/>
    <d v="2023-10-18T00:00:00"/>
    <x v="1"/>
    <s v="Oct"/>
    <x v="4"/>
    <x v="3"/>
    <n v="63057.753567744017"/>
    <n v="15"/>
    <x v="3"/>
    <n v="3841.05"/>
    <n v="4323.62"/>
    <n v="5292.9209999999966"/>
    <s v="Returning"/>
    <n v="0.03"/>
    <s v="Credit Card"/>
    <s v="Retail"/>
    <x v="12"/>
  </r>
  <r>
    <n v="1059"/>
    <x v="141"/>
    <d v="2023-10-18T00:00:00"/>
    <x v="1"/>
    <s v="Oct"/>
    <x v="3"/>
    <x v="3"/>
    <n v="19821.463199999998"/>
    <n v="28"/>
    <x v="2"/>
    <n v="224.32"/>
    <n v="715.06"/>
    <n v="13540.503199999997"/>
    <s v="Returning"/>
    <n v="0.01"/>
    <s v="Credit Card"/>
    <s v="Online"/>
    <x v="4"/>
  </r>
  <r>
    <n v="1049"/>
    <x v="157"/>
    <d v="2023-10-19T00:00:00"/>
    <x v="1"/>
    <s v="Oct"/>
    <x v="0"/>
    <x v="0"/>
    <n v="141352.9566149789"/>
    <n v="30"/>
    <x v="1"/>
    <n v="4697.4399999999996"/>
    <n v="4752.24"/>
    <n v="218.32800000001043"/>
    <s v="New"/>
    <n v="0.01"/>
    <s v="Credit Card"/>
    <s v="Online"/>
    <x v="0"/>
  </r>
  <r>
    <n v="1089"/>
    <x v="26"/>
    <d v="2023-10-19T00:00:00"/>
    <x v="1"/>
    <s v="Oct"/>
    <x v="0"/>
    <x v="2"/>
    <n v="59571.899068956962"/>
    <n v="23"/>
    <x v="3"/>
    <n v="2120.54"/>
    <n v="2597.67"/>
    <n v="10973.990000000002"/>
    <s v="Returning"/>
    <n v="0"/>
    <s v="Credit Card"/>
    <s v="Retail"/>
    <x v="2"/>
  </r>
  <r>
    <n v="1096"/>
    <x v="179"/>
    <d v="2023-10-20T00:00:00"/>
    <x v="1"/>
    <s v="Oct"/>
    <x v="4"/>
    <x v="0"/>
    <n v="29807.448"/>
    <n v="10"/>
    <x v="1"/>
    <n v="2927.02"/>
    <n v="3387.21"/>
    <n v="537.24799999999959"/>
    <s v="Returning"/>
    <n v="0.12"/>
    <s v="Cash"/>
    <s v="Retail"/>
    <x v="13"/>
  </r>
  <r>
    <n v="1099"/>
    <x v="16"/>
    <d v="2023-10-20T00:00:00"/>
    <x v="1"/>
    <s v="Oct"/>
    <x v="4"/>
    <x v="0"/>
    <n v="2924.0819999999999"/>
    <n v="23"/>
    <x v="1"/>
    <n v="93.45"/>
    <n v="181.62"/>
    <n v="774.73199999999997"/>
    <s v="Returning"/>
    <n v="0.3"/>
    <s v="Bank Transfer"/>
    <s v="Retail"/>
    <x v="13"/>
  </r>
  <r>
    <n v="1013"/>
    <x v="231"/>
    <d v="2023-10-20T00:00:00"/>
    <x v="1"/>
    <s v="Oct"/>
    <x v="4"/>
    <x v="1"/>
    <n v="76739.92947350959"/>
    <n v="46"/>
    <x v="2"/>
    <n v="1648.8"/>
    <n v="1670.36"/>
    <n v="991.75999999999749"/>
    <s v="Returning"/>
    <n v="0"/>
    <s v="Credit Card"/>
    <s v="Retail"/>
    <x v="6"/>
  </r>
  <r>
    <n v="1048"/>
    <x v="354"/>
    <d v="2023-10-20T00:00:00"/>
    <x v="1"/>
    <s v="Oct"/>
    <x v="3"/>
    <x v="0"/>
    <n v="23637.1734"/>
    <n v="6"/>
    <x v="2"/>
    <n v="3717.3"/>
    <n v="4061.3700000000003"/>
    <n v="1333.3734000000004"/>
    <s v="New"/>
    <n v="0.03"/>
    <s v="Bank Transfer"/>
    <s v="Retail"/>
    <x v="11"/>
  </r>
  <r>
    <n v="1002"/>
    <x v="262"/>
    <d v="2023-10-20T00:00:00"/>
    <x v="1"/>
    <s v="Oct"/>
    <x v="4"/>
    <x v="3"/>
    <n v="140971.1799745482"/>
    <n v="30"/>
    <x v="1"/>
    <n v="4646.55"/>
    <n v="4784.28"/>
    <n v="1261.3319999999931"/>
    <s v="Returning"/>
    <n v="0.02"/>
    <s v="Credit Card"/>
    <s v="Retail"/>
    <x v="12"/>
  </r>
  <r>
    <n v="1043"/>
    <x v="274"/>
    <d v="2023-10-20T00:00:00"/>
    <x v="1"/>
    <s v="Oct"/>
    <x v="1"/>
    <x v="0"/>
    <n v="13865.183199999998"/>
    <n v="22"/>
    <x v="3"/>
    <n v="530.04"/>
    <n v="759.31999999999994"/>
    <n v="2204.3031999999976"/>
    <s v="Returning"/>
    <n v="0.17"/>
    <s v="Bank Transfer"/>
    <s v="Retail"/>
    <x v="10"/>
  </r>
  <r>
    <n v="1036"/>
    <x v="242"/>
    <d v="2023-10-20T00:00:00"/>
    <x v="1"/>
    <s v="Oct"/>
    <x v="4"/>
    <x v="3"/>
    <n v="69678.744675008857"/>
    <n v="49"/>
    <x v="1"/>
    <n v="1247.0999999999999"/>
    <n v="1429.4399999999998"/>
    <n v="8234.2343999999957"/>
    <s v="New"/>
    <n v="0.01"/>
    <s v="Cash"/>
    <s v="Online"/>
    <x v="12"/>
  </r>
  <r>
    <n v="1086"/>
    <x v="87"/>
    <d v="2023-10-20T00:00:00"/>
    <x v="1"/>
    <s v="Oct"/>
    <x v="4"/>
    <x v="0"/>
    <n v="13239.807999999999"/>
    <n v="32"/>
    <x v="0"/>
    <n v="84.86"/>
    <n v="517.17999999999995"/>
    <n v="10524.287999999999"/>
    <s v="Returning"/>
    <n v="0.2"/>
    <s v="Credit Card"/>
    <s v="Retail"/>
    <x v="13"/>
  </r>
  <r>
    <n v="1013"/>
    <x v="231"/>
    <d v="2023-10-21T00:00:00"/>
    <x v="1"/>
    <s v="Oct"/>
    <x v="4"/>
    <x v="1"/>
    <n v="32227.603701090207"/>
    <n v="20"/>
    <x v="2"/>
    <n v="1533.36"/>
    <n v="1649.7399999999998"/>
    <n v="1667.7039999999988"/>
    <s v="Returning"/>
    <n v="0.02"/>
    <s v="Bank Transfer"/>
    <s v="Online"/>
    <x v="6"/>
  </r>
  <r>
    <n v="1073"/>
    <x v="279"/>
    <d v="2023-10-21T00:00:00"/>
    <x v="1"/>
    <s v="Oct"/>
    <x v="3"/>
    <x v="2"/>
    <n v="122483.97000000002"/>
    <n v="45"/>
    <x v="0"/>
    <n v="2558.09"/>
    <n v="2958.55"/>
    <n v="7369.9200000000128"/>
    <s v="New"/>
    <n v="0.08"/>
    <s v="Cash"/>
    <s v="Online"/>
    <x v="9"/>
  </r>
  <r>
    <n v="1012"/>
    <x v="133"/>
    <d v="2023-10-22T00:00:00"/>
    <x v="1"/>
    <s v="Oct"/>
    <x v="4"/>
    <x v="3"/>
    <n v="84682.60011141545"/>
    <n v="34"/>
    <x v="0"/>
    <n v="2462.5500000000002"/>
    <n v="2521.77"/>
    <n v="1156.0781999999881"/>
    <s v="New"/>
    <n v="0.01"/>
    <s v="Bank Transfer"/>
    <s v="Retail"/>
    <x v="12"/>
  </r>
  <r>
    <n v="1099"/>
    <x v="16"/>
    <d v="2023-10-22T00:00:00"/>
    <x v="1"/>
    <s v="Oct"/>
    <x v="2"/>
    <x v="2"/>
    <n v="41929.747199999998"/>
    <n v="43"/>
    <x v="1"/>
    <n v="906.47"/>
    <n v="1283.04"/>
    <n v="2951.5371999999998"/>
    <s v="New"/>
    <n v="0.24"/>
    <s v="Cash"/>
    <s v="Online"/>
    <x v="14"/>
  </r>
  <r>
    <n v="1060"/>
    <x v="369"/>
    <d v="2023-10-22T00:00:00"/>
    <x v="1"/>
    <s v="Oct"/>
    <x v="2"/>
    <x v="3"/>
    <n v="43949.879193519722"/>
    <n v="11"/>
    <x v="0"/>
    <n v="3648.04"/>
    <n v="4143.51"/>
    <n v="3627.0256000000013"/>
    <s v="Returning"/>
    <n v="0.04"/>
    <s v="Credit Card"/>
    <s v="Retail"/>
    <x v="3"/>
  </r>
  <r>
    <n v="1057"/>
    <x v="41"/>
    <d v="2023-10-22T00:00:00"/>
    <x v="1"/>
    <s v="Oct"/>
    <x v="0"/>
    <x v="0"/>
    <n v="145703.00466838028"/>
    <n v="40"/>
    <x v="1"/>
    <n v="3233.37"/>
    <n v="3723.21"/>
    <n v="16615.03200000001"/>
    <s v="New"/>
    <n v="0.02"/>
    <s v="Bank Transfer"/>
    <s v="Retail"/>
    <x v="0"/>
  </r>
  <r>
    <n v="1073"/>
    <x v="264"/>
    <d v="2023-10-23T00:00:00"/>
    <x v="1"/>
    <s v="Oct"/>
    <x v="1"/>
    <x v="0"/>
    <n v="196768.18514228045"/>
    <n v="45"/>
    <x v="1"/>
    <n v="4369.5"/>
    <n v="4381.8900000000003"/>
    <n v="557.55000000001473"/>
    <s v="Returning"/>
    <n v="0"/>
    <s v="Credit Card"/>
    <s v="Retail"/>
    <x v="10"/>
  </r>
  <r>
    <n v="1054"/>
    <x v="251"/>
    <d v="2023-10-23T00:00:00"/>
    <x v="1"/>
    <s v="Oct"/>
    <x v="4"/>
    <x v="1"/>
    <n v="33144.31821395694"/>
    <n v="8"/>
    <x v="3"/>
    <n v="4117.13"/>
    <n v="4177.0600000000004"/>
    <n v="145.27520000000368"/>
    <s v="Returning"/>
    <n v="0.01"/>
    <s v="Bank Transfer"/>
    <s v="Retail"/>
    <x v="6"/>
  </r>
  <r>
    <n v="1023"/>
    <x v="383"/>
    <d v="2023-10-23T00:00:00"/>
    <x v="1"/>
    <s v="Oct"/>
    <x v="4"/>
    <x v="0"/>
    <n v="14602.853014471781"/>
    <n v="42"/>
    <x v="3"/>
    <n v="309.77999999999997"/>
    <n v="350.38"/>
    <n v="1558.0404000000003"/>
    <s v="Returning"/>
    <n v="0.01"/>
    <s v="Credit Card"/>
    <s v="Retail"/>
    <x v="13"/>
  </r>
  <r>
    <n v="1054"/>
    <x v="351"/>
    <d v="2023-10-23T00:00:00"/>
    <x v="1"/>
    <s v="Oct"/>
    <x v="4"/>
    <x v="0"/>
    <n v="210206.60220593889"/>
    <n v="48"/>
    <x v="2"/>
    <n v="4325.0200000000004"/>
    <n v="4391.67"/>
    <n v="3199.1999999999825"/>
    <s v="Returning"/>
    <n v="0"/>
    <s v="Credit Card"/>
    <s v="Retail"/>
    <x v="13"/>
  </r>
  <r>
    <n v="1060"/>
    <x v="366"/>
    <d v="2023-10-23T00:00:00"/>
    <x v="1"/>
    <s v="Oct"/>
    <x v="2"/>
    <x v="2"/>
    <n v="84087.216305107067"/>
    <n v="46"/>
    <x v="1"/>
    <n v="1747.05"/>
    <n v="1830.27"/>
    <n v="3828.1200000000013"/>
    <s v="New"/>
    <n v="0"/>
    <s v="Bank Transfer"/>
    <s v="Retail"/>
    <x v="14"/>
  </r>
  <r>
    <n v="1087"/>
    <x v="328"/>
    <d v="2023-10-24T00:00:00"/>
    <x v="1"/>
    <s v="Oct"/>
    <x v="2"/>
    <x v="1"/>
    <n v="15652.625763681568"/>
    <n v="28"/>
    <x v="1"/>
    <n v="551.83000000000004"/>
    <n v="569.63"/>
    <n v="179.40719999999828"/>
    <s v="New"/>
    <n v="0.02"/>
    <s v="Credit Card"/>
    <s v="Retail"/>
    <x v="8"/>
  </r>
  <r>
    <n v="1026"/>
    <x v="293"/>
    <d v="2023-10-24T00:00:00"/>
    <x v="1"/>
    <s v="Oct"/>
    <x v="4"/>
    <x v="1"/>
    <n v="83973.581999999995"/>
    <n v="45"/>
    <x v="3"/>
    <n v="1741.66"/>
    <n v="2169.86"/>
    <n v="5598.8819999999978"/>
    <s v="Returning"/>
    <n v="0.14000000000000001"/>
    <s v="Credit Card"/>
    <s v="Online"/>
    <x v="6"/>
  </r>
  <r>
    <n v="1097"/>
    <x v="174"/>
    <d v="2023-10-26T00:00:00"/>
    <x v="1"/>
    <s v="Oct"/>
    <x v="3"/>
    <x v="1"/>
    <n v="129442.98150000001"/>
    <n v="27"/>
    <x v="2"/>
    <n v="4686.79"/>
    <n v="5046.51"/>
    <n v="2899.651500000009"/>
    <s v="Returning"/>
    <n v="0.05"/>
    <s v="Credit Card"/>
    <s v="Retail"/>
    <x v="16"/>
  </r>
  <r>
    <n v="1087"/>
    <x v="258"/>
    <d v="2023-10-27T00:00:00"/>
    <x v="1"/>
    <s v="Oct"/>
    <x v="0"/>
    <x v="3"/>
    <n v="90669.271034817226"/>
    <n v="27"/>
    <x v="3"/>
    <n v="3139.36"/>
    <n v="3423.6600000000003"/>
    <n v="5827.323600000007"/>
    <s v="New"/>
    <n v="0.02"/>
    <s v="Credit Card"/>
    <s v="Online"/>
    <x v="5"/>
  </r>
  <r>
    <n v="1089"/>
    <x v="111"/>
    <d v="2023-10-27T00:00:00"/>
    <x v="1"/>
    <s v="Oct"/>
    <x v="4"/>
    <x v="3"/>
    <n v="173900.50972212607"/>
    <n v="43"/>
    <x v="0"/>
    <n v="3851.45"/>
    <n v="4186.9799999999996"/>
    <n v="9026.5857999999771"/>
    <s v="Returning"/>
    <n v="0.03"/>
    <s v="Credit Card"/>
    <s v="Online"/>
    <x v="12"/>
  </r>
  <r>
    <n v="1033"/>
    <x v="220"/>
    <d v="2023-10-28T00:00:00"/>
    <x v="1"/>
    <s v="Oct"/>
    <x v="4"/>
    <x v="3"/>
    <n v="205620.73802795293"/>
    <n v="43"/>
    <x v="1"/>
    <n v="4781.42"/>
    <n v="4864.34"/>
    <n v="-617.77239999999074"/>
    <s v="Returning"/>
    <n v="0.02"/>
    <s v="Bank Transfer"/>
    <s v="Online"/>
    <x v="12"/>
  </r>
  <r>
    <n v="1079"/>
    <x v="67"/>
    <d v="2023-10-28T00:00:00"/>
    <x v="1"/>
    <s v="Oct"/>
    <x v="2"/>
    <x v="2"/>
    <n v="46476.925197203476"/>
    <n v="38"/>
    <x v="0"/>
    <n v="1127.76"/>
    <n v="1265.6600000000001"/>
    <n v="3797.3476000000005"/>
    <s v="Returning"/>
    <n v="0.03"/>
    <s v="Bank Transfer"/>
    <s v="Retail"/>
    <x v="14"/>
  </r>
  <r>
    <n v="1081"/>
    <x v="250"/>
    <d v="2023-10-28T00:00:00"/>
    <x v="1"/>
    <s v="Oct"/>
    <x v="1"/>
    <x v="3"/>
    <n v="38353.06396522218"/>
    <n v="23"/>
    <x v="3"/>
    <n v="1411.37"/>
    <n v="1675.35"/>
    <n v="6071.5400000000009"/>
    <s v="New"/>
    <n v="0"/>
    <s v="Cash"/>
    <s v="Retail"/>
    <x v="7"/>
  </r>
  <r>
    <n v="1091"/>
    <x v="316"/>
    <d v="2023-10-28T00:00:00"/>
    <x v="1"/>
    <s v="Oct"/>
    <x v="2"/>
    <x v="2"/>
    <n v="95541.321894088222"/>
    <n v="39"/>
    <x v="0"/>
    <n v="2184.4899999999998"/>
    <n v="2540.4199999999996"/>
    <n v="9918.2147999999834"/>
    <s v="Returning"/>
    <n v="0.04"/>
    <s v="Bank Transfer"/>
    <s v="Online"/>
    <x v="14"/>
  </r>
  <r>
    <n v="1017"/>
    <x v="75"/>
    <d v="2023-10-29T00:00:00"/>
    <x v="1"/>
    <s v="Oct"/>
    <x v="0"/>
    <x v="1"/>
    <n v="740.43152843429925"/>
    <n v="1"/>
    <x v="0"/>
    <n v="641.67999999999995"/>
    <n v="752.24"/>
    <n v="95.51520000000005"/>
    <s v="New"/>
    <n v="0.02"/>
    <s v="Bank Transfer"/>
    <s v="Online"/>
    <x v="19"/>
  </r>
  <r>
    <n v="1054"/>
    <x v="252"/>
    <d v="2023-10-29T00:00:00"/>
    <x v="1"/>
    <s v="Oct"/>
    <x v="4"/>
    <x v="2"/>
    <n v="29407.42877857068"/>
    <n v="8"/>
    <x v="1"/>
    <n v="3610.21"/>
    <n v="3817.9900000000002"/>
    <n v="440.48319999999876"/>
    <s v="Returning"/>
    <n v="0.04"/>
    <s v="Cash"/>
    <s v="Retail"/>
    <x v="17"/>
  </r>
  <r>
    <n v="1034"/>
    <x v="139"/>
    <d v="2023-10-29T00:00:00"/>
    <x v="1"/>
    <s v="Oct"/>
    <x v="4"/>
    <x v="3"/>
    <n v="34699.933522433887"/>
    <n v="34"/>
    <x v="3"/>
    <n v="978.15"/>
    <n v="1040.21"/>
    <n v="1402.6972000000007"/>
    <s v="New"/>
    <n v="0.02"/>
    <s v="Credit Card"/>
    <s v="Retail"/>
    <x v="12"/>
  </r>
  <r>
    <n v="1044"/>
    <x v="241"/>
    <d v="2023-10-29T00:00:00"/>
    <x v="1"/>
    <s v="Oct"/>
    <x v="1"/>
    <x v="3"/>
    <n v="22226.556000000004"/>
    <n v="11"/>
    <x v="1"/>
    <n v="1812.66"/>
    <n v="2196.3000000000002"/>
    <n v="2287.2960000000016"/>
    <s v="New"/>
    <n v="0.08"/>
    <s v="Cash"/>
    <s v="Online"/>
    <x v="7"/>
  </r>
  <r>
    <n v="1019"/>
    <x v="32"/>
    <d v="2023-10-29T00:00:00"/>
    <x v="1"/>
    <s v="Oct"/>
    <x v="4"/>
    <x v="2"/>
    <n v="20388.576000000001"/>
    <n v="31"/>
    <x v="3"/>
    <n v="333.69"/>
    <n v="685.1"/>
    <n v="10044.186000000002"/>
    <s v="New"/>
    <n v="0.04"/>
    <s v="Bank Transfer"/>
    <s v="Online"/>
    <x v="17"/>
  </r>
  <r>
    <n v="1053"/>
    <x v="309"/>
    <d v="2023-10-30T00:00:00"/>
    <x v="1"/>
    <s v="Oct"/>
    <x v="4"/>
    <x v="3"/>
    <n v="2461.3002146901281"/>
    <n v="1"/>
    <x v="3"/>
    <n v="2258.44"/>
    <n v="2475.56"/>
    <n v="192.36439999999993"/>
    <s v="New"/>
    <n v="0.01"/>
    <s v="Cash"/>
    <s v="Online"/>
    <x v="12"/>
  </r>
  <r>
    <n v="1029"/>
    <x v="206"/>
    <d v="2023-10-30T00:00:00"/>
    <x v="1"/>
    <s v="Oct"/>
    <x v="0"/>
    <x v="1"/>
    <n v="42923.857090223741"/>
    <n v="16"/>
    <x v="2"/>
    <n v="2572.8000000000002"/>
    <n v="2760.6000000000004"/>
    <n v="1679.7119999999995"/>
    <s v="Returning"/>
    <n v="0.03"/>
    <s v="Credit Card"/>
    <s v="Retail"/>
    <x v="19"/>
  </r>
  <r>
    <n v="1097"/>
    <x v="174"/>
    <d v="2023-10-30T00:00:00"/>
    <x v="1"/>
    <s v="Oct"/>
    <x v="0"/>
    <x v="2"/>
    <n v="211111.13812971883"/>
    <n v="49"/>
    <x v="2"/>
    <n v="4264.46"/>
    <n v="4315.5200000000004"/>
    <n v="2501.9400000000196"/>
    <s v="New"/>
    <n v="0"/>
    <s v="Cash"/>
    <s v="Retail"/>
    <x v="2"/>
  </r>
  <r>
    <n v="1049"/>
    <x v="204"/>
    <d v="2023-10-30T00:00:00"/>
    <x v="1"/>
    <s v="Oct"/>
    <x v="3"/>
    <x v="1"/>
    <n v="168331.06619999997"/>
    <n v="38"/>
    <x v="3"/>
    <n v="4243.9799999999996"/>
    <n v="4474.5099999999993"/>
    <n v="7059.8261999999868"/>
    <s v="New"/>
    <n v="0.01"/>
    <s v="Credit Card"/>
    <s v="Online"/>
    <x v="16"/>
  </r>
  <r>
    <n v="1071"/>
    <x v="163"/>
    <d v="2023-10-30T00:00:00"/>
    <x v="1"/>
    <s v="Oct"/>
    <x v="3"/>
    <x v="2"/>
    <n v="69386.941800000001"/>
    <n v="22"/>
    <x v="2"/>
    <n v="2701.39"/>
    <n v="3185.81"/>
    <n v="9956.3618000000024"/>
    <s v="New"/>
    <n v="0.01"/>
    <s v="Bank Transfer"/>
    <s v="Online"/>
    <x v="9"/>
  </r>
  <r>
    <n v="1033"/>
    <x v="99"/>
    <d v="2023-10-31T00:00:00"/>
    <x v="1"/>
    <s v="Oct"/>
    <x v="0"/>
    <x v="1"/>
    <n v="56283.796799999996"/>
    <n v="18"/>
    <x v="0"/>
    <n v="3124.48"/>
    <n v="3553.27"/>
    <n v="43.15679999999611"/>
    <s v="Returning"/>
    <n v="0.12"/>
    <s v="Cash"/>
    <s v="Retail"/>
    <x v="19"/>
  </r>
  <r>
    <n v="1028"/>
    <x v="171"/>
    <d v="2023-11-01T00:00:00"/>
    <x v="1"/>
    <s v="Nov"/>
    <x v="2"/>
    <x v="1"/>
    <n v="22736.563200000001"/>
    <n v="24"/>
    <x v="3"/>
    <n v="911.11"/>
    <n v="1214.56"/>
    <n v="869.92320000000018"/>
    <s v="New"/>
    <n v="0.22"/>
    <s v="Bank Transfer"/>
    <s v="Online"/>
    <x v="8"/>
  </r>
  <r>
    <n v="1096"/>
    <x v="196"/>
    <d v="2023-11-01T00:00:00"/>
    <x v="1"/>
    <s v="Nov"/>
    <x v="2"/>
    <x v="0"/>
    <n v="49903.62800265925"/>
    <n v="17"/>
    <x v="3"/>
    <n v="2774.24"/>
    <n v="3069.9399999999996"/>
    <n v="2939.340799999999"/>
    <s v="Returning"/>
    <n v="0.04"/>
    <s v="Bank Transfer"/>
    <s v="Retail"/>
    <x v="18"/>
  </r>
  <r>
    <n v="1062"/>
    <x v="282"/>
    <d v="2023-11-01T00:00:00"/>
    <x v="1"/>
    <s v="Nov"/>
    <x v="2"/>
    <x v="1"/>
    <n v="41831.503299459386"/>
    <n v="36"/>
    <x v="3"/>
    <n v="1050.6400000000001"/>
    <n v="1167.3300000000002"/>
    <n v="4200.840000000002"/>
    <s v="New"/>
    <n v="0"/>
    <s v="Cash"/>
    <s v="Online"/>
    <x v="8"/>
  </r>
  <r>
    <n v="1009"/>
    <x v="39"/>
    <d v="2023-11-01T00:00:00"/>
    <x v="1"/>
    <s v="Nov"/>
    <x v="2"/>
    <x v="0"/>
    <n v="12483.055199999999"/>
    <n v="14"/>
    <x v="3"/>
    <n v="547.79"/>
    <n v="958.76"/>
    <n v="4813.9952000000003"/>
    <s v="Returning"/>
    <n v="7.0000000000000007E-2"/>
    <s v="Credit Card"/>
    <s v="Retail"/>
    <x v="18"/>
  </r>
  <r>
    <n v="1093"/>
    <x v="180"/>
    <d v="2023-11-01T00:00:00"/>
    <x v="1"/>
    <s v="Nov"/>
    <x v="1"/>
    <x v="3"/>
    <n v="27518.828400000002"/>
    <n v="46"/>
    <x v="1"/>
    <n v="401.64"/>
    <n v="757.26"/>
    <n v="9043.3884000000016"/>
    <s v="New"/>
    <n v="0.21"/>
    <s v="Credit Card"/>
    <s v="Retail"/>
    <x v="7"/>
  </r>
  <r>
    <n v="1026"/>
    <x v="50"/>
    <d v="2023-11-01T00:00:00"/>
    <x v="1"/>
    <s v="Nov"/>
    <x v="3"/>
    <x v="0"/>
    <n v="119982.5551362861"/>
    <n v="36"/>
    <x v="1"/>
    <n v="3067.05"/>
    <n v="3386.33"/>
    <n v="9055.9223999999922"/>
    <s v="New"/>
    <n v="0.02"/>
    <s v="Bank Transfer"/>
    <s v="Online"/>
    <x v="11"/>
  </r>
  <r>
    <n v="1069"/>
    <x v="337"/>
    <d v="2023-11-02T00:00:00"/>
    <x v="1"/>
    <s v="Nov"/>
    <x v="1"/>
    <x v="3"/>
    <n v="17487.031100000004"/>
    <n v="23"/>
    <x v="0"/>
    <n v="530.24"/>
    <n v="987.41000000000008"/>
    <n v="5291.5111000000024"/>
    <s v="Returning"/>
    <n v="0.23"/>
    <s v="Credit Card"/>
    <s v="Online"/>
    <x v="7"/>
  </r>
  <r>
    <n v="1058"/>
    <x v="289"/>
    <d v="2023-11-03T00:00:00"/>
    <x v="1"/>
    <s v="Nov"/>
    <x v="4"/>
    <x v="2"/>
    <n v="153964.08719999998"/>
    <n v="42"/>
    <x v="1"/>
    <n v="3600.95"/>
    <n v="3702.8399999999997"/>
    <n v="2724.1871999999885"/>
    <s v="Returning"/>
    <n v="0.01"/>
    <s v="Cash"/>
    <s v="Retail"/>
    <x v="17"/>
  </r>
  <r>
    <n v="1028"/>
    <x v="295"/>
    <d v="2023-11-03T00:00:00"/>
    <x v="1"/>
    <s v="Nov"/>
    <x v="3"/>
    <x v="3"/>
    <n v="51685.092000000004"/>
    <n v="38"/>
    <x v="1"/>
    <n v="1234.69"/>
    <n v="1511.26"/>
    <n v="4766.8719999999985"/>
    <s v="New"/>
    <n v="0.1"/>
    <s v="Bank Transfer"/>
    <s v="Online"/>
    <x v="4"/>
  </r>
  <r>
    <n v="1065"/>
    <x v="190"/>
    <d v="2023-11-05T00:00:00"/>
    <x v="1"/>
    <s v="Nov"/>
    <x v="3"/>
    <x v="1"/>
    <n v="12921.774634939724"/>
    <n v="3"/>
    <x v="0"/>
    <n v="4173.04"/>
    <n v="4362.4399999999996"/>
    <n v="437.32679999999982"/>
    <s v="New"/>
    <n v="0.01"/>
    <s v="Bank Transfer"/>
    <s v="Retail"/>
    <x v="16"/>
  </r>
  <r>
    <n v="1087"/>
    <x v="194"/>
    <d v="2023-11-05T00:00:00"/>
    <x v="1"/>
    <s v="Nov"/>
    <x v="0"/>
    <x v="1"/>
    <n v="22498.14"/>
    <n v="30"/>
    <x v="2"/>
    <n v="698.74"/>
    <n v="882.28"/>
    <n v="1535.9399999999994"/>
    <s v="Returning"/>
    <n v="0.15"/>
    <s v="Credit Card"/>
    <s v="Online"/>
    <x v="19"/>
  </r>
  <r>
    <n v="1086"/>
    <x v="87"/>
    <d v="2023-11-05T00:00:00"/>
    <x v="1"/>
    <s v="Nov"/>
    <x v="3"/>
    <x v="0"/>
    <n v="24794.639806413776"/>
    <n v="10"/>
    <x v="0"/>
    <n v="2273.91"/>
    <n v="2578.7999999999997"/>
    <n v="2017.3799999999983"/>
    <s v="New"/>
    <n v="0.04"/>
    <s v="Cash"/>
    <s v="Online"/>
    <x v="11"/>
  </r>
  <r>
    <n v="1072"/>
    <x v="352"/>
    <d v="2023-11-05T00:00:00"/>
    <x v="1"/>
    <s v="Nov"/>
    <x v="4"/>
    <x v="2"/>
    <n v="26956.394399999997"/>
    <n v="39"/>
    <x v="1"/>
    <n v="591.98"/>
    <n v="934.04"/>
    <n v="3869.1743999999962"/>
    <s v="New"/>
    <n v="0.26"/>
    <s v="Bank Transfer"/>
    <s v="Retail"/>
    <x v="17"/>
  </r>
  <r>
    <n v="1075"/>
    <x v="19"/>
    <d v="2023-11-05T00:00:00"/>
    <x v="1"/>
    <s v="Nov"/>
    <x v="2"/>
    <x v="1"/>
    <n v="69825.437524443361"/>
    <n v="37"/>
    <x v="3"/>
    <n v="1675.51"/>
    <n v="1906.6399999999999"/>
    <n v="7846.3531999999977"/>
    <s v="New"/>
    <n v="0.01"/>
    <s v="Bank Transfer"/>
    <s v="Online"/>
    <x v="8"/>
  </r>
  <r>
    <n v="1088"/>
    <x v="156"/>
    <d v="2023-11-06T00:00:00"/>
    <x v="1"/>
    <s v="Nov"/>
    <x v="4"/>
    <x v="0"/>
    <n v="14863.027199999999"/>
    <n v="8"/>
    <x v="3"/>
    <n v="1786.35"/>
    <n v="1935.29"/>
    <n v="572.22719999999936"/>
    <s v="New"/>
    <n v="0.04"/>
    <s v="Cash"/>
    <s v="Online"/>
    <x v="13"/>
  </r>
  <r>
    <n v="1006"/>
    <x v="70"/>
    <d v="2023-11-06T00:00:00"/>
    <x v="1"/>
    <s v="Nov"/>
    <x v="2"/>
    <x v="0"/>
    <n v="20067.192199999998"/>
    <n v="22"/>
    <x v="3"/>
    <n v="834.32"/>
    <n v="1098.97"/>
    <n v="1712.1521999999979"/>
    <s v="Returning"/>
    <n v="0.17"/>
    <s v="Cash"/>
    <s v="Online"/>
    <x v="18"/>
  </r>
  <r>
    <n v="1071"/>
    <x v="238"/>
    <d v="2023-11-06T00:00:00"/>
    <x v="1"/>
    <s v="Nov"/>
    <x v="4"/>
    <x v="3"/>
    <n v="188837.88310000001"/>
    <n v="47"/>
    <x v="3"/>
    <n v="3942.34"/>
    <n v="4142.09"/>
    <n v="3547.9030999999895"/>
    <s v="Returning"/>
    <n v="0.03"/>
    <s v="Credit Card"/>
    <s v="Retail"/>
    <x v="12"/>
  </r>
  <r>
    <n v="1062"/>
    <x v="282"/>
    <d v="2023-11-06T00:00:00"/>
    <x v="1"/>
    <s v="Nov"/>
    <x v="4"/>
    <x v="1"/>
    <n v="65015.383258563103"/>
    <n v="25"/>
    <x v="3"/>
    <n v="2361.0500000000002"/>
    <n v="2616.19"/>
    <n v="5724.4524999999958"/>
    <s v="New"/>
    <n v="0.01"/>
    <s v="Bank Transfer"/>
    <s v="Retail"/>
    <x v="6"/>
  </r>
  <r>
    <n v="1057"/>
    <x v="41"/>
    <d v="2023-11-07T00:00:00"/>
    <x v="1"/>
    <s v="Nov"/>
    <x v="2"/>
    <x v="1"/>
    <n v="33691.555048269838"/>
    <n v="26"/>
    <x v="1"/>
    <n v="1291.82"/>
    <n v="1308.4399999999998"/>
    <n v="91.925599999998212"/>
    <s v="Returning"/>
    <n v="0.01"/>
    <s v="Credit Card"/>
    <s v="Online"/>
    <x v="8"/>
  </r>
  <r>
    <n v="1098"/>
    <x v="30"/>
    <d v="2023-11-07T00:00:00"/>
    <x v="1"/>
    <s v="Nov"/>
    <x v="3"/>
    <x v="2"/>
    <n v="74822.206975016583"/>
    <n v="31"/>
    <x v="3"/>
    <n v="2407.8000000000002"/>
    <n v="2502.7600000000002"/>
    <n v="-159.66239999999971"/>
    <s v="Returning"/>
    <n v="0.04"/>
    <s v="Cash"/>
    <s v="Retail"/>
    <x v="9"/>
  </r>
  <r>
    <n v="1095"/>
    <x v="40"/>
    <d v="2023-11-07T00:00:00"/>
    <x v="1"/>
    <s v="Nov"/>
    <x v="1"/>
    <x v="2"/>
    <n v="142863.44486100404"/>
    <n v="32"/>
    <x v="1"/>
    <n v="4266.6400000000003"/>
    <n v="4523.3600000000006"/>
    <n v="6767.5647999999928"/>
    <s v="New"/>
    <n v="0.01"/>
    <s v="Bank Transfer"/>
    <s v="Retail"/>
    <x v="15"/>
  </r>
  <r>
    <n v="1089"/>
    <x v="111"/>
    <d v="2023-11-07T00:00:00"/>
    <x v="1"/>
    <s v="Nov"/>
    <x v="2"/>
    <x v="2"/>
    <n v="202182.36363413394"/>
    <n v="47"/>
    <x v="0"/>
    <n v="4157.62"/>
    <n v="4314.5599999999995"/>
    <n v="7376.1799999999812"/>
    <s v="New"/>
    <n v="0"/>
    <s v="Bank Transfer"/>
    <s v="Retail"/>
    <x v="14"/>
  </r>
  <r>
    <n v="1059"/>
    <x v="329"/>
    <d v="2023-11-08T00:00:00"/>
    <x v="1"/>
    <s v="Nov"/>
    <x v="4"/>
    <x v="0"/>
    <n v="31579.319"/>
    <n v="17"/>
    <x v="1"/>
    <n v="1780.14"/>
    <n v="2185.42"/>
    <n v="1316.9389999999978"/>
    <s v="Returning"/>
    <n v="0.15"/>
    <s v="Credit Card"/>
    <s v="Retail"/>
    <x v="13"/>
  </r>
  <r>
    <n v="1052"/>
    <x v="333"/>
    <d v="2023-11-08T00:00:00"/>
    <x v="1"/>
    <s v="Nov"/>
    <x v="1"/>
    <x v="1"/>
    <n v="66168.993401810789"/>
    <n v="18"/>
    <x v="0"/>
    <n v="3271.62"/>
    <n v="3722.38"/>
    <n v="7443.6516000000001"/>
    <s v="Returning"/>
    <n v="0.01"/>
    <s v="Bank Transfer"/>
    <s v="Retail"/>
    <x v="1"/>
  </r>
  <r>
    <n v="1038"/>
    <x v="166"/>
    <d v="2023-11-09T00:00:00"/>
    <x v="1"/>
    <s v="Nov"/>
    <x v="4"/>
    <x v="1"/>
    <n v="1470.3506"/>
    <n v="1"/>
    <x v="3"/>
    <n v="1281.6500000000001"/>
    <n v="1709.71"/>
    <n v="188.70059999999989"/>
    <s v="Returning"/>
    <n v="0.14000000000000001"/>
    <s v="Credit Card"/>
    <s v="Online"/>
    <x v="6"/>
  </r>
  <r>
    <n v="1033"/>
    <x v="220"/>
    <d v="2023-11-09T00:00:00"/>
    <x v="1"/>
    <s v="Nov"/>
    <x v="4"/>
    <x v="1"/>
    <n v="10003.899347752733"/>
    <n v="6"/>
    <x v="1"/>
    <n v="1621.07"/>
    <n v="1687.5"/>
    <n v="297.33000000000038"/>
    <s v="Returning"/>
    <n v="0.01"/>
    <s v="Credit Card"/>
    <s v="Online"/>
    <x v="6"/>
  </r>
  <r>
    <n v="1014"/>
    <x v="130"/>
    <d v="2023-11-09T00:00:00"/>
    <x v="1"/>
    <s v="Nov"/>
    <x v="4"/>
    <x v="3"/>
    <n v="2448.8586"/>
    <n v="9"/>
    <x v="2"/>
    <n v="132.47"/>
    <n v="316.39"/>
    <n v="1256.6285999999998"/>
    <s v="New"/>
    <n v="0.14000000000000001"/>
    <s v="Credit Card"/>
    <s v="Online"/>
    <x v="12"/>
  </r>
  <r>
    <n v="1016"/>
    <x v="259"/>
    <d v="2023-11-09T00:00:00"/>
    <x v="1"/>
    <s v="Nov"/>
    <x v="1"/>
    <x v="0"/>
    <n v="5775.5375999999997"/>
    <n v="24"/>
    <x v="0"/>
    <n v="88.44"/>
    <n v="338.94"/>
    <n v="3652.9775999999993"/>
    <s v="New"/>
    <n v="0.28999999999999998"/>
    <s v="Cash"/>
    <s v="Online"/>
    <x v="10"/>
  </r>
  <r>
    <n v="1032"/>
    <x v="386"/>
    <d v="2023-11-09T00:00:00"/>
    <x v="1"/>
    <s v="Nov"/>
    <x v="2"/>
    <x v="1"/>
    <n v="83293.980261538803"/>
    <n v="25"/>
    <x v="2"/>
    <n v="2934.3"/>
    <n v="3337.4"/>
    <n v="10077.499999999998"/>
    <s v="Returning"/>
    <n v="0"/>
    <s v="Credit Card"/>
    <s v="Retail"/>
    <x v="8"/>
  </r>
  <r>
    <n v="1090"/>
    <x v="37"/>
    <d v="2023-11-10T00:00:00"/>
    <x v="1"/>
    <s v="Nov"/>
    <x v="3"/>
    <x v="3"/>
    <n v="36213.759999999995"/>
    <n v="16"/>
    <x v="1"/>
    <n v="2183.37"/>
    <n v="2263.3599999999997"/>
    <n v="1279.8399999999965"/>
    <s v="Returning"/>
    <n v="0"/>
    <s v="Bank Transfer"/>
    <s v="Retail"/>
    <x v="4"/>
  </r>
  <r>
    <n v="1019"/>
    <x v="177"/>
    <d v="2023-11-10T00:00:00"/>
    <x v="1"/>
    <s v="Nov"/>
    <x v="2"/>
    <x v="1"/>
    <n v="47870.747691606557"/>
    <n v="33"/>
    <x v="0"/>
    <n v="1362.31"/>
    <n v="1486.29"/>
    <n v="3110.388600000003"/>
    <s v="Returning"/>
    <n v="0.02"/>
    <s v="Credit Card"/>
    <s v="Retail"/>
    <x v="8"/>
  </r>
  <r>
    <n v="1024"/>
    <x v="140"/>
    <d v="2023-11-11T00:00:00"/>
    <x v="1"/>
    <s v="Nov"/>
    <x v="0"/>
    <x v="2"/>
    <n v="13462.890000000001"/>
    <n v="21"/>
    <x v="3"/>
    <n v="622.01"/>
    <n v="641.09"/>
    <n v="400.68000000000086"/>
    <s v="Returning"/>
    <n v="0"/>
    <s v="Bank Transfer"/>
    <s v="Retail"/>
    <x v="2"/>
  </r>
  <r>
    <n v="1080"/>
    <x v="49"/>
    <d v="2023-11-11T00:00:00"/>
    <x v="1"/>
    <s v="Nov"/>
    <x v="3"/>
    <x v="1"/>
    <n v="119877.85315466484"/>
    <n v="32"/>
    <x v="2"/>
    <n v="3414.54"/>
    <n v="3753.83"/>
    <n v="10857.279999999999"/>
    <s v="New"/>
    <n v="0"/>
    <s v="Cash"/>
    <s v="Retail"/>
    <x v="16"/>
  </r>
  <r>
    <n v="1001"/>
    <x v="315"/>
    <d v="2023-11-12T00:00:00"/>
    <x v="1"/>
    <s v="Nov"/>
    <x v="3"/>
    <x v="3"/>
    <n v="29726.897046592127"/>
    <n v="8"/>
    <x v="2"/>
    <n v="3657.91"/>
    <n v="3729.27"/>
    <n v="570.88000000000102"/>
    <s v="New"/>
    <n v="0"/>
    <s v="Bank Transfer"/>
    <s v="Retail"/>
    <x v="4"/>
  </r>
  <r>
    <n v="1062"/>
    <x v="109"/>
    <d v="2023-11-12T00:00:00"/>
    <x v="1"/>
    <s v="Nov"/>
    <x v="0"/>
    <x v="0"/>
    <n v="14062.306499999999"/>
    <n v="9"/>
    <x v="2"/>
    <n v="1468.05"/>
    <n v="1838.21"/>
    <n v="849.85649999999987"/>
    <s v="New"/>
    <n v="0.15"/>
    <s v="Bank Transfer"/>
    <s v="Retail"/>
    <x v="0"/>
  </r>
  <r>
    <n v="1070"/>
    <x v="56"/>
    <d v="2023-11-12T00:00:00"/>
    <x v="1"/>
    <s v="Nov"/>
    <x v="2"/>
    <x v="0"/>
    <n v="3659.6610000000001"/>
    <n v="9"/>
    <x v="2"/>
    <n v="310.24"/>
    <n v="451.81"/>
    <n v="867.50100000000009"/>
    <s v="Returning"/>
    <n v="0.1"/>
    <s v="Cash"/>
    <s v="Retail"/>
    <x v="18"/>
  </r>
  <r>
    <n v="1005"/>
    <x v="218"/>
    <d v="2023-11-12T00:00:00"/>
    <x v="1"/>
    <s v="Nov"/>
    <x v="0"/>
    <x v="1"/>
    <n v="102286.07698514432"/>
    <n v="28"/>
    <x v="1"/>
    <n v="3592.32"/>
    <n v="3813.48"/>
    <n v="1921.3823999999913"/>
    <s v="New"/>
    <n v="0.04"/>
    <s v="Credit Card"/>
    <s v="Retail"/>
    <x v="19"/>
  </r>
  <r>
    <n v="1050"/>
    <x v="254"/>
    <d v="2023-11-13T00:00:00"/>
    <x v="1"/>
    <s v="Nov"/>
    <x v="3"/>
    <x v="3"/>
    <n v="52358.848191765588"/>
    <n v="28"/>
    <x v="3"/>
    <n v="1711.63"/>
    <n v="1951.2400000000002"/>
    <n v="4523.691200000002"/>
    <s v="New"/>
    <n v="0.04"/>
    <s v="Cash"/>
    <s v="Online"/>
    <x v="4"/>
  </r>
  <r>
    <n v="1090"/>
    <x v="37"/>
    <d v="2023-11-14T00:00:00"/>
    <x v="1"/>
    <s v="Nov"/>
    <x v="2"/>
    <x v="1"/>
    <n v="216.4059"/>
    <n v="1"/>
    <x v="1"/>
    <n v="60.28"/>
    <n v="260.73"/>
    <n v="156.1259"/>
    <s v="Returning"/>
    <n v="0.17"/>
    <s v="Cash"/>
    <s v="Online"/>
    <x v="8"/>
  </r>
  <r>
    <n v="1001"/>
    <x v="8"/>
    <d v="2023-11-14T00:00:00"/>
    <x v="1"/>
    <s v="Nov"/>
    <x v="4"/>
    <x v="3"/>
    <n v="24401.974342868431"/>
    <n v="36"/>
    <x v="0"/>
    <n v="666.84"/>
    <n v="682.24"/>
    <n v="308.79359999999861"/>
    <s v="New"/>
    <n v="0.01"/>
    <s v="Bank Transfer"/>
    <s v="Retail"/>
    <x v="12"/>
  </r>
  <r>
    <n v="1012"/>
    <x v="90"/>
    <d v="2023-11-14T00:00:00"/>
    <x v="1"/>
    <s v="Nov"/>
    <x v="4"/>
    <x v="3"/>
    <n v="17266.290999999997"/>
    <n v="14"/>
    <x v="2"/>
    <n v="1185.5"/>
    <n v="1271.45"/>
    <n v="669.2909999999988"/>
    <s v="Returning"/>
    <n v="0.03"/>
    <s v="Bank Transfer"/>
    <s v="Retail"/>
    <x v="12"/>
  </r>
  <r>
    <n v="1012"/>
    <x v="393"/>
    <d v="2023-11-14T00:00:00"/>
    <x v="1"/>
    <s v="Nov"/>
    <x v="0"/>
    <x v="3"/>
    <n v="23953.31479030729"/>
    <n v="6"/>
    <x v="1"/>
    <n v="3609.42"/>
    <n v="4082.62"/>
    <n v="2349.2855999999992"/>
    <s v="Returning"/>
    <n v="0.02"/>
    <s v="Bank Transfer"/>
    <s v="Retail"/>
    <x v="5"/>
  </r>
  <r>
    <n v="1092"/>
    <x v="1"/>
    <d v="2023-11-14T00:00:00"/>
    <x v="1"/>
    <s v="Nov"/>
    <x v="0"/>
    <x v="1"/>
    <n v="113599.7604"/>
    <n v="28"/>
    <x v="1"/>
    <n v="3936.69"/>
    <n v="4362.51"/>
    <n v="3372.4403999999904"/>
    <s v="Returning"/>
    <n v="7.0000000000000007E-2"/>
    <s v="Credit Card"/>
    <s v="Retail"/>
    <x v="19"/>
  </r>
  <r>
    <n v="1033"/>
    <x v="99"/>
    <d v="2023-11-14T00:00:00"/>
    <x v="1"/>
    <s v="Nov"/>
    <x v="4"/>
    <x v="0"/>
    <n v="76974.582403666194"/>
    <n v="23"/>
    <x v="0"/>
    <n v="2981.5"/>
    <n v="3360.4"/>
    <n v="8714.7000000000025"/>
    <s v="Returning"/>
    <n v="0"/>
    <s v="Bank Transfer"/>
    <s v="Retail"/>
    <x v="13"/>
  </r>
  <r>
    <n v="1085"/>
    <x v="5"/>
    <d v="2023-11-14T00:00:00"/>
    <x v="1"/>
    <s v="Nov"/>
    <x v="1"/>
    <x v="0"/>
    <n v="45848.9856"/>
    <n v="32"/>
    <x v="0"/>
    <n v="1074.93"/>
    <n v="1492.48"/>
    <n v="11451.225599999998"/>
    <s v="Returning"/>
    <n v="0.04"/>
    <s v="Credit Card"/>
    <s v="Retail"/>
    <x v="10"/>
  </r>
  <r>
    <n v="1068"/>
    <x v="78"/>
    <d v="2023-11-14T00:00:00"/>
    <x v="1"/>
    <s v="Nov"/>
    <x v="1"/>
    <x v="2"/>
    <n v="63813.506400000006"/>
    <n v="42"/>
    <x v="1"/>
    <n v="1218.18"/>
    <n v="1566.3600000000001"/>
    <n v="12649.946400000001"/>
    <s v="Returning"/>
    <n v="0.03"/>
    <s v="Credit Card"/>
    <s v="Retail"/>
    <x v="15"/>
  </r>
  <r>
    <n v="1032"/>
    <x v="151"/>
    <d v="2023-11-15T00:00:00"/>
    <x v="1"/>
    <s v="Nov"/>
    <x v="3"/>
    <x v="2"/>
    <n v="787.84159999999997"/>
    <n v="1"/>
    <x v="3"/>
    <n v="651"/>
    <n v="865.76"/>
    <n v="136.84159999999997"/>
    <s v="Returning"/>
    <n v="0.09"/>
    <s v="Bank Transfer"/>
    <s v="Retail"/>
    <x v="9"/>
  </r>
  <r>
    <n v="1100"/>
    <x v="350"/>
    <d v="2023-11-15T00:00:00"/>
    <x v="1"/>
    <s v="Nov"/>
    <x v="0"/>
    <x v="1"/>
    <n v="2295.1437378553314"/>
    <n v="2"/>
    <x v="0"/>
    <n v="1036.76"/>
    <n v="1189.3499999999999"/>
    <n v="210.0319999999997"/>
    <s v="New"/>
    <n v="0.04"/>
    <s v="Bank Transfer"/>
    <s v="Online"/>
    <x v="19"/>
  </r>
  <r>
    <n v="1030"/>
    <x v="371"/>
    <d v="2023-11-15T00:00:00"/>
    <x v="1"/>
    <s v="Nov"/>
    <x v="0"/>
    <x v="1"/>
    <n v="34400.25566498682"/>
    <n v="24"/>
    <x v="1"/>
    <n v="1370.52"/>
    <n v="1482.58"/>
    <n v="1621.982399999999"/>
    <s v="Returning"/>
    <n v="0.03"/>
    <s v="Credit Card"/>
    <s v="Retail"/>
    <x v="19"/>
  </r>
  <r>
    <n v="1036"/>
    <x v="92"/>
    <d v="2023-11-15T00:00:00"/>
    <x v="1"/>
    <s v="Nov"/>
    <x v="2"/>
    <x v="2"/>
    <n v="55587.35"/>
    <n v="19"/>
    <x v="0"/>
    <n v="2844.97"/>
    <n v="3215"/>
    <n v="1532.9200000000055"/>
    <s v="Returning"/>
    <n v="0.09"/>
    <s v="Credit Card"/>
    <s v="Retail"/>
    <x v="14"/>
  </r>
  <r>
    <n v="1051"/>
    <x v="281"/>
    <d v="2023-11-15T00:00:00"/>
    <x v="1"/>
    <s v="Nov"/>
    <x v="3"/>
    <x v="3"/>
    <n v="40713.265999999996"/>
    <n v="23"/>
    <x v="2"/>
    <n v="1676.42"/>
    <n v="2082.52"/>
    <n v="2155.6059999999943"/>
    <s v="New"/>
    <n v="0.15"/>
    <s v="Bank Transfer"/>
    <s v="Retail"/>
    <x v="4"/>
  </r>
  <r>
    <n v="1092"/>
    <x v="324"/>
    <d v="2023-11-15T00:00:00"/>
    <x v="1"/>
    <s v="Nov"/>
    <x v="4"/>
    <x v="1"/>
    <n v="158494.23081359366"/>
    <n v="47"/>
    <x v="2"/>
    <n v="3034.32"/>
    <n v="3375.79"/>
    <n v="16049.089999999991"/>
    <s v="New"/>
    <n v="0"/>
    <s v="Credit Card"/>
    <s v="Online"/>
    <x v="6"/>
  </r>
  <r>
    <n v="1015"/>
    <x v="91"/>
    <d v="2023-11-16T00:00:00"/>
    <x v="1"/>
    <s v="Nov"/>
    <x v="0"/>
    <x v="1"/>
    <n v="2973.6602245789295"/>
    <n v="1"/>
    <x v="0"/>
    <n v="2928.74"/>
    <n v="3027.74"/>
    <n v="38.445200000000114"/>
    <s v="New"/>
    <n v="0.02"/>
    <s v="Bank Transfer"/>
    <s v="Retail"/>
    <x v="19"/>
  </r>
  <r>
    <n v="1051"/>
    <x v="213"/>
    <d v="2023-11-16T00:00:00"/>
    <x v="1"/>
    <s v="Nov"/>
    <x v="2"/>
    <x v="2"/>
    <n v="5053.6106999999993"/>
    <n v="31"/>
    <x v="0"/>
    <n v="144.88"/>
    <n v="175.29"/>
    <n v="562.3306999999993"/>
    <s v="New"/>
    <n v="7.0000000000000007E-2"/>
    <s v="Bank Transfer"/>
    <s v="Online"/>
    <x v="14"/>
  </r>
  <r>
    <n v="1078"/>
    <x v="217"/>
    <d v="2023-11-16T00:00:00"/>
    <x v="1"/>
    <s v="Nov"/>
    <x v="4"/>
    <x v="1"/>
    <n v="28380.104800000001"/>
    <n v="8"/>
    <x v="0"/>
    <n v="3459.61"/>
    <n v="3657.23"/>
    <n v="703.22479999999996"/>
    <s v="Returning"/>
    <n v="0.03"/>
    <s v="Bank Transfer"/>
    <s v="Online"/>
    <x v="6"/>
  </r>
  <r>
    <n v="1088"/>
    <x v="83"/>
    <d v="2023-11-16T00:00:00"/>
    <x v="1"/>
    <s v="Nov"/>
    <x v="0"/>
    <x v="3"/>
    <n v="32645.555059148468"/>
    <n v="13"/>
    <x v="0"/>
    <n v="2440.11"/>
    <n v="2517.6"/>
    <n v="1007.3699999999972"/>
    <s v="New"/>
    <n v="0"/>
    <s v="Bank Transfer"/>
    <s v="Retail"/>
    <x v="5"/>
  </r>
  <r>
    <n v="1073"/>
    <x v="264"/>
    <d v="2023-11-16T00:00:00"/>
    <x v="1"/>
    <s v="Nov"/>
    <x v="4"/>
    <x v="0"/>
    <n v="130694.06853221025"/>
    <n v="48"/>
    <x v="1"/>
    <n v="2658.9"/>
    <n v="2838.27"/>
    <n v="3160.2815999999948"/>
    <s v="New"/>
    <n v="0.04"/>
    <s v="Credit Card"/>
    <s v="Online"/>
    <x v="13"/>
  </r>
  <r>
    <n v="1041"/>
    <x v="175"/>
    <d v="2023-11-16T00:00:00"/>
    <x v="1"/>
    <s v="Nov"/>
    <x v="4"/>
    <x v="0"/>
    <n v="35014.984000000004"/>
    <n v="40"/>
    <x v="3"/>
    <n v="601.86"/>
    <n v="1067.53"/>
    <n v="10940.584000000003"/>
    <s v="New"/>
    <n v="0.18"/>
    <s v="Cash"/>
    <s v="Online"/>
    <x v="13"/>
  </r>
  <r>
    <n v="1062"/>
    <x v="84"/>
    <d v="2023-11-17T00:00:00"/>
    <x v="1"/>
    <s v="Nov"/>
    <x v="1"/>
    <x v="3"/>
    <n v="60412.427207873894"/>
    <n v="28"/>
    <x v="1"/>
    <n v="2094.88"/>
    <n v="2168.9100000000003"/>
    <n v="1465.5452000000041"/>
    <s v="Returning"/>
    <n v="0.01"/>
    <s v="Cash"/>
    <s v="Retail"/>
    <x v="7"/>
  </r>
  <r>
    <n v="1100"/>
    <x v="343"/>
    <d v="2023-11-17T00:00:00"/>
    <x v="1"/>
    <s v="Nov"/>
    <x v="2"/>
    <x v="1"/>
    <n v="9143.9712000000018"/>
    <n v="13"/>
    <x v="3"/>
    <n v="366.2"/>
    <n v="732.69"/>
    <n v="4383.3712000000014"/>
    <s v="New"/>
    <n v="0.04"/>
    <s v="Cash"/>
    <s v="Retail"/>
    <x v="8"/>
  </r>
  <r>
    <n v="1004"/>
    <x v="334"/>
    <d v="2023-11-18T00:00:00"/>
    <x v="1"/>
    <s v="Nov"/>
    <x v="3"/>
    <x v="1"/>
    <n v="208.54516960520419"/>
    <n v="1"/>
    <x v="3"/>
    <n v="182.99"/>
    <n v="211.18"/>
    <n v="26.07820000000001"/>
    <s v="Returning"/>
    <n v="0.01"/>
    <s v="Bank Transfer"/>
    <s v="Retail"/>
    <x v="16"/>
  </r>
  <r>
    <n v="1062"/>
    <x v="18"/>
    <d v="2023-11-18T00:00:00"/>
    <x v="1"/>
    <s v="Nov"/>
    <x v="3"/>
    <x v="1"/>
    <n v="17798.400000000001"/>
    <n v="12"/>
    <x v="0"/>
    <n v="1088.99"/>
    <n v="1545"/>
    <n v="4730.5200000000004"/>
    <s v="Returning"/>
    <n v="0.04"/>
    <s v="Bank Transfer"/>
    <s v="Retail"/>
    <x v="16"/>
  </r>
  <r>
    <n v="1045"/>
    <x v="266"/>
    <d v="2023-11-19T00:00:00"/>
    <x v="1"/>
    <s v="Nov"/>
    <x v="2"/>
    <x v="3"/>
    <n v="1940.2042188788869"/>
    <n v="2"/>
    <x v="2"/>
    <n v="912.08"/>
    <n v="993.24"/>
    <n v="122.59039999999982"/>
    <s v="Returning"/>
    <n v="0.02"/>
    <s v="Credit Card"/>
    <s v="Online"/>
    <x v="3"/>
  </r>
  <r>
    <n v="1033"/>
    <x v="284"/>
    <d v="2023-11-19T00:00:00"/>
    <x v="1"/>
    <s v="Nov"/>
    <x v="4"/>
    <x v="3"/>
    <n v="108554.44994439161"/>
    <n v="37"/>
    <x v="2"/>
    <n v="2600.7600000000002"/>
    <n v="2937.57"/>
    <n v="12461.969999999998"/>
    <s v="New"/>
    <n v="0"/>
    <s v="Credit Card"/>
    <s v="Retail"/>
    <x v="12"/>
  </r>
  <r>
    <n v="1040"/>
    <x v="344"/>
    <d v="2023-11-19T00:00:00"/>
    <x v="1"/>
    <s v="Nov"/>
    <x v="4"/>
    <x v="3"/>
    <n v="121769.01"/>
    <n v="47"/>
    <x v="2"/>
    <n v="2189.54"/>
    <n v="2617"/>
    <n v="18860.629999999997"/>
    <s v="New"/>
    <n v="0.01"/>
    <s v="Bank Transfer"/>
    <s v="Online"/>
    <x v="12"/>
  </r>
  <r>
    <n v="1028"/>
    <x v="171"/>
    <d v="2023-11-20T00:00:00"/>
    <x v="1"/>
    <s v="Nov"/>
    <x v="3"/>
    <x v="1"/>
    <n v="3915.2795000000006"/>
    <n v="5"/>
    <x v="3"/>
    <n v="734.92"/>
    <n v="991.21"/>
    <n v="240.67950000000053"/>
    <s v="Returning"/>
    <n v="0.21"/>
    <s v="Credit Card"/>
    <s v="Online"/>
    <x v="16"/>
  </r>
  <r>
    <n v="1012"/>
    <x v="296"/>
    <d v="2023-11-20T00:00:00"/>
    <x v="1"/>
    <s v="Nov"/>
    <x v="2"/>
    <x v="3"/>
    <n v="4504.2105268878486"/>
    <n v="1"/>
    <x v="3"/>
    <n v="4190.83"/>
    <n v="4528.7699999999995"/>
    <n v="292.65229999999974"/>
    <s v="Returning"/>
    <n v="0.01"/>
    <s v="Bank Transfer"/>
    <s v="Online"/>
    <x v="3"/>
  </r>
  <r>
    <n v="1084"/>
    <x v="103"/>
    <d v="2023-11-20T00:00:00"/>
    <x v="1"/>
    <s v="Nov"/>
    <x v="2"/>
    <x v="0"/>
    <n v="51651.977999999996"/>
    <n v="15"/>
    <x v="0"/>
    <n v="3420.72"/>
    <n v="3513.74"/>
    <n v="341.17799999999761"/>
    <s v="New"/>
    <n v="0.02"/>
    <s v="Cash"/>
    <s v="Online"/>
    <x v="18"/>
  </r>
  <r>
    <n v="1036"/>
    <x v="242"/>
    <d v="2023-11-20T00:00:00"/>
    <x v="1"/>
    <s v="Nov"/>
    <x v="3"/>
    <x v="1"/>
    <n v="25594.534399999997"/>
    <n v="32"/>
    <x v="1"/>
    <n v="700.49"/>
    <n v="1126.52"/>
    <n v="3178.8543999999965"/>
    <s v="New"/>
    <n v="0.28999999999999998"/>
    <s v="Credit Card"/>
    <s v="Retail"/>
    <x v="16"/>
  </r>
  <r>
    <n v="1090"/>
    <x v="159"/>
    <d v="2023-11-20T00:00:00"/>
    <x v="1"/>
    <s v="Nov"/>
    <x v="3"/>
    <x v="2"/>
    <n v="97508.687520046471"/>
    <n v="32"/>
    <x v="2"/>
    <n v="2678.99"/>
    <n v="3152.2799999999997"/>
    <n v="12119.091199999995"/>
    <s v="Returning"/>
    <n v="0.03"/>
    <s v="Cash"/>
    <s v="Retail"/>
    <x v="9"/>
  </r>
  <r>
    <n v="1014"/>
    <x v="125"/>
    <d v="2023-11-22T00:00:00"/>
    <x v="1"/>
    <s v="Nov"/>
    <x v="4"/>
    <x v="2"/>
    <n v="54246.305002368324"/>
    <n v="17"/>
    <x v="3"/>
    <n v="3184.65"/>
    <n v="3204.01"/>
    <n v="329.12000000000216"/>
    <s v="New"/>
    <n v="0"/>
    <s v="Bank Transfer"/>
    <s v="Online"/>
    <x v="17"/>
  </r>
  <r>
    <n v="1058"/>
    <x v="289"/>
    <d v="2023-11-22T00:00:00"/>
    <x v="1"/>
    <s v="Nov"/>
    <x v="3"/>
    <x v="2"/>
    <n v="14833.706999999999"/>
    <n v="15"/>
    <x v="1"/>
    <n v="894.48"/>
    <n v="1336.37"/>
    <n v="1416.5069999999987"/>
    <s v="Returning"/>
    <n v="0.26"/>
    <s v="Cash"/>
    <s v="Retail"/>
    <x v="9"/>
  </r>
  <r>
    <n v="1093"/>
    <x v="161"/>
    <d v="2023-11-22T00:00:00"/>
    <x v="1"/>
    <s v="Nov"/>
    <x v="1"/>
    <x v="3"/>
    <n v="77023.986078679824"/>
    <n v="22"/>
    <x v="0"/>
    <n v="3285.25"/>
    <n v="3634.58"/>
    <n v="4486.8295999999937"/>
    <s v="New"/>
    <n v="0.04"/>
    <s v="Bank Transfer"/>
    <s v="Online"/>
    <x v="7"/>
  </r>
  <r>
    <n v="1016"/>
    <x v="270"/>
    <d v="2023-11-23T00:00:00"/>
    <x v="1"/>
    <s v="Nov"/>
    <x v="0"/>
    <x v="1"/>
    <n v="128247.92179051605"/>
    <n v="26"/>
    <x v="1"/>
    <n v="4906.8500000000004"/>
    <n v="4954.3900000000003"/>
    <n v="1236.0399999999991"/>
    <s v="New"/>
    <n v="0"/>
    <s v="Bank Transfer"/>
    <s v="Online"/>
    <x v="19"/>
  </r>
  <r>
    <n v="1065"/>
    <x v="310"/>
    <d v="2023-11-24T00:00:00"/>
    <x v="1"/>
    <s v="Nov"/>
    <x v="2"/>
    <x v="1"/>
    <n v="22473.0072"/>
    <n v="18"/>
    <x v="3"/>
    <n v="1239.0899999999999"/>
    <n v="1273.98"/>
    <n v="169.38719999999967"/>
    <s v="New"/>
    <n v="0.02"/>
    <s v="Bank Transfer"/>
    <s v="Retail"/>
    <x v="8"/>
  </r>
  <r>
    <n v="1024"/>
    <x v="140"/>
    <d v="2023-11-24T00:00:00"/>
    <x v="1"/>
    <s v="Nov"/>
    <x v="3"/>
    <x v="0"/>
    <n v="103558.59956353124"/>
    <n v="22"/>
    <x v="3"/>
    <n v="4691.32"/>
    <n v="4752.88"/>
    <n v="308.68640000000778"/>
    <s v="Returning"/>
    <n v="0.01"/>
    <s v="Bank Transfer"/>
    <s v="Retail"/>
    <x v="11"/>
  </r>
  <r>
    <n v="1003"/>
    <x v="66"/>
    <d v="2023-11-24T00:00:00"/>
    <x v="1"/>
    <s v="Nov"/>
    <x v="0"/>
    <x v="1"/>
    <n v="41136.062363362194"/>
    <n v="11"/>
    <x v="3"/>
    <n v="3706.78"/>
    <n v="3862.26"/>
    <n v="435.73420000000033"/>
    <s v="New"/>
    <n v="0.03"/>
    <s v="Credit Card"/>
    <s v="Retail"/>
    <x v="19"/>
  </r>
  <r>
    <n v="1072"/>
    <x v="352"/>
    <d v="2023-11-24T00:00:00"/>
    <x v="1"/>
    <s v="Nov"/>
    <x v="3"/>
    <x v="1"/>
    <n v="12654.55"/>
    <n v="25"/>
    <x v="1"/>
    <n v="481.19"/>
    <n v="693.4"/>
    <n v="624.79999999999905"/>
    <s v="New"/>
    <n v="0.27"/>
    <s v="Credit Card"/>
    <s v="Retail"/>
    <x v="16"/>
  </r>
  <r>
    <n v="1071"/>
    <x v="238"/>
    <d v="2023-11-24T00:00:00"/>
    <x v="1"/>
    <s v="Nov"/>
    <x v="3"/>
    <x v="2"/>
    <n v="53402.973996040804"/>
    <n v="12"/>
    <x v="3"/>
    <n v="4317.95"/>
    <n v="4636.59"/>
    <n v="1598.1168000000034"/>
    <s v="New"/>
    <n v="0.04"/>
    <s v="Credit Card"/>
    <s v="Retail"/>
    <x v="9"/>
  </r>
  <r>
    <n v="1021"/>
    <x v="380"/>
    <d v="2023-11-24T00:00:00"/>
    <x v="1"/>
    <s v="Nov"/>
    <x v="0"/>
    <x v="3"/>
    <n v="62686.962592000571"/>
    <n v="15"/>
    <x v="3"/>
    <n v="3771.27"/>
    <n v="4212.55"/>
    <n v="5987.317500000001"/>
    <s v="Returning"/>
    <n v="0.01"/>
    <s v="Credit Card"/>
    <s v="Retail"/>
    <x v="5"/>
  </r>
  <r>
    <n v="1022"/>
    <x v="116"/>
    <d v="2023-11-24T00:00:00"/>
    <x v="1"/>
    <s v="Nov"/>
    <x v="0"/>
    <x v="2"/>
    <n v="22956.272399999998"/>
    <n v="29"/>
    <x v="0"/>
    <n v="479.58"/>
    <n v="909.88"/>
    <n v="9048.4524000000001"/>
    <s v="Returning"/>
    <n v="0.13"/>
    <s v="Credit Card"/>
    <s v="Retail"/>
    <x v="2"/>
  </r>
  <r>
    <n v="1095"/>
    <x v="94"/>
    <d v="2023-11-25T00:00:00"/>
    <x v="1"/>
    <s v="Nov"/>
    <x v="3"/>
    <x v="1"/>
    <n v="28669.635000000002"/>
    <n v="37"/>
    <x v="2"/>
    <n v="407.77"/>
    <n v="860.95"/>
    <n v="13582.145"/>
    <s v="New"/>
    <n v="0.1"/>
    <s v="Credit Card"/>
    <s v="Retail"/>
    <x v="16"/>
  </r>
  <r>
    <n v="1074"/>
    <x v="107"/>
    <d v="2023-11-25T00:00:00"/>
    <x v="1"/>
    <s v="Nov"/>
    <x v="0"/>
    <x v="3"/>
    <n v="107333.81830453471"/>
    <n v="42"/>
    <x v="0"/>
    <n v="2120.81"/>
    <n v="2611.94"/>
    <n v="18433.430400000001"/>
    <s v="Returning"/>
    <n v="0.02"/>
    <s v="Cash"/>
    <s v="Online"/>
    <x v="5"/>
  </r>
  <r>
    <n v="1043"/>
    <x v="273"/>
    <d v="2023-11-26T00:00:00"/>
    <x v="1"/>
    <s v="Nov"/>
    <x v="2"/>
    <x v="0"/>
    <n v="6468.7883953729652"/>
    <n v="3"/>
    <x v="2"/>
    <n v="2009.1"/>
    <n v="2186.42"/>
    <n v="466.36740000000054"/>
    <s v="New"/>
    <n v="0.01"/>
    <s v="Bank Transfer"/>
    <s v="Online"/>
    <x v="18"/>
  </r>
  <r>
    <n v="1095"/>
    <x v="323"/>
    <d v="2023-11-26T00:00:00"/>
    <x v="1"/>
    <s v="Nov"/>
    <x v="1"/>
    <x v="2"/>
    <n v="30337.488328924996"/>
    <n v="7"/>
    <x v="3"/>
    <n v="4257.24"/>
    <n v="4355.87"/>
    <n v="385.49910000000364"/>
    <s v="Returning"/>
    <n v="0.01"/>
    <s v="Bank Transfer"/>
    <s v="Online"/>
    <x v="15"/>
  </r>
  <r>
    <n v="1051"/>
    <x v="118"/>
    <d v="2023-11-26T00:00:00"/>
    <x v="1"/>
    <s v="Nov"/>
    <x v="0"/>
    <x v="0"/>
    <n v="33629.646981436657"/>
    <n v="8"/>
    <x v="3"/>
    <n v="3970.37"/>
    <n v="4257.5199999999995"/>
    <n v="1956.5983999999953"/>
    <s v="New"/>
    <n v="0.01"/>
    <s v="Cash"/>
    <s v="Retail"/>
    <x v="0"/>
  </r>
  <r>
    <n v="1070"/>
    <x v="62"/>
    <d v="2023-11-26T00:00:00"/>
    <x v="1"/>
    <s v="Nov"/>
    <x v="4"/>
    <x v="3"/>
    <n v="128614.404370776"/>
    <n v="40"/>
    <x v="0"/>
    <n v="3089.96"/>
    <n v="3258.45"/>
    <n v="5436.2199999999939"/>
    <s v="New"/>
    <n v="0.01"/>
    <s v="Cash"/>
    <s v="Online"/>
    <x v="12"/>
  </r>
  <r>
    <n v="1030"/>
    <x v="340"/>
    <d v="2023-11-26T00:00:00"/>
    <x v="1"/>
    <s v="Nov"/>
    <x v="3"/>
    <x v="2"/>
    <n v="88712.438255114292"/>
    <n v="39"/>
    <x v="2"/>
    <n v="2041.75"/>
    <n v="2299.37"/>
    <n v="9150.4256999999961"/>
    <s v="Returning"/>
    <n v="0.01"/>
    <s v="Bank Transfer"/>
    <s v="Retail"/>
    <x v="9"/>
  </r>
  <r>
    <n v="1021"/>
    <x v="110"/>
    <d v="2023-11-27T00:00:00"/>
    <x v="1"/>
    <s v="Nov"/>
    <x v="3"/>
    <x v="0"/>
    <n v="74511.494088667256"/>
    <n v="31"/>
    <x v="0"/>
    <n v="2254.9899999999998"/>
    <n v="2441.79"/>
    <n v="4276.8902000000107"/>
    <s v="Returning"/>
    <n v="0.02"/>
    <s v="Bank Transfer"/>
    <s v="Online"/>
    <x v="11"/>
  </r>
  <r>
    <n v="1044"/>
    <x v="357"/>
    <d v="2023-11-28T00:00:00"/>
    <x v="1"/>
    <s v="Nov"/>
    <x v="1"/>
    <x v="2"/>
    <n v="22989.957608871355"/>
    <n v="6"/>
    <x v="2"/>
    <n v="3703.93"/>
    <n v="3840.24"/>
    <n v="817.85999999999967"/>
    <s v="New"/>
    <n v="0"/>
    <s v="Credit Card"/>
    <s v="Online"/>
    <x v="15"/>
  </r>
  <r>
    <n v="1089"/>
    <x v="111"/>
    <d v="2023-11-28T00:00:00"/>
    <x v="1"/>
    <s v="Nov"/>
    <x v="4"/>
    <x v="2"/>
    <n v="36669.441600000006"/>
    <n v="8"/>
    <x v="0"/>
    <n v="4349.34"/>
    <n v="4629.9800000000005"/>
    <n v="1874.7216000000044"/>
    <s v="Returning"/>
    <n v="0.01"/>
    <s v="Credit Card"/>
    <s v="Online"/>
    <x v="17"/>
  </r>
  <r>
    <n v="1005"/>
    <x v="300"/>
    <d v="2023-11-28T00:00:00"/>
    <x v="1"/>
    <s v="Nov"/>
    <x v="4"/>
    <x v="2"/>
    <n v="56588.602000000006"/>
    <n v="43"/>
    <x v="0"/>
    <n v="1200.4000000000001"/>
    <n v="1430.45"/>
    <n v="4971.4020000000019"/>
    <s v="New"/>
    <n v="0.08"/>
    <s v="Bank Transfer"/>
    <s v="Retail"/>
    <x v="17"/>
  </r>
  <r>
    <n v="1086"/>
    <x v="82"/>
    <d v="2023-11-29T00:00:00"/>
    <x v="1"/>
    <s v="Nov"/>
    <x v="2"/>
    <x v="2"/>
    <n v="6370.98"/>
    <n v="7"/>
    <x v="3"/>
    <n v="737.9"/>
    <n v="1182"/>
    <n v="1205.68"/>
    <s v="New"/>
    <n v="0.23"/>
    <s v="Credit Card"/>
    <s v="Retail"/>
    <x v="14"/>
  </r>
  <r>
    <n v="1002"/>
    <x v="53"/>
    <d v="2023-11-29T00:00:00"/>
    <x v="1"/>
    <s v="Nov"/>
    <x v="4"/>
    <x v="3"/>
    <n v="83427.243563777331"/>
    <n v="24"/>
    <x v="0"/>
    <n v="3305.94"/>
    <n v="3599.27"/>
    <n v="4448.4455999999918"/>
    <s v="New"/>
    <n v="0.03"/>
    <s v="Credit Card"/>
    <s v="Retail"/>
    <x v="12"/>
  </r>
  <r>
    <n v="1082"/>
    <x v="112"/>
    <d v="2023-11-30T00:00:00"/>
    <x v="1"/>
    <s v="Nov"/>
    <x v="3"/>
    <x v="0"/>
    <n v="57027.729304144013"/>
    <n v="41"/>
    <x v="2"/>
    <n v="1196.42"/>
    <n v="1444.97"/>
    <n v="7820.7991999999967"/>
    <s v="Returning"/>
    <n v="0.04"/>
    <s v="Bank Transfer"/>
    <s v="Online"/>
    <x v="11"/>
  </r>
  <r>
    <n v="1096"/>
    <x v="27"/>
    <d v="2023-12-01T00:00:00"/>
    <x v="1"/>
    <s v="Dec"/>
    <x v="2"/>
    <x v="1"/>
    <n v="41209.644931951159"/>
    <n v="20"/>
    <x v="0"/>
    <n v="1994.9"/>
    <n v="2066.5"/>
    <n v="1431.9999999999982"/>
    <s v="Returning"/>
    <n v="0"/>
    <s v="Bank Transfer"/>
    <s v="Online"/>
    <x v="8"/>
  </r>
  <r>
    <n v="1055"/>
    <x v="391"/>
    <d v="2023-12-01T00:00:00"/>
    <x v="1"/>
    <s v="Dec"/>
    <x v="1"/>
    <x v="2"/>
    <n v="30467.831450799327"/>
    <n v="8"/>
    <x v="0"/>
    <n v="3513"/>
    <n v="3838.42"/>
    <n v="2296.2864000000009"/>
    <s v="Returning"/>
    <n v="0.01"/>
    <s v="Bank Transfer"/>
    <s v="Online"/>
    <x v="15"/>
  </r>
  <r>
    <n v="1100"/>
    <x v="350"/>
    <d v="2023-12-01T00:00:00"/>
    <x v="1"/>
    <s v="Dec"/>
    <x v="3"/>
    <x v="1"/>
    <n v="183677.52"/>
    <n v="34"/>
    <x v="0"/>
    <n v="4991.09"/>
    <n v="5402.28"/>
    <n v="13980.459999999986"/>
    <s v="Returning"/>
    <n v="0"/>
    <s v="Cash"/>
    <s v="Retail"/>
    <x v="16"/>
  </r>
  <r>
    <n v="1073"/>
    <x v="279"/>
    <d v="2023-12-01T00:00:00"/>
    <x v="1"/>
    <s v="Dec"/>
    <x v="4"/>
    <x v="2"/>
    <n v="117646.52671861343"/>
    <n v="40"/>
    <x v="0"/>
    <n v="2565.3000000000002"/>
    <n v="3007.4700000000003"/>
    <n v="15280.823999999993"/>
    <s v="Returning"/>
    <n v="0.02"/>
    <s v="Credit Card"/>
    <s v="Retail"/>
    <x v="17"/>
  </r>
  <r>
    <n v="1077"/>
    <x v="172"/>
    <d v="2023-12-02T00:00:00"/>
    <x v="1"/>
    <s v="Dec"/>
    <x v="4"/>
    <x v="1"/>
    <n v="56186.397118732471"/>
    <n v="24"/>
    <x v="2"/>
    <n v="2258.54"/>
    <n v="2439.4899999999998"/>
    <n v="2000.889599999995"/>
    <s v="Returning"/>
    <n v="0.04"/>
    <s v="Credit Card"/>
    <s v="Retail"/>
    <x v="6"/>
  </r>
  <r>
    <n v="1092"/>
    <x v="1"/>
    <d v="2023-12-03T00:00:00"/>
    <x v="1"/>
    <s v="Dec"/>
    <x v="4"/>
    <x v="1"/>
    <n v="3584.2014000000008"/>
    <n v="6"/>
    <x v="1"/>
    <n v="422.74"/>
    <n v="737.49"/>
    <n v="1047.7614000000005"/>
    <s v="Returning"/>
    <n v="0.19"/>
    <s v="Credit Card"/>
    <s v="Retail"/>
    <x v="6"/>
  </r>
  <r>
    <n v="1011"/>
    <x v="236"/>
    <d v="2023-12-03T00:00:00"/>
    <x v="1"/>
    <s v="Dec"/>
    <x v="2"/>
    <x v="1"/>
    <n v="23620.812676790396"/>
    <n v="13"/>
    <x v="2"/>
    <n v="1442.69"/>
    <n v="1882.5700000000002"/>
    <n v="4984.2377000000006"/>
    <s v="Returning"/>
    <n v="0.03"/>
    <s v="Cash"/>
    <s v="Online"/>
    <x v="8"/>
  </r>
  <r>
    <n v="1069"/>
    <x v="302"/>
    <d v="2023-12-03T00:00:00"/>
    <x v="1"/>
    <s v="Dec"/>
    <x v="4"/>
    <x v="3"/>
    <n v="107927.52096745027"/>
    <n v="35"/>
    <x v="2"/>
    <n v="2885.16"/>
    <n v="3224.8399999999997"/>
    <n v="7374.0239999999858"/>
    <s v="New"/>
    <n v="0.04"/>
    <s v="Cash"/>
    <s v="Online"/>
    <x v="12"/>
  </r>
  <r>
    <n v="1063"/>
    <x v="33"/>
    <d v="2023-12-04T00:00:00"/>
    <x v="1"/>
    <s v="Dec"/>
    <x v="4"/>
    <x v="0"/>
    <n v="34741.577276649601"/>
    <n v="14"/>
    <x v="1"/>
    <n v="2188.35"/>
    <n v="2605.3599999999997"/>
    <n v="4014.3879999999963"/>
    <s v="Returning"/>
    <n v="0.05"/>
    <s v="Credit Card"/>
    <s v="Retail"/>
    <x v="13"/>
  </r>
  <r>
    <n v="1014"/>
    <x v="98"/>
    <d v="2023-12-04T00:00:00"/>
    <x v="1"/>
    <s v="Dec"/>
    <x v="2"/>
    <x v="2"/>
    <n v="35247.807000000001"/>
    <n v="49"/>
    <x v="0"/>
    <n v="493.35"/>
    <n v="799.27"/>
    <n v="11073.656999999997"/>
    <s v="New"/>
    <n v="0.1"/>
    <s v="Bank Transfer"/>
    <s v="Online"/>
    <x v="14"/>
  </r>
  <r>
    <n v="1094"/>
    <x v="51"/>
    <d v="2023-12-05T00:00:00"/>
    <x v="1"/>
    <s v="Dec"/>
    <x v="0"/>
    <x v="1"/>
    <n v="7226.58"/>
    <n v="12"/>
    <x v="0"/>
    <n v="333.32"/>
    <n v="700.25"/>
    <n v="3226.7400000000007"/>
    <s v="Returning"/>
    <n v="0.14000000000000001"/>
    <s v="Cash"/>
    <s v="Online"/>
    <x v="19"/>
  </r>
  <r>
    <n v="1008"/>
    <x v="162"/>
    <d v="2023-12-05T00:00:00"/>
    <x v="1"/>
    <s v="Dec"/>
    <x v="1"/>
    <x v="1"/>
    <n v="9504.4806000000008"/>
    <n v="27"/>
    <x v="2"/>
    <n v="68.989999999999995"/>
    <n v="429.29"/>
    <n v="7641.7506000000003"/>
    <s v="Returning"/>
    <n v="0.18"/>
    <s v="Credit Card"/>
    <s v="Retail"/>
    <x v="1"/>
  </r>
  <r>
    <n v="1085"/>
    <x v="34"/>
    <d v="2023-12-06T00:00:00"/>
    <x v="1"/>
    <s v="Dec"/>
    <x v="0"/>
    <x v="3"/>
    <n v="132058.89628833215"/>
    <n v="42"/>
    <x v="2"/>
    <n v="3117.75"/>
    <n v="3159.88"/>
    <n v="1769.4600000000046"/>
    <s v="New"/>
    <n v="0"/>
    <s v="Cash"/>
    <s v="Retail"/>
    <x v="5"/>
  </r>
  <r>
    <n v="1073"/>
    <x v="47"/>
    <d v="2023-12-06T00:00:00"/>
    <x v="1"/>
    <s v="Dec"/>
    <x v="3"/>
    <x v="3"/>
    <n v="142605.32666289774"/>
    <n v="31"/>
    <x v="3"/>
    <n v="4368.97"/>
    <n v="4696.8500000000004"/>
    <n v="7252.2330000000065"/>
    <s v="Returning"/>
    <n v="0.02"/>
    <s v="Bank Transfer"/>
    <s v="Retail"/>
    <x v="4"/>
  </r>
  <r>
    <n v="1099"/>
    <x v="122"/>
    <d v="2023-12-07T00:00:00"/>
    <x v="1"/>
    <s v="Dec"/>
    <x v="2"/>
    <x v="1"/>
    <n v="54612.342399999994"/>
    <n v="22"/>
    <x v="0"/>
    <n v="2471.67"/>
    <n v="2533.04"/>
    <n v="235.60239999999521"/>
    <s v="Returning"/>
    <n v="0.02"/>
    <s v="Bank Transfer"/>
    <s v="Retail"/>
    <x v="8"/>
  </r>
  <r>
    <n v="1095"/>
    <x v="40"/>
    <d v="2023-12-08T00:00:00"/>
    <x v="1"/>
    <s v="Dec"/>
    <x v="0"/>
    <x v="1"/>
    <n v="13798.628605552818"/>
    <n v="4"/>
    <x v="1"/>
    <n v="3191.05"/>
    <n v="3555.3500000000004"/>
    <n v="1030.5580000000009"/>
    <s v="New"/>
    <n v="0.03"/>
    <s v="Credit Card"/>
    <s v="Online"/>
    <x v="19"/>
  </r>
  <r>
    <n v="1008"/>
    <x v="162"/>
    <d v="2023-12-08T00:00:00"/>
    <x v="1"/>
    <s v="Dec"/>
    <x v="3"/>
    <x v="0"/>
    <n v="144328.55429999999"/>
    <n v="49"/>
    <x v="2"/>
    <n v="2907.22"/>
    <n v="3385.6099999999997"/>
    <n v="1874.7742999999909"/>
    <s v="New"/>
    <n v="0.13"/>
    <s v="Cash"/>
    <s v="Online"/>
    <x v="11"/>
  </r>
  <r>
    <n v="1031"/>
    <x v="135"/>
    <d v="2023-12-08T00:00:00"/>
    <x v="1"/>
    <s v="Dec"/>
    <x v="4"/>
    <x v="3"/>
    <n v="95713.452286452797"/>
    <n v="22"/>
    <x v="3"/>
    <n v="4236.05"/>
    <n v="4382.3200000000006"/>
    <n v="2253.8296000000137"/>
    <s v="New"/>
    <n v="0.01"/>
    <s v="Bank Transfer"/>
    <s v="Online"/>
    <x v="12"/>
  </r>
  <r>
    <n v="1036"/>
    <x v="301"/>
    <d v="2023-12-10T00:00:00"/>
    <x v="1"/>
    <s v="Dec"/>
    <x v="4"/>
    <x v="3"/>
    <n v="21038.605"/>
    <n v="7"/>
    <x v="3"/>
    <n v="2882.25"/>
    <n v="3163.7"/>
    <n v="862.85499999999911"/>
    <s v="Returning"/>
    <n v="0.05"/>
    <s v="Cash"/>
    <s v="Retail"/>
    <x v="12"/>
  </r>
  <r>
    <n v="1062"/>
    <x v="109"/>
    <d v="2023-12-10T00:00:00"/>
    <x v="1"/>
    <s v="Dec"/>
    <x v="4"/>
    <x v="2"/>
    <n v="13974.93993894618"/>
    <n v="11"/>
    <x v="2"/>
    <n v="1190.08"/>
    <n v="1292.9399999999998"/>
    <n v="847.01319999999919"/>
    <s v="Returning"/>
    <n v="0.02"/>
    <s v="Cash"/>
    <s v="Retail"/>
    <x v="17"/>
  </r>
  <r>
    <n v="1098"/>
    <x v="106"/>
    <d v="2023-12-10T00:00:00"/>
    <x v="1"/>
    <s v="Dec"/>
    <x v="0"/>
    <x v="1"/>
    <n v="110145.7504"/>
    <n v="28"/>
    <x v="2"/>
    <n v="3895.62"/>
    <n v="4055.44"/>
    <n v="1068.3904000000057"/>
    <s v="New"/>
    <n v="0.03"/>
    <s v="Bank Transfer"/>
    <s v="Retail"/>
    <x v="19"/>
  </r>
  <r>
    <n v="1037"/>
    <x v="13"/>
    <d v="2023-12-10T00:00:00"/>
    <x v="1"/>
    <s v="Dec"/>
    <x v="2"/>
    <x v="3"/>
    <n v="84612.716800000009"/>
    <n v="32"/>
    <x v="2"/>
    <n v="2594.08"/>
    <n v="3074.59"/>
    <n v="1602.1568000000116"/>
    <s v="New"/>
    <n v="0.14000000000000001"/>
    <s v="Cash"/>
    <s v="Retail"/>
    <x v="3"/>
  </r>
  <r>
    <n v="1020"/>
    <x v="68"/>
    <d v="2023-12-10T00:00:00"/>
    <x v="1"/>
    <s v="Dec"/>
    <x v="2"/>
    <x v="3"/>
    <n v="201772.20186080592"/>
    <n v="45"/>
    <x v="2"/>
    <n v="4268.45"/>
    <n v="4551.5999999999995"/>
    <n v="10693.53"/>
    <s v="New"/>
    <n v="0.01"/>
    <s v="Bank Transfer"/>
    <s v="Online"/>
    <x v="3"/>
  </r>
  <r>
    <n v="1045"/>
    <x v="121"/>
    <d v="2023-12-11T00:00:00"/>
    <x v="1"/>
    <s v="Dec"/>
    <x v="3"/>
    <x v="2"/>
    <n v="12678.701200000001"/>
    <n v="22"/>
    <x v="1"/>
    <n v="241.85"/>
    <n v="613.09"/>
    <n v="7358.0012000000006"/>
    <s v="Returning"/>
    <n v="0.06"/>
    <s v="Cash"/>
    <s v="Online"/>
    <x v="9"/>
  </r>
  <r>
    <n v="1051"/>
    <x v="327"/>
    <d v="2023-12-12T00:00:00"/>
    <x v="1"/>
    <s v="Dec"/>
    <x v="0"/>
    <x v="3"/>
    <n v="5070.1440000000002"/>
    <n v="8"/>
    <x v="1"/>
    <n v="467.11"/>
    <n v="792.21"/>
    <n v="1333.2640000000001"/>
    <s v="New"/>
    <n v="0.2"/>
    <s v="Credit Card"/>
    <s v="Online"/>
    <x v="5"/>
  </r>
  <r>
    <n v="1053"/>
    <x v="4"/>
    <d v="2023-12-12T00:00:00"/>
    <x v="1"/>
    <s v="Dec"/>
    <x v="3"/>
    <x v="0"/>
    <n v="172396.11532501967"/>
    <n v="47"/>
    <x v="2"/>
    <n v="3551.76"/>
    <n v="3696.1000000000004"/>
    <n v="5046.8129999999956"/>
    <s v="Returning"/>
    <n v="0.01"/>
    <s v="Bank Transfer"/>
    <s v="Retail"/>
    <x v="11"/>
  </r>
  <r>
    <n v="1070"/>
    <x v="318"/>
    <d v="2023-12-13T00:00:00"/>
    <x v="1"/>
    <s v="Dec"/>
    <x v="3"/>
    <x v="2"/>
    <n v="32311.502323347417"/>
    <n v="8"/>
    <x v="1"/>
    <n v="3762.27"/>
    <n v="4166.95"/>
    <n v="2237.3719999999994"/>
    <s v="Returning"/>
    <n v="0.03"/>
    <s v="Bank Transfer"/>
    <s v="Online"/>
    <x v="9"/>
  </r>
  <r>
    <n v="1092"/>
    <x v="1"/>
    <d v="2023-12-13T00:00:00"/>
    <x v="1"/>
    <s v="Dec"/>
    <x v="1"/>
    <x v="3"/>
    <n v="40017.938630993522"/>
    <n v="15"/>
    <x v="1"/>
    <n v="2273.88"/>
    <n v="2696.02"/>
    <n v="5927.6969999999983"/>
    <s v="New"/>
    <n v="0.01"/>
    <s v="Cash"/>
    <s v="Online"/>
    <x v="7"/>
  </r>
  <r>
    <n v="1070"/>
    <x v="358"/>
    <d v="2023-12-14T00:00:00"/>
    <x v="1"/>
    <s v="Dec"/>
    <x v="1"/>
    <x v="0"/>
    <n v="28980.39897288162"/>
    <n v="33"/>
    <x v="3"/>
    <n v="866.42"/>
    <n v="878.43"/>
    <n v="396.3299999999997"/>
    <s v="New"/>
    <n v="0"/>
    <s v="Cash"/>
    <s v="Retail"/>
    <x v="10"/>
  </r>
  <r>
    <n v="1043"/>
    <x v="72"/>
    <d v="2023-12-15T00:00:00"/>
    <x v="1"/>
    <s v="Dec"/>
    <x v="4"/>
    <x v="2"/>
    <n v="4178.0706"/>
    <n v="6"/>
    <x v="1"/>
    <n v="563.59"/>
    <n v="838.97"/>
    <n v="796.53059999999982"/>
    <s v="New"/>
    <n v="0.17"/>
    <s v="Credit Card"/>
    <s v="Online"/>
    <x v="17"/>
  </r>
  <r>
    <n v="1076"/>
    <x v="9"/>
    <d v="2023-12-15T00:00:00"/>
    <x v="1"/>
    <s v="Dec"/>
    <x v="2"/>
    <x v="2"/>
    <n v="85621.983968719913"/>
    <n v="32"/>
    <x v="3"/>
    <n v="2636.36"/>
    <n v="2696.78"/>
    <n v="1070.4704000000056"/>
    <s v="New"/>
    <n v="0.01"/>
    <s v="Cash"/>
    <s v="Retail"/>
    <x v="14"/>
  </r>
  <r>
    <n v="1012"/>
    <x v="90"/>
    <d v="2023-12-15T00:00:00"/>
    <x v="1"/>
    <s v="Dec"/>
    <x v="2"/>
    <x v="2"/>
    <n v="30717.896299999997"/>
    <n v="13"/>
    <x v="2"/>
    <n v="2231.66"/>
    <n v="2596.6099999999997"/>
    <n v="1706.3162999999981"/>
    <s v="Returning"/>
    <n v="0.09"/>
    <s v="Bank Transfer"/>
    <s v="Retail"/>
    <x v="14"/>
  </r>
  <r>
    <n v="1045"/>
    <x v="121"/>
    <d v="2023-12-15T00:00:00"/>
    <x v="1"/>
    <s v="Dec"/>
    <x v="4"/>
    <x v="0"/>
    <n v="153076.37004213006"/>
    <n v="42"/>
    <x v="1"/>
    <n v="3587.74"/>
    <n v="3745.91"/>
    <n v="1923.2933999999987"/>
    <s v="Returning"/>
    <n v="0.03"/>
    <s v="Cash"/>
    <s v="Online"/>
    <x v="13"/>
  </r>
  <r>
    <n v="1019"/>
    <x v="63"/>
    <d v="2023-12-15T00:00:00"/>
    <x v="1"/>
    <s v="Dec"/>
    <x v="4"/>
    <x v="1"/>
    <n v="55908.781860090981"/>
    <n v="36"/>
    <x v="1"/>
    <n v="1340.51"/>
    <n v="1567.92"/>
    <n v="7622.3088000000016"/>
    <s v="New"/>
    <n v="0.01"/>
    <s v="Cash"/>
    <s v="Online"/>
    <x v="6"/>
  </r>
  <r>
    <n v="1061"/>
    <x v="363"/>
    <d v="2023-12-15T00:00:00"/>
    <x v="1"/>
    <s v="Dec"/>
    <x v="3"/>
    <x v="3"/>
    <n v="100514.73260322418"/>
    <n v="32"/>
    <x v="3"/>
    <n v="2759.26"/>
    <n v="3193.25"/>
    <n v="11843.999999999985"/>
    <s v="New"/>
    <n v="0.02"/>
    <s v="Bank Transfer"/>
    <s v="Online"/>
    <x v="4"/>
  </r>
  <r>
    <n v="1074"/>
    <x v="107"/>
    <d v="2023-12-16T00:00:00"/>
    <x v="1"/>
    <s v="Dec"/>
    <x v="2"/>
    <x v="3"/>
    <n v="6109.9971999999998"/>
    <n v="19"/>
    <x v="0"/>
    <n v="278.67"/>
    <n v="423.13"/>
    <n v="815.26719999999978"/>
    <s v="New"/>
    <n v="0.24"/>
    <s v="Credit Card"/>
    <s v="Online"/>
    <x v="3"/>
  </r>
  <r>
    <n v="1076"/>
    <x v="129"/>
    <d v="2023-12-16T00:00:00"/>
    <x v="1"/>
    <s v="Dec"/>
    <x v="0"/>
    <x v="1"/>
    <n v="107805.38461693148"/>
    <n v="30"/>
    <x v="1"/>
    <n v="3519.63"/>
    <n v="3774.65"/>
    <n v="1988.6249999999973"/>
    <s v="New"/>
    <n v="0.05"/>
    <s v="Credit Card"/>
    <s v="Retail"/>
    <x v="19"/>
  </r>
  <r>
    <n v="1060"/>
    <x v="366"/>
    <d v="2023-12-16T00:00:00"/>
    <x v="1"/>
    <s v="Dec"/>
    <x v="0"/>
    <x v="1"/>
    <n v="176896.3064"/>
    <n v="44"/>
    <x v="1"/>
    <n v="3784.96"/>
    <n v="4276.99"/>
    <n v="10358.066399999987"/>
    <s v="New"/>
    <n v="0.06"/>
    <s v="Bank Transfer"/>
    <s v="Retail"/>
    <x v="19"/>
  </r>
  <r>
    <n v="1014"/>
    <x v="98"/>
    <d v="2023-12-18T00:00:00"/>
    <x v="1"/>
    <s v="Dec"/>
    <x v="4"/>
    <x v="1"/>
    <n v="4410.551249890862"/>
    <n v="4"/>
    <x v="0"/>
    <n v="854.68"/>
    <n v="1115.24"/>
    <n v="997.63040000000046"/>
    <s v="New"/>
    <n v="0.01"/>
    <s v="Credit Card"/>
    <s v="Retail"/>
    <x v="6"/>
  </r>
  <r>
    <n v="1073"/>
    <x v="47"/>
    <d v="2023-12-18T00:00:00"/>
    <x v="1"/>
    <s v="Dec"/>
    <x v="0"/>
    <x v="2"/>
    <n v="16762.751999999997"/>
    <n v="40"/>
    <x v="3"/>
    <n v="157.15"/>
    <n v="436.53"/>
    <n v="10476.751999999997"/>
    <s v="New"/>
    <n v="0.04"/>
    <s v="Cash"/>
    <s v="Retail"/>
    <x v="2"/>
  </r>
  <r>
    <n v="1029"/>
    <x v="152"/>
    <d v="2023-12-19T00:00:00"/>
    <x v="1"/>
    <s v="Dec"/>
    <x v="0"/>
    <x v="3"/>
    <n v="65941.020001826575"/>
    <n v="21"/>
    <x v="3"/>
    <n v="3085.1"/>
    <n v="3200.75"/>
    <n v="1084.3350000000046"/>
    <s v="New"/>
    <n v="0.02"/>
    <s v="Cash"/>
    <s v="Retail"/>
    <x v="5"/>
  </r>
  <r>
    <n v="1043"/>
    <x v="273"/>
    <d v="2023-12-19T00:00:00"/>
    <x v="1"/>
    <s v="Dec"/>
    <x v="0"/>
    <x v="0"/>
    <n v="60423.386664687423"/>
    <n v="12"/>
    <x v="2"/>
    <n v="4920.46"/>
    <n v="5079.68"/>
    <n v="1301.0784000000021"/>
    <s v="New"/>
    <n v="0.01"/>
    <s v="Credit Card"/>
    <s v="Retail"/>
    <x v="0"/>
  </r>
  <r>
    <n v="1064"/>
    <x v="126"/>
    <d v="2023-12-19T00:00:00"/>
    <x v="1"/>
    <s v="Dec"/>
    <x v="3"/>
    <x v="2"/>
    <n v="175120.09983513289"/>
    <n v="35"/>
    <x v="1"/>
    <n v="4900.03"/>
    <n v="5118.83"/>
    <n v="4074.8189999999886"/>
    <s v="Returning"/>
    <n v="0.02"/>
    <s v="Credit Card"/>
    <s v="Retail"/>
    <x v="9"/>
  </r>
  <r>
    <n v="1088"/>
    <x v="25"/>
    <d v="2023-12-19T00:00:00"/>
    <x v="1"/>
    <s v="Dec"/>
    <x v="3"/>
    <x v="1"/>
    <n v="97974.820697484742"/>
    <n v="20"/>
    <x v="1"/>
    <n v="4590.24"/>
    <n v="5088.28"/>
    <n v="5890.1759999999922"/>
    <s v="New"/>
    <n v="0.04"/>
    <s v="Bank Transfer"/>
    <s v="Retail"/>
    <x v="16"/>
  </r>
  <r>
    <n v="1063"/>
    <x v="398"/>
    <d v="2023-12-19T00:00:00"/>
    <x v="1"/>
    <s v="Dec"/>
    <x v="1"/>
    <x v="2"/>
    <n v="120739.05575534902"/>
    <n v="46"/>
    <x v="0"/>
    <n v="2302.62"/>
    <n v="2740.93"/>
    <n v="15118.948799999991"/>
    <s v="Returning"/>
    <n v="0.04"/>
    <s v="Bank Transfer"/>
    <s v="Online"/>
    <x v="15"/>
  </r>
  <r>
    <n v="1058"/>
    <x v="289"/>
    <d v="2023-12-20T00:00:00"/>
    <x v="1"/>
    <s v="Dec"/>
    <x v="4"/>
    <x v="3"/>
    <n v="4656.7975999999999"/>
    <n v="2"/>
    <x v="1"/>
    <n v="2250.91"/>
    <n v="2558.6799999999998"/>
    <n v="154.97760000000017"/>
    <s v="New"/>
    <n v="0.09"/>
    <s v="Credit Card"/>
    <s v="Retail"/>
    <x v="12"/>
  </r>
  <r>
    <n v="1008"/>
    <x v="95"/>
    <d v="2023-12-20T00:00:00"/>
    <x v="1"/>
    <s v="Dec"/>
    <x v="1"/>
    <x v="2"/>
    <n v="53301.800553671033"/>
    <n v="23"/>
    <x v="1"/>
    <n v="2296.9299999999998"/>
    <n v="2319.62"/>
    <n v="521.87000000000126"/>
    <s v="Returning"/>
    <n v="0"/>
    <s v="Bank Transfer"/>
    <s v="Retail"/>
    <x v="15"/>
  </r>
  <r>
    <n v="1100"/>
    <x v="198"/>
    <d v="2023-12-20T00:00:00"/>
    <x v="1"/>
    <s v="Dec"/>
    <x v="4"/>
    <x v="2"/>
    <n v="144532.28790000002"/>
    <n v="39"/>
    <x v="2"/>
    <n v="3685.03"/>
    <n v="3743.3900000000003"/>
    <n v="816.11790000000519"/>
    <s v="New"/>
    <n v="0.01"/>
    <s v="Bank Transfer"/>
    <s v="Online"/>
    <x v="17"/>
  </r>
  <r>
    <n v="1069"/>
    <x v="337"/>
    <d v="2023-12-20T00:00:00"/>
    <x v="1"/>
    <s v="Dec"/>
    <x v="0"/>
    <x v="3"/>
    <n v="59445.865942657852"/>
    <n v="12"/>
    <x v="0"/>
    <n v="4682.34"/>
    <n v="5036.4000000000015"/>
    <n v="3039.9840000000149"/>
    <s v="New"/>
    <n v="0.02"/>
    <s v="Bank Transfer"/>
    <s v="Retail"/>
    <x v="5"/>
  </r>
  <r>
    <n v="1053"/>
    <x v="265"/>
    <d v="2023-12-21T00:00:00"/>
    <x v="1"/>
    <s v="Dec"/>
    <x v="2"/>
    <x v="3"/>
    <n v="93486.452204847505"/>
    <n v="44"/>
    <x v="0"/>
    <n v="2045"/>
    <n v="2217.5100000000002"/>
    <n v="3687.622400000002"/>
    <s v="Returning"/>
    <n v="0.04"/>
    <s v="Credit Card"/>
    <s v="Online"/>
    <x v="3"/>
  </r>
  <r>
    <n v="1052"/>
    <x v="333"/>
    <d v="2023-12-22T00:00:00"/>
    <x v="1"/>
    <s v="Dec"/>
    <x v="1"/>
    <x v="2"/>
    <n v="7679.416991708049"/>
    <n v="2"/>
    <x v="0"/>
    <n v="3752.68"/>
    <n v="4017.91"/>
    <n v="209.02719999999954"/>
    <s v="Returning"/>
    <n v="0.04"/>
    <s v="Bank Transfer"/>
    <s v="Online"/>
    <x v="15"/>
  </r>
  <r>
    <n v="1004"/>
    <x v="260"/>
    <d v="2023-12-22T00:00:00"/>
    <x v="1"/>
    <s v="Dec"/>
    <x v="0"/>
    <x v="3"/>
    <n v="53580.270162048051"/>
    <n v="11"/>
    <x v="1"/>
    <n v="4840.33"/>
    <n v="4884.29"/>
    <n v="483.5600000000004"/>
    <s v="New"/>
    <n v="0"/>
    <s v="Cash"/>
    <s v="Online"/>
    <x v="5"/>
  </r>
  <r>
    <n v="1025"/>
    <x v="7"/>
    <d v="2023-12-22T00:00:00"/>
    <x v="1"/>
    <s v="Dec"/>
    <x v="2"/>
    <x v="0"/>
    <n v="16095.224835313025"/>
    <n v="11"/>
    <x v="3"/>
    <n v="1250.5899999999999"/>
    <n v="1515.4899999999998"/>
    <n v="2413.7882999999983"/>
    <s v="Returning"/>
    <n v="0.03"/>
    <s v="Bank Transfer"/>
    <s v="Retail"/>
    <x v="18"/>
  </r>
  <r>
    <n v="1061"/>
    <x v="385"/>
    <d v="2023-12-22T00:00:00"/>
    <x v="1"/>
    <s v="Dec"/>
    <x v="3"/>
    <x v="3"/>
    <n v="68073.12000000001"/>
    <n v="45"/>
    <x v="1"/>
    <n v="1364.51"/>
    <n v="1844.8"/>
    <n v="6670.1700000000055"/>
    <s v="Returning"/>
    <n v="0.18"/>
    <s v="Cash"/>
    <s v="Online"/>
    <x v="4"/>
  </r>
  <r>
    <n v="1052"/>
    <x v="390"/>
    <d v="2023-12-22T00:00:00"/>
    <x v="1"/>
    <s v="Dec"/>
    <x v="1"/>
    <x v="2"/>
    <n v="27411.091199999999"/>
    <n v="18"/>
    <x v="3"/>
    <n v="1127.8599999999999"/>
    <n v="1586.29"/>
    <n v="7109.6111999999994"/>
    <s v="New"/>
    <n v="0.04"/>
    <s v="Credit Card"/>
    <s v="Online"/>
    <x v="15"/>
  </r>
  <r>
    <n v="1001"/>
    <x v="292"/>
    <d v="2023-12-22T00:00:00"/>
    <x v="1"/>
    <s v="Dec"/>
    <x v="4"/>
    <x v="2"/>
    <n v="74433.303"/>
    <n v="45"/>
    <x v="1"/>
    <n v="1372.36"/>
    <n v="1687.83"/>
    <n v="12677.103000000005"/>
    <s v="New"/>
    <n v="0.02"/>
    <s v="Credit Card"/>
    <s v="Online"/>
    <x v="17"/>
  </r>
  <r>
    <n v="1023"/>
    <x v="361"/>
    <d v="2023-12-23T00:00:00"/>
    <x v="1"/>
    <s v="Dec"/>
    <x v="2"/>
    <x v="1"/>
    <n v="158667.05159583825"/>
    <n v="47"/>
    <x v="2"/>
    <n v="3374.72"/>
    <n v="3483.1499999999996"/>
    <n v="184.96849999998085"/>
    <s v="Returning"/>
    <n v="0.03"/>
    <s v="Cash"/>
    <s v="Online"/>
    <x v="8"/>
  </r>
  <r>
    <n v="1017"/>
    <x v="330"/>
    <d v="2023-12-23T00:00:00"/>
    <x v="1"/>
    <s v="Dec"/>
    <x v="3"/>
    <x v="1"/>
    <n v="60538.143599999996"/>
    <n v="33"/>
    <x v="3"/>
    <n v="1551.25"/>
    <n v="1994.01"/>
    <n v="9346.8935999999994"/>
    <s v="Returning"/>
    <n v="0.08"/>
    <s v="Cash"/>
    <s v="Online"/>
    <x v="16"/>
  </r>
  <r>
    <n v="1005"/>
    <x v="300"/>
    <d v="2023-12-25T00:00:00"/>
    <x v="1"/>
    <s v="Dec"/>
    <x v="3"/>
    <x v="0"/>
    <n v="60582.814749960213"/>
    <n v="28"/>
    <x v="0"/>
    <n v="2146.2399999999998"/>
    <n v="2173.4699999999998"/>
    <n v="762.44000000000051"/>
    <s v="Returning"/>
    <n v="0"/>
    <s v="Cash"/>
    <s v="Retail"/>
    <x v="11"/>
  </r>
  <r>
    <n v="1010"/>
    <x v="65"/>
    <d v="2023-12-25T00:00:00"/>
    <x v="1"/>
    <s v="Dec"/>
    <x v="4"/>
    <x v="0"/>
    <n v="100974.64132736642"/>
    <n v="30"/>
    <x v="3"/>
    <n v="3289.01"/>
    <n v="3508.1400000000003"/>
    <n v="2364.1319999999996"/>
    <s v="New"/>
    <n v="0.04"/>
    <s v="Bank Transfer"/>
    <s v="Retail"/>
    <x v="13"/>
  </r>
  <r>
    <n v="1056"/>
    <x v="101"/>
    <d v="2023-12-25T00:00:00"/>
    <x v="1"/>
    <s v="Dec"/>
    <x v="2"/>
    <x v="3"/>
    <n v="33756.764822137833"/>
    <n v="25"/>
    <x v="1"/>
    <n v="1154.28"/>
    <n v="1408.4"/>
    <n v="4944.6000000000022"/>
    <s v="Returning"/>
    <n v="0.04"/>
    <s v="Bank Transfer"/>
    <s v="Retail"/>
    <x v="3"/>
  </r>
  <r>
    <n v="1089"/>
    <x v="348"/>
    <d v="2023-12-25T00:00:00"/>
    <x v="1"/>
    <s v="Dec"/>
    <x v="0"/>
    <x v="0"/>
    <n v="149108.25599999999"/>
    <n v="32"/>
    <x v="1"/>
    <n v="4248.5"/>
    <n v="4706.7"/>
    <n v="13156.255999999994"/>
    <s v="New"/>
    <n v="0.01"/>
    <s v="Bank Transfer"/>
    <s v="Retail"/>
    <x v="0"/>
  </r>
  <r>
    <n v="1047"/>
    <x v="137"/>
    <d v="2023-12-25T00:00:00"/>
    <x v="1"/>
    <s v="Dec"/>
    <x v="4"/>
    <x v="3"/>
    <n v="68326.054000000004"/>
    <n v="43"/>
    <x v="2"/>
    <n v="1249.17"/>
    <n v="1727.15"/>
    <n v="14611.743999999999"/>
    <s v="New"/>
    <n v="0.08"/>
    <s v="Cash"/>
    <s v="Retail"/>
    <x v="12"/>
  </r>
  <r>
    <n v="1032"/>
    <x v="311"/>
    <d v="2023-12-26T00:00:00"/>
    <x v="1"/>
    <s v="Dec"/>
    <x v="4"/>
    <x v="0"/>
    <n v="46410.974070632212"/>
    <n v="11"/>
    <x v="1"/>
    <n v="4100.62"/>
    <n v="4230"/>
    <n v="1423.1800000000012"/>
    <s v="New"/>
    <n v="0"/>
    <s v="Bank Transfer"/>
    <s v="Online"/>
    <x v="13"/>
  </r>
  <r>
    <n v="1099"/>
    <x v="288"/>
    <d v="2023-12-26T00:00:00"/>
    <x v="1"/>
    <s v="Dec"/>
    <x v="0"/>
    <x v="2"/>
    <n v="105058.40008977411"/>
    <n v="25"/>
    <x v="2"/>
    <n v="4148.4799999999996"/>
    <n v="4293.6899999999996"/>
    <n v="1483.4049999999934"/>
    <s v="New"/>
    <n v="0.02"/>
    <s v="Bank Transfer"/>
    <s v="Online"/>
    <x v="2"/>
  </r>
  <r>
    <n v="1024"/>
    <x v="207"/>
    <d v="2023-12-26T00:00:00"/>
    <x v="1"/>
    <s v="Dec"/>
    <x v="4"/>
    <x v="3"/>
    <n v="72387.329789410738"/>
    <n v="17"/>
    <x v="0"/>
    <n v="4114.66"/>
    <n v="4269.0199999999995"/>
    <n v="2624.1199999999944"/>
    <s v="Returning"/>
    <n v="0"/>
    <s v="Bank Transfer"/>
    <s v="Retail"/>
    <x v="12"/>
  </r>
  <r>
    <n v="1072"/>
    <x v="325"/>
    <d v="2023-12-26T00:00:00"/>
    <x v="1"/>
    <s v="Dec"/>
    <x v="1"/>
    <x v="3"/>
    <n v="41982.82"/>
    <n v="23"/>
    <x v="0"/>
    <n v="1662.83"/>
    <n v="2074.25"/>
    <n v="3737.7299999999996"/>
    <s v="New"/>
    <n v="0.12"/>
    <s v="Bank Transfer"/>
    <s v="Online"/>
    <x v="7"/>
  </r>
  <r>
    <n v="1056"/>
    <x v="353"/>
    <d v="2023-12-27T00:00:00"/>
    <x v="1"/>
    <s v="Dec"/>
    <x v="2"/>
    <x v="1"/>
    <n v="6585.0125155553933"/>
    <n v="4"/>
    <x v="3"/>
    <n v="1612.82"/>
    <n v="1647.25"/>
    <n v="137.72000000000025"/>
    <s v="Returning"/>
    <n v="0"/>
    <s v="Credit Card"/>
    <s v="Retail"/>
    <x v="8"/>
  </r>
  <r>
    <n v="1057"/>
    <x v="208"/>
    <d v="2023-12-27T00:00:00"/>
    <x v="1"/>
    <s v="Dec"/>
    <x v="2"/>
    <x v="0"/>
    <n v="75542.417985898122"/>
    <n v="31"/>
    <x v="0"/>
    <n v="2403.16"/>
    <n v="2453.35"/>
    <n v="795.35150000000158"/>
    <s v="Returning"/>
    <n v="0.01"/>
    <s v="Credit Card"/>
    <s v="Online"/>
    <x v="18"/>
  </r>
  <r>
    <n v="1071"/>
    <x v="238"/>
    <d v="2023-12-27T00:00:00"/>
    <x v="1"/>
    <s v="Dec"/>
    <x v="4"/>
    <x v="1"/>
    <n v="65276.1"/>
    <n v="40"/>
    <x v="3"/>
    <n v="1447.72"/>
    <n v="1875.75"/>
    <n v="7367.2999999999956"/>
    <s v="New"/>
    <n v="0.13"/>
    <s v="Cash"/>
    <s v="Retail"/>
    <x v="6"/>
  </r>
  <r>
    <n v="1065"/>
    <x v="310"/>
    <d v="2023-12-28T00:00:00"/>
    <x v="1"/>
    <s v="Dec"/>
    <x v="4"/>
    <x v="2"/>
    <n v="78163.545600000012"/>
    <n v="18"/>
    <x v="3"/>
    <n v="4334.58"/>
    <n v="4431.04"/>
    <n v="141.10560000000623"/>
    <s v="New"/>
    <n v="0.02"/>
    <s v="Bank Transfer"/>
    <s v="Retail"/>
    <x v="17"/>
  </r>
  <r>
    <n v="1086"/>
    <x v="87"/>
    <d v="2023-12-28T00:00:00"/>
    <x v="1"/>
    <s v="Dec"/>
    <x v="2"/>
    <x v="2"/>
    <n v="21540.171599999998"/>
    <n v="46"/>
    <x v="0"/>
    <n v="83.86"/>
    <n v="526.14"/>
    <n v="17682.611599999997"/>
    <s v="Returning"/>
    <n v="0.11"/>
    <s v="Credit Card"/>
    <s v="Online"/>
    <x v="14"/>
  </r>
  <r>
    <n v="1024"/>
    <x v="207"/>
    <d v="2023-12-29T00:00:00"/>
    <x v="1"/>
    <s v="Dec"/>
    <x v="0"/>
    <x v="3"/>
    <n v="17696.293374323857"/>
    <n v="5"/>
    <x v="0"/>
    <n v="3417.9"/>
    <n v="3714.52"/>
    <n v="554.46999999999889"/>
    <s v="Returning"/>
    <n v="0.05"/>
    <s v="Credit Card"/>
    <s v="Retail"/>
    <x v="5"/>
  </r>
  <r>
    <n v="1058"/>
    <x v="188"/>
    <d v="2023-12-29T00:00:00"/>
    <x v="1"/>
    <s v="Dec"/>
    <x v="4"/>
    <x v="3"/>
    <n v="108233.24201018574"/>
    <n v="34"/>
    <x v="2"/>
    <n v="3160.61"/>
    <n v="3273.2200000000003"/>
    <n v="490.05559999999696"/>
    <s v="Returning"/>
    <n v="0.03"/>
    <s v="Credit Card"/>
    <s v="Retail"/>
    <x v="12"/>
  </r>
  <r>
    <n v="1022"/>
    <x v="116"/>
    <d v="2023-12-29T00:00:00"/>
    <x v="1"/>
    <s v="Dec"/>
    <x v="4"/>
    <x v="3"/>
    <n v="19768.598342541598"/>
    <n v="10"/>
    <x v="0"/>
    <n v="1830.61"/>
    <n v="2044.04"/>
    <n v="1521.0879999999997"/>
    <s v="New"/>
    <n v="0.03"/>
    <s v="Cash"/>
    <s v="Online"/>
    <x v="12"/>
  </r>
  <r>
    <n v="1049"/>
    <x v="204"/>
    <d v="2023-12-29T00:00:00"/>
    <x v="1"/>
    <s v="Dec"/>
    <x v="1"/>
    <x v="0"/>
    <n v="125527.80059761995"/>
    <n v="38"/>
    <x v="3"/>
    <n v="2945.92"/>
    <n v="3381.2200000000003"/>
    <n v="13971.6728"/>
    <s v="Returning"/>
    <n v="0.02"/>
    <s v="Cash"/>
    <s v="Retail"/>
    <x v="10"/>
  </r>
  <r>
    <n v="1065"/>
    <x v="374"/>
    <d v="2023-12-30T00:00:00"/>
    <x v="1"/>
    <s v="Dec"/>
    <x v="4"/>
    <x v="0"/>
    <n v="3318.7446"/>
    <n v="9"/>
    <x v="1"/>
    <n v="335.82"/>
    <n v="498.31"/>
    <n v="296.36459999999988"/>
    <s v="New"/>
    <n v="0.26"/>
    <s v="Cash"/>
    <s v="Retail"/>
    <x v="13"/>
  </r>
  <r>
    <n v="1003"/>
    <x v="104"/>
    <d v="2023-12-30T00:00:00"/>
    <x v="1"/>
    <s v="Dec"/>
    <x v="3"/>
    <x v="1"/>
    <n v="8627.4150000000009"/>
    <n v="17"/>
    <x v="0"/>
    <n v="395.11"/>
    <n v="676.66000000000008"/>
    <n v="1910.5450000000008"/>
    <s v="Returning"/>
    <n v="0.25"/>
    <s v="Cash"/>
    <s v="Retail"/>
    <x v="16"/>
  </r>
  <r>
    <n v="1099"/>
    <x v="288"/>
    <d v="2023-12-30T00:00:00"/>
    <x v="1"/>
    <s v="Dec"/>
    <x v="2"/>
    <x v="2"/>
    <n v="93220.108500000002"/>
    <n v="29"/>
    <x v="2"/>
    <n v="3124.87"/>
    <n v="3383.67"/>
    <n v="2598.8785000000025"/>
    <s v="New"/>
    <n v="0.05"/>
    <s v="Credit Card"/>
    <s v="Retail"/>
    <x v="14"/>
  </r>
  <r>
    <n v="1025"/>
    <x v="381"/>
    <d v="2023-12-30T00:00:00"/>
    <x v="1"/>
    <s v="Dec"/>
    <x v="4"/>
    <x v="2"/>
    <n v="61663.5532493559"/>
    <n v="28"/>
    <x v="2"/>
    <n v="2097.84"/>
    <n v="2270.9900000000002"/>
    <n v="2940.5684000000037"/>
    <s v="New"/>
    <n v="0.03"/>
    <s v="Credit Card"/>
    <s v="Retail"/>
    <x v="17"/>
  </r>
  <r>
    <n v="1090"/>
    <x v="37"/>
    <d v="2023-12-31T00:00:00"/>
    <x v="1"/>
    <s v="Dec"/>
    <x v="0"/>
    <x v="2"/>
    <n v="214889.57936841101"/>
    <n v="46"/>
    <x v="1"/>
    <n v="4665.12"/>
    <n v="4675.8999999999996"/>
    <n v="495.87999999998829"/>
    <s v="New"/>
    <n v="0"/>
    <s v="Cash"/>
    <s v="Retail"/>
    <x v="2"/>
  </r>
  <r>
    <n v="1003"/>
    <x v="104"/>
    <d v="2023-12-31T00:00:00"/>
    <x v="1"/>
    <s v="Dec"/>
    <x v="3"/>
    <x v="0"/>
    <n v="127071.15526961461"/>
    <n v="30"/>
    <x v="0"/>
    <n v="4190.28"/>
    <n v="4270.6499999999996"/>
    <n v="1129.9049999999897"/>
    <s v="New"/>
    <n v="0.01"/>
    <s v="Cash"/>
    <s v="Online"/>
    <x v="11"/>
  </r>
  <r>
    <n v="1094"/>
    <x v="230"/>
    <d v="2023-12-31T00:00:00"/>
    <x v="1"/>
    <s v="Dec"/>
    <x v="2"/>
    <x v="0"/>
    <n v="63364.089602610235"/>
    <n v="15"/>
    <x v="3"/>
    <n v="4111.93"/>
    <n v="4338.67"/>
    <n v="1448.6984999999959"/>
    <s v="Returning"/>
    <n v="0.03"/>
    <s v="Credit Card"/>
    <s v="Online"/>
    <x v="18"/>
  </r>
  <r>
    <n v="1058"/>
    <x v="289"/>
    <d v="2023-12-31T00:00:00"/>
    <x v="1"/>
    <s v="Dec"/>
    <x v="3"/>
    <x v="2"/>
    <n v="94386.465209570189"/>
    <n v="44"/>
    <x v="1"/>
    <n v="1910.47"/>
    <n v="2217.8000000000002"/>
    <n v="10595.024000000001"/>
    <s v="New"/>
    <n v="0.03"/>
    <s v="Bank Transfer"/>
    <s v="Online"/>
    <x v="9"/>
  </r>
  <r>
    <n v="1086"/>
    <x v="23"/>
    <d v="2023-12-31T00:00:00"/>
    <x v="1"/>
    <s v="Dec"/>
    <x v="3"/>
    <x v="0"/>
    <n v="124540.84730669482"/>
    <n v="33"/>
    <x v="1"/>
    <n v="3419.33"/>
    <n v="3890.3599999999997"/>
    <n v="11692.533599999982"/>
    <s v="Returning"/>
    <n v="0.03"/>
    <s v="Cash"/>
    <s v="Retail"/>
    <x v="11"/>
  </r>
  <r>
    <n v="1098"/>
    <x v="127"/>
    <d v="2024-01-01T00:00:00"/>
    <x v="2"/>
    <s v="Jan"/>
    <x v="2"/>
    <x v="0"/>
    <n v="4041.9808000000003"/>
    <n v="11"/>
    <x v="1"/>
    <n v="213.41"/>
    <n v="503.36"/>
    <n v="1694.4708000000003"/>
    <s v="Returning"/>
    <n v="0.27"/>
    <s v="Bank Transfer"/>
    <s v="Online"/>
    <x v="18"/>
  </r>
  <r>
    <n v="1018"/>
    <x v="303"/>
    <d v="2024-01-01T00:00:00"/>
    <x v="2"/>
    <s v="Jan"/>
    <x v="3"/>
    <x v="2"/>
    <n v="40171.004869973047"/>
    <n v="24"/>
    <x v="2"/>
    <n v="1362.78"/>
    <n v="1729.81"/>
    <n v="7563.2567999999956"/>
    <s v="New"/>
    <n v="0.03"/>
    <s v="Bank Transfer"/>
    <s v="Online"/>
    <x v="9"/>
  </r>
  <r>
    <n v="1081"/>
    <x v="246"/>
    <d v="2024-01-01T00:00:00"/>
    <x v="2"/>
    <s v="Jan"/>
    <x v="2"/>
    <x v="2"/>
    <n v="12052.04"/>
    <n v="14"/>
    <x v="0"/>
    <n v="161.72"/>
    <n v="1118"/>
    <n v="9787.9599999999991"/>
    <s v="Returning"/>
    <n v="0.23"/>
    <s v="Bank Transfer"/>
    <s v="Online"/>
    <x v="14"/>
  </r>
  <r>
    <n v="1078"/>
    <x v="268"/>
    <d v="2024-01-01T00:00:00"/>
    <x v="2"/>
    <s v="Jan"/>
    <x v="4"/>
    <x v="1"/>
    <n v="12830.2482"/>
    <n v="42"/>
    <x v="3"/>
    <n v="63.41"/>
    <n v="314.93"/>
    <n v="10167.028200000001"/>
    <s v="Returning"/>
    <n v="0.03"/>
    <s v="Cash"/>
    <s v="Retail"/>
    <x v="6"/>
  </r>
  <r>
    <n v="1071"/>
    <x v="238"/>
    <d v="2024-01-01T00:00:00"/>
    <x v="2"/>
    <s v="Jan"/>
    <x v="2"/>
    <x v="2"/>
    <n v="26834.123400000004"/>
    <n v="7"/>
    <x v="3"/>
    <n v="1561.09"/>
    <n v="4406.26"/>
    <n v="15906.493400000001"/>
    <s v="New"/>
    <n v="0.13"/>
    <s v="Bank Transfer"/>
    <s v="Online"/>
    <x v="14"/>
  </r>
  <r>
    <n v="1067"/>
    <x v="331"/>
    <d v="2024-01-02T00:00:00"/>
    <x v="2"/>
    <s v="Jan"/>
    <x v="1"/>
    <x v="1"/>
    <n v="52078.584999999992"/>
    <n v="13"/>
    <x v="3"/>
    <n v="2328.15"/>
    <n v="4261.75"/>
    <n v="21812.634999999995"/>
    <s v="Returning"/>
    <n v="0.06"/>
    <s v="Credit Card"/>
    <s v="Retail"/>
    <x v="1"/>
  </r>
  <r>
    <n v="1091"/>
    <x v="14"/>
    <d v="2024-01-02T00:00:00"/>
    <x v="2"/>
    <s v="Jan"/>
    <x v="4"/>
    <x v="0"/>
    <n v="114819.84"/>
    <n v="24"/>
    <x v="3"/>
    <n v="3874.59"/>
    <n v="4983.5"/>
    <n v="21829.679999999993"/>
    <s v="Returning"/>
    <n v="0.04"/>
    <s v="Bank Transfer"/>
    <s v="Online"/>
    <x v="13"/>
  </r>
  <r>
    <n v="1075"/>
    <x v="19"/>
    <d v="2024-01-04T00:00:00"/>
    <x v="2"/>
    <s v="Jan"/>
    <x v="2"/>
    <x v="1"/>
    <n v="1702.5215999999998"/>
    <n v="2"/>
    <x v="3"/>
    <n v="585.78"/>
    <n v="1091.3599999999999"/>
    <n v="530.96159999999986"/>
    <s v="Returning"/>
    <n v="0.22"/>
    <s v="Credit Card"/>
    <s v="Online"/>
    <x v="8"/>
  </r>
  <r>
    <n v="1017"/>
    <x v="330"/>
    <d v="2024-01-04T00:00:00"/>
    <x v="2"/>
    <s v="Jan"/>
    <x v="0"/>
    <x v="0"/>
    <n v="3293.9050000000002"/>
    <n v="1"/>
    <x v="3"/>
    <n v="267.25"/>
    <n v="4169.5"/>
    <n v="3026.6550000000002"/>
    <s v="New"/>
    <n v="0.21"/>
    <s v="Bank Transfer"/>
    <s v="Online"/>
    <x v="0"/>
  </r>
  <r>
    <n v="1041"/>
    <x v="24"/>
    <d v="2024-01-04T00:00:00"/>
    <x v="2"/>
    <s v="Jan"/>
    <x v="2"/>
    <x v="0"/>
    <n v="78753.153599999991"/>
    <n v="22"/>
    <x v="1"/>
    <n v="3148.64"/>
    <n v="4971.79"/>
    <n v="9483.0735999999997"/>
    <s v="New"/>
    <n v="0.28000000000000003"/>
    <s v="Cash"/>
    <s v="Retail"/>
    <x v="18"/>
  </r>
  <r>
    <n v="1091"/>
    <x v="316"/>
    <d v="2024-01-04T00:00:00"/>
    <x v="2"/>
    <s v="Jan"/>
    <x v="4"/>
    <x v="0"/>
    <n v="12646.154100000002"/>
    <n v="3"/>
    <x v="0"/>
    <n v="681.75"/>
    <n v="5335.93"/>
    <n v="10600.904100000002"/>
    <s v="New"/>
    <n v="0.21"/>
    <s v="Cash"/>
    <s v="Retail"/>
    <x v="13"/>
  </r>
  <r>
    <n v="1028"/>
    <x v="171"/>
    <d v="2024-01-04T00:00:00"/>
    <x v="2"/>
    <s v="Jan"/>
    <x v="2"/>
    <x v="0"/>
    <n v="48902.264999999999"/>
    <n v="18"/>
    <x v="3"/>
    <n v="552.53"/>
    <n v="3622.39"/>
    <n v="38956.724999999999"/>
    <s v="Returning"/>
    <n v="0.25"/>
    <s v="Credit Card"/>
    <s v="Retail"/>
    <x v="18"/>
  </r>
  <r>
    <n v="1068"/>
    <x v="307"/>
    <d v="2024-01-05T00:00:00"/>
    <x v="2"/>
    <s v="Jan"/>
    <x v="1"/>
    <x v="2"/>
    <n v="48270.530000000006"/>
    <n v="11"/>
    <x v="0"/>
    <n v="2473.7800000000002"/>
    <n v="5351.5"/>
    <n v="21058.950000000004"/>
    <s v="New"/>
    <n v="0.18"/>
    <s v="Bank Transfer"/>
    <s v="Online"/>
    <x v="15"/>
  </r>
  <r>
    <n v="1069"/>
    <x v="337"/>
    <d v="2024-01-05T00:00:00"/>
    <x v="2"/>
    <s v="Jan"/>
    <x v="4"/>
    <x v="3"/>
    <n v="69701.148000000001"/>
    <n v="20"/>
    <x v="0"/>
    <n v="1215.9000000000001"/>
    <n v="3520.26"/>
    <n v="45383.148000000001"/>
    <s v="New"/>
    <n v="0.01"/>
    <s v="Credit Card"/>
    <s v="Online"/>
    <x v="12"/>
  </r>
  <r>
    <n v="1056"/>
    <x v="136"/>
    <d v="2024-01-05T00:00:00"/>
    <x v="2"/>
    <s v="Jan"/>
    <x v="0"/>
    <x v="1"/>
    <n v="229986.56340000001"/>
    <n v="46"/>
    <x v="0"/>
    <n v="2460.1799999999998"/>
    <n v="5050.21"/>
    <n v="116818.28340000003"/>
    <s v="Returning"/>
    <n v="0.01"/>
    <s v="Cash"/>
    <s v="Online"/>
    <x v="19"/>
  </r>
  <r>
    <n v="1025"/>
    <x v="7"/>
    <d v="2024-01-06T00:00:00"/>
    <x v="2"/>
    <s v="Jan"/>
    <x v="2"/>
    <x v="2"/>
    <n v="17703.831600000001"/>
    <n v="36"/>
    <x v="3"/>
    <n v="310.64"/>
    <n v="540.41"/>
    <n v="6520.7916000000005"/>
    <s v="Returning"/>
    <n v="0.09"/>
    <s v="Cash"/>
    <s v="Retail"/>
    <x v="14"/>
  </r>
  <r>
    <n v="1077"/>
    <x v="108"/>
    <d v="2024-01-06T00:00:00"/>
    <x v="2"/>
    <s v="Jan"/>
    <x v="1"/>
    <x v="2"/>
    <n v="42148.512000000002"/>
    <n v="10"/>
    <x v="3"/>
    <n v="2608.13"/>
    <n v="4390.47"/>
    <n v="16067.212"/>
    <s v="Returning"/>
    <n v="0.04"/>
    <s v="Credit Card"/>
    <s v="Online"/>
    <x v="15"/>
  </r>
  <r>
    <n v="1024"/>
    <x v="140"/>
    <d v="2024-01-06T00:00:00"/>
    <x v="2"/>
    <s v="Jan"/>
    <x v="4"/>
    <x v="0"/>
    <n v="186144.75599999999"/>
    <n v="42"/>
    <x v="3"/>
    <n v="3942.28"/>
    <n v="5404.9"/>
    <n v="20568.995999999992"/>
    <s v="Returning"/>
    <n v="0.18"/>
    <s v="Cash"/>
    <s v="Online"/>
    <x v="13"/>
  </r>
  <r>
    <n v="1082"/>
    <x v="360"/>
    <d v="2024-01-06T00:00:00"/>
    <x v="2"/>
    <s v="Jan"/>
    <x v="0"/>
    <x v="0"/>
    <n v="87451.794000000009"/>
    <n v="38"/>
    <x v="3"/>
    <n v="955.27"/>
    <n v="2557.0700000000002"/>
    <n v="51151.534000000014"/>
    <s v="New"/>
    <n v="0.1"/>
    <s v="Cash"/>
    <s v="Retail"/>
    <x v="0"/>
  </r>
  <r>
    <n v="1020"/>
    <x v="48"/>
    <d v="2024-01-07T00:00:00"/>
    <x v="2"/>
    <s v="Jan"/>
    <x v="2"/>
    <x v="3"/>
    <n v="7133.8959999999997"/>
    <n v="2"/>
    <x v="3"/>
    <n v="2841.17"/>
    <n v="4820.2"/>
    <n v="1451.5559999999996"/>
    <s v="Returning"/>
    <n v="0.26"/>
    <s v="Cash"/>
    <s v="Retail"/>
    <x v="3"/>
  </r>
  <r>
    <n v="1075"/>
    <x v="28"/>
    <d v="2024-01-07T00:00:00"/>
    <x v="2"/>
    <s v="Jan"/>
    <x v="3"/>
    <x v="1"/>
    <n v="34882.689599999998"/>
    <n v="11"/>
    <x v="0"/>
    <n v="330.76"/>
    <n v="4404.38"/>
    <n v="31244.329600000005"/>
    <s v="Returning"/>
    <n v="0.28000000000000003"/>
    <s v="Cash"/>
    <s v="Retail"/>
    <x v="16"/>
  </r>
  <r>
    <n v="1007"/>
    <x v="12"/>
    <d v="2024-01-07T00:00:00"/>
    <x v="2"/>
    <s v="Jan"/>
    <x v="4"/>
    <x v="3"/>
    <n v="67247.549199999994"/>
    <n v="26"/>
    <x v="2"/>
    <n v="438.24"/>
    <n v="3273.98"/>
    <n v="55853.309200000003"/>
    <s v="New"/>
    <n v="0.21"/>
    <s v="Cash"/>
    <s v="Retail"/>
    <x v="12"/>
  </r>
  <r>
    <n v="1046"/>
    <x v="261"/>
    <d v="2024-01-08T00:00:00"/>
    <x v="2"/>
    <s v="Jan"/>
    <x v="4"/>
    <x v="1"/>
    <n v="1747.3095000000001"/>
    <n v="3"/>
    <x v="2"/>
    <n v="110.75"/>
    <n v="600.45000000000005"/>
    <n v="1415.0595000000001"/>
    <s v="New"/>
    <n v="0.03"/>
    <s v="Bank Transfer"/>
    <s v="Online"/>
    <x v="6"/>
  </r>
  <r>
    <n v="1086"/>
    <x v="23"/>
    <d v="2024-01-08T00:00:00"/>
    <x v="2"/>
    <s v="Jan"/>
    <x v="2"/>
    <x v="1"/>
    <n v="51470.391798856821"/>
    <n v="22"/>
    <x v="1"/>
    <n v="2176.15"/>
    <n v="2351.34"/>
    <n v="3336.8852000000052"/>
    <s v="Returning"/>
    <n v="0.01"/>
    <s v="Credit Card"/>
    <s v="Online"/>
    <x v="8"/>
  </r>
  <r>
    <n v="1030"/>
    <x v="379"/>
    <d v="2024-01-08T00:00:00"/>
    <x v="2"/>
    <s v="Jan"/>
    <x v="2"/>
    <x v="2"/>
    <n v="40114.396800000002"/>
    <n v="8"/>
    <x v="0"/>
    <n v="3817.23"/>
    <n v="5391.72"/>
    <n v="9576.5568000000021"/>
    <s v="New"/>
    <n v="7.0000000000000007E-2"/>
    <s v="Bank Transfer"/>
    <s v="Online"/>
    <x v="14"/>
  </r>
  <r>
    <n v="1065"/>
    <x v="374"/>
    <d v="2024-01-09T00:00:00"/>
    <x v="2"/>
    <s v="Jan"/>
    <x v="2"/>
    <x v="1"/>
    <n v="163074.34732814209"/>
    <n v="34"/>
    <x v="1"/>
    <n v="4638.12"/>
    <n v="4942.3"/>
    <n v="5300.974000000002"/>
    <s v="Returning"/>
    <n v="0.03"/>
    <s v="Credit Card"/>
    <s v="Online"/>
    <x v="8"/>
  </r>
  <r>
    <n v="1046"/>
    <x v="286"/>
    <d v="2024-01-09T00:00:00"/>
    <x v="2"/>
    <s v="Jan"/>
    <x v="0"/>
    <x v="3"/>
    <n v="100167.35399999999"/>
    <n v="36"/>
    <x v="3"/>
    <n v="2202.9299999999998"/>
    <n v="2928.87"/>
    <n v="20861.873999999989"/>
    <s v="New"/>
    <n v="0.05"/>
    <s v="Credit Card"/>
    <s v="Retail"/>
    <x v="5"/>
  </r>
  <r>
    <n v="1003"/>
    <x v="317"/>
    <d v="2024-01-09T00:00:00"/>
    <x v="2"/>
    <s v="Jan"/>
    <x v="1"/>
    <x v="3"/>
    <n v="69215.047999999995"/>
    <n v="20"/>
    <x v="1"/>
    <n v="829.87"/>
    <n v="3531.38"/>
    <n v="52617.648000000001"/>
    <s v="New"/>
    <n v="0.02"/>
    <s v="Credit Card"/>
    <s v="Retail"/>
    <x v="7"/>
  </r>
  <r>
    <n v="1022"/>
    <x v="248"/>
    <d v="2024-01-10T00:00:00"/>
    <x v="2"/>
    <s v="Jan"/>
    <x v="3"/>
    <x v="1"/>
    <n v="22249.483199999999"/>
    <n v="6"/>
    <x v="2"/>
    <n v="451.19"/>
    <n v="4414.58"/>
    <n v="19542.343199999999"/>
    <s v="New"/>
    <n v="0.16"/>
    <s v="Credit Card"/>
    <s v="Retail"/>
    <x v="16"/>
  </r>
  <r>
    <n v="1009"/>
    <x v="276"/>
    <d v="2024-01-11T00:00:00"/>
    <x v="2"/>
    <s v="Jan"/>
    <x v="4"/>
    <x v="1"/>
    <n v="80933.965599999996"/>
    <n v="19"/>
    <x v="0"/>
    <n v="2905.12"/>
    <n v="4786.16"/>
    <n v="25736.685599999997"/>
    <s v="New"/>
    <n v="0.11"/>
    <s v="Bank Transfer"/>
    <s v="Retail"/>
    <x v="6"/>
  </r>
  <r>
    <n v="1044"/>
    <x v="209"/>
    <d v="2024-01-11T00:00:00"/>
    <x v="2"/>
    <s v="Jan"/>
    <x v="3"/>
    <x v="3"/>
    <n v="79630.224999999991"/>
    <n v="50"/>
    <x v="0"/>
    <n v="1048.07"/>
    <n v="2181.65"/>
    <n v="27226.724999999999"/>
    <s v="Returning"/>
    <n v="0.27"/>
    <s v="Cash"/>
    <s v="Online"/>
    <x v="4"/>
  </r>
  <r>
    <n v="1100"/>
    <x v="154"/>
    <d v="2024-01-11T00:00:00"/>
    <x v="2"/>
    <s v="Jan"/>
    <x v="1"/>
    <x v="2"/>
    <n v="80553.989999999991"/>
    <n v="44"/>
    <x v="1"/>
    <n v="1177.6500000000001"/>
    <n v="2205.75"/>
    <n v="28737.389999999989"/>
    <s v="New"/>
    <n v="0.17"/>
    <s v="Credit Card"/>
    <s v="Retail"/>
    <x v="15"/>
  </r>
  <r>
    <n v="1032"/>
    <x v="148"/>
    <d v="2024-01-11T00:00:00"/>
    <x v="2"/>
    <s v="Jan"/>
    <x v="2"/>
    <x v="1"/>
    <n v="66920.363999999987"/>
    <n v="41"/>
    <x v="0"/>
    <n v="745.94"/>
    <n v="2331.7199999999998"/>
    <n v="36336.823999999986"/>
    <s v="Returning"/>
    <n v="0.3"/>
    <s v="Bank Transfer"/>
    <s v="Online"/>
    <x v="8"/>
  </r>
  <r>
    <n v="1041"/>
    <x v="175"/>
    <d v="2024-01-12T00:00:00"/>
    <x v="2"/>
    <s v="Jan"/>
    <x v="3"/>
    <x v="3"/>
    <n v="26937.171301328508"/>
    <n v="8"/>
    <x v="3"/>
    <n v="3232.31"/>
    <n v="3380.65"/>
    <n v="1186.7200000000012"/>
    <s v="New"/>
    <n v="0"/>
    <s v="Cash"/>
    <s v="Retail"/>
    <x v="4"/>
  </r>
  <r>
    <n v="1079"/>
    <x v="271"/>
    <d v="2024-01-12T00:00:00"/>
    <x v="2"/>
    <s v="Jan"/>
    <x v="1"/>
    <x v="0"/>
    <n v="3451.6044000000002"/>
    <n v="2"/>
    <x v="1"/>
    <n v="464.24"/>
    <n v="2130.62"/>
    <n v="2523.1244000000002"/>
    <s v="Returning"/>
    <n v="0.19"/>
    <s v="Credit Card"/>
    <s v="Online"/>
    <x v="10"/>
  </r>
  <r>
    <n v="1034"/>
    <x v="256"/>
    <d v="2024-01-12T00:00:00"/>
    <x v="2"/>
    <s v="Jan"/>
    <x v="4"/>
    <x v="3"/>
    <n v="37118.838899999995"/>
    <n v="13"/>
    <x v="2"/>
    <n v="731.09"/>
    <n v="3070.21"/>
    <n v="27614.668899999997"/>
    <s v="Returning"/>
    <n v="7.0000000000000007E-2"/>
    <s v="Bank Transfer"/>
    <s v="Online"/>
    <x v="12"/>
  </r>
  <r>
    <n v="1076"/>
    <x v="142"/>
    <d v="2024-01-13T00:00:00"/>
    <x v="2"/>
    <s v="Jan"/>
    <x v="0"/>
    <x v="2"/>
    <n v="52023.269099999998"/>
    <n v="17"/>
    <x v="2"/>
    <n v="2562.04"/>
    <n v="4310.13"/>
    <n v="8468.5890999999956"/>
    <s v="Returning"/>
    <n v="0.28999999999999998"/>
    <s v="Bank Transfer"/>
    <s v="Retail"/>
    <x v="2"/>
  </r>
  <r>
    <n v="1057"/>
    <x v="208"/>
    <d v="2024-01-13T00:00:00"/>
    <x v="2"/>
    <s v="Jan"/>
    <x v="0"/>
    <x v="2"/>
    <n v="68509.108800000002"/>
    <n v="16"/>
    <x v="0"/>
    <n v="3723.52"/>
    <n v="4325.07"/>
    <n v="8932.7888000000021"/>
    <s v="Returning"/>
    <n v="0.01"/>
    <s v="Credit Card"/>
    <s v="Retail"/>
    <x v="2"/>
  </r>
  <r>
    <n v="1005"/>
    <x v="253"/>
    <d v="2024-01-14T00:00:00"/>
    <x v="2"/>
    <s v="Jan"/>
    <x v="4"/>
    <x v="0"/>
    <n v="43675.632000000005"/>
    <n v="10"/>
    <x v="2"/>
    <n v="3610.49"/>
    <n v="4799.5200000000004"/>
    <n v="7570.7320000000072"/>
    <s v="New"/>
    <n v="0.09"/>
    <s v="Bank Transfer"/>
    <s v="Online"/>
    <x v="13"/>
  </r>
  <r>
    <n v="1095"/>
    <x v="323"/>
    <d v="2024-01-15T00:00:00"/>
    <x v="2"/>
    <s v="Jan"/>
    <x v="0"/>
    <x v="1"/>
    <n v="6485.268"/>
    <n v="10"/>
    <x v="3"/>
    <n v="270.22000000000003"/>
    <n v="820.92"/>
    <n v="3783.0679999999993"/>
    <s v="New"/>
    <n v="0.21"/>
    <s v="Bank Transfer"/>
    <s v="Retail"/>
    <x v="19"/>
  </r>
  <r>
    <n v="1008"/>
    <x v="162"/>
    <d v="2024-01-16T00:00:00"/>
    <x v="2"/>
    <s v="Jan"/>
    <x v="1"/>
    <x v="3"/>
    <n v="136553.3328"/>
    <n v="48"/>
    <x v="2"/>
    <n v="2789.92"/>
    <n v="3601.09"/>
    <n v="2637.1728000000003"/>
    <s v="New"/>
    <n v="0.21"/>
    <s v="Cash"/>
    <s v="Retail"/>
    <x v="7"/>
  </r>
  <r>
    <n v="1051"/>
    <x v="327"/>
    <d v="2024-01-16T00:00:00"/>
    <x v="2"/>
    <s v="Jan"/>
    <x v="0"/>
    <x v="2"/>
    <n v="45256.216800000002"/>
    <n v="17"/>
    <x v="1"/>
    <n v="492.22"/>
    <n v="3059.92"/>
    <n v="36888.476799999997"/>
    <s v="New"/>
    <n v="0.13"/>
    <s v="Bank Transfer"/>
    <s v="Online"/>
    <x v="2"/>
  </r>
  <r>
    <n v="1074"/>
    <x v="158"/>
    <d v="2024-01-16T00:00:00"/>
    <x v="2"/>
    <s v="Jan"/>
    <x v="0"/>
    <x v="2"/>
    <n v="120278.35799999999"/>
    <n v="27"/>
    <x v="3"/>
    <n v="2894.18"/>
    <n v="4739.1000000000004"/>
    <n v="42135.498"/>
    <s v="Returning"/>
    <n v="0.06"/>
    <s v="Bank Transfer"/>
    <s v="Online"/>
    <x v="2"/>
  </r>
  <r>
    <n v="1020"/>
    <x v="235"/>
    <d v="2024-01-17T00:00:00"/>
    <x v="2"/>
    <s v="Jan"/>
    <x v="0"/>
    <x v="2"/>
    <n v="83250.720000000001"/>
    <n v="50"/>
    <x v="1"/>
    <n v="1533.93"/>
    <n v="1982.16"/>
    <n v="6554.2199999999975"/>
    <s v="New"/>
    <n v="0.16"/>
    <s v="Bank Transfer"/>
    <s v="Online"/>
    <x v="2"/>
  </r>
  <r>
    <n v="1059"/>
    <x v="388"/>
    <d v="2024-01-17T00:00:00"/>
    <x v="2"/>
    <s v="Jan"/>
    <x v="1"/>
    <x v="0"/>
    <n v="61745.805"/>
    <n v="33"/>
    <x v="3"/>
    <n v="993.19"/>
    <n v="2494.7800000000002"/>
    <n v="28970.535"/>
    <s v="New"/>
    <n v="0.25"/>
    <s v="Credit Card"/>
    <s v="Online"/>
    <x v="10"/>
  </r>
  <r>
    <n v="1028"/>
    <x v="295"/>
    <d v="2024-01-17T00:00:00"/>
    <x v="2"/>
    <s v="Jan"/>
    <x v="2"/>
    <x v="3"/>
    <n v="126713.04000000001"/>
    <n v="24"/>
    <x v="1"/>
    <n v="1633.24"/>
    <n v="5443"/>
    <n v="87515.28"/>
    <s v="Returning"/>
    <n v="0.03"/>
    <s v="Credit Card"/>
    <s v="Retail"/>
    <x v="3"/>
  </r>
  <r>
    <n v="1091"/>
    <x v="36"/>
    <d v="2024-01-17T00:00:00"/>
    <x v="2"/>
    <s v="Jan"/>
    <x v="4"/>
    <x v="2"/>
    <n v="158012.34599999999"/>
    <n v="46"/>
    <x v="2"/>
    <n v="1498.53"/>
    <n v="4838.1000000000004"/>
    <n v="89079.966"/>
    <s v="Returning"/>
    <n v="0.28999999999999998"/>
    <s v="Credit Card"/>
    <s v="Online"/>
    <x v="17"/>
  </r>
  <r>
    <n v="1087"/>
    <x v="194"/>
    <d v="2024-01-17T00:00:00"/>
    <x v="2"/>
    <s v="Jan"/>
    <x v="3"/>
    <x v="3"/>
    <n v="158483.598"/>
    <n v="39"/>
    <x v="2"/>
    <n v="1680.98"/>
    <n v="4277.5600000000004"/>
    <n v="92925.378000000012"/>
    <s v="Returning"/>
    <n v="0.05"/>
    <s v="Bank Transfer"/>
    <s v="Online"/>
    <x v="4"/>
  </r>
  <r>
    <n v="1050"/>
    <x v="31"/>
    <d v="2024-01-18T00:00:00"/>
    <x v="2"/>
    <s v="Jan"/>
    <x v="4"/>
    <x v="1"/>
    <n v="10135.640000000001"/>
    <n v="4"/>
    <x v="0"/>
    <n v="622.91"/>
    <n v="2754.25"/>
    <n v="7644.0000000000018"/>
    <s v="New"/>
    <n v="0.08"/>
    <s v="Credit Card"/>
    <s v="Retail"/>
    <x v="6"/>
  </r>
  <r>
    <n v="1085"/>
    <x v="5"/>
    <d v="2024-01-18T00:00:00"/>
    <x v="2"/>
    <s v="Jan"/>
    <x v="0"/>
    <x v="3"/>
    <n v="54269.753199999999"/>
    <n v="31"/>
    <x v="0"/>
    <n v="1408.72"/>
    <n v="1862.38"/>
    <n v="10599.433199999996"/>
    <s v="New"/>
    <n v="0.06"/>
    <s v="Bank Transfer"/>
    <s v="Retail"/>
    <x v="5"/>
  </r>
  <r>
    <n v="1010"/>
    <x v="165"/>
    <d v="2024-01-18T00:00:00"/>
    <x v="2"/>
    <s v="Jan"/>
    <x v="3"/>
    <x v="1"/>
    <n v="54546.531999999999"/>
    <n v="20"/>
    <x v="1"/>
    <n v="363.61"/>
    <n v="3171.31"/>
    <n v="47274.331999999995"/>
    <s v="Returning"/>
    <n v="0.14000000000000001"/>
    <s v="Bank Transfer"/>
    <s v="Online"/>
    <x v="16"/>
  </r>
  <r>
    <n v="1050"/>
    <x v="44"/>
    <d v="2024-01-18T00:00:00"/>
    <x v="2"/>
    <s v="Jan"/>
    <x v="1"/>
    <x v="0"/>
    <n v="102461.08950000002"/>
    <n v="45"/>
    <x v="1"/>
    <n v="1139.97"/>
    <n v="2957.03"/>
    <n v="51162.439500000008"/>
    <s v="New"/>
    <n v="0.23"/>
    <s v="Bank Transfer"/>
    <s v="Retail"/>
    <x v="10"/>
  </r>
  <r>
    <n v="1011"/>
    <x v="387"/>
    <d v="2024-01-18T00:00:00"/>
    <x v="2"/>
    <s v="Jan"/>
    <x v="2"/>
    <x v="2"/>
    <n v="126478.6848"/>
    <n v="39"/>
    <x v="0"/>
    <n v="1332.37"/>
    <n v="3378.17"/>
    <n v="74516.25480000001"/>
    <s v="New"/>
    <n v="0.04"/>
    <s v="Cash"/>
    <s v="Retail"/>
    <x v="14"/>
  </r>
  <r>
    <n v="1031"/>
    <x v="359"/>
    <d v="2024-01-19T00:00:00"/>
    <x v="2"/>
    <s v="Jan"/>
    <x v="0"/>
    <x v="2"/>
    <n v="16792.184321866116"/>
    <n v="6"/>
    <x v="1"/>
    <n v="2702.45"/>
    <n v="2810.33"/>
    <n v="647.28000000000065"/>
    <s v="New"/>
    <n v="0"/>
    <s v="Credit Card"/>
    <s v="Online"/>
    <x v="2"/>
  </r>
  <r>
    <n v="1076"/>
    <x v="9"/>
    <d v="2024-01-20T00:00:00"/>
    <x v="2"/>
    <s v="Jan"/>
    <x v="1"/>
    <x v="1"/>
    <n v="40435.307999999997"/>
    <n v="12"/>
    <x v="3"/>
    <n v="2509.1"/>
    <n v="3918.15"/>
    <n v="10326.108"/>
    <s v="Returning"/>
    <n v="0.14000000000000001"/>
    <s v="Credit Card"/>
    <s v="Online"/>
    <x v="1"/>
  </r>
  <r>
    <n v="1076"/>
    <x v="142"/>
    <d v="2024-01-20T00:00:00"/>
    <x v="2"/>
    <s v="Jan"/>
    <x v="0"/>
    <x v="3"/>
    <n v="89192.426399999997"/>
    <n v="33"/>
    <x v="2"/>
    <n v="2359.29"/>
    <n v="2875.32"/>
    <n v="11335.856400000001"/>
    <s v="Returning"/>
    <n v="0.06"/>
    <s v="Credit Card"/>
    <s v="Online"/>
    <x v="5"/>
  </r>
  <r>
    <n v="1012"/>
    <x v="296"/>
    <d v="2024-01-20T00:00:00"/>
    <x v="2"/>
    <s v="Jan"/>
    <x v="4"/>
    <x v="0"/>
    <n v="176486.12640000001"/>
    <n v="48"/>
    <x v="3"/>
    <n v="3238.96"/>
    <n v="4654.17"/>
    <n v="21016.046399999999"/>
    <s v="New"/>
    <n v="0.21"/>
    <s v="Bank Transfer"/>
    <s v="Online"/>
    <x v="13"/>
  </r>
  <r>
    <n v="1011"/>
    <x v="387"/>
    <d v="2024-01-20T00:00:00"/>
    <x v="2"/>
    <s v="Jan"/>
    <x v="4"/>
    <x v="2"/>
    <n v="64447.392"/>
    <n v="30"/>
    <x v="0"/>
    <n v="691.78"/>
    <n v="2826.64"/>
    <n v="43693.991999999998"/>
    <s v="New"/>
    <n v="0.24"/>
    <s v="Cash"/>
    <s v="Online"/>
    <x v="17"/>
  </r>
  <r>
    <n v="1002"/>
    <x v="335"/>
    <d v="2024-01-20T00:00:00"/>
    <x v="2"/>
    <s v="Jan"/>
    <x v="3"/>
    <x v="1"/>
    <n v="57027.885600000001"/>
    <n v="12"/>
    <x v="2"/>
    <n v="823.94"/>
    <n v="4849.3100000000004"/>
    <n v="47140.605600000003"/>
    <s v="Returning"/>
    <n v="0.02"/>
    <s v="Bank Transfer"/>
    <s v="Online"/>
    <x v="16"/>
  </r>
  <r>
    <n v="1015"/>
    <x v="147"/>
    <d v="2024-01-20T00:00:00"/>
    <x v="2"/>
    <s v="Jan"/>
    <x v="1"/>
    <x v="3"/>
    <n v="98827.659"/>
    <n v="42"/>
    <x v="1"/>
    <n v="835.15"/>
    <n v="2530.15"/>
    <n v="63751.358999999989"/>
    <s v="Returning"/>
    <n v="7.0000000000000007E-2"/>
    <s v="Credit Card"/>
    <s v="Retail"/>
    <x v="7"/>
  </r>
  <r>
    <n v="1070"/>
    <x v="62"/>
    <d v="2024-01-21T00:00:00"/>
    <x v="2"/>
    <s v="Jan"/>
    <x v="2"/>
    <x v="0"/>
    <n v="33161.410799999998"/>
    <n v="9"/>
    <x v="0"/>
    <n v="3603.92"/>
    <n v="4284.42"/>
    <n v="726.13079999999991"/>
    <s v="New"/>
    <n v="0.14000000000000001"/>
    <s v="Credit Card"/>
    <s v="Retail"/>
    <x v="18"/>
  </r>
  <r>
    <n v="1038"/>
    <x v="6"/>
    <d v="2024-01-21T00:00:00"/>
    <x v="2"/>
    <s v="Jan"/>
    <x v="2"/>
    <x v="0"/>
    <n v="134930.17200000002"/>
    <n v="38"/>
    <x v="0"/>
    <n v="3001.49"/>
    <n v="4552.3"/>
    <n v="20873.552000000022"/>
    <s v="New"/>
    <n v="0.22"/>
    <s v="Bank Transfer"/>
    <s v="Online"/>
    <x v="18"/>
  </r>
  <r>
    <n v="1019"/>
    <x v="63"/>
    <d v="2024-01-22T00:00:00"/>
    <x v="2"/>
    <s v="Jan"/>
    <x v="0"/>
    <x v="2"/>
    <n v="89988.7065"/>
    <n v="35"/>
    <x v="1"/>
    <n v="809.53"/>
    <n v="2764.63"/>
    <n v="61655.156500000005"/>
    <s v="Returning"/>
    <n v="7.0000000000000007E-2"/>
    <s v="Cash"/>
    <s v="Online"/>
    <x v="2"/>
  </r>
  <r>
    <n v="1050"/>
    <x v="228"/>
    <d v="2024-01-23T00:00:00"/>
    <x v="2"/>
    <s v="Jan"/>
    <x v="4"/>
    <x v="3"/>
    <n v="78199.679999999993"/>
    <n v="26"/>
    <x v="2"/>
    <n v="2758.45"/>
    <n v="3007.68"/>
    <n v="6479.9800000000005"/>
    <s v="Returning"/>
    <n v="0"/>
    <s v="Cash"/>
    <s v="Online"/>
    <x v="12"/>
  </r>
  <r>
    <n v="1055"/>
    <x v="77"/>
    <d v="2024-01-23T00:00:00"/>
    <x v="2"/>
    <s v="Jan"/>
    <x v="1"/>
    <x v="3"/>
    <n v="120543.93944384101"/>
    <n v="33"/>
    <x v="2"/>
    <n v="3363.26"/>
    <n v="3778.65"/>
    <n v="9967.0064999999959"/>
    <s v="New"/>
    <n v="0.03"/>
    <s v="Bank Transfer"/>
    <s v="Online"/>
    <x v="7"/>
  </r>
  <r>
    <n v="1073"/>
    <x v="264"/>
    <d v="2024-01-23T00:00:00"/>
    <x v="2"/>
    <s v="Jan"/>
    <x v="3"/>
    <x v="0"/>
    <n v="69758.617499999993"/>
    <n v="39"/>
    <x v="1"/>
    <n v="1128.08"/>
    <n v="2450.25"/>
    <n v="25763.497499999998"/>
    <s v="New"/>
    <n v="0.27"/>
    <s v="Bank Transfer"/>
    <s v="Online"/>
    <x v="11"/>
  </r>
  <r>
    <n v="1052"/>
    <x v="390"/>
    <d v="2024-01-23T00:00:00"/>
    <x v="2"/>
    <s v="Jan"/>
    <x v="0"/>
    <x v="0"/>
    <n v="79205.628599999996"/>
    <n v="27"/>
    <x v="3"/>
    <n v="1752.85"/>
    <n v="2993.41"/>
    <n v="31878.678600000003"/>
    <s v="New"/>
    <n v="0.02"/>
    <s v="Cash"/>
    <s v="Online"/>
    <x v="0"/>
  </r>
  <r>
    <n v="1038"/>
    <x v="166"/>
    <d v="2024-01-23T00:00:00"/>
    <x v="2"/>
    <s v="Jan"/>
    <x v="3"/>
    <x v="3"/>
    <n v="161206.91999999998"/>
    <n v="40"/>
    <x v="3"/>
    <n v="613.13"/>
    <n v="4741.38"/>
    <n v="136681.71999999997"/>
    <s v="New"/>
    <n v="0.15"/>
    <s v="Credit Card"/>
    <s v="Online"/>
    <x v="4"/>
  </r>
  <r>
    <n v="1020"/>
    <x v="235"/>
    <d v="2024-01-24T00:00:00"/>
    <x v="2"/>
    <s v="Jan"/>
    <x v="4"/>
    <x v="0"/>
    <n v="118523.62600000002"/>
    <n v="26"/>
    <x v="1"/>
    <n v="1669"/>
    <n v="5363.06"/>
    <n v="75129.626000000018"/>
    <s v="New"/>
    <n v="0.15"/>
    <s v="Bank Transfer"/>
    <s v="Online"/>
    <x v="13"/>
  </r>
  <r>
    <n v="1062"/>
    <x v="84"/>
    <d v="2024-01-24T00:00:00"/>
    <x v="2"/>
    <s v="Jan"/>
    <x v="2"/>
    <x v="1"/>
    <n v="149269.8744"/>
    <n v="36"/>
    <x v="1"/>
    <n v="2003.21"/>
    <n v="4658.8599999999997"/>
    <n v="77154.314400000003"/>
    <s v="Returning"/>
    <n v="0.11"/>
    <s v="Credit Card"/>
    <s v="Retail"/>
    <x v="8"/>
  </r>
  <r>
    <n v="1058"/>
    <x v="222"/>
    <d v="2024-01-25T00:00:00"/>
    <x v="2"/>
    <s v="Jan"/>
    <x v="0"/>
    <x v="3"/>
    <n v="114518.85405968784"/>
    <n v="26"/>
    <x v="3"/>
    <n v="4314.8"/>
    <n v="4443.6000000000004"/>
    <n v="2193.4640000000127"/>
    <s v="Returning"/>
    <n v="0.01"/>
    <s v="Credit Card"/>
    <s v="Online"/>
    <x v="5"/>
  </r>
  <r>
    <n v="1099"/>
    <x v="122"/>
    <d v="2024-01-25T00:00:00"/>
    <x v="2"/>
    <s v="Jan"/>
    <x v="1"/>
    <x v="0"/>
    <n v="11739.415800000001"/>
    <n v="7"/>
    <x v="0"/>
    <n v="1172.81"/>
    <n v="2122.86"/>
    <n v="3529.7458000000011"/>
    <s v="Returning"/>
    <n v="0.21"/>
    <s v="Cash"/>
    <s v="Retail"/>
    <x v="10"/>
  </r>
  <r>
    <n v="1093"/>
    <x v="10"/>
    <d v="2024-01-25T00:00:00"/>
    <x v="2"/>
    <s v="Jan"/>
    <x v="4"/>
    <x v="3"/>
    <n v="88214.431200000006"/>
    <n v="21"/>
    <x v="2"/>
    <n v="279.52"/>
    <n v="4884.5200000000004"/>
    <n v="82344.511200000008"/>
    <s v="Returning"/>
    <n v="0.14000000000000001"/>
    <s v="Credit Card"/>
    <s v="Online"/>
    <x v="12"/>
  </r>
  <r>
    <n v="1086"/>
    <x v="23"/>
    <d v="2024-01-26T00:00:00"/>
    <x v="2"/>
    <s v="Jan"/>
    <x v="2"/>
    <x v="2"/>
    <n v="21494.536800000002"/>
    <n v="11"/>
    <x v="1"/>
    <n v="1097.45"/>
    <n v="2220.5100000000002"/>
    <n v="9422.5868000000028"/>
    <s v="Returning"/>
    <n v="0.12"/>
    <s v="Cash"/>
    <s v="Online"/>
    <x v="14"/>
  </r>
  <r>
    <n v="1023"/>
    <x v="373"/>
    <d v="2024-01-26T00:00:00"/>
    <x v="2"/>
    <s v="Jan"/>
    <x v="0"/>
    <x v="2"/>
    <n v="64869.066600000006"/>
    <n v="19"/>
    <x v="1"/>
    <n v="1255.31"/>
    <n v="4377.13"/>
    <n v="41018.176600000006"/>
    <s v="New"/>
    <n v="0.22"/>
    <s v="Credit Card"/>
    <s v="Online"/>
    <x v="2"/>
  </r>
  <r>
    <n v="1017"/>
    <x v="330"/>
    <d v="2024-01-26T00:00:00"/>
    <x v="2"/>
    <s v="Jan"/>
    <x v="0"/>
    <x v="1"/>
    <n v="101660.7"/>
    <n v="30"/>
    <x v="3"/>
    <n v="1083.4100000000001"/>
    <n v="3388.69"/>
    <n v="69158.399999999994"/>
    <s v="Returning"/>
    <n v="0"/>
    <s v="Credit Card"/>
    <s v="Retail"/>
    <x v="19"/>
  </r>
  <r>
    <n v="1026"/>
    <x v="50"/>
    <d v="2024-01-26T00:00:00"/>
    <x v="2"/>
    <s v="Jan"/>
    <x v="0"/>
    <x v="3"/>
    <n v="117042.4224"/>
    <n v="43"/>
    <x v="1"/>
    <n v="842.91"/>
    <n v="3128.64"/>
    <n v="80797.292400000006"/>
    <s v="New"/>
    <n v="0.13"/>
    <s v="Credit Card"/>
    <s v="Online"/>
    <x v="5"/>
  </r>
  <r>
    <n v="1003"/>
    <x v="66"/>
    <d v="2024-01-27T00:00:00"/>
    <x v="2"/>
    <s v="Jan"/>
    <x v="1"/>
    <x v="2"/>
    <n v="7501.9168000000009"/>
    <n v="2"/>
    <x v="3"/>
    <n v="756.5"/>
    <n v="4214.5600000000004"/>
    <n v="5988.9168000000009"/>
    <s v="New"/>
    <n v="0.11"/>
    <s v="Cash"/>
    <s v="Retail"/>
    <x v="15"/>
  </r>
  <r>
    <n v="1046"/>
    <x v="150"/>
    <d v="2024-01-27T00:00:00"/>
    <x v="2"/>
    <s v="Jan"/>
    <x v="0"/>
    <x v="3"/>
    <n v="176856.11696394964"/>
    <n v="46"/>
    <x v="1"/>
    <n v="3270.07"/>
    <n v="3992.95"/>
    <n v="25905.451999999968"/>
    <s v="Returning"/>
    <n v="0.04"/>
    <s v="Credit Card"/>
    <s v="Online"/>
    <x v="5"/>
  </r>
  <r>
    <n v="1048"/>
    <x v="294"/>
    <d v="2024-01-27T00:00:00"/>
    <x v="2"/>
    <s v="Jan"/>
    <x v="1"/>
    <x v="0"/>
    <n v="137248.50719999999"/>
    <n v="34"/>
    <x v="1"/>
    <n v="601.62"/>
    <n v="4340.5600000000004"/>
    <n v="116793.42720000001"/>
    <s v="Returning"/>
    <n v="7.0000000000000007E-2"/>
    <s v="Cash"/>
    <s v="Retail"/>
    <x v="10"/>
  </r>
  <r>
    <n v="1057"/>
    <x v="41"/>
    <d v="2024-01-27T00:00:00"/>
    <x v="2"/>
    <s v="Jan"/>
    <x v="4"/>
    <x v="3"/>
    <n v="150019.45920000001"/>
    <n v="48"/>
    <x v="1"/>
    <n v="70.86"/>
    <n v="4006.93"/>
    <n v="146618.17920000001"/>
    <s v="Returning"/>
    <n v="0.22"/>
    <s v="Credit Card"/>
    <s v="Retail"/>
    <x v="12"/>
  </r>
  <r>
    <n v="1085"/>
    <x v="34"/>
    <d v="2024-01-28T00:00:00"/>
    <x v="2"/>
    <s v="Jan"/>
    <x v="4"/>
    <x v="3"/>
    <n v="8762.531416965654"/>
    <n v="4"/>
    <x v="2"/>
    <n v="2011.73"/>
    <n v="2274.56"/>
    <n v="687.39040000000023"/>
    <s v="Returning"/>
    <n v="0.04"/>
    <s v="Cash"/>
    <s v="Online"/>
    <x v="12"/>
  </r>
  <r>
    <n v="1044"/>
    <x v="357"/>
    <d v="2024-01-28T00:00:00"/>
    <x v="2"/>
    <s v="Jan"/>
    <x v="2"/>
    <x v="0"/>
    <n v="4852.2864"/>
    <n v="2"/>
    <x v="2"/>
    <n v="1293.6199999999999"/>
    <n v="3110.44"/>
    <n v="2265.0464000000002"/>
    <s v="Returning"/>
    <n v="0.22"/>
    <s v="Credit Card"/>
    <s v="Retail"/>
    <x v="18"/>
  </r>
  <r>
    <n v="1023"/>
    <x v="383"/>
    <d v="2024-01-28T00:00:00"/>
    <x v="2"/>
    <s v="Jan"/>
    <x v="1"/>
    <x v="0"/>
    <n v="107024.26800000001"/>
    <n v="30"/>
    <x v="3"/>
    <n v="3103.75"/>
    <n v="4350.58"/>
    <n v="13911.768000000007"/>
    <s v="Returning"/>
    <n v="0.18"/>
    <s v="Cash"/>
    <s v="Retail"/>
    <x v="10"/>
  </r>
  <r>
    <n v="1070"/>
    <x v="358"/>
    <d v="2024-01-28T00:00:00"/>
    <x v="2"/>
    <s v="Jan"/>
    <x v="1"/>
    <x v="0"/>
    <n v="60209.238599999997"/>
    <n v="14"/>
    <x v="3"/>
    <n v="1506.44"/>
    <n v="4433.67"/>
    <n v="39119.078599999993"/>
    <s v="Returning"/>
    <n v="0.03"/>
    <s v="Credit Card"/>
    <s v="Retail"/>
    <x v="10"/>
  </r>
  <r>
    <n v="1007"/>
    <x v="12"/>
    <d v="2024-01-28T00:00:00"/>
    <x v="2"/>
    <s v="Jan"/>
    <x v="0"/>
    <x v="2"/>
    <n v="105634.74460000001"/>
    <n v="29"/>
    <x v="2"/>
    <n v="1213.1099999999999"/>
    <n v="4730.62"/>
    <n v="70454.554600000018"/>
    <s v="Returning"/>
    <n v="0.23"/>
    <s v="Cash"/>
    <s v="Retail"/>
    <x v="2"/>
  </r>
  <r>
    <n v="1036"/>
    <x v="92"/>
    <d v="2024-01-28T00:00:00"/>
    <x v="2"/>
    <s v="Jan"/>
    <x v="4"/>
    <x v="3"/>
    <n v="198497.2899"/>
    <n v="49"/>
    <x v="0"/>
    <n v="1300.4000000000001"/>
    <n v="4451.6099999999997"/>
    <n v="134777.6899"/>
    <s v="Returning"/>
    <n v="0.09"/>
    <s v="Bank Transfer"/>
    <s v="Retail"/>
    <x v="12"/>
  </r>
  <r>
    <n v="1045"/>
    <x v="272"/>
    <d v="2024-01-29T00:00:00"/>
    <x v="2"/>
    <s v="Jan"/>
    <x v="0"/>
    <x v="1"/>
    <n v="158471.07639999999"/>
    <n v="49"/>
    <x v="0"/>
    <n v="2777.92"/>
    <n v="3515.33"/>
    <n v="22352.996399999993"/>
    <s v="New"/>
    <n v="0.08"/>
    <s v="Cash"/>
    <s v="Online"/>
    <x v="19"/>
  </r>
  <r>
    <n v="1031"/>
    <x v="224"/>
    <d v="2024-01-29T00:00:00"/>
    <x v="2"/>
    <s v="Jan"/>
    <x v="0"/>
    <x v="1"/>
    <n v="65234.294999999991"/>
    <n v="42"/>
    <x v="2"/>
    <n v="1005.9"/>
    <n v="2070.9299999999998"/>
    <n v="22986.494999999992"/>
    <s v="Returning"/>
    <n v="0.25"/>
    <s v="Credit Card"/>
    <s v="Retail"/>
    <x v="19"/>
  </r>
  <r>
    <n v="1003"/>
    <x v="367"/>
    <d v="2024-01-29T00:00:00"/>
    <x v="2"/>
    <s v="Jan"/>
    <x v="1"/>
    <x v="0"/>
    <n v="92072.845799999996"/>
    <n v="26"/>
    <x v="2"/>
    <n v="2586.75"/>
    <n v="3807.81"/>
    <n v="24817.345799999988"/>
    <s v="New"/>
    <n v="7.0000000000000007E-2"/>
    <s v="Cash"/>
    <s v="Retail"/>
    <x v="10"/>
  </r>
  <r>
    <n v="1010"/>
    <x v="65"/>
    <d v="2024-01-30T00:00:00"/>
    <x v="2"/>
    <s v="Jan"/>
    <x v="4"/>
    <x v="0"/>
    <n v="9341.8640000000014"/>
    <n v="4"/>
    <x v="3"/>
    <n v="527.16999999999996"/>
    <n v="2538.5500000000002"/>
    <n v="7233.1840000000011"/>
    <s v="Returning"/>
    <n v="0.08"/>
    <s v="Credit Card"/>
    <s v="Retail"/>
    <x v="13"/>
  </r>
  <r>
    <n v="1048"/>
    <x v="280"/>
    <d v="2024-01-30T00:00:00"/>
    <x v="2"/>
    <s v="Jan"/>
    <x v="2"/>
    <x v="3"/>
    <n v="111349.78523690875"/>
    <n v="25"/>
    <x v="0"/>
    <n v="4053.83"/>
    <n v="4566"/>
    <n v="10521.250000000009"/>
    <s v="Returning"/>
    <n v="0.02"/>
    <s v="Bank Transfer"/>
    <s v="Online"/>
    <x v="3"/>
  </r>
  <r>
    <n v="1064"/>
    <x v="200"/>
    <d v="2024-01-30T00:00:00"/>
    <x v="2"/>
    <s v="Jan"/>
    <x v="2"/>
    <x v="1"/>
    <n v="212548.93659999999"/>
    <n v="47"/>
    <x v="2"/>
    <n v="3643.17"/>
    <n v="4614.6099999999997"/>
    <n v="41319.946599999988"/>
    <s v="New"/>
    <n v="0.02"/>
    <s v="Bank Transfer"/>
    <s v="Online"/>
    <x v="8"/>
  </r>
  <r>
    <n v="1057"/>
    <x v="216"/>
    <d v="2024-01-30T00:00:00"/>
    <x v="2"/>
    <s v="Jan"/>
    <x v="1"/>
    <x v="3"/>
    <n v="160789.79840000003"/>
    <n v="46"/>
    <x v="2"/>
    <n v="934.51"/>
    <n v="4262.72"/>
    <n v="117802.33840000004"/>
    <s v="Returning"/>
    <n v="0.18"/>
    <s v="Credit Card"/>
    <s v="Online"/>
    <x v="7"/>
  </r>
  <r>
    <n v="1045"/>
    <x v="266"/>
    <d v="2024-01-31T00:00:00"/>
    <x v="2"/>
    <s v="Jan"/>
    <x v="2"/>
    <x v="0"/>
    <n v="88967.199798917616"/>
    <n v="43"/>
    <x v="2"/>
    <n v="2001.89"/>
    <n v="2170.2800000000002"/>
    <n v="2574.6679999999988"/>
    <s v="Returning"/>
    <n v="0.05"/>
    <s v="Bank Transfer"/>
    <s v="Online"/>
    <x v="18"/>
  </r>
  <r>
    <n v="1079"/>
    <x v="271"/>
    <d v="2024-01-31T00:00:00"/>
    <x v="2"/>
    <s v="Jan"/>
    <x v="2"/>
    <x v="0"/>
    <n v="103104.0653521519"/>
    <n v="39"/>
    <x v="1"/>
    <n v="2380.12"/>
    <n v="2701.69"/>
    <n v="10433.9118"/>
    <s v="Returning"/>
    <n v="0.02"/>
    <s v="Credit Card"/>
    <s v="Online"/>
    <x v="18"/>
  </r>
  <r>
    <n v="1057"/>
    <x v="41"/>
    <d v="2024-01-31T00:00:00"/>
    <x v="2"/>
    <s v="Jan"/>
    <x v="0"/>
    <x v="2"/>
    <n v="69468.322499999995"/>
    <n v="15"/>
    <x v="1"/>
    <n v="2479.4499999999998"/>
    <n v="4874.97"/>
    <n v="32276.572499999998"/>
    <s v="New"/>
    <n v="0.05"/>
    <s v="Credit Card"/>
    <s v="Retail"/>
    <x v="2"/>
  </r>
  <r>
    <n v="1005"/>
    <x v="43"/>
    <d v="2024-01-31T00:00:00"/>
    <x v="2"/>
    <s v="Jan"/>
    <x v="0"/>
    <x v="1"/>
    <n v="58419.085200000001"/>
    <n v="14"/>
    <x v="3"/>
    <n v="1218.5999999999999"/>
    <n v="5027.46"/>
    <n v="41358.6852"/>
    <s v="New"/>
    <n v="0.17"/>
    <s v="Bank Transfer"/>
    <s v="Retail"/>
    <x v="19"/>
  </r>
  <r>
    <n v="1042"/>
    <x v="138"/>
    <d v="2024-01-31T00:00:00"/>
    <x v="2"/>
    <s v="Jan"/>
    <x v="2"/>
    <x v="2"/>
    <n v="136213.94819999998"/>
    <n v="33"/>
    <x v="2"/>
    <n v="1964.99"/>
    <n v="4637.8599999999997"/>
    <n v="71369.278200000001"/>
    <s v="Returning"/>
    <n v="0.11"/>
    <s v="Bank Transfer"/>
    <s v="Retail"/>
    <x v="14"/>
  </r>
  <r>
    <n v="1084"/>
    <x v="64"/>
    <d v="2024-02-01T00:00:00"/>
    <x v="2"/>
    <s v="Feb"/>
    <x v="2"/>
    <x v="0"/>
    <n v="4906.8504000000003"/>
    <n v="3"/>
    <x v="1"/>
    <n v="630.52"/>
    <n v="2271.69"/>
    <n v="3015.2903999999999"/>
    <s v="Returning"/>
    <n v="0.28000000000000003"/>
    <s v="Bank Transfer"/>
    <s v="Online"/>
    <x v="18"/>
  </r>
  <r>
    <n v="1092"/>
    <x v="324"/>
    <d v="2024-02-01T00:00:00"/>
    <x v="2"/>
    <s v="Feb"/>
    <x v="4"/>
    <x v="3"/>
    <n v="71572.95"/>
    <n v="30"/>
    <x v="2"/>
    <n v="1848.27"/>
    <n v="3181.02"/>
    <n v="16124.849999999997"/>
    <s v="New"/>
    <n v="0.25"/>
    <s v="Cash"/>
    <s v="Online"/>
    <x v="12"/>
  </r>
  <r>
    <n v="1075"/>
    <x v="28"/>
    <d v="2024-02-02T00:00:00"/>
    <x v="2"/>
    <s v="Feb"/>
    <x v="2"/>
    <x v="3"/>
    <n v="124877.22600000002"/>
    <n v="30"/>
    <x v="0"/>
    <n v="3922.85"/>
    <n v="5076.3100000000004"/>
    <n v="7191.7260000000306"/>
    <s v="Returning"/>
    <n v="0.18"/>
    <s v="Credit Card"/>
    <s v="Retail"/>
    <x v="3"/>
  </r>
  <r>
    <n v="1058"/>
    <x v="345"/>
    <d v="2024-02-02T00:00:00"/>
    <x v="2"/>
    <s v="Feb"/>
    <x v="2"/>
    <x v="2"/>
    <n v="129568.66650000001"/>
    <n v="35"/>
    <x v="0"/>
    <n v="3264.24"/>
    <n v="4068.09"/>
    <n v="15320.266500000016"/>
    <s v="New"/>
    <n v="0.09"/>
    <s v="Credit Card"/>
    <s v="Retail"/>
    <x v="14"/>
  </r>
  <r>
    <n v="1095"/>
    <x v="285"/>
    <d v="2024-02-02T00:00:00"/>
    <x v="2"/>
    <s v="Feb"/>
    <x v="4"/>
    <x v="3"/>
    <n v="36190.3122"/>
    <n v="14"/>
    <x v="0"/>
    <n v="521.53"/>
    <n v="2971.29"/>
    <n v="28888.892199999998"/>
    <s v="New"/>
    <n v="0.13"/>
    <s v="Bank Transfer"/>
    <s v="Retail"/>
    <x v="12"/>
  </r>
  <r>
    <n v="1054"/>
    <x v="342"/>
    <d v="2024-02-02T00:00:00"/>
    <x v="2"/>
    <s v="Feb"/>
    <x v="4"/>
    <x v="3"/>
    <n v="41711.779199999997"/>
    <n v="13"/>
    <x v="0"/>
    <n v="404.39"/>
    <n v="3819.76"/>
    <n v="36454.709199999998"/>
    <s v="New"/>
    <n v="0.16"/>
    <s v="Bank Transfer"/>
    <s v="Retail"/>
    <x v="12"/>
  </r>
  <r>
    <n v="1099"/>
    <x v="122"/>
    <d v="2024-02-03T00:00:00"/>
    <x v="2"/>
    <s v="Feb"/>
    <x v="0"/>
    <x v="2"/>
    <n v="47834.215199999999"/>
    <n v="12"/>
    <x v="0"/>
    <n v="3254.51"/>
    <n v="4286.22"/>
    <n v="8780.0951999999979"/>
    <s v="New"/>
    <n v="7.0000000000000007E-2"/>
    <s v="Bank Transfer"/>
    <s v="Retail"/>
    <x v="2"/>
  </r>
  <r>
    <n v="1087"/>
    <x v="372"/>
    <d v="2024-02-04T00:00:00"/>
    <x v="2"/>
    <s v="Feb"/>
    <x v="3"/>
    <x v="0"/>
    <n v="4819.9329336516639"/>
    <n v="3"/>
    <x v="0"/>
    <n v="1489.81"/>
    <n v="1625.51"/>
    <n v="358.33469999999988"/>
    <s v="New"/>
    <n v="0.01"/>
    <s v="Bank Transfer"/>
    <s v="Retail"/>
    <x v="11"/>
  </r>
  <r>
    <n v="1091"/>
    <x v="60"/>
    <d v="2024-02-04T00:00:00"/>
    <x v="2"/>
    <s v="Feb"/>
    <x v="2"/>
    <x v="0"/>
    <n v="102133.06499999999"/>
    <n v="50"/>
    <x v="1"/>
    <n v="2000.02"/>
    <n v="2196.41"/>
    <n v="2132.0649999999887"/>
    <s v="Returning"/>
    <n v="7.0000000000000007E-2"/>
    <s v="Credit Card"/>
    <s v="Online"/>
    <x v="18"/>
  </r>
  <r>
    <n v="1047"/>
    <x v="89"/>
    <d v="2024-02-04T00:00:00"/>
    <x v="2"/>
    <s v="Feb"/>
    <x v="0"/>
    <x v="0"/>
    <n v="50708.736000000004"/>
    <n v="32"/>
    <x v="3"/>
    <n v="1197"/>
    <n v="1980.81"/>
    <n v="12404.736000000004"/>
    <s v="Returning"/>
    <n v="0.2"/>
    <s v="Bank Transfer"/>
    <s v="Online"/>
    <x v="0"/>
  </r>
  <r>
    <n v="1020"/>
    <x v="235"/>
    <d v="2024-02-04T00:00:00"/>
    <x v="2"/>
    <s v="Feb"/>
    <x v="4"/>
    <x v="1"/>
    <n v="110635.88814819022"/>
    <n v="24"/>
    <x v="1"/>
    <n v="4086.84"/>
    <n v="4686.1400000000003"/>
    <n v="12133.852799999993"/>
    <s v="Returning"/>
    <n v="0.02"/>
    <s v="Bank Transfer"/>
    <s v="Online"/>
    <x v="6"/>
  </r>
  <r>
    <n v="1013"/>
    <x v="115"/>
    <d v="2024-02-04T00:00:00"/>
    <x v="2"/>
    <s v="Feb"/>
    <x v="2"/>
    <x v="0"/>
    <n v="17137.2264"/>
    <n v="7"/>
    <x v="1"/>
    <n v="444.3"/>
    <n v="2661.06"/>
    <n v="14027.126400000001"/>
    <s v="Returning"/>
    <n v="0.08"/>
    <s v="Credit Card"/>
    <s v="Online"/>
    <x v="18"/>
  </r>
  <r>
    <n v="1039"/>
    <x v="117"/>
    <d v="2024-02-04T00:00:00"/>
    <x v="2"/>
    <s v="Feb"/>
    <x v="1"/>
    <x v="1"/>
    <n v="49038.36"/>
    <n v="21"/>
    <x v="3"/>
    <n v="1472.55"/>
    <n v="2335.16"/>
    <n v="18114.809999999998"/>
    <s v="New"/>
    <n v="0"/>
    <s v="Credit Card"/>
    <s v="Online"/>
    <x v="1"/>
  </r>
  <r>
    <n v="1018"/>
    <x v="219"/>
    <d v="2024-02-04T00:00:00"/>
    <x v="2"/>
    <s v="Feb"/>
    <x v="3"/>
    <x v="1"/>
    <n v="74092.841653190859"/>
    <n v="23"/>
    <x v="1"/>
    <n v="2362.2399999999998"/>
    <n v="3326.09"/>
    <n v="19873.547900000005"/>
    <s v="Returning"/>
    <n v="0.03"/>
    <s v="Cash"/>
    <s v="Online"/>
    <x v="16"/>
  </r>
  <r>
    <n v="1047"/>
    <x v="389"/>
    <d v="2024-02-05T00:00:00"/>
    <x v="2"/>
    <s v="Feb"/>
    <x v="2"/>
    <x v="0"/>
    <n v="48406.312225979244"/>
    <n v="10"/>
    <x v="1"/>
    <n v="4817.5200000000004"/>
    <n v="4849.68"/>
    <n v="321.59999999999854"/>
    <s v="Returning"/>
    <n v="0"/>
    <s v="Credit Card"/>
    <s v="Retail"/>
    <x v="18"/>
  </r>
  <r>
    <n v="1067"/>
    <x v="331"/>
    <d v="2024-02-05T00:00:00"/>
    <x v="2"/>
    <s v="Feb"/>
    <x v="0"/>
    <x v="3"/>
    <n v="5738.5146000000004"/>
    <n v="2"/>
    <x v="3"/>
    <n v="476.45"/>
    <n v="3153.03"/>
    <n v="4785.6146000000008"/>
    <s v="Returning"/>
    <n v="0.09"/>
    <s v="Credit Card"/>
    <s v="Retail"/>
    <x v="5"/>
  </r>
  <r>
    <n v="1025"/>
    <x v="54"/>
    <d v="2024-02-05T00:00:00"/>
    <x v="2"/>
    <s v="Feb"/>
    <x v="3"/>
    <x v="1"/>
    <n v="17230.401000000002"/>
    <n v="5"/>
    <x v="0"/>
    <n v="1973.25"/>
    <n v="4254.42"/>
    <n v="7364.1510000000017"/>
    <s v="New"/>
    <n v="0.19"/>
    <s v="Credit Card"/>
    <s v="Online"/>
    <x v="16"/>
  </r>
  <r>
    <n v="1099"/>
    <x v="288"/>
    <d v="2024-02-05T00:00:00"/>
    <x v="2"/>
    <s v="Feb"/>
    <x v="0"/>
    <x v="1"/>
    <n v="17422.4264"/>
    <n v="4"/>
    <x v="2"/>
    <n v="1630.95"/>
    <n v="4893.9399999999996"/>
    <n v="10898.626400000001"/>
    <s v="New"/>
    <n v="0.11"/>
    <s v="Cash"/>
    <s v="Online"/>
    <x v="19"/>
  </r>
  <r>
    <n v="1002"/>
    <x v="335"/>
    <d v="2024-02-05T00:00:00"/>
    <x v="2"/>
    <s v="Feb"/>
    <x v="3"/>
    <x v="3"/>
    <n v="96584.65"/>
    <n v="50"/>
    <x v="2"/>
    <n v="940.64"/>
    <n v="2272.58"/>
    <n v="49552.65"/>
    <s v="New"/>
    <n v="0.15"/>
    <s v="Bank Transfer"/>
    <s v="Online"/>
    <x v="4"/>
  </r>
  <r>
    <n v="1094"/>
    <x v="20"/>
    <d v="2024-02-06T00:00:00"/>
    <x v="2"/>
    <s v="Feb"/>
    <x v="3"/>
    <x v="1"/>
    <n v="119695.40355102655"/>
    <n v="29"/>
    <x v="2"/>
    <n v="4065.37"/>
    <n v="4206.54"/>
    <n v="1654.1368000000048"/>
    <s v="Returning"/>
    <n v="0.02"/>
    <s v="Bank Transfer"/>
    <s v="Online"/>
    <x v="16"/>
  </r>
  <r>
    <n v="1038"/>
    <x v="6"/>
    <d v="2024-02-06T00:00:00"/>
    <x v="2"/>
    <s v="Feb"/>
    <x v="3"/>
    <x v="3"/>
    <n v="82408.320000000007"/>
    <n v="20"/>
    <x v="0"/>
    <n v="3537.6"/>
    <n v="4578.24"/>
    <n v="11656.320000000005"/>
    <s v="New"/>
    <n v="0.1"/>
    <s v="Credit Card"/>
    <s v="Online"/>
    <x v="4"/>
  </r>
  <r>
    <n v="1034"/>
    <x v="256"/>
    <d v="2024-02-06T00:00:00"/>
    <x v="2"/>
    <s v="Feb"/>
    <x v="0"/>
    <x v="2"/>
    <n v="85257.813599999994"/>
    <n v="27"/>
    <x v="2"/>
    <n v="2568.7600000000002"/>
    <n v="4385.6899999999996"/>
    <n v="15901.293599999986"/>
    <s v="New"/>
    <n v="0.28000000000000003"/>
    <s v="Cash"/>
    <s v="Online"/>
    <x v="2"/>
  </r>
  <r>
    <n v="1043"/>
    <x v="72"/>
    <d v="2024-02-07T00:00:00"/>
    <x v="2"/>
    <s v="Feb"/>
    <x v="4"/>
    <x v="3"/>
    <n v="219416.12"/>
    <n v="49"/>
    <x v="1"/>
    <n v="4347.1000000000004"/>
    <n v="4477.88"/>
    <n v="6408.2199999999875"/>
    <s v="New"/>
    <n v="0"/>
    <s v="Bank Transfer"/>
    <s v="Online"/>
    <x v="12"/>
  </r>
  <r>
    <n v="1010"/>
    <x v="29"/>
    <d v="2024-02-07T00:00:00"/>
    <x v="2"/>
    <s v="Feb"/>
    <x v="1"/>
    <x v="0"/>
    <n v="71024.728500000012"/>
    <n v="15"/>
    <x v="0"/>
    <n v="3526.94"/>
    <n v="4782.8100000000004"/>
    <n v="18120.62850000001"/>
    <s v="New"/>
    <n v="0.01"/>
    <s v="Cash"/>
    <s v="Online"/>
    <x v="10"/>
  </r>
  <r>
    <n v="1072"/>
    <x v="325"/>
    <d v="2024-02-07T00:00:00"/>
    <x v="2"/>
    <s v="Feb"/>
    <x v="4"/>
    <x v="1"/>
    <n v="140201.28"/>
    <n v="36"/>
    <x v="0"/>
    <n v="1600.01"/>
    <n v="4056.75"/>
    <n v="82600.920000000013"/>
    <s v="Returning"/>
    <n v="0.04"/>
    <s v="Credit Card"/>
    <s v="Retail"/>
    <x v="6"/>
  </r>
  <r>
    <n v="1065"/>
    <x v="190"/>
    <d v="2024-02-08T00:00:00"/>
    <x v="2"/>
    <s v="Feb"/>
    <x v="3"/>
    <x v="0"/>
    <n v="23158.227599999998"/>
    <n v="6"/>
    <x v="0"/>
    <n v="1492.56"/>
    <n v="4150.22"/>
    <n v="14202.867600000001"/>
    <s v="New"/>
    <n v="7.0000000000000007E-2"/>
    <s v="Credit Card"/>
    <s v="Online"/>
    <x v="11"/>
  </r>
  <r>
    <n v="1072"/>
    <x v="257"/>
    <d v="2024-02-08T00:00:00"/>
    <x v="2"/>
    <s v="Feb"/>
    <x v="2"/>
    <x v="2"/>
    <n v="36776.207999999999"/>
    <n v="21"/>
    <x v="2"/>
    <n v="936.27"/>
    <n v="2189.06"/>
    <n v="17114.538"/>
    <s v="Returning"/>
    <n v="0.2"/>
    <s v="Credit Card"/>
    <s v="Retail"/>
    <x v="14"/>
  </r>
  <r>
    <n v="1054"/>
    <x v="251"/>
    <d v="2024-02-08T00:00:00"/>
    <x v="2"/>
    <s v="Feb"/>
    <x v="3"/>
    <x v="0"/>
    <n v="59412.847999999998"/>
    <n v="20"/>
    <x v="3"/>
    <n v="1907.22"/>
    <n v="3908.74"/>
    <n v="21268.447999999993"/>
    <s v="Returning"/>
    <n v="0.24"/>
    <s v="Bank Transfer"/>
    <s v="Retail"/>
    <x v="11"/>
  </r>
  <r>
    <n v="1083"/>
    <x v="100"/>
    <d v="2024-02-09T00:00:00"/>
    <x v="2"/>
    <s v="Feb"/>
    <x v="3"/>
    <x v="2"/>
    <n v="19053.256321706613"/>
    <n v="4"/>
    <x v="3"/>
    <n v="4448.95"/>
    <n v="4939.7"/>
    <n v="1172.648000000001"/>
    <s v="Returning"/>
    <n v="0.04"/>
    <s v="Cash"/>
    <s v="Retail"/>
    <x v="9"/>
  </r>
  <r>
    <n v="1016"/>
    <x v="305"/>
    <d v="2024-02-09T00:00:00"/>
    <x v="2"/>
    <s v="Feb"/>
    <x v="3"/>
    <x v="0"/>
    <n v="15365.113499999999"/>
    <n v="5"/>
    <x v="3"/>
    <n v="1600.5"/>
    <n v="3532.21"/>
    <n v="7362.6134999999995"/>
    <s v="New"/>
    <n v="0.13"/>
    <s v="Cash"/>
    <s v="Online"/>
    <x v="11"/>
  </r>
  <r>
    <n v="1094"/>
    <x v="20"/>
    <d v="2024-02-09T00:00:00"/>
    <x v="2"/>
    <s v="Feb"/>
    <x v="4"/>
    <x v="2"/>
    <n v="95376.317479504534"/>
    <n v="34"/>
    <x v="2"/>
    <n v="2361.0100000000002"/>
    <n v="2843.12"/>
    <n v="15425.079199999989"/>
    <s v="Returning"/>
    <n v="0.01"/>
    <s v="Bank Transfer"/>
    <s v="Retail"/>
    <x v="17"/>
  </r>
  <r>
    <n v="1069"/>
    <x v="184"/>
    <d v="2024-02-10T00:00:00"/>
    <x v="2"/>
    <s v="Feb"/>
    <x v="0"/>
    <x v="3"/>
    <n v="12543.1065"/>
    <n v="19"/>
    <x v="3"/>
    <n v="566.91"/>
    <n v="835.65"/>
    <n v="1771.8165000000006"/>
    <s v="Returning"/>
    <n v="0.21"/>
    <s v="Cash"/>
    <s v="Online"/>
    <x v="5"/>
  </r>
  <r>
    <n v="1034"/>
    <x v="139"/>
    <d v="2024-02-10T00:00:00"/>
    <x v="2"/>
    <s v="Feb"/>
    <x v="3"/>
    <x v="3"/>
    <n v="7783.921800000001"/>
    <n v="2"/>
    <x v="3"/>
    <n v="2609.5700000000002"/>
    <n v="4804.8900000000003"/>
    <n v="2564.7818000000007"/>
    <s v="New"/>
    <n v="0.19"/>
    <s v="Bank Transfer"/>
    <s v="Retail"/>
    <x v="4"/>
  </r>
  <r>
    <n v="1025"/>
    <x v="381"/>
    <d v="2024-02-10T00:00:00"/>
    <x v="2"/>
    <s v="Feb"/>
    <x v="0"/>
    <x v="2"/>
    <n v="59336.867720591705"/>
    <n v="15"/>
    <x v="2"/>
    <n v="3258.02"/>
    <n v="3972.5"/>
    <n v="10717.2"/>
    <s v="Returning"/>
    <n v="0"/>
    <s v="Bank Transfer"/>
    <s v="Retail"/>
    <x v="2"/>
  </r>
  <r>
    <n v="1027"/>
    <x v="269"/>
    <d v="2024-02-10T00:00:00"/>
    <x v="2"/>
    <s v="Feb"/>
    <x v="3"/>
    <x v="3"/>
    <n v="73598.011599999998"/>
    <n v="17"/>
    <x v="1"/>
    <n v="2434"/>
    <n v="5480.12"/>
    <n v="32220.011599999994"/>
    <s v="Returning"/>
    <n v="0.21"/>
    <s v="Bank Transfer"/>
    <s v="Online"/>
    <x v="4"/>
  </r>
  <r>
    <n v="1018"/>
    <x v="320"/>
    <d v="2024-02-10T00:00:00"/>
    <x v="2"/>
    <s v="Feb"/>
    <x v="3"/>
    <x v="3"/>
    <n v="66454.403399999996"/>
    <n v="18"/>
    <x v="0"/>
    <n v="1403.87"/>
    <n v="4794.6899999999996"/>
    <n v="41184.743399999999"/>
    <s v="New"/>
    <n v="0.23"/>
    <s v="Bank Transfer"/>
    <s v="Retail"/>
    <x v="4"/>
  </r>
  <r>
    <n v="1044"/>
    <x v="209"/>
    <d v="2024-02-11T00:00:00"/>
    <x v="2"/>
    <s v="Feb"/>
    <x v="4"/>
    <x v="3"/>
    <n v="119480.32607388806"/>
    <n v="45"/>
    <x v="0"/>
    <n v="2631.62"/>
    <n v="2703.39"/>
    <n v="796.59899999998743"/>
    <s v="New"/>
    <n v="0.02"/>
    <s v="Credit Card"/>
    <s v="Online"/>
    <x v="12"/>
  </r>
  <r>
    <n v="1062"/>
    <x v="282"/>
    <d v="2024-02-11T00:00:00"/>
    <x v="2"/>
    <s v="Feb"/>
    <x v="3"/>
    <x v="0"/>
    <n v="5499.893"/>
    <n v="2"/>
    <x v="3"/>
    <n v="1445.05"/>
    <n v="3767.05"/>
    <n v="2609.7930000000001"/>
    <s v="New"/>
    <n v="0.27"/>
    <s v="Bank Transfer"/>
    <s v="Online"/>
    <x v="11"/>
  </r>
  <r>
    <n v="1082"/>
    <x v="360"/>
    <d v="2024-02-11T00:00:00"/>
    <x v="2"/>
    <s v="Feb"/>
    <x v="2"/>
    <x v="0"/>
    <n v="33247.271199999996"/>
    <n v="13"/>
    <x v="3"/>
    <n v="1817.39"/>
    <n v="2906.23"/>
    <n v="9621.2011999999977"/>
    <s v="Returning"/>
    <n v="0.12"/>
    <s v="Credit Card"/>
    <s v="Retail"/>
    <x v="18"/>
  </r>
  <r>
    <n v="1045"/>
    <x v="266"/>
    <d v="2024-02-11T00:00:00"/>
    <x v="2"/>
    <s v="Feb"/>
    <x v="0"/>
    <x v="1"/>
    <n v="59078.175000000003"/>
    <n v="26"/>
    <x v="2"/>
    <n v="346.57"/>
    <n v="3029.65"/>
    <n v="50067.355000000003"/>
    <s v="Returning"/>
    <n v="0.25"/>
    <s v="Cash"/>
    <s v="Online"/>
    <x v="19"/>
  </r>
  <r>
    <n v="1071"/>
    <x v="238"/>
    <d v="2024-02-12T00:00:00"/>
    <x v="2"/>
    <s v="Feb"/>
    <x v="4"/>
    <x v="2"/>
    <n v="18669.526799999996"/>
    <n v="4"/>
    <x v="3"/>
    <n v="3967.93"/>
    <n v="5018.6899999999996"/>
    <n v="2797.8067999999967"/>
    <s v="Returning"/>
    <n v="7.0000000000000007E-2"/>
    <s v="Bank Transfer"/>
    <s v="Retail"/>
    <x v="17"/>
  </r>
  <r>
    <n v="1001"/>
    <x v="8"/>
    <d v="2024-02-13T00:00:00"/>
    <x v="2"/>
    <s v="Feb"/>
    <x v="2"/>
    <x v="2"/>
    <n v="102556.35390000002"/>
    <n v="39"/>
    <x v="0"/>
    <n v="2552.66"/>
    <n v="3415.13"/>
    <n v="3002.6139000000171"/>
    <s v="New"/>
    <n v="0.23"/>
    <s v="Cash"/>
    <s v="Retail"/>
    <x v="14"/>
  </r>
  <r>
    <n v="1016"/>
    <x v="305"/>
    <d v="2024-02-13T00:00:00"/>
    <x v="2"/>
    <s v="Feb"/>
    <x v="3"/>
    <x v="3"/>
    <n v="109516.3524"/>
    <n v="42"/>
    <x v="3"/>
    <n v="2139.6"/>
    <n v="2865.42"/>
    <n v="19653.152400000006"/>
    <s v="New"/>
    <n v="0.09"/>
    <s v="Bank Transfer"/>
    <s v="Online"/>
    <x v="4"/>
  </r>
  <r>
    <n v="1055"/>
    <x v="312"/>
    <d v="2024-02-13T00:00:00"/>
    <x v="2"/>
    <s v="Feb"/>
    <x v="0"/>
    <x v="3"/>
    <n v="86030.603999999992"/>
    <n v="40"/>
    <x v="3"/>
    <n v="1184.07"/>
    <n v="2172.4899999999998"/>
    <n v="38667.803999999989"/>
    <s v="Returning"/>
    <n v="0.01"/>
    <s v="Cash"/>
    <s v="Retail"/>
    <x v="5"/>
  </r>
  <r>
    <n v="1041"/>
    <x v="24"/>
    <d v="2024-02-13T00:00:00"/>
    <x v="2"/>
    <s v="Feb"/>
    <x v="2"/>
    <x v="2"/>
    <n v="224106.79500000001"/>
    <n v="50"/>
    <x v="1"/>
    <n v="3313.87"/>
    <n v="4527.41"/>
    <n v="58413.295000000013"/>
    <s v="New"/>
    <n v="0.01"/>
    <s v="Credit Card"/>
    <s v="Retail"/>
    <x v="14"/>
  </r>
  <r>
    <n v="1030"/>
    <x v="340"/>
    <d v="2024-02-15T00:00:00"/>
    <x v="2"/>
    <s v="Feb"/>
    <x v="4"/>
    <x v="1"/>
    <n v="3947.8672000000001"/>
    <n v="4"/>
    <x v="2"/>
    <n v="86.42"/>
    <n v="1072.79"/>
    <n v="3602.1872000000003"/>
    <s v="Returning"/>
    <n v="0.08"/>
    <s v="Cash"/>
    <s v="Online"/>
    <x v="6"/>
  </r>
  <r>
    <n v="1003"/>
    <x v="367"/>
    <d v="2024-02-15T00:00:00"/>
    <x v="2"/>
    <s v="Feb"/>
    <x v="3"/>
    <x v="3"/>
    <n v="193614.22031575322"/>
    <n v="42"/>
    <x v="2"/>
    <n v="4230.5200000000004"/>
    <n v="4645.45"/>
    <n v="15475.970999999981"/>
    <s v="New"/>
    <n v="0.01"/>
    <s v="Credit Card"/>
    <s v="Online"/>
    <x v="4"/>
  </r>
  <r>
    <n v="1080"/>
    <x v="49"/>
    <d v="2024-02-16T00:00:00"/>
    <x v="2"/>
    <s v="Feb"/>
    <x v="2"/>
    <x v="2"/>
    <n v="4787.0370000000003"/>
    <n v="1"/>
    <x v="2"/>
    <n v="1366.44"/>
    <n v="5318.93"/>
    <n v="3420.5970000000002"/>
    <s v="Returning"/>
    <n v="0.1"/>
    <s v="Credit Card"/>
    <s v="Retail"/>
    <x v="14"/>
  </r>
  <r>
    <n v="1019"/>
    <x v="177"/>
    <d v="2024-02-16T00:00:00"/>
    <x v="2"/>
    <s v="Feb"/>
    <x v="0"/>
    <x v="1"/>
    <n v="11872.469700000001"/>
    <n v="21"/>
    <x v="0"/>
    <n v="355.05"/>
    <n v="697.97"/>
    <n v="4416.4197000000013"/>
    <s v="New"/>
    <n v="0.19"/>
    <s v="Credit Card"/>
    <s v="Retail"/>
    <x v="19"/>
  </r>
  <r>
    <n v="1052"/>
    <x v="390"/>
    <d v="2024-02-16T00:00:00"/>
    <x v="2"/>
    <s v="Feb"/>
    <x v="0"/>
    <x v="3"/>
    <n v="90511.660799999998"/>
    <n v="46"/>
    <x v="3"/>
    <n v="756.21"/>
    <n v="2235.96"/>
    <n v="55726.000800000002"/>
    <s v="New"/>
    <n v="0.12"/>
    <s v="Bank Transfer"/>
    <s v="Online"/>
    <x v="5"/>
  </r>
  <r>
    <n v="1073"/>
    <x v="264"/>
    <d v="2024-02-16T00:00:00"/>
    <x v="2"/>
    <s v="Feb"/>
    <x v="1"/>
    <x v="0"/>
    <n v="144385.4295"/>
    <n v="39"/>
    <x v="1"/>
    <n v="1420.6"/>
    <n v="3980.85"/>
    <n v="88982.02949999999"/>
    <s v="Returning"/>
    <n v="7.0000000000000007E-2"/>
    <s v="Bank Transfer"/>
    <s v="Online"/>
    <x v="10"/>
  </r>
  <r>
    <n v="1052"/>
    <x v="86"/>
    <d v="2024-02-17T00:00:00"/>
    <x v="2"/>
    <s v="Feb"/>
    <x v="3"/>
    <x v="1"/>
    <n v="76065.635999999999"/>
    <n v="20"/>
    <x v="2"/>
    <n v="2170.15"/>
    <n v="5139.57"/>
    <n v="32662.635999999991"/>
    <s v="Returning"/>
    <n v="0.26"/>
    <s v="Cash"/>
    <s v="Retail"/>
    <x v="16"/>
  </r>
  <r>
    <n v="1052"/>
    <x v="52"/>
    <d v="2024-02-17T00:00:00"/>
    <x v="2"/>
    <s v="Feb"/>
    <x v="0"/>
    <x v="1"/>
    <n v="102528.7536"/>
    <n v="24"/>
    <x v="1"/>
    <n v="2066.19"/>
    <n v="4694.54"/>
    <n v="52940.193599999999"/>
    <s v="New"/>
    <n v="0.09"/>
    <s v="Bank Transfer"/>
    <s v="Retail"/>
    <x v="19"/>
  </r>
  <r>
    <n v="1081"/>
    <x v="250"/>
    <d v="2024-02-17T00:00:00"/>
    <x v="2"/>
    <s v="Feb"/>
    <x v="1"/>
    <x v="2"/>
    <n v="93616.961900000009"/>
    <n v="29"/>
    <x v="3"/>
    <n v="1051.54"/>
    <n v="4192.43"/>
    <n v="63122.301900000013"/>
    <s v="Returning"/>
    <n v="0.23"/>
    <s v="Cash"/>
    <s v="Retail"/>
    <x v="15"/>
  </r>
  <r>
    <n v="1020"/>
    <x v="341"/>
    <d v="2024-02-18T00:00:00"/>
    <x v="2"/>
    <s v="Feb"/>
    <x v="2"/>
    <x v="0"/>
    <n v="26633.089799999998"/>
    <n v="9"/>
    <x v="0"/>
    <n v="1709.31"/>
    <n v="3324.98"/>
    <n v="11249.299800000001"/>
    <s v="New"/>
    <n v="0.11"/>
    <s v="Cash"/>
    <s v="Retail"/>
    <x v="18"/>
  </r>
  <r>
    <n v="1009"/>
    <x v="243"/>
    <d v="2024-02-18T00:00:00"/>
    <x v="2"/>
    <s v="Feb"/>
    <x v="1"/>
    <x v="2"/>
    <n v="130470.27839999998"/>
    <n v="33"/>
    <x v="2"/>
    <n v="786.51"/>
    <n v="4297.4399999999996"/>
    <n v="104515.44839999999"/>
    <s v="Returning"/>
    <n v="0.08"/>
    <s v="Cash"/>
    <s v="Retail"/>
    <x v="15"/>
  </r>
  <r>
    <n v="1053"/>
    <x v="265"/>
    <d v="2024-02-19T00:00:00"/>
    <x v="2"/>
    <s v="Feb"/>
    <x v="1"/>
    <x v="2"/>
    <n v="76438.382400000002"/>
    <n v="18"/>
    <x v="0"/>
    <n v="3395.23"/>
    <n v="4937.88"/>
    <n v="15324.242399999996"/>
    <s v="Returning"/>
    <n v="0.14000000000000001"/>
    <s v="Cash"/>
    <s v="Retail"/>
    <x v="15"/>
  </r>
  <r>
    <n v="1017"/>
    <x v="167"/>
    <d v="2024-02-19T00:00:00"/>
    <x v="2"/>
    <s v="Feb"/>
    <x v="3"/>
    <x v="1"/>
    <n v="131606.89919999999"/>
    <n v="28"/>
    <x v="1"/>
    <n v="2975.77"/>
    <n v="4896.09"/>
    <n v="48285.339200000002"/>
    <s v="New"/>
    <n v="0.04"/>
    <s v="Credit Card"/>
    <s v="Retail"/>
    <x v="16"/>
  </r>
  <r>
    <n v="1056"/>
    <x v="101"/>
    <d v="2024-02-20T00:00:00"/>
    <x v="2"/>
    <s v="Feb"/>
    <x v="3"/>
    <x v="3"/>
    <n v="44733.242400000003"/>
    <n v="22"/>
    <x v="1"/>
    <n v="884.93"/>
    <n v="2420.63"/>
    <n v="25264.782400000007"/>
    <s v="Returning"/>
    <n v="0.16"/>
    <s v="Cash"/>
    <s v="Retail"/>
    <x v="4"/>
  </r>
  <r>
    <n v="1019"/>
    <x v="63"/>
    <d v="2024-02-20T00:00:00"/>
    <x v="2"/>
    <s v="Feb"/>
    <x v="2"/>
    <x v="2"/>
    <n v="146755.31640000001"/>
    <n v="42"/>
    <x v="1"/>
    <n v="2422.59"/>
    <n v="4786.54"/>
    <n v="45006.53639999999"/>
    <s v="Returning"/>
    <n v="0.27"/>
    <s v="Credit Card"/>
    <s v="Online"/>
    <x v="14"/>
  </r>
  <r>
    <n v="1015"/>
    <x v="144"/>
    <d v="2024-02-21T00:00:00"/>
    <x v="2"/>
    <s v="Feb"/>
    <x v="4"/>
    <x v="0"/>
    <n v="30141.095999999998"/>
    <n v="12"/>
    <x v="3"/>
    <n v="2099.48"/>
    <n v="2822.2"/>
    <n v="4947.3359999999975"/>
    <s v="New"/>
    <n v="0.11"/>
    <s v="Bank Transfer"/>
    <s v="Online"/>
    <x v="13"/>
  </r>
  <r>
    <n v="1044"/>
    <x v="69"/>
    <d v="2024-02-21T00:00:00"/>
    <x v="2"/>
    <s v="Feb"/>
    <x v="4"/>
    <x v="0"/>
    <n v="64225.953000000001"/>
    <n v="15"/>
    <x v="3"/>
    <n v="3686.03"/>
    <n v="4324.9799999999996"/>
    <n v="8935.502999999997"/>
    <s v="New"/>
    <n v="0.01"/>
    <s v="Cash"/>
    <s v="Retail"/>
    <x v="13"/>
  </r>
  <r>
    <n v="1060"/>
    <x v="245"/>
    <d v="2024-02-21T00:00:00"/>
    <x v="2"/>
    <s v="Feb"/>
    <x v="1"/>
    <x v="0"/>
    <n v="119943.942"/>
    <n v="30"/>
    <x v="2"/>
    <n v="2554.27"/>
    <n v="4648.99"/>
    <n v="43315.84199999999"/>
    <s v="New"/>
    <n v="0.14000000000000001"/>
    <s v="Cash"/>
    <s v="Online"/>
    <x v="10"/>
  </r>
  <r>
    <n v="1017"/>
    <x v="75"/>
    <d v="2024-02-22T00:00:00"/>
    <x v="2"/>
    <s v="Feb"/>
    <x v="1"/>
    <x v="1"/>
    <n v="98155.233000000007"/>
    <n v="30"/>
    <x v="0"/>
    <n v="2252.81"/>
    <n v="4039.31"/>
    <n v="30570.933000000005"/>
    <s v="New"/>
    <n v="0.19"/>
    <s v="Bank Transfer"/>
    <s v="Retail"/>
    <x v="1"/>
  </r>
  <r>
    <n v="1029"/>
    <x v="146"/>
    <d v="2024-02-22T00:00:00"/>
    <x v="2"/>
    <s v="Feb"/>
    <x v="3"/>
    <x v="2"/>
    <n v="88124.849999999991"/>
    <n v="45"/>
    <x v="1"/>
    <n v="741.86"/>
    <n v="2576.75"/>
    <n v="54741.149999999994"/>
    <s v="New"/>
    <n v="0.24"/>
    <s v="Credit Card"/>
    <s v="Online"/>
    <x v="9"/>
  </r>
  <r>
    <n v="1055"/>
    <x v="312"/>
    <d v="2024-02-23T00:00:00"/>
    <x v="2"/>
    <s v="Feb"/>
    <x v="2"/>
    <x v="0"/>
    <n v="80006.967000000004"/>
    <n v="18"/>
    <x v="3"/>
    <n v="4444.3500000000004"/>
    <n v="4678.7700000000004"/>
    <n v="8.6669999999976426"/>
    <s v="Returning"/>
    <n v="0.05"/>
    <s v="Bank Transfer"/>
    <s v="Retail"/>
    <x v="18"/>
  </r>
  <r>
    <n v="1083"/>
    <x v="131"/>
    <d v="2024-02-23T00:00:00"/>
    <x v="2"/>
    <s v="Feb"/>
    <x v="4"/>
    <x v="3"/>
    <n v="9602.9793000000009"/>
    <n v="3"/>
    <x v="0"/>
    <n v="2488.48"/>
    <n v="4051.89"/>
    <n v="2137.5393000000004"/>
    <s v="New"/>
    <n v="0.21"/>
    <s v="Bank Transfer"/>
    <s v="Retail"/>
    <x v="12"/>
  </r>
  <r>
    <n v="1016"/>
    <x v="259"/>
    <d v="2024-02-23T00:00:00"/>
    <x v="2"/>
    <s v="Feb"/>
    <x v="1"/>
    <x v="1"/>
    <n v="158555.75999999998"/>
    <n v="38"/>
    <x v="0"/>
    <n v="3907.23"/>
    <n v="5215.6499999999996"/>
    <n v="10081.019999999982"/>
    <s v="New"/>
    <n v="0.2"/>
    <s v="Cash"/>
    <s v="Retail"/>
    <x v="1"/>
  </r>
  <r>
    <n v="1031"/>
    <x v="224"/>
    <d v="2024-02-23T00:00:00"/>
    <x v="2"/>
    <s v="Feb"/>
    <x v="1"/>
    <x v="0"/>
    <n v="152782.46320724135"/>
    <n v="35"/>
    <x v="2"/>
    <n v="3593.08"/>
    <n v="4522.97"/>
    <n v="27797.031499999994"/>
    <s v="Returning"/>
    <n v="0.03"/>
    <s v="Cash"/>
    <s v="Retail"/>
    <x v="10"/>
  </r>
  <r>
    <n v="1035"/>
    <x v="120"/>
    <d v="2024-02-23T00:00:00"/>
    <x v="2"/>
    <s v="Feb"/>
    <x v="0"/>
    <x v="1"/>
    <n v="97141.37999999999"/>
    <n v="25"/>
    <x v="1"/>
    <n v="1456.17"/>
    <n v="4625.78"/>
    <n v="60737.12999999999"/>
    <s v="New"/>
    <n v="0.16"/>
    <s v="Credit Card"/>
    <s v="Online"/>
    <x v="19"/>
  </r>
  <r>
    <n v="1086"/>
    <x v="87"/>
    <d v="2024-02-24T00:00:00"/>
    <x v="2"/>
    <s v="Feb"/>
    <x v="2"/>
    <x v="0"/>
    <n v="137596.57487561443"/>
    <n v="32"/>
    <x v="0"/>
    <n v="4208.83"/>
    <n v="4375.78"/>
    <n v="2541.9008000000031"/>
    <s v="New"/>
    <n v="0.02"/>
    <s v="Cash"/>
    <s v="Online"/>
    <x v="18"/>
  </r>
  <r>
    <n v="1036"/>
    <x v="92"/>
    <d v="2024-02-24T00:00:00"/>
    <x v="2"/>
    <s v="Feb"/>
    <x v="1"/>
    <x v="3"/>
    <n v="146164"/>
    <n v="50"/>
    <x v="0"/>
    <n v="2605.16"/>
    <n v="2923.28"/>
    <n v="15906.000000000018"/>
    <s v="Returning"/>
    <n v="0"/>
    <s v="Cash"/>
    <s v="Retail"/>
    <x v="7"/>
  </r>
  <r>
    <n v="1010"/>
    <x v="29"/>
    <d v="2024-02-24T00:00:00"/>
    <x v="2"/>
    <s v="Feb"/>
    <x v="2"/>
    <x v="1"/>
    <n v="58922.784"/>
    <n v="30"/>
    <x v="0"/>
    <n v="966.76"/>
    <n v="2045.93"/>
    <n v="29919.983999999997"/>
    <s v="Returning"/>
    <n v="0.04"/>
    <s v="Credit Card"/>
    <s v="Retail"/>
    <x v="8"/>
  </r>
  <r>
    <n v="1085"/>
    <x v="5"/>
    <d v="2024-02-24T00:00:00"/>
    <x v="2"/>
    <s v="Feb"/>
    <x v="3"/>
    <x v="3"/>
    <n v="88325.34060000001"/>
    <n v="23"/>
    <x v="0"/>
    <n v="1168.71"/>
    <n v="4683.21"/>
    <n v="61445.010600000009"/>
    <s v="Returning"/>
    <n v="0.18"/>
    <s v="Cash"/>
    <s v="Retail"/>
    <x v="4"/>
  </r>
  <r>
    <n v="1072"/>
    <x v="352"/>
    <d v="2024-02-24T00:00:00"/>
    <x v="2"/>
    <s v="Feb"/>
    <x v="2"/>
    <x v="1"/>
    <n v="92072.331999999995"/>
    <n v="29"/>
    <x v="1"/>
    <n v="823.81"/>
    <n v="3607.85"/>
    <n v="68181.842000000004"/>
    <s v="New"/>
    <n v="0.12"/>
    <s v="Bank Transfer"/>
    <s v="Online"/>
    <x v="8"/>
  </r>
  <r>
    <n v="1089"/>
    <x v="26"/>
    <d v="2024-02-25T00:00:00"/>
    <x v="2"/>
    <s v="Feb"/>
    <x v="3"/>
    <x v="2"/>
    <n v="130003.83216956057"/>
    <n v="34"/>
    <x v="3"/>
    <n v="3799.82"/>
    <n v="3843.28"/>
    <n v="170.92479999999978"/>
    <s v="Returning"/>
    <n v="0.01"/>
    <s v="Credit Card"/>
    <s v="Online"/>
    <x v="9"/>
  </r>
  <r>
    <n v="1078"/>
    <x v="308"/>
    <d v="2024-02-25T00:00:00"/>
    <x v="2"/>
    <s v="Feb"/>
    <x v="0"/>
    <x v="0"/>
    <n v="150150.26519999999"/>
    <n v="39"/>
    <x v="1"/>
    <n v="2279.17"/>
    <n v="4184.79"/>
    <n v="61262.635200000004"/>
    <s v="New"/>
    <n v="0.08"/>
    <s v="Bank Transfer"/>
    <s v="Online"/>
    <x v="0"/>
  </r>
  <r>
    <n v="1089"/>
    <x v="348"/>
    <d v="2024-02-25T00:00:00"/>
    <x v="2"/>
    <s v="Feb"/>
    <x v="4"/>
    <x v="3"/>
    <n v="84050.524799999999"/>
    <n v="27"/>
    <x v="1"/>
    <n v="549.62"/>
    <n v="3537.48"/>
    <n v="69210.784799999994"/>
    <s v="New"/>
    <n v="0.12"/>
    <s v="Credit Card"/>
    <s v="Retail"/>
    <x v="12"/>
  </r>
  <r>
    <n v="1011"/>
    <x v="237"/>
    <d v="2024-02-25T00:00:00"/>
    <x v="2"/>
    <s v="Feb"/>
    <x v="3"/>
    <x v="2"/>
    <n v="117889.1952"/>
    <n v="42"/>
    <x v="3"/>
    <n v="736.04"/>
    <n v="3953.36"/>
    <n v="86975.515200000009"/>
    <s v="Returning"/>
    <n v="0.28999999999999998"/>
    <s v="Bank Transfer"/>
    <s v="Online"/>
    <x v="9"/>
  </r>
  <r>
    <n v="1096"/>
    <x v="179"/>
    <d v="2024-02-26T00:00:00"/>
    <x v="2"/>
    <s v="Feb"/>
    <x v="2"/>
    <x v="1"/>
    <n v="61087.014000000003"/>
    <n v="15"/>
    <x v="1"/>
    <n v="2994.01"/>
    <n v="5358.51"/>
    <n v="16176.864000000003"/>
    <s v="New"/>
    <n v="0.24"/>
    <s v="Cash"/>
    <s v="Retail"/>
    <x v="8"/>
  </r>
  <r>
    <n v="1081"/>
    <x v="85"/>
    <d v="2024-02-27T00:00:00"/>
    <x v="2"/>
    <s v="Feb"/>
    <x v="2"/>
    <x v="0"/>
    <n v="98710.088399999993"/>
    <n v="31"/>
    <x v="2"/>
    <n v="2759.77"/>
    <n v="4135.32"/>
    <n v="13157.218399999994"/>
    <s v="New"/>
    <n v="0.23"/>
    <s v="Cash"/>
    <s v="Retail"/>
    <x v="18"/>
  </r>
  <r>
    <n v="1086"/>
    <x v="338"/>
    <d v="2024-02-27T00:00:00"/>
    <x v="2"/>
    <s v="Feb"/>
    <x v="4"/>
    <x v="2"/>
    <n v="38319.024799999999"/>
    <n v="14"/>
    <x v="2"/>
    <n v="1010.99"/>
    <n v="2911.78"/>
    <n v="24165.164799999999"/>
    <s v="Returning"/>
    <n v="0.06"/>
    <s v="Cash"/>
    <s v="Retail"/>
    <x v="17"/>
  </r>
  <r>
    <n v="1087"/>
    <x v="372"/>
    <d v="2024-02-27T00:00:00"/>
    <x v="2"/>
    <s v="Feb"/>
    <x v="3"/>
    <x v="3"/>
    <n v="117283.67819999999"/>
    <n v="39"/>
    <x v="0"/>
    <n v="473.09"/>
    <n v="3496.83"/>
    <n v="98833.168199999986"/>
    <s v="Returning"/>
    <n v="0.14000000000000001"/>
    <s v="Bank Transfer"/>
    <s v="Online"/>
    <x v="4"/>
  </r>
  <r>
    <n v="1098"/>
    <x v="106"/>
    <d v="2024-02-28T00:00:00"/>
    <x v="2"/>
    <s v="Feb"/>
    <x v="1"/>
    <x v="2"/>
    <n v="51557.673999999999"/>
    <n v="23"/>
    <x v="2"/>
    <n v="1735.78"/>
    <n v="3202.34"/>
    <n v="11634.733999999999"/>
    <s v="Returning"/>
    <n v="0.3"/>
    <s v="Credit Card"/>
    <s v="Retail"/>
    <x v="15"/>
  </r>
  <r>
    <n v="1014"/>
    <x v="130"/>
    <d v="2024-02-28T00:00:00"/>
    <x v="2"/>
    <s v="Feb"/>
    <x v="2"/>
    <x v="0"/>
    <n v="104170.64840000002"/>
    <n v="34"/>
    <x v="2"/>
    <n v="148.9"/>
    <n v="3366.86"/>
    <n v="99108.048400000014"/>
    <s v="Returning"/>
    <n v="0.09"/>
    <s v="Credit Card"/>
    <s v="Retail"/>
    <x v="18"/>
  </r>
  <r>
    <n v="1010"/>
    <x v="29"/>
    <d v="2024-02-29T00:00:00"/>
    <x v="2"/>
    <s v="Feb"/>
    <x v="1"/>
    <x v="0"/>
    <n v="101815.91419999998"/>
    <n v="49"/>
    <x v="0"/>
    <n v="1045.25"/>
    <n v="2142.14"/>
    <n v="50598.664199999992"/>
    <s v="Returning"/>
    <n v="0.03"/>
    <s v="Bank Transfer"/>
    <s v="Online"/>
    <x v="10"/>
  </r>
  <r>
    <n v="1020"/>
    <x v="68"/>
    <d v="2024-03-01T00:00:00"/>
    <x v="2"/>
    <s v="Mar"/>
    <x v="1"/>
    <x v="2"/>
    <n v="99563.837799859306"/>
    <n v="19"/>
    <x v="2"/>
    <n v="4641.66"/>
    <n v="5498.55"/>
    <n v="11057.287499999993"/>
    <s v="Returning"/>
    <n v="0.05"/>
    <s v="Bank Transfer"/>
    <s v="Online"/>
    <x v="15"/>
  </r>
  <r>
    <n v="1002"/>
    <x v="335"/>
    <d v="2024-03-01T00:00:00"/>
    <x v="2"/>
    <s v="Mar"/>
    <x v="0"/>
    <x v="0"/>
    <n v="71963.240999999995"/>
    <n v="21"/>
    <x v="2"/>
    <n v="2372.6999999999998"/>
    <n v="3607.18"/>
    <n v="22136.540999999994"/>
    <s v="Returning"/>
    <n v="0.05"/>
    <s v="Credit Card"/>
    <s v="Retail"/>
    <x v="0"/>
  </r>
  <r>
    <n v="1043"/>
    <x v="274"/>
    <d v="2024-03-01T00:00:00"/>
    <x v="2"/>
    <s v="Mar"/>
    <x v="2"/>
    <x v="0"/>
    <n v="168191.31599999999"/>
    <n v="45"/>
    <x v="3"/>
    <n v="3188.73"/>
    <n v="4731.12"/>
    <n v="24698.466000000004"/>
    <s v="Returning"/>
    <n v="0.21"/>
    <s v="Bank Transfer"/>
    <s v="Online"/>
    <x v="18"/>
  </r>
  <r>
    <n v="1038"/>
    <x v="166"/>
    <d v="2024-03-01T00:00:00"/>
    <x v="2"/>
    <s v="Mar"/>
    <x v="0"/>
    <x v="2"/>
    <n v="113828.5824"/>
    <n v="23"/>
    <x v="3"/>
    <n v="3333.47"/>
    <n v="5155.28"/>
    <n v="37158.772400000002"/>
    <s v="New"/>
    <n v="0.04"/>
    <s v="Credit Card"/>
    <s v="Retail"/>
    <x v="2"/>
  </r>
  <r>
    <n v="1015"/>
    <x v="91"/>
    <d v="2024-03-01T00:00:00"/>
    <x v="2"/>
    <s v="Mar"/>
    <x v="1"/>
    <x v="3"/>
    <n v="67164.982500000013"/>
    <n v="25"/>
    <x v="0"/>
    <n v="575.83000000000004"/>
    <n v="3489.09"/>
    <n v="52769.232500000013"/>
    <s v="Returning"/>
    <n v="0.23"/>
    <s v="Credit Card"/>
    <s v="Online"/>
    <x v="7"/>
  </r>
  <r>
    <n v="1045"/>
    <x v="266"/>
    <d v="2024-03-02T00:00:00"/>
    <x v="2"/>
    <s v="Mar"/>
    <x v="1"/>
    <x v="0"/>
    <n v="186918.40414412497"/>
    <n v="36"/>
    <x v="2"/>
    <n v="4733.43"/>
    <n v="5264.38"/>
    <n v="17219.0232"/>
    <s v="New"/>
    <n v="0.01"/>
    <s v="Cash"/>
    <s v="Online"/>
    <x v="10"/>
  </r>
  <r>
    <n v="1050"/>
    <x v="254"/>
    <d v="2024-03-02T00:00:00"/>
    <x v="2"/>
    <s v="Mar"/>
    <x v="1"/>
    <x v="0"/>
    <n v="75068.540800000002"/>
    <n v="44"/>
    <x v="3"/>
    <n v="1308.46"/>
    <n v="1854.46"/>
    <n v="17496.300799999997"/>
    <s v="Returning"/>
    <n v="0.08"/>
    <s v="Cash"/>
    <s v="Online"/>
    <x v="10"/>
  </r>
  <r>
    <n v="1086"/>
    <x v="87"/>
    <d v="2024-03-02T00:00:00"/>
    <x v="2"/>
    <s v="Mar"/>
    <x v="2"/>
    <x v="3"/>
    <n v="39105.180399999997"/>
    <n v="22"/>
    <x v="0"/>
    <n v="358.37"/>
    <n v="2066.87"/>
    <n v="31221.040399999998"/>
    <s v="Returning"/>
    <n v="0.14000000000000001"/>
    <s v="Bank Transfer"/>
    <s v="Online"/>
    <x v="3"/>
  </r>
  <r>
    <n v="1033"/>
    <x v="99"/>
    <d v="2024-03-03T00:00:00"/>
    <x v="2"/>
    <s v="Mar"/>
    <x v="2"/>
    <x v="3"/>
    <n v="94048.01999999999"/>
    <n v="50"/>
    <x v="0"/>
    <n v="198.58"/>
    <n v="2649.24"/>
    <n v="84119.01999999999"/>
    <s v="Returning"/>
    <n v="0.28999999999999998"/>
    <s v="Credit Card"/>
    <s v="Retail"/>
    <x v="3"/>
  </r>
  <r>
    <n v="1062"/>
    <x v="109"/>
    <d v="2024-03-04T00:00:00"/>
    <x v="2"/>
    <s v="Mar"/>
    <x v="3"/>
    <x v="3"/>
    <n v="4421.4768000000004"/>
    <n v="6"/>
    <x v="2"/>
    <n v="588.97"/>
    <n v="944.76"/>
    <n v="887.6568000000002"/>
    <s v="Returning"/>
    <n v="0.22"/>
    <s v="Cash"/>
    <s v="Online"/>
    <x v="4"/>
  </r>
  <r>
    <n v="1086"/>
    <x v="82"/>
    <d v="2024-03-05T00:00:00"/>
    <x v="2"/>
    <s v="Mar"/>
    <x v="0"/>
    <x v="1"/>
    <n v="19329.621500000001"/>
    <n v="7"/>
    <x v="3"/>
    <n v="722.41"/>
    <n v="2906.71"/>
    <n v="14272.7515"/>
    <s v="New"/>
    <n v="0.05"/>
    <s v="Bank Transfer"/>
    <s v="Online"/>
    <x v="19"/>
  </r>
  <r>
    <n v="1069"/>
    <x v="337"/>
    <d v="2024-03-05T00:00:00"/>
    <x v="2"/>
    <s v="Mar"/>
    <x v="1"/>
    <x v="2"/>
    <n v="200783.63500000001"/>
    <n v="50"/>
    <x v="0"/>
    <n v="1601.61"/>
    <n v="5083.13"/>
    <n v="120703.13500000002"/>
    <s v="New"/>
    <n v="0.21"/>
    <s v="Cash"/>
    <s v="Online"/>
    <x v="15"/>
  </r>
  <r>
    <n v="1059"/>
    <x v="141"/>
    <d v="2024-03-06T00:00:00"/>
    <x v="2"/>
    <s v="Mar"/>
    <x v="2"/>
    <x v="2"/>
    <n v="10012.341899999999"/>
    <n v="11"/>
    <x v="2"/>
    <n v="866.79"/>
    <n v="1281.99"/>
    <n v="477.6519000000003"/>
    <s v="Returning"/>
    <n v="0.28999999999999998"/>
    <s v="Bank Transfer"/>
    <s v="Retail"/>
    <x v="14"/>
  </r>
  <r>
    <n v="1086"/>
    <x v="338"/>
    <d v="2024-03-06T00:00:00"/>
    <x v="2"/>
    <s v="Mar"/>
    <x v="3"/>
    <x v="3"/>
    <n v="19819.865103939119"/>
    <n v="17"/>
    <x v="2"/>
    <n v="1046.26"/>
    <n v="1183.75"/>
    <n v="1934.8550000000009"/>
    <s v="Returning"/>
    <n v="0.02"/>
    <s v="Bank Transfer"/>
    <s v="Retail"/>
    <x v="4"/>
  </r>
  <r>
    <n v="1091"/>
    <x v="60"/>
    <d v="2024-03-06T00:00:00"/>
    <x v="2"/>
    <s v="Mar"/>
    <x v="3"/>
    <x v="2"/>
    <n v="43813.307999999997"/>
    <n v="10"/>
    <x v="1"/>
    <n v="739.21"/>
    <n v="5215.87"/>
    <n v="36421.207999999999"/>
    <s v="New"/>
    <n v="0.16"/>
    <s v="Bank Transfer"/>
    <s v="Online"/>
    <x v="9"/>
  </r>
  <r>
    <n v="1005"/>
    <x v="300"/>
    <d v="2024-03-07T00:00:00"/>
    <x v="2"/>
    <s v="Mar"/>
    <x v="2"/>
    <x v="3"/>
    <n v="69757.875"/>
    <n v="15"/>
    <x v="0"/>
    <n v="4587.26"/>
    <n v="4697.5"/>
    <n v="948.97499999999127"/>
    <s v="New"/>
    <n v="0.01"/>
    <s v="Credit Card"/>
    <s v="Retail"/>
    <x v="3"/>
  </r>
  <r>
    <n v="1070"/>
    <x v="56"/>
    <d v="2024-03-07T00:00:00"/>
    <x v="2"/>
    <s v="Mar"/>
    <x v="1"/>
    <x v="1"/>
    <n v="70662.680000000008"/>
    <n v="22"/>
    <x v="2"/>
    <n v="2964.29"/>
    <n v="3211.94"/>
    <n v="5448.300000000002"/>
    <s v="New"/>
    <n v="0"/>
    <s v="Credit Card"/>
    <s v="Online"/>
    <x v="1"/>
  </r>
  <r>
    <n v="1028"/>
    <x v="295"/>
    <d v="2024-03-07T00:00:00"/>
    <x v="2"/>
    <s v="Mar"/>
    <x v="0"/>
    <x v="0"/>
    <n v="9955.3343999999997"/>
    <n v="3"/>
    <x v="1"/>
    <n v="778.44"/>
    <n v="3770.96"/>
    <n v="7620.0144"/>
    <s v="Returning"/>
    <n v="0.12"/>
    <s v="Cash"/>
    <s v="Online"/>
    <x v="0"/>
  </r>
  <r>
    <n v="1076"/>
    <x v="129"/>
    <d v="2024-03-07T00:00:00"/>
    <x v="2"/>
    <s v="Mar"/>
    <x v="1"/>
    <x v="1"/>
    <n v="84013.788800000009"/>
    <n v="29"/>
    <x v="1"/>
    <n v="1384.85"/>
    <n v="3532.96"/>
    <n v="43853.138800000015"/>
    <s v="New"/>
    <n v="0.18"/>
    <s v="Cash"/>
    <s v="Online"/>
    <x v="1"/>
  </r>
  <r>
    <n v="1058"/>
    <x v="345"/>
    <d v="2024-03-08T00:00:00"/>
    <x v="2"/>
    <s v="Mar"/>
    <x v="1"/>
    <x v="1"/>
    <n v="32498.502400000001"/>
    <n v="8"/>
    <x v="0"/>
    <n v="2205.94"/>
    <n v="4464.08"/>
    <n v="14850.982400000001"/>
    <s v="Returning"/>
    <n v="0.09"/>
    <s v="Cash"/>
    <s v="Online"/>
    <x v="1"/>
  </r>
  <r>
    <n v="1019"/>
    <x v="32"/>
    <d v="2024-03-08T00:00:00"/>
    <x v="2"/>
    <s v="Mar"/>
    <x v="1"/>
    <x v="1"/>
    <n v="59039.390400000004"/>
    <n v="24"/>
    <x v="3"/>
    <n v="1105.51"/>
    <n v="3324.29"/>
    <n v="32507.150399999999"/>
    <s v="New"/>
    <n v="0.26"/>
    <s v="Cash"/>
    <s v="Online"/>
    <x v="1"/>
  </r>
  <r>
    <n v="1059"/>
    <x v="141"/>
    <d v="2024-03-08T00:00:00"/>
    <x v="2"/>
    <s v="Mar"/>
    <x v="2"/>
    <x v="1"/>
    <n v="93592.624500000005"/>
    <n v="27"/>
    <x v="2"/>
    <n v="1273.79"/>
    <n v="4078.11"/>
    <n v="59200.294500000004"/>
    <s v="Returning"/>
    <n v="0.15"/>
    <s v="Credit Card"/>
    <s v="Retail"/>
    <x v="8"/>
  </r>
  <r>
    <n v="1088"/>
    <x v="25"/>
    <d v="2024-03-08T00:00:00"/>
    <x v="2"/>
    <s v="Mar"/>
    <x v="0"/>
    <x v="3"/>
    <n v="125675.12760000001"/>
    <n v="33"/>
    <x v="1"/>
    <n v="1550.65"/>
    <n v="4820.68"/>
    <n v="74503.67760000001"/>
    <s v="Returning"/>
    <n v="0.21"/>
    <s v="Cash"/>
    <s v="Retail"/>
    <x v="5"/>
  </r>
  <r>
    <n v="1033"/>
    <x v="99"/>
    <d v="2024-03-09T00:00:00"/>
    <x v="2"/>
    <s v="Mar"/>
    <x v="2"/>
    <x v="2"/>
    <n v="122387.44279999999"/>
    <n v="43"/>
    <x v="0"/>
    <n v="311.27999999999997"/>
    <n v="4008.76"/>
    <n v="109002.40279999998"/>
    <s v="New"/>
    <n v="0.28999999999999998"/>
    <s v="Cash"/>
    <s v="Online"/>
    <x v="14"/>
  </r>
  <r>
    <n v="1023"/>
    <x v="361"/>
    <d v="2024-03-09T00:00:00"/>
    <x v="2"/>
    <s v="Mar"/>
    <x v="0"/>
    <x v="1"/>
    <n v="155345.48919999998"/>
    <n v="44"/>
    <x v="2"/>
    <n v="717.52"/>
    <n v="4836.41"/>
    <n v="123774.60919999999"/>
    <s v="New"/>
    <n v="0.27"/>
    <s v="Credit Card"/>
    <s v="Online"/>
    <x v="19"/>
  </r>
  <r>
    <n v="1004"/>
    <x v="260"/>
    <d v="2024-03-10T00:00:00"/>
    <x v="2"/>
    <s v="Mar"/>
    <x v="2"/>
    <x v="3"/>
    <n v="4973.027338236664"/>
    <n v="1"/>
    <x v="1"/>
    <n v="3923.8"/>
    <n v="5081.12"/>
    <n v="1055.6975999999995"/>
    <s v="New"/>
    <n v="0.02"/>
    <s v="Cash"/>
    <s v="Online"/>
    <x v="3"/>
  </r>
  <r>
    <n v="1025"/>
    <x v="155"/>
    <d v="2024-03-10T00:00:00"/>
    <x v="2"/>
    <s v="Mar"/>
    <x v="2"/>
    <x v="3"/>
    <n v="3343.4483999999998"/>
    <n v="1"/>
    <x v="1"/>
    <n v="1719.21"/>
    <n v="3556.86"/>
    <n v="1624.2383999999997"/>
    <s v="New"/>
    <n v="0.06"/>
    <s v="Bank Transfer"/>
    <s v="Online"/>
    <x v="3"/>
  </r>
  <r>
    <n v="1098"/>
    <x v="127"/>
    <d v="2024-03-10T00:00:00"/>
    <x v="2"/>
    <s v="Mar"/>
    <x v="3"/>
    <x v="0"/>
    <n v="24571.314053214188"/>
    <n v="9"/>
    <x v="1"/>
    <n v="2385.35"/>
    <n v="2733.02"/>
    <n v="3129.0300000000007"/>
    <s v="Returning"/>
    <n v="0"/>
    <s v="Credit Card"/>
    <s v="Retail"/>
    <x v="11"/>
  </r>
  <r>
    <n v="1090"/>
    <x v="37"/>
    <d v="2024-03-10T00:00:00"/>
    <x v="2"/>
    <s v="Mar"/>
    <x v="0"/>
    <x v="0"/>
    <n v="36612.084599999995"/>
    <n v="21"/>
    <x v="1"/>
    <n v="1213.4000000000001"/>
    <n v="1915.86"/>
    <n v="11130.684599999995"/>
    <s v="Returning"/>
    <n v="0.09"/>
    <s v="Credit Card"/>
    <s v="Retail"/>
    <x v="0"/>
  </r>
  <r>
    <n v="1052"/>
    <x v="390"/>
    <d v="2024-03-11T00:00:00"/>
    <x v="2"/>
    <s v="Mar"/>
    <x v="4"/>
    <x v="1"/>
    <n v="38055.81"/>
    <n v="13"/>
    <x v="3"/>
    <n v="2922.8"/>
    <n v="2927.37"/>
    <n v="59.409999999996217"/>
    <s v="Returning"/>
    <n v="0"/>
    <s v="Credit Card"/>
    <s v="Online"/>
    <x v="6"/>
  </r>
  <r>
    <n v="1007"/>
    <x v="192"/>
    <d v="2024-03-11T00:00:00"/>
    <x v="2"/>
    <s v="Mar"/>
    <x v="2"/>
    <x v="2"/>
    <n v="2355.0749000000001"/>
    <n v="1"/>
    <x v="1"/>
    <n v="420.25"/>
    <n v="3226.13"/>
    <n v="1934.8249000000001"/>
    <s v="New"/>
    <n v="0.27"/>
    <s v="Cash"/>
    <s v="Online"/>
    <x v="14"/>
  </r>
  <r>
    <n v="1008"/>
    <x v="162"/>
    <d v="2024-03-11T00:00:00"/>
    <x v="2"/>
    <s v="Mar"/>
    <x v="0"/>
    <x v="2"/>
    <n v="55938.63"/>
    <n v="11"/>
    <x v="2"/>
    <n v="4112.54"/>
    <n v="5085.33"/>
    <n v="10700.689999999999"/>
    <s v="Returning"/>
    <n v="0"/>
    <s v="Credit Card"/>
    <s v="Online"/>
    <x v="2"/>
  </r>
  <r>
    <n v="1088"/>
    <x v="25"/>
    <d v="2024-03-11T00:00:00"/>
    <x v="2"/>
    <s v="Mar"/>
    <x v="0"/>
    <x v="3"/>
    <n v="55907.627999999997"/>
    <n v="14"/>
    <x v="1"/>
    <n v="1604.39"/>
    <n v="4074.9"/>
    <n v="33446.167999999998"/>
    <s v="New"/>
    <n v="0.02"/>
    <s v="Credit Card"/>
    <s v="Online"/>
    <x v="5"/>
  </r>
  <r>
    <n v="1046"/>
    <x v="263"/>
    <d v="2024-03-11T00:00:00"/>
    <x v="2"/>
    <s v="Mar"/>
    <x v="3"/>
    <x v="0"/>
    <n v="153870.8187"/>
    <n v="29"/>
    <x v="0"/>
    <n v="1863.82"/>
    <n v="5469.99"/>
    <n v="99820.038700000005"/>
    <s v="Returning"/>
    <n v="0.03"/>
    <s v="Credit Card"/>
    <s v="Retail"/>
    <x v="11"/>
  </r>
  <r>
    <n v="1007"/>
    <x v="192"/>
    <d v="2024-03-12T00:00:00"/>
    <x v="2"/>
    <s v="Mar"/>
    <x v="0"/>
    <x v="0"/>
    <n v="147339.99280000001"/>
    <n v="34"/>
    <x v="1"/>
    <n v="4124.13"/>
    <n v="4762.12"/>
    <n v="7119.5727999999945"/>
    <s v="Returning"/>
    <n v="0.09"/>
    <s v="Credit Card"/>
    <s v="Online"/>
    <x v="0"/>
  </r>
  <r>
    <n v="1025"/>
    <x v="381"/>
    <d v="2024-03-12T00:00:00"/>
    <x v="2"/>
    <s v="Mar"/>
    <x v="4"/>
    <x v="3"/>
    <n v="24292.640000000003"/>
    <n v="38"/>
    <x v="2"/>
    <n v="420.92"/>
    <n v="799.1"/>
    <n v="8297.6800000000021"/>
    <s v="New"/>
    <n v="0.2"/>
    <s v="Cash"/>
    <s v="Online"/>
    <x v="12"/>
  </r>
  <r>
    <n v="1030"/>
    <x v="371"/>
    <d v="2024-03-12T00:00:00"/>
    <x v="2"/>
    <s v="Mar"/>
    <x v="1"/>
    <x v="3"/>
    <n v="166618.3536"/>
    <n v="48"/>
    <x v="1"/>
    <n v="1751.88"/>
    <n v="4755.09"/>
    <n v="82528.113600000012"/>
    <s v="Returning"/>
    <n v="0.27"/>
    <s v="Credit Card"/>
    <s v="Retail"/>
    <x v="7"/>
  </r>
  <r>
    <n v="1086"/>
    <x v="82"/>
    <d v="2024-03-12T00:00:00"/>
    <x v="2"/>
    <s v="Mar"/>
    <x v="2"/>
    <x v="2"/>
    <n v="222346.08"/>
    <n v="50"/>
    <x v="3"/>
    <n v="2657.1"/>
    <n v="5053.32"/>
    <n v="89491.079999999987"/>
    <s v="Returning"/>
    <n v="0.12"/>
    <s v="Cash"/>
    <s v="Retail"/>
    <x v="14"/>
  </r>
  <r>
    <n v="1074"/>
    <x v="107"/>
    <d v="2024-03-12T00:00:00"/>
    <x v="2"/>
    <s v="Mar"/>
    <x v="4"/>
    <x v="1"/>
    <n v="160689.609"/>
    <n v="45"/>
    <x v="0"/>
    <n v="414.07"/>
    <n v="4104.46"/>
    <n v="142056.459"/>
    <s v="New"/>
    <n v="0.13"/>
    <s v="Cash"/>
    <s v="Retail"/>
    <x v="6"/>
  </r>
  <r>
    <n v="1086"/>
    <x v="23"/>
    <d v="2024-03-13T00:00:00"/>
    <x v="2"/>
    <s v="Mar"/>
    <x v="1"/>
    <x v="0"/>
    <n v="30142.3904"/>
    <n v="8"/>
    <x v="1"/>
    <n v="2292.7600000000002"/>
    <n v="5091.62"/>
    <n v="11800.310399999998"/>
    <s v="New"/>
    <n v="0.26"/>
    <s v="Cash"/>
    <s v="Online"/>
    <x v="10"/>
  </r>
  <r>
    <n v="1017"/>
    <x v="376"/>
    <d v="2024-03-13T00:00:00"/>
    <x v="2"/>
    <s v="Mar"/>
    <x v="1"/>
    <x v="3"/>
    <n v="119572.49159999998"/>
    <n v="36"/>
    <x v="2"/>
    <n v="2035.76"/>
    <n v="4678.1099999999997"/>
    <n v="46285.131599999979"/>
    <s v="New"/>
    <n v="0.28999999999999998"/>
    <s v="Bank Transfer"/>
    <s v="Retail"/>
    <x v="7"/>
  </r>
  <r>
    <n v="1075"/>
    <x v="149"/>
    <d v="2024-03-13T00:00:00"/>
    <x v="2"/>
    <s v="Mar"/>
    <x v="3"/>
    <x v="0"/>
    <n v="133185.63"/>
    <n v="41"/>
    <x v="1"/>
    <n v="1613.68"/>
    <n v="3419.4"/>
    <n v="67024.749999999985"/>
    <s v="New"/>
    <n v="0.05"/>
    <s v="Credit Card"/>
    <s v="Retail"/>
    <x v="11"/>
  </r>
  <r>
    <n v="1076"/>
    <x v="9"/>
    <d v="2024-03-13T00:00:00"/>
    <x v="2"/>
    <s v="Mar"/>
    <x v="1"/>
    <x v="1"/>
    <n v="129551.87059999999"/>
    <n v="31"/>
    <x v="3"/>
    <n v="1587.56"/>
    <n v="4859.41"/>
    <n v="80337.510599999994"/>
    <s v="Returning"/>
    <n v="0.14000000000000001"/>
    <s v="Bank Transfer"/>
    <s v="Online"/>
    <x v="1"/>
  </r>
  <r>
    <n v="1077"/>
    <x v="278"/>
    <d v="2024-03-13T00:00:00"/>
    <x v="2"/>
    <s v="Mar"/>
    <x v="2"/>
    <x v="2"/>
    <n v="153197.5405"/>
    <n v="43"/>
    <x v="1"/>
    <n v="525.59"/>
    <n v="4292.45"/>
    <n v="130597.17049999999"/>
    <s v="Returning"/>
    <n v="0.17"/>
    <s v="Credit Card"/>
    <s v="Online"/>
    <x v="14"/>
  </r>
  <r>
    <n v="1094"/>
    <x v="51"/>
    <d v="2024-03-13T00:00:00"/>
    <x v="2"/>
    <s v="Mar"/>
    <x v="1"/>
    <x v="3"/>
    <n v="152939.93400000001"/>
    <n v="42"/>
    <x v="0"/>
    <n v="293.08"/>
    <n v="4046.03"/>
    <n v="140630.57400000002"/>
    <s v="New"/>
    <n v="0.1"/>
    <s v="Cash"/>
    <s v="Retail"/>
    <x v="7"/>
  </r>
  <r>
    <n v="1077"/>
    <x v="172"/>
    <d v="2024-03-14T00:00:00"/>
    <x v="2"/>
    <s v="Mar"/>
    <x v="1"/>
    <x v="1"/>
    <n v="56547.876000000004"/>
    <n v="30"/>
    <x v="2"/>
    <n v="529.79"/>
    <n v="2480.17"/>
    <n v="40654.175999999999"/>
    <s v="New"/>
    <n v="0.24"/>
    <s v="Cash"/>
    <s v="Retail"/>
    <x v="1"/>
  </r>
  <r>
    <n v="1065"/>
    <x v="190"/>
    <d v="2024-03-15T00:00:00"/>
    <x v="2"/>
    <s v="Mar"/>
    <x v="0"/>
    <x v="0"/>
    <n v="150408.76259668486"/>
    <n v="32"/>
    <x v="0"/>
    <n v="4524.57"/>
    <n v="4862.18"/>
    <n v="6135.8271999999997"/>
    <s v="New"/>
    <n v="0.03"/>
    <s v="Credit Card"/>
    <s v="Online"/>
    <x v="0"/>
  </r>
  <r>
    <n v="1041"/>
    <x v="143"/>
    <d v="2024-03-15T00:00:00"/>
    <x v="2"/>
    <s v="Mar"/>
    <x v="4"/>
    <x v="2"/>
    <n v="184874.2"/>
    <n v="50"/>
    <x v="0"/>
    <n v="3396.07"/>
    <n v="4996.6000000000004"/>
    <n v="15070.700000000012"/>
    <s v="New"/>
    <n v="0.26"/>
    <s v="Cash"/>
    <s v="Retail"/>
    <x v="17"/>
  </r>
  <r>
    <n v="1076"/>
    <x v="129"/>
    <d v="2024-03-16T00:00:00"/>
    <x v="2"/>
    <s v="Mar"/>
    <x v="1"/>
    <x v="0"/>
    <n v="56539.023333618075"/>
    <n v="14"/>
    <x v="1"/>
    <n v="3803.19"/>
    <n v="4088.59"/>
    <n v="3423.1973999999982"/>
    <s v="New"/>
    <n v="0.01"/>
    <s v="Bank Transfer"/>
    <s v="Online"/>
    <x v="10"/>
  </r>
  <r>
    <n v="1062"/>
    <x v="18"/>
    <d v="2024-03-16T00:00:00"/>
    <x v="2"/>
    <s v="Mar"/>
    <x v="1"/>
    <x v="1"/>
    <n v="40706.720000000001"/>
    <n v="29"/>
    <x v="0"/>
    <n v="908.02"/>
    <n v="1754.6"/>
    <n v="14374.140000000003"/>
    <s v="New"/>
    <n v="0.2"/>
    <s v="Bank Transfer"/>
    <s v="Retail"/>
    <x v="1"/>
  </r>
  <r>
    <n v="1059"/>
    <x v="388"/>
    <d v="2024-03-16T00:00:00"/>
    <x v="2"/>
    <s v="Mar"/>
    <x v="4"/>
    <x v="1"/>
    <n v="65783.7"/>
    <n v="20"/>
    <x v="3"/>
    <n v="2307.15"/>
    <n v="4385.58"/>
    <n v="19640.699999999997"/>
    <s v="Returning"/>
    <n v="0.25"/>
    <s v="Credit Card"/>
    <s v="Retail"/>
    <x v="6"/>
  </r>
  <r>
    <n v="1073"/>
    <x v="279"/>
    <d v="2024-03-16T00:00:00"/>
    <x v="2"/>
    <s v="Mar"/>
    <x v="4"/>
    <x v="0"/>
    <n v="28048.729800000001"/>
    <n v="6"/>
    <x v="0"/>
    <n v="1344.6"/>
    <n v="5137.13"/>
    <n v="19981.129800000002"/>
    <s v="Returning"/>
    <n v="0.09"/>
    <s v="Bank Transfer"/>
    <s v="Retail"/>
    <x v="13"/>
  </r>
  <r>
    <n v="1024"/>
    <x v="59"/>
    <d v="2024-03-16T00:00:00"/>
    <x v="2"/>
    <s v="Mar"/>
    <x v="1"/>
    <x v="0"/>
    <n v="39703.791599999997"/>
    <n v="12"/>
    <x v="1"/>
    <n v="777.04"/>
    <n v="3342.07"/>
    <n v="30379.311600000001"/>
    <s v="New"/>
    <n v="0.01"/>
    <s v="Credit Card"/>
    <s v="Online"/>
    <x v="10"/>
  </r>
  <r>
    <n v="1024"/>
    <x v="290"/>
    <d v="2024-03-16T00:00:00"/>
    <x v="2"/>
    <s v="Mar"/>
    <x v="0"/>
    <x v="0"/>
    <n v="68630.763599999991"/>
    <n v="31"/>
    <x v="2"/>
    <n v="691.19"/>
    <n v="2635.59"/>
    <n v="47203.873599999992"/>
    <s v="New"/>
    <n v="0.16"/>
    <s v="Cash"/>
    <s v="Retail"/>
    <x v="0"/>
  </r>
  <r>
    <n v="1034"/>
    <x v="256"/>
    <d v="2024-03-16T00:00:00"/>
    <x v="2"/>
    <s v="Mar"/>
    <x v="4"/>
    <x v="1"/>
    <n v="60068.044800000003"/>
    <n v="34"/>
    <x v="2"/>
    <n v="337.04"/>
    <n v="2488.3200000000002"/>
    <n v="48608.684800000003"/>
    <s v="Returning"/>
    <n v="0.28999999999999998"/>
    <s v="Cash"/>
    <s v="Retail"/>
    <x v="6"/>
  </r>
  <r>
    <n v="1099"/>
    <x v="122"/>
    <d v="2024-03-16T00:00:00"/>
    <x v="2"/>
    <s v="Mar"/>
    <x v="3"/>
    <x v="3"/>
    <n v="155485.33600000001"/>
    <n v="31"/>
    <x v="0"/>
    <n v="1483.08"/>
    <n v="5451.8"/>
    <n v="109509.856"/>
    <s v="New"/>
    <n v="0.08"/>
    <s v="Bank Transfer"/>
    <s v="Online"/>
    <x v="4"/>
  </r>
  <r>
    <n v="1014"/>
    <x v="98"/>
    <d v="2024-03-17T00:00:00"/>
    <x v="2"/>
    <s v="Mar"/>
    <x v="0"/>
    <x v="0"/>
    <n v="138623.73750000002"/>
    <n v="45"/>
    <x v="0"/>
    <n v="2868.63"/>
    <n v="3624.15"/>
    <n v="9535.3875000000007"/>
    <s v="New"/>
    <n v="0.15"/>
    <s v="Cash"/>
    <s v="Retail"/>
    <x v="0"/>
  </r>
  <r>
    <n v="1095"/>
    <x v="94"/>
    <d v="2024-03-17T00:00:00"/>
    <x v="2"/>
    <s v="Mar"/>
    <x v="3"/>
    <x v="1"/>
    <n v="47997.112800000003"/>
    <n v="14"/>
    <x v="2"/>
    <n v="2355.6799999999998"/>
    <n v="4395.34"/>
    <n v="15017.592800000006"/>
    <s v="Returning"/>
    <n v="0.22"/>
    <s v="Credit Card"/>
    <s v="Retail"/>
    <x v="16"/>
  </r>
  <r>
    <n v="1052"/>
    <x v="86"/>
    <d v="2024-03-17T00:00:00"/>
    <x v="2"/>
    <s v="Mar"/>
    <x v="1"/>
    <x v="1"/>
    <n v="132305.73300000001"/>
    <n v="45"/>
    <x v="2"/>
    <n v="950.78"/>
    <n v="3000.13"/>
    <n v="89520.633000000002"/>
    <s v="Returning"/>
    <n v="0.02"/>
    <s v="Bank Transfer"/>
    <s v="Online"/>
    <x v="1"/>
  </r>
  <r>
    <n v="1064"/>
    <x v="126"/>
    <d v="2024-03-17T00:00:00"/>
    <x v="2"/>
    <s v="Mar"/>
    <x v="2"/>
    <x v="0"/>
    <n v="144635.63800000004"/>
    <n v="35"/>
    <x v="1"/>
    <n v="572"/>
    <n v="5437.43"/>
    <n v="124615.63800000002"/>
    <s v="Returning"/>
    <n v="0.24"/>
    <s v="Bank Transfer"/>
    <s v="Online"/>
    <x v="18"/>
  </r>
  <r>
    <n v="1092"/>
    <x v="324"/>
    <d v="2024-03-18T00:00:00"/>
    <x v="2"/>
    <s v="Mar"/>
    <x v="2"/>
    <x v="1"/>
    <n v="4143.6360000000004"/>
    <n v="1"/>
    <x v="2"/>
    <n v="3219.46"/>
    <n v="4604.04"/>
    <n v="924.17600000000039"/>
    <s v="Returning"/>
    <n v="0.1"/>
    <s v="Credit Card"/>
    <s v="Online"/>
    <x v="8"/>
  </r>
  <r>
    <n v="1018"/>
    <x v="219"/>
    <d v="2024-03-18T00:00:00"/>
    <x v="2"/>
    <s v="Mar"/>
    <x v="4"/>
    <x v="0"/>
    <n v="58150.184399999998"/>
    <n v="14"/>
    <x v="1"/>
    <n v="3226.69"/>
    <n v="4466.22"/>
    <n v="12976.524400000002"/>
    <s v="New"/>
    <n v="7.0000000000000007E-2"/>
    <s v="Bank Transfer"/>
    <s v="Retail"/>
    <x v="13"/>
  </r>
  <r>
    <n v="1060"/>
    <x v="245"/>
    <d v="2024-03-18T00:00:00"/>
    <x v="2"/>
    <s v="Mar"/>
    <x v="4"/>
    <x v="1"/>
    <n v="40554.933999999994"/>
    <n v="29"/>
    <x v="2"/>
    <n v="271.08"/>
    <n v="1997.78"/>
    <n v="32693.614000000001"/>
    <s v="Returning"/>
    <n v="0.3"/>
    <s v="Bank Transfer"/>
    <s v="Online"/>
    <x v="6"/>
  </r>
  <r>
    <n v="1031"/>
    <x v="199"/>
    <d v="2024-03-18T00:00:00"/>
    <x v="2"/>
    <s v="Mar"/>
    <x v="1"/>
    <x v="1"/>
    <n v="124664.1165"/>
    <n v="43"/>
    <x v="0"/>
    <n v="772"/>
    <n v="3765.15"/>
    <n v="91468.116500000004"/>
    <s v="New"/>
    <n v="0.23"/>
    <s v="Bank Transfer"/>
    <s v="Retail"/>
    <x v="1"/>
  </r>
  <r>
    <n v="1076"/>
    <x v="142"/>
    <d v="2024-03-19T00:00:00"/>
    <x v="2"/>
    <s v="Mar"/>
    <x v="4"/>
    <x v="3"/>
    <n v="10275.192000000001"/>
    <n v="3"/>
    <x v="2"/>
    <n v="1454.71"/>
    <n v="4281.33"/>
    <n v="5911.0620000000008"/>
    <s v="Returning"/>
    <n v="0.2"/>
    <s v="Bank Transfer"/>
    <s v="Online"/>
    <x v="12"/>
  </r>
  <r>
    <n v="1048"/>
    <x v="364"/>
    <d v="2024-03-19T00:00:00"/>
    <x v="2"/>
    <s v="Mar"/>
    <x v="4"/>
    <x v="1"/>
    <n v="31755.477600000002"/>
    <n v="9"/>
    <x v="3"/>
    <n v="2406.52"/>
    <n v="4009.53"/>
    <n v="10096.797600000004"/>
    <s v="New"/>
    <n v="0.12"/>
    <s v="Bank Transfer"/>
    <s v="Retail"/>
    <x v="6"/>
  </r>
  <r>
    <n v="1081"/>
    <x v="246"/>
    <d v="2024-03-19T00:00:00"/>
    <x v="2"/>
    <s v="Mar"/>
    <x v="3"/>
    <x v="3"/>
    <n v="28162.5"/>
    <n v="8"/>
    <x v="0"/>
    <n v="926.69"/>
    <n v="4693.75"/>
    <n v="20748.98"/>
    <s v="Returning"/>
    <n v="0.25"/>
    <s v="Bank Transfer"/>
    <s v="Online"/>
    <x v="4"/>
  </r>
  <r>
    <n v="1022"/>
    <x v="116"/>
    <d v="2024-03-19T00:00:00"/>
    <x v="2"/>
    <s v="Mar"/>
    <x v="0"/>
    <x v="1"/>
    <n v="47250.648000000001"/>
    <n v="20"/>
    <x v="0"/>
    <n v="1125.3599999999999"/>
    <n v="2567.9699999999998"/>
    <n v="24743.448000000004"/>
    <s v="New"/>
    <n v="0.08"/>
    <s v="Bank Transfer"/>
    <s v="Retail"/>
    <x v="19"/>
  </r>
  <r>
    <n v="1032"/>
    <x v="148"/>
    <d v="2024-03-19T00:00:00"/>
    <x v="2"/>
    <s v="Mar"/>
    <x v="0"/>
    <x v="3"/>
    <n v="87258.750000000015"/>
    <n v="25"/>
    <x v="0"/>
    <n v="2414.54"/>
    <n v="4653.8"/>
    <n v="26895.250000000011"/>
    <s v="Returning"/>
    <n v="0.25"/>
    <s v="Credit Card"/>
    <s v="Online"/>
    <x v="5"/>
  </r>
  <r>
    <n v="1040"/>
    <x v="344"/>
    <d v="2024-03-19T00:00:00"/>
    <x v="2"/>
    <s v="Mar"/>
    <x v="2"/>
    <x v="1"/>
    <n v="93300.883199999997"/>
    <n v="42"/>
    <x v="2"/>
    <n v="1466.62"/>
    <n v="2922.96"/>
    <n v="31702.843200000003"/>
    <s v="New"/>
    <n v="0.24"/>
    <s v="Credit Card"/>
    <s v="Online"/>
    <x v="8"/>
  </r>
  <r>
    <n v="1071"/>
    <x v="163"/>
    <d v="2024-03-19T00:00:00"/>
    <x v="2"/>
    <s v="Mar"/>
    <x v="2"/>
    <x v="1"/>
    <n v="36650.407199999994"/>
    <n v="19"/>
    <x v="2"/>
    <n v="148.97"/>
    <n v="2074.16"/>
    <n v="33819.977199999994"/>
    <s v="New"/>
    <n v="7.0000000000000007E-2"/>
    <s v="Credit Card"/>
    <s v="Online"/>
    <x v="8"/>
  </r>
  <r>
    <n v="1081"/>
    <x v="250"/>
    <d v="2024-03-19T00:00:00"/>
    <x v="2"/>
    <s v="Mar"/>
    <x v="3"/>
    <x v="0"/>
    <n v="167174.40239999996"/>
    <n v="36"/>
    <x v="3"/>
    <n v="2645.7"/>
    <n v="5399.69"/>
    <n v="71929.20239999998"/>
    <s v="Returning"/>
    <n v="0.14000000000000001"/>
    <s v="Bank Transfer"/>
    <s v="Retail"/>
    <x v="11"/>
  </r>
  <r>
    <n v="1052"/>
    <x v="390"/>
    <d v="2024-03-20T00:00:00"/>
    <x v="2"/>
    <s v="Mar"/>
    <x v="2"/>
    <x v="0"/>
    <n v="51825.500999999997"/>
    <n v="35"/>
    <x v="3"/>
    <n v="1424.26"/>
    <n v="1898.37"/>
    <n v="1976.4009999999973"/>
    <s v="New"/>
    <n v="0.22"/>
    <s v="Bank Transfer"/>
    <s v="Retail"/>
    <x v="18"/>
  </r>
  <r>
    <n v="1029"/>
    <x v="146"/>
    <d v="2024-03-20T00:00:00"/>
    <x v="2"/>
    <s v="Mar"/>
    <x v="4"/>
    <x v="2"/>
    <n v="33627.7935"/>
    <n v="21"/>
    <x v="1"/>
    <n v="749.19"/>
    <n v="1883.91"/>
    <n v="17894.803499999998"/>
    <s v="New"/>
    <n v="0.15"/>
    <s v="Credit Card"/>
    <s v="Online"/>
    <x v="17"/>
  </r>
  <r>
    <n v="1065"/>
    <x v="71"/>
    <d v="2024-03-20T00:00:00"/>
    <x v="2"/>
    <s v="Mar"/>
    <x v="3"/>
    <x v="2"/>
    <n v="94053.06"/>
    <n v="24"/>
    <x v="2"/>
    <n v="1608.87"/>
    <n v="5225.17"/>
    <n v="55440.180000000008"/>
    <s v="New"/>
    <n v="0.25"/>
    <s v="Credit Card"/>
    <s v="Retail"/>
    <x v="9"/>
  </r>
  <r>
    <n v="1045"/>
    <x v="272"/>
    <d v="2024-03-21T00:00:00"/>
    <x v="2"/>
    <s v="Mar"/>
    <x v="4"/>
    <x v="2"/>
    <n v="11676.797999999999"/>
    <n v="3"/>
    <x v="0"/>
    <n v="1769.43"/>
    <n v="4633.6499999999996"/>
    <n v="6368.507999999998"/>
    <s v="Returning"/>
    <n v="0.16"/>
    <s v="Bank Transfer"/>
    <s v="Retail"/>
    <x v="17"/>
  </r>
  <r>
    <n v="1038"/>
    <x v="225"/>
    <d v="2024-03-21T00:00:00"/>
    <x v="2"/>
    <s v="Mar"/>
    <x v="2"/>
    <x v="1"/>
    <n v="75836.300399999993"/>
    <n v="21"/>
    <x v="1"/>
    <n v="1926.9"/>
    <n v="4299.1099999999997"/>
    <n v="35371.400399999984"/>
    <s v="Returning"/>
    <n v="0.16"/>
    <s v="Credit Card"/>
    <s v="Retail"/>
    <x v="8"/>
  </r>
  <r>
    <n v="1042"/>
    <x v="397"/>
    <d v="2024-03-22T00:00:00"/>
    <x v="2"/>
    <s v="Mar"/>
    <x v="3"/>
    <x v="1"/>
    <n v="18604.7225"/>
    <n v="5"/>
    <x v="1"/>
    <n v="3610.71"/>
    <n v="4088.95"/>
    <n v="551.17250000000013"/>
    <s v="New"/>
    <n v="0.09"/>
    <s v="Bank Transfer"/>
    <s v="Online"/>
    <x v="16"/>
  </r>
  <r>
    <n v="1043"/>
    <x v="399"/>
    <d v="2024-03-22T00:00:00"/>
    <x v="2"/>
    <s v="Mar"/>
    <x v="3"/>
    <x v="3"/>
    <n v="2917.4870000000001"/>
    <n v="5"/>
    <x v="0"/>
    <n v="472.74"/>
    <n v="788.51"/>
    <n v="553.78699999999981"/>
    <s v="New"/>
    <n v="0.26"/>
    <s v="Bank Transfer"/>
    <s v="Online"/>
    <x v="4"/>
  </r>
  <r>
    <n v="1093"/>
    <x v="319"/>
    <d v="2024-03-22T00:00:00"/>
    <x v="2"/>
    <s v="Mar"/>
    <x v="1"/>
    <x v="1"/>
    <n v="63100.792979595695"/>
    <n v="21"/>
    <x v="3"/>
    <n v="2963.59"/>
    <n v="3131.37"/>
    <n v="893.02919999999131"/>
    <s v="Returning"/>
    <n v="0.04"/>
    <s v="Bank Transfer"/>
    <s v="Online"/>
    <x v="1"/>
  </r>
  <r>
    <n v="1001"/>
    <x v="315"/>
    <d v="2024-03-22T00:00:00"/>
    <x v="2"/>
    <s v="Mar"/>
    <x v="2"/>
    <x v="0"/>
    <n v="18117.552"/>
    <n v="5"/>
    <x v="2"/>
    <n v="1179.23"/>
    <n v="4071.36"/>
    <n v="12221.402"/>
    <s v="New"/>
    <n v="0.11"/>
    <s v="Bank Transfer"/>
    <s v="Online"/>
    <x v="18"/>
  </r>
  <r>
    <n v="1019"/>
    <x v="177"/>
    <d v="2024-03-23T00:00:00"/>
    <x v="2"/>
    <s v="Mar"/>
    <x v="1"/>
    <x v="2"/>
    <n v="60105.885117096099"/>
    <n v="37"/>
    <x v="0"/>
    <n v="1352.82"/>
    <n v="1694.68"/>
    <n v="10140.693600000006"/>
    <s v="New"/>
    <n v="0.04"/>
    <s v="Bank Transfer"/>
    <s v="Online"/>
    <x v="15"/>
  </r>
  <r>
    <n v="1056"/>
    <x v="101"/>
    <d v="2024-03-23T00:00:00"/>
    <x v="2"/>
    <s v="Mar"/>
    <x v="2"/>
    <x v="0"/>
    <n v="102401.03519999998"/>
    <n v="31"/>
    <x v="1"/>
    <n v="560.54"/>
    <n v="4587.8599999999997"/>
    <n v="85024.295199999993"/>
    <s v="New"/>
    <n v="0.28000000000000003"/>
    <s v="Cash"/>
    <s v="Online"/>
    <x v="18"/>
  </r>
  <r>
    <n v="1082"/>
    <x v="283"/>
    <d v="2024-03-23T00:00:00"/>
    <x v="2"/>
    <s v="Mar"/>
    <x v="4"/>
    <x v="1"/>
    <n v="156363.83279999997"/>
    <n v="42"/>
    <x v="1"/>
    <n v="1503.16"/>
    <n v="4485.4799999999996"/>
    <n v="93231.112799999974"/>
    <s v="Returning"/>
    <n v="0.17"/>
    <s v="Cash"/>
    <s v="Online"/>
    <x v="6"/>
  </r>
  <r>
    <n v="1005"/>
    <x v="218"/>
    <d v="2024-03-24T00:00:00"/>
    <x v="2"/>
    <s v="Mar"/>
    <x v="3"/>
    <x v="3"/>
    <n v="75989.844899999996"/>
    <n v="27"/>
    <x v="1"/>
    <n v="2477.12"/>
    <n v="3390.89"/>
    <n v="9107.6048999999948"/>
    <s v="Returning"/>
    <n v="0.17"/>
    <s v="Cash"/>
    <s v="Retail"/>
    <x v="4"/>
  </r>
  <r>
    <n v="1004"/>
    <x v="334"/>
    <d v="2024-03-24T00:00:00"/>
    <x v="2"/>
    <s v="Mar"/>
    <x v="3"/>
    <x v="3"/>
    <n v="89413.992800000007"/>
    <n v="44"/>
    <x v="3"/>
    <n v="1699.26"/>
    <n v="2746.13"/>
    <n v="14646.552800000007"/>
    <s v="Returning"/>
    <n v="0.26"/>
    <s v="Bank Transfer"/>
    <s v="Online"/>
    <x v="4"/>
  </r>
  <r>
    <n v="1028"/>
    <x v="392"/>
    <d v="2024-03-24T00:00:00"/>
    <x v="2"/>
    <s v="Mar"/>
    <x v="3"/>
    <x v="3"/>
    <n v="87970.961200000005"/>
    <n v="23"/>
    <x v="0"/>
    <n v="1737.66"/>
    <n v="4664.42"/>
    <n v="48004.781200000012"/>
    <s v="Returning"/>
    <n v="0.18"/>
    <s v="Credit Card"/>
    <s v="Retail"/>
    <x v="4"/>
  </r>
  <r>
    <n v="1076"/>
    <x v="142"/>
    <d v="2024-03-24T00:00:00"/>
    <x v="2"/>
    <s v="Mar"/>
    <x v="1"/>
    <x v="3"/>
    <n v="213836.58239999998"/>
    <n v="41"/>
    <x v="2"/>
    <n v="2893.7"/>
    <n v="5432.84"/>
    <n v="95194.882400000002"/>
    <s v="Returning"/>
    <n v="0.04"/>
    <s v="Cash"/>
    <s v="Online"/>
    <x v="7"/>
  </r>
  <r>
    <n v="1084"/>
    <x v="61"/>
    <d v="2024-03-25T00:00:00"/>
    <x v="2"/>
    <s v="Mar"/>
    <x v="0"/>
    <x v="1"/>
    <n v="29287.442800000001"/>
    <n v="7"/>
    <x v="3"/>
    <n v="904.79"/>
    <n v="4313.32"/>
    <n v="22953.912799999998"/>
    <s v="New"/>
    <n v="0.03"/>
    <s v="Credit Card"/>
    <s v="Online"/>
    <x v="19"/>
  </r>
  <r>
    <n v="1067"/>
    <x v="267"/>
    <d v="2024-03-25T00:00:00"/>
    <x v="2"/>
    <s v="Mar"/>
    <x v="4"/>
    <x v="1"/>
    <n v="117991.0914"/>
    <n v="26"/>
    <x v="0"/>
    <n v="3371.65"/>
    <n v="5099.01"/>
    <n v="30328.191400000007"/>
    <s v="New"/>
    <n v="0.11"/>
    <s v="Credit Card"/>
    <s v="Online"/>
    <x v="6"/>
  </r>
  <r>
    <n v="1026"/>
    <x v="50"/>
    <d v="2024-03-25T00:00:00"/>
    <x v="2"/>
    <s v="Mar"/>
    <x v="0"/>
    <x v="2"/>
    <n v="75927.842899999989"/>
    <n v="17"/>
    <x v="1"/>
    <n v="966.58"/>
    <n v="4908.07"/>
    <n v="59495.982899999988"/>
    <s v="Returning"/>
    <n v="0.09"/>
    <s v="Bank Transfer"/>
    <s v="Online"/>
    <x v="2"/>
  </r>
  <r>
    <n v="1096"/>
    <x v="27"/>
    <d v="2024-03-25T00:00:00"/>
    <x v="2"/>
    <s v="Mar"/>
    <x v="4"/>
    <x v="0"/>
    <n v="69753.020400000009"/>
    <n v="38"/>
    <x v="0"/>
    <n v="147.33000000000001"/>
    <n v="2266.1799999999998"/>
    <n v="64154.480400000008"/>
    <s v="New"/>
    <n v="0.19"/>
    <s v="Credit Card"/>
    <s v="Retail"/>
    <x v="13"/>
  </r>
  <r>
    <n v="1061"/>
    <x v="201"/>
    <d v="2024-03-25T00:00:00"/>
    <x v="2"/>
    <s v="Mar"/>
    <x v="1"/>
    <x v="1"/>
    <n v="188505.24419999999"/>
    <n v="49"/>
    <x v="0"/>
    <n v="2291.12"/>
    <n v="4932.1099999999997"/>
    <n v="76240.364199999996"/>
    <s v="New"/>
    <n v="0.22"/>
    <s v="Credit Card"/>
    <s v="Online"/>
    <x v="1"/>
  </r>
  <r>
    <n v="1097"/>
    <x v="306"/>
    <d v="2024-03-25T00:00:00"/>
    <x v="2"/>
    <s v="Mar"/>
    <x v="3"/>
    <x v="1"/>
    <n v="105505.79160000001"/>
    <n v="33"/>
    <x v="3"/>
    <n v="678.92"/>
    <n v="4206.7700000000004"/>
    <n v="83101.431600000011"/>
    <s v="New"/>
    <n v="0.24"/>
    <s v="Credit Card"/>
    <s v="Retail"/>
    <x v="16"/>
  </r>
  <r>
    <n v="1081"/>
    <x v="250"/>
    <d v="2024-03-26T00:00:00"/>
    <x v="2"/>
    <s v="Mar"/>
    <x v="1"/>
    <x v="3"/>
    <n v="9982.8508000000002"/>
    <n v="4"/>
    <x v="3"/>
    <n v="2117.9499999999998"/>
    <n v="3159.13"/>
    <n v="1511.0508000000009"/>
    <s v="New"/>
    <n v="0.21"/>
    <s v="Bank Transfer"/>
    <s v="Retail"/>
    <x v="7"/>
  </r>
  <r>
    <n v="1010"/>
    <x v="29"/>
    <d v="2024-03-26T00:00:00"/>
    <x v="2"/>
    <s v="Mar"/>
    <x v="0"/>
    <x v="0"/>
    <n v="157513.11659999998"/>
    <n v="49"/>
    <x v="0"/>
    <n v="2752.24"/>
    <n v="4527.54"/>
    <n v="22653.356599999999"/>
    <s v="Returning"/>
    <n v="0.28999999999999998"/>
    <s v="Credit Card"/>
    <s v="Retail"/>
    <x v="0"/>
  </r>
  <r>
    <n v="1054"/>
    <x v="342"/>
    <d v="2024-03-26T00:00:00"/>
    <x v="2"/>
    <s v="Mar"/>
    <x v="0"/>
    <x v="1"/>
    <n v="130029.7068"/>
    <n v="42"/>
    <x v="0"/>
    <n v="1499.32"/>
    <n v="4183.71"/>
    <n v="67058.266800000012"/>
    <s v="New"/>
    <n v="0.26"/>
    <s v="Cash"/>
    <s v="Online"/>
    <x v="19"/>
  </r>
  <r>
    <n v="1061"/>
    <x v="178"/>
    <d v="2024-03-27T00:00:00"/>
    <x v="2"/>
    <s v="Mar"/>
    <x v="4"/>
    <x v="2"/>
    <n v="1442.4384"/>
    <n v="1"/>
    <x v="2"/>
    <n v="414.25"/>
    <n v="1502.54"/>
    <n v="1028.1884"/>
    <s v="New"/>
    <n v="0.04"/>
    <s v="Bank Transfer"/>
    <s v="Retail"/>
    <x v="17"/>
  </r>
  <r>
    <n v="1020"/>
    <x v="68"/>
    <d v="2024-03-27T00:00:00"/>
    <x v="2"/>
    <s v="Mar"/>
    <x v="1"/>
    <x v="3"/>
    <n v="50673.325735962775"/>
    <n v="23"/>
    <x v="2"/>
    <n v="2007.1"/>
    <n v="2245.0700000000002"/>
    <n v="4440.5778000000009"/>
    <s v="New"/>
    <n v="0.02"/>
    <s v="Credit Card"/>
    <s v="Retail"/>
    <x v="7"/>
  </r>
  <r>
    <n v="1028"/>
    <x v="295"/>
    <d v="2024-03-27T00:00:00"/>
    <x v="2"/>
    <s v="Mar"/>
    <x v="1"/>
    <x v="2"/>
    <n v="12682.929599999999"/>
    <n v="8"/>
    <x v="1"/>
    <n v="964.05"/>
    <n v="1822.26"/>
    <n v="4970.5295999999998"/>
    <s v="New"/>
    <n v="0.13"/>
    <s v="Cash"/>
    <s v="Retail"/>
    <x v="15"/>
  </r>
  <r>
    <n v="1048"/>
    <x v="354"/>
    <d v="2024-03-27T00:00:00"/>
    <x v="2"/>
    <s v="Mar"/>
    <x v="1"/>
    <x v="2"/>
    <n v="49535.932599999993"/>
    <n v="23"/>
    <x v="2"/>
    <n v="1517.92"/>
    <n v="2197.69"/>
    <n v="14623.772599999995"/>
    <s v="New"/>
    <n v="0.02"/>
    <s v="Cash"/>
    <s v="Online"/>
    <x v="15"/>
  </r>
  <r>
    <n v="1068"/>
    <x v="78"/>
    <d v="2024-03-27T00:00:00"/>
    <x v="2"/>
    <s v="Mar"/>
    <x v="3"/>
    <x v="3"/>
    <n v="86579.299999999988"/>
    <n v="17"/>
    <x v="1"/>
    <n v="2699.04"/>
    <n v="5092.8999999999996"/>
    <n v="40695.619999999995"/>
    <s v="New"/>
    <n v="0"/>
    <s v="Cash"/>
    <s v="Retail"/>
    <x v="4"/>
  </r>
  <r>
    <n v="1024"/>
    <x v="59"/>
    <d v="2024-03-27T00:00:00"/>
    <x v="2"/>
    <s v="Mar"/>
    <x v="1"/>
    <x v="3"/>
    <n v="52486.604800000001"/>
    <n v="16"/>
    <x v="1"/>
    <n v="393.9"/>
    <n v="3347.36"/>
    <n v="46184.2048"/>
    <s v="New"/>
    <n v="0.02"/>
    <s v="Cash"/>
    <s v="Online"/>
    <x v="7"/>
  </r>
  <r>
    <n v="1019"/>
    <x v="32"/>
    <d v="2024-03-28T00:00:00"/>
    <x v="2"/>
    <s v="Mar"/>
    <x v="1"/>
    <x v="1"/>
    <n v="60685.495499999997"/>
    <n v="35"/>
    <x v="3"/>
    <n v="1644.08"/>
    <n v="1948.17"/>
    <n v="3142.6955000000034"/>
    <s v="New"/>
    <n v="0.11"/>
    <s v="Credit Card"/>
    <s v="Retail"/>
    <x v="1"/>
  </r>
  <r>
    <n v="1080"/>
    <x v="322"/>
    <d v="2024-03-28T00:00:00"/>
    <x v="2"/>
    <s v="Mar"/>
    <x v="4"/>
    <x v="2"/>
    <n v="148899.41635811073"/>
    <n v="41"/>
    <x v="1"/>
    <n v="3211.27"/>
    <n v="3656.37"/>
    <n v="16749.98829999999"/>
    <s v="New"/>
    <n v="0.01"/>
    <s v="Credit Card"/>
    <s v="Online"/>
    <x v="17"/>
  </r>
  <r>
    <n v="1040"/>
    <x v="344"/>
    <d v="2024-03-28T00:00:00"/>
    <x v="2"/>
    <s v="Mar"/>
    <x v="3"/>
    <x v="1"/>
    <n v="124205.59199999999"/>
    <n v="35"/>
    <x v="2"/>
    <n v="2647.3"/>
    <n v="3815.84"/>
    <n v="31550.091999999982"/>
    <s v="New"/>
    <n v="7.0000000000000007E-2"/>
    <s v="Bank Transfer"/>
    <s v="Retail"/>
    <x v="16"/>
  </r>
  <r>
    <n v="1054"/>
    <x v="251"/>
    <d v="2024-03-28T00:00:00"/>
    <x v="2"/>
    <s v="Mar"/>
    <x v="0"/>
    <x v="3"/>
    <n v="154736.946"/>
    <n v="39"/>
    <x v="3"/>
    <n v="3012.22"/>
    <n v="4408.46"/>
    <n v="37260.366000000009"/>
    <s v="New"/>
    <n v="0.1"/>
    <s v="Bank Transfer"/>
    <s v="Online"/>
    <x v="5"/>
  </r>
  <r>
    <n v="1088"/>
    <x v="96"/>
    <d v="2024-03-28T00:00:00"/>
    <x v="2"/>
    <s v="Mar"/>
    <x v="3"/>
    <x v="3"/>
    <n v="81720.03839999999"/>
    <n v="32"/>
    <x v="2"/>
    <n v="473.18"/>
    <n v="3040.18"/>
    <n v="66578.278399999996"/>
    <s v="New"/>
    <n v="0.16"/>
    <s v="Cash"/>
    <s v="Online"/>
    <x v="4"/>
  </r>
  <r>
    <n v="1020"/>
    <x v="235"/>
    <d v="2024-03-29T00:00:00"/>
    <x v="2"/>
    <s v="Mar"/>
    <x v="4"/>
    <x v="2"/>
    <n v="7675.1630999999998"/>
    <n v="3"/>
    <x v="1"/>
    <n v="1383.7"/>
    <n v="2584.23"/>
    <n v="3524.0630999999994"/>
    <s v="New"/>
    <n v="0.01"/>
    <s v="Cash"/>
    <s v="Retail"/>
    <x v="17"/>
  </r>
  <r>
    <n v="1036"/>
    <x v="242"/>
    <d v="2024-03-29T00:00:00"/>
    <x v="2"/>
    <s v="Mar"/>
    <x v="3"/>
    <x v="0"/>
    <n v="39064.779600000002"/>
    <n v="33"/>
    <x v="1"/>
    <n v="952.71"/>
    <n v="1207.94"/>
    <n v="7625.3496000000032"/>
    <s v="Returning"/>
    <n v="0.02"/>
    <s v="Bank Transfer"/>
    <s v="Retail"/>
    <x v="11"/>
  </r>
  <r>
    <n v="1001"/>
    <x v="292"/>
    <d v="2024-03-30T00:00:00"/>
    <x v="2"/>
    <s v="Mar"/>
    <x v="3"/>
    <x v="1"/>
    <n v="35581.265999999996"/>
    <n v="15"/>
    <x v="1"/>
    <n v="1859.79"/>
    <n v="2823.91"/>
    <n v="7684.4159999999965"/>
    <s v="Returning"/>
    <n v="0.16"/>
    <s v="Bank Transfer"/>
    <s v="Retail"/>
    <x v="16"/>
  </r>
  <r>
    <n v="1065"/>
    <x v="190"/>
    <d v="2024-03-30T00:00:00"/>
    <x v="2"/>
    <s v="Mar"/>
    <x v="3"/>
    <x v="2"/>
    <n v="13818.190399999999"/>
    <n v="7"/>
    <x v="0"/>
    <n v="706.66"/>
    <n v="2780.32"/>
    <n v="8871.5704000000005"/>
    <s v="New"/>
    <n v="0.28999999999999998"/>
    <s v="Cash"/>
    <s v="Retail"/>
    <x v="9"/>
  </r>
  <r>
    <n v="1042"/>
    <x v="397"/>
    <d v="2024-03-30T00:00:00"/>
    <x v="2"/>
    <s v="Mar"/>
    <x v="0"/>
    <x v="1"/>
    <n v="101960.17799999999"/>
    <n v="31"/>
    <x v="1"/>
    <n v="495.59"/>
    <n v="3536.6"/>
    <n v="86596.887999999977"/>
    <s v="Returning"/>
    <n v="7.0000000000000007E-2"/>
    <s v="Cash"/>
    <s v="Online"/>
    <x v="19"/>
  </r>
  <r>
    <n v="1077"/>
    <x v="172"/>
    <d v="2024-04-01T00:00:00"/>
    <x v="2"/>
    <s v="Apr"/>
    <x v="4"/>
    <x v="1"/>
    <n v="25931.501673603765"/>
    <n v="12"/>
    <x v="2"/>
    <n v="1811.92"/>
    <n v="2174.52"/>
    <n v="4090.2576000000008"/>
    <s v="Returning"/>
    <n v="0.01"/>
    <s v="Credit Card"/>
    <s v="Online"/>
    <x v="6"/>
  </r>
  <r>
    <n v="1046"/>
    <x v="150"/>
    <d v="2024-04-01T00:00:00"/>
    <x v="2"/>
    <s v="Apr"/>
    <x v="4"/>
    <x v="2"/>
    <n v="78844.175199999998"/>
    <n v="28"/>
    <x v="1"/>
    <n v="671.15"/>
    <n v="2873.33"/>
    <n v="60051.975199999986"/>
    <s v="Returning"/>
    <n v="0.02"/>
    <s v="Bank Transfer"/>
    <s v="Retail"/>
    <x v="17"/>
  </r>
  <r>
    <n v="1054"/>
    <x v="251"/>
    <d v="2024-04-01T00:00:00"/>
    <x v="2"/>
    <s v="Apr"/>
    <x v="3"/>
    <x v="0"/>
    <n v="114261.1455"/>
    <n v="29"/>
    <x v="3"/>
    <n v="366.48"/>
    <n v="4147.41"/>
    <n v="103633.2255"/>
    <s v="Returning"/>
    <n v="0.05"/>
    <s v="Bank Transfer"/>
    <s v="Retail"/>
    <x v="11"/>
  </r>
  <r>
    <n v="1056"/>
    <x v="145"/>
    <d v="2024-04-01T00:00:00"/>
    <x v="2"/>
    <s v="Apr"/>
    <x v="3"/>
    <x v="1"/>
    <n v="183323.23679999998"/>
    <n v="44"/>
    <x v="2"/>
    <n v="945.72"/>
    <n v="4480.04"/>
    <n v="141711.55679999996"/>
    <s v="New"/>
    <n v="7.0000000000000007E-2"/>
    <s v="Cash"/>
    <s v="Online"/>
    <x v="16"/>
  </r>
  <r>
    <n v="1085"/>
    <x v="5"/>
    <d v="2024-04-02T00:00:00"/>
    <x v="2"/>
    <s v="Apr"/>
    <x v="1"/>
    <x v="1"/>
    <n v="11843.2608"/>
    <n v="3"/>
    <x v="0"/>
    <n v="1933.39"/>
    <n v="4028.32"/>
    <n v="6043.0907999999999"/>
    <s v="New"/>
    <n v="0.02"/>
    <s v="Bank Transfer"/>
    <s v="Online"/>
    <x v="1"/>
  </r>
  <r>
    <n v="1020"/>
    <x v="341"/>
    <d v="2024-04-02T00:00:00"/>
    <x v="2"/>
    <s v="Apr"/>
    <x v="0"/>
    <x v="3"/>
    <n v="19020.662499999999"/>
    <n v="5"/>
    <x v="0"/>
    <n v="1050.5899999999999"/>
    <n v="4004.35"/>
    <n v="13767.712499999998"/>
    <s v="Returning"/>
    <n v="0.05"/>
    <s v="Bank Transfer"/>
    <s v="Retail"/>
    <x v="5"/>
  </r>
  <r>
    <n v="1088"/>
    <x v="96"/>
    <d v="2024-04-02T00:00:00"/>
    <x v="2"/>
    <s v="Apr"/>
    <x v="3"/>
    <x v="3"/>
    <n v="89282.074199999988"/>
    <n v="33"/>
    <x v="2"/>
    <n v="154.65"/>
    <n v="2878.21"/>
    <n v="84178.624199999991"/>
    <s v="New"/>
    <n v="0.06"/>
    <s v="Credit Card"/>
    <s v="Retail"/>
    <x v="4"/>
  </r>
  <r>
    <n v="1056"/>
    <x v="353"/>
    <d v="2024-04-03T00:00:00"/>
    <x v="2"/>
    <s v="Apr"/>
    <x v="0"/>
    <x v="1"/>
    <n v="104935.03041089523"/>
    <n v="31"/>
    <x v="3"/>
    <n v="3224.99"/>
    <n v="3517.43"/>
    <n v="4704.0267999999996"/>
    <s v="New"/>
    <n v="0.04"/>
    <s v="Credit Card"/>
    <s v="Retail"/>
    <x v="19"/>
  </r>
  <r>
    <n v="1009"/>
    <x v="276"/>
    <d v="2024-04-03T00:00:00"/>
    <x v="2"/>
    <s v="Apr"/>
    <x v="4"/>
    <x v="2"/>
    <n v="154820.70719999998"/>
    <n v="47"/>
    <x v="0"/>
    <n v="2632.5"/>
    <n v="3431.31"/>
    <n v="31093.207199999983"/>
    <s v="New"/>
    <n v="0.04"/>
    <s v="Cash"/>
    <s v="Retail"/>
    <x v="17"/>
  </r>
  <r>
    <n v="1070"/>
    <x v="318"/>
    <d v="2024-04-04T00:00:00"/>
    <x v="2"/>
    <s v="Apr"/>
    <x v="0"/>
    <x v="2"/>
    <n v="32174.476723117314"/>
    <n v="19"/>
    <x v="1"/>
    <n v="1687.35"/>
    <n v="1719.27"/>
    <n v="-46.842600000000857"/>
    <s v="New"/>
    <n v="0.02"/>
    <s v="Bank Transfer"/>
    <s v="Retail"/>
    <x v="2"/>
  </r>
  <r>
    <n v="1044"/>
    <x v="357"/>
    <d v="2024-04-04T00:00:00"/>
    <x v="2"/>
    <s v="Apr"/>
    <x v="0"/>
    <x v="2"/>
    <n v="4107.7248"/>
    <n v="1"/>
    <x v="2"/>
    <n v="3726.16"/>
    <n v="4278.88"/>
    <n v="381.5648000000001"/>
    <s v="Returning"/>
    <n v="0.04"/>
    <s v="Bank Transfer"/>
    <s v="Online"/>
    <x v="2"/>
  </r>
  <r>
    <n v="1017"/>
    <x v="75"/>
    <d v="2024-04-04T00:00:00"/>
    <x v="2"/>
    <s v="Apr"/>
    <x v="3"/>
    <x v="1"/>
    <n v="3708.5120999999999"/>
    <n v="1"/>
    <x v="0"/>
    <n v="2509.13"/>
    <n v="4578.41"/>
    <n v="1199.3820999999998"/>
    <s v="Returning"/>
    <n v="0.19"/>
    <s v="Credit Card"/>
    <s v="Online"/>
    <x v="16"/>
  </r>
  <r>
    <n v="1071"/>
    <x v="153"/>
    <d v="2024-04-04T00:00:00"/>
    <x v="2"/>
    <s v="Apr"/>
    <x v="4"/>
    <x v="2"/>
    <n v="192634.00881873103"/>
    <n v="43"/>
    <x v="0"/>
    <n v="4447.59"/>
    <n v="4571.3"/>
    <n v="1388.211999999985"/>
    <s v="New"/>
    <n v="0.02"/>
    <s v="Bank Transfer"/>
    <s v="Online"/>
    <x v="17"/>
  </r>
  <r>
    <n v="1017"/>
    <x v="167"/>
    <d v="2024-04-05T00:00:00"/>
    <x v="2"/>
    <s v="Apr"/>
    <x v="4"/>
    <x v="2"/>
    <n v="38659.6584"/>
    <n v="12"/>
    <x v="1"/>
    <n v="2543.23"/>
    <n v="3254.18"/>
    <n v="8140.8983999999982"/>
    <s v="New"/>
    <n v="0.01"/>
    <s v="Credit Card"/>
    <s v="Retail"/>
    <x v="17"/>
  </r>
  <r>
    <n v="1034"/>
    <x v="185"/>
    <d v="2024-04-05T00:00:00"/>
    <x v="2"/>
    <s v="Apr"/>
    <x v="4"/>
    <x v="0"/>
    <n v="73677.696125596034"/>
    <n v="25"/>
    <x v="1"/>
    <n v="2441.2800000000002"/>
    <n v="3069.62"/>
    <n v="12638.879999999994"/>
    <s v="Returning"/>
    <n v="0.04"/>
    <s v="Credit Card"/>
    <s v="Retail"/>
    <x v="13"/>
  </r>
  <r>
    <n v="1033"/>
    <x v="220"/>
    <d v="2024-04-05T00:00:00"/>
    <x v="2"/>
    <s v="Apr"/>
    <x v="4"/>
    <x v="0"/>
    <n v="33257.083999999995"/>
    <n v="14"/>
    <x v="1"/>
    <n v="174.61"/>
    <n v="3393.58"/>
    <n v="30812.543999999994"/>
    <s v="Returning"/>
    <n v="0.3"/>
    <s v="Credit Card"/>
    <s v="Retail"/>
    <x v="13"/>
  </r>
  <r>
    <n v="1026"/>
    <x v="314"/>
    <d v="2024-04-06T00:00:00"/>
    <x v="2"/>
    <s v="Apr"/>
    <x v="2"/>
    <x v="0"/>
    <n v="121211.3322"/>
    <n v="38"/>
    <x v="2"/>
    <n v="154.97"/>
    <n v="3937.99"/>
    <n v="115322.47220000002"/>
    <s v="New"/>
    <n v="0.19"/>
    <s v="Bank Transfer"/>
    <s v="Online"/>
    <x v="18"/>
  </r>
  <r>
    <n v="1078"/>
    <x v="308"/>
    <d v="2024-04-07T00:00:00"/>
    <x v="2"/>
    <s v="Apr"/>
    <x v="3"/>
    <x v="1"/>
    <n v="16177.795200000002"/>
    <n v="8"/>
    <x v="1"/>
    <n v="1307.06"/>
    <n v="2198.0700000000002"/>
    <n v="5721.3152000000027"/>
    <s v="Returning"/>
    <n v="0.08"/>
    <s v="Cash"/>
    <s v="Retail"/>
    <x v="16"/>
  </r>
  <r>
    <n v="1006"/>
    <x v="81"/>
    <d v="2024-04-07T00:00:00"/>
    <x v="2"/>
    <s v="Apr"/>
    <x v="0"/>
    <x v="2"/>
    <n v="20047.536"/>
    <n v="12"/>
    <x v="1"/>
    <n v="311.13"/>
    <n v="1815.9"/>
    <n v="16313.976000000001"/>
    <s v="Returning"/>
    <n v="0.08"/>
    <s v="Bank Transfer"/>
    <s v="Online"/>
    <x v="2"/>
  </r>
  <r>
    <n v="1069"/>
    <x v="184"/>
    <d v="2024-04-07T00:00:00"/>
    <x v="2"/>
    <s v="Apr"/>
    <x v="0"/>
    <x v="1"/>
    <n v="59894.856"/>
    <n v="28"/>
    <x v="3"/>
    <n v="762.8"/>
    <n v="2546.5500000000002"/>
    <n v="38536.455999999998"/>
    <s v="Returning"/>
    <n v="0.16"/>
    <s v="Cash"/>
    <s v="Retail"/>
    <x v="19"/>
  </r>
  <r>
    <n v="1047"/>
    <x v="137"/>
    <d v="2024-04-07T00:00:00"/>
    <x v="2"/>
    <s v="Apr"/>
    <x v="3"/>
    <x v="2"/>
    <n v="162520.88519999999"/>
    <n v="38"/>
    <x v="2"/>
    <n v="2833.94"/>
    <n v="4598.78"/>
    <n v="54831.165199999989"/>
    <s v="Returning"/>
    <n v="7.0000000000000007E-2"/>
    <s v="Bank Transfer"/>
    <s v="Online"/>
    <x v="9"/>
  </r>
  <r>
    <n v="1006"/>
    <x v="81"/>
    <d v="2024-04-08T00:00:00"/>
    <x v="2"/>
    <s v="Apr"/>
    <x v="3"/>
    <x v="1"/>
    <n v="33878.18277627373"/>
    <n v="13"/>
    <x v="1"/>
    <n v="2361.29"/>
    <n v="2626.13"/>
    <n v="3101.5231000000003"/>
    <s v="Returning"/>
    <n v="0.01"/>
    <s v="Bank Transfer"/>
    <s v="Retail"/>
    <x v="16"/>
  </r>
  <r>
    <n v="1017"/>
    <x v="167"/>
    <d v="2024-04-08T00:00:00"/>
    <x v="2"/>
    <s v="Apr"/>
    <x v="3"/>
    <x v="2"/>
    <n v="69953.71057025576"/>
    <n v="14"/>
    <x v="1"/>
    <n v="4751.4799999999996"/>
    <n v="5157.84"/>
    <n v="3522.7472000000071"/>
    <s v="Returning"/>
    <n v="0.03"/>
    <s v="Bank Transfer"/>
    <s v="Online"/>
    <x v="9"/>
  </r>
  <r>
    <n v="1009"/>
    <x v="39"/>
    <d v="2024-04-08T00:00:00"/>
    <x v="2"/>
    <s v="Apr"/>
    <x v="4"/>
    <x v="3"/>
    <n v="54072.770399999994"/>
    <n v="24"/>
    <x v="3"/>
    <n v="1661.06"/>
    <n v="2275.79"/>
    <n v="14207.330399999999"/>
    <s v="Returning"/>
    <n v="0.01"/>
    <s v="Credit Card"/>
    <s v="Retail"/>
    <x v="12"/>
  </r>
  <r>
    <n v="1098"/>
    <x v="106"/>
    <d v="2024-04-09T00:00:00"/>
    <x v="2"/>
    <s v="Apr"/>
    <x v="4"/>
    <x v="3"/>
    <n v="17306.8488"/>
    <n v="6"/>
    <x v="2"/>
    <n v="1103.0899999999999"/>
    <n v="3561.08"/>
    <n v="10688.308800000001"/>
    <s v="New"/>
    <n v="0.19"/>
    <s v="Credit Card"/>
    <s v="Retail"/>
    <x v="12"/>
  </r>
  <r>
    <n v="1038"/>
    <x v="6"/>
    <d v="2024-04-10T00:00:00"/>
    <x v="2"/>
    <s v="Apr"/>
    <x v="2"/>
    <x v="3"/>
    <n v="64854.899999999994"/>
    <n v="15"/>
    <x v="0"/>
    <n v="3965.73"/>
    <n v="4323.66"/>
    <n v="5368.9499999999971"/>
    <s v="Returning"/>
    <n v="0"/>
    <s v="Bank Transfer"/>
    <s v="Retail"/>
    <x v="3"/>
  </r>
  <r>
    <n v="1015"/>
    <x v="147"/>
    <d v="2024-04-10T00:00:00"/>
    <x v="2"/>
    <s v="Apr"/>
    <x v="2"/>
    <x v="0"/>
    <n v="26060.214"/>
    <n v="6"/>
    <x v="1"/>
    <n v="3046.02"/>
    <n v="4477.7"/>
    <n v="7784.0939999999982"/>
    <s v="New"/>
    <n v="0.03"/>
    <s v="Credit Card"/>
    <s v="Retail"/>
    <x v="18"/>
  </r>
  <r>
    <n v="1025"/>
    <x v="7"/>
    <d v="2024-04-10T00:00:00"/>
    <x v="2"/>
    <s v="Apr"/>
    <x v="3"/>
    <x v="3"/>
    <n v="45534.995999999999"/>
    <n v="15"/>
    <x v="3"/>
    <n v="1737.7"/>
    <n v="3891.88"/>
    <n v="19469.495999999999"/>
    <s v="Returning"/>
    <n v="0.22"/>
    <s v="Cash"/>
    <s v="Retail"/>
    <x v="4"/>
  </r>
  <r>
    <n v="1084"/>
    <x v="61"/>
    <d v="2024-04-10T00:00:00"/>
    <x v="2"/>
    <s v="Apr"/>
    <x v="1"/>
    <x v="2"/>
    <n v="69036.072"/>
    <n v="20"/>
    <x v="3"/>
    <n v="2301.85"/>
    <n v="4109.29"/>
    <n v="22999.071999999996"/>
    <s v="Returning"/>
    <n v="0.16"/>
    <s v="Bank Transfer"/>
    <s v="Retail"/>
    <x v="15"/>
  </r>
  <r>
    <n v="1044"/>
    <x v="209"/>
    <d v="2024-04-10T00:00:00"/>
    <x v="2"/>
    <s v="Apr"/>
    <x v="4"/>
    <x v="2"/>
    <n v="73381.17240000001"/>
    <n v="27"/>
    <x v="0"/>
    <n v="473.42"/>
    <n v="3440.28"/>
    <n v="60598.832400000007"/>
    <s v="New"/>
    <n v="0.21"/>
    <s v="Bank Transfer"/>
    <s v="Retail"/>
    <x v="17"/>
  </r>
  <r>
    <n v="1058"/>
    <x v="188"/>
    <d v="2024-04-10T00:00:00"/>
    <x v="2"/>
    <s v="Apr"/>
    <x v="2"/>
    <x v="1"/>
    <n v="125168.98679999998"/>
    <n v="26"/>
    <x v="2"/>
    <n v="1074.76"/>
    <n v="4862.82"/>
    <n v="97225.226799999989"/>
    <s v="Returning"/>
    <n v="0.01"/>
    <s v="Credit Card"/>
    <s v="Online"/>
    <x v="8"/>
  </r>
  <r>
    <n v="1080"/>
    <x v="322"/>
    <d v="2024-04-10T00:00:00"/>
    <x v="2"/>
    <s v="Apr"/>
    <x v="3"/>
    <x v="1"/>
    <n v="168258.35500000001"/>
    <n v="47"/>
    <x v="1"/>
    <n v="1178.22"/>
    <n v="4162.75"/>
    <n v="112882.015"/>
    <s v="Returning"/>
    <n v="0.14000000000000001"/>
    <s v="Bank Transfer"/>
    <s v="Retail"/>
    <x v="16"/>
  </r>
  <r>
    <n v="1039"/>
    <x v="117"/>
    <d v="2024-04-11T00:00:00"/>
    <x v="2"/>
    <s v="Apr"/>
    <x v="0"/>
    <x v="3"/>
    <n v="29504.647799999999"/>
    <n v="9"/>
    <x v="3"/>
    <n v="3127.64"/>
    <n v="3811.97"/>
    <n v="1355.8877999999995"/>
    <s v="New"/>
    <n v="0.14000000000000001"/>
    <s v="Bank Transfer"/>
    <s v="Online"/>
    <x v="5"/>
  </r>
  <r>
    <n v="1070"/>
    <x v="318"/>
    <d v="2024-04-11T00:00:00"/>
    <x v="2"/>
    <s v="Apr"/>
    <x v="3"/>
    <x v="1"/>
    <n v="17547.84"/>
    <n v="16"/>
    <x v="1"/>
    <n v="463.71"/>
    <n v="1218.5999999999999"/>
    <n v="10128.48"/>
    <s v="New"/>
    <n v="0.1"/>
    <s v="Cash"/>
    <s v="Online"/>
    <x v="16"/>
  </r>
  <r>
    <n v="1023"/>
    <x v="373"/>
    <d v="2024-04-11T00:00:00"/>
    <x v="2"/>
    <s v="Apr"/>
    <x v="0"/>
    <x v="0"/>
    <n v="116278.97399999999"/>
    <n v="45"/>
    <x v="1"/>
    <n v="1084.3399999999999"/>
    <n v="3399.97"/>
    <n v="67483.673999999999"/>
    <s v="Returning"/>
    <n v="0.24"/>
    <s v="Bank Transfer"/>
    <s v="Online"/>
    <x v="0"/>
  </r>
  <r>
    <n v="1035"/>
    <x v="76"/>
    <d v="2024-04-12T00:00:00"/>
    <x v="2"/>
    <s v="Apr"/>
    <x v="3"/>
    <x v="2"/>
    <n v="161264.69870000001"/>
    <n v="49"/>
    <x v="0"/>
    <n v="3115.12"/>
    <n v="4165.97"/>
    <n v="8623.8187000000125"/>
    <s v="New"/>
    <n v="0.21"/>
    <s v="Credit Card"/>
    <s v="Retail"/>
    <x v="9"/>
  </r>
  <r>
    <n v="1075"/>
    <x v="149"/>
    <d v="2024-04-12T00:00:00"/>
    <x v="2"/>
    <s v="Apr"/>
    <x v="2"/>
    <x v="0"/>
    <n v="100216.63440000001"/>
    <n v="24"/>
    <x v="1"/>
    <n v="2755.69"/>
    <n v="4691.79"/>
    <n v="34080.074400000012"/>
    <s v="New"/>
    <n v="0.11"/>
    <s v="Credit Card"/>
    <s v="Online"/>
    <x v="18"/>
  </r>
  <r>
    <n v="1015"/>
    <x v="144"/>
    <d v="2024-04-12T00:00:00"/>
    <x v="2"/>
    <s v="Apr"/>
    <x v="0"/>
    <x v="1"/>
    <n v="110571.50719999998"/>
    <n v="28"/>
    <x v="3"/>
    <n v="571.6"/>
    <n v="4487.4799999999996"/>
    <n v="94566.70719999999"/>
    <s v="New"/>
    <n v="0.12"/>
    <s v="Cash"/>
    <s v="Online"/>
    <x v="19"/>
  </r>
  <r>
    <n v="1022"/>
    <x v="248"/>
    <d v="2024-04-13T00:00:00"/>
    <x v="2"/>
    <s v="Apr"/>
    <x v="0"/>
    <x v="3"/>
    <n v="51393.825000000004"/>
    <n v="30"/>
    <x v="2"/>
    <n v="680.52"/>
    <n v="2284.17"/>
    <n v="30978.225000000002"/>
    <s v="New"/>
    <n v="0.25"/>
    <s v="Cash"/>
    <s v="Online"/>
    <x v="5"/>
  </r>
  <r>
    <n v="1025"/>
    <x v="54"/>
    <d v="2024-04-13T00:00:00"/>
    <x v="2"/>
    <s v="Apr"/>
    <x v="1"/>
    <x v="2"/>
    <n v="66931.987200000003"/>
    <n v="23"/>
    <x v="0"/>
    <n v="1232.0999999999999"/>
    <n v="3269.76"/>
    <n v="38593.687200000008"/>
    <s v="New"/>
    <n v="0.11"/>
    <s v="Credit Card"/>
    <s v="Online"/>
    <x v="15"/>
  </r>
  <r>
    <n v="1054"/>
    <x v="351"/>
    <d v="2024-04-13T00:00:00"/>
    <x v="2"/>
    <s v="Apr"/>
    <x v="2"/>
    <x v="2"/>
    <n v="174507.84000000003"/>
    <n v="39"/>
    <x v="2"/>
    <n v="3199.72"/>
    <n v="4474.5600000000004"/>
    <n v="49718.760000000024"/>
    <s v="Returning"/>
    <n v="0"/>
    <s v="Bank Transfer"/>
    <s v="Online"/>
    <x v="14"/>
  </r>
  <r>
    <n v="1048"/>
    <x v="280"/>
    <d v="2024-04-14T00:00:00"/>
    <x v="2"/>
    <s v="Apr"/>
    <x v="3"/>
    <x v="3"/>
    <n v="110383.57023066936"/>
    <n v="27"/>
    <x v="0"/>
    <n v="3707.6"/>
    <n v="4285.6000000000004"/>
    <n v="9820.440000000006"/>
    <s v="New"/>
    <n v="0.05"/>
    <s v="Credit Card"/>
    <s v="Online"/>
    <x v="4"/>
  </r>
  <r>
    <n v="1074"/>
    <x v="17"/>
    <d v="2024-04-14T00:00:00"/>
    <x v="2"/>
    <s v="Apr"/>
    <x v="3"/>
    <x v="1"/>
    <n v="117315.38"/>
    <n v="40"/>
    <x v="1"/>
    <n v="1015.81"/>
    <n v="4017.65"/>
    <n v="76682.98000000001"/>
    <s v="New"/>
    <n v="0.27"/>
    <s v="Credit Card"/>
    <s v="Online"/>
    <x v="16"/>
  </r>
  <r>
    <n v="1046"/>
    <x v="261"/>
    <d v="2024-04-15T00:00:00"/>
    <x v="2"/>
    <s v="Apr"/>
    <x v="1"/>
    <x v="1"/>
    <n v="36493.828000000001"/>
    <n v="10"/>
    <x v="2"/>
    <n v="3530.4"/>
    <n v="3723.86"/>
    <n v="1189.8279999999977"/>
    <s v="Returning"/>
    <n v="0.02"/>
    <s v="Bank Transfer"/>
    <s v="Online"/>
    <x v="1"/>
  </r>
  <r>
    <n v="1088"/>
    <x v="96"/>
    <d v="2024-04-15T00:00:00"/>
    <x v="2"/>
    <s v="Apr"/>
    <x v="1"/>
    <x v="3"/>
    <n v="31597.242900000005"/>
    <n v="31"/>
    <x v="2"/>
    <n v="584.08000000000004"/>
    <n v="1290.21"/>
    <n v="13490.762900000002"/>
    <s v="Returning"/>
    <n v="0.21"/>
    <s v="Credit Card"/>
    <s v="Retail"/>
    <x v="7"/>
  </r>
  <r>
    <n v="1048"/>
    <x v="364"/>
    <d v="2024-04-15T00:00:00"/>
    <x v="2"/>
    <s v="Apr"/>
    <x v="3"/>
    <x v="1"/>
    <n v="149375.5692"/>
    <n v="39"/>
    <x v="3"/>
    <n v="1626.9"/>
    <n v="4074.62"/>
    <n v="85926.469199999978"/>
    <s v="New"/>
    <n v="0.06"/>
    <s v="Credit Card"/>
    <s v="Online"/>
    <x v="16"/>
  </r>
  <r>
    <n v="1041"/>
    <x v="143"/>
    <d v="2024-04-17T00:00:00"/>
    <x v="2"/>
    <s v="Apr"/>
    <x v="2"/>
    <x v="3"/>
    <n v="4039.9531999999999"/>
    <n v="1"/>
    <x v="0"/>
    <n v="1754.36"/>
    <n v="4697.62"/>
    <n v="2285.5932000000003"/>
    <s v="Returning"/>
    <n v="0.14000000000000001"/>
    <s v="Bank Transfer"/>
    <s v="Online"/>
    <x v="3"/>
  </r>
  <r>
    <n v="1061"/>
    <x v="178"/>
    <d v="2024-04-17T00:00:00"/>
    <x v="2"/>
    <s v="Apr"/>
    <x v="1"/>
    <x v="3"/>
    <n v="15408.3575"/>
    <n v="5"/>
    <x v="2"/>
    <n v="1783.87"/>
    <n v="3900.85"/>
    <n v="6489.0074999999997"/>
    <s v="New"/>
    <n v="0.21"/>
    <s v="Cash"/>
    <s v="Retail"/>
    <x v="7"/>
  </r>
  <r>
    <n v="1026"/>
    <x v="314"/>
    <d v="2024-04-17T00:00:00"/>
    <x v="2"/>
    <s v="Apr"/>
    <x v="2"/>
    <x v="0"/>
    <n v="21008.6"/>
    <n v="4"/>
    <x v="2"/>
    <n v="3245"/>
    <n v="5252.15"/>
    <n v="8028.5999999999985"/>
    <s v="Returning"/>
    <n v="0"/>
    <s v="Bank Transfer"/>
    <s v="Retail"/>
    <x v="18"/>
  </r>
  <r>
    <n v="1075"/>
    <x v="19"/>
    <d v="2024-04-17T00:00:00"/>
    <x v="2"/>
    <s v="Apr"/>
    <x v="4"/>
    <x v="2"/>
    <n v="94220.0485276947"/>
    <n v="22"/>
    <x v="3"/>
    <n v="3289.96"/>
    <n v="4449.3900000000003"/>
    <n v="21591.996800000012"/>
    <s v="New"/>
    <n v="0.04"/>
    <s v="Credit Card"/>
    <s v="Online"/>
    <x v="17"/>
  </r>
  <r>
    <n v="1024"/>
    <x v="59"/>
    <d v="2024-04-17T00:00:00"/>
    <x v="2"/>
    <s v="Apr"/>
    <x v="4"/>
    <x v="1"/>
    <n v="44193.2"/>
    <n v="20"/>
    <x v="1"/>
    <n v="178.97"/>
    <n v="2599.6"/>
    <n v="40613.799999999996"/>
    <s v="New"/>
    <n v="0.15"/>
    <s v="Credit Card"/>
    <s v="Retail"/>
    <x v="6"/>
  </r>
  <r>
    <n v="1038"/>
    <x v="225"/>
    <d v="2024-04-17T00:00:00"/>
    <x v="2"/>
    <s v="Apr"/>
    <x v="2"/>
    <x v="2"/>
    <n v="132723.198"/>
    <n v="43"/>
    <x v="1"/>
    <n v="1827.88"/>
    <n v="3810.6"/>
    <n v="54124.358000000007"/>
    <s v="Returning"/>
    <n v="0.19"/>
    <s v="Bank Transfer"/>
    <s v="Online"/>
    <x v="14"/>
  </r>
  <r>
    <n v="1089"/>
    <x v="214"/>
    <d v="2024-04-18T00:00:00"/>
    <x v="2"/>
    <s v="Apr"/>
    <x v="4"/>
    <x v="1"/>
    <n v="33772.784188090365"/>
    <n v="20"/>
    <x v="2"/>
    <n v="1302.43"/>
    <n v="1706.15"/>
    <n v="7733.17"/>
    <s v="Returning"/>
    <n v="0.01"/>
    <s v="Credit Card"/>
    <s v="Retail"/>
    <x v="6"/>
  </r>
  <r>
    <n v="1028"/>
    <x v="392"/>
    <d v="2024-04-18T00:00:00"/>
    <x v="2"/>
    <s v="Apr"/>
    <x v="0"/>
    <x v="1"/>
    <n v="232898.35200000001"/>
    <n v="48"/>
    <x v="0"/>
    <n v="4492.49"/>
    <n v="5107.42"/>
    <n v="17258.832000000009"/>
    <s v="Returning"/>
    <n v="0.05"/>
    <s v="Credit Card"/>
    <s v="Retail"/>
    <x v="19"/>
  </r>
  <r>
    <n v="1080"/>
    <x v="322"/>
    <d v="2024-04-18T00:00:00"/>
    <x v="2"/>
    <s v="Apr"/>
    <x v="3"/>
    <x v="2"/>
    <n v="24442.5216"/>
    <n v="7"/>
    <x v="1"/>
    <n v="1026.04"/>
    <n v="3637.28"/>
    <n v="17260.241600000001"/>
    <s v="New"/>
    <n v="0.04"/>
    <s v="Credit Card"/>
    <s v="Online"/>
    <x v="9"/>
  </r>
  <r>
    <n v="1031"/>
    <x v="135"/>
    <d v="2024-04-18T00:00:00"/>
    <x v="2"/>
    <s v="Apr"/>
    <x v="3"/>
    <x v="2"/>
    <n v="31070.275199999996"/>
    <n v="12"/>
    <x v="3"/>
    <n v="454.75"/>
    <n v="2976.08"/>
    <n v="25613.275199999996"/>
    <s v="Returning"/>
    <n v="0.13"/>
    <s v="Bank Transfer"/>
    <s v="Retail"/>
    <x v="9"/>
  </r>
  <r>
    <n v="1077"/>
    <x v="108"/>
    <d v="2024-04-19T00:00:00"/>
    <x v="2"/>
    <s v="Apr"/>
    <x v="2"/>
    <x v="2"/>
    <n v="89767.343999999997"/>
    <n v="40"/>
    <x v="3"/>
    <n v="2131.21"/>
    <n v="2439.33"/>
    <n v="4518.9439999999922"/>
    <s v="New"/>
    <n v="0.08"/>
    <s v="Credit Card"/>
    <s v="Retail"/>
    <x v="14"/>
  </r>
  <r>
    <n v="1028"/>
    <x v="392"/>
    <d v="2024-04-19T00:00:00"/>
    <x v="2"/>
    <s v="Apr"/>
    <x v="4"/>
    <x v="2"/>
    <n v="81836.870400000014"/>
    <n v="24"/>
    <x v="0"/>
    <n v="2140.3000000000002"/>
    <n v="3706.38"/>
    <n v="30469.670400000006"/>
    <s v="Returning"/>
    <n v="0.08"/>
    <s v="Bank Transfer"/>
    <s v="Retail"/>
    <x v="17"/>
  </r>
  <r>
    <n v="1073"/>
    <x v="279"/>
    <d v="2024-04-19T00:00:00"/>
    <x v="2"/>
    <s v="Apr"/>
    <x v="3"/>
    <x v="3"/>
    <n v="84623.049000000014"/>
    <n v="23"/>
    <x v="0"/>
    <n v="1520.36"/>
    <n v="4088.07"/>
    <n v="49654.769000000008"/>
    <s v="New"/>
    <n v="0.1"/>
    <s v="Credit Card"/>
    <s v="Online"/>
    <x v="4"/>
  </r>
  <r>
    <n v="1077"/>
    <x v="172"/>
    <d v="2024-04-19T00:00:00"/>
    <x v="2"/>
    <s v="Apr"/>
    <x v="0"/>
    <x v="0"/>
    <n v="129467.52"/>
    <n v="28"/>
    <x v="2"/>
    <n v="240.41"/>
    <n v="4816.5"/>
    <n v="122736.04000000001"/>
    <s v="New"/>
    <n v="0.04"/>
    <s v="Credit Card"/>
    <s v="Retail"/>
    <x v="0"/>
  </r>
  <r>
    <n v="1023"/>
    <x v="373"/>
    <d v="2024-04-20T00:00:00"/>
    <x v="2"/>
    <s v="Apr"/>
    <x v="1"/>
    <x v="3"/>
    <n v="9403.5648000000001"/>
    <n v="2"/>
    <x v="1"/>
    <n v="650.41"/>
    <n v="5055.68"/>
    <n v="8102.7448000000004"/>
    <s v="New"/>
    <n v="7.0000000000000007E-2"/>
    <s v="Bank Transfer"/>
    <s v="Retail"/>
    <x v="7"/>
  </r>
  <r>
    <n v="1021"/>
    <x v="176"/>
    <d v="2024-04-20T00:00:00"/>
    <x v="2"/>
    <s v="Apr"/>
    <x v="4"/>
    <x v="2"/>
    <n v="13708.926000000001"/>
    <n v="5"/>
    <x v="1"/>
    <n v="1110.17"/>
    <n v="3384.92"/>
    <n v="8158.0760000000009"/>
    <s v="New"/>
    <n v="0.19"/>
    <s v="Cash"/>
    <s v="Retail"/>
    <x v="17"/>
  </r>
  <r>
    <n v="1085"/>
    <x v="34"/>
    <d v="2024-04-20T00:00:00"/>
    <x v="2"/>
    <s v="Apr"/>
    <x v="2"/>
    <x v="2"/>
    <n v="40124.519999999997"/>
    <n v="25"/>
    <x v="2"/>
    <n v="818.15"/>
    <n v="2229.14"/>
    <n v="19670.769999999997"/>
    <s v="New"/>
    <n v="0.28000000000000003"/>
    <s v="Cash"/>
    <s v="Retail"/>
    <x v="14"/>
  </r>
  <r>
    <n v="1046"/>
    <x v="263"/>
    <d v="2024-04-20T00:00:00"/>
    <x v="2"/>
    <s v="Apr"/>
    <x v="4"/>
    <x v="1"/>
    <n v="171822.80640000003"/>
    <n v="38"/>
    <x v="0"/>
    <n v="3589.17"/>
    <n v="4914.84"/>
    <n v="35434.346400000024"/>
    <s v="Returning"/>
    <n v="0.08"/>
    <s v="Credit Card"/>
    <s v="Retail"/>
    <x v="6"/>
  </r>
  <r>
    <n v="1006"/>
    <x v="81"/>
    <d v="2024-04-20T00:00:00"/>
    <x v="2"/>
    <s v="Apr"/>
    <x v="0"/>
    <x v="0"/>
    <n v="91976.872000000003"/>
    <n v="26"/>
    <x v="1"/>
    <n v="1308.68"/>
    <n v="3974.8"/>
    <n v="57951.191999999995"/>
    <s v="Returning"/>
    <n v="0.11"/>
    <s v="Cash"/>
    <s v="Retail"/>
    <x v="0"/>
  </r>
  <r>
    <n v="1076"/>
    <x v="9"/>
    <d v="2024-04-21T00:00:00"/>
    <x v="2"/>
    <s v="Apr"/>
    <x v="4"/>
    <x v="1"/>
    <n v="181040.63"/>
    <n v="37"/>
    <x v="3"/>
    <n v="3685.44"/>
    <n v="4892.99"/>
    <n v="44679.349999999991"/>
    <s v="Returning"/>
    <n v="0"/>
    <s v="Cash"/>
    <s v="Online"/>
    <x v="6"/>
  </r>
  <r>
    <n v="1070"/>
    <x v="62"/>
    <d v="2024-04-22T00:00:00"/>
    <x v="2"/>
    <s v="Apr"/>
    <x v="3"/>
    <x v="1"/>
    <n v="26387.808000000001"/>
    <n v="40"/>
    <x v="0"/>
    <n v="499.2"/>
    <n v="717.06"/>
    <n v="6419.8080000000009"/>
    <s v="New"/>
    <n v="0.08"/>
    <s v="Credit Card"/>
    <s v="Retail"/>
    <x v="16"/>
  </r>
  <r>
    <n v="1022"/>
    <x v="116"/>
    <d v="2024-04-22T00:00:00"/>
    <x v="2"/>
    <s v="Apr"/>
    <x v="4"/>
    <x v="2"/>
    <n v="27162.047500000001"/>
    <n v="7"/>
    <x v="0"/>
    <n v="2232.27"/>
    <n v="4565.05"/>
    <n v="11536.157500000001"/>
    <s v="New"/>
    <n v="0.15"/>
    <s v="Bank Transfer"/>
    <s v="Online"/>
    <x v="17"/>
  </r>
  <r>
    <n v="1041"/>
    <x v="143"/>
    <d v="2024-04-22T00:00:00"/>
    <x v="2"/>
    <s v="Apr"/>
    <x v="2"/>
    <x v="0"/>
    <n v="105658"/>
    <n v="40"/>
    <x v="0"/>
    <n v="1722.2"/>
    <n v="3773.5"/>
    <n v="36769.999999999993"/>
    <s v="New"/>
    <n v="0.3"/>
    <s v="Bank Transfer"/>
    <s v="Online"/>
    <x v="18"/>
  </r>
  <r>
    <n v="1043"/>
    <x v="273"/>
    <d v="2024-04-23T00:00:00"/>
    <x v="2"/>
    <s v="Apr"/>
    <x v="3"/>
    <x v="0"/>
    <n v="8930.744999999999"/>
    <n v="6"/>
    <x v="2"/>
    <n v="1370.3"/>
    <n v="1984.61"/>
    <n v="708.94500000000016"/>
    <s v="New"/>
    <n v="0.25"/>
    <s v="Cash"/>
    <s v="Retail"/>
    <x v="11"/>
  </r>
  <r>
    <n v="1048"/>
    <x v="294"/>
    <d v="2024-04-23T00:00:00"/>
    <x v="2"/>
    <s v="Apr"/>
    <x v="0"/>
    <x v="2"/>
    <n v="136867.63560063415"/>
    <n v="48"/>
    <x v="1"/>
    <n v="2788.03"/>
    <n v="2958.24"/>
    <n v="2490.2591999999786"/>
    <s v="New"/>
    <n v="0.04"/>
    <s v="Bank Transfer"/>
    <s v="Online"/>
    <x v="2"/>
  </r>
  <r>
    <n v="1059"/>
    <x v="388"/>
    <d v="2024-04-23T00:00:00"/>
    <x v="2"/>
    <s v="Apr"/>
    <x v="4"/>
    <x v="3"/>
    <n v="50654.419200000004"/>
    <n v="33"/>
    <x v="3"/>
    <n v="1424.73"/>
    <n v="1598.94"/>
    <n v="3638.3292000000029"/>
    <s v="Returning"/>
    <n v="0.04"/>
    <s v="Credit Card"/>
    <s v="Online"/>
    <x v="12"/>
  </r>
  <r>
    <n v="1075"/>
    <x v="19"/>
    <d v="2024-04-23T00:00:00"/>
    <x v="2"/>
    <s v="Apr"/>
    <x v="0"/>
    <x v="2"/>
    <n v="94026.702499999999"/>
    <n v="23"/>
    <x v="3"/>
    <n v="2608.27"/>
    <n v="4809.55"/>
    <n v="34036.492499999993"/>
    <s v="Returning"/>
    <n v="0.15"/>
    <s v="Bank Transfer"/>
    <s v="Online"/>
    <x v="2"/>
  </r>
  <r>
    <n v="1075"/>
    <x v="19"/>
    <d v="2024-04-23T00:00:00"/>
    <x v="2"/>
    <s v="Apr"/>
    <x v="0"/>
    <x v="3"/>
    <n v="84558.523000000001"/>
    <n v="35"/>
    <x v="3"/>
    <n v="516.53"/>
    <n v="2946.29"/>
    <n v="66479.973000000013"/>
    <s v="New"/>
    <n v="0.18"/>
    <s v="Credit Card"/>
    <s v="Retail"/>
    <x v="5"/>
  </r>
  <r>
    <n v="1009"/>
    <x v="355"/>
    <d v="2024-04-24T00:00:00"/>
    <x v="2"/>
    <s v="Apr"/>
    <x v="4"/>
    <x v="3"/>
    <n v="65836.320000000007"/>
    <n v="15"/>
    <x v="1"/>
    <n v="3985.7"/>
    <n v="4987.6000000000004"/>
    <n v="6050.8200000000124"/>
    <s v="New"/>
    <n v="0.12"/>
    <s v="Credit Card"/>
    <s v="Retail"/>
    <x v="12"/>
  </r>
  <r>
    <n v="1001"/>
    <x v="212"/>
    <d v="2024-04-24T00:00:00"/>
    <x v="2"/>
    <s v="Apr"/>
    <x v="2"/>
    <x v="2"/>
    <n v="12589.584000000001"/>
    <n v="6"/>
    <x v="3"/>
    <n v="288.83999999999997"/>
    <n v="2622.83"/>
    <n v="10856.544000000002"/>
    <s v="New"/>
    <n v="0.2"/>
    <s v="Credit Card"/>
    <s v="Retail"/>
    <x v="14"/>
  </r>
  <r>
    <n v="1065"/>
    <x v="71"/>
    <d v="2024-04-25T00:00:00"/>
    <x v="2"/>
    <s v="Apr"/>
    <x v="3"/>
    <x v="0"/>
    <n v="2196.8496000000005"/>
    <n v="6"/>
    <x v="2"/>
    <n v="188.62"/>
    <n v="397.98"/>
    <n v="1065.1296000000002"/>
    <s v="New"/>
    <n v="0.08"/>
    <s v="Bank Transfer"/>
    <s v="Online"/>
    <x v="11"/>
  </r>
  <r>
    <n v="1063"/>
    <x v="33"/>
    <d v="2024-04-25T00:00:00"/>
    <x v="2"/>
    <s v="Apr"/>
    <x v="0"/>
    <x v="2"/>
    <n v="35930.576000000001"/>
    <n v="22"/>
    <x v="1"/>
    <n v="1059.98"/>
    <n v="2041.51"/>
    <n v="12611.016000000001"/>
    <s v="Returning"/>
    <n v="0.2"/>
    <s v="Bank Transfer"/>
    <s v="Online"/>
    <x v="2"/>
  </r>
  <r>
    <n v="1048"/>
    <x v="354"/>
    <d v="2024-04-26T00:00:00"/>
    <x v="2"/>
    <s v="Apr"/>
    <x v="0"/>
    <x v="2"/>
    <n v="27416.995200000001"/>
    <n v="9"/>
    <x v="2"/>
    <n v="2183.13"/>
    <n v="3715.04"/>
    <n v="7768.8252000000002"/>
    <s v="New"/>
    <n v="0.18"/>
    <s v="Bank Transfer"/>
    <s v="Online"/>
    <x v="2"/>
  </r>
  <r>
    <n v="1038"/>
    <x v="166"/>
    <d v="2024-04-26T00:00:00"/>
    <x v="2"/>
    <s v="Apr"/>
    <x v="3"/>
    <x v="2"/>
    <n v="11199.724200000001"/>
    <n v="9"/>
    <x v="3"/>
    <n v="319.58"/>
    <n v="1269.81"/>
    <n v="8323.5042000000012"/>
    <s v="New"/>
    <n v="0.02"/>
    <s v="Credit Card"/>
    <s v="Online"/>
    <x v="9"/>
  </r>
  <r>
    <n v="1031"/>
    <x v="135"/>
    <d v="2024-04-26T00:00:00"/>
    <x v="2"/>
    <s v="Apr"/>
    <x v="3"/>
    <x v="0"/>
    <n v="25922.180899999996"/>
    <n v="11"/>
    <x v="3"/>
    <n v="1316.21"/>
    <n v="3060.47"/>
    <n v="11443.870899999996"/>
    <s v="New"/>
    <n v="0.23"/>
    <s v="Bank Transfer"/>
    <s v="Online"/>
    <x v="11"/>
  </r>
  <r>
    <n v="1097"/>
    <x v="46"/>
    <d v="2024-04-26T00:00:00"/>
    <x v="2"/>
    <s v="Apr"/>
    <x v="3"/>
    <x v="3"/>
    <n v="96159.167999999991"/>
    <n v="30"/>
    <x v="0"/>
    <n v="2727.01"/>
    <n v="3270.72"/>
    <n v="14348.867999999984"/>
    <s v="New"/>
    <n v="0.02"/>
    <s v="Bank Transfer"/>
    <s v="Retail"/>
    <x v="4"/>
  </r>
  <r>
    <n v="1048"/>
    <x v="354"/>
    <d v="2024-04-26T00:00:00"/>
    <x v="2"/>
    <s v="Apr"/>
    <x v="4"/>
    <x v="1"/>
    <n v="62142.584399999992"/>
    <n v="18"/>
    <x v="2"/>
    <n v="1405.52"/>
    <n v="3559.14"/>
    <n v="36843.224399999992"/>
    <s v="New"/>
    <n v="0.03"/>
    <s v="Bank Transfer"/>
    <s v="Retail"/>
    <x v="6"/>
  </r>
  <r>
    <n v="1013"/>
    <x v="115"/>
    <d v="2024-04-27T00:00:00"/>
    <x v="2"/>
    <s v="Apr"/>
    <x v="1"/>
    <x v="1"/>
    <n v="75074.773199999996"/>
    <n v="47"/>
    <x v="1"/>
    <n v="1383.07"/>
    <n v="1901.59"/>
    <n v="10070.483199999997"/>
    <s v="New"/>
    <n v="0.16"/>
    <s v="Bank Transfer"/>
    <s v="Online"/>
    <x v="1"/>
  </r>
  <r>
    <n v="1069"/>
    <x v="337"/>
    <d v="2024-04-28T00:00:00"/>
    <x v="2"/>
    <s v="Apr"/>
    <x v="0"/>
    <x v="2"/>
    <n v="303.63976495566169"/>
    <n v="1"/>
    <x v="0"/>
    <n v="301.02"/>
    <n v="304.48"/>
    <n v="3.4600000000000364"/>
    <s v="Returning"/>
    <n v="0"/>
    <s v="Credit Card"/>
    <s v="Online"/>
    <x v="2"/>
  </r>
  <r>
    <n v="1087"/>
    <x v="194"/>
    <d v="2024-04-28T00:00:00"/>
    <x v="2"/>
    <s v="Apr"/>
    <x v="1"/>
    <x v="0"/>
    <n v="7113.4555999999993"/>
    <n v="2"/>
    <x v="2"/>
    <n v="1190.3499999999999"/>
    <n v="4135.7299999999996"/>
    <n v="4732.7555999999995"/>
    <s v="Returning"/>
    <n v="0.14000000000000001"/>
    <s v="Bank Transfer"/>
    <s v="Retail"/>
    <x v="10"/>
  </r>
  <r>
    <n v="1036"/>
    <x v="301"/>
    <d v="2024-04-29T00:00:00"/>
    <x v="2"/>
    <s v="Apr"/>
    <x v="0"/>
    <x v="2"/>
    <n v="37810.584000000003"/>
    <n v="30"/>
    <x v="3"/>
    <n v="1103.45"/>
    <n v="1500.42"/>
    <n v="4707.0840000000026"/>
    <s v="Returning"/>
    <n v="0.16"/>
    <s v="Cash"/>
    <s v="Online"/>
    <x v="2"/>
  </r>
  <r>
    <n v="1074"/>
    <x v="17"/>
    <d v="2024-04-29T00:00:00"/>
    <x v="2"/>
    <s v="Apr"/>
    <x v="0"/>
    <x v="2"/>
    <n v="37979.084800000004"/>
    <n v="16"/>
    <x v="1"/>
    <n v="1369.44"/>
    <n v="3123.28"/>
    <n v="16068.044800000003"/>
    <s v="New"/>
    <n v="0.24"/>
    <s v="Bank Transfer"/>
    <s v="Online"/>
    <x v="2"/>
  </r>
  <r>
    <n v="1022"/>
    <x v="356"/>
    <d v="2024-04-29T00:00:00"/>
    <x v="2"/>
    <s v="Apr"/>
    <x v="2"/>
    <x v="1"/>
    <n v="43129.429999999993"/>
    <n v="25"/>
    <x v="1"/>
    <n v="898.06"/>
    <n v="2269.9699999999998"/>
    <n v="20677.929999999997"/>
    <s v="Returning"/>
    <n v="0.24"/>
    <s v="Cash"/>
    <s v="Retail"/>
    <x v="8"/>
  </r>
  <r>
    <n v="1037"/>
    <x v="93"/>
    <d v="2024-04-29T00:00:00"/>
    <x v="2"/>
    <s v="Apr"/>
    <x v="4"/>
    <x v="0"/>
    <n v="224046.9504"/>
    <n v="48"/>
    <x v="0"/>
    <n v="3838.39"/>
    <n v="5129.28"/>
    <n v="39804.230400000008"/>
    <s v="New"/>
    <n v="0.09"/>
    <s v="Bank Transfer"/>
    <s v="Retail"/>
    <x v="13"/>
  </r>
  <r>
    <n v="1081"/>
    <x v="57"/>
    <d v="2024-04-29T00:00:00"/>
    <x v="2"/>
    <s v="Apr"/>
    <x v="2"/>
    <x v="2"/>
    <n v="90761.392800000001"/>
    <n v="29"/>
    <x v="1"/>
    <n v="1371.63"/>
    <n v="3597.36"/>
    <n v="50984.122799999997"/>
    <s v="New"/>
    <n v="0.13"/>
    <s v="Cash"/>
    <s v="Retail"/>
    <x v="14"/>
  </r>
  <r>
    <n v="1097"/>
    <x v="306"/>
    <d v="2024-04-30T00:00:00"/>
    <x v="2"/>
    <s v="Apr"/>
    <x v="0"/>
    <x v="3"/>
    <n v="51988.464"/>
    <n v="46"/>
    <x v="3"/>
    <n v="961.86"/>
    <n v="1569.7"/>
    <n v="7742.9039999999977"/>
    <s v="Returning"/>
    <n v="0.28000000000000003"/>
    <s v="Bank Transfer"/>
    <s v="Retail"/>
    <x v="5"/>
  </r>
  <r>
    <n v="1073"/>
    <x v="124"/>
    <d v="2024-05-01T00:00:00"/>
    <x v="2"/>
    <s v="May"/>
    <x v="2"/>
    <x v="0"/>
    <n v="71305.870481294492"/>
    <n v="24"/>
    <x v="2"/>
    <n v="2750.37"/>
    <n v="3050.96"/>
    <n v="5017.4688000000024"/>
    <s v="Returning"/>
    <n v="0.03"/>
    <s v="Bank Transfer"/>
    <s v="Retail"/>
    <x v="18"/>
  </r>
  <r>
    <n v="1069"/>
    <x v="184"/>
    <d v="2024-05-01T00:00:00"/>
    <x v="2"/>
    <s v="May"/>
    <x v="2"/>
    <x v="0"/>
    <n v="71541.959999999992"/>
    <n v="20"/>
    <x v="3"/>
    <n v="2938.85"/>
    <n v="3650.1"/>
    <n v="12764.960000000001"/>
    <s v="Returning"/>
    <n v="0.02"/>
    <s v="Bank Transfer"/>
    <s v="Retail"/>
    <x v="18"/>
  </r>
  <r>
    <n v="1030"/>
    <x v="371"/>
    <d v="2024-05-01T00:00:00"/>
    <x v="2"/>
    <s v="May"/>
    <x v="3"/>
    <x v="1"/>
    <n v="143681.46893563779"/>
    <n v="45"/>
    <x v="1"/>
    <n v="2840.4"/>
    <n v="3346.08"/>
    <n v="15226.919999999989"/>
    <s v="New"/>
    <n v="0.05"/>
    <s v="Bank Transfer"/>
    <s v="Online"/>
    <x v="16"/>
  </r>
  <r>
    <n v="1091"/>
    <x v="60"/>
    <d v="2024-05-01T00:00:00"/>
    <x v="2"/>
    <s v="May"/>
    <x v="3"/>
    <x v="0"/>
    <n v="97719.308799999999"/>
    <n v="32"/>
    <x v="1"/>
    <n v="1954.35"/>
    <n v="3319.27"/>
    <n v="35180.108800000002"/>
    <s v="Returning"/>
    <n v="0.08"/>
    <s v="Bank Transfer"/>
    <s v="Retail"/>
    <x v="11"/>
  </r>
  <r>
    <n v="1058"/>
    <x v="345"/>
    <d v="2024-05-01T00:00:00"/>
    <x v="2"/>
    <s v="May"/>
    <x v="0"/>
    <x v="3"/>
    <n v="203840.27929999999"/>
    <n v="49"/>
    <x v="0"/>
    <n v="1387.77"/>
    <n v="5265.83"/>
    <n v="135839.54929999998"/>
    <s v="Returning"/>
    <n v="0.21"/>
    <s v="Bank Transfer"/>
    <s v="Online"/>
    <x v="5"/>
  </r>
  <r>
    <n v="1022"/>
    <x v="79"/>
    <d v="2024-05-01T00:00:00"/>
    <x v="2"/>
    <s v="May"/>
    <x v="3"/>
    <x v="3"/>
    <n v="190479.64319999999"/>
    <n v="42"/>
    <x v="3"/>
    <n v="777.9"/>
    <n v="4581.04"/>
    <n v="157807.84319999997"/>
    <s v="New"/>
    <n v="0.01"/>
    <s v="Cash"/>
    <s v="Retail"/>
    <x v="4"/>
  </r>
  <r>
    <n v="1051"/>
    <x v="213"/>
    <d v="2024-05-02T00:00:00"/>
    <x v="2"/>
    <s v="May"/>
    <x v="4"/>
    <x v="1"/>
    <n v="20282.373186122066"/>
    <n v="4"/>
    <x v="0"/>
    <n v="4762.66"/>
    <n v="5261.04"/>
    <n v="1151.7536"/>
    <s v="Returning"/>
    <n v="0.04"/>
    <s v="Credit Card"/>
    <s v="Online"/>
    <x v="6"/>
  </r>
  <r>
    <n v="1014"/>
    <x v="125"/>
    <d v="2024-05-02T00:00:00"/>
    <x v="2"/>
    <s v="May"/>
    <x v="0"/>
    <x v="3"/>
    <n v="58390.516800000005"/>
    <n v="18"/>
    <x v="3"/>
    <n v="2581.5700000000002"/>
    <n v="4212.88"/>
    <n v="11922.256800000001"/>
    <s v="Returning"/>
    <n v="0.23"/>
    <s v="Credit Card"/>
    <s v="Retail"/>
    <x v="5"/>
  </r>
  <r>
    <n v="1060"/>
    <x v="304"/>
    <d v="2024-05-02T00:00:00"/>
    <x v="2"/>
    <s v="May"/>
    <x v="0"/>
    <x v="2"/>
    <n v="164037.174"/>
    <n v="43"/>
    <x v="3"/>
    <n v="3304.69"/>
    <n v="4541.45"/>
    <n v="21935.503999999986"/>
    <s v="New"/>
    <n v="0.16"/>
    <s v="Cash"/>
    <s v="Online"/>
    <x v="2"/>
  </r>
  <r>
    <n v="1042"/>
    <x v="397"/>
    <d v="2024-05-02T00:00:00"/>
    <x v="2"/>
    <s v="May"/>
    <x v="3"/>
    <x v="1"/>
    <n v="245746.5312"/>
    <n v="48"/>
    <x v="1"/>
    <n v="4500.88"/>
    <n v="5446.51"/>
    <n v="29704.291199999992"/>
    <s v="New"/>
    <n v="0.06"/>
    <s v="Cash"/>
    <s v="Retail"/>
    <x v="16"/>
  </r>
  <r>
    <n v="1051"/>
    <x v="327"/>
    <d v="2024-05-03T00:00:00"/>
    <x v="2"/>
    <s v="May"/>
    <x v="2"/>
    <x v="0"/>
    <n v="19780.904225697737"/>
    <n v="10"/>
    <x v="1"/>
    <n v="1949.15"/>
    <n v="1984.85"/>
    <n v="356.99999999999818"/>
    <s v="Returning"/>
    <n v="0"/>
    <s v="Credit Card"/>
    <s v="Online"/>
    <x v="18"/>
  </r>
  <r>
    <n v="1052"/>
    <x v="333"/>
    <d v="2024-05-03T00:00:00"/>
    <x v="2"/>
    <s v="May"/>
    <x v="3"/>
    <x v="0"/>
    <n v="57450.908882181509"/>
    <n v="13"/>
    <x v="0"/>
    <n v="4381.26"/>
    <n v="4472.46"/>
    <n v="604.1801999999916"/>
    <s v="Returning"/>
    <n v="0.01"/>
    <s v="Bank Transfer"/>
    <s v="Online"/>
    <x v="11"/>
  </r>
  <r>
    <n v="1090"/>
    <x v="159"/>
    <d v="2024-05-03T00:00:00"/>
    <x v="2"/>
    <s v="May"/>
    <x v="3"/>
    <x v="1"/>
    <n v="2922.5910000000003"/>
    <n v="2"/>
    <x v="2"/>
    <n v="210.61"/>
    <n v="1679.65"/>
    <n v="2501.3710000000001"/>
    <s v="Returning"/>
    <n v="0.13"/>
    <s v="Bank Transfer"/>
    <s v="Retail"/>
    <x v="16"/>
  </r>
  <r>
    <n v="1022"/>
    <x v="116"/>
    <d v="2024-05-03T00:00:00"/>
    <x v="2"/>
    <s v="May"/>
    <x v="0"/>
    <x v="1"/>
    <n v="217109.7978"/>
    <n v="47"/>
    <x v="0"/>
    <n v="3097.72"/>
    <n v="4713.63"/>
    <n v="71516.957800000004"/>
    <s v="Returning"/>
    <n v="0.02"/>
    <s v="Bank Transfer"/>
    <s v="Retail"/>
    <x v="19"/>
  </r>
  <r>
    <n v="1076"/>
    <x v="9"/>
    <d v="2024-05-03T00:00:00"/>
    <x v="2"/>
    <s v="May"/>
    <x v="1"/>
    <x v="2"/>
    <n v="158216.11199999999"/>
    <n v="48"/>
    <x v="3"/>
    <n v="1450.21"/>
    <n v="3788.7"/>
    <n v="88606.031999999992"/>
    <s v="New"/>
    <n v="0.13"/>
    <s v="Credit Card"/>
    <s v="Online"/>
    <x v="15"/>
  </r>
  <r>
    <n v="1008"/>
    <x v="95"/>
    <d v="2024-05-04T00:00:00"/>
    <x v="2"/>
    <s v="May"/>
    <x v="3"/>
    <x v="3"/>
    <n v="142426.3351"/>
    <n v="49"/>
    <x v="1"/>
    <n v="2337.12"/>
    <n v="3265.91"/>
    <n v="27907.45510000001"/>
    <s v="New"/>
    <n v="0.11"/>
    <s v="Credit Card"/>
    <s v="Retail"/>
    <x v="4"/>
  </r>
  <r>
    <n v="1057"/>
    <x v="216"/>
    <d v="2024-05-05T00:00:00"/>
    <x v="2"/>
    <s v="May"/>
    <x v="0"/>
    <x v="1"/>
    <n v="13585.2912"/>
    <n v="4"/>
    <x v="2"/>
    <n v="2559.7600000000002"/>
    <n v="3651.96"/>
    <n v="3346.2511999999988"/>
    <s v="Returning"/>
    <n v="7.0000000000000007E-2"/>
    <s v="Cash"/>
    <s v="Retail"/>
    <x v="19"/>
  </r>
  <r>
    <n v="1077"/>
    <x v="35"/>
    <d v="2024-05-05T00:00:00"/>
    <x v="2"/>
    <s v="May"/>
    <x v="1"/>
    <x v="2"/>
    <n v="9269.8143999999993"/>
    <n v="7"/>
    <x v="0"/>
    <n v="407.38"/>
    <n v="1504.84"/>
    <n v="6418.1543999999994"/>
    <s v="New"/>
    <n v="0.12"/>
    <s v="Cash"/>
    <s v="Online"/>
    <x v="15"/>
  </r>
  <r>
    <n v="1076"/>
    <x v="142"/>
    <d v="2024-05-05T00:00:00"/>
    <x v="2"/>
    <s v="May"/>
    <x v="4"/>
    <x v="0"/>
    <n v="165283.14599999998"/>
    <n v="42"/>
    <x v="2"/>
    <n v="3206.33"/>
    <n v="4629.78"/>
    <n v="30617.285999999989"/>
    <s v="New"/>
    <n v="0.15"/>
    <s v="Bank Transfer"/>
    <s v="Online"/>
    <x v="13"/>
  </r>
  <r>
    <n v="1029"/>
    <x v="146"/>
    <d v="2024-05-05T00:00:00"/>
    <x v="2"/>
    <s v="May"/>
    <x v="3"/>
    <x v="0"/>
    <n v="65938.022400000002"/>
    <n v="32"/>
    <x v="1"/>
    <n v="1049.2"/>
    <n v="2146.42"/>
    <n v="32363.6224"/>
    <s v="Returning"/>
    <n v="0.04"/>
    <s v="Bank Transfer"/>
    <s v="Online"/>
    <x v="11"/>
  </r>
  <r>
    <n v="1085"/>
    <x v="234"/>
    <d v="2024-05-05T00:00:00"/>
    <x v="2"/>
    <s v="May"/>
    <x v="3"/>
    <x v="3"/>
    <n v="94558.952199999985"/>
    <n v="43"/>
    <x v="3"/>
    <n v="333.84"/>
    <n v="2339.41"/>
    <n v="80203.83219999999"/>
    <s v="Returning"/>
    <n v="0.06"/>
    <s v="Credit Card"/>
    <s v="Online"/>
    <x v="4"/>
  </r>
  <r>
    <n v="1037"/>
    <x v="375"/>
    <d v="2024-05-06T00:00:00"/>
    <x v="2"/>
    <s v="May"/>
    <x v="0"/>
    <x v="3"/>
    <n v="178979.67359999998"/>
    <n v="48"/>
    <x v="3"/>
    <n v="3596.82"/>
    <n v="3804.84"/>
    <n v="6332.3135999999868"/>
    <s v="Returning"/>
    <n v="0.02"/>
    <s v="Credit Card"/>
    <s v="Online"/>
    <x v="5"/>
  </r>
  <r>
    <n v="1054"/>
    <x v="251"/>
    <d v="2024-05-07T00:00:00"/>
    <x v="2"/>
    <s v="May"/>
    <x v="1"/>
    <x v="0"/>
    <n v="15307.11"/>
    <n v="7"/>
    <x v="3"/>
    <n v="185.84"/>
    <n v="2803.5"/>
    <n v="14006.230000000001"/>
    <s v="New"/>
    <n v="0.22"/>
    <s v="Bank Transfer"/>
    <s v="Online"/>
    <x v="10"/>
  </r>
  <r>
    <n v="1018"/>
    <x v="378"/>
    <d v="2024-05-07T00:00:00"/>
    <x v="2"/>
    <s v="May"/>
    <x v="4"/>
    <x v="3"/>
    <n v="68150.604599999991"/>
    <n v="31"/>
    <x v="3"/>
    <n v="774.96"/>
    <n v="2818.47"/>
    <n v="44126.844599999989"/>
    <s v="Returning"/>
    <n v="0.22"/>
    <s v="Bank Transfer"/>
    <s v="Retail"/>
    <x v="12"/>
  </r>
  <r>
    <n v="1099"/>
    <x v="122"/>
    <d v="2024-05-07T00:00:00"/>
    <x v="2"/>
    <s v="May"/>
    <x v="0"/>
    <x v="0"/>
    <n v="77890.481"/>
    <n v="38"/>
    <x v="0"/>
    <n v="487.23"/>
    <n v="2411.4699999999998"/>
    <n v="59375.740999999995"/>
    <s v="New"/>
    <n v="0.15"/>
    <s v="Credit Card"/>
    <s v="Online"/>
    <x v="0"/>
  </r>
  <r>
    <n v="1100"/>
    <x v="343"/>
    <d v="2024-05-09T00:00:00"/>
    <x v="2"/>
    <s v="May"/>
    <x v="1"/>
    <x v="0"/>
    <n v="69673.455445875312"/>
    <n v="16"/>
    <x v="3"/>
    <n v="4250"/>
    <n v="4471.1000000000004"/>
    <n v="1391.4720000000088"/>
    <s v="Returning"/>
    <n v="0.03"/>
    <s v="Bank Transfer"/>
    <s v="Online"/>
    <x v="10"/>
  </r>
  <r>
    <n v="1002"/>
    <x v="53"/>
    <d v="2024-05-09T00:00:00"/>
    <x v="2"/>
    <s v="May"/>
    <x v="1"/>
    <x v="0"/>
    <n v="64618.369200000001"/>
    <n v="19"/>
    <x v="0"/>
    <n v="703.98"/>
    <n v="3435.32"/>
    <n v="51242.749200000006"/>
    <s v="Returning"/>
    <n v="0.01"/>
    <s v="Bank Transfer"/>
    <s v="Online"/>
    <x v="10"/>
  </r>
  <r>
    <n v="1038"/>
    <x v="6"/>
    <d v="2024-05-10T00:00:00"/>
    <x v="2"/>
    <s v="May"/>
    <x v="0"/>
    <x v="0"/>
    <n v="8001.6858000000011"/>
    <n v="3"/>
    <x v="0"/>
    <n v="2408.12"/>
    <n v="3065.78"/>
    <n v="777.32580000000144"/>
    <s v="Returning"/>
    <n v="0.13"/>
    <s v="Credit Card"/>
    <s v="Retail"/>
    <x v="0"/>
  </r>
  <r>
    <n v="1077"/>
    <x v="278"/>
    <d v="2024-05-10T00:00:00"/>
    <x v="2"/>
    <s v="May"/>
    <x v="3"/>
    <x v="0"/>
    <n v="57209.063000000002"/>
    <n v="17"/>
    <x v="1"/>
    <n v="3309.83"/>
    <n v="4103.95"/>
    <n v="941.95300000000179"/>
    <s v="Returning"/>
    <n v="0.18"/>
    <s v="Cash"/>
    <s v="Retail"/>
    <x v="11"/>
  </r>
  <r>
    <n v="1003"/>
    <x v="66"/>
    <d v="2024-05-10T00:00:00"/>
    <x v="2"/>
    <s v="May"/>
    <x v="2"/>
    <x v="3"/>
    <n v="178883.93599901744"/>
    <n v="41"/>
    <x v="3"/>
    <n v="4294.5200000000004"/>
    <n v="4482.3"/>
    <n v="2185.7509999999875"/>
    <s v="New"/>
    <n v="0.03"/>
    <s v="Bank Transfer"/>
    <s v="Retail"/>
    <x v="3"/>
  </r>
  <r>
    <n v="1062"/>
    <x v="18"/>
    <d v="2024-05-10T00:00:00"/>
    <x v="2"/>
    <s v="May"/>
    <x v="1"/>
    <x v="3"/>
    <n v="23668.914321057226"/>
    <n v="11"/>
    <x v="0"/>
    <n v="1743.08"/>
    <n v="2219.84"/>
    <n v="4511.8127999999997"/>
    <s v="Returning"/>
    <n v="0.03"/>
    <s v="Cash"/>
    <s v="Retail"/>
    <x v="7"/>
  </r>
  <r>
    <n v="1025"/>
    <x v="54"/>
    <d v="2024-05-10T00:00:00"/>
    <x v="2"/>
    <s v="May"/>
    <x v="4"/>
    <x v="2"/>
    <n v="178280.77720000001"/>
    <n v="38"/>
    <x v="0"/>
    <n v="3196.36"/>
    <n v="5271.46"/>
    <n v="56819.097199999997"/>
    <s v="Returning"/>
    <n v="0.11"/>
    <s v="Cash"/>
    <s v="Retail"/>
    <x v="17"/>
  </r>
  <r>
    <n v="1083"/>
    <x v="377"/>
    <d v="2024-05-11T00:00:00"/>
    <x v="2"/>
    <s v="May"/>
    <x v="2"/>
    <x v="2"/>
    <n v="4233.6840000000002"/>
    <n v="2"/>
    <x v="1"/>
    <n v="1239.5899999999999"/>
    <n v="2520.0500000000002"/>
    <n v="1754.5040000000004"/>
    <s v="Returning"/>
    <n v="0.16"/>
    <s v="Bank Transfer"/>
    <s v="Online"/>
    <x v="14"/>
  </r>
  <r>
    <n v="1086"/>
    <x v="338"/>
    <d v="2024-05-11T00:00:00"/>
    <x v="2"/>
    <s v="May"/>
    <x v="0"/>
    <x v="0"/>
    <n v="179732.91580000002"/>
    <n v="46"/>
    <x v="2"/>
    <n v="1776.67"/>
    <n v="4945.87"/>
    <n v="98006.09580000001"/>
    <s v="New"/>
    <n v="0.21"/>
    <s v="Bank Transfer"/>
    <s v="Retail"/>
    <x v="0"/>
  </r>
  <r>
    <n v="1042"/>
    <x v="138"/>
    <d v="2024-05-12T00:00:00"/>
    <x v="2"/>
    <s v="May"/>
    <x v="4"/>
    <x v="0"/>
    <n v="54427.859558656339"/>
    <n v="18"/>
    <x v="2"/>
    <n v="2850.94"/>
    <n v="3089.39"/>
    <n v="3179.9195999999956"/>
    <s v="Returning"/>
    <n v="0.02"/>
    <s v="Credit Card"/>
    <s v="Online"/>
    <x v="13"/>
  </r>
  <r>
    <n v="1027"/>
    <x v="269"/>
    <d v="2024-05-13T00:00:00"/>
    <x v="2"/>
    <s v="May"/>
    <x v="0"/>
    <x v="0"/>
    <n v="97445.457200000004"/>
    <n v="26"/>
    <x v="1"/>
    <n v="2998.01"/>
    <n v="3824.39"/>
    <n v="19497.197199999995"/>
    <s v="Returning"/>
    <n v="0.02"/>
    <s v="Cash"/>
    <s v="Retail"/>
    <x v="0"/>
  </r>
  <r>
    <n v="1097"/>
    <x v="42"/>
    <d v="2024-05-13T00:00:00"/>
    <x v="2"/>
    <s v="May"/>
    <x v="1"/>
    <x v="0"/>
    <n v="137668.5042"/>
    <n v="29"/>
    <x v="1"/>
    <n v="125.88"/>
    <n v="5456.54"/>
    <n v="134017.98420000001"/>
    <s v="New"/>
    <n v="0.13"/>
    <s v="Credit Card"/>
    <s v="Retail"/>
    <x v="10"/>
  </r>
  <r>
    <n v="1059"/>
    <x v="388"/>
    <d v="2024-05-14T00:00:00"/>
    <x v="2"/>
    <s v="May"/>
    <x v="4"/>
    <x v="0"/>
    <n v="14665.028399999999"/>
    <n v="4"/>
    <x v="3"/>
    <n v="2789.5"/>
    <n v="3703.29"/>
    <n v="3507.0283999999992"/>
    <s v="New"/>
    <n v="0.01"/>
    <s v="Credit Card"/>
    <s v="Online"/>
    <x v="13"/>
  </r>
  <r>
    <n v="1049"/>
    <x v="297"/>
    <d v="2024-05-14T00:00:00"/>
    <x v="2"/>
    <s v="May"/>
    <x v="4"/>
    <x v="2"/>
    <n v="31338.918599999997"/>
    <n v="17"/>
    <x v="0"/>
    <n v="790.47"/>
    <n v="2491.17"/>
    <n v="17900.928599999999"/>
    <s v="New"/>
    <n v="0.26"/>
    <s v="Bank Transfer"/>
    <s v="Retail"/>
    <x v="17"/>
  </r>
  <r>
    <n v="1005"/>
    <x v="218"/>
    <d v="2024-05-14T00:00:00"/>
    <x v="2"/>
    <s v="May"/>
    <x v="0"/>
    <x v="0"/>
    <n v="48529.821600000003"/>
    <n v="18"/>
    <x v="1"/>
    <n v="1594.79"/>
    <n v="3456.54"/>
    <n v="19823.601600000002"/>
    <s v="New"/>
    <n v="0.22"/>
    <s v="Bank Transfer"/>
    <s v="Retail"/>
    <x v="0"/>
  </r>
  <r>
    <n v="1047"/>
    <x v="89"/>
    <d v="2024-05-14T00:00:00"/>
    <x v="2"/>
    <s v="May"/>
    <x v="0"/>
    <x v="3"/>
    <n v="98117.021600000007"/>
    <n v="26"/>
    <x v="3"/>
    <n v="2978.93"/>
    <n v="4388.0600000000004"/>
    <n v="20664.841600000007"/>
    <s v="New"/>
    <n v="0.14000000000000001"/>
    <s v="Bank Transfer"/>
    <s v="Online"/>
    <x v="5"/>
  </r>
  <r>
    <n v="1020"/>
    <x v="68"/>
    <d v="2024-05-14T00:00:00"/>
    <x v="2"/>
    <s v="May"/>
    <x v="4"/>
    <x v="3"/>
    <n v="148739.58000000002"/>
    <n v="45"/>
    <x v="2"/>
    <n v="402.95"/>
    <n v="3843.4"/>
    <n v="130606.83000000002"/>
    <s v="Returning"/>
    <n v="0.14000000000000001"/>
    <s v="Cash"/>
    <s v="Retail"/>
    <x v="12"/>
  </r>
  <r>
    <n v="1049"/>
    <x v="297"/>
    <d v="2024-05-15T00:00:00"/>
    <x v="2"/>
    <s v="May"/>
    <x v="4"/>
    <x v="2"/>
    <n v="89608.550400000007"/>
    <n v="48"/>
    <x v="0"/>
    <n v="1249.4000000000001"/>
    <n v="2592.84"/>
    <n v="29637.350399999999"/>
    <s v="New"/>
    <n v="0.28000000000000003"/>
    <s v="Bank Transfer"/>
    <s v="Online"/>
    <x v="17"/>
  </r>
  <r>
    <n v="1004"/>
    <x v="334"/>
    <d v="2024-05-15T00:00:00"/>
    <x v="2"/>
    <s v="May"/>
    <x v="1"/>
    <x v="0"/>
    <n v="201936.64679999996"/>
    <n v="42"/>
    <x v="3"/>
    <n v="3876.49"/>
    <n v="5114.91"/>
    <n v="39124.066799999979"/>
    <s v="Returning"/>
    <n v="0.06"/>
    <s v="Credit Card"/>
    <s v="Online"/>
    <x v="10"/>
  </r>
  <r>
    <n v="1031"/>
    <x v="199"/>
    <d v="2024-05-15T00:00:00"/>
    <x v="2"/>
    <s v="May"/>
    <x v="0"/>
    <x v="1"/>
    <n v="167432.64000000001"/>
    <n v="46"/>
    <x v="0"/>
    <n v="924.13"/>
    <n v="4549.8"/>
    <n v="124922.66"/>
    <s v="New"/>
    <n v="0.2"/>
    <s v="Credit Card"/>
    <s v="Retail"/>
    <x v="19"/>
  </r>
  <r>
    <n v="1071"/>
    <x v="186"/>
    <d v="2024-05-16T00:00:00"/>
    <x v="2"/>
    <s v="May"/>
    <x v="1"/>
    <x v="1"/>
    <n v="28916.662499999999"/>
    <n v="15"/>
    <x v="1"/>
    <n v="1887.53"/>
    <n v="1947.25"/>
    <n v="603.71249999999918"/>
    <s v="Returning"/>
    <n v="0.01"/>
    <s v="Bank Transfer"/>
    <s v="Retail"/>
    <x v="1"/>
  </r>
  <r>
    <n v="1085"/>
    <x v="11"/>
    <d v="2024-05-16T00:00:00"/>
    <x v="2"/>
    <s v="May"/>
    <x v="3"/>
    <x v="3"/>
    <n v="128780.59"/>
    <n v="29"/>
    <x v="1"/>
    <n v="4369.62"/>
    <n v="4440.71"/>
    <n v="2061.6100000000042"/>
    <s v="Returning"/>
    <n v="0"/>
    <s v="Credit Card"/>
    <s v="Online"/>
    <x v="4"/>
  </r>
  <r>
    <n v="1014"/>
    <x v="187"/>
    <d v="2024-05-17T00:00:00"/>
    <x v="2"/>
    <s v="May"/>
    <x v="2"/>
    <x v="3"/>
    <n v="13756.502399999999"/>
    <n v="23"/>
    <x v="1"/>
    <n v="495.95"/>
    <n v="623.03"/>
    <n v="2349.6523999999995"/>
    <s v="New"/>
    <n v="0.04"/>
    <s v="Cash"/>
    <s v="Online"/>
    <x v="3"/>
  </r>
  <r>
    <n v="1098"/>
    <x v="30"/>
    <d v="2024-05-17T00:00:00"/>
    <x v="2"/>
    <s v="May"/>
    <x v="2"/>
    <x v="3"/>
    <n v="28110.42"/>
    <n v="20"/>
    <x v="3"/>
    <n v="165.72"/>
    <n v="1714.05"/>
    <n v="24796.019999999997"/>
    <s v="Returning"/>
    <n v="0.18"/>
    <s v="Cash"/>
    <s v="Retail"/>
    <x v="3"/>
  </r>
  <r>
    <n v="1099"/>
    <x v="168"/>
    <d v="2024-05-17T00:00:00"/>
    <x v="2"/>
    <s v="May"/>
    <x v="1"/>
    <x v="2"/>
    <n v="49258.680000000008"/>
    <n v="15"/>
    <x v="3"/>
    <n v="1547.8"/>
    <n v="4104.8900000000003"/>
    <n v="26041.680000000004"/>
    <s v="New"/>
    <n v="0.2"/>
    <s v="Cash"/>
    <s v="Online"/>
    <x v="15"/>
  </r>
  <r>
    <n v="1100"/>
    <x v="154"/>
    <d v="2024-05-17T00:00:00"/>
    <x v="2"/>
    <s v="May"/>
    <x v="0"/>
    <x v="3"/>
    <n v="101312.428"/>
    <n v="29"/>
    <x v="1"/>
    <n v="200.26"/>
    <n v="4990.76"/>
    <n v="95504.887999999992"/>
    <s v="New"/>
    <n v="0.3"/>
    <s v="Credit Card"/>
    <s v="Online"/>
    <x v="5"/>
  </r>
  <r>
    <n v="1024"/>
    <x v="207"/>
    <d v="2024-05-18T00:00:00"/>
    <x v="2"/>
    <s v="May"/>
    <x v="3"/>
    <x v="1"/>
    <n v="51451.3125"/>
    <n v="35"/>
    <x v="0"/>
    <n v="1368.52"/>
    <n v="1960.05"/>
    <n v="3553.1124999999975"/>
    <s v="New"/>
    <n v="0.25"/>
    <s v="Cash"/>
    <s v="Online"/>
    <x v="16"/>
  </r>
  <r>
    <n v="1079"/>
    <x v="271"/>
    <d v="2024-05-18T00:00:00"/>
    <x v="2"/>
    <s v="May"/>
    <x v="3"/>
    <x v="0"/>
    <n v="73318.176000000007"/>
    <n v="27"/>
    <x v="1"/>
    <n v="607.89"/>
    <n v="3394.36"/>
    <n v="56905.146000000008"/>
    <s v="New"/>
    <n v="0.2"/>
    <s v="Bank Transfer"/>
    <s v="Retail"/>
    <x v="11"/>
  </r>
  <r>
    <n v="1027"/>
    <x v="3"/>
    <d v="2024-05-19T00:00:00"/>
    <x v="2"/>
    <s v="May"/>
    <x v="4"/>
    <x v="1"/>
    <n v="6752.4749999999995"/>
    <n v="3"/>
    <x v="3"/>
    <n v="995.25"/>
    <n v="3001.1"/>
    <n v="3766.7249999999995"/>
    <s v="New"/>
    <n v="0.25"/>
    <s v="Credit Card"/>
    <s v="Retail"/>
    <x v="6"/>
  </r>
  <r>
    <n v="1096"/>
    <x v="179"/>
    <d v="2024-05-19T00:00:00"/>
    <x v="2"/>
    <s v="May"/>
    <x v="0"/>
    <x v="1"/>
    <n v="38748.746400000004"/>
    <n v="8"/>
    <x v="1"/>
    <n v="2739.52"/>
    <n v="5322.63"/>
    <n v="16832.586400000004"/>
    <s v="Returning"/>
    <n v="0.09"/>
    <s v="Cash"/>
    <s v="Retail"/>
    <x v="19"/>
  </r>
  <r>
    <n v="1026"/>
    <x v="314"/>
    <d v="2024-05-19T00:00:00"/>
    <x v="2"/>
    <s v="May"/>
    <x v="2"/>
    <x v="1"/>
    <n v="43014.849600000001"/>
    <n v="16"/>
    <x v="2"/>
    <n v="1096.3800000000001"/>
    <n v="3239.07"/>
    <n v="25472.7696"/>
    <s v="Returning"/>
    <n v="0.17"/>
    <s v="Cash"/>
    <s v="Retail"/>
    <x v="8"/>
  </r>
  <r>
    <n v="1025"/>
    <x v="155"/>
    <d v="2024-05-19T00:00:00"/>
    <x v="2"/>
    <s v="May"/>
    <x v="2"/>
    <x v="3"/>
    <n v="120761.3043"/>
    <n v="27"/>
    <x v="1"/>
    <n v="298.52999999999997"/>
    <n v="4610.97"/>
    <n v="112700.99430000002"/>
    <s v="Returning"/>
    <n v="0.03"/>
    <s v="Credit Card"/>
    <s v="Retail"/>
    <x v="3"/>
  </r>
  <r>
    <n v="1022"/>
    <x v="79"/>
    <d v="2024-05-20T00:00:00"/>
    <x v="2"/>
    <s v="May"/>
    <x v="3"/>
    <x v="2"/>
    <n v="26292.063999999998"/>
    <n v="17"/>
    <x v="3"/>
    <n v="1319.18"/>
    <n v="1819.52"/>
    <n v="3866.0039999999967"/>
    <s v="Returning"/>
    <n v="0.15"/>
    <s v="Cash"/>
    <s v="Online"/>
    <x v="9"/>
  </r>
  <r>
    <n v="1077"/>
    <x v="35"/>
    <d v="2024-05-20T00:00:00"/>
    <x v="2"/>
    <s v="May"/>
    <x v="2"/>
    <x v="3"/>
    <n v="183469.18590000001"/>
    <n v="47"/>
    <x v="0"/>
    <n v="3123.08"/>
    <n v="3943.03"/>
    <n v="36684.425900000017"/>
    <s v="Returning"/>
    <n v="0.01"/>
    <s v="Cash"/>
    <s v="Online"/>
    <x v="3"/>
  </r>
  <r>
    <n v="1010"/>
    <x v="29"/>
    <d v="2024-05-20T00:00:00"/>
    <x v="2"/>
    <s v="May"/>
    <x v="1"/>
    <x v="3"/>
    <n v="125433.6832"/>
    <n v="38"/>
    <x v="0"/>
    <n v="1929.34"/>
    <n v="3838.24"/>
    <n v="52118.763200000001"/>
    <s v="Returning"/>
    <n v="0.14000000000000001"/>
    <s v="Cash"/>
    <s v="Retail"/>
    <x v="7"/>
  </r>
  <r>
    <n v="1095"/>
    <x v="40"/>
    <d v="2024-05-21T00:00:00"/>
    <x v="2"/>
    <s v="May"/>
    <x v="1"/>
    <x v="0"/>
    <n v="16547.392000000003"/>
    <n v="8"/>
    <x v="1"/>
    <n v="1357.31"/>
    <n v="2585.5300000000002"/>
    <n v="5688.9120000000039"/>
    <s v="Returning"/>
    <n v="0.2"/>
    <s v="Cash"/>
    <s v="Online"/>
    <x v="10"/>
  </r>
  <r>
    <n v="1002"/>
    <x v="53"/>
    <d v="2024-05-21T00:00:00"/>
    <x v="2"/>
    <s v="May"/>
    <x v="3"/>
    <x v="1"/>
    <n v="17844.983999999997"/>
    <n v="5"/>
    <x v="0"/>
    <n v="567.12"/>
    <n v="4956.9399999999996"/>
    <n v="15009.383999999998"/>
    <s v="Returning"/>
    <n v="0.28000000000000003"/>
    <s v="Credit Card"/>
    <s v="Retail"/>
    <x v="16"/>
  </r>
  <r>
    <n v="1073"/>
    <x v="124"/>
    <d v="2024-05-22T00:00:00"/>
    <x v="2"/>
    <s v="May"/>
    <x v="3"/>
    <x v="2"/>
    <n v="70844.22"/>
    <n v="24"/>
    <x v="2"/>
    <n v="2392.91"/>
    <n v="3935.79"/>
    <n v="13414.379999999997"/>
    <s v="Returning"/>
    <n v="0.25"/>
    <s v="Cash"/>
    <s v="Retail"/>
    <x v="9"/>
  </r>
  <r>
    <n v="1048"/>
    <x v="364"/>
    <d v="2024-05-22T00:00:00"/>
    <x v="2"/>
    <s v="May"/>
    <x v="2"/>
    <x v="2"/>
    <n v="134408.96400000001"/>
    <n v="38"/>
    <x v="3"/>
    <n v="1254.5"/>
    <n v="4654.05"/>
    <n v="86737.963999999993"/>
    <s v="Returning"/>
    <n v="0.24"/>
    <s v="Cash"/>
    <s v="Online"/>
    <x v="14"/>
  </r>
  <r>
    <n v="1083"/>
    <x v="100"/>
    <d v="2024-05-22T00:00:00"/>
    <x v="2"/>
    <s v="May"/>
    <x v="3"/>
    <x v="3"/>
    <n v="148372.96320000003"/>
    <n v="33"/>
    <x v="3"/>
    <n v="360.16"/>
    <n v="4887.12"/>
    <n v="136487.68320000003"/>
    <s v="Returning"/>
    <n v="0.08"/>
    <s v="Credit Card"/>
    <s v="Retail"/>
    <x v="4"/>
  </r>
  <r>
    <n v="1028"/>
    <x v="171"/>
    <d v="2024-05-23T00:00:00"/>
    <x v="2"/>
    <s v="May"/>
    <x v="1"/>
    <x v="3"/>
    <n v="21705.851696211728"/>
    <n v="23"/>
    <x v="3"/>
    <n v="917.29"/>
    <n v="969.23"/>
    <n v="525.85130000000072"/>
    <s v="New"/>
    <n v="0.03"/>
    <s v="Cash"/>
    <s v="Retail"/>
    <x v="7"/>
  </r>
  <r>
    <n v="1015"/>
    <x v="91"/>
    <d v="2024-05-23T00:00:00"/>
    <x v="2"/>
    <s v="May"/>
    <x v="0"/>
    <x v="0"/>
    <n v="64200.591000000008"/>
    <n v="15"/>
    <x v="0"/>
    <n v="2882.1"/>
    <n v="4703.34"/>
    <n v="20969.091000000011"/>
    <s v="New"/>
    <n v="0.09"/>
    <s v="Credit Card"/>
    <s v="Online"/>
    <x v="0"/>
  </r>
  <r>
    <n v="1024"/>
    <x v="290"/>
    <d v="2024-05-23T00:00:00"/>
    <x v="2"/>
    <s v="May"/>
    <x v="4"/>
    <x v="2"/>
    <n v="62423.824799999995"/>
    <n v="37"/>
    <x v="2"/>
    <n v="1006.94"/>
    <n v="2376.2399999999998"/>
    <n v="25167.044799999989"/>
    <s v="New"/>
    <n v="0.28999999999999998"/>
    <s v="Credit Card"/>
    <s v="Retail"/>
    <x v="17"/>
  </r>
  <r>
    <n v="1003"/>
    <x v="66"/>
    <d v="2024-05-23T00:00:00"/>
    <x v="2"/>
    <s v="May"/>
    <x v="4"/>
    <x v="2"/>
    <n v="207074.70559999999"/>
    <n v="47"/>
    <x v="3"/>
    <n v="2942.88"/>
    <n v="4495.76"/>
    <n v="68759.345599999986"/>
    <s v="Returning"/>
    <n v="0.02"/>
    <s v="Bank Transfer"/>
    <s v="Online"/>
    <x v="17"/>
  </r>
  <r>
    <n v="1006"/>
    <x v="70"/>
    <d v="2024-05-24T00:00:00"/>
    <x v="2"/>
    <s v="May"/>
    <x v="3"/>
    <x v="1"/>
    <n v="91383.068700000003"/>
    <n v="23"/>
    <x v="3"/>
    <n v="3686.88"/>
    <n v="4566.87"/>
    <n v="6584.8286999999964"/>
    <s v="New"/>
    <n v="0.13"/>
    <s v="Bank Transfer"/>
    <s v="Retail"/>
    <x v="16"/>
  </r>
  <r>
    <n v="1011"/>
    <x v="236"/>
    <d v="2024-05-24T00:00:00"/>
    <x v="2"/>
    <s v="May"/>
    <x v="4"/>
    <x v="2"/>
    <n v="16266.609"/>
    <n v="5"/>
    <x v="2"/>
    <n v="1882"/>
    <n v="3353.94"/>
    <n v="6856.6090000000004"/>
    <s v="New"/>
    <n v="0.03"/>
    <s v="Cash"/>
    <s v="Retail"/>
    <x v="17"/>
  </r>
  <r>
    <n v="1081"/>
    <x v="85"/>
    <d v="2024-05-24T00:00:00"/>
    <x v="2"/>
    <s v="May"/>
    <x v="3"/>
    <x v="1"/>
    <n v="21218.968399999998"/>
    <n v="28"/>
    <x v="2"/>
    <n v="503.91"/>
    <n v="1038.1099999999999"/>
    <n v="7109.4883999999956"/>
    <s v="Returning"/>
    <n v="0.27"/>
    <s v="Cash"/>
    <s v="Retail"/>
    <x v="16"/>
  </r>
  <r>
    <n v="1051"/>
    <x v="118"/>
    <d v="2024-05-24T00:00:00"/>
    <x v="2"/>
    <s v="May"/>
    <x v="0"/>
    <x v="3"/>
    <n v="108439.49840000001"/>
    <n v="43"/>
    <x v="3"/>
    <n v="2236.2600000000002"/>
    <n v="2741.14"/>
    <n v="12280.3184"/>
    <s v="New"/>
    <n v="0.08"/>
    <s v="Bank Transfer"/>
    <s v="Online"/>
    <x v="5"/>
  </r>
  <r>
    <n v="1095"/>
    <x v="94"/>
    <d v="2024-05-24T00:00:00"/>
    <x v="2"/>
    <s v="May"/>
    <x v="0"/>
    <x v="3"/>
    <n v="86753.907000000007"/>
    <n v="30"/>
    <x v="2"/>
    <n v="327.49"/>
    <n v="3249.21"/>
    <n v="76929.207000000009"/>
    <s v="Returning"/>
    <n v="0.11"/>
    <s v="Cash"/>
    <s v="Retail"/>
    <x v="5"/>
  </r>
  <r>
    <n v="1085"/>
    <x v="34"/>
    <d v="2024-05-24T00:00:00"/>
    <x v="2"/>
    <s v="May"/>
    <x v="0"/>
    <x v="3"/>
    <n v="195919.1428"/>
    <n v="47"/>
    <x v="2"/>
    <n v="1672.35"/>
    <n v="4530.97"/>
    <n v="117318.6928"/>
    <s v="New"/>
    <n v="0.08"/>
    <s v="Cash"/>
    <s v="Online"/>
    <x v="5"/>
  </r>
  <r>
    <n v="1034"/>
    <x v="185"/>
    <d v="2024-05-25T00:00:00"/>
    <x v="2"/>
    <s v="May"/>
    <x v="1"/>
    <x v="1"/>
    <n v="60578.111999999994"/>
    <n v="12"/>
    <x v="1"/>
    <n v="4828.46"/>
    <n v="5370.4"/>
    <n v="2636.5919999999933"/>
    <s v="New"/>
    <n v="0.06"/>
    <s v="Credit Card"/>
    <s v="Online"/>
    <x v="1"/>
  </r>
  <r>
    <n v="1006"/>
    <x v="70"/>
    <d v="2024-05-25T00:00:00"/>
    <x v="2"/>
    <s v="May"/>
    <x v="4"/>
    <x v="0"/>
    <n v="28958.201999999997"/>
    <n v="15"/>
    <x v="3"/>
    <n v="1376.98"/>
    <n v="2719.08"/>
    <n v="8303.5019999999968"/>
    <s v="Returning"/>
    <n v="0.28999999999999998"/>
    <s v="Cash"/>
    <s v="Online"/>
    <x v="13"/>
  </r>
  <r>
    <n v="1065"/>
    <x v="310"/>
    <d v="2024-05-25T00:00:00"/>
    <x v="2"/>
    <s v="May"/>
    <x v="4"/>
    <x v="2"/>
    <n v="21134.2248"/>
    <n v="6"/>
    <x v="3"/>
    <n v="484.73"/>
    <n v="4095.78"/>
    <n v="18225.844799999999"/>
    <s v="New"/>
    <n v="0.14000000000000001"/>
    <s v="Bank Transfer"/>
    <s v="Online"/>
    <x v="17"/>
  </r>
  <r>
    <n v="1005"/>
    <x v="300"/>
    <d v="2024-05-25T00:00:00"/>
    <x v="2"/>
    <s v="May"/>
    <x v="2"/>
    <x v="3"/>
    <n v="89991.064800000007"/>
    <n v="28"/>
    <x v="0"/>
    <n v="1865.4"/>
    <n v="3967.86"/>
    <n v="37759.864800000003"/>
    <s v="New"/>
    <n v="0.19"/>
    <s v="Bank Transfer"/>
    <s v="Online"/>
    <x v="3"/>
  </r>
  <r>
    <n v="1051"/>
    <x v="213"/>
    <d v="2024-05-25T00:00:00"/>
    <x v="2"/>
    <s v="May"/>
    <x v="3"/>
    <x v="0"/>
    <n v="98392.773599999986"/>
    <n v="27"/>
    <x v="0"/>
    <n v="1944.44"/>
    <n v="4141.1099999999997"/>
    <n v="45892.893599999989"/>
    <s v="New"/>
    <n v="0.12"/>
    <s v="Cash"/>
    <s v="Retail"/>
    <x v="11"/>
  </r>
  <r>
    <n v="1042"/>
    <x v="397"/>
    <d v="2024-05-27T00:00:00"/>
    <x v="2"/>
    <s v="May"/>
    <x v="0"/>
    <x v="1"/>
    <n v="56220.460000000006"/>
    <n v="25"/>
    <x v="1"/>
    <n v="1993.19"/>
    <n v="2392.36"/>
    <n v="6390.7100000000009"/>
    <s v="Returning"/>
    <n v="0.06"/>
    <s v="Credit Card"/>
    <s v="Retail"/>
    <x v="19"/>
  </r>
  <r>
    <n v="1083"/>
    <x v="100"/>
    <d v="2024-05-27T00:00:00"/>
    <x v="2"/>
    <s v="May"/>
    <x v="3"/>
    <x v="2"/>
    <n v="54522.397067365338"/>
    <n v="22"/>
    <x v="3"/>
    <n v="1983.76"/>
    <n v="2606.17"/>
    <n v="10826.233"/>
    <s v="New"/>
    <n v="0.05"/>
    <s v="Cash"/>
    <s v="Retail"/>
    <x v="9"/>
  </r>
  <r>
    <n v="1036"/>
    <x v="242"/>
    <d v="2024-05-27T00:00:00"/>
    <x v="2"/>
    <s v="May"/>
    <x v="3"/>
    <x v="3"/>
    <n v="103267.06155515698"/>
    <n v="22"/>
    <x v="1"/>
    <n v="3826.34"/>
    <n v="4856.3999999999996"/>
    <n v="19456.09599999999"/>
    <s v="Returning"/>
    <n v="0.03"/>
    <s v="Cash"/>
    <s v="Online"/>
    <x v="4"/>
  </r>
  <r>
    <n v="1022"/>
    <x v="116"/>
    <d v="2024-05-27T00:00:00"/>
    <x v="2"/>
    <s v="May"/>
    <x v="0"/>
    <x v="1"/>
    <n v="142822.55088952789"/>
    <n v="42"/>
    <x v="0"/>
    <n v="2566.91"/>
    <n v="3427.94"/>
    <n v="34723.525200000011"/>
    <s v="New"/>
    <n v="0.01"/>
    <s v="Bank Transfer"/>
    <s v="Online"/>
    <x v="19"/>
  </r>
  <r>
    <n v="1076"/>
    <x v="321"/>
    <d v="2024-05-27T00:00:00"/>
    <x v="2"/>
    <s v="May"/>
    <x v="4"/>
    <x v="0"/>
    <n v="172284.23520000002"/>
    <n v="48"/>
    <x v="0"/>
    <n v="1098.03"/>
    <n v="3625.51"/>
    <n v="119578.79520000001"/>
    <s v="Returning"/>
    <n v="0.01"/>
    <s v="Credit Card"/>
    <s v="Online"/>
    <x v="13"/>
  </r>
  <r>
    <n v="1076"/>
    <x v="142"/>
    <d v="2024-05-27T00:00:00"/>
    <x v="2"/>
    <s v="May"/>
    <x v="3"/>
    <x v="1"/>
    <n v="183201.8958"/>
    <n v="49"/>
    <x v="2"/>
    <n v="1033.5"/>
    <n v="4615.82"/>
    <n v="132560.3958"/>
    <s v="Returning"/>
    <n v="0.19"/>
    <s v="Credit Card"/>
    <s v="Online"/>
    <x v="16"/>
  </r>
  <r>
    <n v="1046"/>
    <x v="263"/>
    <d v="2024-05-28T00:00:00"/>
    <x v="2"/>
    <s v="May"/>
    <x v="0"/>
    <x v="0"/>
    <n v="157406.15641142635"/>
    <n v="32"/>
    <x v="0"/>
    <n v="4865.01"/>
    <n v="4933.6499999999996"/>
    <n v="2196.4799999999814"/>
    <s v="New"/>
    <n v="0"/>
    <s v="Credit Card"/>
    <s v="Retail"/>
    <x v="0"/>
  </r>
  <r>
    <n v="1075"/>
    <x v="28"/>
    <d v="2024-05-28T00:00:00"/>
    <x v="2"/>
    <s v="May"/>
    <x v="1"/>
    <x v="1"/>
    <n v="156266.45554768448"/>
    <n v="42"/>
    <x v="0"/>
    <n v="3671.38"/>
    <n v="3821.39"/>
    <n v="1485.4685999999847"/>
    <s v="Returning"/>
    <n v="0.03"/>
    <s v="Cash"/>
    <s v="Online"/>
    <x v="1"/>
  </r>
  <r>
    <n v="1039"/>
    <x v="113"/>
    <d v="2024-05-28T00:00:00"/>
    <x v="2"/>
    <s v="May"/>
    <x v="3"/>
    <x v="0"/>
    <n v="48976.937099999996"/>
    <n v="17"/>
    <x v="2"/>
    <n v="2556.69"/>
    <n v="3165.93"/>
    <n v="5513.207099999996"/>
    <s v="New"/>
    <n v="0.09"/>
    <s v="Cash"/>
    <s v="Online"/>
    <x v="11"/>
  </r>
  <r>
    <n v="1063"/>
    <x v="33"/>
    <d v="2024-05-28T00:00:00"/>
    <x v="2"/>
    <s v="May"/>
    <x v="3"/>
    <x v="1"/>
    <n v="17097.664000000001"/>
    <n v="8"/>
    <x v="1"/>
    <n v="959.62"/>
    <n v="2671.51"/>
    <n v="9420.7040000000015"/>
    <s v="New"/>
    <n v="0.2"/>
    <s v="Cash"/>
    <s v="Retail"/>
    <x v="16"/>
  </r>
  <r>
    <n v="1041"/>
    <x v="143"/>
    <d v="2024-05-28T00:00:00"/>
    <x v="2"/>
    <s v="May"/>
    <x v="3"/>
    <x v="3"/>
    <n v="168779.61320000002"/>
    <n v="47"/>
    <x v="0"/>
    <n v="3329.06"/>
    <n v="4545.6400000000003"/>
    <n v="12313.793200000031"/>
    <s v="Returning"/>
    <n v="0.21"/>
    <s v="Credit Card"/>
    <s v="Online"/>
    <x v="4"/>
  </r>
  <r>
    <n v="1018"/>
    <x v="219"/>
    <d v="2024-05-28T00:00:00"/>
    <x v="2"/>
    <s v="May"/>
    <x v="0"/>
    <x v="1"/>
    <n v="122458.45300000001"/>
    <n v="43"/>
    <x v="1"/>
    <n v="646.51"/>
    <n v="3029.65"/>
    <n v="94658.523000000001"/>
    <s v="Returning"/>
    <n v="0.06"/>
    <s v="Credit Card"/>
    <s v="Retail"/>
    <x v="19"/>
  </r>
  <r>
    <n v="1038"/>
    <x v="166"/>
    <d v="2024-05-29T00:00:00"/>
    <x v="2"/>
    <s v="May"/>
    <x v="1"/>
    <x v="0"/>
    <n v="130246.0992"/>
    <n v="42"/>
    <x v="3"/>
    <n v="3045.74"/>
    <n v="3925.44"/>
    <n v="2325.0192000000116"/>
    <s v="Returning"/>
    <n v="0.21"/>
    <s v="Bank Transfer"/>
    <s v="Retail"/>
    <x v="10"/>
  </r>
  <r>
    <n v="1090"/>
    <x v="55"/>
    <d v="2024-05-29T00:00:00"/>
    <x v="2"/>
    <s v="May"/>
    <x v="4"/>
    <x v="0"/>
    <n v="122572.962"/>
    <n v="45"/>
    <x v="3"/>
    <n v="2031.71"/>
    <n v="3167.26"/>
    <n v="31146.012000000006"/>
    <s v="Returning"/>
    <n v="0.14000000000000001"/>
    <s v="Cash"/>
    <s v="Online"/>
    <x v="13"/>
  </r>
  <r>
    <n v="1001"/>
    <x v="212"/>
    <d v="2024-05-29T00:00:00"/>
    <x v="2"/>
    <s v="May"/>
    <x v="4"/>
    <x v="3"/>
    <n v="128992.2525"/>
    <n v="41"/>
    <x v="3"/>
    <n v="2175.5500000000002"/>
    <n v="4194.87"/>
    <n v="39794.702499999999"/>
    <s v="New"/>
    <n v="0.25"/>
    <s v="Credit Card"/>
    <s v="Retail"/>
    <x v="12"/>
  </r>
  <r>
    <n v="1024"/>
    <x v="207"/>
    <d v="2024-05-30T00:00:00"/>
    <x v="2"/>
    <s v="May"/>
    <x v="2"/>
    <x v="1"/>
    <n v="36778.414400000001"/>
    <n v="37"/>
    <x v="0"/>
    <n v="87.13"/>
    <n v="1092.32"/>
    <n v="33554.604400000004"/>
    <s v="New"/>
    <n v="0.09"/>
    <s v="Cash"/>
    <s v="Online"/>
    <x v="8"/>
  </r>
  <r>
    <n v="1006"/>
    <x v="299"/>
    <d v="2024-05-30T00:00:00"/>
    <x v="2"/>
    <s v="May"/>
    <x v="3"/>
    <x v="3"/>
    <n v="156913.26300000001"/>
    <n v="37"/>
    <x v="0"/>
    <n v="786.13"/>
    <n v="5437.05"/>
    <n v="127826.45300000001"/>
    <s v="New"/>
    <n v="0.22"/>
    <s v="Cash"/>
    <s v="Retail"/>
    <x v="4"/>
  </r>
  <r>
    <n v="1016"/>
    <x v="259"/>
    <d v="2024-05-31T00:00:00"/>
    <x v="2"/>
    <s v="May"/>
    <x v="3"/>
    <x v="0"/>
    <n v="150070.57799999998"/>
    <n v="41"/>
    <x v="0"/>
    <n v="1271.77"/>
    <n v="4357.45"/>
    <n v="97928.007999999987"/>
    <s v="Returning"/>
    <n v="0.16"/>
    <s v="Credit Card"/>
    <s v="Online"/>
    <x v="11"/>
  </r>
  <r>
    <n v="1020"/>
    <x v="341"/>
    <d v="2024-05-31T00:00:00"/>
    <x v="2"/>
    <s v="May"/>
    <x v="2"/>
    <x v="3"/>
    <n v="130997.00600000002"/>
    <n v="35"/>
    <x v="0"/>
    <n v="536.08000000000004"/>
    <n v="4352.0600000000004"/>
    <n v="112234.20600000002"/>
    <s v="New"/>
    <n v="0.14000000000000001"/>
    <s v="Cash"/>
    <s v="Retail"/>
    <x v="3"/>
  </r>
  <r>
    <n v="1055"/>
    <x v="312"/>
    <d v="2024-06-01T00:00:00"/>
    <x v="2"/>
    <s v="Jun"/>
    <x v="0"/>
    <x v="3"/>
    <n v="71991.170999999988"/>
    <n v="19"/>
    <x v="3"/>
    <n v="1361.51"/>
    <n v="5412.87"/>
    <n v="46122.481"/>
    <s v="New"/>
    <n v="0.3"/>
    <s v="Bank Transfer"/>
    <s v="Online"/>
    <x v="5"/>
  </r>
  <r>
    <n v="1087"/>
    <x v="258"/>
    <d v="2024-06-02T00:00:00"/>
    <x v="2"/>
    <s v="Jun"/>
    <x v="3"/>
    <x v="1"/>
    <n v="115200.94559999999"/>
    <n v="39"/>
    <x v="3"/>
    <n v="2871.55"/>
    <n v="3558.88"/>
    <n v="3210.4955999999847"/>
    <s v="Returning"/>
    <n v="0.17"/>
    <s v="Credit Card"/>
    <s v="Retail"/>
    <x v="16"/>
  </r>
  <r>
    <n v="1095"/>
    <x v="40"/>
    <d v="2024-06-03T00:00:00"/>
    <x v="2"/>
    <s v="Jun"/>
    <x v="1"/>
    <x v="0"/>
    <n v="72992.934310821569"/>
    <n v="34"/>
    <x v="1"/>
    <n v="2132.36"/>
    <n v="2244.64"/>
    <n v="764.80959999998595"/>
    <s v="New"/>
    <n v="0.04"/>
    <s v="Cash"/>
    <s v="Retail"/>
    <x v="10"/>
  </r>
  <r>
    <n v="1100"/>
    <x v="343"/>
    <d v="2024-06-03T00:00:00"/>
    <x v="2"/>
    <s v="Jun"/>
    <x v="4"/>
    <x v="0"/>
    <n v="4740.1610000000001"/>
    <n v="2"/>
    <x v="3"/>
    <n v="663.94"/>
    <n v="2788.33"/>
    <n v="3412.2809999999999"/>
    <s v="New"/>
    <n v="0.15"/>
    <s v="Cash"/>
    <s v="Retail"/>
    <x v="13"/>
  </r>
  <r>
    <n v="1098"/>
    <x v="326"/>
    <d v="2024-06-03T00:00:00"/>
    <x v="2"/>
    <s v="Jun"/>
    <x v="1"/>
    <x v="3"/>
    <n v="102442.6305"/>
    <n v="29"/>
    <x v="0"/>
    <n v="1387.3"/>
    <n v="4060.35"/>
    <n v="62210.930499999995"/>
    <s v="Returning"/>
    <n v="0.13"/>
    <s v="Cash"/>
    <s v="Online"/>
    <x v="7"/>
  </r>
  <r>
    <n v="1032"/>
    <x v="311"/>
    <d v="2024-06-04T00:00:00"/>
    <x v="2"/>
    <s v="Jun"/>
    <x v="2"/>
    <x v="3"/>
    <n v="13930.423433837528"/>
    <n v="3"/>
    <x v="1"/>
    <n v="4221.82"/>
    <n v="4644.55"/>
    <n v="1268.1900000000014"/>
    <s v="New"/>
    <n v="0"/>
    <s v="Cash"/>
    <s v="Online"/>
    <x v="3"/>
  </r>
  <r>
    <n v="1071"/>
    <x v="186"/>
    <d v="2024-06-04T00:00:00"/>
    <x v="2"/>
    <s v="Jun"/>
    <x v="4"/>
    <x v="2"/>
    <n v="8519.6009999999987"/>
    <n v="3"/>
    <x v="1"/>
    <n v="436.73"/>
    <n v="3341.02"/>
    <n v="7209.4109999999991"/>
    <s v="New"/>
    <n v="0.15"/>
    <s v="Credit Card"/>
    <s v="Online"/>
    <x v="17"/>
  </r>
  <r>
    <n v="1011"/>
    <x v="236"/>
    <d v="2024-06-04T00:00:00"/>
    <x v="2"/>
    <s v="Jun"/>
    <x v="1"/>
    <x v="2"/>
    <n v="173508.72000000003"/>
    <n v="50"/>
    <x v="2"/>
    <n v="3077.79"/>
    <n v="3943.38"/>
    <n v="19619.220000000019"/>
    <s v="Returning"/>
    <n v="0.12"/>
    <s v="Bank Transfer"/>
    <s v="Online"/>
    <x v="15"/>
  </r>
  <r>
    <n v="1058"/>
    <x v="289"/>
    <d v="2024-06-04T00:00:00"/>
    <x v="2"/>
    <s v="Jun"/>
    <x v="0"/>
    <x v="0"/>
    <n v="68847.866999999998"/>
    <n v="15"/>
    <x v="1"/>
    <n v="1419.17"/>
    <n v="4636.22"/>
    <n v="47560.316999999995"/>
    <s v="Returning"/>
    <n v="0.01"/>
    <s v="Bank Transfer"/>
    <s v="Retail"/>
    <x v="0"/>
  </r>
  <r>
    <n v="1029"/>
    <x v="203"/>
    <d v="2024-06-05T00:00:00"/>
    <x v="2"/>
    <s v="Jun"/>
    <x v="2"/>
    <x v="1"/>
    <n v="103554.48040009357"/>
    <n v="26"/>
    <x v="0"/>
    <n v="3792.81"/>
    <n v="4036.8"/>
    <n v="5294.1720000000078"/>
    <s v="New"/>
    <n v="0.01"/>
    <s v="Credit Card"/>
    <s v="Online"/>
    <x v="8"/>
  </r>
  <r>
    <n v="1095"/>
    <x v="40"/>
    <d v="2024-06-05T00:00:00"/>
    <x v="2"/>
    <s v="Jun"/>
    <x v="0"/>
    <x v="3"/>
    <n v="31236.948799999998"/>
    <n v="41"/>
    <x v="1"/>
    <n v="637.51"/>
    <n v="785.44"/>
    <n v="5099.0388000000003"/>
    <s v="Returning"/>
    <n v="0.03"/>
    <s v="Cash"/>
    <s v="Retail"/>
    <x v="5"/>
  </r>
  <r>
    <n v="1027"/>
    <x v="182"/>
    <d v="2024-06-06T00:00:00"/>
    <x v="2"/>
    <s v="Jun"/>
    <x v="4"/>
    <x v="2"/>
    <n v="62068.564799999993"/>
    <n v="16"/>
    <x v="2"/>
    <n v="3226.55"/>
    <n v="3918.47"/>
    <n v="10443.76479999999"/>
    <s v="Returning"/>
    <n v="0.01"/>
    <s v="Cash"/>
    <s v="Online"/>
    <x v="17"/>
  </r>
  <r>
    <n v="1002"/>
    <x v="53"/>
    <d v="2024-06-06T00:00:00"/>
    <x v="2"/>
    <s v="Jun"/>
    <x v="3"/>
    <x v="0"/>
    <n v="73798.084799999997"/>
    <n v="27"/>
    <x v="0"/>
    <n v="1670.27"/>
    <n v="3105.98"/>
    <n v="28700.794800000003"/>
    <s v="Returning"/>
    <n v="0.12"/>
    <s v="Credit Card"/>
    <s v="Online"/>
    <x v="11"/>
  </r>
  <r>
    <n v="1093"/>
    <x v="10"/>
    <d v="2024-06-06T00:00:00"/>
    <x v="2"/>
    <s v="Jun"/>
    <x v="2"/>
    <x v="0"/>
    <n v="75109.007400000002"/>
    <n v="42"/>
    <x v="2"/>
    <n v="407.53"/>
    <n v="2154.59"/>
    <n v="57992.7474"/>
    <s v="Returning"/>
    <n v="0.17"/>
    <s v="Credit Card"/>
    <s v="Retail"/>
    <x v="18"/>
  </r>
  <r>
    <n v="1001"/>
    <x v="292"/>
    <d v="2024-06-07T00:00:00"/>
    <x v="2"/>
    <s v="Jun"/>
    <x v="4"/>
    <x v="3"/>
    <n v="3871.2978000000003"/>
    <n v="1"/>
    <x v="1"/>
    <n v="3633.26"/>
    <n v="4779.38"/>
    <n v="238.03780000000006"/>
    <s v="Returning"/>
    <n v="0.19"/>
    <s v="Bank Transfer"/>
    <s v="Retail"/>
    <x v="12"/>
  </r>
  <r>
    <n v="1096"/>
    <x v="196"/>
    <d v="2024-06-07T00:00:00"/>
    <x v="2"/>
    <s v="Jun"/>
    <x v="0"/>
    <x v="1"/>
    <n v="184525.7568"/>
    <n v="42"/>
    <x v="3"/>
    <n v="3615.22"/>
    <n v="4992.58"/>
    <n v="32686.516800000016"/>
    <s v="New"/>
    <n v="0.12"/>
    <s v="Bank Transfer"/>
    <s v="Online"/>
    <x v="19"/>
  </r>
  <r>
    <n v="1034"/>
    <x v="139"/>
    <d v="2024-06-07T00:00:00"/>
    <x v="2"/>
    <s v="Jun"/>
    <x v="3"/>
    <x v="1"/>
    <n v="167718.44699999999"/>
    <n v="37"/>
    <x v="3"/>
    <n v="2824.21"/>
    <n v="5332.86"/>
    <n v="63222.676999999981"/>
    <s v="New"/>
    <n v="0.15"/>
    <s v="Bank Transfer"/>
    <s v="Retail"/>
    <x v="16"/>
  </r>
  <r>
    <n v="1079"/>
    <x v="244"/>
    <d v="2024-06-08T00:00:00"/>
    <x v="2"/>
    <s v="Jun"/>
    <x v="4"/>
    <x v="1"/>
    <n v="36638.648200000003"/>
    <n v="17"/>
    <x v="3"/>
    <n v="1038.55"/>
    <n v="2798.98"/>
    <n v="18983.298200000005"/>
    <s v="New"/>
    <n v="0.23"/>
    <s v="Bank Transfer"/>
    <s v="Retail"/>
    <x v="6"/>
  </r>
  <r>
    <n v="1022"/>
    <x v="356"/>
    <d v="2024-06-08T00:00:00"/>
    <x v="2"/>
    <s v="Jun"/>
    <x v="3"/>
    <x v="0"/>
    <n v="144730.9546"/>
    <n v="46"/>
    <x v="1"/>
    <n v="1269.51"/>
    <n v="3982.69"/>
    <n v="86333.494600000005"/>
    <s v="Returning"/>
    <n v="0.21"/>
    <s v="Credit Card"/>
    <s v="Retail"/>
    <x v="11"/>
  </r>
  <r>
    <n v="1069"/>
    <x v="302"/>
    <d v="2024-06-09T00:00:00"/>
    <x v="2"/>
    <s v="Jun"/>
    <x v="3"/>
    <x v="3"/>
    <n v="39097.432511733517"/>
    <n v="9"/>
    <x v="2"/>
    <n v="4264.75"/>
    <n v="4353.45"/>
    <n v="798.29999999999836"/>
    <s v="Returning"/>
    <n v="0"/>
    <s v="Cash"/>
    <s v="Online"/>
    <x v="4"/>
  </r>
  <r>
    <n v="1091"/>
    <x v="36"/>
    <d v="2024-06-09T00:00:00"/>
    <x v="2"/>
    <s v="Jun"/>
    <x v="4"/>
    <x v="2"/>
    <n v="6372.4182000000001"/>
    <n v="2"/>
    <x v="2"/>
    <n v="2763.91"/>
    <n v="4364.67"/>
    <n v="844.59820000000036"/>
    <s v="Returning"/>
    <n v="0.27"/>
    <s v="Bank Transfer"/>
    <s v="Retail"/>
    <x v="17"/>
  </r>
  <r>
    <n v="1023"/>
    <x v="383"/>
    <d v="2024-06-09T00:00:00"/>
    <x v="2"/>
    <s v="Jun"/>
    <x v="1"/>
    <x v="3"/>
    <n v="89827.971999999994"/>
    <n v="46"/>
    <x v="3"/>
    <n v="674.48"/>
    <n v="2055.56"/>
    <n v="58801.891999999993"/>
    <s v="Returning"/>
    <n v="0.05"/>
    <s v="Bank Transfer"/>
    <s v="Online"/>
    <x v="7"/>
  </r>
  <r>
    <n v="1023"/>
    <x v="373"/>
    <d v="2024-06-09T00:00:00"/>
    <x v="2"/>
    <s v="Jun"/>
    <x v="1"/>
    <x v="1"/>
    <n v="94843.819199999998"/>
    <n v="24"/>
    <x v="1"/>
    <n v="405.56"/>
    <n v="4204.07"/>
    <n v="85110.379199999996"/>
    <s v="New"/>
    <n v="0.06"/>
    <s v="Credit Card"/>
    <s v="Retail"/>
    <x v="1"/>
  </r>
  <r>
    <n v="1018"/>
    <x v="320"/>
    <d v="2024-06-09T00:00:00"/>
    <x v="2"/>
    <s v="Jun"/>
    <x v="3"/>
    <x v="3"/>
    <n v="150773.64120000001"/>
    <n v="42"/>
    <x v="0"/>
    <n v="1173.99"/>
    <n v="4602.37"/>
    <n v="101466.06120000003"/>
    <s v="Returning"/>
    <n v="0.22"/>
    <s v="Bank Transfer"/>
    <s v="Online"/>
    <x v="4"/>
  </r>
  <r>
    <n v="1070"/>
    <x v="62"/>
    <d v="2024-06-10T00:00:00"/>
    <x v="2"/>
    <s v="Jun"/>
    <x v="1"/>
    <x v="3"/>
    <n v="120979.58330036524"/>
    <n v="30"/>
    <x v="0"/>
    <n v="3984.48"/>
    <n v="4048.21"/>
    <n v="1911.9000000000005"/>
    <s v="Returning"/>
    <n v="0"/>
    <s v="Credit Card"/>
    <s v="Retail"/>
    <x v="7"/>
  </r>
  <r>
    <n v="1088"/>
    <x v="96"/>
    <d v="2024-06-10T00:00:00"/>
    <x v="2"/>
    <s v="Jun"/>
    <x v="2"/>
    <x v="2"/>
    <n v="108198.56192387035"/>
    <n v="42"/>
    <x v="2"/>
    <n v="2394.31"/>
    <n v="2681.19"/>
    <n v="7544.5607999999984"/>
    <s v="Returning"/>
    <n v="0.04"/>
    <s v="Credit Card"/>
    <s v="Online"/>
    <x v="14"/>
  </r>
  <r>
    <n v="1006"/>
    <x v="347"/>
    <d v="2024-06-10T00:00:00"/>
    <x v="2"/>
    <s v="Jun"/>
    <x v="2"/>
    <x v="3"/>
    <n v="12636.8228"/>
    <n v="7"/>
    <x v="2"/>
    <n v="407.22"/>
    <n v="2099.14"/>
    <n v="9786.282799999999"/>
    <s v="Returning"/>
    <n v="0.14000000000000001"/>
    <s v="Bank Transfer"/>
    <s v="Retail"/>
    <x v="3"/>
  </r>
  <r>
    <n v="1094"/>
    <x v="20"/>
    <d v="2024-06-10T00:00:00"/>
    <x v="2"/>
    <s v="Jun"/>
    <x v="2"/>
    <x v="2"/>
    <n v="57393.757374034343"/>
    <n v="24"/>
    <x v="2"/>
    <n v="1916.55"/>
    <n v="2506.12"/>
    <n v="11142.335999999998"/>
    <s v="Returning"/>
    <n v="0.05"/>
    <s v="Cash"/>
    <s v="Online"/>
    <x v="14"/>
  </r>
  <r>
    <n v="1024"/>
    <x v="140"/>
    <d v="2024-06-10T00:00:00"/>
    <x v="2"/>
    <s v="Jun"/>
    <x v="4"/>
    <x v="3"/>
    <n v="39787.159500000002"/>
    <n v="9"/>
    <x v="3"/>
    <n v="2632.86"/>
    <n v="4465.45"/>
    <n v="16091.4195"/>
    <s v="Returning"/>
    <n v="0.01"/>
    <s v="Cash"/>
    <s v="Online"/>
    <x v="12"/>
  </r>
  <r>
    <n v="1004"/>
    <x v="211"/>
    <d v="2024-06-11T00:00:00"/>
    <x v="2"/>
    <s v="Jun"/>
    <x v="0"/>
    <x v="3"/>
    <n v="120205.1597"/>
    <n v="37"/>
    <x v="0"/>
    <n v="2205.11"/>
    <n v="4112.3900000000003"/>
    <n v="38616.089700000004"/>
    <s v="Returning"/>
    <n v="0.21"/>
    <s v="Credit Card"/>
    <s v="Retail"/>
    <x v="5"/>
  </r>
  <r>
    <n v="1076"/>
    <x v="142"/>
    <d v="2024-06-11T00:00:00"/>
    <x v="2"/>
    <s v="Jun"/>
    <x v="3"/>
    <x v="2"/>
    <n v="123332.736"/>
    <n v="48"/>
    <x v="2"/>
    <n v="899.68"/>
    <n v="3211.79"/>
    <n v="80148.09600000002"/>
    <s v="Returning"/>
    <n v="0.2"/>
    <s v="Bank Transfer"/>
    <s v="Online"/>
    <x v="9"/>
  </r>
  <r>
    <n v="1008"/>
    <x v="95"/>
    <d v="2024-06-12T00:00:00"/>
    <x v="2"/>
    <s v="Jun"/>
    <x v="2"/>
    <x v="1"/>
    <n v="5035.8204000000005"/>
    <n v="6"/>
    <x v="1"/>
    <n v="399.7"/>
    <n v="1076.03"/>
    <n v="2637.6204000000002"/>
    <s v="New"/>
    <n v="0.22"/>
    <s v="Bank Transfer"/>
    <s v="Online"/>
    <x v="8"/>
  </r>
  <r>
    <n v="1073"/>
    <x v="124"/>
    <d v="2024-06-12T00:00:00"/>
    <x v="2"/>
    <s v="Jun"/>
    <x v="3"/>
    <x v="1"/>
    <n v="7307.8499999999995"/>
    <n v="2"/>
    <x v="2"/>
    <n v="347.37"/>
    <n v="4248.75"/>
    <n v="6613.11"/>
    <s v="New"/>
    <n v="0.14000000000000001"/>
    <s v="Credit Card"/>
    <s v="Online"/>
    <x v="16"/>
  </r>
  <r>
    <n v="1029"/>
    <x v="152"/>
    <d v="2024-06-12T00:00:00"/>
    <x v="2"/>
    <s v="Jun"/>
    <x v="2"/>
    <x v="0"/>
    <n v="15592.623200000002"/>
    <n v="7"/>
    <x v="3"/>
    <n v="656.07"/>
    <n v="2892.88"/>
    <n v="11000.1332"/>
    <s v="Returning"/>
    <n v="0.23"/>
    <s v="Credit Card"/>
    <s v="Online"/>
    <x v="18"/>
  </r>
  <r>
    <n v="1083"/>
    <x v="131"/>
    <d v="2024-06-12T00:00:00"/>
    <x v="2"/>
    <s v="Jun"/>
    <x v="3"/>
    <x v="1"/>
    <n v="28889.567999999999"/>
    <n v="24"/>
    <x v="0"/>
    <n v="210.39"/>
    <n v="1337.48"/>
    <n v="23840.207999999999"/>
    <s v="New"/>
    <n v="0.1"/>
    <s v="Cash"/>
    <s v="Online"/>
    <x v="16"/>
  </r>
  <r>
    <n v="1081"/>
    <x v="57"/>
    <d v="2024-06-12T00:00:00"/>
    <x v="2"/>
    <s v="Jun"/>
    <x v="4"/>
    <x v="0"/>
    <n v="60789.160799999991"/>
    <n v="27"/>
    <x v="1"/>
    <n v="1019.87"/>
    <n v="2395.16"/>
    <n v="33252.670799999993"/>
    <s v="Returning"/>
    <n v="0.06"/>
    <s v="Credit Card"/>
    <s v="Retail"/>
    <x v="13"/>
  </r>
  <r>
    <n v="1030"/>
    <x v="195"/>
    <d v="2024-06-13T00:00:00"/>
    <x v="2"/>
    <s v="Jun"/>
    <x v="1"/>
    <x v="0"/>
    <n v="52971.814700000003"/>
    <n v="29"/>
    <x v="3"/>
    <n v="1773.87"/>
    <n v="2312.17"/>
    <n v="1529.5847000000085"/>
    <s v="Returning"/>
    <n v="0.21"/>
    <s v="Bank Transfer"/>
    <s v="Online"/>
    <x v="10"/>
  </r>
  <r>
    <n v="1021"/>
    <x v="110"/>
    <d v="2024-06-13T00:00:00"/>
    <x v="2"/>
    <s v="Jun"/>
    <x v="1"/>
    <x v="3"/>
    <n v="53158.200000000004"/>
    <n v="38"/>
    <x v="0"/>
    <n v="826.17"/>
    <n v="1865.2"/>
    <n v="21763.740000000005"/>
    <s v="New"/>
    <n v="0.25"/>
    <s v="Credit Card"/>
    <s v="Online"/>
    <x v="7"/>
  </r>
  <r>
    <n v="1050"/>
    <x v="228"/>
    <d v="2024-06-13T00:00:00"/>
    <x v="2"/>
    <s v="Jun"/>
    <x v="4"/>
    <x v="3"/>
    <n v="193779.82914476693"/>
    <n v="47"/>
    <x v="2"/>
    <n v="3417.04"/>
    <n v="4133.21"/>
    <n v="33659.990000000005"/>
    <s v="New"/>
    <n v="0"/>
    <s v="Cash"/>
    <s v="Online"/>
    <x v="12"/>
  </r>
  <r>
    <n v="1094"/>
    <x v="20"/>
    <d v="2024-06-13T00:00:00"/>
    <x v="2"/>
    <s v="Jun"/>
    <x v="0"/>
    <x v="3"/>
    <n v="87143.077000000005"/>
    <n v="31"/>
    <x v="2"/>
    <n v="241.47"/>
    <n v="4015.81"/>
    <n v="79657.507000000012"/>
    <s v="Returning"/>
    <n v="0.3"/>
    <s v="Cash"/>
    <s v="Retail"/>
    <x v="5"/>
  </r>
  <r>
    <n v="1095"/>
    <x v="323"/>
    <d v="2024-06-14T00:00:00"/>
    <x v="2"/>
    <s v="Jun"/>
    <x v="4"/>
    <x v="1"/>
    <n v="77282.651599999997"/>
    <n v="22"/>
    <x v="3"/>
    <n v="734.37"/>
    <n v="3947.02"/>
    <n v="61126.511600000005"/>
    <s v="Returning"/>
    <n v="0.11"/>
    <s v="Bank Transfer"/>
    <s v="Online"/>
    <x v="6"/>
  </r>
  <r>
    <n v="1025"/>
    <x v="155"/>
    <d v="2024-06-14T00:00:00"/>
    <x v="2"/>
    <s v="Jun"/>
    <x v="4"/>
    <x v="1"/>
    <n v="98040.176399999997"/>
    <n v="34"/>
    <x v="1"/>
    <n v="824.86"/>
    <n v="3067.59"/>
    <n v="69994.936399999991"/>
    <s v="New"/>
    <n v="0.06"/>
    <s v="Credit Card"/>
    <s v="Retail"/>
    <x v="6"/>
  </r>
  <r>
    <n v="1002"/>
    <x v="335"/>
    <d v="2024-06-14T00:00:00"/>
    <x v="2"/>
    <s v="Jun"/>
    <x v="1"/>
    <x v="2"/>
    <n v="125216.94899999999"/>
    <n v="33"/>
    <x v="2"/>
    <n v="109.74"/>
    <n v="5344.3"/>
    <n v="121595.52900000001"/>
    <s v="Returning"/>
    <n v="0.28999999999999998"/>
    <s v="Cash"/>
    <s v="Online"/>
    <x v="15"/>
  </r>
  <r>
    <n v="1044"/>
    <x v="357"/>
    <d v="2024-06-15T00:00:00"/>
    <x v="2"/>
    <s v="Jun"/>
    <x v="2"/>
    <x v="3"/>
    <n v="47249.980799999998"/>
    <n v="11"/>
    <x v="2"/>
    <n v="3155.85"/>
    <n v="4474.43"/>
    <n v="12535.630800000001"/>
    <s v="Returning"/>
    <n v="0.04"/>
    <s v="Credit Card"/>
    <s v="Online"/>
    <x v="3"/>
  </r>
  <r>
    <n v="1091"/>
    <x v="14"/>
    <d v="2024-06-15T00:00:00"/>
    <x v="2"/>
    <s v="Jun"/>
    <x v="1"/>
    <x v="3"/>
    <n v="143875.72099999999"/>
    <n v="37"/>
    <x v="3"/>
    <n v="3007.4"/>
    <n v="4521.55"/>
    <n v="32601.920999999995"/>
    <s v="New"/>
    <n v="0.14000000000000001"/>
    <s v="Cash"/>
    <s v="Retail"/>
    <x v="7"/>
  </r>
  <r>
    <n v="1056"/>
    <x v="145"/>
    <d v="2024-06-15T00:00:00"/>
    <x v="2"/>
    <s v="Jun"/>
    <x v="0"/>
    <x v="3"/>
    <n v="181969.38"/>
    <n v="50"/>
    <x v="2"/>
    <n v="2980.48"/>
    <n v="3913.32"/>
    <n v="32945.379999999997"/>
    <s v="Returning"/>
    <n v="7.0000000000000007E-2"/>
    <s v="Cash"/>
    <s v="Retail"/>
    <x v="5"/>
  </r>
  <r>
    <n v="1026"/>
    <x v="50"/>
    <d v="2024-06-15T00:00:00"/>
    <x v="2"/>
    <s v="Jun"/>
    <x v="3"/>
    <x v="0"/>
    <n v="128459.74680000001"/>
    <n v="44"/>
    <x v="1"/>
    <n v="1227.48"/>
    <n v="2949.03"/>
    <n v="74450.626800000013"/>
    <s v="Returning"/>
    <n v="0.01"/>
    <s v="Credit Card"/>
    <s v="Online"/>
    <x v="11"/>
  </r>
  <r>
    <n v="1096"/>
    <x v="196"/>
    <d v="2024-06-15T00:00:00"/>
    <x v="2"/>
    <s v="Jun"/>
    <x v="0"/>
    <x v="2"/>
    <n v="91574.150400000013"/>
    <n v="24"/>
    <x v="3"/>
    <n v="227.98"/>
    <n v="4147.38"/>
    <n v="86102.630400000009"/>
    <s v="Returning"/>
    <n v="0.08"/>
    <s v="Bank Transfer"/>
    <s v="Online"/>
    <x v="2"/>
  </r>
  <r>
    <n v="1007"/>
    <x v="221"/>
    <d v="2024-06-16T00:00:00"/>
    <x v="2"/>
    <s v="Jun"/>
    <x v="2"/>
    <x v="2"/>
    <n v="43724.884000000005"/>
    <n v="14"/>
    <x v="3"/>
    <n v="2859.83"/>
    <n v="3219.8"/>
    <n v="3687.2640000000029"/>
    <s v="New"/>
    <n v="0.03"/>
    <s v="Credit Card"/>
    <s v="Retail"/>
    <x v="14"/>
  </r>
  <r>
    <n v="1090"/>
    <x v="298"/>
    <d v="2024-06-16T00:00:00"/>
    <x v="2"/>
    <s v="Jun"/>
    <x v="2"/>
    <x v="1"/>
    <n v="57774.508400000006"/>
    <n v="14"/>
    <x v="0"/>
    <n v="3246.18"/>
    <n v="4210.97"/>
    <n v="12327.988400000006"/>
    <s v="Returning"/>
    <n v="0.02"/>
    <s v="Credit Card"/>
    <s v="Retail"/>
    <x v="8"/>
  </r>
  <r>
    <n v="1053"/>
    <x v="265"/>
    <d v="2024-06-18T00:00:00"/>
    <x v="2"/>
    <s v="Jun"/>
    <x v="3"/>
    <x v="2"/>
    <n v="17267.4584"/>
    <n v="4"/>
    <x v="0"/>
    <n v="3597.39"/>
    <n v="5019.6099999999997"/>
    <n v="2877.8984"/>
    <s v="Returning"/>
    <n v="0.14000000000000001"/>
    <s v="Credit Card"/>
    <s v="Retail"/>
    <x v="9"/>
  </r>
  <r>
    <n v="1097"/>
    <x v="46"/>
    <d v="2024-06-18T00:00:00"/>
    <x v="2"/>
    <s v="Jun"/>
    <x v="3"/>
    <x v="2"/>
    <n v="139220.44640000002"/>
    <n v="49"/>
    <x v="0"/>
    <n v="2440.09"/>
    <n v="3303.76"/>
    <n v="19656.036399999994"/>
    <s v="Returning"/>
    <n v="0.14000000000000001"/>
    <s v="Cash"/>
    <s v="Retail"/>
    <x v="9"/>
  </r>
  <r>
    <n v="1092"/>
    <x v="370"/>
    <d v="2024-06-18T00:00:00"/>
    <x v="2"/>
    <s v="Jun"/>
    <x v="2"/>
    <x v="2"/>
    <n v="53720.520599999996"/>
    <n v="41"/>
    <x v="3"/>
    <n v="505.46"/>
    <n v="1350.78"/>
    <n v="32996.660599999996"/>
    <s v="New"/>
    <n v="0.03"/>
    <s v="Credit Card"/>
    <s v="Online"/>
    <x v="14"/>
  </r>
  <r>
    <n v="1041"/>
    <x v="24"/>
    <d v="2024-06-19T00:00:00"/>
    <x v="2"/>
    <s v="Jun"/>
    <x v="2"/>
    <x v="3"/>
    <n v="122668.53719999999"/>
    <n v="33"/>
    <x v="1"/>
    <n v="3016.28"/>
    <n v="4891.09"/>
    <n v="23131.297199999994"/>
    <s v="Returning"/>
    <n v="0.24"/>
    <s v="Credit Card"/>
    <s v="Online"/>
    <x v="3"/>
  </r>
  <r>
    <n v="1066"/>
    <x v="160"/>
    <d v="2024-06-20T00:00:00"/>
    <x v="2"/>
    <s v="Jun"/>
    <x v="3"/>
    <x v="0"/>
    <n v="2016.6702"/>
    <n v="1"/>
    <x v="1"/>
    <n v="1854.61"/>
    <n v="2725.23"/>
    <n v="162.06020000000012"/>
    <s v="Returning"/>
    <n v="0.26"/>
    <s v="Credit Card"/>
    <s v="Retail"/>
    <x v="11"/>
  </r>
  <r>
    <n v="1048"/>
    <x v="294"/>
    <d v="2024-06-20T00:00:00"/>
    <x v="2"/>
    <s v="Jun"/>
    <x v="1"/>
    <x v="2"/>
    <n v="66954.426000000007"/>
    <n v="15"/>
    <x v="1"/>
    <n v="4176.05"/>
    <n v="4851.7700000000004"/>
    <n v="4313.6760000000049"/>
    <s v="Returning"/>
    <n v="0.08"/>
    <s v="Credit Card"/>
    <s v="Online"/>
    <x v="15"/>
  </r>
  <r>
    <n v="1027"/>
    <x v="269"/>
    <d v="2024-06-20T00:00:00"/>
    <x v="2"/>
    <s v="Jun"/>
    <x v="2"/>
    <x v="0"/>
    <n v="73905.127200000003"/>
    <n v="18"/>
    <x v="1"/>
    <n v="3865.45"/>
    <n v="4462.87"/>
    <n v="4327.0272000000041"/>
    <s v="Returning"/>
    <n v="0.08"/>
    <s v="Bank Transfer"/>
    <s v="Online"/>
    <x v="18"/>
  </r>
  <r>
    <n v="1076"/>
    <x v="9"/>
    <d v="2024-06-20T00:00:00"/>
    <x v="2"/>
    <s v="Jun"/>
    <x v="0"/>
    <x v="2"/>
    <n v="162256.5"/>
    <n v="42"/>
    <x v="3"/>
    <n v="3735.96"/>
    <n v="3863.25"/>
    <n v="5346.1799999999985"/>
    <s v="New"/>
    <n v="0"/>
    <s v="Credit Card"/>
    <s v="Retail"/>
    <x v="2"/>
  </r>
  <r>
    <n v="1061"/>
    <x v="385"/>
    <d v="2024-06-21T00:00:00"/>
    <x v="2"/>
    <s v="Jun"/>
    <x v="3"/>
    <x v="2"/>
    <n v="3307.7505999999998"/>
    <n v="1"/>
    <x v="1"/>
    <n v="2790.44"/>
    <n v="4295.78"/>
    <n v="517.31059999999979"/>
    <s v="Returning"/>
    <n v="0.23"/>
    <s v="Cash"/>
    <s v="Online"/>
    <x v="9"/>
  </r>
  <r>
    <n v="1090"/>
    <x v="298"/>
    <d v="2024-06-21T00:00:00"/>
    <x v="2"/>
    <s v="Jun"/>
    <x v="1"/>
    <x v="2"/>
    <n v="21961.100699999999"/>
    <n v="7"/>
    <x v="0"/>
    <n v="2853.61"/>
    <n v="3168.99"/>
    <n v="1985.8306999999986"/>
    <s v="New"/>
    <n v="0.01"/>
    <s v="Bank Transfer"/>
    <s v="Online"/>
    <x v="15"/>
  </r>
  <r>
    <n v="1052"/>
    <x v="86"/>
    <d v="2024-06-21T00:00:00"/>
    <x v="2"/>
    <s v="Jun"/>
    <x v="2"/>
    <x v="2"/>
    <n v="16339.596"/>
    <n v="5"/>
    <x v="2"/>
    <n v="1846.34"/>
    <n v="3591.12"/>
    <n v="7107.8959999999997"/>
    <s v="Returning"/>
    <n v="0.09"/>
    <s v="Cash"/>
    <s v="Retail"/>
    <x v="14"/>
  </r>
  <r>
    <n v="1004"/>
    <x v="334"/>
    <d v="2024-06-22T00:00:00"/>
    <x v="2"/>
    <s v="Jun"/>
    <x v="0"/>
    <x v="3"/>
    <n v="9762.3381000000008"/>
    <n v="3"/>
    <x v="3"/>
    <n v="379.48"/>
    <n v="4119.13"/>
    <n v="8623.8981000000003"/>
    <s v="New"/>
    <n v="0.21"/>
    <s v="Cash"/>
    <s v="Retail"/>
    <x v="5"/>
  </r>
  <r>
    <n v="1053"/>
    <x v="233"/>
    <d v="2024-06-22T00:00:00"/>
    <x v="2"/>
    <s v="Jun"/>
    <x v="1"/>
    <x v="2"/>
    <n v="135810.3352"/>
    <n v="37"/>
    <x v="1"/>
    <n v="1868.99"/>
    <n v="3904.84"/>
    <n v="66657.705199999997"/>
    <s v="Returning"/>
    <n v="0.06"/>
    <s v="Credit Card"/>
    <s v="Online"/>
    <x v="15"/>
  </r>
  <r>
    <n v="1045"/>
    <x v="121"/>
    <d v="2024-06-23T00:00:00"/>
    <x v="2"/>
    <s v="Jun"/>
    <x v="3"/>
    <x v="1"/>
    <n v="44652.688999999998"/>
    <n v="10"/>
    <x v="1"/>
    <n v="3241.05"/>
    <n v="4603.37"/>
    <n v="12242.188999999998"/>
    <s v="New"/>
    <n v="0.03"/>
    <s v="Cash"/>
    <s v="Retail"/>
    <x v="16"/>
  </r>
  <r>
    <n v="1061"/>
    <x v="178"/>
    <d v="2024-06-23T00:00:00"/>
    <x v="2"/>
    <s v="Jun"/>
    <x v="4"/>
    <x v="2"/>
    <n v="68353.718399999998"/>
    <n v="23"/>
    <x v="2"/>
    <n v="1109.26"/>
    <n v="3095.73"/>
    <n v="42840.738399999995"/>
    <s v="Returning"/>
    <n v="0.04"/>
    <s v="Cash"/>
    <s v="Online"/>
    <x v="17"/>
  </r>
  <r>
    <n v="1077"/>
    <x v="108"/>
    <d v="2024-06-24T00:00:00"/>
    <x v="2"/>
    <s v="Jun"/>
    <x v="0"/>
    <x v="1"/>
    <n v="23475.005399999998"/>
    <n v="19"/>
    <x v="3"/>
    <n v="1218.3399999999999"/>
    <n v="1314.39"/>
    <n v="326.54539999999997"/>
    <s v="New"/>
    <n v="0.06"/>
    <s v="Bank Transfer"/>
    <s v="Retail"/>
    <x v="19"/>
  </r>
  <r>
    <n v="1050"/>
    <x v="228"/>
    <d v="2024-06-24T00:00:00"/>
    <x v="2"/>
    <s v="Jun"/>
    <x v="3"/>
    <x v="0"/>
    <n v="6982.8952000000008"/>
    <n v="2"/>
    <x v="2"/>
    <n v="169.71"/>
    <n v="4594.01"/>
    <n v="6643.4752000000008"/>
    <s v="New"/>
    <n v="0.24"/>
    <s v="Cash"/>
    <s v="Retail"/>
    <x v="11"/>
  </r>
  <r>
    <n v="1054"/>
    <x v="342"/>
    <d v="2024-06-24T00:00:00"/>
    <x v="2"/>
    <s v="Jun"/>
    <x v="0"/>
    <x v="0"/>
    <n v="102948"/>
    <n v="50"/>
    <x v="0"/>
    <n v="1795.52"/>
    <n v="2573.6999999999998"/>
    <n v="13172.000000000004"/>
    <s v="New"/>
    <n v="0.2"/>
    <s v="Bank Transfer"/>
    <s v="Retail"/>
    <x v="0"/>
  </r>
  <r>
    <n v="1009"/>
    <x v="276"/>
    <d v="2024-06-24T00:00:00"/>
    <x v="2"/>
    <s v="Jun"/>
    <x v="1"/>
    <x v="0"/>
    <n v="105666.2542"/>
    <n v="26"/>
    <x v="0"/>
    <n v="2974.24"/>
    <n v="4896.49"/>
    <n v="28336.014200000001"/>
    <s v="Returning"/>
    <n v="0.17"/>
    <s v="Cash"/>
    <s v="Online"/>
    <x v="10"/>
  </r>
  <r>
    <n v="1035"/>
    <x v="74"/>
    <d v="2024-06-25T00:00:00"/>
    <x v="2"/>
    <s v="Jun"/>
    <x v="3"/>
    <x v="3"/>
    <n v="34712.402999999998"/>
    <n v="10"/>
    <x v="3"/>
    <n v="2008.21"/>
    <n v="3900.27"/>
    <n v="14630.303"/>
    <s v="Returning"/>
    <n v="0.11"/>
    <s v="Cash"/>
    <s v="Online"/>
    <x v="4"/>
  </r>
  <r>
    <n v="1075"/>
    <x v="149"/>
    <d v="2024-06-25T00:00:00"/>
    <x v="2"/>
    <s v="Jun"/>
    <x v="1"/>
    <x v="2"/>
    <n v="29228.126400000001"/>
    <n v="27"/>
    <x v="1"/>
    <n v="435.84"/>
    <n v="1230.1400000000001"/>
    <n v="17460.446400000004"/>
    <s v="Returning"/>
    <n v="0.12"/>
    <s v="Credit Card"/>
    <s v="Retail"/>
    <x v="15"/>
  </r>
  <r>
    <n v="1090"/>
    <x v="298"/>
    <d v="2024-06-25T00:00:00"/>
    <x v="2"/>
    <s v="Jun"/>
    <x v="0"/>
    <x v="3"/>
    <n v="67338.33600000001"/>
    <n v="24"/>
    <x v="0"/>
    <n v="1927.18"/>
    <n v="3551.6"/>
    <n v="21086.016000000003"/>
    <s v="Returning"/>
    <n v="0.21"/>
    <s v="Bank Transfer"/>
    <s v="Retail"/>
    <x v="5"/>
  </r>
  <r>
    <n v="1052"/>
    <x v="333"/>
    <d v="2024-06-25T00:00:00"/>
    <x v="2"/>
    <s v="Jun"/>
    <x v="3"/>
    <x v="0"/>
    <n v="96746.700833942246"/>
    <n v="19"/>
    <x v="0"/>
    <n v="3772.62"/>
    <n v="5126.8999999999996"/>
    <n v="24757.208999999992"/>
    <s v="Returning"/>
    <n v="0.01"/>
    <s v="Bank Transfer"/>
    <s v="Retail"/>
    <x v="11"/>
  </r>
  <r>
    <n v="1059"/>
    <x v="229"/>
    <d v="2024-06-25T00:00:00"/>
    <x v="2"/>
    <s v="Jun"/>
    <x v="2"/>
    <x v="1"/>
    <n v="29197.649600000001"/>
    <n v="8"/>
    <x v="0"/>
    <n v="171.62"/>
    <n v="3724.19"/>
    <n v="27824.689600000002"/>
    <s v="Returning"/>
    <n v="0.02"/>
    <s v="Credit Card"/>
    <s v="Online"/>
    <x v="8"/>
  </r>
  <r>
    <n v="1084"/>
    <x v="103"/>
    <d v="2024-06-25T00:00:00"/>
    <x v="2"/>
    <s v="Jun"/>
    <x v="3"/>
    <x v="2"/>
    <n v="52750.53"/>
    <n v="18"/>
    <x v="0"/>
    <n v="1234.1600000000001"/>
    <n v="4014.5"/>
    <n v="30535.649999999998"/>
    <s v="Returning"/>
    <n v="0.27"/>
    <s v="Bank Transfer"/>
    <s v="Online"/>
    <x v="9"/>
  </r>
  <r>
    <n v="1074"/>
    <x v="107"/>
    <d v="2024-06-25T00:00:00"/>
    <x v="2"/>
    <s v="Jun"/>
    <x v="2"/>
    <x v="3"/>
    <n v="187026.2352"/>
    <n v="47"/>
    <x v="0"/>
    <n v="1349.64"/>
    <n v="4737.24"/>
    <n v="123593.15519999999"/>
    <s v="Returning"/>
    <n v="0.16"/>
    <s v="Cash"/>
    <s v="Online"/>
    <x v="3"/>
  </r>
  <r>
    <n v="1057"/>
    <x v="41"/>
    <d v="2024-06-27T00:00:00"/>
    <x v="2"/>
    <s v="Jun"/>
    <x v="2"/>
    <x v="2"/>
    <n v="14796.972000000002"/>
    <n v="4"/>
    <x v="1"/>
    <n v="3431.86"/>
    <n v="4110.2700000000004"/>
    <n v="1069.5320000000011"/>
    <s v="Returning"/>
    <n v="0.1"/>
    <s v="Credit Card"/>
    <s v="Retail"/>
    <x v="14"/>
  </r>
  <r>
    <n v="1020"/>
    <x v="341"/>
    <d v="2024-06-27T00:00:00"/>
    <x v="2"/>
    <s v="Jun"/>
    <x v="4"/>
    <x v="1"/>
    <n v="19387.955999999998"/>
    <n v="6"/>
    <x v="0"/>
    <n v="1097.32"/>
    <n v="3801.56"/>
    <n v="12804.036000000002"/>
    <s v="New"/>
    <n v="0.15"/>
    <s v="Bank Transfer"/>
    <s v="Retail"/>
    <x v="6"/>
  </r>
  <r>
    <n v="1055"/>
    <x v="395"/>
    <d v="2024-06-27T00:00:00"/>
    <x v="2"/>
    <s v="Jun"/>
    <x v="4"/>
    <x v="0"/>
    <n v="137540.424"/>
    <n v="28"/>
    <x v="1"/>
    <n v="3536.3"/>
    <n v="5225.7"/>
    <n v="38524.023999999976"/>
    <s v="New"/>
    <n v="0.06"/>
    <s v="Bank Transfer"/>
    <s v="Online"/>
    <x v="13"/>
  </r>
  <r>
    <n v="1021"/>
    <x v="380"/>
    <d v="2024-06-27T00:00:00"/>
    <x v="2"/>
    <s v="Jun"/>
    <x v="2"/>
    <x v="3"/>
    <n v="183001.65399999998"/>
    <n v="44"/>
    <x v="3"/>
    <n v="3219.74"/>
    <n v="4378.03"/>
    <n v="41333.093999999997"/>
    <s v="Returning"/>
    <n v="0.05"/>
    <s v="Credit Card"/>
    <s v="Retail"/>
    <x v="3"/>
  </r>
  <r>
    <n v="1072"/>
    <x v="352"/>
    <d v="2024-06-28T00:00:00"/>
    <x v="2"/>
    <s v="Jun"/>
    <x v="1"/>
    <x v="1"/>
    <n v="77604.542399999991"/>
    <n v="19"/>
    <x v="1"/>
    <n v="3829.43"/>
    <n v="4749.3599999999997"/>
    <n v="4845.3723999999929"/>
    <s v="New"/>
    <n v="0.14000000000000001"/>
    <s v="Credit Card"/>
    <s v="Online"/>
    <x v="1"/>
  </r>
  <r>
    <n v="1002"/>
    <x v="262"/>
    <d v="2024-06-28T00:00:00"/>
    <x v="2"/>
    <s v="Jun"/>
    <x v="3"/>
    <x v="1"/>
    <n v="14548.619999999999"/>
    <n v="15"/>
    <x v="1"/>
    <n v="515.32000000000005"/>
    <n v="1127.8"/>
    <n v="6818.8199999999979"/>
    <s v="Returning"/>
    <n v="0.14000000000000001"/>
    <s v="Bank Transfer"/>
    <s v="Online"/>
    <x v="16"/>
  </r>
  <r>
    <n v="1051"/>
    <x v="281"/>
    <d v="2024-06-28T00:00:00"/>
    <x v="2"/>
    <s v="Jun"/>
    <x v="2"/>
    <x v="0"/>
    <n v="28598.184000000001"/>
    <n v="18"/>
    <x v="2"/>
    <n v="1025.96"/>
    <n v="2206.65"/>
    <n v="10130.903999999999"/>
    <s v="New"/>
    <n v="0.28000000000000003"/>
    <s v="Cash"/>
    <s v="Retail"/>
    <x v="18"/>
  </r>
  <r>
    <n v="1029"/>
    <x v="203"/>
    <d v="2024-06-28T00:00:00"/>
    <x v="2"/>
    <s v="Jun"/>
    <x v="2"/>
    <x v="0"/>
    <n v="42561.511199999994"/>
    <n v="12"/>
    <x v="0"/>
    <n v="2286.31"/>
    <n v="4858.62"/>
    <n v="15125.791199999998"/>
    <s v="New"/>
    <n v="0.27"/>
    <s v="Credit Card"/>
    <s v="Online"/>
    <x v="18"/>
  </r>
  <r>
    <n v="1089"/>
    <x v="348"/>
    <d v="2024-06-28T00:00:00"/>
    <x v="2"/>
    <s v="Jun"/>
    <x v="4"/>
    <x v="0"/>
    <n v="136586.93429851389"/>
    <n v="28"/>
    <x v="1"/>
    <n v="3633.89"/>
    <n v="4882.6099999999997"/>
    <n v="34964.159999999996"/>
    <s v="New"/>
    <n v="0"/>
    <s v="Credit Card"/>
    <s v="Retail"/>
    <x v="13"/>
  </r>
  <r>
    <n v="1029"/>
    <x v="152"/>
    <d v="2024-06-28T00:00:00"/>
    <x v="2"/>
    <s v="Jun"/>
    <x v="4"/>
    <x v="2"/>
    <n v="190990.44"/>
    <n v="48"/>
    <x v="3"/>
    <n v="327.7"/>
    <n v="4470.75"/>
    <n v="175260.84000000003"/>
    <s v="New"/>
    <n v="0.11"/>
    <s v="Cash"/>
    <s v="Retail"/>
    <x v="17"/>
  </r>
  <r>
    <n v="1003"/>
    <x v="66"/>
    <d v="2024-06-29T00:00:00"/>
    <x v="2"/>
    <s v="Jun"/>
    <x v="1"/>
    <x v="1"/>
    <n v="89608.442599999995"/>
    <n v="37"/>
    <x v="3"/>
    <n v="2356.6799999999998"/>
    <n v="3272.77"/>
    <n v="2411.2826000000045"/>
    <s v="New"/>
    <n v="0.26"/>
    <s v="Cash"/>
    <s v="Retail"/>
    <x v="1"/>
  </r>
  <r>
    <n v="1063"/>
    <x v="2"/>
    <d v="2024-06-29T00:00:00"/>
    <x v="2"/>
    <s v="Jun"/>
    <x v="0"/>
    <x v="1"/>
    <n v="50486.353499999997"/>
    <n v="11"/>
    <x v="2"/>
    <n v="3828.18"/>
    <n v="4831.2299999999996"/>
    <n v="8376.3734999999997"/>
    <s v="New"/>
    <n v="0.05"/>
    <s v="Bank Transfer"/>
    <s v="Retail"/>
    <x v="19"/>
  </r>
  <r>
    <n v="1097"/>
    <x v="174"/>
    <d v="2024-06-29T00:00:00"/>
    <x v="2"/>
    <s v="Jun"/>
    <x v="4"/>
    <x v="2"/>
    <n v="44405.303999999996"/>
    <n v="10"/>
    <x v="2"/>
    <n v="1180.1199999999999"/>
    <n v="4989.3599999999997"/>
    <n v="32604.103999999999"/>
    <s v="New"/>
    <n v="0.11"/>
    <s v="Bank Transfer"/>
    <s v="Retail"/>
    <x v="17"/>
  </r>
  <r>
    <n v="1085"/>
    <x v="34"/>
    <d v="2024-06-29T00:00:00"/>
    <x v="2"/>
    <s v="Jun"/>
    <x v="3"/>
    <x v="0"/>
    <n v="80779.271999999997"/>
    <n v="16"/>
    <x v="2"/>
    <n v="1613.2"/>
    <n v="5204.8500000000004"/>
    <n v="54968.072"/>
    <s v="Returning"/>
    <n v="0.03"/>
    <s v="Cash"/>
    <s v="Online"/>
    <x v="11"/>
  </r>
  <r>
    <n v="1033"/>
    <x v="284"/>
    <d v="2024-06-30T00:00:00"/>
    <x v="2"/>
    <s v="Jun"/>
    <x v="0"/>
    <x v="2"/>
    <n v="36426.851999999999"/>
    <n v="17"/>
    <x v="2"/>
    <n v="1475.67"/>
    <n v="2164.4"/>
    <n v="11340.461999999996"/>
    <s v="New"/>
    <n v="0.01"/>
    <s v="Bank Transfer"/>
    <s v="Retail"/>
    <x v="2"/>
  </r>
  <r>
    <n v="1085"/>
    <x v="11"/>
    <d v="2024-07-01T00:00:00"/>
    <x v="2"/>
    <s v="Jul"/>
    <x v="4"/>
    <x v="1"/>
    <n v="13733.212563793448"/>
    <n v="3"/>
    <x v="1"/>
    <n v="4539.18"/>
    <n v="4585.5"/>
    <n v="138.95999999999913"/>
    <s v="New"/>
    <n v="0"/>
    <s v="Cash"/>
    <s v="Online"/>
    <x v="6"/>
  </r>
  <r>
    <n v="1043"/>
    <x v="273"/>
    <d v="2024-07-01T00:00:00"/>
    <x v="2"/>
    <s v="Jul"/>
    <x v="4"/>
    <x v="3"/>
    <n v="13205.438399999999"/>
    <n v="4"/>
    <x v="2"/>
    <n v="442.71"/>
    <n v="3930.19"/>
    <n v="11434.598399999999"/>
    <s v="New"/>
    <n v="0.16"/>
    <s v="Bank Transfer"/>
    <s v="Retail"/>
    <x v="12"/>
  </r>
  <r>
    <n v="1095"/>
    <x v="94"/>
    <d v="2024-07-01T00:00:00"/>
    <x v="2"/>
    <s v="Jul"/>
    <x v="4"/>
    <x v="0"/>
    <n v="63276.639999999999"/>
    <n v="20"/>
    <x v="2"/>
    <n v="856.56"/>
    <n v="3228.4"/>
    <n v="46145.440000000002"/>
    <s v="New"/>
    <n v="0.02"/>
    <s v="Credit Card"/>
    <s v="Online"/>
    <x v="13"/>
  </r>
  <r>
    <n v="1043"/>
    <x v="399"/>
    <d v="2024-07-02T00:00:00"/>
    <x v="2"/>
    <s v="Jul"/>
    <x v="3"/>
    <x v="1"/>
    <n v="76165.440000000002"/>
    <n v="17"/>
    <x v="0"/>
    <n v="1513.57"/>
    <n v="4480.32"/>
    <n v="50434.75"/>
    <s v="Returning"/>
    <n v="0"/>
    <s v="Credit Card"/>
    <s v="Online"/>
    <x v="16"/>
  </r>
  <r>
    <n v="1068"/>
    <x v="78"/>
    <d v="2024-07-03T00:00:00"/>
    <x v="2"/>
    <s v="Jul"/>
    <x v="2"/>
    <x v="3"/>
    <n v="28896.951800000003"/>
    <n v="19"/>
    <x v="1"/>
    <n v="1477.67"/>
    <n v="1925.18"/>
    <n v="821.22180000000299"/>
    <s v="Returning"/>
    <n v="0.21"/>
    <s v="Cash"/>
    <s v="Retail"/>
    <x v="3"/>
  </r>
  <r>
    <n v="1085"/>
    <x v="34"/>
    <d v="2024-07-03T00:00:00"/>
    <x v="2"/>
    <s v="Jul"/>
    <x v="4"/>
    <x v="1"/>
    <n v="36915.631200000003"/>
    <n v="24"/>
    <x v="2"/>
    <n v="1493.67"/>
    <n v="1767.99"/>
    <n v="1067.5511999999981"/>
    <s v="New"/>
    <n v="0.13"/>
    <s v="Cash"/>
    <s v="Online"/>
    <x v="6"/>
  </r>
  <r>
    <n v="1011"/>
    <x v="387"/>
    <d v="2024-07-03T00:00:00"/>
    <x v="2"/>
    <s v="Jul"/>
    <x v="1"/>
    <x v="1"/>
    <n v="104514.8835675172"/>
    <n v="37"/>
    <x v="0"/>
    <n v="2777.36"/>
    <n v="2833.5"/>
    <n v="2077.1799999999953"/>
    <s v="New"/>
    <n v="0"/>
    <s v="Bank Transfer"/>
    <s v="Online"/>
    <x v="1"/>
  </r>
  <r>
    <n v="1031"/>
    <x v="135"/>
    <d v="2024-07-03T00:00:00"/>
    <x v="2"/>
    <s v="Jul"/>
    <x v="3"/>
    <x v="2"/>
    <n v="119100.1456"/>
    <n v="41"/>
    <x v="3"/>
    <n v="273.99"/>
    <n v="3157.48"/>
    <n v="107866.55559999999"/>
    <s v="Returning"/>
    <n v="0.08"/>
    <s v="Credit Card"/>
    <s v="Retail"/>
    <x v="9"/>
  </r>
  <r>
    <n v="1032"/>
    <x v="386"/>
    <d v="2024-07-04T00:00:00"/>
    <x v="2"/>
    <s v="Jul"/>
    <x v="4"/>
    <x v="3"/>
    <n v="3171.6000000000004"/>
    <n v="1"/>
    <x v="2"/>
    <n v="900.04"/>
    <n v="3964.5"/>
    <n v="2271.5600000000004"/>
    <s v="New"/>
    <n v="0.2"/>
    <s v="Credit Card"/>
    <s v="Online"/>
    <x v="12"/>
  </r>
  <r>
    <n v="1080"/>
    <x v="240"/>
    <d v="2024-07-04T00:00:00"/>
    <x v="2"/>
    <s v="Jul"/>
    <x v="0"/>
    <x v="3"/>
    <n v="130339.25520000001"/>
    <n v="42"/>
    <x v="3"/>
    <n v="396.6"/>
    <n v="4030.28"/>
    <n v="113682.05520000002"/>
    <s v="New"/>
    <n v="0.23"/>
    <s v="Credit Card"/>
    <s v="Retail"/>
    <x v="5"/>
  </r>
  <r>
    <n v="1069"/>
    <x v="184"/>
    <d v="2024-07-05T00:00:00"/>
    <x v="2"/>
    <s v="Jul"/>
    <x v="3"/>
    <x v="3"/>
    <n v="21091.254000000001"/>
    <n v="6"/>
    <x v="3"/>
    <n v="178.34"/>
    <n v="3700.22"/>
    <n v="20021.214"/>
    <s v="New"/>
    <n v="0.05"/>
    <s v="Credit Card"/>
    <s v="Retail"/>
    <x v="4"/>
  </r>
  <r>
    <n v="1049"/>
    <x v="114"/>
    <d v="2024-07-05T00:00:00"/>
    <x v="2"/>
    <s v="Jul"/>
    <x v="3"/>
    <x v="3"/>
    <n v="60788.296799999996"/>
    <n v="18"/>
    <x v="2"/>
    <n v="772.79"/>
    <n v="3631.32"/>
    <n v="46878.076799999995"/>
    <s v="Returning"/>
    <n v="7.0000000000000007E-2"/>
    <s v="Cash"/>
    <s v="Retail"/>
    <x v="4"/>
  </r>
  <r>
    <n v="1049"/>
    <x v="157"/>
    <d v="2024-07-06T00:00:00"/>
    <x v="2"/>
    <s v="Jul"/>
    <x v="3"/>
    <x v="1"/>
    <n v="15015.0936"/>
    <n v="4"/>
    <x v="1"/>
    <n v="1942.85"/>
    <n v="4812.53"/>
    <n v="7243.6936000000005"/>
    <s v="New"/>
    <n v="0.22"/>
    <s v="Credit Card"/>
    <s v="Retail"/>
    <x v="16"/>
  </r>
  <r>
    <n v="1090"/>
    <x v="298"/>
    <d v="2024-07-06T00:00:00"/>
    <x v="2"/>
    <s v="Jul"/>
    <x v="4"/>
    <x v="2"/>
    <n v="94631.315999999992"/>
    <n v="24"/>
    <x v="0"/>
    <n v="2010.61"/>
    <n v="4638.79"/>
    <n v="46376.675999999992"/>
    <s v="New"/>
    <n v="0.15"/>
    <s v="Cash"/>
    <s v="Online"/>
    <x v="17"/>
  </r>
  <r>
    <n v="1038"/>
    <x v="6"/>
    <d v="2024-07-08T00:00:00"/>
    <x v="2"/>
    <s v="Jul"/>
    <x v="2"/>
    <x v="1"/>
    <n v="34988.436000000009"/>
    <n v="14"/>
    <x v="0"/>
    <n v="970.93"/>
    <n v="3085.4"/>
    <n v="21395.416000000008"/>
    <s v="New"/>
    <n v="0.19"/>
    <s v="Cash"/>
    <s v="Online"/>
    <x v="8"/>
  </r>
  <r>
    <n v="1079"/>
    <x v="22"/>
    <d v="2024-07-08T00:00:00"/>
    <x v="2"/>
    <s v="Jul"/>
    <x v="2"/>
    <x v="0"/>
    <n v="125980.024"/>
    <n v="43"/>
    <x v="2"/>
    <n v="2107.2399999999998"/>
    <n v="3662.21"/>
    <n v="35368.704000000012"/>
    <s v="Returning"/>
    <n v="0.2"/>
    <s v="Bank Transfer"/>
    <s v="Retail"/>
    <x v="18"/>
  </r>
  <r>
    <n v="1006"/>
    <x v="299"/>
    <d v="2024-07-08T00:00:00"/>
    <x v="2"/>
    <s v="Jul"/>
    <x v="2"/>
    <x v="0"/>
    <n v="50288.053200000002"/>
    <n v="28"/>
    <x v="0"/>
    <n v="353.19"/>
    <n v="2332.4699999999998"/>
    <n v="40398.733199999995"/>
    <s v="New"/>
    <n v="0.23"/>
    <s v="Cash"/>
    <s v="Retail"/>
    <x v="18"/>
  </r>
  <r>
    <n v="1031"/>
    <x v="135"/>
    <d v="2024-07-10T00:00:00"/>
    <x v="2"/>
    <s v="Jul"/>
    <x v="1"/>
    <x v="1"/>
    <n v="51448.136999999995"/>
    <n v="26"/>
    <x v="3"/>
    <n v="1847.84"/>
    <n v="2327.9699999999998"/>
    <n v="3404.2969999999959"/>
    <s v="Returning"/>
    <n v="0.15"/>
    <s v="Credit Card"/>
    <s v="Retail"/>
    <x v="1"/>
  </r>
  <r>
    <n v="1041"/>
    <x v="382"/>
    <d v="2024-07-10T00:00:00"/>
    <x v="2"/>
    <s v="Jul"/>
    <x v="1"/>
    <x v="2"/>
    <n v="130000.4302"/>
    <n v="47"/>
    <x v="2"/>
    <n v="2351.7399999999998"/>
    <n v="3373.13"/>
    <n v="19468.650200000018"/>
    <s v="Returning"/>
    <n v="0.18"/>
    <s v="Cash"/>
    <s v="Online"/>
    <x v="15"/>
  </r>
  <r>
    <n v="1043"/>
    <x v="273"/>
    <d v="2024-07-10T00:00:00"/>
    <x v="2"/>
    <s v="Jul"/>
    <x v="4"/>
    <x v="1"/>
    <n v="41959.523999999998"/>
    <n v="19"/>
    <x v="2"/>
    <n v="755.13"/>
    <n v="3025.2"/>
    <n v="27612.053999999993"/>
    <s v="New"/>
    <n v="0.27"/>
    <s v="Cash"/>
    <s v="Online"/>
    <x v="6"/>
  </r>
  <r>
    <n v="1061"/>
    <x v="363"/>
    <d v="2024-07-10T00:00:00"/>
    <x v="2"/>
    <s v="Jul"/>
    <x v="4"/>
    <x v="3"/>
    <n v="55136.315999999999"/>
    <n v="15"/>
    <x v="3"/>
    <n v="1807.98"/>
    <n v="5035.28"/>
    <n v="28016.615999999998"/>
    <s v="New"/>
    <n v="0.27"/>
    <s v="Bank Transfer"/>
    <s v="Retail"/>
    <x v="12"/>
  </r>
  <r>
    <n v="1098"/>
    <x v="106"/>
    <d v="2024-07-10T00:00:00"/>
    <x v="2"/>
    <s v="Jul"/>
    <x v="2"/>
    <x v="1"/>
    <n v="95409.104200000002"/>
    <n v="38"/>
    <x v="2"/>
    <n v="422.44"/>
    <n v="3536.29"/>
    <n v="79356.3842"/>
    <s v="New"/>
    <n v="0.28999999999999998"/>
    <s v="Bank Transfer"/>
    <s v="Online"/>
    <x v="8"/>
  </r>
  <r>
    <n v="1043"/>
    <x v="273"/>
    <d v="2024-07-11T00:00:00"/>
    <x v="2"/>
    <s v="Jul"/>
    <x v="4"/>
    <x v="0"/>
    <n v="15790.480199999998"/>
    <n v="3"/>
    <x v="2"/>
    <n v="4591.17"/>
    <n v="5316.66"/>
    <n v="2016.9701999999979"/>
    <s v="New"/>
    <n v="0.01"/>
    <s v="Bank Transfer"/>
    <s v="Retail"/>
    <x v="13"/>
  </r>
  <r>
    <n v="1047"/>
    <x v="137"/>
    <d v="2024-07-11T00:00:00"/>
    <x v="2"/>
    <s v="Jul"/>
    <x v="3"/>
    <x v="3"/>
    <n v="104084.08"/>
    <n v="43"/>
    <x v="2"/>
    <n v="1855.87"/>
    <n v="3064"/>
    <n v="24281.670000000002"/>
    <s v="New"/>
    <n v="0.21"/>
    <s v="Credit Card"/>
    <s v="Online"/>
    <x v="4"/>
  </r>
  <r>
    <n v="1064"/>
    <x v="247"/>
    <d v="2024-07-11T00:00:00"/>
    <x v="2"/>
    <s v="Jul"/>
    <x v="1"/>
    <x v="1"/>
    <n v="169864.16639999999"/>
    <n v="47"/>
    <x v="0"/>
    <n v="3050.89"/>
    <n v="3764.72"/>
    <n v="26472.336399999997"/>
    <s v="New"/>
    <n v="0.04"/>
    <s v="Credit Card"/>
    <s v="Retail"/>
    <x v="1"/>
  </r>
  <r>
    <n v="1096"/>
    <x v="196"/>
    <d v="2024-07-12T00:00:00"/>
    <x v="2"/>
    <s v="Jul"/>
    <x v="2"/>
    <x v="2"/>
    <n v="121329.47200000001"/>
    <n v="40"/>
    <x v="3"/>
    <n v="2832.46"/>
    <n v="3446.86"/>
    <n v="8031.0720000000038"/>
    <s v="Returning"/>
    <n v="0.12"/>
    <s v="Bank Transfer"/>
    <s v="Retail"/>
    <x v="14"/>
  </r>
  <r>
    <n v="1010"/>
    <x v="65"/>
    <d v="2024-07-12T00:00:00"/>
    <x v="2"/>
    <s v="Jul"/>
    <x v="4"/>
    <x v="2"/>
    <n v="36627.628799999999"/>
    <n v="23"/>
    <x v="3"/>
    <n v="224.57"/>
    <n v="1895.84"/>
    <n v="31462.518800000002"/>
    <s v="Returning"/>
    <n v="0.16"/>
    <s v="Credit Card"/>
    <s v="Retail"/>
    <x v="17"/>
  </r>
  <r>
    <n v="1011"/>
    <x v="387"/>
    <d v="2024-07-12T00:00:00"/>
    <x v="2"/>
    <s v="Jul"/>
    <x v="2"/>
    <x v="1"/>
    <n v="161141.5"/>
    <n v="50"/>
    <x v="0"/>
    <n v="481.97"/>
    <n v="3222.83"/>
    <n v="137042.99999999997"/>
    <s v="New"/>
    <n v="0"/>
    <s v="Cash"/>
    <s v="Online"/>
    <x v="8"/>
  </r>
  <r>
    <n v="1003"/>
    <x v="104"/>
    <d v="2024-07-13T00:00:00"/>
    <x v="2"/>
    <s v="Jul"/>
    <x v="2"/>
    <x v="1"/>
    <n v="5115.924"/>
    <n v="2"/>
    <x v="0"/>
    <n v="1719.18"/>
    <n v="2583.8000000000002"/>
    <n v="1677.5639999999999"/>
    <s v="New"/>
    <n v="0.01"/>
    <s v="Bank Transfer"/>
    <s v="Retail"/>
    <x v="8"/>
  </r>
  <r>
    <n v="1086"/>
    <x v="87"/>
    <d v="2024-07-13T00:00:00"/>
    <x v="2"/>
    <s v="Jul"/>
    <x v="4"/>
    <x v="0"/>
    <n v="36395.304000000004"/>
    <n v="10"/>
    <x v="0"/>
    <n v="313.04000000000002"/>
    <n v="4089.36"/>
    <n v="33264.904000000002"/>
    <s v="Returning"/>
    <n v="0.11"/>
    <s v="Credit Card"/>
    <s v="Retail"/>
    <x v="13"/>
  </r>
  <r>
    <n v="1038"/>
    <x v="166"/>
    <d v="2024-07-14T00:00:00"/>
    <x v="2"/>
    <s v="Jul"/>
    <x v="1"/>
    <x v="0"/>
    <n v="31286.015100000001"/>
    <n v="9"/>
    <x v="3"/>
    <n v="2493.1799999999998"/>
    <n v="4896.09"/>
    <n v="8847.3951000000015"/>
    <s v="Returning"/>
    <n v="0.28999999999999998"/>
    <s v="Bank Transfer"/>
    <s v="Retail"/>
    <x v="10"/>
  </r>
  <r>
    <n v="1042"/>
    <x v="0"/>
    <d v="2024-07-14T00:00:00"/>
    <x v="2"/>
    <s v="Jul"/>
    <x v="2"/>
    <x v="3"/>
    <n v="24319.1214"/>
    <n v="9"/>
    <x v="0"/>
    <n v="1025.32"/>
    <n v="2757.27"/>
    <n v="15091.241400000001"/>
    <s v="Returning"/>
    <n v="0.02"/>
    <s v="Cash"/>
    <s v="Retail"/>
    <x v="3"/>
  </r>
  <r>
    <n v="1096"/>
    <x v="339"/>
    <d v="2024-07-14T00:00:00"/>
    <x v="2"/>
    <s v="Jul"/>
    <x v="4"/>
    <x v="1"/>
    <n v="119871.488"/>
    <n v="32"/>
    <x v="2"/>
    <n v="2910.86"/>
    <n v="4682.4799999999996"/>
    <n v="26723.967999999993"/>
    <s v="New"/>
    <n v="0.2"/>
    <s v="Cash"/>
    <s v="Retail"/>
    <x v="6"/>
  </r>
  <r>
    <n v="1050"/>
    <x v="44"/>
    <d v="2024-07-14T00:00:00"/>
    <x v="2"/>
    <s v="Jul"/>
    <x v="0"/>
    <x v="1"/>
    <n v="95712.974999999991"/>
    <n v="27"/>
    <x v="1"/>
    <n v="1865.02"/>
    <n v="3731.5"/>
    <n v="45357.43499999999"/>
    <s v="Returning"/>
    <n v="0.05"/>
    <s v="Bank Transfer"/>
    <s v="Online"/>
    <x v="19"/>
  </r>
  <r>
    <n v="1056"/>
    <x v="136"/>
    <d v="2024-07-15T00:00:00"/>
    <x v="2"/>
    <s v="Jul"/>
    <x v="2"/>
    <x v="0"/>
    <n v="49919.083200000001"/>
    <n v="18"/>
    <x v="0"/>
    <n v="345.21"/>
    <n v="2829.88"/>
    <n v="43705.303200000002"/>
    <s v="Returning"/>
    <n v="0.02"/>
    <s v="Bank Transfer"/>
    <s v="Online"/>
    <x v="18"/>
  </r>
  <r>
    <n v="1073"/>
    <x v="47"/>
    <d v="2024-07-15T00:00:00"/>
    <x v="2"/>
    <s v="Jul"/>
    <x v="1"/>
    <x v="0"/>
    <n v="186383.83500000002"/>
    <n v="45"/>
    <x v="3"/>
    <n v="252.17"/>
    <n v="4602.07"/>
    <n v="175036.185"/>
    <s v="Returning"/>
    <n v="0.1"/>
    <s v="Cash"/>
    <s v="Online"/>
    <x v="10"/>
  </r>
  <r>
    <n v="1044"/>
    <x v="241"/>
    <d v="2024-07-16T00:00:00"/>
    <x v="2"/>
    <s v="Jul"/>
    <x v="4"/>
    <x v="2"/>
    <n v="3111.9680000000008"/>
    <n v="10"/>
    <x v="1"/>
    <n v="80.459999999999994"/>
    <n v="393.92"/>
    <n v="2307.3680000000008"/>
    <s v="New"/>
    <n v="0.21"/>
    <s v="Cash"/>
    <s v="Retail"/>
    <x v="17"/>
  </r>
  <r>
    <n v="1083"/>
    <x v="377"/>
    <d v="2024-07-16T00:00:00"/>
    <x v="2"/>
    <s v="Jul"/>
    <x v="4"/>
    <x v="1"/>
    <n v="72478.719413915998"/>
    <n v="16"/>
    <x v="1"/>
    <n v="3918.79"/>
    <n v="4715.92"/>
    <n v="9735.8911999999982"/>
    <s v="New"/>
    <n v="0.04"/>
    <s v="Cash"/>
    <s v="Online"/>
    <x v="6"/>
  </r>
  <r>
    <n v="1036"/>
    <x v="242"/>
    <d v="2024-07-16T00:00:00"/>
    <x v="2"/>
    <s v="Jul"/>
    <x v="4"/>
    <x v="0"/>
    <n v="38796.565500000004"/>
    <n v="15"/>
    <x v="1"/>
    <n v="1306.6400000000001"/>
    <n v="3359.01"/>
    <n v="19196.965500000006"/>
    <s v="Returning"/>
    <n v="0.23"/>
    <s v="Bank Transfer"/>
    <s v="Online"/>
    <x v="13"/>
  </r>
  <r>
    <n v="1065"/>
    <x v="71"/>
    <d v="2024-07-16T00:00:00"/>
    <x v="2"/>
    <s v="Jul"/>
    <x v="2"/>
    <x v="0"/>
    <n v="25553.555999999997"/>
    <n v="7"/>
    <x v="2"/>
    <n v="126.21"/>
    <n v="3842.64"/>
    <n v="24670.085999999999"/>
    <s v="New"/>
    <n v="0.05"/>
    <s v="Credit Card"/>
    <s v="Retail"/>
    <x v="18"/>
  </r>
  <r>
    <n v="1081"/>
    <x v="250"/>
    <d v="2024-07-17T00:00:00"/>
    <x v="2"/>
    <s v="Jul"/>
    <x v="0"/>
    <x v="2"/>
    <n v="1763.8235999999999"/>
    <n v="1"/>
    <x v="3"/>
    <n v="557.78"/>
    <n v="2099.79"/>
    <n v="1206.0436"/>
    <s v="Returning"/>
    <n v="0.16"/>
    <s v="Bank Transfer"/>
    <s v="Online"/>
    <x v="2"/>
  </r>
  <r>
    <n v="1051"/>
    <x v="213"/>
    <d v="2024-07-17T00:00:00"/>
    <x v="2"/>
    <s v="Jul"/>
    <x v="1"/>
    <x v="1"/>
    <n v="67029.799200000009"/>
    <n v="24"/>
    <x v="0"/>
    <n v="1656.57"/>
    <n v="3069.13"/>
    <n v="27272.119200000001"/>
    <s v="New"/>
    <n v="0.09"/>
    <s v="Bank Transfer"/>
    <s v="Online"/>
    <x v="1"/>
  </r>
  <r>
    <n v="1069"/>
    <x v="184"/>
    <d v="2024-07-17T00:00:00"/>
    <x v="2"/>
    <s v="Jul"/>
    <x v="3"/>
    <x v="3"/>
    <n v="167588.49239999999"/>
    <n v="43"/>
    <x v="3"/>
    <n v="546.75"/>
    <n v="4190.76"/>
    <n v="144078.24239999999"/>
    <s v="New"/>
    <n v="7.0000000000000007E-2"/>
    <s v="Cash"/>
    <s v="Retail"/>
    <x v="4"/>
  </r>
  <r>
    <n v="1052"/>
    <x v="86"/>
    <d v="2024-07-18T00:00:00"/>
    <x v="2"/>
    <s v="Jul"/>
    <x v="1"/>
    <x v="1"/>
    <n v="18696.164999999997"/>
    <n v="6"/>
    <x v="2"/>
    <n v="1990.47"/>
    <n v="3754.25"/>
    <n v="6753.3449999999975"/>
    <s v="Returning"/>
    <n v="0.17"/>
    <s v="Bank Transfer"/>
    <s v="Online"/>
    <x v="1"/>
  </r>
  <r>
    <n v="1008"/>
    <x v="173"/>
    <d v="2024-07-18T00:00:00"/>
    <x v="2"/>
    <s v="Jul"/>
    <x v="0"/>
    <x v="3"/>
    <n v="127835.73"/>
    <n v="33"/>
    <x v="3"/>
    <n v="311.56"/>
    <n v="3873.81"/>
    <n v="117554.25"/>
    <s v="New"/>
    <n v="0"/>
    <s v="Cash"/>
    <s v="Retail"/>
    <x v="5"/>
  </r>
  <r>
    <n v="1020"/>
    <x v="68"/>
    <d v="2024-07-19T00:00:00"/>
    <x v="2"/>
    <s v="Jul"/>
    <x v="2"/>
    <x v="3"/>
    <n v="68158.728000000003"/>
    <n v="30"/>
    <x v="2"/>
    <n v="2186.2600000000002"/>
    <n v="2770.68"/>
    <n v="2570.927999999999"/>
    <s v="Returning"/>
    <n v="0.18"/>
    <s v="Cash"/>
    <s v="Retail"/>
    <x v="3"/>
  </r>
  <r>
    <n v="1064"/>
    <x v="88"/>
    <d v="2024-07-19T00:00:00"/>
    <x v="2"/>
    <s v="Jul"/>
    <x v="3"/>
    <x v="2"/>
    <n v="90339.477810629192"/>
    <n v="18"/>
    <x v="3"/>
    <n v="4174.09"/>
    <n v="5046.1099999999997"/>
    <n v="14788.060199999984"/>
    <s v="Returning"/>
    <n v="0.01"/>
    <s v="Credit Card"/>
    <s v="Online"/>
    <x v="9"/>
  </r>
  <r>
    <n v="1074"/>
    <x v="17"/>
    <d v="2024-07-19T00:00:00"/>
    <x v="2"/>
    <s v="Jul"/>
    <x v="4"/>
    <x v="3"/>
    <n v="87110.135999999984"/>
    <n v="36"/>
    <x v="1"/>
    <n v="500.59"/>
    <n v="2547.08"/>
    <n v="69088.895999999993"/>
    <s v="Returning"/>
    <n v="0.05"/>
    <s v="Cash"/>
    <s v="Online"/>
    <x v="12"/>
  </r>
  <r>
    <n v="1046"/>
    <x v="261"/>
    <d v="2024-07-20T00:00:00"/>
    <x v="2"/>
    <s v="Jul"/>
    <x v="0"/>
    <x v="3"/>
    <n v="91153.272564229206"/>
    <n v="25"/>
    <x v="2"/>
    <n v="3537.94"/>
    <n v="3674.38"/>
    <n v="2492.4049999999966"/>
    <s v="New"/>
    <n v="0.01"/>
    <s v="Bank Transfer"/>
    <s v="Online"/>
    <x v="5"/>
  </r>
  <r>
    <n v="1026"/>
    <x v="197"/>
    <d v="2024-07-20T00:00:00"/>
    <x v="2"/>
    <s v="Jul"/>
    <x v="2"/>
    <x v="3"/>
    <n v="115149.32"/>
    <n v="40"/>
    <x v="0"/>
    <n v="2175.9499999999998"/>
    <n v="3510.65"/>
    <n v="28111.320000000014"/>
    <s v="Returning"/>
    <n v="0.18"/>
    <s v="Credit Card"/>
    <s v="Online"/>
    <x v="3"/>
  </r>
  <r>
    <n v="1093"/>
    <x v="180"/>
    <d v="2024-07-20T00:00:00"/>
    <x v="2"/>
    <s v="Jul"/>
    <x v="0"/>
    <x v="2"/>
    <n v="138301.96770000001"/>
    <n v="39"/>
    <x v="1"/>
    <n v="2481.37"/>
    <n v="4378.03"/>
    <n v="41528.537700000001"/>
    <s v="New"/>
    <n v="0.19"/>
    <s v="Bank Transfer"/>
    <s v="Retail"/>
    <x v="2"/>
  </r>
  <r>
    <n v="1095"/>
    <x v="94"/>
    <d v="2024-07-20T00:00:00"/>
    <x v="2"/>
    <s v="Jul"/>
    <x v="0"/>
    <x v="2"/>
    <n v="95678.436000000002"/>
    <n v="35"/>
    <x v="2"/>
    <n v="1122.27"/>
    <n v="2971.38"/>
    <n v="56398.986000000004"/>
    <s v="Returning"/>
    <n v="0.08"/>
    <s v="Bank Transfer"/>
    <s v="Retail"/>
    <x v="2"/>
  </r>
  <r>
    <n v="1057"/>
    <x v="208"/>
    <d v="2024-07-21T00:00:00"/>
    <x v="2"/>
    <s v="Jul"/>
    <x v="3"/>
    <x v="2"/>
    <n v="189521.7519"/>
    <n v="47"/>
    <x v="0"/>
    <n v="1402.65"/>
    <n v="4335.8900000000003"/>
    <n v="123597.2019"/>
    <s v="Returning"/>
    <n v="7.0000000000000007E-2"/>
    <s v="Credit Card"/>
    <s v="Online"/>
    <x v="9"/>
  </r>
  <r>
    <n v="1095"/>
    <x v="94"/>
    <d v="2024-07-22T00:00:00"/>
    <x v="2"/>
    <s v="Jul"/>
    <x v="4"/>
    <x v="3"/>
    <n v="37485.366203118043"/>
    <n v="16"/>
    <x v="2"/>
    <n v="2033.82"/>
    <n v="2419.15"/>
    <n v="5004.0879999999997"/>
    <s v="New"/>
    <n v="0.03"/>
    <s v="Bank Transfer"/>
    <s v="Retail"/>
    <x v="12"/>
  </r>
  <r>
    <n v="1089"/>
    <x v="214"/>
    <d v="2024-07-22T00:00:00"/>
    <x v="2"/>
    <s v="Jul"/>
    <x v="3"/>
    <x v="3"/>
    <n v="44165.816000000006"/>
    <n v="20"/>
    <x v="2"/>
    <n v="1589.82"/>
    <n v="2567.7800000000002"/>
    <n v="12369.416000000005"/>
    <s v="Returning"/>
    <n v="0.14000000000000001"/>
    <s v="Cash"/>
    <s v="Online"/>
    <x v="4"/>
  </r>
  <r>
    <n v="1086"/>
    <x v="23"/>
    <d v="2024-07-22T00:00:00"/>
    <x v="2"/>
    <s v="Jul"/>
    <x v="2"/>
    <x v="0"/>
    <n v="30078.160000000003"/>
    <n v="25"/>
    <x v="1"/>
    <n v="250.83"/>
    <n v="1227.68"/>
    <n v="23807.41"/>
    <s v="New"/>
    <n v="0.02"/>
    <s v="Credit Card"/>
    <s v="Retail"/>
    <x v="18"/>
  </r>
  <r>
    <n v="1091"/>
    <x v="60"/>
    <d v="2024-07-22T00:00:00"/>
    <x v="2"/>
    <s v="Jul"/>
    <x v="3"/>
    <x v="1"/>
    <n v="149085.21434530558"/>
    <n v="49"/>
    <x v="1"/>
    <n v="2475.3200000000002"/>
    <n v="3165.47"/>
    <n v="27613.028799999971"/>
    <s v="Returning"/>
    <n v="0.04"/>
    <s v="Credit Card"/>
    <s v="Online"/>
    <x v="16"/>
  </r>
  <r>
    <n v="1088"/>
    <x v="156"/>
    <d v="2024-07-23T00:00:00"/>
    <x v="2"/>
    <s v="Jul"/>
    <x v="2"/>
    <x v="3"/>
    <n v="126081.41888478771"/>
    <n v="24"/>
    <x v="3"/>
    <n v="4433.1899999999996"/>
    <n v="5256.19"/>
    <n v="19752"/>
    <s v="New"/>
    <n v="0"/>
    <s v="Credit Card"/>
    <s v="Retail"/>
    <x v="3"/>
  </r>
  <r>
    <n v="1053"/>
    <x v="265"/>
    <d v="2024-07-23T00:00:00"/>
    <x v="2"/>
    <s v="Jul"/>
    <x v="4"/>
    <x v="3"/>
    <n v="125312.99040000001"/>
    <n v="39"/>
    <x v="0"/>
    <n v="1530.15"/>
    <n v="3918.48"/>
    <n v="65637.140400000004"/>
    <s v="New"/>
    <n v="0.18"/>
    <s v="Bank Transfer"/>
    <s v="Online"/>
    <x v="12"/>
  </r>
  <r>
    <n v="1030"/>
    <x v="195"/>
    <d v="2024-07-24T00:00:00"/>
    <x v="2"/>
    <s v="Jul"/>
    <x v="1"/>
    <x v="2"/>
    <n v="100431.11249999999"/>
    <n v="25"/>
    <x v="3"/>
    <n v="3976.48"/>
    <n v="4726.17"/>
    <n v="1019.1124999999943"/>
    <s v="New"/>
    <n v="0.15"/>
    <s v="Bank Transfer"/>
    <s v="Retail"/>
    <x v="15"/>
  </r>
  <r>
    <n v="1097"/>
    <x v="174"/>
    <d v="2024-07-24T00:00:00"/>
    <x v="2"/>
    <s v="Jul"/>
    <x v="2"/>
    <x v="0"/>
    <n v="40753.621999999996"/>
    <n v="13"/>
    <x v="2"/>
    <n v="1010.56"/>
    <n v="4478.42"/>
    <n v="27616.341999999997"/>
    <s v="Returning"/>
    <n v="0.3"/>
    <s v="Cash"/>
    <s v="Retail"/>
    <x v="18"/>
  </r>
  <r>
    <n v="1040"/>
    <x v="169"/>
    <d v="2024-07-25T00:00:00"/>
    <x v="2"/>
    <s v="Jul"/>
    <x v="2"/>
    <x v="3"/>
    <n v="30197.0592"/>
    <n v="8"/>
    <x v="0"/>
    <n v="2691.21"/>
    <n v="4241.16"/>
    <n v="8667.3791999999994"/>
    <s v="New"/>
    <n v="0.11"/>
    <s v="Credit Card"/>
    <s v="Online"/>
    <x v="3"/>
  </r>
  <r>
    <n v="1021"/>
    <x v="110"/>
    <d v="2024-07-25T00:00:00"/>
    <x v="2"/>
    <s v="Jul"/>
    <x v="0"/>
    <x v="0"/>
    <n v="95117.795999999973"/>
    <n v="40"/>
    <x v="0"/>
    <n v="2101.77"/>
    <n v="2556.9299999999998"/>
    <n v="11046.995999999981"/>
    <s v="Returning"/>
    <n v="7.0000000000000007E-2"/>
    <s v="Bank Transfer"/>
    <s v="Retail"/>
    <x v="0"/>
  </r>
  <r>
    <n v="1054"/>
    <x v="251"/>
    <d v="2024-07-25T00:00:00"/>
    <x v="2"/>
    <s v="Jul"/>
    <x v="0"/>
    <x v="0"/>
    <n v="39073.147199999999"/>
    <n v="16"/>
    <x v="3"/>
    <n v="1598.53"/>
    <n v="3091.23"/>
    <n v="13496.6672"/>
    <s v="New"/>
    <n v="0.21"/>
    <s v="Bank Transfer"/>
    <s v="Online"/>
    <x v="0"/>
  </r>
  <r>
    <n v="1068"/>
    <x v="78"/>
    <d v="2024-07-26T00:00:00"/>
    <x v="2"/>
    <s v="Jul"/>
    <x v="4"/>
    <x v="2"/>
    <n v="125810.3288"/>
    <n v="26"/>
    <x v="1"/>
    <n v="3465.57"/>
    <n v="5436.92"/>
    <n v="35705.508799999996"/>
    <s v="New"/>
    <n v="0.11"/>
    <s v="Bank Transfer"/>
    <s v="Retail"/>
    <x v="17"/>
  </r>
  <r>
    <n v="1025"/>
    <x v="155"/>
    <d v="2024-07-26T00:00:00"/>
    <x v="2"/>
    <s v="Jul"/>
    <x v="0"/>
    <x v="0"/>
    <n v="52275.220399999998"/>
    <n v="26"/>
    <x v="1"/>
    <n v="280.5"/>
    <n v="2337.89"/>
    <n v="44982.220399999998"/>
    <s v="Returning"/>
    <n v="0.14000000000000001"/>
    <s v="Credit Card"/>
    <s v="Online"/>
    <x v="0"/>
  </r>
  <r>
    <n v="1071"/>
    <x v="153"/>
    <d v="2024-07-26T00:00:00"/>
    <x v="2"/>
    <s v="Jul"/>
    <x v="4"/>
    <x v="0"/>
    <n v="184372.13520000002"/>
    <n v="44"/>
    <x v="0"/>
    <n v="2825.79"/>
    <n v="5173.18"/>
    <n v="60037.375200000017"/>
    <s v="Returning"/>
    <n v="0.19"/>
    <s v="Cash"/>
    <s v="Online"/>
    <x v="13"/>
  </r>
  <r>
    <n v="1001"/>
    <x v="212"/>
    <d v="2024-07-26T00:00:00"/>
    <x v="2"/>
    <s v="Jul"/>
    <x v="2"/>
    <x v="3"/>
    <n v="134336.60250000001"/>
    <n v="41"/>
    <x v="3"/>
    <n v="1449.5"/>
    <n v="4368.67"/>
    <n v="74907.102500000008"/>
    <s v="Returning"/>
    <n v="0.25"/>
    <s v="Cash"/>
    <s v="Online"/>
    <x v="3"/>
  </r>
  <r>
    <n v="1076"/>
    <x v="142"/>
    <d v="2024-07-26T00:00:00"/>
    <x v="2"/>
    <s v="Jul"/>
    <x v="3"/>
    <x v="3"/>
    <n v="88003.551999999996"/>
    <n v="20"/>
    <x v="2"/>
    <n v="301.77"/>
    <n v="4835.3599999999997"/>
    <n v="81968.152000000002"/>
    <s v="New"/>
    <n v="0.09"/>
    <s v="Bank Transfer"/>
    <s v="Online"/>
    <x v="4"/>
  </r>
  <r>
    <n v="1022"/>
    <x v="248"/>
    <d v="2024-07-27T00:00:00"/>
    <x v="2"/>
    <s v="Jul"/>
    <x v="3"/>
    <x v="0"/>
    <n v="67551.960000000006"/>
    <n v="21"/>
    <x v="2"/>
    <n v="696.43"/>
    <n v="4020.95"/>
    <n v="52926.930000000008"/>
    <s v="New"/>
    <n v="0.2"/>
    <s v="Cash"/>
    <s v="Retail"/>
    <x v="11"/>
  </r>
  <r>
    <n v="1037"/>
    <x v="365"/>
    <d v="2024-07-28T00:00:00"/>
    <x v="2"/>
    <s v="Jul"/>
    <x v="3"/>
    <x v="3"/>
    <n v="144324.97338510858"/>
    <n v="31"/>
    <x v="1"/>
    <n v="4640.04"/>
    <n v="4808.84"/>
    <n v="760.57880000001114"/>
    <s v="New"/>
    <n v="0.03"/>
    <s v="Bank Transfer"/>
    <s v="Online"/>
    <x v="4"/>
  </r>
  <r>
    <n v="1001"/>
    <x v="8"/>
    <d v="2024-07-28T00:00:00"/>
    <x v="2"/>
    <s v="Jul"/>
    <x v="3"/>
    <x v="0"/>
    <n v="89366.775799146504"/>
    <n v="37"/>
    <x v="0"/>
    <n v="2166.16"/>
    <n v="2504.5700000000002"/>
    <n v="8814.4064000000108"/>
    <s v="New"/>
    <n v="0.04"/>
    <s v="Bank Transfer"/>
    <s v="Retail"/>
    <x v="11"/>
  </r>
  <r>
    <n v="1001"/>
    <x v="292"/>
    <d v="2024-07-28T00:00:00"/>
    <x v="2"/>
    <s v="Jul"/>
    <x v="4"/>
    <x v="1"/>
    <n v="95333.630499999999"/>
    <n v="41"/>
    <x v="1"/>
    <n v="2096.16"/>
    <n v="2447.59"/>
    <n v="9391.0705000000125"/>
    <s v="New"/>
    <n v="0.05"/>
    <s v="Credit Card"/>
    <s v="Online"/>
    <x v="6"/>
  </r>
  <r>
    <n v="1002"/>
    <x v="335"/>
    <d v="2024-07-28T00:00:00"/>
    <x v="2"/>
    <s v="Jul"/>
    <x v="3"/>
    <x v="0"/>
    <n v="45080.294399999999"/>
    <n v="16"/>
    <x v="2"/>
    <n v="1303.4100000000001"/>
    <n v="3913.22"/>
    <n v="24225.734399999998"/>
    <s v="New"/>
    <n v="0.28000000000000003"/>
    <s v="Bank Transfer"/>
    <s v="Online"/>
    <x v="11"/>
  </r>
  <r>
    <n v="1002"/>
    <x v="262"/>
    <d v="2024-07-29T00:00:00"/>
    <x v="2"/>
    <s v="Jul"/>
    <x v="4"/>
    <x v="3"/>
    <n v="82990.521599999993"/>
    <n v="31"/>
    <x v="1"/>
    <n v="1290.1099999999999"/>
    <n v="2788.66"/>
    <n v="42997.111599999997"/>
    <s v="Returning"/>
    <n v="0.04"/>
    <s v="Cash"/>
    <s v="Retail"/>
    <x v="12"/>
  </r>
  <r>
    <n v="1050"/>
    <x v="254"/>
    <d v="2024-07-29T00:00:00"/>
    <x v="2"/>
    <s v="Jul"/>
    <x v="0"/>
    <x v="2"/>
    <n v="154673.79199999999"/>
    <n v="35"/>
    <x v="3"/>
    <n v="2343.1999999999998"/>
    <n v="4509.4399999999996"/>
    <n v="72661.792000000001"/>
    <s v="Returning"/>
    <n v="0.02"/>
    <s v="Credit Card"/>
    <s v="Online"/>
    <x v="2"/>
  </r>
  <r>
    <n v="1012"/>
    <x v="296"/>
    <d v="2024-07-30T00:00:00"/>
    <x v="2"/>
    <s v="Jul"/>
    <x v="3"/>
    <x v="0"/>
    <n v="73571.404415568992"/>
    <n v="19"/>
    <x v="3"/>
    <n v="3308.99"/>
    <n v="3947.21"/>
    <n v="10626.240200000007"/>
    <s v="Returning"/>
    <n v="0.02"/>
    <s v="Bank Transfer"/>
    <s v="Retail"/>
    <x v="11"/>
  </r>
  <r>
    <n v="1028"/>
    <x v="295"/>
    <d v="2024-07-30T00:00:00"/>
    <x v="2"/>
    <s v="Jul"/>
    <x v="3"/>
    <x v="0"/>
    <n v="51635.149999999994"/>
    <n v="31"/>
    <x v="1"/>
    <n v="1193.3800000000001"/>
    <n v="2379.5"/>
    <n v="14640.369999999992"/>
    <s v="Returning"/>
    <n v="0.3"/>
    <s v="Cash"/>
    <s v="Online"/>
    <x v="11"/>
  </r>
  <r>
    <n v="1009"/>
    <x v="39"/>
    <d v="2024-07-30T00:00:00"/>
    <x v="2"/>
    <s v="Jul"/>
    <x v="3"/>
    <x v="3"/>
    <n v="157278.67199999999"/>
    <n v="36"/>
    <x v="3"/>
    <n v="1656.96"/>
    <n v="4854.28"/>
    <n v="97628.111999999994"/>
    <s v="New"/>
    <n v="0.1"/>
    <s v="Bank Transfer"/>
    <s v="Online"/>
    <x v="4"/>
  </r>
  <r>
    <n v="1011"/>
    <x v="387"/>
    <d v="2024-07-31T00:00:00"/>
    <x v="2"/>
    <s v="Jul"/>
    <x v="4"/>
    <x v="2"/>
    <n v="156418.75199999998"/>
    <n v="35"/>
    <x v="0"/>
    <n v="4012.2"/>
    <n v="4655.32"/>
    <n v="15991.751999999988"/>
    <s v="New"/>
    <n v="0.04"/>
    <s v="Bank Transfer"/>
    <s v="Retail"/>
    <x v="17"/>
  </r>
  <r>
    <n v="1084"/>
    <x v="64"/>
    <d v="2024-08-01T00:00:00"/>
    <x v="2"/>
    <s v="Aug"/>
    <x v="2"/>
    <x v="0"/>
    <n v="29080.682800000002"/>
    <n v="26"/>
    <x v="1"/>
    <n v="855.72"/>
    <n v="1511.47"/>
    <n v="6831.9628000000021"/>
    <s v="Returning"/>
    <n v="0.26"/>
    <s v="Bank Transfer"/>
    <s v="Retail"/>
    <x v="18"/>
  </r>
  <r>
    <n v="1015"/>
    <x v="144"/>
    <d v="2024-08-01T00:00:00"/>
    <x v="2"/>
    <s v="Aug"/>
    <x v="4"/>
    <x v="3"/>
    <n v="118634.88"/>
    <n v="40"/>
    <x v="3"/>
    <n v="2376.13"/>
    <n v="3802.4"/>
    <n v="23589.680000000008"/>
    <s v="New"/>
    <n v="0.22"/>
    <s v="Bank Transfer"/>
    <s v="Online"/>
    <x v="12"/>
  </r>
  <r>
    <n v="1007"/>
    <x v="221"/>
    <d v="2024-08-02T00:00:00"/>
    <x v="2"/>
    <s v="Aug"/>
    <x v="0"/>
    <x v="2"/>
    <n v="15733.702240662462"/>
    <n v="5"/>
    <x v="3"/>
    <n v="2561.9499999999998"/>
    <n v="3173.8"/>
    <n v="2900.5600000000027"/>
    <s v="Returning"/>
    <n v="0.01"/>
    <s v="Bank Transfer"/>
    <s v="Online"/>
    <x v="2"/>
  </r>
  <r>
    <n v="1072"/>
    <x v="249"/>
    <d v="2024-08-02T00:00:00"/>
    <x v="2"/>
    <s v="Aug"/>
    <x v="1"/>
    <x v="0"/>
    <n v="78962.612503807875"/>
    <n v="35"/>
    <x v="3"/>
    <n v="2130.7800000000002"/>
    <n v="2314.41"/>
    <n v="3996.91949999999"/>
    <s v="New"/>
    <n v="0.03"/>
    <s v="Cash"/>
    <s v="Online"/>
    <x v="10"/>
  </r>
  <r>
    <n v="1058"/>
    <x v="222"/>
    <d v="2024-08-02T00:00:00"/>
    <x v="2"/>
    <s v="Aug"/>
    <x v="4"/>
    <x v="1"/>
    <n v="78194.97"/>
    <n v="28"/>
    <x v="3"/>
    <n v="987.04"/>
    <n v="3723.57"/>
    <n v="50557.850000000006"/>
    <s v="Returning"/>
    <n v="0.25"/>
    <s v="Credit Card"/>
    <s v="Online"/>
    <x v="6"/>
  </r>
  <r>
    <n v="1066"/>
    <x v="362"/>
    <d v="2024-08-02T00:00:00"/>
    <x v="2"/>
    <s v="Aug"/>
    <x v="2"/>
    <x v="3"/>
    <n v="70331.395199999999"/>
    <n v="44"/>
    <x v="2"/>
    <n v="121.71"/>
    <n v="1816.41"/>
    <n v="64976.155200000001"/>
    <s v="Returning"/>
    <n v="0.12"/>
    <s v="Cash"/>
    <s v="Retail"/>
    <x v="3"/>
  </r>
  <r>
    <n v="1045"/>
    <x v="121"/>
    <d v="2024-08-02T00:00:00"/>
    <x v="2"/>
    <s v="Aug"/>
    <x v="4"/>
    <x v="0"/>
    <n v="140763.98699999999"/>
    <n v="45"/>
    <x v="1"/>
    <n v="1459.03"/>
    <n v="3437.46"/>
    <n v="75107.637000000002"/>
    <s v="Returning"/>
    <n v="0.09"/>
    <s v="Cash"/>
    <s v="Retail"/>
    <x v="13"/>
  </r>
  <r>
    <n v="1009"/>
    <x v="355"/>
    <d v="2024-08-03T00:00:00"/>
    <x v="2"/>
    <s v="Aug"/>
    <x v="3"/>
    <x v="1"/>
    <n v="31247.703999999998"/>
    <n v="19"/>
    <x v="1"/>
    <n v="364.52"/>
    <n v="2055.77"/>
    <n v="24321.824000000001"/>
    <s v="New"/>
    <n v="0.2"/>
    <s v="Cash"/>
    <s v="Online"/>
    <x v="16"/>
  </r>
  <r>
    <n v="1078"/>
    <x v="308"/>
    <d v="2024-08-04T00:00:00"/>
    <x v="2"/>
    <s v="Aug"/>
    <x v="4"/>
    <x v="3"/>
    <n v="13611.904151259198"/>
    <n v="3"/>
    <x v="1"/>
    <n v="4444.88"/>
    <n v="4682.79"/>
    <n v="292.27890000000025"/>
    <s v="Returning"/>
    <n v="0.03"/>
    <s v="Bank Transfer"/>
    <s v="Online"/>
    <x v="12"/>
  </r>
  <r>
    <n v="1055"/>
    <x v="391"/>
    <d v="2024-08-04T00:00:00"/>
    <x v="2"/>
    <s v="Aug"/>
    <x v="3"/>
    <x v="2"/>
    <n v="31368.671999999999"/>
    <n v="24"/>
    <x v="0"/>
    <n v="1220.49"/>
    <n v="1519.8"/>
    <n v="2076.9120000000003"/>
    <s v="Returning"/>
    <n v="0.14000000000000001"/>
    <s v="Bank Transfer"/>
    <s v="Retail"/>
    <x v="9"/>
  </r>
  <r>
    <n v="1091"/>
    <x v="14"/>
    <d v="2024-08-05T00:00:00"/>
    <x v="2"/>
    <s v="Aug"/>
    <x v="0"/>
    <x v="1"/>
    <n v="132117.4448"/>
    <n v="34"/>
    <x v="3"/>
    <n v="1578.05"/>
    <n v="4415.6899999999996"/>
    <n v="78463.7448"/>
    <s v="Returning"/>
    <n v="0.12"/>
    <s v="Bank Transfer"/>
    <s v="Retail"/>
    <x v="19"/>
  </r>
  <r>
    <n v="1076"/>
    <x v="142"/>
    <d v="2024-08-06T00:00:00"/>
    <x v="2"/>
    <s v="Aug"/>
    <x v="1"/>
    <x v="0"/>
    <n v="162246.6145"/>
    <n v="41"/>
    <x v="2"/>
    <n v="2766.5"/>
    <n v="4165.51"/>
    <n v="48820.114500000003"/>
    <s v="New"/>
    <n v="0.05"/>
    <s v="Credit Card"/>
    <s v="Retail"/>
    <x v="10"/>
  </r>
  <r>
    <n v="1091"/>
    <x v="14"/>
    <d v="2024-08-06T00:00:00"/>
    <x v="2"/>
    <s v="Aug"/>
    <x v="2"/>
    <x v="3"/>
    <n v="151499.6496"/>
    <n v="39"/>
    <x v="3"/>
    <n v="2182.63"/>
    <n v="4132.5600000000004"/>
    <n v="66377.079599999997"/>
    <s v="Returning"/>
    <n v="0.06"/>
    <s v="Bank Transfer"/>
    <s v="Online"/>
    <x v="3"/>
  </r>
  <r>
    <n v="1092"/>
    <x v="324"/>
    <d v="2024-08-06T00:00:00"/>
    <x v="2"/>
    <s v="Aug"/>
    <x v="2"/>
    <x v="2"/>
    <n v="131997.761"/>
    <n v="47"/>
    <x v="2"/>
    <n v="422.63"/>
    <n v="4012.09"/>
    <n v="112134.15099999998"/>
    <s v="New"/>
    <n v="0.3"/>
    <s v="Cash"/>
    <s v="Retail"/>
    <x v="14"/>
  </r>
  <r>
    <n v="1041"/>
    <x v="143"/>
    <d v="2024-08-07T00:00:00"/>
    <x v="2"/>
    <s v="Aug"/>
    <x v="1"/>
    <x v="2"/>
    <n v="3131.7940417212717"/>
    <n v="1"/>
    <x v="0"/>
    <n v="3109.56"/>
    <n v="3138.62"/>
    <n v="29.059999999999945"/>
    <s v="Returning"/>
    <n v="0"/>
    <s v="Credit Card"/>
    <s v="Retail"/>
    <x v="15"/>
  </r>
  <r>
    <n v="1007"/>
    <x v="205"/>
    <d v="2024-08-07T00:00:00"/>
    <x v="2"/>
    <s v="Aug"/>
    <x v="1"/>
    <x v="2"/>
    <n v="51748.350725409779"/>
    <n v="34"/>
    <x v="0"/>
    <n v="1492.72"/>
    <n v="1522.28"/>
    <n v="1005.0399999999981"/>
    <s v="New"/>
    <n v="0"/>
    <s v="Credit Card"/>
    <s v="Retail"/>
    <x v="15"/>
  </r>
  <r>
    <n v="1019"/>
    <x v="63"/>
    <d v="2024-08-08T00:00:00"/>
    <x v="2"/>
    <s v="Aug"/>
    <x v="4"/>
    <x v="2"/>
    <n v="61027.436800000003"/>
    <n v="22"/>
    <x v="1"/>
    <n v="2440.14"/>
    <n v="3511.36"/>
    <n v="7344.3568000000041"/>
    <s v="Returning"/>
    <n v="0.21"/>
    <s v="Credit Card"/>
    <s v="Online"/>
    <x v="17"/>
  </r>
  <r>
    <n v="1001"/>
    <x v="212"/>
    <d v="2024-08-08T00:00:00"/>
    <x v="2"/>
    <s v="Aug"/>
    <x v="2"/>
    <x v="3"/>
    <n v="65049.029500000011"/>
    <n v="17"/>
    <x v="3"/>
    <n v="3294.09"/>
    <n v="4204.8500000000004"/>
    <n v="9049.4995000000072"/>
    <s v="Returning"/>
    <n v="0.09"/>
    <s v="Cash"/>
    <s v="Online"/>
    <x v="3"/>
  </r>
  <r>
    <n v="1016"/>
    <x v="270"/>
    <d v="2024-08-08T00:00:00"/>
    <x v="2"/>
    <s v="Aug"/>
    <x v="0"/>
    <x v="0"/>
    <n v="48126.78"/>
    <n v="18"/>
    <x v="1"/>
    <n v="2158.66"/>
    <n v="2673.71"/>
    <n v="9270.9000000000033"/>
    <s v="Returning"/>
    <n v="0"/>
    <s v="Bank Transfer"/>
    <s v="Retail"/>
    <x v="0"/>
  </r>
  <r>
    <n v="1063"/>
    <x v="2"/>
    <d v="2024-08-08T00:00:00"/>
    <x v="2"/>
    <s v="Aug"/>
    <x v="4"/>
    <x v="1"/>
    <n v="200284.36800000005"/>
    <n v="46"/>
    <x v="2"/>
    <n v="3324.54"/>
    <n v="5442.51"/>
    <n v="47355.528000000035"/>
    <s v="New"/>
    <n v="0.2"/>
    <s v="Bank Transfer"/>
    <s v="Online"/>
    <x v="6"/>
  </r>
  <r>
    <n v="1028"/>
    <x v="171"/>
    <d v="2024-08-09T00:00:00"/>
    <x v="2"/>
    <s v="Aug"/>
    <x v="0"/>
    <x v="3"/>
    <n v="19218.963200000002"/>
    <n v="8"/>
    <x v="3"/>
    <n v="945.84"/>
    <n v="2929.72"/>
    <n v="11652.243200000001"/>
    <s v="Returning"/>
    <n v="0.18"/>
    <s v="Cash"/>
    <s v="Retail"/>
    <x v="5"/>
  </r>
  <r>
    <n v="1010"/>
    <x v="29"/>
    <d v="2024-08-09T00:00:00"/>
    <x v="2"/>
    <s v="Aug"/>
    <x v="2"/>
    <x v="3"/>
    <n v="133370.77319092184"/>
    <n v="30"/>
    <x v="0"/>
    <n v="3803.22"/>
    <n v="4495.83"/>
    <n v="19429.550999999996"/>
    <s v="Returning"/>
    <n v="0.01"/>
    <s v="Credit Card"/>
    <s v="Online"/>
    <x v="3"/>
  </r>
  <r>
    <n v="1075"/>
    <x v="19"/>
    <d v="2024-08-10T00:00:00"/>
    <x v="2"/>
    <s v="Aug"/>
    <x v="2"/>
    <x v="2"/>
    <n v="112326.45304084945"/>
    <n v="23"/>
    <x v="3"/>
    <n v="4086.48"/>
    <n v="4949.2"/>
    <n v="18704.243999999992"/>
    <s v="Returning"/>
    <n v="0.01"/>
    <s v="Bank Transfer"/>
    <s v="Online"/>
    <x v="14"/>
  </r>
  <r>
    <n v="1021"/>
    <x v="110"/>
    <d v="2024-08-11T00:00:00"/>
    <x v="2"/>
    <s v="Aug"/>
    <x v="0"/>
    <x v="3"/>
    <n v="31635.057999999997"/>
    <n v="26"/>
    <x v="0"/>
    <n v="1195.3599999999999"/>
    <n v="1738.19"/>
    <n v="555.69800000000123"/>
    <s v="Returning"/>
    <n v="0.3"/>
    <s v="Cash"/>
    <s v="Retail"/>
    <x v="5"/>
  </r>
  <r>
    <n v="1073"/>
    <x v="47"/>
    <d v="2024-08-12T00:00:00"/>
    <x v="2"/>
    <s v="Aug"/>
    <x v="0"/>
    <x v="2"/>
    <n v="80018.404999999999"/>
    <n v="38"/>
    <x v="3"/>
    <n v="400.29"/>
    <n v="2477.35"/>
    <n v="64807.385000000002"/>
    <s v="New"/>
    <n v="0.15"/>
    <s v="Credit Card"/>
    <s v="Online"/>
    <x v="2"/>
  </r>
  <r>
    <n v="1022"/>
    <x v="116"/>
    <d v="2024-08-12T00:00:00"/>
    <x v="2"/>
    <s v="Aug"/>
    <x v="0"/>
    <x v="3"/>
    <n v="124332.71319999998"/>
    <n v="37"/>
    <x v="0"/>
    <n v="1340.94"/>
    <n v="4097.9799999999996"/>
    <n v="74717.933199999985"/>
    <s v="Returning"/>
    <n v="0.18"/>
    <s v="Credit Card"/>
    <s v="Retail"/>
    <x v="5"/>
  </r>
  <r>
    <n v="1087"/>
    <x v="194"/>
    <d v="2024-08-13T00:00:00"/>
    <x v="2"/>
    <s v="Aug"/>
    <x v="3"/>
    <x v="0"/>
    <n v="3024.6697736005294"/>
    <n v="1"/>
    <x v="2"/>
    <n v="2660.48"/>
    <n v="3183.85"/>
    <n v="364.17749999999978"/>
    <s v="Returning"/>
    <n v="0.05"/>
    <s v="Bank Transfer"/>
    <s v="Online"/>
    <x v="11"/>
  </r>
  <r>
    <n v="1043"/>
    <x v="399"/>
    <d v="2024-08-13T00:00:00"/>
    <x v="2"/>
    <s v="Aug"/>
    <x v="2"/>
    <x v="3"/>
    <n v="53171.318199999994"/>
    <n v="11"/>
    <x v="0"/>
    <n v="1383.55"/>
    <n v="5311.82"/>
    <n v="37952.268199999999"/>
    <s v="New"/>
    <n v="0.09"/>
    <s v="Credit Card"/>
    <s v="Retail"/>
    <x v="3"/>
  </r>
  <r>
    <n v="1071"/>
    <x v="238"/>
    <d v="2024-08-14T00:00:00"/>
    <x v="2"/>
    <s v="Aug"/>
    <x v="0"/>
    <x v="1"/>
    <n v="65178.719552679977"/>
    <n v="24"/>
    <x v="3"/>
    <n v="2622.9"/>
    <n v="2819.51"/>
    <n v="2011.9104000000007"/>
    <s v="Returning"/>
    <n v="0.04"/>
    <s v="Cash"/>
    <s v="Online"/>
    <x v="19"/>
  </r>
  <r>
    <n v="1075"/>
    <x v="19"/>
    <d v="2024-08-14T00:00:00"/>
    <x v="2"/>
    <s v="Aug"/>
    <x v="3"/>
    <x v="1"/>
    <n v="144033.386"/>
    <n v="35"/>
    <x v="3"/>
    <n v="3774.51"/>
    <n v="4958.12"/>
    <n v="11925.535999999989"/>
    <s v="Returning"/>
    <n v="0.17"/>
    <s v="Cash"/>
    <s v="Online"/>
    <x v="16"/>
  </r>
  <r>
    <n v="1005"/>
    <x v="300"/>
    <d v="2024-08-14T00:00:00"/>
    <x v="2"/>
    <s v="Aug"/>
    <x v="2"/>
    <x v="2"/>
    <n v="138166.19880000001"/>
    <n v="42"/>
    <x v="0"/>
    <n v="1057.75"/>
    <n v="3696.26"/>
    <n v="93740.698800000013"/>
    <s v="Returning"/>
    <n v="0.11"/>
    <s v="Bank Transfer"/>
    <s v="Online"/>
    <x v="14"/>
  </r>
  <r>
    <n v="1060"/>
    <x v="245"/>
    <d v="2024-08-16T00:00:00"/>
    <x v="2"/>
    <s v="Aug"/>
    <x v="4"/>
    <x v="1"/>
    <n v="13112.3856"/>
    <n v="4"/>
    <x v="2"/>
    <n v="2999.61"/>
    <n v="3811.74"/>
    <n v="1113.9455999999991"/>
    <s v="New"/>
    <n v="0.14000000000000001"/>
    <s v="Cash"/>
    <s v="Retail"/>
    <x v="6"/>
  </r>
  <r>
    <n v="1016"/>
    <x v="193"/>
    <d v="2024-08-16T00:00:00"/>
    <x v="2"/>
    <s v="Aug"/>
    <x v="2"/>
    <x v="3"/>
    <n v="20877.152002227158"/>
    <n v="6"/>
    <x v="2"/>
    <n v="2656.36"/>
    <n v="3595.2"/>
    <n v="4985.9039999999968"/>
    <s v="New"/>
    <n v="0.03"/>
    <s v="Cash"/>
    <s v="Online"/>
    <x v="3"/>
  </r>
  <r>
    <n v="1003"/>
    <x v="104"/>
    <d v="2024-08-16T00:00:00"/>
    <x v="2"/>
    <s v="Aug"/>
    <x v="1"/>
    <x v="0"/>
    <n v="60487.686000000002"/>
    <n v="14"/>
    <x v="0"/>
    <n v="3412.38"/>
    <n v="4800.6099999999997"/>
    <n v="12714.365999999998"/>
    <s v="Returning"/>
    <n v="0.1"/>
    <s v="Credit Card"/>
    <s v="Online"/>
    <x v="10"/>
  </r>
  <r>
    <n v="1008"/>
    <x v="173"/>
    <d v="2024-08-16T00:00:00"/>
    <x v="2"/>
    <s v="Aug"/>
    <x v="1"/>
    <x v="3"/>
    <n v="123003.3428"/>
    <n v="26"/>
    <x v="3"/>
    <n v="318.38"/>
    <n v="5032.87"/>
    <n v="114725.46279999999"/>
    <s v="New"/>
    <n v="0.06"/>
    <s v="Bank Transfer"/>
    <s v="Retail"/>
    <x v="7"/>
  </r>
  <r>
    <n v="1066"/>
    <x v="346"/>
    <d v="2024-08-17T00:00:00"/>
    <x v="2"/>
    <s v="Aug"/>
    <x v="4"/>
    <x v="3"/>
    <n v="21441.348000000002"/>
    <n v="6"/>
    <x v="3"/>
    <n v="2911.92"/>
    <n v="4411.8"/>
    <n v="3969.8280000000022"/>
    <s v="Returning"/>
    <n v="0.19"/>
    <s v="Cash"/>
    <s v="Retail"/>
    <x v="12"/>
  </r>
  <r>
    <n v="1062"/>
    <x v="282"/>
    <d v="2024-08-17T00:00:00"/>
    <x v="2"/>
    <s v="Aug"/>
    <x v="4"/>
    <x v="2"/>
    <n v="92324.06277252447"/>
    <n v="40"/>
    <x v="3"/>
    <n v="2201.42"/>
    <n v="2427.42"/>
    <n v="4185.1599999999962"/>
    <s v="New"/>
    <n v="0.05"/>
    <s v="Bank Transfer"/>
    <s v="Retail"/>
    <x v="17"/>
  </r>
  <r>
    <n v="1076"/>
    <x v="129"/>
    <d v="2024-08-17T00:00:00"/>
    <x v="2"/>
    <s v="Aug"/>
    <x v="4"/>
    <x v="3"/>
    <n v="69256.915200000003"/>
    <n v="18"/>
    <x v="1"/>
    <n v="3203.67"/>
    <n v="5062.6400000000003"/>
    <n v="11590.855200000002"/>
    <s v="New"/>
    <n v="0.24"/>
    <s v="Credit Card"/>
    <s v="Online"/>
    <x v="12"/>
  </r>
  <r>
    <n v="1001"/>
    <x v="315"/>
    <d v="2024-08-17T00:00:00"/>
    <x v="2"/>
    <s v="Aug"/>
    <x v="1"/>
    <x v="3"/>
    <n v="171595.584"/>
    <n v="48"/>
    <x v="2"/>
    <n v="1916.61"/>
    <n v="4525.2"/>
    <n v="79598.304000000004"/>
    <s v="Returning"/>
    <n v="0.21"/>
    <s v="Cash"/>
    <s v="Online"/>
    <x v="7"/>
  </r>
  <r>
    <n v="1026"/>
    <x v="197"/>
    <d v="2024-08-19T00:00:00"/>
    <x v="2"/>
    <s v="Aug"/>
    <x v="0"/>
    <x v="1"/>
    <n v="2763.9413999999997"/>
    <n v="2"/>
    <x v="0"/>
    <n v="137"/>
    <n v="1485.99"/>
    <n v="2489.9413999999997"/>
    <s v="New"/>
    <n v="7.0000000000000007E-2"/>
    <s v="Bank Transfer"/>
    <s v="Retail"/>
    <x v="19"/>
  </r>
  <r>
    <n v="1072"/>
    <x v="249"/>
    <d v="2024-08-19T00:00:00"/>
    <x v="2"/>
    <s v="Aug"/>
    <x v="3"/>
    <x v="2"/>
    <n v="42543.467999999993"/>
    <n v="24"/>
    <x v="3"/>
    <n v="1627.29"/>
    <n v="1790.55"/>
    <n v="3488.507999999998"/>
    <s v="New"/>
    <n v="0.01"/>
    <s v="Bank Transfer"/>
    <s v="Retail"/>
    <x v="9"/>
  </r>
  <r>
    <n v="1056"/>
    <x v="145"/>
    <d v="2024-08-19T00:00:00"/>
    <x v="2"/>
    <s v="Aug"/>
    <x v="0"/>
    <x v="3"/>
    <n v="53259.186399999999"/>
    <n v="14"/>
    <x v="2"/>
    <n v="3470.63"/>
    <n v="4135.03"/>
    <n v="4670.3663999999944"/>
    <s v="New"/>
    <n v="0.08"/>
    <s v="Bank Transfer"/>
    <s v="Online"/>
    <x v="5"/>
  </r>
  <r>
    <n v="1029"/>
    <x v="203"/>
    <d v="2024-08-19T00:00:00"/>
    <x v="2"/>
    <s v="Aug"/>
    <x v="4"/>
    <x v="1"/>
    <n v="24677.625"/>
    <n v="6"/>
    <x v="0"/>
    <n v="563.75"/>
    <n v="4838.75"/>
    <n v="21295.125"/>
    <s v="New"/>
    <n v="0.15"/>
    <s v="Cash"/>
    <s v="Online"/>
    <x v="6"/>
  </r>
  <r>
    <n v="1018"/>
    <x v="320"/>
    <d v="2024-08-19T00:00:00"/>
    <x v="2"/>
    <s v="Aug"/>
    <x v="1"/>
    <x v="2"/>
    <n v="70440.578999999998"/>
    <n v="43"/>
    <x v="0"/>
    <n v="1121.8599999999999"/>
    <n v="1654.7"/>
    <n v="22200.599000000006"/>
    <s v="Returning"/>
    <n v="0.01"/>
    <s v="Bank Transfer"/>
    <s v="Online"/>
    <x v="15"/>
  </r>
  <r>
    <n v="1048"/>
    <x v="280"/>
    <d v="2024-08-19T00:00:00"/>
    <x v="2"/>
    <s v="Aug"/>
    <x v="2"/>
    <x v="3"/>
    <n v="103137.95959999999"/>
    <n v="26"/>
    <x v="0"/>
    <n v="2835.93"/>
    <n v="4612.6099999999997"/>
    <n v="29403.779599999991"/>
    <s v="Returning"/>
    <n v="0.14000000000000001"/>
    <s v="Cash"/>
    <s v="Online"/>
    <x v="3"/>
  </r>
  <r>
    <n v="1012"/>
    <x v="393"/>
    <d v="2024-08-19T00:00:00"/>
    <x v="2"/>
    <s v="Aug"/>
    <x v="4"/>
    <x v="0"/>
    <n v="181686.48713236031"/>
    <n v="39"/>
    <x v="1"/>
    <n v="3715.45"/>
    <n v="4717.1400000000003"/>
    <n v="37226.22540000001"/>
    <s v="Returning"/>
    <n v="0.01"/>
    <s v="Bank Transfer"/>
    <s v="Online"/>
    <x v="13"/>
  </r>
  <r>
    <n v="1002"/>
    <x v="262"/>
    <d v="2024-08-19T00:00:00"/>
    <x v="2"/>
    <s v="Aug"/>
    <x v="0"/>
    <x v="2"/>
    <n v="71487.415999999997"/>
    <n v="22"/>
    <x v="1"/>
    <n v="1246.77"/>
    <n v="4113.2"/>
    <n v="44058.475999999995"/>
    <s v="Returning"/>
    <n v="0.21"/>
    <s v="Bank Transfer"/>
    <s v="Retail"/>
    <x v="2"/>
  </r>
  <r>
    <n v="1075"/>
    <x v="19"/>
    <d v="2024-08-20T00:00:00"/>
    <x v="2"/>
    <s v="Aug"/>
    <x v="3"/>
    <x v="2"/>
    <n v="51670.832499999997"/>
    <n v="35"/>
    <x v="3"/>
    <n v="1444.23"/>
    <n v="1554.01"/>
    <n v="1122.7824999999939"/>
    <s v="New"/>
    <n v="0.05"/>
    <s v="Cash"/>
    <s v="Retail"/>
    <x v="9"/>
  </r>
  <r>
    <n v="1062"/>
    <x v="109"/>
    <d v="2024-08-20T00:00:00"/>
    <x v="2"/>
    <s v="Aug"/>
    <x v="0"/>
    <x v="3"/>
    <n v="71638.562700000009"/>
    <n v="17"/>
    <x v="2"/>
    <n v="1997.73"/>
    <n v="5202.51"/>
    <n v="37677.152700000006"/>
    <s v="New"/>
    <n v="0.19"/>
    <s v="Cash"/>
    <s v="Retail"/>
    <x v="5"/>
  </r>
  <r>
    <n v="1059"/>
    <x v="329"/>
    <d v="2024-08-21T00:00:00"/>
    <x v="2"/>
    <s v="Aug"/>
    <x v="1"/>
    <x v="1"/>
    <n v="21649.017599999999"/>
    <n v="8"/>
    <x v="1"/>
    <n v="1659.18"/>
    <n v="3758.51"/>
    <n v="8375.5775999999987"/>
    <s v="New"/>
    <n v="0.28000000000000003"/>
    <s v="Credit Card"/>
    <s v="Online"/>
    <x v="1"/>
  </r>
  <r>
    <n v="1029"/>
    <x v="152"/>
    <d v="2024-08-21T00:00:00"/>
    <x v="2"/>
    <s v="Aug"/>
    <x v="3"/>
    <x v="2"/>
    <n v="146641.22880000001"/>
    <n v="32"/>
    <x v="3"/>
    <n v="4002.92"/>
    <n v="5207.43"/>
    <n v="18547.788800000009"/>
    <s v="Returning"/>
    <n v="0.12"/>
    <s v="Bank Transfer"/>
    <s v="Retail"/>
    <x v="9"/>
  </r>
  <r>
    <n v="1020"/>
    <x v="235"/>
    <d v="2024-08-21T00:00:00"/>
    <x v="2"/>
    <s v="Aug"/>
    <x v="0"/>
    <x v="2"/>
    <n v="58420.914999999994"/>
    <n v="14"/>
    <x v="1"/>
    <n v="2221.5500000000002"/>
    <n v="4392.55"/>
    <n v="27319.214999999993"/>
    <s v="Returning"/>
    <n v="0.05"/>
    <s v="Cash"/>
    <s v="Retail"/>
    <x v="2"/>
  </r>
  <r>
    <n v="1077"/>
    <x v="108"/>
    <d v="2024-08-21T00:00:00"/>
    <x v="2"/>
    <s v="Aug"/>
    <x v="2"/>
    <x v="0"/>
    <n v="145410.62159999998"/>
    <n v="37"/>
    <x v="3"/>
    <n v="1391.47"/>
    <n v="4734.96"/>
    <n v="93926.231599999999"/>
    <s v="Returning"/>
    <n v="0.17"/>
    <s v="Bank Transfer"/>
    <s v="Online"/>
    <x v="18"/>
  </r>
  <r>
    <n v="1098"/>
    <x v="106"/>
    <d v="2024-08-22T00:00:00"/>
    <x v="2"/>
    <s v="Aug"/>
    <x v="0"/>
    <x v="1"/>
    <n v="9291.9705000000013"/>
    <n v="47"/>
    <x v="2"/>
    <n v="181.59"/>
    <n v="232.59"/>
    <n v="757.24050000000034"/>
    <s v="Returning"/>
    <n v="0.15"/>
    <s v="Bank Transfer"/>
    <s v="Retail"/>
    <x v="19"/>
  </r>
  <r>
    <n v="1085"/>
    <x v="11"/>
    <d v="2024-08-22T00:00:00"/>
    <x v="2"/>
    <s v="Aug"/>
    <x v="2"/>
    <x v="2"/>
    <n v="36842.462399999997"/>
    <n v="8"/>
    <x v="1"/>
    <n v="878.84"/>
    <n v="4747.74"/>
    <n v="29811.742399999996"/>
    <s v="New"/>
    <n v="0.03"/>
    <s v="Bank Transfer"/>
    <s v="Retail"/>
    <x v="14"/>
  </r>
  <r>
    <n v="1079"/>
    <x v="22"/>
    <d v="2024-08-23T00:00:00"/>
    <x v="2"/>
    <s v="Aug"/>
    <x v="1"/>
    <x v="1"/>
    <n v="85208.452499999999"/>
    <n v="29"/>
    <x v="2"/>
    <n v="1549.42"/>
    <n v="3917.63"/>
    <n v="40275.272499999992"/>
    <s v="Returning"/>
    <n v="0.25"/>
    <s v="Cash"/>
    <s v="Online"/>
    <x v="1"/>
  </r>
  <r>
    <n v="1097"/>
    <x v="174"/>
    <d v="2024-08-23T00:00:00"/>
    <x v="2"/>
    <s v="Aug"/>
    <x v="3"/>
    <x v="0"/>
    <n v="123784.25050000001"/>
    <n v="43"/>
    <x v="2"/>
    <n v="621.66999999999996"/>
    <n v="3386.71"/>
    <n v="97052.440499999997"/>
    <s v="Returning"/>
    <n v="0.15"/>
    <s v="Cash"/>
    <s v="Online"/>
    <x v="11"/>
  </r>
  <r>
    <n v="1012"/>
    <x v="296"/>
    <d v="2024-08-24T00:00:00"/>
    <x v="2"/>
    <s v="Aug"/>
    <x v="2"/>
    <x v="1"/>
    <n v="6355.8158649696124"/>
    <n v="2"/>
    <x v="3"/>
    <n v="3143.99"/>
    <n v="3218.76"/>
    <n v="85.164800000000469"/>
    <s v="Returning"/>
    <n v="0.01"/>
    <s v="Bank Transfer"/>
    <s v="Retail"/>
    <x v="8"/>
  </r>
  <r>
    <n v="1005"/>
    <x v="218"/>
    <d v="2024-08-24T00:00:00"/>
    <x v="2"/>
    <s v="Aug"/>
    <x v="4"/>
    <x v="1"/>
    <n v="26118.379499999999"/>
    <n v="15"/>
    <x v="1"/>
    <n v="1712.12"/>
    <n v="2452.4299999999998"/>
    <n v="436.57949999999914"/>
    <s v="New"/>
    <n v="0.28999999999999998"/>
    <s v="Credit Card"/>
    <s v="Retail"/>
    <x v="6"/>
  </r>
  <r>
    <n v="1015"/>
    <x v="147"/>
    <d v="2024-08-24T00:00:00"/>
    <x v="2"/>
    <s v="Aug"/>
    <x v="3"/>
    <x v="2"/>
    <n v="51380.900999999998"/>
    <n v="13"/>
    <x v="1"/>
    <n v="874.38"/>
    <n v="5341.05"/>
    <n v="40013.960999999996"/>
    <s v="New"/>
    <n v="0.26"/>
    <s v="Credit Card"/>
    <s v="Retail"/>
    <x v="9"/>
  </r>
  <r>
    <n v="1014"/>
    <x v="130"/>
    <d v="2024-08-24T00:00:00"/>
    <x v="2"/>
    <s v="Aug"/>
    <x v="4"/>
    <x v="0"/>
    <n v="197904.29119999998"/>
    <n v="47"/>
    <x v="2"/>
    <n v="2980.36"/>
    <n v="4784.92"/>
    <n v="57827.37119999998"/>
    <s v="New"/>
    <n v="0.12"/>
    <s v="Credit Card"/>
    <s v="Retail"/>
    <x v="13"/>
  </r>
  <r>
    <n v="1064"/>
    <x v="88"/>
    <d v="2024-08-25T00:00:00"/>
    <x v="2"/>
    <s v="Aug"/>
    <x v="3"/>
    <x v="0"/>
    <n v="25341.952000000001"/>
    <n v="23"/>
    <x v="3"/>
    <n v="862.32"/>
    <n v="1377.28"/>
    <n v="5508.5920000000006"/>
    <s v="New"/>
    <n v="0.2"/>
    <s v="Cash"/>
    <s v="Retail"/>
    <x v="11"/>
  </r>
  <r>
    <n v="1024"/>
    <x v="290"/>
    <d v="2024-08-25T00:00:00"/>
    <x v="2"/>
    <s v="Aug"/>
    <x v="3"/>
    <x v="1"/>
    <n v="123856.23558291612"/>
    <n v="29"/>
    <x v="2"/>
    <n v="3613.21"/>
    <n v="4309.74"/>
    <n v="18949.545400000003"/>
    <s v="Returning"/>
    <n v="0.01"/>
    <s v="Credit Card"/>
    <s v="Online"/>
    <x v="16"/>
  </r>
  <r>
    <n v="1064"/>
    <x v="88"/>
    <d v="2024-08-25T00:00:00"/>
    <x v="2"/>
    <s v="Aug"/>
    <x v="0"/>
    <x v="2"/>
    <n v="54831.753599999996"/>
    <n v="13"/>
    <x v="3"/>
    <n v="945.58"/>
    <n v="4393.57"/>
    <n v="42539.213599999995"/>
    <s v="Returning"/>
    <n v="0.04"/>
    <s v="Credit Card"/>
    <s v="Retail"/>
    <x v="2"/>
  </r>
  <r>
    <n v="1005"/>
    <x v="43"/>
    <d v="2024-08-26T00:00:00"/>
    <x v="2"/>
    <s v="Aug"/>
    <x v="3"/>
    <x v="3"/>
    <n v="45039.6276"/>
    <n v="22"/>
    <x v="3"/>
    <n v="356.76"/>
    <n v="2380.5300000000002"/>
    <n v="37190.907600000006"/>
    <s v="New"/>
    <n v="0.14000000000000001"/>
    <s v="Bank Transfer"/>
    <s v="Online"/>
    <x v="4"/>
  </r>
  <r>
    <n v="1070"/>
    <x v="62"/>
    <d v="2024-08-26T00:00:00"/>
    <x v="2"/>
    <s v="Aug"/>
    <x v="2"/>
    <x v="0"/>
    <n v="52425.796499999997"/>
    <n v="15"/>
    <x v="0"/>
    <n v="136.71"/>
    <n v="4922.6099999999997"/>
    <n v="50375.146499999995"/>
    <s v="New"/>
    <n v="0.28999999999999998"/>
    <s v="Cash"/>
    <s v="Retail"/>
    <x v="18"/>
  </r>
  <r>
    <n v="1077"/>
    <x v="108"/>
    <d v="2024-08-27T00:00:00"/>
    <x v="2"/>
    <s v="Aug"/>
    <x v="0"/>
    <x v="1"/>
    <n v="79558.574723456564"/>
    <n v="29"/>
    <x v="3"/>
    <n v="2722.5"/>
    <n v="2768.29"/>
    <n v="525.10589999999183"/>
    <s v="Returning"/>
    <n v="0.01"/>
    <s v="Credit Card"/>
    <s v="Retail"/>
    <x v="19"/>
  </r>
  <r>
    <n v="1001"/>
    <x v="8"/>
    <d v="2024-08-27T00:00:00"/>
    <x v="2"/>
    <s v="Aug"/>
    <x v="3"/>
    <x v="2"/>
    <n v="182359.90887258737"/>
    <n v="39"/>
    <x v="0"/>
    <n v="4554.71"/>
    <n v="4720.7299999999996"/>
    <n v="4633.6952999999803"/>
    <s v="New"/>
    <n v="0.01"/>
    <s v="Bank Transfer"/>
    <s v="Retail"/>
    <x v="9"/>
  </r>
  <r>
    <n v="1028"/>
    <x v="171"/>
    <d v="2024-08-28T00:00:00"/>
    <x v="2"/>
    <s v="Aug"/>
    <x v="3"/>
    <x v="1"/>
    <n v="2413.6266000000001"/>
    <n v="1"/>
    <x v="3"/>
    <n v="2196.6"/>
    <n v="3134.58"/>
    <n v="217.02660000000014"/>
    <s v="New"/>
    <n v="0.23"/>
    <s v="Cash"/>
    <s v="Online"/>
    <x v="16"/>
  </r>
  <r>
    <n v="1024"/>
    <x v="59"/>
    <d v="2024-08-28T00:00:00"/>
    <x v="2"/>
    <s v="Aug"/>
    <x v="3"/>
    <x v="0"/>
    <n v="172461.08499999999"/>
    <n v="50"/>
    <x v="1"/>
    <n v="1635.15"/>
    <n v="3875.53"/>
    <n v="90703.584999999992"/>
    <s v="Returning"/>
    <n v="0.11"/>
    <s v="Cash"/>
    <s v="Online"/>
    <x v="11"/>
  </r>
  <r>
    <n v="1047"/>
    <x v="89"/>
    <d v="2024-08-29T00:00:00"/>
    <x v="2"/>
    <s v="Aug"/>
    <x v="1"/>
    <x v="3"/>
    <n v="7103.4948000000004"/>
    <n v="3"/>
    <x v="3"/>
    <n v="1780.61"/>
    <n v="2573.73"/>
    <n v="1761.6648000000002"/>
    <s v="New"/>
    <n v="0.08"/>
    <s v="Bank Transfer"/>
    <s v="Retail"/>
    <x v="7"/>
  </r>
  <r>
    <n v="1054"/>
    <x v="251"/>
    <d v="2024-08-29T00:00:00"/>
    <x v="2"/>
    <s v="Aug"/>
    <x v="2"/>
    <x v="3"/>
    <n v="87176.37"/>
    <n v="20"/>
    <x v="3"/>
    <n v="2744.56"/>
    <n v="4588.2299999999996"/>
    <n v="32285.169999999991"/>
    <s v="Returning"/>
    <n v="0.05"/>
    <s v="Bank Transfer"/>
    <s v="Retail"/>
    <x v="3"/>
  </r>
  <r>
    <n v="1074"/>
    <x v="107"/>
    <d v="2024-08-30T00:00:00"/>
    <x v="2"/>
    <s v="Aug"/>
    <x v="2"/>
    <x v="2"/>
    <n v="13085.183599999998"/>
    <n v="4"/>
    <x v="0"/>
    <n v="2715.83"/>
    <n v="3372.47"/>
    <n v="2221.8635999999988"/>
    <s v="New"/>
    <n v="0.03"/>
    <s v="Cash"/>
    <s v="Online"/>
    <x v="14"/>
  </r>
  <r>
    <n v="1046"/>
    <x v="286"/>
    <d v="2024-08-30T00:00:00"/>
    <x v="2"/>
    <s v="Aug"/>
    <x v="0"/>
    <x v="2"/>
    <n v="117938.5064"/>
    <n v="34"/>
    <x v="3"/>
    <n v="2983.37"/>
    <n v="4687.54"/>
    <n v="16503.926399999997"/>
    <s v="New"/>
    <n v="0.26"/>
    <s v="Cash"/>
    <s v="Retail"/>
    <x v="2"/>
  </r>
  <r>
    <n v="1042"/>
    <x v="0"/>
    <d v="2024-08-30T00:00:00"/>
    <x v="2"/>
    <s v="Aug"/>
    <x v="0"/>
    <x v="1"/>
    <n v="140727.93119999999"/>
    <n v="36"/>
    <x v="0"/>
    <n v="1936.14"/>
    <n v="5282.58"/>
    <n v="71026.891199999998"/>
    <s v="New"/>
    <n v="0.26"/>
    <s v="Credit Card"/>
    <s v="Retail"/>
    <x v="19"/>
  </r>
  <r>
    <n v="1095"/>
    <x v="94"/>
    <d v="2024-08-30T00:00:00"/>
    <x v="2"/>
    <s v="Aug"/>
    <x v="2"/>
    <x v="1"/>
    <n v="147808.50839999999"/>
    <n v="42"/>
    <x v="2"/>
    <n v="1771.57"/>
    <n v="3784.14"/>
    <n v="73402.568399999975"/>
    <s v="New"/>
    <n v="7.0000000000000007E-2"/>
    <s v="Credit Card"/>
    <s v="Online"/>
    <x v="8"/>
  </r>
  <r>
    <n v="1092"/>
    <x v="1"/>
    <d v="2024-08-31T00:00:00"/>
    <x v="2"/>
    <s v="Aug"/>
    <x v="2"/>
    <x v="2"/>
    <n v="149165.98289999997"/>
    <n v="31"/>
    <x v="1"/>
    <n v="4487.1499999999996"/>
    <n v="4860.41"/>
    <n v="10064.332899999992"/>
    <s v="Returning"/>
    <n v="0.01"/>
    <s v="Bank Transfer"/>
    <s v="Retail"/>
    <x v="14"/>
  </r>
  <r>
    <n v="1020"/>
    <x v="341"/>
    <d v="2024-08-31T00:00:00"/>
    <x v="2"/>
    <s v="Aug"/>
    <x v="2"/>
    <x v="3"/>
    <n v="218181.57842725626"/>
    <n v="41"/>
    <x v="0"/>
    <n v="4797.21"/>
    <n v="5440.07"/>
    <n v="21896.402599999976"/>
    <s v="Returning"/>
    <n v="0.02"/>
    <s v="Bank Transfer"/>
    <s v="Online"/>
    <x v="3"/>
  </r>
  <r>
    <n v="1076"/>
    <x v="129"/>
    <d v="2024-09-01T00:00:00"/>
    <x v="2"/>
    <s v="Sep"/>
    <x v="1"/>
    <x v="1"/>
    <n v="49987.413999999997"/>
    <n v="10"/>
    <x v="1"/>
    <n v="4860.5600000000004"/>
    <n v="5317.81"/>
    <n v="1381.8139999999948"/>
    <s v="New"/>
    <n v="0.06"/>
    <s v="Cash"/>
    <s v="Retail"/>
    <x v="1"/>
  </r>
  <r>
    <n v="1029"/>
    <x v="203"/>
    <d v="2024-09-01T00:00:00"/>
    <x v="2"/>
    <s v="Sep"/>
    <x v="3"/>
    <x v="2"/>
    <n v="219757.465"/>
    <n v="50"/>
    <x v="0"/>
    <n v="4046.2"/>
    <n v="4938.37"/>
    <n v="17447.465000000011"/>
    <s v="New"/>
    <n v="0.11"/>
    <s v="Bank Transfer"/>
    <s v="Online"/>
    <x v="9"/>
  </r>
  <r>
    <n v="1027"/>
    <x v="3"/>
    <d v="2024-09-02T00:00:00"/>
    <x v="2"/>
    <s v="Sep"/>
    <x v="0"/>
    <x v="3"/>
    <n v="75491.118000000002"/>
    <n v="36"/>
    <x v="3"/>
    <n v="1497"/>
    <n v="2467.0300000000002"/>
    <n v="21599.118000000002"/>
    <s v="New"/>
    <n v="0.15"/>
    <s v="Bank Transfer"/>
    <s v="Online"/>
    <x v="5"/>
  </r>
  <r>
    <n v="1050"/>
    <x v="31"/>
    <d v="2024-09-03T00:00:00"/>
    <x v="2"/>
    <s v="Sep"/>
    <x v="2"/>
    <x v="0"/>
    <n v="4470.9078587450476"/>
    <n v="2"/>
    <x v="0"/>
    <n v="2191.23"/>
    <n v="2240.83"/>
    <n v="99.199999999999818"/>
    <s v="New"/>
    <n v="0"/>
    <s v="Bank Transfer"/>
    <s v="Online"/>
    <x v="18"/>
  </r>
  <r>
    <n v="1040"/>
    <x v="344"/>
    <d v="2024-09-03T00:00:00"/>
    <x v="2"/>
    <s v="Sep"/>
    <x v="4"/>
    <x v="3"/>
    <n v="77031.045611384194"/>
    <n v="18"/>
    <x v="2"/>
    <n v="4102.26"/>
    <n v="4426.6000000000004"/>
    <n v="3447.7560000000067"/>
    <s v="Returning"/>
    <n v="0.03"/>
    <s v="Credit Card"/>
    <s v="Retail"/>
    <x v="12"/>
  </r>
  <r>
    <n v="1014"/>
    <x v="98"/>
    <d v="2024-09-03T00:00:00"/>
    <x v="2"/>
    <s v="Sep"/>
    <x v="0"/>
    <x v="0"/>
    <n v="19224.925999999999"/>
    <n v="14"/>
    <x v="0"/>
    <n v="530.16"/>
    <n v="1615.54"/>
    <n v="11802.685999999998"/>
    <s v="New"/>
    <n v="0.15"/>
    <s v="Bank Transfer"/>
    <s v="Retail"/>
    <x v="0"/>
  </r>
  <r>
    <n v="1018"/>
    <x v="219"/>
    <d v="2024-09-03T00:00:00"/>
    <x v="2"/>
    <s v="Sep"/>
    <x v="4"/>
    <x v="0"/>
    <n v="179922.21883331833"/>
    <n v="37"/>
    <x v="1"/>
    <n v="4187.5"/>
    <n v="5015.96"/>
    <n v="25085.304400000008"/>
    <s v="New"/>
    <n v="0.03"/>
    <s v="Bank Transfer"/>
    <s v="Online"/>
    <x v="13"/>
  </r>
  <r>
    <n v="1012"/>
    <x v="90"/>
    <d v="2024-09-03T00:00:00"/>
    <x v="2"/>
    <s v="Sep"/>
    <x v="4"/>
    <x v="1"/>
    <n v="141501.59100000001"/>
    <n v="42"/>
    <x v="2"/>
    <n v="1989.2"/>
    <n v="3963.63"/>
    <n v="57955.191000000006"/>
    <s v="New"/>
    <n v="0.15"/>
    <s v="Credit Card"/>
    <s v="Online"/>
    <x v="6"/>
  </r>
  <r>
    <n v="1097"/>
    <x v="42"/>
    <d v="2024-09-04T00:00:00"/>
    <x v="2"/>
    <s v="Sep"/>
    <x v="1"/>
    <x v="3"/>
    <n v="24902.483999999997"/>
    <n v="12"/>
    <x v="1"/>
    <n v="1192.5899999999999"/>
    <n v="2441.42"/>
    <n v="10591.403999999999"/>
    <s v="Returning"/>
    <n v="0.15"/>
    <s v="Credit Card"/>
    <s v="Retail"/>
    <x v="7"/>
  </r>
  <r>
    <n v="1079"/>
    <x v="271"/>
    <d v="2024-09-05T00:00:00"/>
    <x v="2"/>
    <s v="Sep"/>
    <x v="1"/>
    <x v="2"/>
    <n v="30233.563200000001"/>
    <n v="12"/>
    <x v="1"/>
    <n v="747.46"/>
    <n v="3451.32"/>
    <n v="21264.0432"/>
    <s v="Returning"/>
    <n v="0.27"/>
    <s v="Bank Transfer"/>
    <s v="Online"/>
    <x v="15"/>
  </r>
  <r>
    <n v="1061"/>
    <x v="363"/>
    <d v="2024-09-06T00:00:00"/>
    <x v="2"/>
    <s v="Sep"/>
    <x v="2"/>
    <x v="1"/>
    <n v="2641.32"/>
    <n v="8"/>
    <x v="3"/>
    <n v="312.57"/>
    <n v="366.85"/>
    <n v="140.76000000000022"/>
    <s v="New"/>
    <n v="0.1"/>
    <s v="Credit Card"/>
    <s v="Online"/>
    <x v="8"/>
  </r>
  <r>
    <n v="1060"/>
    <x v="369"/>
    <d v="2024-09-06T00:00:00"/>
    <x v="2"/>
    <s v="Sep"/>
    <x v="2"/>
    <x v="1"/>
    <n v="17758.598399999999"/>
    <n v="6"/>
    <x v="0"/>
    <n v="1464.82"/>
    <n v="3083.09"/>
    <n v="8969.6784000000007"/>
    <s v="Returning"/>
    <n v="0.04"/>
    <s v="Bank Transfer"/>
    <s v="Retail"/>
    <x v="8"/>
  </r>
  <r>
    <n v="1036"/>
    <x v="301"/>
    <d v="2024-09-06T00:00:00"/>
    <x v="2"/>
    <s v="Sep"/>
    <x v="1"/>
    <x v="0"/>
    <n v="20171.520000000004"/>
    <n v="10"/>
    <x v="3"/>
    <n v="679.68"/>
    <n v="2241.2800000000002"/>
    <n v="13374.720000000001"/>
    <s v="Returning"/>
    <n v="0.1"/>
    <s v="Bank Transfer"/>
    <s v="Retail"/>
    <x v="10"/>
  </r>
  <r>
    <n v="1068"/>
    <x v="307"/>
    <d v="2024-09-06T00:00:00"/>
    <x v="2"/>
    <s v="Sep"/>
    <x v="3"/>
    <x v="0"/>
    <n v="80995.200000000012"/>
    <n v="50"/>
    <x v="0"/>
    <n v="962.74"/>
    <n v="2076.8000000000002"/>
    <n v="32858.200000000012"/>
    <s v="New"/>
    <n v="0.22"/>
    <s v="Bank Transfer"/>
    <s v="Retail"/>
    <x v="11"/>
  </r>
  <r>
    <n v="1060"/>
    <x v="369"/>
    <d v="2024-09-06T00:00:00"/>
    <x v="2"/>
    <s v="Sep"/>
    <x v="1"/>
    <x v="1"/>
    <n v="166574.65720000002"/>
    <n v="49"/>
    <x v="0"/>
    <n v="1246.1199999999999"/>
    <n v="3695.09"/>
    <n v="105514.77720000001"/>
    <s v="Returning"/>
    <n v="0.08"/>
    <s v="Bank Transfer"/>
    <s v="Retail"/>
    <x v="1"/>
  </r>
  <r>
    <n v="1078"/>
    <x v="21"/>
    <d v="2024-09-06T00:00:00"/>
    <x v="2"/>
    <s v="Sep"/>
    <x v="3"/>
    <x v="0"/>
    <n v="181776.50399999999"/>
    <n v="40"/>
    <x v="2"/>
    <n v="1800.35"/>
    <n v="4993.8599999999997"/>
    <n v="109762.50399999999"/>
    <s v="Returning"/>
    <n v="0.09"/>
    <s v="Credit Card"/>
    <s v="Retail"/>
    <x v="11"/>
  </r>
  <r>
    <n v="1064"/>
    <x v="200"/>
    <d v="2024-09-07T00:00:00"/>
    <x v="2"/>
    <s v="Sep"/>
    <x v="3"/>
    <x v="0"/>
    <n v="4059.0264000000002"/>
    <n v="2"/>
    <x v="2"/>
    <n v="467.21"/>
    <n v="2601.94"/>
    <n v="3124.6064000000001"/>
    <s v="Returning"/>
    <n v="0.22"/>
    <s v="Credit Card"/>
    <s v="Retail"/>
    <x v="11"/>
  </r>
  <r>
    <n v="1021"/>
    <x v="110"/>
    <d v="2024-09-07T00:00:00"/>
    <x v="2"/>
    <s v="Sep"/>
    <x v="3"/>
    <x v="0"/>
    <n v="31313.015999999996"/>
    <n v="12"/>
    <x v="0"/>
    <n v="1813.24"/>
    <n v="3106.45"/>
    <n v="9554.135999999995"/>
    <s v="New"/>
    <n v="0.16"/>
    <s v="Credit Card"/>
    <s v="Online"/>
    <x v="11"/>
  </r>
  <r>
    <n v="1099"/>
    <x v="122"/>
    <d v="2024-09-07T00:00:00"/>
    <x v="2"/>
    <s v="Sep"/>
    <x v="3"/>
    <x v="2"/>
    <n v="129898.3648"/>
    <n v="41"/>
    <x v="0"/>
    <n v="1884.57"/>
    <n v="3266.24"/>
    <n v="52630.994799999993"/>
    <s v="New"/>
    <n v="0.03"/>
    <s v="Credit Card"/>
    <s v="Retail"/>
    <x v="9"/>
  </r>
  <r>
    <n v="1024"/>
    <x v="290"/>
    <d v="2024-09-08T00:00:00"/>
    <x v="2"/>
    <s v="Sep"/>
    <x v="3"/>
    <x v="0"/>
    <n v="9188.0319"/>
    <n v="3"/>
    <x v="2"/>
    <n v="2214.62"/>
    <n v="4313.63"/>
    <n v="2544.1718999999998"/>
    <s v="Returning"/>
    <n v="0.28999999999999998"/>
    <s v="Credit Card"/>
    <s v="Retail"/>
    <x v="11"/>
  </r>
  <r>
    <n v="1060"/>
    <x v="304"/>
    <d v="2024-09-08T00:00:00"/>
    <x v="2"/>
    <s v="Sep"/>
    <x v="4"/>
    <x v="1"/>
    <n v="22604.734461084627"/>
    <n v="5"/>
    <x v="3"/>
    <n v="3832.45"/>
    <n v="4696.42"/>
    <n v="3380.5659999999989"/>
    <s v="Returning"/>
    <n v="0.04"/>
    <s v="Bank Transfer"/>
    <s v="Online"/>
    <x v="6"/>
  </r>
  <r>
    <n v="1061"/>
    <x v="201"/>
    <d v="2024-09-08T00:00:00"/>
    <x v="2"/>
    <s v="Sep"/>
    <x v="4"/>
    <x v="0"/>
    <n v="34185.139200000005"/>
    <n v="12"/>
    <x v="0"/>
    <n v="2500.4899999999998"/>
    <n v="3096.48"/>
    <n v="4179.2592000000059"/>
    <s v="New"/>
    <n v="0.08"/>
    <s v="Cash"/>
    <s v="Retail"/>
    <x v="13"/>
  </r>
  <r>
    <n v="1004"/>
    <x v="334"/>
    <d v="2024-09-08T00:00:00"/>
    <x v="2"/>
    <s v="Sep"/>
    <x v="3"/>
    <x v="1"/>
    <n v="60837.061400000006"/>
    <n v="38"/>
    <x v="3"/>
    <n v="1400.41"/>
    <n v="1650.49"/>
    <n v="7621.4813999999988"/>
    <s v="Returning"/>
    <n v="0.03"/>
    <s v="Credit Card"/>
    <s v="Retail"/>
    <x v="16"/>
  </r>
  <r>
    <n v="1089"/>
    <x v="111"/>
    <d v="2024-09-08T00:00:00"/>
    <x v="2"/>
    <s v="Sep"/>
    <x v="2"/>
    <x v="1"/>
    <n v="137413.11600000001"/>
    <n v="37"/>
    <x v="0"/>
    <n v="2660.93"/>
    <n v="4126.5200000000004"/>
    <n v="38958.70600000002"/>
    <s v="New"/>
    <n v="0.1"/>
    <s v="Bank Transfer"/>
    <s v="Retail"/>
    <x v="8"/>
  </r>
  <r>
    <n v="1047"/>
    <x v="137"/>
    <d v="2024-09-08T00:00:00"/>
    <x v="2"/>
    <s v="Sep"/>
    <x v="4"/>
    <x v="0"/>
    <n v="106438.28679999999"/>
    <n v="23"/>
    <x v="2"/>
    <n v="1844.53"/>
    <n v="4923.1400000000003"/>
    <n v="64014.096799999999"/>
    <s v="Returning"/>
    <n v="0.06"/>
    <s v="Cash"/>
    <s v="Retail"/>
    <x v="13"/>
  </r>
  <r>
    <n v="1084"/>
    <x v="103"/>
    <d v="2024-09-09T00:00:00"/>
    <x v="2"/>
    <s v="Sep"/>
    <x v="2"/>
    <x v="0"/>
    <n v="124540.66800000001"/>
    <n v="28"/>
    <x v="0"/>
    <n v="3818.9"/>
    <n v="4942.09"/>
    <n v="17611.468000000008"/>
    <s v="Returning"/>
    <n v="0.1"/>
    <s v="Cash"/>
    <s v="Online"/>
    <x v="18"/>
  </r>
  <r>
    <n v="1083"/>
    <x v="377"/>
    <d v="2024-09-09T00:00:00"/>
    <x v="2"/>
    <s v="Sep"/>
    <x v="0"/>
    <x v="0"/>
    <n v="110409.0295"/>
    <n v="35"/>
    <x v="1"/>
    <n v="2482.89"/>
    <n v="4096.8100000000004"/>
    <n v="23507.87950000001"/>
    <s v="New"/>
    <n v="0.23"/>
    <s v="Cash"/>
    <s v="Online"/>
    <x v="0"/>
  </r>
  <r>
    <n v="1043"/>
    <x v="72"/>
    <d v="2024-09-09T00:00:00"/>
    <x v="2"/>
    <s v="Sep"/>
    <x v="2"/>
    <x v="3"/>
    <n v="50092.847999999998"/>
    <n v="15"/>
    <x v="1"/>
    <n v="1676.06"/>
    <n v="3478.67"/>
    <n v="24951.948000000004"/>
    <s v="New"/>
    <n v="0.04"/>
    <s v="Bank Transfer"/>
    <s v="Retail"/>
    <x v="3"/>
  </r>
  <r>
    <n v="1014"/>
    <x v="125"/>
    <d v="2024-09-09T00:00:00"/>
    <x v="2"/>
    <s v="Sep"/>
    <x v="1"/>
    <x v="0"/>
    <n v="63742.631400000006"/>
    <n v="27"/>
    <x v="3"/>
    <n v="1165.23"/>
    <n v="2511.5300000000002"/>
    <n v="32281.421400000003"/>
    <s v="New"/>
    <n v="0.06"/>
    <s v="Bank Transfer"/>
    <s v="Online"/>
    <x v="10"/>
  </r>
  <r>
    <n v="1041"/>
    <x v="382"/>
    <d v="2024-09-10T00:00:00"/>
    <x v="2"/>
    <s v="Sep"/>
    <x v="2"/>
    <x v="0"/>
    <n v="53059.7886"/>
    <n v="13"/>
    <x v="2"/>
    <n v="667.37"/>
    <n v="4585.9799999999996"/>
    <n v="44383.978600000002"/>
    <s v="Returning"/>
    <n v="0.11"/>
    <s v="Bank Transfer"/>
    <s v="Online"/>
    <x v="18"/>
  </r>
  <r>
    <n v="1071"/>
    <x v="186"/>
    <d v="2024-09-10T00:00:00"/>
    <x v="2"/>
    <s v="Sep"/>
    <x v="1"/>
    <x v="0"/>
    <n v="169040.22400000002"/>
    <n v="40"/>
    <x v="1"/>
    <n v="2542"/>
    <n v="4913.96"/>
    <n v="67360.224000000017"/>
    <s v="Returning"/>
    <n v="0.14000000000000001"/>
    <s v="Cash"/>
    <s v="Retail"/>
    <x v="10"/>
  </r>
  <r>
    <n v="1040"/>
    <x v="169"/>
    <d v="2024-09-11T00:00:00"/>
    <x v="2"/>
    <s v="Sep"/>
    <x v="2"/>
    <x v="0"/>
    <n v="61976.163600000007"/>
    <n v="36"/>
    <x v="0"/>
    <n v="1106.55"/>
    <n v="2179.19"/>
    <n v="22140.363600000008"/>
    <s v="New"/>
    <n v="0.21"/>
    <s v="Bank Transfer"/>
    <s v="Retail"/>
    <x v="18"/>
  </r>
  <r>
    <n v="1051"/>
    <x v="281"/>
    <d v="2024-09-11T00:00:00"/>
    <x v="2"/>
    <s v="Sep"/>
    <x v="0"/>
    <x v="0"/>
    <n v="41851.620000000003"/>
    <n v="10"/>
    <x v="2"/>
    <n v="336.04"/>
    <n v="4314.6000000000004"/>
    <n v="38491.22"/>
    <s v="New"/>
    <n v="0.03"/>
    <s v="Bank Transfer"/>
    <s v="Retail"/>
    <x v="0"/>
  </r>
  <r>
    <n v="1061"/>
    <x v="178"/>
    <d v="2024-09-11T00:00:00"/>
    <x v="2"/>
    <s v="Sep"/>
    <x v="1"/>
    <x v="3"/>
    <n v="117198.5508"/>
    <n v="34"/>
    <x v="2"/>
    <n v="1116.45"/>
    <n v="4658.13"/>
    <n v="79239.250800000009"/>
    <s v="Returning"/>
    <n v="0.26"/>
    <s v="Credit Card"/>
    <s v="Online"/>
    <x v="7"/>
  </r>
  <r>
    <n v="1067"/>
    <x v="119"/>
    <d v="2024-09-12T00:00:00"/>
    <x v="2"/>
    <s v="Sep"/>
    <x v="1"/>
    <x v="0"/>
    <n v="14845.1191"/>
    <n v="17"/>
    <x v="2"/>
    <n v="511.65"/>
    <n v="1105.3699999999999"/>
    <n v="6147.0691000000006"/>
    <s v="Returning"/>
    <n v="0.21"/>
    <s v="Credit Card"/>
    <s v="Online"/>
    <x v="10"/>
  </r>
  <r>
    <n v="1090"/>
    <x v="55"/>
    <d v="2024-09-12T00:00:00"/>
    <x v="2"/>
    <s v="Sep"/>
    <x v="2"/>
    <x v="1"/>
    <n v="84632.687999999995"/>
    <n v="35"/>
    <x v="3"/>
    <n v="1026.04"/>
    <n v="3181.68"/>
    <n v="48721.287999999993"/>
    <s v="New"/>
    <n v="0.24"/>
    <s v="Cash"/>
    <s v="Retail"/>
    <x v="8"/>
  </r>
  <r>
    <n v="1084"/>
    <x v="64"/>
    <d v="2024-09-13T00:00:00"/>
    <x v="2"/>
    <s v="Sep"/>
    <x v="0"/>
    <x v="0"/>
    <n v="3978.6725999999999"/>
    <n v="1"/>
    <x v="1"/>
    <n v="973.21"/>
    <n v="4059.87"/>
    <n v="3005.4625999999998"/>
    <s v="New"/>
    <n v="0.02"/>
    <s v="Bank Transfer"/>
    <s v="Retail"/>
    <x v="0"/>
  </r>
  <r>
    <n v="1071"/>
    <x v="238"/>
    <d v="2024-09-13T00:00:00"/>
    <x v="2"/>
    <s v="Sep"/>
    <x v="0"/>
    <x v="0"/>
    <n v="70470.049999999988"/>
    <n v="20"/>
    <x v="3"/>
    <n v="206.66"/>
    <n v="3708.95"/>
    <n v="66336.849999999991"/>
    <s v="Returning"/>
    <n v="0.05"/>
    <s v="Bank Transfer"/>
    <s v="Online"/>
    <x v="0"/>
  </r>
  <r>
    <n v="1032"/>
    <x v="311"/>
    <d v="2024-09-14T00:00:00"/>
    <x v="2"/>
    <s v="Sep"/>
    <x v="0"/>
    <x v="2"/>
    <n v="5884.4368000000004"/>
    <n v="2"/>
    <x v="1"/>
    <n v="1664.78"/>
    <n v="3871.34"/>
    <n v="2554.8768000000005"/>
    <s v="Returning"/>
    <n v="0.24"/>
    <s v="Bank Transfer"/>
    <s v="Retail"/>
    <x v="2"/>
  </r>
  <r>
    <n v="1078"/>
    <x v="308"/>
    <d v="2024-09-14T00:00:00"/>
    <x v="2"/>
    <s v="Sep"/>
    <x v="0"/>
    <x v="3"/>
    <n v="54251.537400000001"/>
    <n v="27"/>
    <x v="1"/>
    <n v="1833.71"/>
    <n v="2071.46"/>
    <n v="4741.3673999999983"/>
    <s v="New"/>
    <n v="0.03"/>
    <s v="Cash"/>
    <s v="Retail"/>
    <x v="5"/>
  </r>
  <r>
    <n v="1072"/>
    <x v="352"/>
    <d v="2024-09-14T00:00:00"/>
    <x v="2"/>
    <s v="Sep"/>
    <x v="4"/>
    <x v="3"/>
    <n v="37416.819799999997"/>
    <n v="17"/>
    <x v="1"/>
    <n v="476.53"/>
    <n v="2974.31"/>
    <n v="29315.809799999999"/>
    <s v="Returning"/>
    <n v="0.26"/>
    <s v="Bank Transfer"/>
    <s v="Retail"/>
    <x v="12"/>
  </r>
  <r>
    <n v="1058"/>
    <x v="345"/>
    <d v="2024-09-14T00:00:00"/>
    <x v="2"/>
    <s v="Sep"/>
    <x v="0"/>
    <x v="0"/>
    <n v="78033.458799999993"/>
    <n v="44"/>
    <x v="0"/>
    <n v="1087.8"/>
    <n v="2497.87"/>
    <n v="30170.258799999996"/>
    <s v="New"/>
    <n v="0.28999999999999998"/>
    <s v="Bank Transfer"/>
    <s v="Online"/>
    <x v="0"/>
  </r>
  <r>
    <n v="1008"/>
    <x v="162"/>
    <d v="2024-09-15T00:00:00"/>
    <x v="2"/>
    <s v="Sep"/>
    <x v="4"/>
    <x v="2"/>
    <n v="21667.613999999998"/>
    <n v="10"/>
    <x v="2"/>
    <n v="1912.74"/>
    <n v="2519.4899999999998"/>
    <n v="2540.2139999999986"/>
    <s v="New"/>
    <n v="0.14000000000000001"/>
    <s v="Cash"/>
    <s v="Online"/>
    <x v="17"/>
  </r>
  <r>
    <n v="1026"/>
    <x v="293"/>
    <d v="2024-09-15T00:00:00"/>
    <x v="2"/>
    <s v="Sep"/>
    <x v="0"/>
    <x v="1"/>
    <n v="81654.973252830678"/>
    <n v="18"/>
    <x v="3"/>
    <n v="4045.92"/>
    <n v="4672.3500000000004"/>
    <n v="8752.6710000000021"/>
    <s v="Returning"/>
    <n v="0.03"/>
    <s v="Bank Transfer"/>
    <s v="Retail"/>
    <x v="19"/>
  </r>
  <r>
    <n v="1022"/>
    <x v="116"/>
    <d v="2024-09-15T00:00:00"/>
    <x v="2"/>
    <s v="Sep"/>
    <x v="3"/>
    <x v="1"/>
    <n v="116975.1655360719"/>
    <n v="24"/>
    <x v="0"/>
    <n v="4306.3100000000004"/>
    <n v="4876.1400000000003"/>
    <n v="13675.919999999998"/>
    <s v="New"/>
    <n v="0"/>
    <s v="Cash"/>
    <s v="Retail"/>
    <x v="16"/>
  </r>
  <r>
    <n v="1005"/>
    <x v="300"/>
    <d v="2024-09-15T00:00:00"/>
    <x v="2"/>
    <s v="Sep"/>
    <x v="4"/>
    <x v="3"/>
    <n v="75145.649999999994"/>
    <n v="15"/>
    <x v="0"/>
    <n v="2093.58"/>
    <n v="5009.71"/>
    <n v="43741.950000000004"/>
    <s v="Returning"/>
    <n v="0"/>
    <s v="Bank Transfer"/>
    <s v="Retail"/>
    <x v="12"/>
  </r>
  <r>
    <n v="1030"/>
    <x v="195"/>
    <d v="2024-09-15T00:00:00"/>
    <x v="2"/>
    <s v="Sep"/>
    <x v="0"/>
    <x v="2"/>
    <n v="222447.71999999997"/>
    <n v="46"/>
    <x v="3"/>
    <n v="1453.35"/>
    <n v="5495.25"/>
    <n v="155593.62"/>
    <s v="New"/>
    <n v="0.12"/>
    <s v="Credit Card"/>
    <s v="Retail"/>
    <x v="2"/>
  </r>
  <r>
    <n v="1079"/>
    <x v="244"/>
    <d v="2024-09-16T00:00:00"/>
    <x v="2"/>
    <s v="Sep"/>
    <x v="2"/>
    <x v="0"/>
    <n v="57633.974999999999"/>
    <n v="21"/>
    <x v="3"/>
    <n v="818.33"/>
    <n v="3191.25"/>
    <n v="40449.044999999998"/>
    <s v="New"/>
    <n v="0.14000000000000001"/>
    <s v="Bank Transfer"/>
    <s v="Retail"/>
    <x v="18"/>
  </r>
  <r>
    <n v="1070"/>
    <x v="318"/>
    <d v="2024-09-16T00:00:00"/>
    <x v="2"/>
    <s v="Sep"/>
    <x v="4"/>
    <x v="3"/>
    <n v="94315.735799999995"/>
    <n v="22"/>
    <x v="1"/>
    <n v="634.09"/>
    <n v="5292.69"/>
    <n v="80365.755799999984"/>
    <s v="Returning"/>
    <n v="0.19"/>
    <s v="Cash"/>
    <s v="Online"/>
    <x v="12"/>
  </r>
  <r>
    <n v="1022"/>
    <x v="116"/>
    <d v="2024-09-17T00:00:00"/>
    <x v="2"/>
    <s v="Sep"/>
    <x v="1"/>
    <x v="0"/>
    <n v="159441.72777371993"/>
    <n v="34"/>
    <x v="0"/>
    <n v="4571.2"/>
    <n v="4814.3999999999996"/>
    <n v="3358.112000000001"/>
    <s v="New"/>
    <n v="0.03"/>
    <s v="Bank Transfer"/>
    <s v="Retail"/>
    <x v="10"/>
  </r>
  <r>
    <n v="1015"/>
    <x v="147"/>
    <d v="2024-09-17T00:00:00"/>
    <x v="2"/>
    <s v="Sep"/>
    <x v="1"/>
    <x v="1"/>
    <n v="30843.1584"/>
    <n v="12"/>
    <x v="1"/>
    <n v="1944"/>
    <n v="3569.81"/>
    <n v="7515.1583999999984"/>
    <s v="New"/>
    <n v="0.28000000000000003"/>
    <s v="Cash"/>
    <s v="Retail"/>
    <x v="1"/>
  </r>
  <r>
    <n v="1094"/>
    <x v="20"/>
    <d v="2024-09-18T00:00:00"/>
    <x v="2"/>
    <s v="Sep"/>
    <x v="1"/>
    <x v="2"/>
    <n v="55068.384000000005"/>
    <n v="15"/>
    <x v="2"/>
    <n v="1960.42"/>
    <n v="4830.5600000000004"/>
    <n v="25662.084000000003"/>
    <s v="Returning"/>
    <n v="0.24"/>
    <s v="Cash"/>
    <s v="Online"/>
    <x v="15"/>
  </r>
  <r>
    <n v="1044"/>
    <x v="357"/>
    <d v="2024-09-18T00:00:00"/>
    <x v="2"/>
    <s v="Sep"/>
    <x v="2"/>
    <x v="1"/>
    <n v="100311.2187"/>
    <n v="33"/>
    <x v="2"/>
    <n v="191.86"/>
    <n v="3662.33"/>
    <n v="93979.838699999993"/>
    <s v="New"/>
    <n v="0.17"/>
    <s v="Bank Transfer"/>
    <s v="Retail"/>
    <x v="8"/>
  </r>
  <r>
    <n v="1025"/>
    <x v="155"/>
    <d v="2024-09-19T00:00:00"/>
    <x v="2"/>
    <s v="Sep"/>
    <x v="3"/>
    <x v="3"/>
    <n v="4190.9088000000002"/>
    <n v="16"/>
    <x v="1"/>
    <n v="177.99"/>
    <n v="335.81"/>
    <n v="1343.0688"/>
    <s v="New"/>
    <n v="0.22"/>
    <s v="Cash"/>
    <s v="Online"/>
    <x v="4"/>
  </r>
  <r>
    <n v="1098"/>
    <x v="106"/>
    <d v="2024-09-19T00:00:00"/>
    <x v="2"/>
    <s v="Sep"/>
    <x v="3"/>
    <x v="1"/>
    <n v="3551.5956000000001"/>
    <n v="1"/>
    <x v="2"/>
    <n v="1116.4100000000001"/>
    <n v="3860.43"/>
    <n v="2435.1855999999998"/>
    <s v="Returning"/>
    <n v="0.08"/>
    <s v="Credit Card"/>
    <s v="Online"/>
    <x v="16"/>
  </r>
  <r>
    <n v="1072"/>
    <x v="249"/>
    <d v="2024-09-19T00:00:00"/>
    <x v="2"/>
    <s v="Sep"/>
    <x v="0"/>
    <x v="0"/>
    <n v="209781.25979999997"/>
    <n v="49"/>
    <x v="3"/>
    <n v="601.59"/>
    <n v="4413.66"/>
    <n v="180303.34979999997"/>
    <s v="Returning"/>
    <n v="0.03"/>
    <s v="Cash"/>
    <s v="Retail"/>
    <x v="0"/>
  </r>
  <r>
    <n v="1006"/>
    <x v="347"/>
    <d v="2024-09-20T00:00:00"/>
    <x v="2"/>
    <s v="Sep"/>
    <x v="2"/>
    <x v="3"/>
    <n v="26784.381399999998"/>
    <n v="7"/>
    <x v="2"/>
    <n v="3360.7"/>
    <n v="5170.7299999999996"/>
    <n v="3259.4813999999988"/>
    <s v="Returning"/>
    <n v="0.26"/>
    <s v="Cash"/>
    <s v="Online"/>
    <x v="3"/>
  </r>
  <r>
    <n v="1093"/>
    <x v="10"/>
    <d v="2024-09-20T00:00:00"/>
    <x v="2"/>
    <s v="Sep"/>
    <x v="3"/>
    <x v="1"/>
    <n v="111529.23319999999"/>
    <n v="31"/>
    <x v="2"/>
    <n v="1374.22"/>
    <n v="4861.78"/>
    <n v="68928.413199999995"/>
    <s v="New"/>
    <n v="0.26"/>
    <s v="Credit Card"/>
    <s v="Online"/>
    <x v="16"/>
  </r>
  <r>
    <n v="1067"/>
    <x v="331"/>
    <d v="2024-09-21T00:00:00"/>
    <x v="2"/>
    <s v="Sep"/>
    <x v="4"/>
    <x v="1"/>
    <n v="46077.02075096601"/>
    <n v="33"/>
    <x v="3"/>
    <n v="1165.3599999999999"/>
    <n v="1428.84"/>
    <n v="7751.8055999999988"/>
    <s v="New"/>
    <n v="0.02"/>
    <s v="Credit Card"/>
    <s v="Retail"/>
    <x v="6"/>
  </r>
  <r>
    <n v="1025"/>
    <x v="155"/>
    <d v="2024-09-21T00:00:00"/>
    <x v="2"/>
    <s v="Sep"/>
    <x v="4"/>
    <x v="3"/>
    <n v="123446.24399999999"/>
    <n v="30"/>
    <x v="1"/>
    <n v="3346.92"/>
    <n v="4472.6899999999996"/>
    <n v="23038.643999999986"/>
    <s v="Returning"/>
    <n v="0.08"/>
    <s v="Cash"/>
    <s v="Retail"/>
    <x v="12"/>
  </r>
  <r>
    <n v="1092"/>
    <x v="313"/>
    <d v="2024-09-21T00:00:00"/>
    <x v="2"/>
    <s v="Sep"/>
    <x v="4"/>
    <x v="2"/>
    <n v="56824.755000000005"/>
    <n v="26"/>
    <x v="0"/>
    <n v="762.78"/>
    <n v="2914.09"/>
    <n v="36992.475000000006"/>
    <s v="Returning"/>
    <n v="0.25"/>
    <s v="Cash"/>
    <s v="Retail"/>
    <x v="17"/>
  </r>
  <r>
    <n v="1060"/>
    <x v="304"/>
    <d v="2024-09-21T00:00:00"/>
    <x v="2"/>
    <s v="Sep"/>
    <x v="3"/>
    <x v="1"/>
    <n v="72903.499199999991"/>
    <n v="18"/>
    <x v="3"/>
    <n v="221.91"/>
    <n v="4821.66"/>
    <n v="68909.119200000001"/>
    <s v="New"/>
    <n v="0.16"/>
    <s v="Bank Transfer"/>
    <s v="Retail"/>
    <x v="16"/>
  </r>
  <r>
    <n v="1044"/>
    <x v="209"/>
    <d v="2024-09-21T00:00:00"/>
    <x v="2"/>
    <s v="Sep"/>
    <x v="1"/>
    <x v="2"/>
    <n v="112285.80480000001"/>
    <n v="38"/>
    <x v="0"/>
    <n v="397.99"/>
    <n v="3788.32"/>
    <n v="97162.184800000017"/>
    <s v="Returning"/>
    <n v="0.22"/>
    <s v="Credit Card"/>
    <s v="Online"/>
    <x v="15"/>
  </r>
  <r>
    <n v="1073"/>
    <x v="264"/>
    <d v="2024-09-22T00:00:00"/>
    <x v="2"/>
    <s v="Sep"/>
    <x v="3"/>
    <x v="0"/>
    <n v="133761.4803"/>
    <n v="43"/>
    <x v="1"/>
    <n v="3072.11"/>
    <n v="3840.41"/>
    <n v="1660.750300000002"/>
    <s v="Returning"/>
    <n v="0.19"/>
    <s v="Bank Transfer"/>
    <s v="Retail"/>
    <x v="11"/>
  </r>
  <r>
    <n v="1095"/>
    <x v="285"/>
    <d v="2024-09-22T00:00:00"/>
    <x v="2"/>
    <s v="Sep"/>
    <x v="3"/>
    <x v="2"/>
    <n v="59698.970100000006"/>
    <n v="21"/>
    <x v="0"/>
    <n v="801.51"/>
    <n v="3425.07"/>
    <n v="42867.260100000007"/>
    <s v="Returning"/>
    <n v="0.17"/>
    <s v="Credit Card"/>
    <s v="Online"/>
    <x v="9"/>
  </r>
  <r>
    <n v="1027"/>
    <x v="3"/>
    <d v="2024-09-23T00:00:00"/>
    <x v="2"/>
    <s v="Sep"/>
    <x v="0"/>
    <x v="2"/>
    <n v="18544.5821"/>
    <n v="11"/>
    <x v="3"/>
    <n v="1591.2"/>
    <n v="2031.17"/>
    <n v="1041.3821000000003"/>
    <s v="New"/>
    <n v="0.17"/>
    <s v="Credit Card"/>
    <s v="Online"/>
    <x v="2"/>
  </r>
  <r>
    <n v="1097"/>
    <x v="306"/>
    <d v="2024-09-23T00:00:00"/>
    <x v="2"/>
    <s v="Sep"/>
    <x v="2"/>
    <x v="3"/>
    <n v="83622.870800000004"/>
    <n v="17"/>
    <x v="3"/>
    <n v="4846.6400000000003"/>
    <n v="5019.38"/>
    <n v="1229.9907999999959"/>
    <s v="Returning"/>
    <n v="0.02"/>
    <s v="Credit Card"/>
    <s v="Online"/>
    <x v="3"/>
  </r>
  <r>
    <n v="1043"/>
    <x v="72"/>
    <d v="2024-09-23T00:00:00"/>
    <x v="2"/>
    <s v="Sep"/>
    <x v="0"/>
    <x v="0"/>
    <n v="77061.967199999999"/>
    <n v="18"/>
    <x v="1"/>
    <n v="3271.25"/>
    <n v="4810.3599999999997"/>
    <n v="18179.467200000003"/>
    <s v="Returning"/>
    <n v="0.11"/>
    <s v="Credit Card"/>
    <s v="Retail"/>
    <x v="0"/>
  </r>
  <r>
    <n v="1064"/>
    <x v="200"/>
    <d v="2024-09-24T00:00:00"/>
    <x v="2"/>
    <s v="Sep"/>
    <x v="1"/>
    <x v="1"/>
    <n v="70662.426900000006"/>
    <n v="19"/>
    <x v="2"/>
    <n v="3244.14"/>
    <n v="4707.6899999999996"/>
    <n v="9023.7669000000024"/>
    <s v="New"/>
    <n v="0.21"/>
    <s v="Cash"/>
    <s v="Retail"/>
    <x v="1"/>
  </r>
  <r>
    <n v="1015"/>
    <x v="144"/>
    <d v="2024-09-24T00:00:00"/>
    <x v="2"/>
    <s v="Sep"/>
    <x v="2"/>
    <x v="1"/>
    <n v="83922.432000000001"/>
    <n v="24"/>
    <x v="3"/>
    <n v="595.63"/>
    <n v="3973.6"/>
    <n v="69627.312000000005"/>
    <s v="Returning"/>
    <n v="0.12"/>
    <s v="Credit Card"/>
    <s v="Online"/>
    <x v="8"/>
  </r>
  <r>
    <n v="1091"/>
    <x v="14"/>
    <d v="2024-09-25T00:00:00"/>
    <x v="2"/>
    <s v="Sep"/>
    <x v="3"/>
    <x v="1"/>
    <n v="129567.45119999998"/>
    <n v="44"/>
    <x v="3"/>
    <n v="775.76"/>
    <n v="3166.36"/>
    <n v="95434.011199999979"/>
    <s v="Returning"/>
    <n v="7.0000000000000007E-2"/>
    <s v="Credit Card"/>
    <s v="Retail"/>
    <x v="16"/>
  </r>
  <r>
    <n v="1043"/>
    <x v="274"/>
    <d v="2024-09-26T00:00:00"/>
    <x v="2"/>
    <s v="Sep"/>
    <x v="4"/>
    <x v="0"/>
    <n v="8898.2039999999997"/>
    <n v="5"/>
    <x v="3"/>
    <n v="799.18"/>
    <n v="2118.62"/>
    <n v="4902.3040000000001"/>
    <s v="Returning"/>
    <n v="0.16"/>
    <s v="Cash"/>
    <s v="Retail"/>
    <x v="13"/>
  </r>
  <r>
    <n v="1024"/>
    <x v="59"/>
    <d v="2024-09-26T00:00:00"/>
    <x v="2"/>
    <s v="Sep"/>
    <x v="0"/>
    <x v="3"/>
    <n v="102143.808"/>
    <n v="30"/>
    <x v="1"/>
    <n v="2434.48"/>
    <n v="4728.88"/>
    <n v="29109.407999999999"/>
    <s v="New"/>
    <n v="0.28000000000000003"/>
    <s v="Cash"/>
    <s v="Retail"/>
    <x v="5"/>
  </r>
  <r>
    <n v="1076"/>
    <x v="142"/>
    <d v="2024-09-26T00:00:00"/>
    <x v="2"/>
    <s v="Sep"/>
    <x v="1"/>
    <x v="1"/>
    <n v="62850.670499999993"/>
    <n v="43"/>
    <x v="2"/>
    <n v="245.62"/>
    <n v="1680.05"/>
    <n v="52289.010499999989"/>
    <s v="Returning"/>
    <n v="0.13"/>
    <s v="Bank Transfer"/>
    <s v="Online"/>
    <x v="1"/>
  </r>
  <r>
    <n v="1010"/>
    <x v="132"/>
    <d v="2024-09-26T00:00:00"/>
    <x v="2"/>
    <s v="Sep"/>
    <x v="2"/>
    <x v="0"/>
    <n v="127397.54160000001"/>
    <n v="42"/>
    <x v="2"/>
    <n v="1671.63"/>
    <n v="4099.0200000000004"/>
    <n v="57189.081600000005"/>
    <s v="Returning"/>
    <n v="0.26"/>
    <s v="Cash"/>
    <s v="Retail"/>
    <x v="18"/>
  </r>
  <r>
    <n v="1021"/>
    <x v="38"/>
    <d v="2024-09-26T00:00:00"/>
    <x v="2"/>
    <s v="Sep"/>
    <x v="0"/>
    <x v="0"/>
    <n v="79806.719999999987"/>
    <n v="20"/>
    <x v="2"/>
    <n v="1102.32"/>
    <n v="4750.3999999999996"/>
    <n v="57760.319999999992"/>
    <s v="Returning"/>
    <n v="0.16"/>
    <s v="Credit Card"/>
    <s v="Online"/>
    <x v="0"/>
  </r>
  <r>
    <n v="1005"/>
    <x v="43"/>
    <d v="2024-09-27T00:00:00"/>
    <x v="2"/>
    <s v="Sep"/>
    <x v="4"/>
    <x v="3"/>
    <n v="152038.99619999999"/>
    <n v="39"/>
    <x v="3"/>
    <n v="1857.91"/>
    <n v="4754.1899999999996"/>
    <n v="79580.506199999989"/>
    <s v="New"/>
    <n v="0.18"/>
    <s v="Bank Transfer"/>
    <s v="Retail"/>
    <x v="12"/>
  </r>
  <r>
    <n v="1068"/>
    <x v="307"/>
    <d v="2024-09-28T00:00:00"/>
    <x v="2"/>
    <s v="Sep"/>
    <x v="4"/>
    <x v="3"/>
    <n v="6227.3684515585646"/>
    <n v="3"/>
    <x v="0"/>
    <n v="1942.6"/>
    <n v="2116.6799999999998"/>
    <n v="395.23919999999998"/>
    <s v="Returning"/>
    <n v="0.02"/>
    <s v="Bank Transfer"/>
    <s v="Online"/>
    <x v="12"/>
  </r>
  <r>
    <n v="1078"/>
    <x v="217"/>
    <d v="2024-09-28T00:00:00"/>
    <x v="2"/>
    <s v="Sep"/>
    <x v="4"/>
    <x v="3"/>
    <n v="51963.119000000006"/>
    <n v="19"/>
    <x v="0"/>
    <n v="1659.98"/>
    <n v="3461.9"/>
    <n v="20423.499000000003"/>
    <s v="New"/>
    <n v="0.21"/>
    <s v="Credit Card"/>
    <s v="Online"/>
    <x v="12"/>
  </r>
  <r>
    <n v="1088"/>
    <x v="25"/>
    <d v="2024-09-28T00:00:00"/>
    <x v="2"/>
    <s v="Sep"/>
    <x v="3"/>
    <x v="1"/>
    <n v="127050.29659999999"/>
    <n v="37"/>
    <x v="1"/>
    <n v="2088.19"/>
    <n v="3652.97"/>
    <n v="49787.266599999981"/>
    <s v="Returning"/>
    <n v="0.06"/>
    <s v="Credit Card"/>
    <s v="Online"/>
    <x v="16"/>
  </r>
  <r>
    <n v="1039"/>
    <x v="117"/>
    <d v="2024-09-28T00:00:00"/>
    <x v="2"/>
    <s v="Sep"/>
    <x v="1"/>
    <x v="1"/>
    <n v="91714.946400000001"/>
    <n v="22"/>
    <x v="3"/>
    <n v="152.66"/>
    <n v="4962.93"/>
    <n v="88356.426400000011"/>
    <s v="New"/>
    <n v="0.16"/>
    <s v="Credit Card"/>
    <s v="Retail"/>
    <x v="1"/>
  </r>
  <r>
    <n v="1083"/>
    <x v="100"/>
    <d v="2024-09-28T00:00:00"/>
    <x v="2"/>
    <s v="Sep"/>
    <x v="4"/>
    <x v="0"/>
    <n v="185095.43549999999"/>
    <n v="45"/>
    <x v="3"/>
    <n v="227.39"/>
    <n v="4422.83"/>
    <n v="174862.8855"/>
    <s v="New"/>
    <n v="7.0000000000000007E-2"/>
    <s v="Cash"/>
    <s v="Online"/>
    <x v="13"/>
  </r>
  <r>
    <n v="1024"/>
    <x v="290"/>
    <d v="2024-09-29T00:00:00"/>
    <x v="2"/>
    <s v="Sep"/>
    <x v="2"/>
    <x v="1"/>
    <n v="2918.6783999999998"/>
    <n v="1"/>
    <x v="2"/>
    <n v="385.25"/>
    <n v="3944.16"/>
    <n v="2533.4283999999998"/>
    <s v="New"/>
    <n v="0.26"/>
    <s v="Credit Card"/>
    <s v="Online"/>
    <x v="8"/>
  </r>
  <r>
    <n v="1092"/>
    <x v="1"/>
    <d v="2024-09-29T00:00:00"/>
    <x v="2"/>
    <s v="Sep"/>
    <x v="2"/>
    <x v="1"/>
    <n v="27240.153600000001"/>
    <n v="8"/>
    <x v="1"/>
    <n v="1918.18"/>
    <n v="3869.34"/>
    <n v="11894.713600000001"/>
    <s v="New"/>
    <n v="0.12"/>
    <s v="Bank Transfer"/>
    <s v="Online"/>
    <x v="8"/>
  </r>
  <r>
    <n v="1090"/>
    <x v="37"/>
    <d v="2024-09-29T00:00:00"/>
    <x v="2"/>
    <s v="Sep"/>
    <x v="0"/>
    <x v="3"/>
    <n v="151366.71480000002"/>
    <n v="38"/>
    <x v="1"/>
    <n v="2824.4"/>
    <n v="4237.59"/>
    <n v="44039.514800000004"/>
    <s v="Returning"/>
    <n v="0.06"/>
    <s v="Cash"/>
    <s v="Retail"/>
    <x v="5"/>
  </r>
  <r>
    <n v="1076"/>
    <x v="142"/>
    <d v="2024-09-30T00:00:00"/>
    <x v="2"/>
    <s v="Sep"/>
    <x v="2"/>
    <x v="2"/>
    <n v="1629.8981495879516"/>
    <n v="2"/>
    <x v="2"/>
    <n v="755.02"/>
    <n v="829.39"/>
    <n v="115.56439999999998"/>
    <s v="Returning"/>
    <n v="0.02"/>
    <s v="Bank Transfer"/>
    <s v="Retail"/>
    <x v="14"/>
  </r>
  <r>
    <n v="1001"/>
    <x v="315"/>
    <d v="2024-09-30T00:00:00"/>
    <x v="2"/>
    <s v="Sep"/>
    <x v="0"/>
    <x v="1"/>
    <n v="21689.892"/>
    <n v="6"/>
    <x v="2"/>
    <n v="2792"/>
    <n v="5164.26"/>
    <n v="4937.8919999999998"/>
    <s v="New"/>
    <n v="0.3"/>
    <s v="Credit Card"/>
    <s v="Online"/>
    <x v="19"/>
  </r>
  <r>
    <n v="1021"/>
    <x v="380"/>
    <d v="2024-09-30T00:00:00"/>
    <x v="2"/>
    <s v="Sep"/>
    <x v="1"/>
    <x v="0"/>
    <n v="21035.283500000001"/>
    <n v="5"/>
    <x v="3"/>
    <n v="1532.14"/>
    <n v="4727.03"/>
    <n v="13374.583499999999"/>
    <s v="Returning"/>
    <n v="0.11"/>
    <s v="Cash"/>
    <s v="Online"/>
    <x v="10"/>
  </r>
  <r>
    <n v="1085"/>
    <x v="5"/>
    <d v="2024-09-30T00:00:00"/>
    <x v="2"/>
    <s v="Sep"/>
    <x v="3"/>
    <x v="2"/>
    <n v="88592.95"/>
    <n v="25"/>
    <x v="0"/>
    <n v="2371.1"/>
    <n v="4169.08"/>
    <n v="29315.449999999997"/>
    <s v="Returning"/>
    <n v="0.15"/>
    <s v="Cash"/>
    <s v="Online"/>
    <x v="9"/>
  </r>
  <r>
    <n v="1053"/>
    <x v="309"/>
    <d v="2024-09-30T00:00:00"/>
    <x v="2"/>
    <s v="Sep"/>
    <x v="4"/>
    <x v="3"/>
    <n v="69772.374000000011"/>
    <n v="15"/>
    <x v="3"/>
    <n v="1476.76"/>
    <n v="4746.42"/>
    <n v="47620.974000000002"/>
    <s v="New"/>
    <n v="0.02"/>
    <s v="Bank Transfer"/>
    <s v="Retail"/>
    <x v="12"/>
  </r>
  <r>
    <n v="1077"/>
    <x v="278"/>
    <d v="2024-09-30T00:00:00"/>
    <x v="2"/>
    <s v="Sep"/>
    <x v="0"/>
    <x v="2"/>
    <n v="85648.982399999994"/>
    <n v="46"/>
    <x v="1"/>
    <n v="317.32"/>
    <n v="1919.52"/>
    <n v="71052.262399999992"/>
    <s v="New"/>
    <n v="0.03"/>
    <s v="Cash"/>
    <s v="Retail"/>
    <x v="2"/>
  </r>
  <r>
    <n v="1099"/>
    <x v="16"/>
    <d v="2024-10-01T00:00:00"/>
    <x v="2"/>
    <s v="Oct"/>
    <x v="1"/>
    <x v="2"/>
    <n v="18400.524299999997"/>
    <n v="9"/>
    <x v="1"/>
    <n v="1544.5"/>
    <n v="2198.39"/>
    <n v="4500.0242999999982"/>
    <s v="New"/>
    <n v="7.0000000000000007E-2"/>
    <s v="Bank Transfer"/>
    <s v="Online"/>
    <x v="15"/>
  </r>
  <r>
    <n v="1088"/>
    <x v="83"/>
    <d v="2024-10-01T00:00:00"/>
    <x v="2"/>
    <s v="Oct"/>
    <x v="1"/>
    <x v="1"/>
    <n v="82932.203200000004"/>
    <n v="28"/>
    <x v="0"/>
    <n v="252.73"/>
    <n v="3897.19"/>
    <n v="75855.763200000001"/>
    <s v="New"/>
    <n v="0.24"/>
    <s v="Credit Card"/>
    <s v="Online"/>
    <x v="1"/>
  </r>
  <r>
    <n v="1097"/>
    <x v="306"/>
    <d v="2024-10-02T00:00:00"/>
    <x v="2"/>
    <s v="Oct"/>
    <x v="4"/>
    <x v="1"/>
    <n v="205533.77300000002"/>
    <n v="46"/>
    <x v="3"/>
    <n v="4033.74"/>
    <n v="4703.29"/>
    <n v="19981.733000000015"/>
    <s v="New"/>
    <n v="0.05"/>
    <s v="Bank Transfer"/>
    <s v="Online"/>
    <x v="6"/>
  </r>
  <r>
    <n v="1030"/>
    <x v="195"/>
    <d v="2024-10-02T00:00:00"/>
    <x v="2"/>
    <s v="Oct"/>
    <x v="1"/>
    <x v="1"/>
    <n v="83242.286400000012"/>
    <n v="48"/>
    <x v="3"/>
    <n v="1135.01"/>
    <n v="1905.73"/>
    <n v="28761.806400000005"/>
    <s v="Returning"/>
    <n v="0.09"/>
    <s v="Cash"/>
    <s v="Online"/>
    <x v="1"/>
  </r>
  <r>
    <n v="1090"/>
    <x v="37"/>
    <d v="2024-10-02T00:00:00"/>
    <x v="2"/>
    <s v="Oct"/>
    <x v="3"/>
    <x v="0"/>
    <n v="63148.995000000003"/>
    <n v="25"/>
    <x v="1"/>
    <n v="1355.53"/>
    <n v="2775.78"/>
    <n v="29260.745000000003"/>
    <s v="Returning"/>
    <n v="0.09"/>
    <s v="Bank Transfer"/>
    <s v="Retail"/>
    <x v="11"/>
  </r>
  <r>
    <n v="1031"/>
    <x v="199"/>
    <d v="2024-10-02T00:00:00"/>
    <x v="2"/>
    <s v="Oct"/>
    <x v="2"/>
    <x v="2"/>
    <n v="98886.06"/>
    <n v="30"/>
    <x v="0"/>
    <n v="2186.5500000000002"/>
    <n v="3622.2"/>
    <n v="33289.55999999999"/>
    <s v="New"/>
    <n v="0.09"/>
    <s v="Credit Card"/>
    <s v="Retail"/>
    <x v="14"/>
  </r>
  <r>
    <n v="1070"/>
    <x v="318"/>
    <d v="2024-10-02T00:00:00"/>
    <x v="2"/>
    <s v="Oct"/>
    <x v="0"/>
    <x v="0"/>
    <n v="108974.92199999999"/>
    <n v="35"/>
    <x v="1"/>
    <n v="331.88"/>
    <n v="3706.63"/>
    <n v="97359.121999999988"/>
    <s v="Returning"/>
    <n v="0.16"/>
    <s v="Cash"/>
    <s v="Retail"/>
    <x v="0"/>
  </r>
  <r>
    <n v="1024"/>
    <x v="59"/>
    <d v="2024-10-03T00:00:00"/>
    <x v="2"/>
    <s v="Oct"/>
    <x v="0"/>
    <x v="2"/>
    <n v="67610.665199999989"/>
    <n v="26"/>
    <x v="1"/>
    <n v="2379.66"/>
    <n v="2796.14"/>
    <n v="5739.5051999999987"/>
    <s v="New"/>
    <n v="7.0000000000000007E-2"/>
    <s v="Credit Card"/>
    <s v="Retail"/>
    <x v="2"/>
  </r>
  <r>
    <n v="1066"/>
    <x v="394"/>
    <d v="2024-10-03T00:00:00"/>
    <x v="2"/>
    <s v="Oct"/>
    <x v="3"/>
    <x v="3"/>
    <n v="92637.036800000002"/>
    <n v="32"/>
    <x v="0"/>
    <n v="1269.44"/>
    <n v="3759.62"/>
    <n v="52014.9568"/>
    <s v="New"/>
    <n v="0.23"/>
    <s v="Cash"/>
    <s v="Retail"/>
    <x v="4"/>
  </r>
  <r>
    <n v="1057"/>
    <x v="208"/>
    <d v="2024-10-04T00:00:00"/>
    <x v="2"/>
    <s v="Oct"/>
    <x v="1"/>
    <x v="1"/>
    <n v="157992.5398"/>
    <n v="47"/>
    <x v="0"/>
    <n v="2557.48"/>
    <n v="3576.11"/>
    <n v="37790.979800000001"/>
    <s v="Returning"/>
    <n v="0.06"/>
    <s v="Credit Card"/>
    <s v="Retail"/>
    <x v="1"/>
  </r>
  <r>
    <n v="1097"/>
    <x v="306"/>
    <d v="2024-10-04T00:00:00"/>
    <x v="2"/>
    <s v="Oct"/>
    <x v="1"/>
    <x v="0"/>
    <n v="231289.03039999999"/>
    <n v="46"/>
    <x v="3"/>
    <n v="2585.25"/>
    <n v="5348.96"/>
    <n v="112367.53039999999"/>
    <s v="Returning"/>
    <n v="0.06"/>
    <s v="Bank Transfer"/>
    <s v="Online"/>
    <x v="10"/>
  </r>
  <r>
    <n v="1061"/>
    <x v="385"/>
    <d v="2024-10-04T00:00:00"/>
    <x v="2"/>
    <s v="Oct"/>
    <x v="4"/>
    <x v="3"/>
    <n v="148368.39679999999"/>
    <n v="32"/>
    <x v="1"/>
    <n v="1017.56"/>
    <n v="4932.46"/>
    <n v="115806.47679999999"/>
    <s v="Returning"/>
    <n v="0.06"/>
    <s v="Credit Card"/>
    <s v="Online"/>
    <x v="12"/>
  </r>
  <r>
    <n v="1088"/>
    <x v="25"/>
    <d v="2024-10-05T00:00:00"/>
    <x v="2"/>
    <s v="Oct"/>
    <x v="4"/>
    <x v="2"/>
    <n v="22094.14441498863"/>
    <n v="5"/>
    <x v="1"/>
    <n v="4318.96"/>
    <n v="4526.09"/>
    <n v="583.04099999999835"/>
    <s v="New"/>
    <n v="0.02"/>
    <s v="Bank Transfer"/>
    <s v="Retail"/>
    <x v="17"/>
  </r>
  <r>
    <n v="1088"/>
    <x v="83"/>
    <d v="2024-10-05T00:00:00"/>
    <x v="2"/>
    <s v="Oct"/>
    <x v="1"/>
    <x v="1"/>
    <n v="12229.388000000001"/>
    <n v="8"/>
    <x v="0"/>
    <n v="418.42"/>
    <n v="1609.13"/>
    <n v="8882.0280000000002"/>
    <s v="New"/>
    <n v="0.05"/>
    <s v="Cash"/>
    <s v="Online"/>
    <x v="1"/>
  </r>
  <r>
    <n v="1083"/>
    <x v="227"/>
    <d v="2024-10-05T00:00:00"/>
    <x v="2"/>
    <s v="Oct"/>
    <x v="3"/>
    <x v="2"/>
    <n v="86776.300799999997"/>
    <n v="48"/>
    <x v="2"/>
    <n v="1161.72"/>
    <n v="2152.19"/>
    <n v="31013.7408"/>
    <s v="New"/>
    <n v="0.16"/>
    <s v="Cash"/>
    <s v="Online"/>
    <x v="9"/>
  </r>
  <r>
    <n v="1011"/>
    <x v="223"/>
    <d v="2024-10-06T00:00:00"/>
    <x v="2"/>
    <s v="Oct"/>
    <x v="0"/>
    <x v="2"/>
    <n v="168379.09109999999"/>
    <n v="41"/>
    <x v="1"/>
    <n v="3918"/>
    <n v="5198.49"/>
    <n v="7741.0910999999996"/>
    <s v="New"/>
    <n v="0.21"/>
    <s v="Bank Transfer"/>
    <s v="Retail"/>
    <x v="2"/>
  </r>
  <r>
    <n v="1014"/>
    <x v="130"/>
    <d v="2024-10-06T00:00:00"/>
    <x v="2"/>
    <s v="Oct"/>
    <x v="0"/>
    <x v="3"/>
    <n v="21187.526399999999"/>
    <n v="16"/>
    <x v="2"/>
    <n v="705.07"/>
    <n v="1439.37"/>
    <n v="9906.406399999998"/>
    <s v="Returning"/>
    <n v="0.08"/>
    <s v="Cash"/>
    <s v="Online"/>
    <x v="5"/>
  </r>
  <r>
    <n v="1006"/>
    <x v="347"/>
    <d v="2024-10-06T00:00:00"/>
    <x v="2"/>
    <s v="Oct"/>
    <x v="2"/>
    <x v="0"/>
    <n v="27608.748"/>
    <n v="24"/>
    <x v="2"/>
    <n v="329.07"/>
    <n v="1353.37"/>
    <n v="19711.067999999999"/>
    <s v="New"/>
    <n v="0.15"/>
    <s v="Bank Transfer"/>
    <s v="Retail"/>
    <x v="18"/>
  </r>
  <r>
    <n v="1100"/>
    <x v="198"/>
    <d v="2024-10-06T00:00:00"/>
    <x v="2"/>
    <s v="Oct"/>
    <x v="4"/>
    <x v="2"/>
    <n v="130135.30140000001"/>
    <n v="47"/>
    <x v="2"/>
    <n v="585.36"/>
    <n v="3549.79"/>
    <n v="102623.3814"/>
    <s v="New"/>
    <n v="0.22"/>
    <s v="Credit Card"/>
    <s v="Online"/>
    <x v="17"/>
  </r>
  <r>
    <n v="1042"/>
    <x v="58"/>
    <d v="2024-10-06T00:00:00"/>
    <x v="2"/>
    <s v="Oct"/>
    <x v="4"/>
    <x v="0"/>
    <n v="211713.9031"/>
    <n v="49"/>
    <x v="3"/>
    <n v="1390.02"/>
    <n v="4854.71"/>
    <n v="143602.92309999999"/>
    <s v="Returning"/>
    <n v="0.11"/>
    <s v="Credit Card"/>
    <s v="Online"/>
    <x v="13"/>
  </r>
  <r>
    <n v="1051"/>
    <x v="213"/>
    <d v="2024-10-07T00:00:00"/>
    <x v="2"/>
    <s v="Oct"/>
    <x v="2"/>
    <x v="2"/>
    <n v="62539.149500000007"/>
    <n v="17"/>
    <x v="0"/>
    <n v="3568.29"/>
    <n v="3792.55"/>
    <n v="1878.2195000000047"/>
    <s v="Returning"/>
    <n v="0.03"/>
    <s v="Credit Card"/>
    <s v="Retail"/>
    <x v="14"/>
  </r>
  <r>
    <n v="1026"/>
    <x v="293"/>
    <d v="2024-10-07T00:00:00"/>
    <x v="2"/>
    <s v="Oct"/>
    <x v="3"/>
    <x v="0"/>
    <n v="104055.98000000001"/>
    <n v="34"/>
    <x v="3"/>
    <n v="2754.68"/>
    <n v="4372.1000000000004"/>
    <n v="10396.860000000015"/>
    <s v="New"/>
    <n v="0.3"/>
    <s v="Cash"/>
    <s v="Online"/>
    <x v="11"/>
  </r>
  <r>
    <n v="1011"/>
    <x v="237"/>
    <d v="2024-10-07T00:00:00"/>
    <x v="2"/>
    <s v="Oct"/>
    <x v="4"/>
    <x v="1"/>
    <n v="95129.143200000006"/>
    <n v="36"/>
    <x v="3"/>
    <n v="247.25"/>
    <n v="2903.82"/>
    <n v="86228.143200000006"/>
    <s v="Returning"/>
    <n v="0.09"/>
    <s v="Bank Transfer"/>
    <s v="Online"/>
    <x v="6"/>
  </r>
  <r>
    <n v="1013"/>
    <x v="189"/>
    <d v="2024-10-08T00:00:00"/>
    <x v="2"/>
    <s v="Oct"/>
    <x v="4"/>
    <x v="0"/>
    <n v="106404.48"/>
    <n v="28"/>
    <x v="3"/>
    <n v="3530.03"/>
    <n v="4750.2"/>
    <n v="7563.6399999999903"/>
    <s v="New"/>
    <n v="0.2"/>
    <s v="Bank Transfer"/>
    <s v="Online"/>
    <x v="13"/>
  </r>
  <r>
    <n v="1077"/>
    <x v="172"/>
    <d v="2024-10-08T00:00:00"/>
    <x v="2"/>
    <s v="Oct"/>
    <x v="4"/>
    <x v="0"/>
    <n v="159811.68"/>
    <n v="40"/>
    <x v="2"/>
    <n v="3485.41"/>
    <n v="4756.3"/>
    <n v="20395.280000000002"/>
    <s v="Returning"/>
    <n v="0.16"/>
    <s v="Cash"/>
    <s v="Online"/>
    <x v="13"/>
  </r>
  <r>
    <n v="1100"/>
    <x v="350"/>
    <d v="2024-10-08T00:00:00"/>
    <x v="2"/>
    <s v="Oct"/>
    <x v="1"/>
    <x v="2"/>
    <n v="98698.752000000008"/>
    <n v="20"/>
    <x v="0"/>
    <n v="2005"/>
    <n v="5140.5600000000004"/>
    <n v="58598.752000000008"/>
    <s v="New"/>
    <n v="0.04"/>
    <s v="Cash"/>
    <s v="Retail"/>
    <x v="15"/>
  </r>
  <r>
    <n v="1081"/>
    <x v="250"/>
    <d v="2024-10-09T00:00:00"/>
    <x v="2"/>
    <s v="Oct"/>
    <x v="3"/>
    <x v="2"/>
    <n v="73258.667999999991"/>
    <n v="21"/>
    <x v="3"/>
    <n v="2975.3"/>
    <n v="3876.12"/>
    <n v="10777.367999999991"/>
    <s v="New"/>
    <n v="0.1"/>
    <s v="Bank Transfer"/>
    <s v="Retail"/>
    <x v="9"/>
  </r>
  <r>
    <n v="1048"/>
    <x v="354"/>
    <d v="2024-10-09T00:00:00"/>
    <x v="2"/>
    <s v="Oct"/>
    <x v="3"/>
    <x v="2"/>
    <n v="87272.734499999991"/>
    <n v="35"/>
    <x v="2"/>
    <n v="1714.63"/>
    <n v="2681.19"/>
    <n v="27260.684499999992"/>
    <s v="New"/>
    <n v="7.0000000000000007E-2"/>
    <s v="Cash"/>
    <s v="Retail"/>
    <x v="9"/>
  </r>
  <r>
    <n v="1038"/>
    <x v="255"/>
    <d v="2024-10-10T00:00:00"/>
    <x v="2"/>
    <s v="Oct"/>
    <x v="1"/>
    <x v="0"/>
    <n v="23793.039540131467"/>
    <n v="7"/>
    <x v="2"/>
    <n v="3312.17"/>
    <n v="3412.44"/>
    <n v="701.88999999999987"/>
    <s v="Returning"/>
    <n v="0"/>
    <s v="Cash"/>
    <s v="Retail"/>
    <x v="10"/>
  </r>
  <r>
    <n v="1077"/>
    <x v="172"/>
    <d v="2024-10-10T00:00:00"/>
    <x v="2"/>
    <s v="Oct"/>
    <x v="2"/>
    <x v="0"/>
    <n v="57180.184600000001"/>
    <n v="38"/>
    <x v="2"/>
    <n v="1418.42"/>
    <n v="1954.21"/>
    <n v="3280.2245999999986"/>
    <s v="New"/>
    <n v="0.23"/>
    <s v="Credit Card"/>
    <s v="Online"/>
    <x v="18"/>
  </r>
  <r>
    <n v="1045"/>
    <x v="272"/>
    <d v="2024-10-10T00:00:00"/>
    <x v="2"/>
    <s v="Oct"/>
    <x v="0"/>
    <x v="2"/>
    <n v="32721.249599999999"/>
    <n v="9"/>
    <x v="0"/>
    <n v="2644.64"/>
    <n v="3867.76"/>
    <n v="8919.4896000000008"/>
    <s v="New"/>
    <n v="0.06"/>
    <s v="Credit Card"/>
    <s v="Online"/>
    <x v="2"/>
  </r>
  <r>
    <n v="1069"/>
    <x v="337"/>
    <d v="2024-10-10T00:00:00"/>
    <x v="2"/>
    <s v="Oct"/>
    <x v="4"/>
    <x v="1"/>
    <n v="181964.71859999999"/>
    <n v="42"/>
    <x v="0"/>
    <n v="2504.3000000000002"/>
    <n v="4867.97"/>
    <n v="76784.118600000002"/>
    <s v="New"/>
    <n v="0.11"/>
    <s v="Credit Card"/>
    <s v="Retail"/>
    <x v="6"/>
  </r>
  <r>
    <n v="1010"/>
    <x v="65"/>
    <d v="2024-10-11T00:00:00"/>
    <x v="2"/>
    <s v="Oct"/>
    <x v="3"/>
    <x v="2"/>
    <n v="3210.4416000000001"/>
    <n v="1"/>
    <x v="3"/>
    <n v="533.04"/>
    <n v="3344.21"/>
    <n v="2677.4016000000001"/>
    <s v="Returning"/>
    <n v="0.04"/>
    <s v="Cash"/>
    <s v="Online"/>
    <x v="9"/>
  </r>
  <r>
    <n v="1016"/>
    <x v="270"/>
    <d v="2024-10-11T00:00:00"/>
    <x v="2"/>
    <s v="Oct"/>
    <x v="0"/>
    <x v="1"/>
    <n v="36285.168299999998"/>
    <n v="31"/>
    <x v="1"/>
    <n v="179.94"/>
    <n v="1603.41"/>
    <n v="30707.028299999998"/>
    <s v="New"/>
    <n v="0.27"/>
    <s v="Bank Transfer"/>
    <s v="Online"/>
    <x v="19"/>
  </r>
  <r>
    <n v="1027"/>
    <x v="226"/>
    <d v="2024-10-11T00:00:00"/>
    <x v="2"/>
    <s v="Oct"/>
    <x v="4"/>
    <x v="2"/>
    <n v="47910.166200000007"/>
    <n v="13"/>
    <x v="0"/>
    <n v="1225.81"/>
    <n v="4665.0600000000004"/>
    <n v="31974.636200000004"/>
    <s v="Returning"/>
    <n v="0.21"/>
    <s v="Bank Transfer"/>
    <s v="Retail"/>
    <x v="17"/>
  </r>
  <r>
    <n v="1100"/>
    <x v="350"/>
    <d v="2024-10-11T00:00:00"/>
    <x v="2"/>
    <s v="Oct"/>
    <x v="2"/>
    <x v="2"/>
    <n v="62858.268000000004"/>
    <n v="18"/>
    <x v="0"/>
    <n v="489.29"/>
    <n v="3527.4"/>
    <n v="54051.048000000003"/>
    <s v="Returning"/>
    <n v="0.01"/>
    <s v="Credit Card"/>
    <s v="Online"/>
    <x v="14"/>
  </r>
  <r>
    <n v="1060"/>
    <x v="245"/>
    <d v="2024-10-11T00:00:00"/>
    <x v="2"/>
    <s v="Oct"/>
    <x v="0"/>
    <x v="3"/>
    <n v="106438.4256"/>
    <n v="26"/>
    <x v="2"/>
    <n v="1637.36"/>
    <n v="5386.56"/>
    <n v="63867.065600000016"/>
    <s v="Returning"/>
    <n v="0.24"/>
    <s v="Bank Transfer"/>
    <s v="Online"/>
    <x v="5"/>
  </r>
  <r>
    <n v="1090"/>
    <x v="37"/>
    <d v="2024-10-11T00:00:00"/>
    <x v="2"/>
    <s v="Oct"/>
    <x v="2"/>
    <x v="0"/>
    <n v="110770.45"/>
    <n v="35"/>
    <x v="1"/>
    <n v="1081.48"/>
    <n v="3164.87"/>
    <n v="72918.649999999994"/>
    <s v="Returning"/>
    <n v="0"/>
    <s v="Credit Card"/>
    <s v="Online"/>
    <x v="18"/>
  </r>
  <r>
    <n v="1082"/>
    <x v="283"/>
    <d v="2024-10-11T00:00:00"/>
    <x v="2"/>
    <s v="Oct"/>
    <x v="0"/>
    <x v="3"/>
    <n v="163765.51999999999"/>
    <n v="46"/>
    <x v="1"/>
    <n v="1677.77"/>
    <n v="4450.1499999999996"/>
    <n v="86588.099999999991"/>
    <s v="Returning"/>
    <n v="0.2"/>
    <s v="Cash"/>
    <s v="Retail"/>
    <x v="5"/>
  </r>
  <r>
    <n v="1053"/>
    <x v="265"/>
    <d v="2024-10-12T00:00:00"/>
    <x v="2"/>
    <s v="Oct"/>
    <x v="2"/>
    <x v="0"/>
    <n v="8980.1040000000012"/>
    <n v="3"/>
    <x v="0"/>
    <n v="2036.79"/>
    <n v="3741.71"/>
    <n v="2869.7340000000013"/>
    <s v="New"/>
    <n v="0.2"/>
    <s v="Credit Card"/>
    <s v="Retail"/>
    <x v="18"/>
  </r>
  <r>
    <n v="1090"/>
    <x v="159"/>
    <d v="2024-10-12T00:00:00"/>
    <x v="2"/>
    <s v="Oct"/>
    <x v="0"/>
    <x v="3"/>
    <n v="104401.2613053934"/>
    <n v="46"/>
    <x v="2"/>
    <n v="1991.36"/>
    <n v="2319.9299999999998"/>
    <n v="12979.884399999997"/>
    <s v="New"/>
    <n v="0.02"/>
    <s v="Cash"/>
    <s v="Retail"/>
    <x v="5"/>
  </r>
  <r>
    <n v="1054"/>
    <x v="251"/>
    <d v="2024-10-12T00:00:00"/>
    <x v="2"/>
    <s v="Oct"/>
    <x v="1"/>
    <x v="2"/>
    <n v="146248.53700000001"/>
    <n v="29"/>
    <x v="3"/>
    <n v="2361.4499999999998"/>
    <n v="5364.95"/>
    <n v="77766.487000000008"/>
    <s v="New"/>
    <n v="0.06"/>
    <s v="Cash"/>
    <s v="Online"/>
    <x v="15"/>
  </r>
  <r>
    <n v="1089"/>
    <x v="348"/>
    <d v="2024-10-13T00:00:00"/>
    <x v="2"/>
    <s v="Oct"/>
    <x v="4"/>
    <x v="1"/>
    <n v="21671.980000000003"/>
    <n v="5"/>
    <x v="1"/>
    <n v="3975.31"/>
    <n v="4711.3"/>
    <n v="1795.4300000000035"/>
    <s v="Returning"/>
    <n v="0.08"/>
    <s v="Credit Card"/>
    <s v="Retail"/>
    <x v="6"/>
  </r>
  <r>
    <n v="1020"/>
    <x v="48"/>
    <d v="2024-10-14T00:00:00"/>
    <x v="2"/>
    <s v="Oct"/>
    <x v="2"/>
    <x v="3"/>
    <n v="175309.70685499124"/>
    <n v="37"/>
    <x v="3"/>
    <n v="4644.51"/>
    <n v="4760.37"/>
    <n v="4286.8199999999879"/>
    <s v="New"/>
    <n v="0"/>
    <s v="Bank Transfer"/>
    <s v="Online"/>
    <x v="3"/>
  </r>
  <r>
    <n v="1084"/>
    <x v="64"/>
    <d v="2024-10-14T00:00:00"/>
    <x v="2"/>
    <s v="Oct"/>
    <x v="2"/>
    <x v="1"/>
    <n v="65152.08"/>
    <n v="45"/>
    <x v="1"/>
    <n v="1148.68"/>
    <n v="1508.15"/>
    <n v="13461.48"/>
    <s v="New"/>
    <n v="0.04"/>
    <s v="Cash"/>
    <s v="Retail"/>
    <x v="8"/>
  </r>
  <r>
    <n v="1003"/>
    <x v="104"/>
    <d v="2024-10-14T00:00:00"/>
    <x v="2"/>
    <s v="Oct"/>
    <x v="4"/>
    <x v="2"/>
    <n v="123575.41835206926"/>
    <n v="35"/>
    <x v="0"/>
    <n v="2676.59"/>
    <n v="3556.81"/>
    <n v="29562.816499999994"/>
    <s v="New"/>
    <n v="0.01"/>
    <s v="Bank Transfer"/>
    <s v="Online"/>
    <x v="17"/>
  </r>
  <r>
    <n v="1086"/>
    <x v="338"/>
    <d v="2024-10-14T00:00:00"/>
    <x v="2"/>
    <s v="Oct"/>
    <x v="3"/>
    <x v="0"/>
    <n v="134431.71840000001"/>
    <n v="41"/>
    <x v="2"/>
    <n v="205.27"/>
    <n v="3903.36"/>
    <n v="126015.64840000001"/>
    <s v="Returning"/>
    <n v="0.16"/>
    <s v="Credit Card"/>
    <s v="Online"/>
    <x v="11"/>
  </r>
  <r>
    <n v="1038"/>
    <x v="6"/>
    <d v="2024-10-15T00:00:00"/>
    <x v="2"/>
    <s v="Oct"/>
    <x v="1"/>
    <x v="3"/>
    <n v="29692.413"/>
    <n v="10"/>
    <x v="0"/>
    <n v="2558.2399999999998"/>
    <n v="3665.73"/>
    <n v="4110.0130000000036"/>
    <s v="Returning"/>
    <n v="0.19"/>
    <s v="Credit Card"/>
    <s v="Retail"/>
    <x v="7"/>
  </r>
  <r>
    <n v="1035"/>
    <x v="120"/>
    <d v="2024-10-15T00:00:00"/>
    <x v="2"/>
    <s v="Oct"/>
    <x v="3"/>
    <x v="0"/>
    <n v="50184.269800000002"/>
    <n v="14"/>
    <x v="1"/>
    <n v="2241.85"/>
    <n v="4027.63"/>
    <n v="18798.369800000004"/>
    <s v="New"/>
    <n v="0.11"/>
    <s v="Bank Transfer"/>
    <s v="Retail"/>
    <x v="11"/>
  </r>
  <r>
    <n v="1039"/>
    <x v="277"/>
    <d v="2024-10-15T00:00:00"/>
    <x v="2"/>
    <s v="Oct"/>
    <x v="4"/>
    <x v="2"/>
    <n v="164960.34239999999"/>
    <n v="49"/>
    <x v="1"/>
    <n v="2686.73"/>
    <n v="3659.28"/>
    <n v="33310.572400000005"/>
    <s v="Returning"/>
    <n v="0.08"/>
    <s v="Credit Card"/>
    <s v="Retail"/>
    <x v="17"/>
  </r>
  <r>
    <n v="1073"/>
    <x v="47"/>
    <d v="2024-10-15T00:00:00"/>
    <x v="2"/>
    <s v="Oct"/>
    <x v="3"/>
    <x v="2"/>
    <n v="55471.482000000004"/>
    <n v="20"/>
    <x v="3"/>
    <n v="964.39"/>
    <n v="2801.59"/>
    <n v="36183.682000000008"/>
    <s v="New"/>
    <n v="0.01"/>
    <s v="Cash"/>
    <s v="Retail"/>
    <x v="9"/>
  </r>
  <r>
    <n v="1099"/>
    <x v="288"/>
    <d v="2024-10-16T00:00:00"/>
    <x v="2"/>
    <s v="Oct"/>
    <x v="1"/>
    <x v="1"/>
    <n v="13531.009599999998"/>
    <n v="4"/>
    <x v="2"/>
    <n v="784.47"/>
    <n v="4764.4399999999996"/>
    <n v="10393.129599999997"/>
    <s v="Returning"/>
    <n v="0.28999999999999998"/>
    <s v="Bank Transfer"/>
    <s v="Retail"/>
    <x v="1"/>
  </r>
  <r>
    <n v="1016"/>
    <x v="305"/>
    <d v="2024-10-16T00:00:00"/>
    <x v="2"/>
    <s v="Oct"/>
    <x v="2"/>
    <x v="2"/>
    <n v="105933.9452"/>
    <n v="37"/>
    <x v="3"/>
    <n v="2202.52"/>
    <n v="3767.21"/>
    <n v="24440.7052"/>
    <s v="New"/>
    <n v="0.24"/>
    <s v="Credit Card"/>
    <s v="Online"/>
    <x v="14"/>
  </r>
  <r>
    <n v="1059"/>
    <x v="329"/>
    <d v="2024-10-16T00:00:00"/>
    <x v="2"/>
    <s v="Oct"/>
    <x v="2"/>
    <x v="2"/>
    <n v="67402.714399999997"/>
    <n v="23"/>
    <x v="1"/>
    <n v="1351.9"/>
    <n v="2990.36"/>
    <n v="36309.0144"/>
    <s v="Returning"/>
    <n v="0.02"/>
    <s v="Cash"/>
    <s v="Retail"/>
    <x v="14"/>
  </r>
  <r>
    <n v="1058"/>
    <x v="222"/>
    <d v="2024-10-16T00:00:00"/>
    <x v="2"/>
    <s v="Oct"/>
    <x v="2"/>
    <x v="1"/>
    <n v="98755.826400000005"/>
    <n v="24"/>
    <x v="3"/>
    <n v="598.79999999999995"/>
    <n v="5343.93"/>
    <n v="84384.626400000008"/>
    <s v="Returning"/>
    <n v="0.23"/>
    <s v="Cash"/>
    <s v="Online"/>
    <x v="8"/>
  </r>
  <r>
    <n v="1012"/>
    <x v="393"/>
    <d v="2024-10-16T00:00:00"/>
    <x v="2"/>
    <s v="Oct"/>
    <x v="0"/>
    <x v="2"/>
    <n v="134994.6648"/>
    <n v="36"/>
    <x v="1"/>
    <n v="664.53"/>
    <n v="4572.99"/>
    <n v="111071.58479999998"/>
    <s v="Returning"/>
    <n v="0.18"/>
    <s v="Bank Transfer"/>
    <s v="Retail"/>
    <x v="2"/>
  </r>
  <r>
    <n v="1080"/>
    <x v="240"/>
    <d v="2024-10-17T00:00:00"/>
    <x v="2"/>
    <s v="Oct"/>
    <x v="1"/>
    <x v="3"/>
    <n v="32992.041631919448"/>
    <n v="7"/>
    <x v="3"/>
    <n v="4581.12"/>
    <n v="4720.6400000000003"/>
    <n v="976.64000000000306"/>
    <s v="Returning"/>
    <n v="0"/>
    <s v="Cash"/>
    <s v="Online"/>
    <x v="7"/>
  </r>
  <r>
    <n v="1094"/>
    <x v="20"/>
    <d v="2024-10-17T00:00:00"/>
    <x v="2"/>
    <s v="Oct"/>
    <x v="3"/>
    <x v="1"/>
    <n v="43486.305600000007"/>
    <n v="12"/>
    <x v="2"/>
    <n v="398.73"/>
    <n v="4419.34"/>
    <n v="38701.545600000005"/>
    <s v="Returning"/>
    <n v="0.18"/>
    <s v="Cash"/>
    <s v="Online"/>
    <x v="16"/>
  </r>
  <r>
    <n v="1096"/>
    <x v="179"/>
    <d v="2024-10-17T00:00:00"/>
    <x v="2"/>
    <s v="Oct"/>
    <x v="0"/>
    <x v="3"/>
    <n v="60161.444999999992"/>
    <n v="25"/>
    <x v="1"/>
    <n v="627.07000000000005"/>
    <n v="3251.97"/>
    <n v="44484.694999999985"/>
    <s v="New"/>
    <n v="0.26"/>
    <s v="Cash"/>
    <s v="Online"/>
    <x v="5"/>
  </r>
  <r>
    <n v="1063"/>
    <x v="398"/>
    <d v="2024-10-18T00:00:00"/>
    <x v="2"/>
    <s v="Oct"/>
    <x v="3"/>
    <x v="2"/>
    <n v="2177.0804486643037"/>
    <n v="9"/>
    <x v="0"/>
    <n v="230.5"/>
    <n v="247.44"/>
    <n v="107.92079999999993"/>
    <s v="New"/>
    <n v="0.02"/>
    <s v="Cash"/>
    <s v="Retail"/>
    <x v="9"/>
  </r>
  <r>
    <n v="1035"/>
    <x v="384"/>
    <d v="2024-10-18T00:00:00"/>
    <x v="2"/>
    <s v="Oct"/>
    <x v="0"/>
    <x v="0"/>
    <n v="92425.627600000007"/>
    <n v="41"/>
    <x v="2"/>
    <n v="1911.47"/>
    <n v="2621.2600000000002"/>
    <n v="14055.357600000007"/>
    <s v="Returning"/>
    <n v="0.14000000000000001"/>
    <s v="Cash"/>
    <s v="Retail"/>
    <x v="0"/>
  </r>
  <r>
    <n v="1095"/>
    <x v="94"/>
    <d v="2024-10-18T00:00:00"/>
    <x v="2"/>
    <s v="Oct"/>
    <x v="0"/>
    <x v="0"/>
    <n v="29132.928899999999"/>
    <n v="17"/>
    <x v="2"/>
    <n v="366.53"/>
    <n v="1842.69"/>
    <n v="22901.918899999997"/>
    <s v="Returning"/>
    <n v="7.0000000000000007E-2"/>
    <s v="Credit Card"/>
    <s v="Online"/>
    <x v="0"/>
  </r>
  <r>
    <n v="1020"/>
    <x v="48"/>
    <d v="2024-10-18T00:00:00"/>
    <x v="2"/>
    <s v="Oct"/>
    <x v="1"/>
    <x v="1"/>
    <n v="29567.388800000001"/>
    <n v="8"/>
    <x v="3"/>
    <n v="305.56"/>
    <n v="4452.92"/>
    <n v="27122.908800000001"/>
    <s v="Returning"/>
    <n v="0.17"/>
    <s v="Cash"/>
    <s v="Online"/>
    <x v="1"/>
  </r>
  <r>
    <n v="1032"/>
    <x v="151"/>
    <d v="2024-10-19T00:00:00"/>
    <x v="2"/>
    <s v="Oct"/>
    <x v="3"/>
    <x v="2"/>
    <n v="19359.847000000002"/>
    <n v="5"/>
    <x v="3"/>
    <n v="3518.11"/>
    <n v="4502.29"/>
    <n v="1769.2969999999991"/>
    <s v="New"/>
    <n v="0.14000000000000001"/>
    <s v="Cash"/>
    <s v="Retail"/>
    <x v="9"/>
  </r>
  <r>
    <n v="1092"/>
    <x v="1"/>
    <d v="2024-10-19T00:00:00"/>
    <x v="2"/>
    <s v="Oct"/>
    <x v="0"/>
    <x v="2"/>
    <n v="49331.367599999998"/>
    <n v="12"/>
    <x v="1"/>
    <n v="3524.64"/>
    <n v="4238.09"/>
    <n v="7035.6875999999993"/>
    <s v="Returning"/>
    <n v="0.03"/>
    <s v="Cash"/>
    <s v="Online"/>
    <x v="2"/>
  </r>
  <r>
    <n v="1078"/>
    <x v="308"/>
    <d v="2024-10-19T00:00:00"/>
    <x v="2"/>
    <s v="Oct"/>
    <x v="2"/>
    <x v="2"/>
    <n v="55685.193200000002"/>
    <n v="17"/>
    <x v="1"/>
    <n v="2405.6799999999998"/>
    <n v="3599.56"/>
    <n v="14788.633200000004"/>
    <s v="Returning"/>
    <n v="0.09"/>
    <s v="Credit Card"/>
    <s v="Retail"/>
    <x v="14"/>
  </r>
  <r>
    <n v="1078"/>
    <x v="217"/>
    <d v="2024-10-19T00:00:00"/>
    <x v="2"/>
    <s v="Oct"/>
    <x v="0"/>
    <x v="3"/>
    <n v="30954.252799999998"/>
    <n v="16"/>
    <x v="0"/>
    <n v="911.27"/>
    <n v="2545.58"/>
    <n v="16373.932799999999"/>
    <s v="New"/>
    <n v="0.24"/>
    <s v="Bank Transfer"/>
    <s v="Online"/>
    <x v="5"/>
  </r>
  <r>
    <n v="1069"/>
    <x v="184"/>
    <d v="2024-10-19T00:00:00"/>
    <x v="2"/>
    <s v="Oct"/>
    <x v="0"/>
    <x v="2"/>
    <n v="244549.06020138832"/>
    <n v="49"/>
    <x v="3"/>
    <n v="4084.24"/>
    <n v="4997.5200000000004"/>
    <n v="44750.72000000003"/>
    <s v="New"/>
    <n v="0"/>
    <s v="Cash"/>
    <s v="Online"/>
    <x v="2"/>
  </r>
  <r>
    <n v="1028"/>
    <x v="171"/>
    <d v="2024-10-19T00:00:00"/>
    <x v="2"/>
    <s v="Oct"/>
    <x v="3"/>
    <x v="3"/>
    <n v="184178.96739999999"/>
    <n v="43"/>
    <x v="3"/>
    <n v="1619.31"/>
    <n v="4812.62"/>
    <n v="114548.63739999998"/>
    <s v="Returning"/>
    <n v="0.11"/>
    <s v="Cash"/>
    <s v="Retail"/>
    <x v="4"/>
  </r>
  <r>
    <n v="1012"/>
    <x v="393"/>
    <d v="2024-10-20T00:00:00"/>
    <x v="2"/>
    <s v="Oct"/>
    <x v="4"/>
    <x v="2"/>
    <n v="33864.386400000003"/>
    <n v="12"/>
    <x v="1"/>
    <n v="2207.48"/>
    <n v="3617.99"/>
    <n v="7374.626400000001"/>
    <s v="New"/>
    <n v="0.22"/>
    <s v="Credit Card"/>
    <s v="Retail"/>
    <x v="17"/>
  </r>
  <r>
    <n v="1037"/>
    <x v="93"/>
    <d v="2024-10-20T00:00:00"/>
    <x v="2"/>
    <s v="Oct"/>
    <x v="3"/>
    <x v="3"/>
    <n v="134219.25"/>
    <n v="33"/>
    <x v="0"/>
    <n v="580.41999999999996"/>
    <n v="4067.25"/>
    <n v="115065.39"/>
    <s v="Returning"/>
    <n v="0"/>
    <s v="Credit Card"/>
    <s v="Online"/>
    <x v="4"/>
  </r>
  <r>
    <n v="1041"/>
    <x v="143"/>
    <d v="2024-10-21T00:00:00"/>
    <x v="2"/>
    <s v="Oct"/>
    <x v="0"/>
    <x v="0"/>
    <n v="220606.11839999998"/>
    <n v="47"/>
    <x v="0"/>
    <n v="3381.14"/>
    <n v="4889.32"/>
    <n v="61692.538399999998"/>
    <s v="New"/>
    <n v="0.04"/>
    <s v="Credit Card"/>
    <s v="Retail"/>
    <x v="0"/>
  </r>
  <r>
    <n v="1047"/>
    <x v="389"/>
    <d v="2024-10-21T00:00:00"/>
    <x v="2"/>
    <s v="Oct"/>
    <x v="4"/>
    <x v="0"/>
    <n v="81259.147200000007"/>
    <n v="22"/>
    <x v="1"/>
    <n v="850.66"/>
    <n v="4397.1400000000003"/>
    <n v="62544.627200000003"/>
    <s v="New"/>
    <n v="0.16"/>
    <s v="Bank Transfer"/>
    <s v="Online"/>
    <x v="13"/>
  </r>
  <r>
    <n v="1043"/>
    <x v="274"/>
    <d v="2024-10-22T00:00:00"/>
    <x v="2"/>
    <s v="Oct"/>
    <x v="2"/>
    <x v="0"/>
    <n v="77450.3992"/>
    <n v="19"/>
    <x v="3"/>
    <n v="3298.39"/>
    <n v="5159.92"/>
    <n v="14780.989200000004"/>
    <s v="Returning"/>
    <n v="0.21"/>
    <s v="Bank Transfer"/>
    <s v="Online"/>
    <x v="18"/>
  </r>
  <r>
    <n v="1028"/>
    <x v="332"/>
    <d v="2024-10-22T00:00:00"/>
    <x v="2"/>
    <s v="Oct"/>
    <x v="2"/>
    <x v="3"/>
    <n v="97681.662400000001"/>
    <n v="28"/>
    <x v="2"/>
    <n v="2953.08"/>
    <n v="3791.99"/>
    <n v="14995.422399999999"/>
    <s v="New"/>
    <n v="0.08"/>
    <s v="Credit Card"/>
    <s v="Retail"/>
    <x v="3"/>
  </r>
  <r>
    <n v="1011"/>
    <x v="237"/>
    <d v="2024-10-22T00:00:00"/>
    <x v="2"/>
    <s v="Oct"/>
    <x v="3"/>
    <x v="3"/>
    <n v="83747.472000000009"/>
    <n v="32"/>
    <x v="3"/>
    <n v="700.03"/>
    <n v="2698.05"/>
    <n v="61346.51200000001"/>
    <s v="New"/>
    <n v="0.03"/>
    <s v="Credit Card"/>
    <s v="Retail"/>
    <x v="4"/>
  </r>
  <r>
    <n v="1038"/>
    <x v="255"/>
    <d v="2024-10-22T00:00:00"/>
    <x v="2"/>
    <s v="Oct"/>
    <x v="1"/>
    <x v="1"/>
    <n v="235186.52009999999"/>
    <n v="49"/>
    <x v="2"/>
    <n v="2595.15"/>
    <n v="4948.17"/>
    <n v="108024.1701"/>
    <s v="New"/>
    <n v="0.03"/>
    <s v="Credit Card"/>
    <s v="Retail"/>
    <x v="1"/>
  </r>
  <r>
    <n v="1076"/>
    <x v="142"/>
    <d v="2024-10-24T00:00:00"/>
    <x v="2"/>
    <s v="Oct"/>
    <x v="4"/>
    <x v="1"/>
    <n v="110190.02399999998"/>
    <n v="24"/>
    <x v="2"/>
    <n v="3516.82"/>
    <n v="4684.95"/>
    <n v="25786.343999999979"/>
    <s v="New"/>
    <n v="0.02"/>
    <s v="Cash"/>
    <s v="Retail"/>
    <x v="6"/>
  </r>
  <r>
    <n v="1078"/>
    <x v="217"/>
    <d v="2024-10-24T00:00:00"/>
    <x v="2"/>
    <s v="Oct"/>
    <x v="3"/>
    <x v="1"/>
    <n v="42901.283599999995"/>
    <n v="23"/>
    <x v="0"/>
    <n v="422.4"/>
    <n v="1903.34"/>
    <n v="33186.083599999998"/>
    <s v="New"/>
    <n v="0.02"/>
    <s v="Credit Card"/>
    <s v="Online"/>
    <x v="16"/>
  </r>
  <r>
    <n v="1053"/>
    <x v="233"/>
    <d v="2024-10-24T00:00:00"/>
    <x v="2"/>
    <s v="Oct"/>
    <x v="1"/>
    <x v="0"/>
    <n v="179991.06840000002"/>
    <n v="47"/>
    <x v="1"/>
    <n v="383.05"/>
    <n v="4909.74"/>
    <n v="161987.71840000001"/>
    <s v="Returning"/>
    <n v="0.22"/>
    <s v="Bank Transfer"/>
    <s v="Online"/>
    <x v="10"/>
  </r>
  <r>
    <n v="1075"/>
    <x v="28"/>
    <d v="2024-10-25T00:00:00"/>
    <x v="2"/>
    <s v="Oct"/>
    <x v="0"/>
    <x v="1"/>
    <n v="6107.0792000000001"/>
    <n v="4"/>
    <x v="0"/>
    <n v="515.62"/>
    <n v="2150.38"/>
    <n v="4044.5992000000001"/>
    <s v="New"/>
    <n v="0.28999999999999998"/>
    <s v="Credit Card"/>
    <s v="Online"/>
    <x v="19"/>
  </r>
  <r>
    <n v="1042"/>
    <x v="58"/>
    <d v="2024-10-26T00:00:00"/>
    <x v="2"/>
    <s v="Oct"/>
    <x v="3"/>
    <x v="0"/>
    <n v="60233.514999999999"/>
    <n v="19"/>
    <x v="3"/>
    <n v="892.83"/>
    <n v="3819.5"/>
    <n v="43269.745000000003"/>
    <s v="Returning"/>
    <n v="0.17"/>
    <s v="Bank Transfer"/>
    <s v="Retail"/>
    <x v="11"/>
  </r>
  <r>
    <n v="1054"/>
    <x v="251"/>
    <d v="2024-10-26T00:00:00"/>
    <x v="2"/>
    <s v="Oct"/>
    <x v="4"/>
    <x v="0"/>
    <n v="128341.08600000001"/>
    <n v="37"/>
    <x v="3"/>
    <n v="1564.85"/>
    <n v="4564.05"/>
    <n v="70441.636000000013"/>
    <s v="Returning"/>
    <n v="0.24"/>
    <s v="Bank Transfer"/>
    <s v="Retail"/>
    <x v="13"/>
  </r>
  <r>
    <n v="1003"/>
    <x v="317"/>
    <d v="2024-10-27T00:00:00"/>
    <x v="2"/>
    <s v="Oct"/>
    <x v="4"/>
    <x v="1"/>
    <n v="12816.230399999999"/>
    <n v="4"/>
    <x v="1"/>
    <n v="3170.65"/>
    <n v="4389.12"/>
    <n v="133.63039999999819"/>
    <s v="New"/>
    <n v="0.27"/>
    <s v="Bank Transfer"/>
    <s v="Retail"/>
    <x v="6"/>
  </r>
  <r>
    <n v="1063"/>
    <x v="33"/>
    <d v="2024-10-27T00:00:00"/>
    <x v="2"/>
    <s v="Oct"/>
    <x v="2"/>
    <x v="0"/>
    <n v="33660.912999999993"/>
    <n v="22"/>
    <x v="1"/>
    <n v="750.84"/>
    <n v="1610.57"/>
    <n v="17142.432999999994"/>
    <s v="Returning"/>
    <n v="0.05"/>
    <s v="Cash"/>
    <s v="Retail"/>
    <x v="18"/>
  </r>
  <r>
    <n v="1018"/>
    <x v="320"/>
    <d v="2024-10-27T00:00:00"/>
    <x v="2"/>
    <s v="Oct"/>
    <x v="2"/>
    <x v="3"/>
    <n v="82158.911100000012"/>
    <n v="21"/>
    <x v="0"/>
    <n v="1766.26"/>
    <n v="4496.93"/>
    <n v="45067.451100000013"/>
    <s v="New"/>
    <n v="0.13"/>
    <s v="Credit Card"/>
    <s v="Retail"/>
    <x v="3"/>
  </r>
  <r>
    <n v="1043"/>
    <x v="273"/>
    <d v="2024-10-29T00:00:00"/>
    <x v="2"/>
    <s v="Oct"/>
    <x v="3"/>
    <x v="3"/>
    <n v="14949.571"/>
    <n v="5"/>
    <x v="2"/>
    <n v="2080.09"/>
    <n v="3285.62"/>
    <n v="4549.1210000000001"/>
    <s v="New"/>
    <n v="0.09"/>
    <s v="Cash"/>
    <s v="Retail"/>
    <x v="4"/>
  </r>
  <r>
    <n v="1021"/>
    <x v="176"/>
    <d v="2024-10-30T00:00:00"/>
    <x v="2"/>
    <s v="Oct"/>
    <x v="2"/>
    <x v="2"/>
    <n v="6393.1471999999994"/>
    <n v="2"/>
    <x v="1"/>
    <n v="525.17999999999995"/>
    <n v="3632.47"/>
    <n v="5342.7871999999998"/>
    <s v="New"/>
    <n v="0.12"/>
    <s v="Bank Transfer"/>
    <s v="Retail"/>
    <x v="14"/>
  </r>
  <r>
    <n v="1047"/>
    <x v="389"/>
    <d v="2024-10-30T00:00:00"/>
    <x v="2"/>
    <s v="Oct"/>
    <x v="3"/>
    <x v="3"/>
    <n v="127208.5913"/>
    <n v="49"/>
    <x v="1"/>
    <n v="510.48"/>
    <n v="3656.47"/>
    <n v="102195.0713"/>
    <s v="New"/>
    <n v="0.28999999999999998"/>
    <s v="Credit Card"/>
    <s v="Online"/>
    <x v="4"/>
  </r>
  <r>
    <n v="1069"/>
    <x v="184"/>
    <d v="2024-10-31T00:00:00"/>
    <x v="2"/>
    <s v="Oct"/>
    <x v="4"/>
    <x v="3"/>
    <n v="40253.302700000007"/>
    <n v="37"/>
    <x v="3"/>
    <n v="775.72"/>
    <n v="1222.3900000000001"/>
    <n v="11551.662700000003"/>
    <s v="New"/>
    <n v="0.11"/>
    <s v="Cash"/>
    <s v="Retail"/>
    <x v="12"/>
  </r>
  <r>
    <n v="1021"/>
    <x v="110"/>
    <d v="2024-10-31T00:00:00"/>
    <x v="2"/>
    <s v="Oct"/>
    <x v="2"/>
    <x v="3"/>
    <n v="29478.735000000001"/>
    <n v="11"/>
    <x v="0"/>
    <n v="1470.96"/>
    <n v="3308.5"/>
    <n v="13298.175000000003"/>
    <s v="Returning"/>
    <n v="0.19"/>
    <s v="Cash"/>
    <s v="Online"/>
    <x v="3"/>
  </r>
  <r>
    <n v="1019"/>
    <x v="63"/>
    <d v="2024-10-31T00:00:00"/>
    <x v="2"/>
    <s v="Oct"/>
    <x v="1"/>
    <x v="3"/>
    <n v="101584.56000000001"/>
    <n v="46"/>
    <x v="1"/>
    <n v="1200.3900000000001"/>
    <n v="2208.36"/>
    <n v="46366.62"/>
    <s v="Returning"/>
    <n v="0"/>
    <s v="Bank Transfer"/>
    <s v="Online"/>
    <x v="7"/>
  </r>
  <r>
    <n v="1049"/>
    <x v="297"/>
    <d v="2024-11-01T00:00:00"/>
    <x v="2"/>
    <s v="Nov"/>
    <x v="2"/>
    <x v="3"/>
    <n v="33646.0311"/>
    <n v="11"/>
    <x v="0"/>
    <n v="2171.48"/>
    <n v="3153.33"/>
    <n v="9759.7510999999977"/>
    <s v="Returning"/>
    <n v="0.03"/>
    <s v="Bank Transfer"/>
    <s v="Retail"/>
    <x v="3"/>
  </r>
  <r>
    <n v="1011"/>
    <x v="387"/>
    <d v="2024-11-02T00:00:00"/>
    <x v="2"/>
    <s v="Nov"/>
    <x v="2"/>
    <x v="0"/>
    <n v="27697.279999999999"/>
    <n v="8"/>
    <x v="0"/>
    <n v="2837.71"/>
    <n v="3462.16"/>
    <n v="4995.5999999999985"/>
    <s v="New"/>
    <n v="0"/>
    <s v="Bank Transfer"/>
    <s v="Retail"/>
    <x v="18"/>
  </r>
  <r>
    <n v="1043"/>
    <x v="273"/>
    <d v="2024-11-02T00:00:00"/>
    <x v="2"/>
    <s v="Nov"/>
    <x v="1"/>
    <x v="2"/>
    <n v="25718.9192"/>
    <n v="13"/>
    <x v="2"/>
    <n v="1404.73"/>
    <n v="2300.44"/>
    <n v="7457.4292000000005"/>
    <s v="Returning"/>
    <n v="0.14000000000000001"/>
    <s v="Cash"/>
    <s v="Online"/>
    <x v="15"/>
  </r>
  <r>
    <n v="1083"/>
    <x v="377"/>
    <d v="2024-11-02T00:00:00"/>
    <x v="2"/>
    <s v="Nov"/>
    <x v="3"/>
    <x v="0"/>
    <n v="29955.9048"/>
    <n v="8"/>
    <x v="1"/>
    <n v="1566.25"/>
    <n v="4207.29"/>
    <n v="17425.9048"/>
    <s v="New"/>
    <n v="0.11"/>
    <s v="Credit Card"/>
    <s v="Online"/>
    <x v="11"/>
  </r>
  <r>
    <n v="1055"/>
    <x v="312"/>
    <d v="2024-11-02T00:00:00"/>
    <x v="2"/>
    <s v="Nov"/>
    <x v="3"/>
    <x v="1"/>
    <n v="62495.919300000001"/>
    <n v="37"/>
    <x v="3"/>
    <n v="715.32"/>
    <n v="1941.47"/>
    <n v="36029.079299999998"/>
    <s v="New"/>
    <n v="0.13"/>
    <s v="Cash"/>
    <s v="Retail"/>
    <x v="16"/>
  </r>
  <r>
    <n v="1043"/>
    <x v="273"/>
    <d v="2024-11-03T00:00:00"/>
    <x v="2"/>
    <s v="Nov"/>
    <x v="0"/>
    <x v="3"/>
    <n v="119217.88635440664"/>
    <n v="29"/>
    <x v="2"/>
    <n v="3160.61"/>
    <n v="4150.03"/>
    <n v="27489.671299999998"/>
    <s v="New"/>
    <n v="0.01"/>
    <s v="Credit Card"/>
    <s v="Online"/>
    <x v="5"/>
  </r>
  <r>
    <n v="1082"/>
    <x v="283"/>
    <d v="2024-11-03T00:00:00"/>
    <x v="2"/>
    <s v="Nov"/>
    <x v="0"/>
    <x v="3"/>
    <n v="78630.916000000012"/>
    <n v="20"/>
    <x v="1"/>
    <n v="467.92"/>
    <n v="4320.38"/>
    <n v="69272.516000000003"/>
    <s v="New"/>
    <n v="0.09"/>
    <s v="Credit Card"/>
    <s v="Online"/>
    <x v="5"/>
  </r>
  <r>
    <n v="1056"/>
    <x v="136"/>
    <d v="2024-11-03T00:00:00"/>
    <x v="2"/>
    <s v="Nov"/>
    <x v="0"/>
    <x v="0"/>
    <n v="111131.95199999999"/>
    <n v="43"/>
    <x v="0"/>
    <n v="424.99"/>
    <n v="2692.15"/>
    <n v="92857.382000000012"/>
    <s v="Returning"/>
    <n v="0.04"/>
    <s v="Cash"/>
    <s v="Retail"/>
    <x v="0"/>
  </r>
  <r>
    <n v="1063"/>
    <x v="291"/>
    <d v="2024-11-04T00:00:00"/>
    <x v="2"/>
    <s v="Nov"/>
    <x v="1"/>
    <x v="3"/>
    <n v="141189.18"/>
    <n v="46"/>
    <x v="3"/>
    <n v="2529.8000000000002"/>
    <n v="4092.44"/>
    <n v="24818.37999999999"/>
    <s v="New"/>
    <n v="0.25"/>
    <s v="Credit Card"/>
    <s v="Retail"/>
    <x v="7"/>
  </r>
  <r>
    <n v="1037"/>
    <x v="375"/>
    <d v="2024-11-04T00:00:00"/>
    <x v="2"/>
    <s v="Nov"/>
    <x v="0"/>
    <x v="0"/>
    <n v="59343.91"/>
    <n v="25"/>
    <x v="3"/>
    <n v="1313.46"/>
    <n v="2580.17"/>
    <n v="26507.410000000003"/>
    <s v="Returning"/>
    <n v="0.08"/>
    <s v="Cash"/>
    <s v="Online"/>
    <x v="0"/>
  </r>
  <r>
    <n v="1026"/>
    <x v="197"/>
    <d v="2024-11-04T00:00:00"/>
    <x v="2"/>
    <s v="Nov"/>
    <x v="4"/>
    <x v="1"/>
    <n v="79510.14"/>
    <n v="24"/>
    <x v="0"/>
    <n v="1642.41"/>
    <n v="4538.25"/>
    <n v="40092.300000000003"/>
    <s v="New"/>
    <n v="0.27"/>
    <s v="Cash"/>
    <s v="Online"/>
    <x v="6"/>
  </r>
  <r>
    <n v="1051"/>
    <x v="118"/>
    <d v="2024-11-05T00:00:00"/>
    <x v="2"/>
    <s v="Nov"/>
    <x v="0"/>
    <x v="1"/>
    <n v="122203.46299999999"/>
    <n v="43"/>
    <x v="3"/>
    <n v="2800"/>
    <n v="3343.46"/>
    <n v="1803.4629999999916"/>
    <s v="New"/>
    <n v="0.15"/>
    <s v="Bank Transfer"/>
    <s v="Retail"/>
    <x v="19"/>
  </r>
  <r>
    <n v="1068"/>
    <x v="78"/>
    <d v="2024-11-06T00:00:00"/>
    <x v="2"/>
    <s v="Nov"/>
    <x v="3"/>
    <x v="1"/>
    <n v="30989.758799999996"/>
    <n v="13"/>
    <x v="1"/>
    <n v="1558.13"/>
    <n v="2837.89"/>
    <n v="10734.068799999994"/>
    <s v="Returning"/>
    <n v="0.16"/>
    <s v="Bank Transfer"/>
    <s v="Online"/>
    <x v="16"/>
  </r>
  <r>
    <n v="1082"/>
    <x v="283"/>
    <d v="2024-11-07T00:00:00"/>
    <x v="2"/>
    <s v="Nov"/>
    <x v="0"/>
    <x v="2"/>
    <n v="82065.67319999999"/>
    <n v="29"/>
    <x v="1"/>
    <n v="1677.31"/>
    <n v="3368.87"/>
    <n v="33423.683199999992"/>
    <s v="New"/>
    <n v="0.16"/>
    <s v="Credit Card"/>
    <s v="Online"/>
    <x v="2"/>
  </r>
  <r>
    <n v="1082"/>
    <x v="360"/>
    <d v="2024-11-08T00:00:00"/>
    <x v="2"/>
    <s v="Nov"/>
    <x v="0"/>
    <x v="3"/>
    <n v="204653.66727587066"/>
    <n v="40"/>
    <x v="3"/>
    <n v="4902.53"/>
    <n v="5207.3599999999997"/>
    <n v="8027.3119999999835"/>
    <s v="New"/>
    <n v="0.02"/>
    <s v="Bank Transfer"/>
    <s v="Retail"/>
    <x v="5"/>
  </r>
  <r>
    <n v="1062"/>
    <x v="18"/>
    <d v="2024-11-08T00:00:00"/>
    <x v="2"/>
    <s v="Nov"/>
    <x v="3"/>
    <x v="1"/>
    <n v="29223.838799999998"/>
    <n v="9"/>
    <x v="0"/>
    <n v="1149"/>
    <n v="4162.9399999999996"/>
    <n v="18882.838799999998"/>
    <s v="New"/>
    <n v="0.22"/>
    <s v="Credit Card"/>
    <s v="Online"/>
    <x v="16"/>
  </r>
  <r>
    <n v="1073"/>
    <x v="279"/>
    <d v="2024-11-08T00:00:00"/>
    <x v="2"/>
    <s v="Nov"/>
    <x v="3"/>
    <x v="1"/>
    <n v="138892.03200000001"/>
    <n v="32"/>
    <x v="0"/>
    <n v="1554.85"/>
    <n v="4822.6400000000003"/>
    <n v="89136.832000000009"/>
    <s v="Returning"/>
    <n v="0.1"/>
    <s v="Bank Transfer"/>
    <s v="Retail"/>
    <x v="16"/>
  </r>
  <r>
    <n v="1064"/>
    <x v="200"/>
    <d v="2024-11-10T00:00:00"/>
    <x v="2"/>
    <s v="Nov"/>
    <x v="1"/>
    <x v="2"/>
    <n v="77028.650999999998"/>
    <n v="35"/>
    <x v="2"/>
    <n v="1530.04"/>
    <n v="3014.82"/>
    <n v="23477.251000000004"/>
    <s v="Returning"/>
    <n v="0.27"/>
    <s v="Bank Transfer"/>
    <s v="Retail"/>
    <x v="15"/>
  </r>
  <r>
    <n v="1076"/>
    <x v="9"/>
    <d v="2024-11-10T00:00:00"/>
    <x v="2"/>
    <s v="Nov"/>
    <x v="4"/>
    <x v="2"/>
    <n v="96299.774999999994"/>
    <n v="45"/>
    <x v="3"/>
    <n v="949.17"/>
    <n v="2931.5"/>
    <n v="53587.124999999993"/>
    <s v="New"/>
    <n v="0.27"/>
    <s v="Cash"/>
    <s v="Retail"/>
    <x v="17"/>
  </r>
  <r>
    <n v="1052"/>
    <x v="390"/>
    <d v="2024-11-10T00:00:00"/>
    <x v="2"/>
    <s v="Nov"/>
    <x v="2"/>
    <x v="0"/>
    <n v="107435.46"/>
    <n v="30"/>
    <x v="3"/>
    <n v="1583.41"/>
    <n v="4023.8"/>
    <n v="59933.16"/>
    <s v="New"/>
    <n v="0.11"/>
    <s v="Bank Transfer"/>
    <s v="Retail"/>
    <x v="18"/>
  </r>
  <r>
    <n v="1004"/>
    <x v="334"/>
    <d v="2024-11-10T00:00:00"/>
    <x v="2"/>
    <s v="Nov"/>
    <x v="1"/>
    <x v="3"/>
    <n v="178487.76"/>
    <n v="41"/>
    <x v="3"/>
    <n v="2004.2"/>
    <n v="5121.6000000000004"/>
    <n v="96315.560000000027"/>
    <s v="New"/>
    <n v="0.15"/>
    <s v="Bank Transfer"/>
    <s v="Retail"/>
    <x v="7"/>
  </r>
  <r>
    <n v="1055"/>
    <x v="391"/>
    <d v="2024-11-12T00:00:00"/>
    <x v="2"/>
    <s v="Nov"/>
    <x v="1"/>
    <x v="1"/>
    <n v="90557.056000000011"/>
    <n v="40"/>
    <x v="0"/>
    <n v="1269.6199999999999"/>
    <n v="3059.36"/>
    <n v="39772.256000000016"/>
    <s v="Returning"/>
    <n v="0.26"/>
    <s v="Cash"/>
    <s v="Retail"/>
    <x v="1"/>
  </r>
  <r>
    <n v="1078"/>
    <x v="268"/>
    <d v="2024-11-13T00:00:00"/>
    <x v="2"/>
    <s v="Nov"/>
    <x v="0"/>
    <x v="1"/>
    <n v="38647.600000000006"/>
    <n v="10"/>
    <x v="3"/>
    <n v="3828.19"/>
    <n v="3864.76"/>
    <n v="365.70000000000164"/>
    <s v="Returning"/>
    <n v="0"/>
    <s v="Cash"/>
    <s v="Retail"/>
    <x v="19"/>
  </r>
  <r>
    <n v="1078"/>
    <x v="268"/>
    <d v="2024-11-13T00:00:00"/>
    <x v="2"/>
    <s v="Nov"/>
    <x v="1"/>
    <x v="1"/>
    <n v="94325.126481603729"/>
    <n v="27"/>
    <x v="3"/>
    <n v="3400.3"/>
    <n v="3515.1"/>
    <n v="2150.522999999997"/>
    <s v="New"/>
    <n v="0.01"/>
    <s v="Cash"/>
    <s v="Online"/>
    <x v="1"/>
  </r>
  <r>
    <n v="1096"/>
    <x v="196"/>
    <d v="2024-11-13T00:00:00"/>
    <x v="2"/>
    <s v="Nov"/>
    <x v="3"/>
    <x v="1"/>
    <n v="178239.11112532631"/>
    <n v="47"/>
    <x v="3"/>
    <n v="3627.87"/>
    <n v="3815.67"/>
    <n v="7033.235100000009"/>
    <s v="Returning"/>
    <n v="0.01"/>
    <s v="Cash"/>
    <s v="Retail"/>
    <x v="16"/>
  </r>
  <r>
    <n v="1035"/>
    <x v="120"/>
    <d v="2024-11-13T00:00:00"/>
    <x v="2"/>
    <s v="Nov"/>
    <x v="1"/>
    <x v="1"/>
    <n v="179012.67749999999"/>
    <n v="45"/>
    <x v="1"/>
    <n v="3055.38"/>
    <n v="4680.07"/>
    <n v="41520.577499999985"/>
    <s v="New"/>
    <n v="0.15"/>
    <s v="Bank Transfer"/>
    <s v="Retail"/>
    <x v="1"/>
  </r>
  <r>
    <n v="1039"/>
    <x v="105"/>
    <d v="2024-11-13T00:00:00"/>
    <x v="2"/>
    <s v="Nov"/>
    <x v="3"/>
    <x v="3"/>
    <n v="51099.145499999999"/>
    <n v="13"/>
    <x v="0"/>
    <n v="79.22"/>
    <n v="4518.05"/>
    <n v="50069.285500000005"/>
    <s v="Returning"/>
    <n v="0.13"/>
    <s v="Cash"/>
    <s v="Retail"/>
    <x v="4"/>
  </r>
  <r>
    <n v="1059"/>
    <x v="388"/>
    <d v="2024-11-13T00:00:00"/>
    <x v="2"/>
    <s v="Nov"/>
    <x v="1"/>
    <x v="2"/>
    <n v="162452.022"/>
    <n v="47"/>
    <x v="3"/>
    <n v="341"/>
    <n v="4019.1"/>
    <n v="146425.022"/>
    <s v="New"/>
    <n v="0.14000000000000001"/>
    <s v="Credit Card"/>
    <s v="Online"/>
    <x v="15"/>
  </r>
  <r>
    <n v="1068"/>
    <x v="307"/>
    <d v="2024-11-14T00:00:00"/>
    <x v="2"/>
    <s v="Nov"/>
    <x v="3"/>
    <x v="0"/>
    <n v="68979.237599999993"/>
    <n v="28"/>
    <x v="0"/>
    <n v="1445.64"/>
    <n v="3158.39"/>
    <n v="28501.317599999991"/>
    <s v="Returning"/>
    <n v="0.22"/>
    <s v="Cash"/>
    <s v="Online"/>
    <x v="11"/>
  </r>
  <r>
    <n v="1030"/>
    <x v="371"/>
    <d v="2024-11-14T00:00:00"/>
    <x v="2"/>
    <s v="Nov"/>
    <x v="4"/>
    <x v="1"/>
    <n v="106714.2384"/>
    <n v="27"/>
    <x v="1"/>
    <n v="2707.76"/>
    <n v="4033.04"/>
    <n v="33604.718399999991"/>
    <s v="Returning"/>
    <n v="0.02"/>
    <s v="Credit Card"/>
    <s v="Online"/>
    <x v="6"/>
  </r>
  <r>
    <n v="1020"/>
    <x v="68"/>
    <d v="2024-11-15T00:00:00"/>
    <x v="2"/>
    <s v="Nov"/>
    <x v="3"/>
    <x v="2"/>
    <n v="33950.802221655016"/>
    <n v="7"/>
    <x v="2"/>
    <n v="4822.74"/>
    <n v="4871.1099999999997"/>
    <n v="338.58999999999924"/>
    <s v="New"/>
    <n v="0"/>
    <s v="Credit Card"/>
    <s v="Retail"/>
    <x v="9"/>
  </r>
  <r>
    <n v="1025"/>
    <x v="7"/>
    <d v="2024-11-15T00:00:00"/>
    <x v="2"/>
    <s v="Nov"/>
    <x v="1"/>
    <x v="0"/>
    <n v="16989.083999999999"/>
    <n v="10"/>
    <x v="3"/>
    <n v="1163.7"/>
    <n v="2022.51"/>
    <n v="5352.0839999999998"/>
    <s v="Returning"/>
    <n v="0.16"/>
    <s v="Credit Card"/>
    <s v="Online"/>
    <x v="10"/>
  </r>
  <r>
    <n v="1082"/>
    <x v="283"/>
    <d v="2024-11-15T00:00:00"/>
    <x v="2"/>
    <s v="Nov"/>
    <x v="4"/>
    <x v="0"/>
    <n v="24212.7081"/>
    <n v="49"/>
    <x v="1"/>
    <n v="331.34"/>
    <n v="531.33000000000004"/>
    <n v="7977.0481000000027"/>
    <s v="New"/>
    <n v="7.0000000000000007E-2"/>
    <s v="Credit Card"/>
    <s v="Retail"/>
    <x v="13"/>
  </r>
  <r>
    <n v="1031"/>
    <x v="224"/>
    <d v="2024-11-16T00:00:00"/>
    <x v="2"/>
    <s v="Nov"/>
    <x v="2"/>
    <x v="1"/>
    <n v="99499.958225685434"/>
    <n v="29"/>
    <x v="2"/>
    <n v="3295.38"/>
    <n v="3437.65"/>
    <n v="4125.83"/>
    <s v="New"/>
    <n v="0"/>
    <s v="Credit Card"/>
    <s v="Online"/>
    <x v="8"/>
  </r>
  <r>
    <n v="1080"/>
    <x v="349"/>
    <d v="2024-11-16T00:00:00"/>
    <x v="2"/>
    <s v="Nov"/>
    <x v="0"/>
    <x v="2"/>
    <n v="107201.03213689363"/>
    <n v="25"/>
    <x v="0"/>
    <n v="3991.44"/>
    <n v="4414.8"/>
    <n v="7272.8999999999924"/>
    <s v="Returning"/>
    <n v="0.03"/>
    <s v="Cash"/>
    <s v="Online"/>
    <x v="2"/>
  </r>
  <r>
    <n v="1002"/>
    <x v="53"/>
    <d v="2024-11-16T00:00:00"/>
    <x v="2"/>
    <s v="Nov"/>
    <x v="2"/>
    <x v="3"/>
    <n v="20003.759999999998"/>
    <n v="9"/>
    <x v="0"/>
    <n v="891.91"/>
    <n v="2315.25"/>
    <n v="11976.57"/>
    <s v="Returning"/>
    <n v="0.04"/>
    <s v="Bank Transfer"/>
    <s v="Online"/>
    <x v="3"/>
  </r>
  <r>
    <n v="1058"/>
    <x v="345"/>
    <d v="2024-11-16T00:00:00"/>
    <x v="2"/>
    <s v="Nov"/>
    <x v="0"/>
    <x v="1"/>
    <n v="137804.19839999999"/>
    <n v="43"/>
    <x v="0"/>
    <n v="1530.37"/>
    <n v="3338.28"/>
    <n v="71998.288400000005"/>
    <s v="Returning"/>
    <n v="0.04"/>
    <s v="Bank Transfer"/>
    <s v="Online"/>
    <x v="19"/>
  </r>
  <r>
    <n v="1036"/>
    <x v="97"/>
    <d v="2024-11-16T00:00:00"/>
    <x v="2"/>
    <s v="Nov"/>
    <x v="0"/>
    <x v="3"/>
    <n v="97952.587200000009"/>
    <n v="24"/>
    <x v="2"/>
    <n v="1058.98"/>
    <n v="5232.51"/>
    <n v="72537.067200000005"/>
    <s v="Returning"/>
    <n v="0.22"/>
    <s v="Credit Card"/>
    <s v="Retail"/>
    <x v="5"/>
  </r>
  <r>
    <n v="1075"/>
    <x v="149"/>
    <d v="2024-11-16T00:00:00"/>
    <x v="2"/>
    <s v="Nov"/>
    <x v="4"/>
    <x v="3"/>
    <n v="145004.51200000002"/>
    <n v="40"/>
    <x v="1"/>
    <n v="739.28"/>
    <n v="3940.34"/>
    <n v="115433.31200000001"/>
    <s v="Returning"/>
    <n v="0.08"/>
    <s v="Cash"/>
    <s v="Online"/>
    <x v="12"/>
  </r>
  <r>
    <n v="1066"/>
    <x v="394"/>
    <d v="2024-11-17T00:00:00"/>
    <x v="2"/>
    <s v="Nov"/>
    <x v="4"/>
    <x v="3"/>
    <n v="41882.611199999999"/>
    <n v="32"/>
    <x v="0"/>
    <n v="1200.23"/>
    <n v="1792.92"/>
    <n v="3475.2511999999988"/>
    <s v="Returning"/>
    <n v="0.27"/>
    <s v="Bank Transfer"/>
    <s v="Retail"/>
    <x v="12"/>
  </r>
  <r>
    <n v="1082"/>
    <x v="183"/>
    <d v="2024-11-17T00:00:00"/>
    <x v="2"/>
    <s v="Nov"/>
    <x v="4"/>
    <x v="3"/>
    <n v="74697.728000000003"/>
    <n v="28"/>
    <x v="0"/>
    <n v="1476.35"/>
    <n v="3334.72"/>
    <n v="33359.928"/>
    <s v="Returning"/>
    <n v="0.2"/>
    <s v="Bank Transfer"/>
    <s v="Online"/>
    <x v="12"/>
  </r>
  <r>
    <n v="1079"/>
    <x v="271"/>
    <d v="2024-11-17T00:00:00"/>
    <x v="2"/>
    <s v="Nov"/>
    <x v="1"/>
    <x v="0"/>
    <n v="116731.88160000001"/>
    <n v="24"/>
    <x v="1"/>
    <n v="2052.0700000000002"/>
    <n v="5286.77"/>
    <n v="67482.2016"/>
    <s v="Returning"/>
    <n v="0.08"/>
    <s v="Cash"/>
    <s v="Online"/>
    <x v="10"/>
  </r>
  <r>
    <n v="1017"/>
    <x v="75"/>
    <d v="2024-11-17T00:00:00"/>
    <x v="2"/>
    <s v="Nov"/>
    <x v="4"/>
    <x v="0"/>
    <n v="109875.29640000001"/>
    <n v="31"/>
    <x v="0"/>
    <n v="779.65"/>
    <n v="3852.57"/>
    <n v="85706.146400000012"/>
    <s v="Returning"/>
    <n v="0.08"/>
    <s v="Cash"/>
    <s v="Online"/>
    <x v="13"/>
  </r>
  <r>
    <n v="1036"/>
    <x v="97"/>
    <d v="2024-11-18T00:00:00"/>
    <x v="2"/>
    <s v="Nov"/>
    <x v="4"/>
    <x v="0"/>
    <n v="9948.871620426984"/>
    <n v="4"/>
    <x v="2"/>
    <n v="2090.5300000000002"/>
    <n v="2522.6799999999998"/>
    <n v="1627.6927999999989"/>
    <s v="New"/>
    <n v="0.01"/>
    <s v="Bank Transfer"/>
    <s v="Online"/>
    <x v="13"/>
  </r>
  <r>
    <n v="1073"/>
    <x v="124"/>
    <d v="2024-11-18T00:00:00"/>
    <x v="2"/>
    <s v="Nov"/>
    <x v="0"/>
    <x v="2"/>
    <n v="46005.732000000004"/>
    <n v="40"/>
    <x v="2"/>
    <n v="412.58"/>
    <n v="1419.93"/>
    <n v="29502.53200000001"/>
    <s v="New"/>
    <n v="0.19"/>
    <s v="Credit Card"/>
    <s v="Retail"/>
    <x v="2"/>
  </r>
  <r>
    <n v="1033"/>
    <x v="220"/>
    <d v="2024-11-19T00:00:00"/>
    <x v="2"/>
    <s v="Nov"/>
    <x v="3"/>
    <x v="2"/>
    <n v="92329.574399999998"/>
    <n v="24"/>
    <x v="1"/>
    <n v="3753.86"/>
    <n v="4579.84"/>
    <n v="2236.9343999999946"/>
    <s v="New"/>
    <n v="0.16"/>
    <s v="Cash"/>
    <s v="Online"/>
    <x v="9"/>
  </r>
  <r>
    <n v="1069"/>
    <x v="302"/>
    <d v="2024-11-20T00:00:00"/>
    <x v="2"/>
    <s v="Nov"/>
    <x v="3"/>
    <x v="1"/>
    <n v="11880.243041969325"/>
    <n v="3"/>
    <x v="2"/>
    <n v="3805.9"/>
    <n v="3985.39"/>
    <n v="418.90829999999914"/>
    <s v="New"/>
    <n v="0.01"/>
    <s v="Cash"/>
    <s v="Online"/>
    <x v="16"/>
  </r>
  <r>
    <n v="1085"/>
    <x v="234"/>
    <d v="2024-11-20T00:00:00"/>
    <x v="2"/>
    <s v="Nov"/>
    <x v="1"/>
    <x v="0"/>
    <n v="30410.7084"/>
    <n v="17"/>
    <x v="3"/>
    <n v="1062.96"/>
    <n v="2353.77"/>
    <n v="12340.388399999998"/>
    <s v="New"/>
    <n v="0.24"/>
    <s v="Bank Transfer"/>
    <s v="Retail"/>
    <x v="10"/>
  </r>
  <r>
    <n v="1068"/>
    <x v="396"/>
    <d v="2024-11-20T00:00:00"/>
    <x v="2"/>
    <s v="Nov"/>
    <x v="4"/>
    <x v="3"/>
    <n v="121635.07199999999"/>
    <n v="32"/>
    <x v="3"/>
    <n v="103.33"/>
    <n v="4087.2"/>
    <n v="118328.51199999999"/>
    <s v="Returning"/>
    <n v="7.0000000000000007E-2"/>
    <s v="Cash"/>
    <s v="Online"/>
    <x v="12"/>
  </r>
  <r>
    <n v="1079"/>
    <x v="22"/>
    <d v="2024-11-21T00:00:00"/>
    <x v="2"/>
    <s v="Nov"/>
    <x v="3"/>
    <x v="0"/>
    <n v="4342.9974000000002"/>
    <n v="3"/>
    <x v="2"/>
    <n v="1250.6300000000001"/>
    <n v="1477.21"/>
    <n v="591.10739999999964"/>
    <s v="Returning"/>
    <n v="0.02"/>
    <s v="Cash"/>
    <s v="Online"/>
    <x v="11"/>
  </r>
  <r>
    <n v="1002"/>
    <x v="335"/>
    <d v="2024-11-21T00:00:00"/>
    <x v="2"/>
    <s v="Nov"/>
    <x v="0"/>
    <x v="0"/>
    <n v="8117.6283999999996"/>
    <n v="7"/>
    <x v="2"/>
    <n v="274.82"/>
    <n v="1525.87"/>
    <n v="6193.8884000000007"/>
    <s v="New"/>
    <n v="0.24"/>
    <s v="Cash"/>
    <s v="Retail"/>
    <x v="0"/>
  </r>
  <r>
    <n v="1047"/>
    <x v="287"/>
    <d v="2024-11-22T00:00:00"/>
    <x v="2"/>
    <s v="Nov"/>
    <x v="4"/>
    <x v="0"/>
    <n v="73675.521399999998"/>
    <n v="34"/>
    <x v="0"/>
    <n v="2150.37"/>
    <n v="3052.01"/>
    <n v="562.9413999999997"/>
    <s v="New"/>
    <n v="0.28999999999999998"/>
    <s v="Cash"/>
    <s v="Online"/>
    <x v="13"/>
  </r>
  <r>
    <n v="1022"/>
    <x v="116"/>
    <d v="2024-11-22T00:00:00"/>
    <x v="2"/>
    <s v="Nov"/>
    <x v="3"/>
    <x v="0"/>
    <n v="141964.53040000002"/>
    <n v="44"/>
    <x v="0"/>
    <n v="2748.22"/>
    <n v="4360.09"/>
    <n v="21042.850400000018"/>
    <s v="New"/>
    <n v="0.26"/>
    <s v="Bank Transfer"/>
    <s v="Retail"/>
    <x v="11"/>
  </r>
  <r>
    <n v="1023"/>
    <x v="383"/>
    <d v="2024-11-22T00:00:00"/>
    <x v="2"/>
    <s v="Nov"/>
    <x v="4"/>
    <x v="2"/>
    <n v="211976.34710000001"/>
    <n v="49"/>
    <x v="3"/>
    <n v="2476.94"/>
    <n v="5476.01"/>
    <n v="90606.287100000016"/>
    <s v="Returning"/>
    <n v="0.21"/>
    <s v="Cash"/>
    <s v="Online"/>
    <x v="17"/>
  </r>
  <r>
    <n v="1030"/>
    <x v="340"/>
    <d v="2024-11-23T00:00:00"/>
    <x v="2"/>
    <s v="Nov"/>
    <x v="4"/>
    <x v="0"/>
    <n v="39442.118400000007"/>
    <n v="12"/>
    <x v="2"/>
    <n v="1721.23"/>
    <n v="4441.68"/>
    <n v="18787.358400000005"/>
    <s v="Returning"/>
    <n v="0.26"/>
    <s v="Bank Transfer"/>
    <s v="Online"/>
    <x v="13"/>
  </r>
  <r>
    <n v="1093"/>
    <x v="10"/>
    <d v="2024-11-23T00:00:00"/>
    <x v="2"/>
    <s v="Nov"/>
    <x v="4"/>
    <x v="1"/>
    <n v="119243.01620000001"/>
    <n v="43"/>
    <x v="2"/>
    <n v="2156.64"/>
    <n v="3601.42"/>
    <n v="26507.496200000016"/>
    <s v="New"/>
    <n v="0.23"/>
    <s v="Cash"/>
    <s v="Retail"/>
    <x v="6"/>
  </r>
  <r>
    <n v="1029"/>
    <x v="206"/>
    <d v="2024-11-23T00:00:00"/>
    <x v="2"/>
    <s v="Nov"/>
    <x v="0"/>
    <x v="3"/>
    <n v="167596.11360000001"/>
    <n v="48"/>
    <x v="2"/>
    <n v="2931.78"/>
    <n v="3923.13"/>
    <n v="26870.673599999995"/>
    <s v="Returning"/>
    <n v="0.11"/>
    <s v="Bank Transfer"/>
    <s v="Online"/>
    <x v="5"/>
  </r>
  <r>
    <n v="1002"/>
    <x v="335"/>
    <d v="2024-11-23T00:00:00"/>
    <x v="2"/>
    <s v="Nov"/>
    <x v="2"/>
    <x v="0"/>
    <n v="72329.056799999991"/>
    <n v="46"/>
    <x v="2"/>
    <n v="251.09"/>
    <n v="2042.04"/>
    <n v="60778.916799999999"/>
    <s v="New"/>
    <n v="0.23"/>
    <s v="Cash"/>
    <s v="Online"/>
    <x v="18"/>
  </r>
  <r>
    <n v="1019"/>
    <x v="63"/>
    <d v="2024-11-23T00:00:00"/>
    <x v="2"/>
    <s v="Nov"/>
    <x v="3"/>
    <x v="1"/>
    <n v="108747.22880000001"/>
    <n v="32"/>
    <x v="1"/>
    <n v="122.53"/>
    <n v="4301.71"/>
    <n v="104826.26880000001"/>
    <s v="Returning"/>
    <n v="0.21"/>
    <s v="Bank Transfer"/>
    <s v="Retail"/>
    <x v="16"/>
  </r>
  <r>
    <n v="1046"/>
    <x v="263"/>
    <d v="2024-11-23T00:00:00"/>
    <x v="2"/>
    <s v="Nov"/>
    <x v="0"/>
    <x v="3"/>
    <n v="196298.9424"/>
    <n v="48"/>
    <x v="0"/>
    <n v="1901.86"/>
    <n v="4130.87"/>
    <n v="105009.66239999999"/>
    <s v="New"/>
    <n v="0.01"/>
    <s v="Bank Transfer"/>
    <s v="Online"/>
    <x v="5"/>
  </r>
  <r>
    <n v="1017"/>
    <x v="75"/>
    <d v="2024-11-24T00:00:00"/>
    <x v="2"/>
    <s v="Nov"/>
    <x v="2"/>
    <x v="1"/>
    <n v="107385.33599999998"/>
    <n v="40"/>
    <x v="0"/>
    <n v="474.94"/>
    <n v="3677.58"/>
    <n v="88387.73599999999"/>
    <s v="New"/>
    <n v="0.27"/>
    <s v="Cash"/>
    <s v="Online"/>
    <x v="8"/>
  </r>
  <r>
    <n v="1028"/>
    <x v="392"/>
    <d v="2024-11-25T00:00:00"/>
    <x v="2"/>
    <s v="Nov"/>
    <x v="1"/>
    <x v="0"/>
    <n v="48892.59599999999"/>
    <n v="10"/>
    <x v="0"/>
    <n v="4433.13"/>
    <n v="5201.34"/>
    <n v="4561.295999999993"/>
    <s v="Returning"/>
    <n v="0.06"/>
    <s v="Credit Card"/>
    <s v="Retail"/>
    <x v="10"/>
  </r>
  <r>
    <n v="1069"/>
    <x v="337"/>
    <d v="2024-11-25T00:00:00"/>
    <x v="2"/>
    <s v="Nov"/>
    <x v="3"/>
    <x v="0"/>
    <n v="52400.070800000001"/>
    <n v="14"/>
    <x v="0"/>
    <n v="2749.36"/>
    <n v="4860.8599999999997"/>
    <n v="13909.030799999999"/>
    <s v="Returning"/>
    <n v="0.23"/>
    <s v="Cash"/>
    <s v="Online"/>
    <x v="11"/>
  </r>
  <r>
    <n v="1070"/>
    <x v="318"/>
    <d v="2024-11-25T00:00:00"/>
    <x v="2"/>
    <s v="Nov"/>
    <x v="3"/>
    <x v="1"/>
    <n v="93080.275200000004"/>
    <n v="24"/>
    <x v="1"/>
    <n v="1509.77"/>
    <n v="4788.08"/>
    <n v="56845.795200000008"/>
    <s v="New"/>
    <n v="0.19"/>
    <s v="Cash"/>
    <s v="Retail"/>
    <x v="16"/>
  </r>
  <r>
    <n v="1087"/>
    <x v="328"/>
    <d v="2024-11-25T00:00:00"/>
    <x v="2"/>
    <s v="Nov"/>
    <x v="0"/>
    <x v="3"/>
    <n v="139947.91999999998"/>
    <n v="40"/>
    <x v="1"/>
    <n v="1970.67"/>
    <n v="4998.1400000000003"/>
    <n v="61121.119999999995"/>
    <s v="New"/>
    <n v="0.3"/>
    <s v="Bank Transfer"/>
    <s v="Online"/>
    <x v="5"/>
  </r>
  <r>
    <n v="1093"/>
    <x v="319"/>
    <d v="2024-11-25T00:00:00"/>
    <x v="2"/>
    <s v="Nov"/>
    <x v="2"/>
    <x v="3"/>
    <n v="206479.8"/>
    <n v="45"/>
    <x v="3"/>
    <n v="2672.57"/>
    <n v="4588.4399999999996"/>
    <n v="86214.14999999998"/>
    <s v="Returning"/>
    <n v="0"/>
    <s v="Credit Card"/>
    <s v="Online"/>
    <x v="3"/>
  </r>
  <r>
    <n v="1067"/>
    <x v="191"/>
    <d v="2024-11-27T00:00:00"/>
    <x v="2"/>
    <s v="Nov"/>
    <x v="1"/>
    <x v="0"/>
    <n v="10046.108333662944"/>
    <n v="2"/>
    <x v="1"/>
    <n v="4617.9399999999996"/>
    <n v="5127.07"/>
    <n v="813.17720000000008"/>
    <s v="New"/>
    <n v="0.02"/>
    <s v="Bank Transfer"/>
    <s v="Retail"/>
    <x v="10"/>
  </r>
  <r>
    <n v="1097"/>
    <x v="42"/>
    <d v="2024-11-27T00:00:00"/>
    <x v="2"/>
    <s v="Nov"/>
    <x v="2"/>
    <x v="0"/>
    <n v="17069.088"/>
    <n v="4"/>
    <x v="1"/>
    <n v="2577.14"/>
    <n v="5020.32"/>
    <n v="6760.5280000000002"/>
    <s v="Returning"/>
    <n v="0.15"/>
    <s v="Credit Card"/>
    <s v="Retail"/>
    <x v="18"/>
  </r>
  <r>
    <n v="1071"/>
    <x v="153"/>
    <d v="2024-11-27T00:00:00"/>
    <x v="2"/>
    <s v="Nov"/>
    <x v="0"/>
    <x v="0"/>
    <n v="44121.781000000003"/>
    <n v="19"/>
    <x v="0"/>
    <n v="1680.69"/>
    <n v="2444.42"/>
    <n v="12188.671"/>
    <s v="Returning"/>
    <n v="0.05"/>
    <s v="Bank Transfer"/>
    <s v="Retail"/>
    <x v="0"/>
  </r>
  <r>
    <n v="1086"/>
    <x v="23"/>
    <d v="2024-11-27T00:00:00"/>
    <x v="2"/>
    <s v="Nov"/>
    <x v="0"/>
    <x v="0"/>
    <n v="77004.377999999997"/>
    <n v="33"/>
    <x v="1"/>
    <n v="618.98"/>
    <n v="3070.35"/>
    <n v="56578.037999999993"/>
    <s v="Returning"/>
    <n v="0.24"/>
    <s v="Bank Transfer"/>
    <s v="Online"/>
    <x v="0"/>
  </r>
  <r>
    <n v="1100"/>
    <x v="198"/>
    <d v="2024-11-29T00:00:00"/>
    <x v="2"/>
    <s v="Nov"/>
    <x v="1"/>
    <x v="0"/>
    <n v="53656.429400000008"/>
    <n v="19"/>
    <x v="2"/>
    <n v="703.92"/>
    <n v="3443.93"/>
    <n v="40281.949400000005"/>
    <s v="Returning"/>
    <n v="0.18"/>
    <s v="Credit Card"/>
    <s v="Online"/>
    <x v="10"/>
  </r>
  <r>
    <n v="1097"/>
    <x v="174"/>
    <d v="2024-11-29T00:00:00"/>
    <x v="2"/>
    <s v="Nov"/>
    <x v="4"/>
    <x v="3"/>
    <n v="145123.69520000002"/>
    <n v="44"/>
    <x v="2"/>
    <n v="1285.6099999999999"/>
    <n v="4175.0200000000004"/>
    <n v="88556.855200000035"/>
    <s v="Returning"/>
    <n v="0.21"/>
    <s v="Credit Card"/>
    <s v="Retail"/>
    <x v="12"/>
  </r>
  <r>
    <n v="1031"/>
    <x v="135"/>
    <d v="2024-11-30T00:00:00"/>
    <x v="2"/>
    <s v="Nov"/>
    <x v="4"/>
    <x v="0"/>
    <n v="21233.440800000004"/>
    <n v="26"/>
    <x v="3"/>
    <n v="316.7"/>
    <n v="995.94"/>
    <n v="12999.240800000003"/>
    <s v="New"/>
    <n v="0.18"/>
    <s v="Cash"/>
    <s v="Retail"/>
    <x v="13"/>
  </r>
  <r>
    <n v="1041"/>
    <x v="175"/>
    <d v="2024-11-30T00:00:00"/>
    <x v="2"/>
    <s v="Nov"/>
    <x v="2"/>
    <x v="3"/>
    <n v="127300.6692"/>
    <n v="27"/>
    <x v="3"/>
    <n v="3482.46"/>
    <n v="5069.72"/>
    <n v="33274.249200000006"/>
    <s v="New"/>
    <n v="7.0000000000000007E-2"/>
    <s v="Bank Transfer"/>
    <s v="Retail"/>
    <x v="3"/>
  </r>
  <r>
    <n v="1059"/>
    <x v="141"/>
    <d v="2024-11-30T00:00:00"/>
    <x v="2"/>
    <s v="Nov"/>
    <x v="2"/>
    <x v="1"/>
    <n v="88411.781200000012"/>
    <n v="37"/>
    <x v="2"/>
    <n v="938.7"/>
    <n v="2684.84"/>
    <n v="53679.881200000011"/>
    <s v="Returning"/>
    <n v="0.11"/>
    <s v="Bank Transfer"/>
    <s v="Retail"/>
    <x v="8"/>
  </r>
  <r>
    <n v="1010"/>
    <x v="65"/>
    <d v="2024-12-01T00:00:00"/>
    <x v="2"/>
    <s v="Dec"/>
    <x v="3"/>
    <x v="3"/>
    <n v="84292.656351497833"/>
    <n v="45"/>
    <x v="3"/>
    <n v="1798.68"/>
    <n v="1914.92"/>
    <n v="3507.3719999999948"/>
    <s v="Returning"/>
    <n v="0.02"/>
    <s v="Bank Transfer"/>
    <s v="Online"/>
    <x v="4"/>
  </r>
  <r>
    <n v="1046"/>
    <x v="261"/>
    <d v="2024-12-01T00:00:00"/>
    <x v="2"/>
    <s v="Dec"/>
    <x v="0"/>
    <x v="3"/>
    <n v="46011.336199999991"/>
    <n v="29"/>
    <x v="2"/>
    <n v="1081.07"/>
    <n v="1687.87"/>
    <n v="14660.306199999995"/>
    <s v="New"/>
    <n v="0.06"/>
    <s v="Credit Card"/>
    <s v="Retail"/>
    <x v="5"/>
  </r>
  <r>
    <n v="1032"/>
    <x v="148"/>
    <d v="2024-12-01T00:00:00"/>
    <x v="2"/>
    <s v="Dec"/>
    <x v="3"/>
    <x v="2"/>
    <n v="33332.152000000002"/>
    <n v="8"/>
    <x v="0"/>
    <n v="2264.84"/>
    <n v="4251.55"/>
    <n v="15213.432000000001"/>
    <s v="Returning"/>
    <n v="0.02"/>
    <s v="Credit Card"/>
    <s v="Online"/>
    <x v="9"/>
  </r>
  <r>
    <n v="1100"/>
    <x v="350"/>
    <d v="2024-12-01T00:00:00"/>
    <x v="2"/>
    <s v="Dec"/>
    <x v="2"/>
    <x v="2"/>
    <n v="29805.166300000001"/>
    <n v="7"/>
    <x v="0"/>
    <n v="1524.87"/>
    <n v="4678.99"/>
    <n v="19131.076300000001"/>
    <s v="Returning"/>
    <n v="0.09"/>
    <s v="Cash"/>
    <s v="Retail"/>
    <x v="14"/>
  </r>
  <r>
    <n v="1015"/>
    <x v="144"/>
    <d v="2024-12-02T00:00:00"/>
    <x v="2"/>
    <s v="Dec"/>
    <x v="1"/>
    <x v="0"/>
    <n v="29778.109200000003"/>
    <n v="9"/>
    <x v="3"/>
    <n v="2851.77"/>
    <n v="3596.39"/>
    <n v="4112.1792000000014"/>
    <s v="New"/>
    <n v="0.08"/>
    <s v="Credit Card"/>
    <s v="Retail"/>
    <x v="10"/>
  </r>
  <r>
    <n v="1064"/>
    <x v="200"/>
    <d v="2024-12-02T00:00:00"/>
    <x v="2"/>
    <s v="Dec"/>
    <x v="2"/>
    <x v="1"/>
    <n v="87587.624999999985"/>
    <n v="30"/>
    <x v="2"/>
    <n v="482.76"/>
    <n v="3073.25"/>
    <n v="73104.824999999983"/>
    <s v="Returning"/>
    <n v="0.05"/>
    <s v="Cash"/>
    <s v="Online"/>
    <x v="8"/>
  </r>
  <r>
    <n v="1029"/>
    <x v="146"/>
    <d v="2024-12-03T00:00:00"/>
    <x v="2"/>
    <s v="Dec"/>
    <x v="0"/>
    <x v="2"/>
    <n v="9803.8766489770442"/>
    <n v="7"/>
    <x v="1"/>
    <n v="1356.28"/>
    <n v="1436.86"/>
    <n v="262.31939999999918"/>
    <s v="Returning"/>
    <n v="0.03"/>
    <s v="Bank Transfer"/>
    <s v="Online"/>
    <x v="2"/>
  </r>
  <r>
    <n v="1085"/>
    <x v="11"/>
    <d v="2024-12-03T00:00:00"/>
    <x v="2"/>
    <s v="Dec"/>
    <x v="1"/>
    <x v="2"/>
    <n v="6773.3358000000007"/>
    <n v="2"/>
    <x v="1"/>
    <n v="961.13"/>
    <n v="4398.2700000000004"/>
    <n v="4851.0758000000005"/>
    <s v="Returning"/>
    <n v="0.23"/>
    <s v="Bank Transfer"/>
    <s v="Retail"/>
    <x v="15"/>
  </r>
  <r>
    <n v="1030"/>
    <x v="371"/>
    <d v="2024-12-03T00:00:00"/>
    <x v="2"/>
    <s v="Dec"/>
    <x v="2"/>
    <x v="2"/>
    <n v="17147.292000000001"/>
    <n v="5"/>
    <x v="1"/>
    <n v="2157.9299999999998"/>
    <n v="3648.36"/>
    <n v="6357.6420000000007"/>
    <s v="Returning"/>
    <n v="0.06"/>
    <s v="Cash"/>
    <s v="Retail"/>
    <x v="14"/>
  </r>
  <r>
    <n v="1063"/>
    <x v="398"/>
    <d v="2024-12-03T00:00:00"/>
    <x v="2"/>
    <s v="Dec"/>
    <x v="2"/>
    <x v="1"/>
    <n v="48379.454999999994"/>
    <n v="45"/>
    <x v="0"/>
    <n v="779.55"/>
    <n v="1295.3"/>
    <n v="13299.704999999998"/>
    <s v="New"/>
    <n v="0.17"/>
    <s v="Cash"/>
    <s v="Retail"/>
    <x v="8"/>
  </r>
  <r>
    <n v="1051"/>
    <x v="281"/>
    <d v="2024-12-04T00:00:00"/>
    <x v="2"/>
    <s v="Dec"/>
    <x v="0"/>
    <x v="2"/>
    <n v="62560.058400000002"/>
    <n v="21"/>
    <x v="2"/>
    <n v="2670.24"/>
    <n v="3203.28"/>
    <n v="6485.0184000000063"/>
    <s v="Returning"/>
    <n v="7.0000000000000007E-2"/>
    <s v="Cash"/>
    <s v="Online"/>
    <x v="2"/>
  </r>
  <r>
    <n v="1060"/>
    <x v="369"/>
    <d v="2024-12-05T00:00:00"/>
    <x v="2"/>
    <s v="Dec"/>
    <x v="2"/>
    <x v="2"/>
    <n v="108641.55279999999"/>
    <n v="44"/>
    <x v="0"/>
    <n v="1453.22"/>
    <n v="2626.73"/>
    <n v="44699.872799999983"/>
    <s v="Returning"/>
    <n v="0.06"/>
    <s v="Credit Card"/>
    <s v="Online"/>
    <x v="14"/>
  </r>
  <r>
    <n v="1085"/>
    <x v="11"/>
    <d v="2024-12-05T00:00:00"/>
    <x v="2"/>
    <s v="Dec"/>
    <x v="2"/>
    <x v="3"/>
    <n v="81752.0625"/>
    <n v="25"/>
    <x v="1"/>
    <n v="973.7"/>
    <n v="4605.75"/>
    <n v="57409.562499999993"/>
    <s v="Returning"/>
    <n v="0.28999999999999998"/>
    <s v="Credit Card"/>
    <s v="Retail"/>
    <x v="3"/>
  </r>
  <r>
    <n v="1068"/>
    <x v="396"/>
    <d v="2024-12-06T00:00:00"/>
    <x v="2"/>
    <s v="Dec"/>
    <x v="1"/>
    <x v="3"/>
    <n v="79234.869205586045"/>
    <n v="18"/>
    <x v="3"/>
    <n v="4335.7700000000004"/>
    <n v="4576.09"/>
    <n v="1030.9751999999953"/>
    <s v="New"/>
    <n v="0.04"/>
    <s v="Bank Transfer"/>
    <s v="Online"/>
    <x v="7"/>
  </r>
  <r>
    <n v="1033"/>
    <x v="99"/>
    <d v="2024-12-06T00:00:00"/>
    <x v="2"/>
    <s v="Dec"/>
    <x v="0"/>
    <x v="0"/>
    <n v="113513.46185316794"/>
    <n v="23"/>
    <x v="0"/>
    <n v="4294.17"/>
    <n v="4955.8500000000004"/>
    <n v="15218.640000000007"/>
    <s v="Returning"/>
    <n v="0"/>
    <s v="Bank Transfer"/>
    <s v="Retail"/>
    <x v="0"/>
  </r>
  <r>
    <n v="1013"/>
    <x v="115"/>
    <d v="2024-12-07T00:00:00"/>
    <x v="2"/>
    <s v="Dec"/>
    <x v="3"/>
    <x v="2"/>
    <n v="85296.300600000002"/>
    <n v="21"/>
    <x v="1"/>
    <n v="3526.06"/>
    <n v="4563.74"/>
    <n v="11249.0406"/>
    <s v="Returning"/>
    <n v="0.11"/>
    <s v="Bank Transfer"/>
    <s v="Retail"/>
    <x v="9"/>
  </r>
  <r>
    <n v="1028"/>
    <x v="332"/>
    <d v="2024-12-07T00:00:00"/>
    <x v="2"/>
    <s v="Dec"/>
    <x v="3"/>
    <x v="0"/>
    <n v="112548.50100000002"/>
    <n v="39"/>
    <x v="2"/>
    <n v="1145.4000000000001"/>
    <n v="3206.51"/>
    <n v="67877.901000000013"/>
    <s v="New"/>
    <n v="0.1"/>
    <s v="Cash"/>
    <s v="Online"/>
    <x v="11"/>
  </r>
  <r>
    <n v="1080"/>
    <x v="49"/>
    <d v="2024-12-08T00:00:00"/>
    <x v="2"/>
    <s v="Dec"/>
    <x v="2"/>
    <x v="1"/>
    <n v="219053.73599999998"/>
    <n v="48"/>
    <x v="2"/>
    <n v="1483.16"/>
    <n v="4803.8100000000004"/>
    <n v="147862.05599999998"/>
    <s v="New"/>
    <n v="0.05"/>
    <s v="Bank Transfer"/>
    <s v="Retail"/>
    <x v="8"/>
  </r>
  <r>
    <n v="1060"/>
    <x v="304"/>
    <d v="2024-12-09T00:00:00"/>
    <x v="2"/>
    <s v="Dec"/>
    <x v="2"/>
    <x v="0"/>
    <n v="85621.737599999993"/>
    <n v="42"/>
    <x v="3"/>
    <n v="665.78"/>
    <n v="2370.48"/>
    <n v="57658.977599999998"/>
    <s v="Returning"/>
    <n v="0.14000000000000001"/>
    <s v="Cash"/>
    <s v="Online"/>
    <x v="18"/>
  </r>
  <r>
    <n v="1052"/>
    <x v="390"/>
    <d v="2024-12-10T00:00:00"/>
    <x v="2"/>
    <s v="Dec"/>
    <x v="4"/>
    <x v="0"/>
    <n v="71577.734400000001"/>
    <n v="24"/>
    <x v="3"/>
    <n v="1270.77"/>
    <n v="3637.08"/>
    <n v="41079.254400000005"/>
    <s v="Returning"/>
    <n v="0.18"/>
    <s v="Cash"/>
    <s v="Online"/>
    <x v="13"/>
  </r>
  <r>
    <n v="1068"/>
    <x v="78"/>
    <d v="2024-12-11T00:00:00"/>
    <x v="2"/>
    <s v="Dec"/>
    <x v="3"/>
    <x v="3"/>
    <n v="41992.196400000001"/>
    <n v="33"/>
    <x v="1"/>
    <n v="1252.4000000000001"/>
    <n v="1298.46"/>
    <n v="662.99639999999818"/>
    <s v="Returning"/>
    <n v="0.02"/>
    <s v="Credit Card"/>
    <s v="Retail"/>
    <x v="4"/>
  </r>
  <r>
    <n v="1040"/>
    <x v="169"/>
    <d v="2024-12-11T00:00:00"/>
    <x v="2"/>
    <s v="Dec"/>
    <x v="2"/>
    <x v="2"/>
    <n v="17662.7088"/>
    <n v="16"/>
    <x v="0"/>
    <n v="766.72"/>
    <n v="1187.01"/>
    <n v="5395.1887999999999"/>
    <s v="New"/>
    <n v="7.0000000000000007E-2"/>
    <s v="Credit Card"/>
    <s v="Retail"/>
    <x v="14"/>
  </r>
  <r>
    <n v="1034"/>
    <x v="256"/>
    <d v="2024-12-11T00:00:00"/>
    <x v="2"/>
    <s v="Dec"/>
    <x v="1"/>
    <x v="1"/>
    <n v="148005.92671905088"/>
    <n v="30"/>
    <x v="2"/>
    <n v="4270.79"/>
    <n v="4957.1000000000004"/>
    <n v="20589.30000000001"/>
    <s v="New"/>
    <n v="0"/>
    <s v="Bank Transfer"/>
    <s v="Retail"/>
    <x v="1"/>
  </r>
  <r>
    <n v="1062"/>
    <x v="84"/>
    <d v="2024-12-11T00:00:00"/>
    <x v="2"/>
    <s v="Dec"/>
    <x v="4"/>
    <x v="3"/>
    <n v="44391.38"/>
    <n v="31"/>
    <x v="1"/>
    <n v="603.29"/>
    <n v="1556.5"/>
    <n v="25689.390000000003"/>
    <s v="New"/>
    <n v="0.08"/>
    <s v="Bank Transfer"/>
    <s v="Online"/>
    <x v="12"/>
  </r>
  <r>
    <n v="1099"/>
    <x v="168"/>
    <d v="2024-12-11T00:00:00"/>
    <x v="2"/>
    <s v="Dec"/>
    <x v="4"/>
    <x v="3"/>
    <n v="173812.0217843492"/>
    <n v="36"/>
    <x v="3"/>
    <n v="3547.73"/>
    <n v="4895.82"/>
    <n v="46768.744799999986"/>
    <s v="Returning"/>
    <n v="0.01"/>
    <s v="Bank Transfer"/>
    <s v="Online"/>
    <x v="12"/>
  </r>
  <r>
    <n v="1059"/>
    <x v="329"/>
    <d v="2024-12-12T00:00:00"/>
    <x v="2"/>
    <s v="Dec"/>
    <x v="3"/>
    <x v="3"/>
    <n v="41285.392200000002"/>
    <n v="13"/>
    <x v="1"/>
    <n v="2643.14"/>
    <n v="3692.79"/>
    <n v="6924.5722000000005"/>
    <s v="Returning"/>
    <n v="0.14000000000000001"/>
    <s v="Bank Transfer"/>
    <s v="Retail"/>
    <x v="4"/>
  </r>
  <r>
    <n v="1011"/>
    <x v="223"/>
    <d v="2024-12-12T00:00:00"/>
    <x v="2"/>
    <s v="Dec"/>
    <x v="1"/>
    <x v="3"/>
    <n v="94200.8508"/>
    <n v="29"/>
    <x v="1"/>
    <n v="2136.79"/>
    <n v="3867.03"/>
    <n v="32233.940800000008"/>
    <s v="New"/>
    <n v="0.16"/>
    <s v="Bank Transfer"/>
    <s v="Retail"/>
    <x v="7"/>
  </r>
  <r>
    <n v="1073"/>
    <x v="279"/>
    <d v="2024-12-12T00:00:00"/>
    <x v="2"/>
    <s v="Dec"/>
    <x v="1"/>
    <x v="2"/>
    <n v="102045.02"/>
    <n v="50"/>
    <x v="0"/>
    <n v="1202.26"/>
    <n v="2650.52"/>
    <n v="41932.019999999997"/>
    <s v="Returning"/>
    <n v="0.23"/>
    <s v="Cash"/>
    <s v="Retail"/>
    <x v="15"/>
  </r>
  <r>
    <n v="1019"/>
    <x v="63"/>
    <d v="2024-12-13T00:00:00"/>
    <x v="2"/>
    <s v="Dec"/>
    <x v="2"/>
    <x v="0"/>
    <n v="18300.672000000002"/>
    <n v="9"/>
    <x v="1"/>
    <n v="441.05"/>
    <n v="2541.7600000000002"/>
    <n v="14331.222000000003"/>
    <s v="New"/>
    <n v="0.2"/>
    <s v="Credit Card"/>
    <s v="Retail"/>
    <x v="18"/>
  </r>
  <r>
    <n v="1022"/>
    <x v="356"/>
    <d v="2024-12-13T00:00:00"/>
    <x v="2"/>
    <s v="Dec"/>
    <x v="2"/>
    <x v="1"/>
    <n v="260345.75999999998"/>
    <n v="50"/>
    <x v="1"/>
    <n v="695"/>
    <n v="5423.87"/>
    <n v="225595.75999999998"/>
    <s v="Returning"/>
    <n v="0.04"/>
    <s v="Cash"/>
    <s v="Retail"/>
    <x v="8"/>
  </r>
  <r>
    <n v="1071"/>
    <x v="238"/>
    <d v="2024-12-14T00:00:00"/>
    <x v="2"/>
    <s v="Dec"/>
    <x v="2"/>
    <x v="1"/>
    <n v="14509.871999999999"/>
    <n v="13"/>
    <x v="3"/>
    <n v="431.74"/>
    <n v="1213.2"/>
    <n v="8897.2520000000004"/>
    <s v="New"/>
    <n v="0.08"/>
    <s v="Bank Transfer"/>
    <s v="Retail"/>
    <x v="8"/>
  </r>
  <r>
    <n v="1083"/>
    <x v="377"/>
    <d v="2024-12-14T00:00:00"/>
    <x v="2"/>
    <s v="Dec"/>
    <x v="2"/>
    <x v="3"/>
    <n v="155960.80000000002"/>
    <n v="50"/>
    <x v="1"/>
    <n v="2410.2399999999998"/>
    <n v="3899.02"/>
    <n v="35448.800000000032"/>
    <s v="Returning"/>
    <n v="0.2"/>
    <s v="Cash"/>
    <s v="Online"/>
    <x v="3"/>
  </r>
  <r>
    <n v="1035"/>
    <x v="384"/>
    <d v="2024-12-15T00:00:00"/>
    <x v="2"/>
    <s v="Dec"/>
    <x v="2"/>
    <x v="3"/>
    <n v="3156.9823999999999"/>
    <n v="4"/>
    <x v="2"/>
    <n v="499.71"/>
    <n v="896.87"/>
    <n v="1158.1424"/>
    <s v="Returning"/>
    <n v="0.12"/>
    <s v="Cash"/>
    <s v="Online"/>
    <x v="3"/>
  </r>
  <r>
    <n v="1033"/>
    <x v="202"/>
    <d v="2024-12-15T00:00:00"/>
    <x v="2"/>
    <s v="Dec"/>
    <x v="4"/>
    <x v="1"/>
    <n v="69664.284900000013"/>
    <n v="49"/>
    <x v="3"/>
    <n v="704.23"/>
    <n v="1755.21"/>
    <n v="35157.014900000009"/>
    <s v="New"/>
    <n v="0.19"/>
    <s v="Credit Card"/>
    <s v="Retail"/>
    <x v="6"/>
  </r>
  <r>
    <n v="1052"/>
    <x v="333"/>
    <d v="2024-12-15T00:00:00"/>
    <x v="2"/>
    <s v="Dec"/>
    <x v="4"/>
    <x v="3"/>
    <n v="93789.116999999984"/>
    <n v="45"/>
    <x v="0"/>
    <n v="1299.03"/>
    <n v="2816.49"/>
    <n v="35332.766999999985"/>
    <s v="Returning"/>
    <n v="0.26"/>
    <s v="Cash"/>
    <s v="Retail"/>
    <x v="12"/>
  </r>
  <r>
    <n v="1021"/>
    <x v="110"/>
    <d v="2024-12-15T00:00:00"/>
    <x v="2"/>
    <s v="Dec"/>
    <x v="4"/>
    <x v="0"/>
    <n v="116354.97720000001"/>
    <n v="33"/>
    <x v="0"/>
    <n v="2183.2600000000002"/>
    <n v="4197.51"/>
    <n v="44307.397199999999"/>
    <s v="Returning"/>
    <n v="0.16"/>
    <s v="Credit Card"/>
    <s v="Online"/>
    <x v="13"/>
  </r>
  <r>
    <n v="1087"/>
    <x v="258"/>
    <d v="2024-12-15T00:00:00"/>
    <x v="2"/>
    <s v="Dec"/>
    <x v="0"/>
    <x v="3"/>
    <n v="160964.32519999999"/>
    <n v="43"/>
    <x v="3"/>
    <n v="166.14"/>
    <n v="4352.74"/>
    <n v="153820.3052"/>
    <s v="New"/>
    <n v="0.14000000000000001"/>
    <s v="Credit Card"/>
    <s v="Retail"/>
    <x v="5"/>
  </r>
  <r>
    <n v="1006"/>
    <x v="81"/>
    <d v="2024-12-16T00:00:00"/>
    <x v="2"/>
    <s v="Dec"/>
    <x v="3"/>
    <x v="3"/>
    <n v="138892.96960000001"/>
    <n v="49"/>
    <x v="1"/>
    <n v="1419.79"/>
    <n v="3221.08"/>
    <n v="69323.259600000005"/>
    <s v="New"/>
    <n v="0.12"/>
    <s v="Credit Card"/>
    <s v="Online"/>
    <x v="4"/>
  </r>
  <r>
    <n v="1040"/>
    <x v="45"/>
    <d v="2024-12-16T00:00:00"/>
    <x v="2"/>
    <s v="Dec"/>
    <x v="2"/>
    <x v="2"/>
    <n v="168916.3432"/>
    <n v="44"/>
    <x v="1"/>
    <n v="1298.67"/>
    <n v="3957.74"/>
    <n v="111774.86319999999"/>
    <s v="New"/>
    <n v="0.03"/>
    <s v="Bank Transfer"/>
    <s v="Online"/>
    <x v="14"/>
  </r>
  <r>
    <n v="1061"/>
    <x v="385"/>
    <d v="2024-12-17T00:00:00"/>
    <x v="2"/>
    <s v="Dec"/>
    <x v="3"/>
    <x v="2"/>
    <n v="23267.454000000002"/>
    <n v="7"/>
    <x v="1"/>
    <n v="2914.8"/>
    <n v="3957.05"/>
    <n v="2863.8539999999989"/>
    <s v="New"/>
    <n v="0.16"/>
    <s v="Cash"/>
    <s v="Online"/>
    <x v="9"/>
  </r>
  <r>
    <n v="1022"/>
    <x v="116"/>
    <d v="2024-12-17T00:00:00"/>
    <x v="2"/>
    <s v="Dec"/>
    <x v="1"/>
    <x v="3"/>
    <n v="67916.815200000012"/>
    <n v="37"/>
    <x v="0"/>
    <n v="1495.67"/>
    <n v="2353.3200000000002"/>
    <n v="12577.025200000007"/>
    <s v="Returning"/>
    <n v="0.22"/>
    <s v="Credit Card"/>
    <s v="Retail"/>
    <x v="7"/>
  </r>
  <r>
    <n v="1007"/>
    <x v="205"/>
    <d v="2024-12-17T00:00:00"/>
    <x v="2"/>
    <s v="Dec"/>
    <x v="0"/>
    <x v="1"/>
    <n v="34557.03"/>
    <n v="30"/>
    <x v="0"/>
    <n v="682.21"/>
    <n v="1279.8900000000001"/>
    <n v="14090.730000000001"/>
    <s v="New"/>
    <n v="0.1"/>
    <s v="Credit Card"/>
    <s v="Online"/>
    <x v="19"/>
  </r>
  <r>
    <n v="1072"/>
    <x v="249"/>
    <d v="2024-12-17T00:00:00"/>
    <x v="2"/>
    <s v="Dec"/>
    <x v="4"/>
    <x v="0"/>
    <n v="60014.745599999995"/>
    <n v="16"/>
    <x v="3"/>
    <n v="1512.81"/>
    <n v="3907.21"/>
    <n v="35809.785599999996"/>
    <s v="Returning"/>
    <n v="0.04"/>
    <s v="Credit Card"/>
    <s v="Online"/>
    <x v="13"/>
  </r>
  <r>
    <n v="1080"/>
    <x v="49"/>
    <d v="2024-12-18T00:00:00"/>
    <x v="2"/>
    <s v="Dec"/>
    <x v="1"/>
    <x v="3"/>
    <n v="51050.008290686113"/>
    <n v="22"/>
    <x v="2"/>
    <n v="2301.83"/>
    <n v="2326.9499999999998"/>
    <n v="552.6399999999976"/>
    <s v="Returning"/>
    <n v="0"/>
    <s v="Cash"/>
    <s v="Online"/>
    <x v="7"/>
  </r>
  <r>
    <n v="1007"/>
    <x v="12"/>
    <d v="2024-12-18T00:00:00"/>
    <x v="2"/>
    <s v="Dec"/>
    <x v="0"/>
    <x v="3"/>
    <n v="115936.93409999998"/>
    <n v="41"/>
    <x v="2"/>
    <n v="2255.7199999999998"/>
    <n v="3040.57"/>
    <n v="23452.414099999998"/>
    <s v="Returning"/>
    <n v="7.0000000000000007E-2"/>
    <s v="Credit Card"/>
    <s v="Online"/>
    <x v="5"/>
  </r>
  <r>
    <n v="1013"/>
    <x v="189"/>
    <d v="2024-12-18T00:00:00"/>
    <x v="2"/>
    <s v="Dec"/>
    <x v="1"/>
    <x v="0"/>
    <n v="64640.1152"/>
    <n v="16"/>
    <x v="3"/>
    <n v="1155.98"/>
    <n v="4297.88"/>
    <n v="46144.4352"/>
    <s v="New"/>
    <n v="0.06"/>
    <s v="Credit Card"/>
    <s v="Online"/>
    <x v="10"/>
  </r>
  <r>
    <n v="1005"/>
    <x v="300"/>
    <d v="2024-12-18T00:00:00"/>
    <x v="2"/>
    <s v="Dec"/>
    <x v="0"/>
    <x v="3"/>
    <n v="73444.579200000007"/>
    <n v="18"/>
    <x v="0"/>
    <n v="661.81"/>
    <n v="4975.92"/>
    <n v="61531.999200000006"/>
    <s v="Returning"/>
    <n v="0.18"/>
    <s v="Cash"/>
    <s v="Retail"/>
    <x v="5"/>
  </r>
  <r>
    <n v="1005"/>
    <x v="253"/>
    <d v="2024-12-18T00:00:00"/>
    <x v="2"/>
    <s v="Dec"/>
    <x v="1"/>
    <x v="3"/>
    <n v="109554.03359999998"/>
    <n v="33"/>
    <x v="2"/>
    <n v="1052.1400000000001"/>
    <n v="4610.8599999999997"/>
    <n v="74833.413599999985"/>
    <s v="Returning"/>
    <n v="0.28000000000000003"/>
    <s v="Cash"/>
    <s v="Online"/>
    <x v="7"/>
  </r>
  <r>
    <n v="1071"/>
    <x v="186"/>
    <d v="2024-12-19T00:00:00"/>
    <x v="2"/>
    <s v="Dec"/>
    <x v="1"/>
    <x v="1"/>
    <n v="2946.1562999999996"/>
    <n v="1"/>
    <x v="1"/>
    <n v="387.59"/>
    <n v="3167.91"/>
    <n v="2558.5662999999995"/>
    <s v="New"/>
    <n v="7.0000000000000007E-2"/>
    <s v="Credit Card"/>
    <s v="Retail"/>
    <x v="1"/>
  </r>
  <r>
    <n v="1017"/>
    <x v="330"/>
    <d v="2024-12-19T00:00:00"/>
    <x v="2"/>
    <s v="Dec"/>
    <x v="0"/>
    <x v="1"/>
    <n v="45963.8102"/>
    <n v="11"/>
    <x v="3"/>
    <n v="837.16"/>
    <n v="5426.66"/>
    <n v="36755.050199999998"/>
    <s v="Returning"/>
    <n v="0.23"/>
    <s v="Cash"/>
    <s v="Online"/>
    <x v="19"/>
  </r>
  <r>
    <n v="1043"/>
    <x v="72"/>
    <d v="2024-12-19T00:00:00"/>
    <x v="2"/>
    <s v="Dec"/>
    <x v="3"/>
    <x v="3"/>
    <n v="99949.952900000004"/>
    <n v="29"/>
    <x v="1"/>
    <n v="1334.15"/>
    <n v="4152.47"/>
    <n v="61259.602899999998"/>
    <s v="New"/>
    <n v="0.17"/>
    <s v="Bank Transfer"/>
    <s v="Retail"/>
    <x v="4"/>
  </r>
  <r>
    <n v="1028"/>
    <x v="392"/>
    <d v="2024-12-20T00:00:00"/>
    <x v="2"/>
    <s v="Dec"/>
    <x v="3"/>
    <x v="2"/>
    <n v="6586.8431999999993"/>
    <n v="24"/>
    <x v="0"/>
    <n v="73.540000000000006"/>
    <n v="319.13"/>
    <n v="4821.8831999999993"/>
    <s v="New"/>
    <n v="0.14000000000000001"/>
    <s v="Credit Card"/>
    <s v="Online"/>
    <x v="9"/>
  </r>
  <r>
    <n v="1023"/>
    <x v="361"/>
    <d v="2024-12-20T00:00:00"/>
    <x v="2"/>
    <s v="Dec"/>
    <x v="1"/>
    <x v="2"/>
    <n v="67066.691999999995"/>
    <n v="42"/>
    <x v="2"/>
    <n v="1251.69"/>
    <n v="2281.1799999999998"/>
    <n v="14495.711999999989"/>
    <s v="New"/>
    <n v="0.3"/>
    <s v="Credit Card"/>
    <s v="Retail"/>
    <x v="15"/>
  </r>
  <r>
    <n v="1033"/>
    <x v="99"/>
    <d v="2024-12-20T00:00:00"/>
    <x v="2"/>
    <s v="Dec"/>
    <x v="3"/>
    <x v="1"/>
    <n v="101747.147"/>
    <n v="23"/>
    <x v="0"/>
    <n v="3613.12"/>
    <n v="4656.62"/>
    <n v="18645.386999999995"/>
    <s v="New"/>
    <n v="0.05"/>
    <s v="Cash"/>
    <s v="Retail"/>
    <x v="16"/>
  </r>
  <r>
    <n v="1097"/>
    <x v="42"/>
    <d v="2024-12-21T00:00:00"/>
    <x v="2"/>
    <s v="Dec"/>
    <x v="2"/>
    <x v="1"/>
    <n v="99214.315199999997"/>
    <n v="24"/>
    <x v="1"/>
    <n v="1740.44"/>
    <n v="4542.78"/>
    <n v="57443.7552"/>
    <s v="Returning"/>
    <n v="0.09"/>
    <s v="Cash"/>
    <s v="Retail"/>
    <x v="8"/>
  </r>
  <r>
    <n v="1070"/>
    <x v="56"/>
    <d v="2024-12-21T00:00:00"/>
    <x v="2"/>
    <s v="Dec"/>
    <x v="0"/>
    <x v="2"/>
    <n v="185693.64749999999"/>
    <n v="45"/>
    <x v="2"/>
    <n v="354.34"/>
    <n v="5223.45"/>
    <n v="169748.34749999997"/>
    <s v="New"/>
    <n v="0.21"/>
    <s v="Bank Transfer"/>
    <s v="Retail"/>
    <x v="2"/>
  </r>
  <r>
    <n v="1064"/>
    <x v="126"/>
    <d v="2024-12-22T00:00:00"/>
    <x v="2"/>
    <s v="Dec"/>
    <x v="1"/>
    <x v="2"/>
    <n v="111625.37199999999"/>
    <n v="40"/>
    <x v="1"/>
    <n v="2750.15"/>
    <n v="3362.21"/>
    <n v="1619.3719999999848"/>
    <s v="Returning"/>
    <n v="0.17"/>
    <s v="Credit Card"/>
    <s v="Online"/>
    <x v="15"/>
  </r>
  <r>
    <n v="1026"/>
    <x v="197"/>
    <d v="2024-12-22T00:00:00"/>
    <x v="2"/>
    <s v="Dec"/>
    <x v="1"/>
    <x v="1"/>
    <n v="9604.5239999999994"/>
    <n v="4"/>
    <x v="0"/>
    <n v="362.76"/>
    <n v="2824.86"/>
    <n v="8153.4839999999995"/>
    <s v="New"/>
    <n v="0.15"/>
    <s v="Cash"/>
    <s v="Online"/>
    <x v="1"/>
  </r>
  <r>
    <n v="1059"/>
    <x v="329"/>
    <d v="2024-12-22T00:00:00"/>
    <x v="2"/>
    <s v="Dec"/>
    <x v="1"/>
    <x v="2"/>
    <n v="16535.136000000002"/>
    <n v="6"/>
    <x v="1"/>
    <n v="173.56"/>
    <n v="3360.8"/>
    <n v="15493.776000000002"/>
    <s v="New"/>
    <n v="0.18"/>
    <s v="Cash"/>
    <s v="Retail"/>
    <x v="15"/>
  </r>
  <r>
    <n v="1028"/>
    <x v="295"/>
    <d v="2024-12-22T00:00:00"/>
    <x v="2"/>
    <s v="Dec"/>
    <x v="3"/>
    <x v="1"/>
    <n v="228735.84"/>
    <n v="50"/>
    <x v="1"/>
    <n v="3585.15"/>
    <n v="4866.72"/>
    <n v="49478.340000000004"/>
    <s v="Returning"/>
    <n v="0.06"/>
    <s v="Cash"/>
    <s v="Online"/>
    <x v="16"/>
  </r>
  <r>
    <n v="1008"/>
    <x v="95"/>
    <d v="2024-12-23T00:00:00"/>
    <x v="2"/>
    <s v="Dec"/>
    <x v="1"/>
    <x v="0"/>
    <n v="58874.567999999999"/>
    <n v="20"/>
    <x v="1"/>
    <n v="1458.76"/>
    <n v="3422.94"/>
    <n v="29699.367999999999"/>
    <s v="New"/>
    <n v="0.14000000000000001"/>
    <s v="Bank Transfer"/>
    <s v="Retail"/>
    <x v="10"/>
  </r>
  <r>
    <n v="1019"/>
    <x v="32"/>
    <d v="2024-12-24T00:00:00"/>
    <x v="2"/>
    <s v="Dec"/>
    <x v="0"/>
    <x v="1"/>
    <n v="92295.478799999997"/>
    <n v="37"/>
    <x v="3"/>
    <n v="1124.3900000000001"/>
    <n v="2545.38"/>
    <n v="50693.048799999997"/>
    <s v="New"/>
    <n v="0.02"/>
    <s v="Bank Transfer"/>
    <s v="Online"/>
    <x v="19"/>
  </r>
  <r>
    <n v="1067"/>
    <x v="119"/>
    <d v="2024-12-24T00:00:00"/>
    <x v="2"/>
    <s v="Dec"/>
    <x v="2"/>
    <x v="0"/>
    <n v="105068.66999999998"/>
    <n v="35"/>
    <x v="2"/>
    <n v="126.24"/>
    <n v="3531.72"/>
    <n v="100650.26999999999"/>
    <s v="New"/>
    <n v="0.15"/>
    <s v="Cash"/>
    <s v="Online"/>
    <x v="18"/>
  </r>
  <r>
    <n v="1090"/>
    <x v="159"/>
    <d v="2024-12-25T00:00:00"/>
    <x v="2"/>
    <s v="Dec"/>
    <x v="2"/>
    <x v="1"/>
    <n v="5370.3703999999998"/>
    <n v="2"/>
    <x v="2"/>
    <n v="1807.59"/>
    <n v="2856.58"/>
    <n v="1755.1904"/>
    <s v="Returning"/>
    <n v="0.06"/>
    <s v="Cash"/>
    <s v="Retail"/>
    <x v="8"/>
  </r>
  <r>
    <n v="1093"/>
    <x v="161"/>
    <d v="2024-12-25T00:00:00"/>
    <x v="2"/>
    <s v="Dec"/>
    <x v="0"/>
    <x v="1"/>
    <n v="31575.188400000003"/>
    <n v="14"/>
    <x v="0"/>
    <n v="1942.85"/>
    <n v="2592.38"/>
    <n v="4375.288400000004"/>
    <s v="Returning"/>
    <n v="0.13"/>
    <s v="Credit Card"/>
    <s v="Retail"/>
    <x v="19"/>
  </r>
  <r>
    <n v="1026"/>
    <x v="50"/>
    <d v="2024-12-25T00:00:00"/>
    <x v="2"/>
    <s v="Dec"/>
    <x v="3"/>
    <x v="1"/>
    <n v="46323.266000000003"/>
    <n v="29"/>
    <x v="1"/>
    <n v="1327.25"/>
    <n v="1879.24"/>
    <n v="7833.0160000000014"/>
    <s v="Returning"/>
    <n v="0.15"/>
    <s v="Cash"/>
    <s v="Retail"/>
    <x v="16"/>
  </r>
  <r>
    <n v="1044"/>
    <x v="357"/>
    <d v="2024-12-26T00:00:00"/>
    <x v="2"/>
    <s v="Dec"/>
    <x v="0"/>
    <x v="0"/>
    <n v="5323.6547999999993"/>
    <n v="12"/>
    <x v="2"/>
    <n v="299.88"/>
    <n v="477.03"/>
    <n v="1725.0947999999994"/>
    <s v="Returning"/>
    <n v="7.0000000000000007E-2"/>
    <s v="Credit Card"/>
    <s v="Online"/>
    <x v="0"/>
  </r>
  <r>
    <n v="1084"/>
    <x v="103"/>
    <d v="2024-12-26T00:00:00"/>
    <x v="2"/>
    <s v="Dec"/>
    <x v="4"/>
    <x v="3"/>
    <n v="82550.016000000003"/>
    <n v="18"/>
    <x v="0"/>
    <n v="1258.21"/>
    <n v="4777.2"/>
    <n v="59902.236000000004"/>
    <s v="Returning"/>
    <n v="0.04"/>
    <s v="Bank Transfer"/>
    <s v="Online"/>
    <x v="12"/>
  </r>
  <r>
    <n v="1016"/>
    <x v="193"/>
    <d v="2024-12-27T00:00:00"/>
    <x v="2"/>
    <s v="Dec"/>
    <x v="1"/>
    <x v="2"/>
    <n v="515.27200000000005"/>
    <n v="1"/>
    <x v="2"/>
    <n v="91.24"/>
    <n v="644.09"/>
    <n v="424.03200000000004"/>
    <s v="New"/>
    <n v="0.2"/>
    <s v="Bank Transfer"/>
    <s v="Online"/>
    <x v="15"/>
  </r>
  <r>
    <n v="1051"/>
    <x v="327"/>
    <d v="2024-12-27T00:00:00"/>
    <x v="2"/>
    <s v="Dec"/>
    <x v="3"/>
    <x v="0"/>
    <n v="23351.212800000001"/>
    <n v="9"/>
    <x v="1"/>
    <n v="1055.07"/>
    <n v="3413.92"/>
    <n v="13855.582800000002"/>
    <s v="Returning"/>
    <n v="0.24"/>
    <s v="Credit Card"/>
    <s v="Online"/>
    <x v="11"/>
  </r>
  <r>
    <n v="1041"/>
    <x v="24"/>
    <d v="2024-12-27T00:00:00"/>
    <x v="2"/>
    <s v="Dec"/>
    <x v="4"/>
    <x v="2"/>
    <n v="128201.69249999999"/>
    <n v="35"/>
    <x v="1"/>
    <n v="3234.88"/>
    <n v="3855.69"/>
    <n v="14980.892499999991"/>
    <s v="Returning"/>
    <n v="0.05"/>
    <s v="Cash"/>
    <s v="Online"/>
    <x v="17"/>
  </r>
  <r>
    <n v="1062"/>
    <x v="282"/>
    <d v="2024-12-27T00:00:00"/>
    <x v="2"/>
    <s v="Dec"/>
    <x v="1"/>
    <x v="2"/>
    <n v="61915.324799999995"/>
    <n v="29"/>
    <x v="3"/>
    <n v="1542.94"/>
    <n v="2223.9699999999998"/>
    <n v="17170.064799999996"/>
    <s v="New"/>
    <n v="0.04"/>
    <s v="Cash"/>
    <s v="Retail"/>
    <x v="15"/>
  </r>
  <r>
    <n v="1082"/>
    <x v="360"/>
    <d v="2024-12-27T00:00:00"/>
    <x v="2"/>
    <s v="Dec"/>
    <x v="0"/>
    <x v="1"/>
    <n v="112470.15195057567"/>
    <n v="49"/>
    <x v="3"/>
    <n v="1756.94"/>
    <n v="2415.5500000000002"/>
    <n v="26353.7925"/>
    <s v="New"/>
    <n v="0.05"/>
    <s v="Cash"/>
    <s v="Online"/>
    <x v="19"/>
  </r>
  <r>
    <n v="1059"/>
    <x v="388"/>
    <d v="2024-12-27T00:00:00"/>
    <x v="2"/>
    <s v="Dec"/>
    <x v="3"/>
    <x v="2"/>
    <n v="49599.00959999999"/>
    <n v="17"/>
    <x v="3"/>
    <n v="1047"/>
    <n v="4109.28"/>
    <n v="31800.00959999999"/>
    <s v="Returning"/>
    <n v="0.28999999999999998"/>
    <s v="Credit Card"/>
    <s v="Retail"/>
    <x v="9"/>
  </r>
  <r>
    <n v="1061"/>
    <x v="385"/>
    <d v="2024-12-27T00:00:00"/>
    <x v="2"/>
    <s v="Dec"/>
    <x v="2"/>
    <x v="2"/>
    <n v="44700.615999999995"/>
    <n v="16"/>
    <x v="1"/>
    <n v="104.47"/>
    <n v="2940.83"/>
    <n v="43029.095999999998"/>
    <s v="New"/>
    <n v="0.05"/>
    <s v="Credit Card"/>
    <s v="Online"/>
    <x v="14"/>
  </r>
  <r>
    <n v="1066"/>
    <x v="394"/>
    <d v="2024-12-28T00:00:00"/>
    <x v="2"/>
    <s v="Dec"/>
    <x v="4"/>
    <x v="2"/>
    <n v="17245.947899999999"/>
    <n v="37"/>
    <x v="0"/>
    <n v="387.65"/>
    <n v="501.19"/>
    <n v="2902.8979000000004"/>
    <s v="Returning"/>
    <n v="7.0000000000000007E-2"/>
    <s v="Cash"/>
    <s v="Retail"/>
    <x v="17"/>
  </r>
  <r>
    <n v="1061"/>
    <x v="201"/>
    <d v="2024-12-28T00:00:00"/>
    <x v="2"/>
    <s v="Dec"/>
    <x v="2"/>
    <x v="3"/>
    <n v="67712.910599999988"/>
    <n v="38"/>
    <x v="0"/>
    <n v="990.58"/>
    <n v="2146.89"/>
    <n v="30070.870599999987"/>
    <s v="New"/>
    <n v="0.17"/>
    <s v="Credit Card"/>
    <s v="Online"/>
    <x v="3"/>
  </r>
  <r>
    <n v="1064"/>
    <x v="88"/>
    <d v="2024-12-28T00:00:00"/>
    <x v="2"/>
    <s v="Dec"/>
    <x v="0"/>
    <x v="1"/>
    <n v="146192.28959999999"/>
    <n v="41"/>
    <x v="3"/>
    <n v="2574.5"/>
    <n v="4244.84"/>
    <n v="40637.789599999989"/>
    <s v="Returning"/>
    <n v="0.16"/>
    <s v="Bank Transfer"/>
    <s v="Retail"/>
    <x v="19"/>
  </r>
  <r>
    <n v="1082"/>
    <x v="112"/>
    <d v="2024-12-28T00:00:00"/>
    <x v="2"/>
    <s v="Dec"/>
    <x v="4"/>
    <x v="1"/>
    <n v="85753.152000000016"/>
    <n v="24"/>
    <x v="2"/>
    <n v="1481.93"/>
    <n v="4466.3100000000004"/>
    <n v="50186.832000000009"/>
    <s v="New"/>
    <n v="0.2"/>
    <s v="Cash"/>
    <s v="Online"/>
    <x v="6"/>
  </r>
  <r>
    <n v="1053"/>
    <x v="265"/>
    <d v="2024-12-29T00:00:00"/>
    <x v="2"/>
    <s v="Dec"/>
    <x v="3"/>
    <x v="0"/>
    <n v="60151.258247729391"/>
    <n v="36"/>
    <x v="0"/>
    <n v="1636.99"/>
    <n v="1677.99"/>
    <n v="1476"/>
    <s v="New"/>
    <n v="0"/>
    <s v="Credit Card"/>
    <s v="Retail"/>
    <x v="11"/>
  </r>
  <r>
    <n v="1010"/>
    <x v="29"/>
    <d v="2024-12-29T00:00:00"/>
    <x v="2"/>
    <s v="Dec"/>
    <x v="0"/>
    <x v="2"/>
    <n v="238311.25546197366"/>
    <n v="49"/>
    <x v="0"/>
    <n v="4743.46"/>
    <n v="4867.22"/>
    <n v="6064.2400000000107"/>
    <s v="Returning"/>
    <n v="0"/>
    <s v="Bank Transfer"/>
    <s v="Retail"/>
    <x v="2"/>
  </r>
  <r>
    <n v="1066"/>
    <x v="394"/>
    <d v="2024-12-29T00:00:00"/>
    <x v="2"/>
    <s v="Dec"/>
    <x v="0"/>
    <x v="0"/>
    <n v="77209.292999999991"/>
    <n v="21"/>
    <x v="0"/>
    <n v="3374.87"/>
    <n v="3870.14"/>
    <n v="6337.0229999999983"/>
    <s v="Returning"/>
    <n v="0.05"/>
    <s v="Credit Card"/>
    <s v="Retail"/>
    <x v="0"/>
  </r>
  <r>
    <n v="1096"/>
    <x v="196"/>
    <d v="2024-12-29T00:00:00"/>
    <x v="2"/>
    <s v="Dec"/>
    <x v="4"/>
    <x v="2"/>
    <n v="43639.384199999993"/>
    <n v="17"/>
    <x v="3"/>
    <n v="690.87"/>
    <n v="2984.91"/>
    <n v="31894.5942"/>
    <s v="New"/>
    <n v="0.14000000000000001"/>
    <s v="Credit Card"/>
    <s v="Retail"/>
    <x v="17"/>
  </r>
  <r>
    <n v="1082"/>
    <x v="112"/>
    <d v="2024-12-29T00:00:00"/>
    <x v="2"/>
    <s v="Dec"/>
    <x v="2"/>
    <x v="1"/>
    <n v="246070.3266"/>
    <n v="49"/>
    <x v="2"/>
    <n v="2301.23"/>
    <n v="5124.33"/>
    <n v="133310.05659999998"/>
    <s v="Returning"/>
    <n v="0.02"/>
    <s v="Bank Transfer"/>
    <s v="Online"/>
    <x v="8"/>
  </r>
  <r>
    <n v="1040"/>
    <x v="344"/>
    <d v="2024-12-30T00:00:00"/>
    <x v="2"/>
    <s v="Dec"/>
    <x v="0"/>
    <x v="3"/>
    <n v="16939.499499999998"/>
    <n v="11"/>
    <x v="2"/>
    <n v="870.72"/>
    <n v="2168.9499999999998"/>
    <n v="7361.579499999998"/>
    <s v="Returning"/>
    <n v="0.28999999999999998"/>
    <s v="Credit Card"/>
    <s v="Online"/>
    <x v="5"/>
  </r>
  <r>
    <n v="1078"/>
    <x v="217"/>
    <d v="2024-12-30T00:00:00"/>
    <x v="2"/>
    <s v="Dec"/>
    <x v="2"/>
    <x v="0"/>
    <n v="152113.80799999999"/>
    <n v="44"/>
    <x v="0"/>
    <n v="1806.61"/>
    <n v="4869.2"/>
    <n v="72622.967999999993"/>
    <s v="New"/>
    <n v="0.28999999999999998"/>
    <s v="Credit Card"/>
    <s v="Online"/>
    <x v="18"/>
  </r>
  <r>
    <n v="1083"/>
    <x v="227"/>
    <d v="2024-12-31T00:00:00"/>
    <x v="2"/>
    <s v="Dec"/>
    <x v="1"/>
    <x v="0"/>
    <n v="22771.949400000001"/>
    <n v="9"/>
    <x v="2"/>
    <n v="1450.3"/>
    <n v="2842.94"/>
    <n v="9719.2494000000024"/>
    <s v="Returning"/>
    <n v="0.11"/>
    <s v="Cash"/>
    <s v="Retail"/>
    <x v="10"/>
  </r>
  <r>
    <n v="1057"/>
    <x v="216"/>
    <d v="2024-12-31T00:00:00"/>
    <x v="2"/>
    <s v="Dec"/>
    <x v="1"/>
    <x v="3"/>
    <n v="57812.836900000002"/>
    <n v="29"/>
    <x v="2"/>
    <n v="1154.21"/>
    <n v="2190.71"/>
    <n v="24340.746899999998"/>
    <s v="New"/>
    <n v="0.09"/>
    <s v="Credit Card"/>
    <s v="Retail"/>
    <x v="7"/>
  </r>
  <r>
    <n v="1071"/>
    <x v="238"/>
    <d v="2024-12-31T00:00:00"/>
    <x v="2"/>
    <s v="Dec"/>
    <x v="2"/>
    <x v="1"/>
    <n v="142402.986"/>
    <n v="38"/>
    <x v="3"/>
    <n v="2894.96"/>
    <n v="3785.3"/>
    <n v="32394.506000000001"/>
    <s v="New"/>
    <n v="0.01"/>
    <s v="Cash"/>
    <s v="Online"/>
    <x v="8"/>
  </r>
  <r>
    <n v="1088"/>
    <x v="25"/>
    <d v="2024-12-31T00:00:00"/>
    <x v="2"/>
    <s v="Dec"/>
    <x v="3"/>
    <x v="1"/>
    <n v="129827.08480000001"/>
    <n v="32"/>
    <x v="1"/>
    <n v="3034.43"/>
    <n v="4316.0600000000004"/>
    <n v="32725.324800000017"/>
    <s v="Returning"/>
    <n v="0.06"/>
    <s v="Credit Card"/>
    <s v="Retail"/>
    <x v="16"/>
  </r>
  <r>
    <n v="1089"/>
    <x v="348"/>
    <d v="2024-12-31T00:00:00"/>
    <x v="2"/>
    <s v="Dec"/>
    <x v="2"/>
    <x v="3"/>
    <n v="86603.742100000003"/>
    <n v="31"/>
    <x v="1"/>
    <n v="1172.4000000000001"/>
    <n v="3536.29"/>
    <n v="50259.342100000002"/>
    <s v="New"/>
    <n v="0.21"/>
    <s v="Bank Transfer"/>
    <s v="Retail"/>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71C650-5B93-4089-BAA3-30DD1A94F084}"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location ref="A3:G9" firstHeaderRow="1" firstDataRow="2" firstDataCol="1"/>
  <pivotFields count="18">
    <pivotField showAll="0"/>
    <pivotField showAll="0"/>
    <pivotField numFmtId="14" showAll="0"/>
    <pivotField multipleItemSelectionAllowed="1" showAll="0">
      <items count="4">
        <item x="0"/>
        <item x="1"/>
        <item x="2"/>
        <item t="default"/>
      </items>
    </pivotField>
    <pivotField showAll="0"/>
    <pivotField axis="axisCol" showAll="0">
      <items count="6">
        <item x="3"/>
        <item x="2"/>
        <item x="1"/>
        <item x="4"/>
        <item x="0"/>
        <item t="default"/>
      </items>
    </pivotField>
    <pivotField axis="axisRow" showAll="0">
      <items count="5">
        <item x="1"/>
        <item x="3"/>
        <item x="0"/>
        <item x="2"/>
        <item t="default"/>
      </items>
    </pivotField>
    <pivotField numFmtId="44" showAll="0"/>
    <pivotField dataField="1" numFmtId="1" showAll="0"/>
    <pivotField showAll="0"/>
    <pivotField numFmtId="44" showAll="0"/>
    <pivotField numFmtId="44" showAll="0"/>
    <pivotField numFmtId="44" showAll="0"/>
    <pivotField showAll="0"/>
    <pivotField numFmtId="9" showAll="0"/>
    <pivotField showAll="0"/>
    <pivotField showAll="0"/>
    <pivotField showAll="0"/>
  </pivotFields>
  <rowFields count="1">
    <field x="6"/>
  </rowFields>
  <rowItems count="5">
    <i>
      <x/>
    </i>
    <i>
      <x v="1"/>
    </i>
    <i>
      <x v="2"/>
    </i>
    <i>
      <x v="3"/>
    </i>
    <i t="grand">
      <x/>
    </i>
  </rowItems>
  <colFields count="1">
    <field x="5"/>
  </colFields>
  <colItems count="6">
    <i>
      <x/>
    </i>
    <i>
      <x v="1"/>
    </i>
    <i>
      <x v="2"/>
    </i>
    <i>
      <x v="3"/>
    </i>
    <i>
      <x v="4"/>
    </i>
    <i t="grand">
      <x/>
    </i>
  </colItems>
  <dataFields count="1">
    <dataField name="Sum of Quantity_Sold" fld="8" baseField="0" baseItem="0" numFmtId="1"/>
  </dataFields>
  <chartFormats count="2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3">
          <reference field="4294967294" count="1" selected="0">
            <x v="0"/>
          </reference>
          <reference field="5" count="1" selected="0">
            <x v="1"/>
          </reference>
          <reference field="6" count="1" selected="0">
            <x v="1"/>
          </reference>
        </references>
      </pivotArea>
    </chartFormat>
    <chartFormat chart="0" format="6" series="1">
      <pivotArea type="data" outline="0" fieldPosition="0">
        <references count="3">
          <reference field="4294967294" count="1" selected="0">
            <x v="0"/>
          </reference>
          <reference field="5" count="1" selected="0">
            <x v="1"/>
          </reference>
          <reference field="6" count="1" selected="0">
            <x v="2"/>
          </reference>
        </references>
      </pivotArea>
    </chartFormat>
    <chartFormat chart="0" format="7" series="1">
      <pivotArea type="data" outline="0" fieldPosition="0">
        <references count="3">
          <reference field="4294967294" count="1" selected="0">
            <x v="0"/>
          </reference>
          <reference field="5" count="1" selected="0">
            <x v="1"/>
          </reference>
          <reference field="6" count="1" selected="0">
            <x v="3"/>
          </reference>
        </references>
      </pivotArea>
    </chartFormat>
    <chartFormat chart="0" format="8" series="1">
      <pivotArea type="data" outline="0" fieldPosition="0">
        <references count="3">
          <reference field="4294967294" count="1" selected="0">
            <x v="0"/>
          </reference>
          <reference field="5" count="1" selected="0">
            <x v="2"/>
          </reference>
          <reference field="6" count="1" selected="0">
            <x v="0"/>
          </reference>
        </references>
      </pivotArea>
    </chartFormat>
    <chartFormat chart="0" format="9" series="1">
      <pivotArea type="data" outline="0" fieldPosition="0">
        <references count="3">
          <reference field="4294967294" count="1" selected="0">
            <x v="0"/>
          </reference>
          <reference field="5" count="1" selected="0">
            <x v="2"/>
          </reference>
          <reference field="6" count="1" selected="0">
            <x v="1"/>
          </reference>
        </references>
      </pivotArea>
    </chartFormat>
    <chartFormat chart="0" format="10" series="1">
      <pivotArea type="data" outline="0" fieldPosition="0">
        <references count="3">
          <reference field="4294967294" count="1" selected="0">
            <x v="0"/>
          </reference>
          <reference field="5" count="1" selected="0">
            <x v="2"/>
          </reference>
          <reference field="6" count="1" selected="0">
            <x v="2"/>
          </reference>
        </references>
      </pivotArea>
    </chartFormat>
    <chartFormat chart="0" format="11" series="1">
      <pivotArea type="data" outline="0" fieldPosition="0">
        <references count="3">
          <reference field="4294967294" count="1" selected="0">
            <x v="0"/>
          </reference>
          <reference field="5" count="1" selected="0">
            <x v="2"/>
          </reference>
          <reference field="6" count="1" selected="0">
            <x v="3"/>
          </reference>
        </references>
      </pivotArea>
    </chartFormat>
    <chartFormat chart="0" format="12" series="1">
      <pivotArea type="data" outline="0" fieldPosition="0">
        <references count="3">
          <reference field="4294967294" count="1" selected="0">
            <x v="0"/>
          </reference>
          <reference field="5" count="1" selected="0">
            <x v="3"/>
          </reference>
          <reference field="6" count="1" selected="0">
            <x v="0"/>
          </reference>
        </references>
      </pivotArea>
    </chartFormat>
    <chartFormat chart="0" format="13" series="1">
      <pivotArea type="data" outline="0" fieldPosition="0">
        <references count="3">
          <reference field="4294967294" count="1" selected="0">
            <x v="0"/>
          </reference>
          <reference field="5" count="1" selected="0">
            <x v="3"/>
          </reference>
          <reference field="6" count="1" selected="0">
            <x v="1"/>
          </reference>
        </references>
      </pivotArea>
    </chartFormat>
    <chartFormat chart="0" format="14" series="1">
      <pivotArea type="data" outline="0" fieldPosition="0">
        <references count="3">
          <reference field="4294967294" count="1" selected="0">
            <x v="0"/>
          </reference>
          <reference field="5" count="1" selected="0">
            <x v="3"/>
          </reference>
          <reference field="6" count="1" selected="0">
            <x v="2"/>
          </reference>
        </references>
      </pivotArea>
    </chartFormat>
    <chartFormat chart="0" format="15" series="1">
      <pivotArea type="data" outline="0" fieldPosition="0">
        <references count="3">
          <reference field="4294967294" count="1" selected="0">
            <x v="0"/>
          </reference>
          <reference field="5" count="1" selected="0">
            <x v="3"/>
          </reference>
          <reference field="6" count="1" selected="0">
            <x v="3"/>
          </reference>
        </references>
      </pivotArea>
    </chartFormat>
    <chartFormat chart="0" format="16" series="1">
      <pivotArea type="data" outline="0" fieldPosition="0">
        <references count="3">
          <reference field="4294967294" count="1" selected="0">
            <x v="0"/>
          </reference>
          <reference field="5" count="1" selected="0">
            <x v="4"/>
          </reference>
          <reference field="6" count="1" selected="0">
            <x v="0"/>
          </reference>
        </references>
      </pivotArea>
    </chartFormat>
    <chartFormat chart="0" format="17" series="1">
      <pivotArea type="data" outline="0" fieldPosition="0">
        <references count="3">
          <reference field="4294967294" count="1" selected="0">
            <x v="0"/>
          </reference>
          <reference field="5" count="1" selected="0">
            <x v="4"/>
          </reference>
          <reference field="6" count="1" selected="0">
            <x v="1"/>
          </reference>
        </references>
      </pivotArea>
    </chartFormat>
    <chartFormat chart="0" format="18" series="1">
      <pivotArea type="data" outline="0" fieldPosition="0">
        <references count="3">
          <reference field="4294967294" count="1" selected="0">
            <x v="0"/>
          </reference>
          <reference field="5" count="1" selected="0">
            <x v="4"/>
          </reference>
          <reference field="6" count="1" selected="0">
            <x v="2"/>
          </reference>
        </references>
      </pivotArea>
    </chartFormat>
    <chartFormat chart="0" format="19" series="1">
      <pivotArea type="data" outline="0" fieldPosition="0">
        <references count="3">
          <reference field="4294967294" count="1" selected="0">
            <x v="0"/>
          </reference>
          <reference field="5" count="1" selected="0">
            <x v="4"/>
          </reference>
          <reference field="6" count="1" selected="0">
            <x v="3"/>
          </reference>
        </references>
      </pivotArea>
    </chartFormat>
    <chartFormat chart="0" format="20" series="1">
      <pivotArea type="data" outline="0" fieldPosition="0">
        <references count="2">
          <reference field="4294967294" count="1" selected="0">
            <x v="0"/>
          </reference>
          <reference field="6" count="1" selected="0">
            <x v="0"/>
          </reference>
        </references>
      </pivotArea>
    </chartFormat>
    <chartFormat chart="0" format="21" series="1">
      <pivotArea type="data" outline="0" fieldPosition="0">
        <references count="2">
          <reference field="4294967294" count="1" selected="0">
            <x v="0"/>
          </reference>
          <reference field="6" count="1" selected="0">
            <x v="1"/>
          </reference>
        </references>
      </pivotArea>
    </chartFormat>
    <chartFormat chart="0" format="22" series="1">
      <pivotArea type="data" outline="0" fieldPosition="0">
        <references count="2">
          <reference field="4294967294" count="1" selected="0">
            <x v="0"/>
          </reference>
          <reference field="6" count="1" selected="0">
            <x v="2"/>
          </reference>
        </references>
      </pivotArea>
    </chartFormat>
    <chartFormat chart="0" format="23" series="1">
      <pivotArea type="data" outline="0" fieldPosition="0">
        <references count="2">
          <reference field="4294967294" count="1" selected="0">
            <x v="0"/>
          </reference>
          <reference field="6" count="1" selected="0">
            <x v="3"/>
          </reference>
        </references>
      </pivotArea>
    </chartFormat>
    <chartFormat chart="0" format="24" series="1">
      <pivotArea type="data" outline="0" fieldPosition="0">
        <references count="3">
          <reference field="4294967294" count="1" selected="0">
            <x v="0"/>
          </reference>
          <reference field="5"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D73D04-92C1-46B4-B8F6-8108BAA856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7" firstHeaderRow="1" firstDataRow="1" firstDataCol="1"/>
  <pivotFields count="15">
    <pivotField showAll="0"/>
    <pivotField showAll="0"/>
    <pivotField numFmtId="14" showAll="0"/>
    <pivotField axis="axisRow"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EDBFC8-41E0-4570-8F38-7D274E2024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7" firstHeaderRow="1" firstDataRow="1" firstDataCol="1"/>
  <pivotFields count="15">
    <pivotField showAll="0"/>
    <pivotField showAll="0"/>
    <pivotField numFmtId="14" showAll="0"/>
    <pivotField axis="axisRow"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5922E-5273-4AE7-8ED0-C31A595B43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7" firstHeaderRow="1" firstDataRow="1" firstDataCol="1"/>
  <pivotFields count="15">
    <pivotField showAll="0"/>
    <pivotField showAll="0"/>
    <pivotField numFmtId="14" showAll="0"/>
    <pivotField axis="axisRow"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DA7FA9-129E-4522-918E-940684FAFFC9}"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66:C467" firstHeaderRow="1" firstDataRow="1" firstDataCol="1"/>
  <pivotFields count="18">
    <pivotField showAll="0"/>
    <pivotField axis="axisRow" showAll="0">
      <items count="801">
        <item m="1" x="692"/>
        <item m="1" x="715"/>
        <item m="1" x="612"/>
        <item m="1" x="408"/>
        <item m="1" x="662"/>
        <item m="1" x="735"/>
        <item m="1" x="768"/>
        <item m="1" x="453"/>
        <item m="1" x="717"/>
        <item m="1" x="767"/>
        <item m="1" x="466"/>
        <item m="1" x="504"/>
        <item m="1" x="660"/>
        <item m="1" x="502"/>
        <item m="1" x="734"/>
        <item m="1" x="611"/>
        <item m="1" x="618"/>
        <item m="1" x="653"/>
        <item m="1" x="443"/>
        <item m="1" x="700"/>
        <item m="1" x="481"/>
        <item m="1" x="747"/>
        <item m="1" x="470"/>
        <item m="1" x="699"/>
        <item m="1" x="592"/>
        <item m="1" x="412"/>
        <item m="1" x="621"/>
        <item m="1" x="605"/>
        <item m="1" x="495"/>
        <item m="1" x="562"/>
        <item m="1" x="573"/>
        <item m="1" x="528"/>
        <item m="1" x="755"/>
        <item m="1" x="643"/>
        <item m="1" x="439"/>
        <item m="1" x="676"/>
        <item m="1" x="565"/>
        <item m="1" x="532"/>
        <item m="1" x="465"/>
        <item m="1" x="429"/>
        <item m="1" x="623"/>
        <item m="1" x="636"/>
        <item m="1" x="637"/>
        <item m="1" x="787"/>
        <item m="1" x="793"/>
        <item m="1" x="490"/>
        <item m="1" x="696"/>
        <item m="1" x="533"/>
        <item m="1" x="515"/>
        <item m="1" x="631"/>
        <item m="1" x="589"/>
        <item m="1" x="415"/>
        <item m="1" x="587"/>
        <item m="1" x="530"/>
        <item m="1" x="525"/>
        <item m="1" x="498"/>
        <item m="1" x="547"/>
        <item m="1" x="675"/>
        <item m="1" x="544"/>
        <item m="1" x="491"/>
        <item m="1" x="670"/>
        <item m="1" x="593"/>
        <item m="1" x="705"/>
        <item m="1" x="659"/>
        <item m="1" x="567"/>
        <item m="1" x="776"/>
        <item m="1" x="730"/>
        <item m="1" x="475"/>
        <item m="1" x="619"/>
        <item m="1" x="703"/>
        <item m="1" x="778"/>
        <item m="1" x="720"/>
        <item m="1" x="463"/>
        <item m="1" x="615"/>
        <item m="1" x="432"/>
        <item m="1" x="577"/>
        <item m="1" x="635"/>
        <item m="1" x="468"/>
        <item m="1" x="448"/>
        <item m="1" x="741"/>
        <item m="1" x="576"/>
        <item m="1" x="438"/>
        <item m="1" x="780"/>
        <item m="1" x="510"/>
        <item m="1" x="756"/>
        <item m="1" x="648"/>
        <item m="1" x="479"/>
        <item m="1" x="516"/>
        <item m="1" x="773"/>
        <item m="1" x="761"/>
        <item m="1" x="783"/>
        <item m="1" x="534"/>
        <item m="1" x="459"/>
        <item m="1" x="690"/>
        <item m="1" x="540"/>
        <item m="1" x="607"/>
        <item m="1" x="555"/>
        <item m="1" x="781"/>
        <item m="1" x="407"/>
        <item m="1" x="454"/>
        <item m="1" x="450"/>
        <item m="1" x="714"/>
        <item m="1" x="693"/>
        <item m="1" x="597"/>
        <item m="1" x="669"/>
        <item m="1" x="582"/>
        <item m="1" x="403"/>
        <item m="1" x="626"/>
        <item m="1" x="695"/>
        <item m="1" x="732"/>
        <item m="1" x="571"/>
        <item m="1" x="792"/>
        <item m="1" x="546"/>
        <item m="1" x="606"/>
        <item m="1" x="552"/>
        <item m="1" x="603"/>
        <item m="1" x="771"/>
        <item m="1" x="740"/>
        <item m="1" x="595"/>
        <item m="1" x="779"/>
        <item m="1" x="759"/>
        <item m="1" x="624"/>
        <item m="1" x="535"/>
        <item m="1" x="599"/>
        <item m="1" x="711"/>
        <item m="1" x="786"/>
        <item m="1" x="551"/>
        <item m="1" x="548"/>
        <item m="1" x="620"/>
        <item m="1" x="684"/>
        <item m="1" x="602"/>
        <item m="1" x="499"/>
        <item m="1" x="585"/>
        <item m="1" x="656"/>
        <item m="1" x="539"/>
        <item m="1" x="581"/>
        <item m="1" x="520"/>
        <item m="1" x="784"/>
        <item m="1" x="474"/>
        <item m="1" x="476"/>
        <item m="1" x="642"/>
        <item m="1" x="497"/>
        <item m="1" x="701"/>
        <item m="1" x="492"/>
        <item m="1" x="765"/>
        <item m="1" x="413"/>
        <item m="1" x="775"/>
        <item m="1" x="493"/>
        <item m="1" x="625"/>
        <item m="1" x="655"/>
        <item m="1" x="566"/>
        <item m="1" x="406"/>
        <item m="1" x="677"/>
        <item m="1" x="513"/>
        <item m="1" x="517"/>
        <item m="1" x="505"/>
        <item m="1" x="445"/>
        <item m="1" x="744"/>
        <item m="1" x="473"/>
        <item m="1" x="569"/>
        <item m="1" x="424"/>
        <item m="1" x="782"/>
        <item m="1" x="575"/>
        <item m="1" x="543"/>
        <item m="1" x="797"/>
        <item m="1" x="538"/>
        <item m="1" x="458"/>
        <item m="1" x="400"/>
        <item m="1" x="472"/>
        <item m="1" x="673"/>
        <item m="1" x="674"/>
        <item m="1" x="799"/>
        <item m="1" x="641"/>
        <item m="1" x="757"/>
        <item m="1" x="469"/>
        <item m="1" x="609"/>
        <item m="1" x="521"/>
        <item m="1" x="666"/>
        <item m="1" x="639"/>
        <item m="1" x="672"/>
        <item m="1" x="550"/>
        <item m="1" x="661"/>
        <item m="1" x="686"/>
        <item m="1" x="663"/>
        <item m="1" x="789"/>
        <item m="1" x="537"/>
        <item m="1" x="489"/>
        <item m="1" x="687"/>
        <item m="1" x="694"/>
        <item m="1" x="754"/>
        <item m="1" x="764"/>
        <item m="1" x="680"/>
        <item m="1" x="557"/>
        <item m="1" x="514"/>
        <item m="1" x="604"/>
        <item m="1" x="697"/>
        <item m="1" x="444"/>
        <item m="1" x="628"/>
        <item m="1" x="654"/>
        <item m="1" x="431"/>
        <item m="1" x="727"/>
        <item m="1" x="681"/>
        <item m="1" x="518"/>
        <item m="1" x="613"/>
        <item m="1" x="452"/>
        <item m="1" x="486"/>
        <item m="1" x="790"/>
        <item m="1" x="733"/>
        <item m="1" x="633"/>
        <item m="1" x="404"/>
        <item m="1" x="709"/>
        <item m="1" x="665"/>
        <item m="1" x="652"/>
        <item m="1" x="751"/>
        <item m="1" x="651"/>
        <item m="1" x="742"/>
        <item m="1" x="795"/>
        <item m="1" x="477"/>
        <item m="1" x="712"/>
        <item m="1" x="791"/>
        <item m="1" x="501"/>
        <item m="1" x="545"/>
        <item m="1" x="753"/>
        <item m="1" x="536"/>
        <item m="1" x="441"/>
        <item m="1" x="616"/>
        <item m="1" x="632"/>
        <item m="1" x="608"/>
        <item m="1" x="689"/>
        <item m="1" x="588"/>
        <item m="1" x="622"/>
        <item m="1" x="745"/>
        <item m="1" x="729"/>
        <item m="1" x="541"/>
        <item m="1" x="788"/>
        <item m="1" x="629"/>
        <item m="1" x="766"/>
        <item m="1" x="645"/>
        <item m="1" x="704"/>
        <item m="1" x="769"/>
        <item m="1" x="785"/>
        <item m="1" x="578"/>
        <item m="1" x="763"/>
        <item m="1" x="601"/>
        <item m="1" x="484"/>
        <item m="1" x="509"/>
        <item m="1" x="682"/>
        <item m="1" x="418"/>
        <item m="1" x="433"/>
        <item m="1" x="402"/>
        <item m="1" x="691"/>
        <item m="1" x="798"/>
        <item m="1" x="526"/>
        <item m="1" x="600"/>
        <item m="1" x="488"/>
        <item m="1" x="647"/>
        <item m="1" x="774"/>
        <item m="1" x="471"/>
        <item m="1" x="710"/>
        <item m="1" x="590"/>
        <item m="1" x="560"/>
        <item m="1" x="762"/>
        <item m="1" x="746"/>
        <item m="1" x="794"/>
        <item m="1" x="591"/>
        <item m="1" x="519"/>
        <item m="1" x="731"/>
        <item m="1" x="667"/>
        <item m="1" x="478"/>
        <item m="1" x="564"/>
        <item m="1" x="796"/>
        <item m="1" x="707"/>
        <item m="1" x="610"/>
        <item m="1" x="702"/>
        <item m="1" x="584"/>
        <item m="1" x="737"/>
        <item m="1" x="718"/>
        <item m="1" x="456"/>
        <item m="1" x="758"/>
        <item m="1" x="462"/>
        <item m="1" x="586"/>
        <item m="1" x="563"/>
        <item m="1" x="638"/>
        <item m="1" x="553"/>
        <item m="1" x="752"/>
        <item m="1" x="657"/>
        <item m="1" x="649"/>
        <item m="1" x="725"/>
        <item m="1" x="664"/>
        <item m="1" x="524"/>
        <item m="1" x="447"/>
        <item m="1" x="679"/>
        <item m="1" x="417"/>
        <item m="1" x="480"/>
        <item m="1" x="558"/>
        <item m="1" x="507"/>
        <item m="1" x="549"/>
        <item m="1" x="570"/>
        <item m="1" x="419"/>
        <item m="1" x="428"/>
        <item m="1" x="529"/>
        <item m="1" x="542"/>
        <item m="1" x="409"/>
        <item m="1" x="721"/>
        <item m="1" x="678"/>
        <item m="1" x="572"/>
        <item m="1" x="508"/>
        <item m="1" x="435"/>
        <item m="1" x="708"/>
        <item m="1" x="421"/>
        <item m="1" x="668"/>
        <item m="1" x="617"/>
        <item m="1" x="671"/>
        <item m="1" x="422"/>
        <item m="1" x="644"/>
        <item m="1" x="467"/>
        <item m="1" x="722"/>
        <item m="1" x="449"/>
        <item m="1" x="640"/>
        <item m="1" x="749"/>
        <item m="1" x="457"/>
        <item m="1" x="485"/>
        <item m="1" x="650"/>
        <item m="1" x="646"/>
        <item m="1" x="683"/>
        <item m="1" x="512"/>
        <item m="1" x="760"/>
        <item m="1" x="583"/>
        <item m="1" x="777"/>
        <item m="1" x="627"/>
        <item m="1" x="500"/>
        <item m="1" x="531"/>
        <item m="1" x="464"/>
        <item m="1" x="523"/>
        <item m="1" x="461"/>
        <item m="1" x="503"/>
        <item m="1" x="411"/>
        <item m="1" x="434"/>
        <item m="1" x="634"/>
        <item m="1" x="405"/>
        <item m="1" x="423"/>
        <item m="1" x="738"/>
        <item m="1" x="482"/>
        <item m="1" x="487"/>
        <item m="1" x="728"/>
        <item m="1" x="594"/>
        <item m="1" x="658"/>
        <item m="1" x="772"/>
        <item m="1" x="425"/>
        <item m="1" x="496"/>
        <item m="1" x="556"/>
        <item m="1" x="483"/>
        <item m="1" x="748"/>
        <item m="1" x="614"/>
        <item m="1" x="426"/>
        <item m="1" x="511"/>
        <item m="1" x="437"/>
        <item m="1" x="559"/>
        <item m="1" x="455"/>
        <item m="1" x="698"/>
        <item m="1" x="460"/>
        <item m="1" x="436"/>
        <item m="1" x="414"/>
        <item m="1" x="716"/>
        <item m="1" x="401"/>
        <item m="1" x="724"/>
        <item m="1" x="770"/>
        <item m="1" x="713"/>
        <item m="1" x="580"/>
        <item m="1" x="410"/>
        <item m="1" x="719"/>
        <item m="1" x="561"/>
        <item m="1" x="736"/>
        <item m="1" x="420"/>
        <item m="1" x="630"/>
        <item m="1" x="451"/>
        <item m="1" x="440"/>
        <item m="1" x="494"/>
        <item m="1" x="723"/>
        <item m="1" x="685"/>
        <item m="1" x="579"/>
        <item m="1" x="739"/>
        <item m="1" x="596"/>
        <item m="1" x="427"/>
        <item m="1" x="442"/>
        <item m="1" x="574"/>
        <item m="1" x="706"/>
        <item m="1" x="446"/>
        <item m="1" x="527"/>
        <item m="1" x="506"/>
        <item m="1" x="430"/>
        <item m="1" x="726"/>
        <item m="1" x="416"/>
        <item m="1" x="688"/>
        <item m="1" x="568"/>
        <item m="1" x="522"/>
        <item m="1" x="554"/>
        <item m="1" x="598"/>
        <item m="1" x="743"/>
        <item m="1" x="7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t="default"/>
      </items>
    </pivotField>
    <pivotField numFmtId="14" showAll="0"/>
    <pivotField showAll="0"/>
    <pivotField showAll="0"/>
    <pivotField showAll="0"/>
    <pivotField showAll="0"/>
    <pivotField numFmtId="44" showAll="0"/>
    <pivotField numFmtId="1" showAll="0"/>
    <pivotField showAll="0"/>
    <pivotField numFmtId="44" showAll="0"/>
    <pivotField numFmtId="44" showAll="0"/>
    <pivotField dataField="1" numFmtId="44" showAll="0"/>
    <pivotField showAll="0"/>
    <pivotField numFmtId="9" showAll="0"/>
    <pivotField showAll="0"/>
    <pivotField showAll="0"/>
    <pivotField showAll="0"/>
  </pivotFields>
  <rowFields count="1">
    <field x="1"/>
  </rowFields>
  <rowItems count="401">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t="grand">
      <x/>
    </i>
  </rowItems>
  <colItems count="1">
    <i/>
  </colItems>
  <dataFields count="1">
    <dataField name="Sum of Profit_Margin" fld="12"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487380-2CA7-4623-9712-E8EC7A32783B}" name="PivotTable1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T9:V25" firstHeaderRow="0" firstDataRow="1" firstDataCol="1"/>
  <pivotFields count="18">
    <pivotField showAll="0"/>
    <pivotField showAll="0"/>
    <pivotField numFmtId="14" showAll="0"/>
    <pivotField axis="axisRow" showAll="0">
      <items count="4">
        <item x="0"/>
        <item x="1"/>
        <item x="2"/>
        <item t="default"/>
      </items>
    </pivotField>
    <pivotField showAll="0"/>
    <pivotField showAll="0"/>
    <pivotField showAll="0"/>
    <pivotField numFmtId="44" showAll="0"/>
    <pivotField numFmtId="1" showAll="0"/>
    <pivotField axis="axisRow" showAll="0">
      <items count="5">
        <item x="1"/>
        <item x="2"/>
        <item x="3"/>
        <item x="0"/>
        <item t="default"/>
      </items>
    </pivotField>
    <pivotField dataField="1" numFmtId="44" showAll="0"/>
    <pivotField dataField="1" numFmtId="44" showAll="0"/>
    <pivotField numFmtId="44" showAll="0"/>
    <pivotField showAll="0"/>
    <pivotField numFmtId="9" showAll="0"/>
    <pivotField showAll="0"/>
    <pivotField showAll="0"/>
    <pivotField showAll="0"/>
  </pivotFields>
  <rowFields count="2">
    <field x="3"/>
    <field x="9"/>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Average of Unit_Cost" fld="10" subtotal="average" baseField="3" baseItem="1" numFmtId="44"/>
    <dataField name="Average of Unit_Price" fld="11" subtotal="average" baseField="3" baseItem="1"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CC56E0-7229-4E09-BF00-A401E424AC4D}" name="PivotTable10"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Z3:AB7" firstHeaderRow="0" firstDataRow="1" firstDataCol="1"/>
  <pivotFields count="18">
    <pivotField showAll="0"/>
    <pivotField showAll="0"/>
    <pivotField numFmtId="14" showAll="0"/>
    <pivotField axis="axisRow" showAll="0">
      <items count="4">
        <item x="0"/>
        <item x="1"/>
        <item x="2"/>
        <item t="default"/>
      </items>
    </pivotField>
    <pivotField showAll="0"/>
    <pivotField showAll="0"/>
    <pivotField showAll="0"/>
    <pivotField numFmtId="44" showAll="0"/>
    <pivotField numFmtId="1" showAll="0"/>
    <pivotField showAll="0"/>
    <pivotField dataField="1" numFmtId="44" showAll="0"/>
    <pivotField dataField="1" numFmtId="44" showAll="0"/>
    <pivotField numFmtId="44" showAll="0"/>
    <pivotField showAll="0"/>
    <pivotField numFmtId="9" showAll="0"/>
    <pivotField showAll="0"/>
    <pivotField showAll="0"/>
    <pivotField showAll="0"/>
  </pivotFields>
  <rowFields count="1">
    <field x="3"/>
  </rowFields>
  <rowItems count="4">
    <i>
      <x/>
    </i>
    <i>
      <x v="1"/>
    </i>
    <i>
      <x v="2"/>
    </i>
    <i t="grand">
      <x/>
    </i>
  </rowItems>
  <colFields count="1">
    <field x="-2"/>
  </colFields>
  <colItems count="2">
    <i>
      <x/>
    </i>
    <i i="1">
      <x v="1"/>
    </i>
  </colItems>
  <dataFields count="2">
    <dataField name="Average of Unit_Cost" fld="10" subtotal="average" baseField="3" baseItem="1" numFmtId="44"/>
    <dataField name="Average of Unit_Price" fld="11" subtotal="average" baseField="3" baseItem="1"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36C81D-C566-488B-AED1-1B19F659F51B}" name="PivotTable2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20:E42" firstHeaderRow="1" firstDataRow="2" firstDataCol="1"/>
  <pivotFields count="18">
    <pivotField showAll="0"/>
    <pivotField showAll="0"/>
    <pivotField numFmtId="14" showAll="0"/>
    <pivotField axis="axisCol" showAll="0">
      <items count="4">
        <item h="1" x="0"/>
        <item x="1"/>
        <item x="2"/>
        <item t="default"/>
      </items>
    </pivotField>
    <pivotField showAll="0"/>
    <pivotField showAll="0"/>
    <pivotField showAll="0"/>
    <pivotField numFmtId="44" showAll="0"/>
    <pivotField numFmtId="1" showAll="0"/>
    <pivotField showAll="0"/>
    <pivotField numFmtId="44" showAll="0"/>
    <pivotField numFmtId="44" showAll="0"/>
    <pivotField dataField="1" numFmtId="44" showAll="0"/>
    <pivotField showAll="0"/>
    <pivotField numFmtId="9" showAll="0"/>
    <pivotField showAll="0"/>
    <pivotField showAll="0"/>
    <pivotField axis="axisRow" showAll="0" sortType="ascending">
      <items count="41">
        <item x="16"/>
        <item x="4"/>
        <item x="11"/>
        <item x="9"/>
        <item x="8"/>
        <item x="3"/>
        <item x="18"/>
        <item x="14"/>
        <item x="1"/>
        <item x="7"/>
        <item x="10"/>
        <item x="15"/>
        <item x="6"/>
        <item x="12"/>
        <item x="13"/>
        <item x="17"/>
        <item m="1" x="36"/>
        <item m="1" x="28"/>
        <item m="1" x="21"/>
        <item m="1" x="26"/>
        <item m="1" x="39"/>
        <item x="19"/>
        <item x="5"/>
        <item x="0"/>
        <item x="2"/>
        <item m="1" x="24"/>
        <item m="1" x="23"/>
        <item m="1" x="27"/>
        <item m="1" x="32"/>
        <item m="1" x="25"/>
        <item m="1" x="31"/>
        <item m="1" x="38"/>
        <item m="1" x="30"/>
        <item m="1" x="33"/>
        <item m="1" x="20"/>
        <item m="1" x="29"/>
        <item m="1" x="34"/>
        <item m="1" x="35"/>
        <item m="1" x="37"/>
        <item m="1" x="22"/>
        <item t="default"/>
      </items>
    </pivotField>
  </pivotFields>
  <rowFields count="1">
    <field x="17"/>
  </rowFields>
  <rowItems count="21">
    <i>
      <x/>
    </i>
    <i>
      <x v="1"/>
    </i>
    <i>
      <x v="2"/>
    </i>
    <i>
      <x v="3"/>
    </i>
    <i>
      <x v="4"/>
    </i>
    <i>
      <x v="5"/>
    </i>
    <i>
      <x v="6"/>
    </i>
    <i>
      <x v="7"/>
    </i>
    <i>
      <x v="8"/>
    </i>
    <i>
      <x v="9"/>
    </i>
    <i>
      <x v="10"/>
    </i>
    <i>
      <x v="11"/>
    </i>
    <i>
      <x v="12"/>
    </i>
    <i>
      <x v="13"/>
    </i>
    <i>
      <x v="14"/>
    </i>
    <i>
      <x v="15"/>
    </i>
    <i>
      <x v="21"/>
    </i>
    <i>
      <x v="22"/>
    </i>
    <i>
      <x v="23"/>
    </i>
    <i>
      <x v="24"/>
    </i>
    <i t="grand">
      <x/>
    </i>
  </rowItems>
  <colFields count="1">
    <field x="3"/>
  </colFields>
  <colItems count="3">
    <i>
      <x v="1"/>
    </i>
    <i>
      <x v="2"/>
    </i>
    <i t="grand">
      <x/>
    </i>
  </colItems>
  <dataFields count="1">
    <dataField name="Sum of Profit_Margin" fld="12"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875E2-E383-46BE-8495-FA4FB9450CE0}" autoFormatId="16" applyNumberFormats="0" applyBorderFormats="0" applyFontFormats="0" applyPatternFormats="0" applyAlignmentFormats="0" applyWidthHeightFormats="0">
  <queryTableRefresh nextId="17">
    <queryTableFields count="13">
      <queryTableField id="1" name="Product_ID" tableColumnId="1"/>
      <queryTableField id="2" name="Sale_Date" tableColumnId="2"/>
      <queryTableField id="3" name="Sales_Rep" tableColumnId="3"/>
      <queryTableField id="4" name="Region" tableColumnId="4"/>
      <queryTableField id="5" name="Sales_Amount" tableColumnId="5"/>
      <queryTableField id="6" name="Quantity_Sold" tableColumnId="6"/>
      <queryTableField id="7" name="Product_Category" tableColumnId="7"/>
      <queryTableField id="8" name="Unit_Cost" tableColumnId="8"/>
      <queryTableField id="9" name="Unit_Price" tableColumnId="9"/>
      <queryTableField id="10" name="Customer_Type" tableColumnId="10"/>
      <queryTableField id="11" name="Discount" tableColumnId="11"/>
      <queryTableField id="12" name="Payment_Method" tableColumnId="12"/>
      <queryTableField id="13" name="Sales_Channel" tableColumnId="13"/>
    </queryTableFields>
    <queryTableDeletedFields count="2">
      <deletedField name="Region_and_Sales_Rep"/>
      <deletedField name="Region_and_Sales_Re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A065176-6175-411B-9E37-E26B01EEABE9}" sourceName="Year">
  <pivotTables>
    <pivotTable tabId="22" name="PivotTable1"/>
  </pivotTables>
  <data>
    <tabular pivotCacheId="21903295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87B10034-C1C2-4276-9AEA-B0A973B00206}" sourceName="Sales_Rep">
  <pivotTables>
    <pivotTable tabId="22" name="PivotTable1"/>
  </pivotTables>
  <data>
    <tabular pivotCacheId="219032959">
      <items count="5">
        <i x="3" s="1"/>
        <i x="2" s="1"/>
        <i x="1"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EB6B39A-24BC-4AF6-A201-8FC43322CD24}" cache="Slicer_Year" caption="Year" style="SlicerStyleDark1" rowHeight="251883"/>
  <slicer name="Sales_Rep" xr10:uid="{516E3833-415D-4F70-9362-9742AAA0D8CE}" cache="Slicer_Sales_Rep" caption="Sales_Rep" style="SlicerStyleDark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751BE7-16AB-4E9C-B176-3C1DA590979F}" name="sales_data" displayName="sales_data" ref="A1:M3204" tableType="queryTable" totalsRowShown="0">
  <autoFilter ref="A1:M3204" xr:uid="{33751BE7-16AB-4E9C-B176-3C1DA590979F}"/>
  <tableColumns count="13">
    <tableColumn id="1" xr3:uid="{CF47590F-1C8E-4DE7-B9CD-35807FFC7A62}" uniqueName="1" name="Product_ID" queryTableFieldId="1"/>
    <tableColumn id="2" xr3:uid="{B14DCBA6-EDCA-4879-BACF-72DA562103E5}" uniqueName="2" name="Sale_Date" queryTableFieldId="2" dataDxfId="32"/>
    <tableColumn id="3" xr3:uid="{13EB3460-63EF-4585-9BF1-5F37D06B082E}" uniqueName="3" name="Sales_Rep" queryTableFieldId="3" dataDxfId="31"/>
    <tableColumn id="4" xr3:uid="{72E05434-F75A-44AD-8783-C7323051312E}" uniqueName="4" name="Region" queryTableFieldId="4" dataDxfId="30"/>
    <tableColumn id="5" xr3:uid="{7992C510-56AA-4C95-9E43-A807FF5F2EE8}" uniqueName="5" name="Sales_Amount" queryTableFieldId="5"/>
    <tableColumn id="6" xr3:uid="{9C1ABA47-4CB9-4B04-A5E1-977A2332991F}" uniqueName="6" name="Quantity_Sold" queryTableFieldId="6"/>
    <tableColumn id="7" xr3:uid="{F1104286-13FA-4816-A2FA-1BE342728010}" uniqueName="7" name="Product_Category" queryTableFieldId="7" dataDxfId="29"/>
    <tableColumn id="8" xr3:uid="{75581BB3-4347-426E-A673-E39066A0171F}" uniqueName="8" name="Unit_Cost" queryTableFieldId="8"/>
    <tableColumn id="9" xr3:uid="{71F42931-B6C0-449D-9BCE-232787A9DF9C}" uniqueName="9" name="Unit_Price" queryTableFieldId="9"/>
    <tableColumn id="10" xr3:uid="{7DD802A3-3AD9-479B-AF11-3C14587E9E77}" uniqueName="10" name="Customer_Type" queryTableFieldId="10" dataDxfId="28"/>
    <tableColumn id="11" xr3:uid="{6B302918-CE1F-4F12-B42A-5C14A0CD2E12}" uniqueName="11" name="Discount" queryTableFieldId="11"/>
    <tableColumn id="12" xr3:uid="{E234B97F-AFFF-46DE-BBCE-2930EE9664C9}" uniqueName="12" name="Payment_Method" queryTableFieldId="12" dataDxfId="27"/>
    <tableColumn id="13" xr3:uid="{2E30C8F4-8382-469D-B403-A839230423C9}" uniqueName="13" name="Sales_Channel" queryTableFieldId="13"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37AFD-D79C-47E0-B9C9-607296365087}" name="sales_data_1" displayName="sales_data_1" ref="A1:T3204" totalsRowShown="0" headerRowDxfId="25" headerRowBorderDxfId="24" tableBorderDxfId="23" totalsRowBorderDxfId="22">
  <autoFilter ref="A1:T3204" xr:uid="{64826E84-8079-42F7-A4E7-228394DB227F}"/>
  <sortState xmlns:xlrd2="http://schemas.microsoft.com/office/spreadsheetml/2017/richdata2" ref="B2:S3204">
    <sortCondition ref="D1:D3204"/>
  </sortState>
  <tableColumns count="20">
    <tableColumn id="19" xr3:uid="{A7FF580A-9BD8-43B8-AB4D-0B7F217E6700}" name="Index" dataDxfId="21"/>
    <tableColumn id="1" xr3:uid="{F9E8233F-B777-41D3-826D-8A073BC16688}" name="Product_ID" dataDxfId="20"/>
    <tableColumn id="2" xr3:uid="{462CF1B1-F487-4C7F-A7AA-17CDE4471BF4}" name="new_product_id" dataDxfId="19">
      <calculatedColumnFormula>IFERROR(_xlfn.TEXTJOIN("-", TRUE, _xlfn.XLOOKUP(K2, product_category_id_lookup!$A$2:$A$5, product_category_id_lookup!$B$2:$B$5), B2), "Unknown Category")</calculatedColumnFormula>
    </tableColumn>
    <tableColumn id="3" xr3:uid="{901EEA92-469B-44E9-B605-43A2006FC0B9}" name="Sale_Date" dataDxfId="18"/>
    <tableColumn id="4" xr3:uid="{1F61984E-4041-4968-9794-EA1B0727D546}" name="Year" dataDxfId="17">
      <calculatedColumnFormula>YEAR(D2)</calculatedColumnFormula>
    </tableColumn>
    <tableColumn id="5" xr3:uid="{907FE7E8-E1AA-4ABA-88D4-56850BE09147}" name="month" dataDxfId="16">
      <calculatedColumnFormula>LEFT(TEXT(D2,"mmmm"),3)</calculatedColumnFormula>
    </tableColumn>
    <tableColumn id="6" xr3:uid="{CCB297D4-38FC-41BD-8827-0099061235C6}" name="Sales_Rep" dataDxfId="15"/>
    <tableColumn id="7" xr3:uid="{E3F408F4-B1CA-43E9-A061-0155768D365E}" name="Region" dataDxfId="14"/>
    <tableColumn id="8" xr3:uid="{08622DAE-6D20-4D46-91D8-6ADDBD3758D8}" name="Sales_Amount" dataDxfId="13"/>
    <tableColumn id="9" xr3:uid="{E357FA97-3286-48FF-9E07-73688505760D}" name="Quantity_Sold" dataDxfId="12"/>
    <tableColumn id="10" xr3:uid="{C2D264B3-5A4A-4371-A087-25D499323384}" name="Product_Category" dataDxfId="11"/>
    <tableColumn id="11" xr3:uid="{864F9BCC-FADC-470F-8FD0-809D0A75DF92}" name="Unit_Cost" dataDxfId="10"/>
    <tableColumn id="12" xr3:uid="{EC2D29FD-B08B-49EF-89DE-42FB6527A269}" name="Unit_Price" dataDxfId="9"/>
    <tableColumn id="18" xr3:uid="{9B1461CA-E982-4584-B1CC-F1432C092D93}" name="Profit_Margin" dataDxfId="8">
      <calculatedColumnFormula>((sales_data_1[[#This Row],[Unit_Price]]*(1-sales_data_1[[#This Row],[Discount]]))-sales_data_1[[#This Row],[Unit_Cost]])*sales_data_1[[#This Row],[Quantity_Sold]]</calculatedColumnFormula>
    </tableColumn>
    <tableColumn id="13" xr3:uid="{9C29FF66-3FB5-4368-9593-3930CA172A1B}" name="Customer_Type" dataDxfId="7"/>
    <tableColumn id="14" xr3:uid="{F7581E6C-23BA-435D-A46E-42BDCC2F00E0}" name="Discount" dataDxfId="6" dataCellStyle="Per cent"/>
    <tableColumn id="15" xr3:uid="{73AE7010-ADF1-4831-ACCA-52132406AE2E}" name="Payment_Method" dataDxfId="5"/>
    <tableColumn id="16" xr3:uid="{58BD35C8-0D91-4B05-BD69-7E022184CD2E}" name="Sales_Channel" dataDxfId="4"/>
    <tableColumn id="17" xr3:uid="{139E96A2-1861-453B-8C03-AD6E8D1E3E2B}" name="Region_and_Sales_Rep" dataDxfId="3">
      <calculatedColumnFormula>_xlfn.CONCAT(G2,"-",H2)</calculatedColumnFormula>
    </tableColumn>
    <tableColumn id="20" xr3:uid="{56CCE376-8DD7-4778-92C7-B3683A67FA62}" name="QA_Check" dataDxfId="2">
      <calculatedColumnFormula>IF(ROUND(sales_data_1[[#This Row],[Profit_Margin]],2)=ROUND((sales_data_1[[#This Row],[Unit_Price]]*(1-sales_data_1[[#This Row],[Discount]]) - sales_data_1[[#This Row],[Unit_Cost]])*sales_data_1[[#This Row],[Quantity_Sold]],2), "PASS", "CHECK")</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7A25-73C8-4DE4-82FF-4439791EDF06}">
  <dimension ref="A1:M3204"/>
  <sheetViews>
    <sheetView workbookViewId="0">
      <selection activeCell="I3" sqref="I3"/>
    </sheetView>
  </sheetViews>
  <sheetFormatPr defaultRowHeight="14.5" x14ac:dyDescent="0.35"/>
  <cols>
    <col min="1" max="1" width="12.6328125" bestFit="1" customWidth="1"/>
    <col min="2" max="2" width="11.81640625" bestFit="1" customWidth="1"/>
    <col min="3" max="3" width="12.08984375" bestFit="1" customWidth="1"/>
    <col min="4" max="4" width="9.26953125" bestFit="1" customWidth="1"/>
    <col min="5" max="5" width="15.54296875" bestFit="1" customWidth="1"/>
    <col min="6" max="6" width="15.36328125" bestFit="1" customWidth="1"/>
    <col min="7" max="7" width="18.81640625" bestFit="1" customWidth="1"/>
    <col min="8" max="8" width="11.7265625" bestFit="1" customWidth="1"/>
    <col min="9" max="9" width="12" bestFit="1" customWidth="1"/>
    <col min="10" max="10" width="16.90625" bestFit="1" customWidth="1"/>
    <col min="11" max="11" width="11" bestFit="1" customWidth="1"/>
    <col min="12" max="12" width="18.26953125" bestFit="1" customWidth="1"/>
    <col min="13" max="13" width="16.08984375" bestFit="1" customWidth="1"/>
    <col min="14" max="14" width="11"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1042</v>
      </c>
      <c r="B2" s="1">
        <v>44562</v>
      </c>
      <c r="C2" t="s">
        <v>32</v>
      </c>
      <c r="D2" t="s">
        <v>23</v>
      </c>
      <c r="E2">
        <v>166149.79999999999</v>
      </c>
      <c r="F2">
        <v>34</v>
      </c>
      <c r="G2" t="s">
        <v>16</v>
      </c>
      <c r="H2">
        <v>4831.3500000000004</v>
      </c>
      <c r="I2">
        <v>4936.12</v>
      </c>
      <c r="J2" t="s">
        <v>17</v>
      </c>
      <c r="K2">
        <v>0.01</v>
      </c>
      <c r="L2" t="s">
        <v>28</v>
      </c>
      <c r="M2" t="s">
        <v>21</v>
      </c>
    </row>
    <row r="3" spans="1:13" x14ac:dyDescent="0.35">
      <c r="A3">
        <v>1092</v>
      </c>
      <c r="B3" s="1">
        <v>44562</v>
      </c>
      <c r="C3" t="s">
        <v>29</v>
      </c>
      <c r="D3" t="s">
        <v>30</v>
      </c>
      <c r="E3">
        <v>4685.29</v>
      </c>
      <c r="F3">
        <v>3</v>
      </c>
      <c r="G3" t="s">
        <v>26</v>
      </c>
      <c r="H3">
        <v>178.88</v>
      </c>
      <c r="I3">
        <v>1754.79</v>
      </c>
      <c r="J3" t="s">
        <v>27</v>
      </c>
      <c r="K3">
        <v>0.11</v>
      </c>
      <c r="L3" t="s">
        <v>25</v>
      </c>
      <c r="M3" t="s">
        <v>21</v>
      </c>
    </row>
    <row r="4" spans="1:13" x14ac:dyDescent="0.35">
      <c r="A4">
        <v>1063</v>
      </c>
      <c r="B4" s="1">
        <v>44562</v>
      </c>
      <c r="C4" t="s">
        <v>32</v>
      </c>
      <c r="D4" t="s">
        <v>20</v>
      </c>
      <c r="E4">
        <v>11096.2</v>
      </c>
      <c r="F4">
        <v>6</v>
      </c>
      <c r="G4" t="s">
        <v>31</v>
      </c>
      <c r="H4">
        <v>380.57</v>
      </c>
      <c r="I4">
        <v>2340.9699999999998</v>
      </c>
      <c r="J4" t="s">
        <v>27</v>
      </c>
      <c r="K4">
        <v>0.21</v>
      </c>
      <c r="L4" t="s">
        <v>18</v>
      </c>
      <c r="M4" t="s">
        <v>21</v>
      </c>
    </row>
    <row r="5" spans="1:13" x14ac:dyDescent="0.35">
      <c r="A5">
        <v>1027</v>
      </c>
      <c r="B5" s="1">
        <v>44562</v>
      </c>
      <c r="C5" t="s">
        <v>14</v>
      </c>
      <c r="D5" t="s">
        <v>15</v>
      </c>
      <c r="E5">
        <v>10712.79</v>
      </c>
      <c r="F5">
        <v>5</v>
      </c>
      <c r="G5" t="s">
        <v>24</v>
      </c>
      <c r="H5">
        <v>263.35000000000002</v>
      </c>
      <c r="I5">
        <v>2380.62</v>
      </c>
      <c r="J5" t="s">
        <v>17</v>
      </c>
      <c r="K5">
        <v>0.1</v>
      </c>
      <c r="L5" t="s">
        <v>25</v>
      </c>
      <c r="M5" t="s">
        <v>21</v>
      </c>
    </row>
    <row r="6" spans="1:13" x14ac:dyDescent="0.35">
      <c r="A6">
        <v>1053</v>
      </c>
      <c r="B6" s="1">
        <v>44562</v>
      </c>
      <c r="C6" t="s">
        <v>29</v>
      </c>
      <c r="D6" t="s">
        <v>30</v>
      </c>
      <c r="E6">
        <v>74506.820000000007</v>
      </c>
      <c r="F6">
        <v>27</v>
      </c>
      <c r="G6" t="s">
        <v>31</v>
      </c>
      <c r="H6">
        <v>1172.99</v>
      </c>
      <c r="I6">
        <v>3449.39</v>
      </c>
      <c r="J6" t="s">
        <v>17</v>
      </c>
      <c r="K6">
        <v>0.2</v>
      </c>
      <c r="L6" t="s">
        <v>18</v>
      </c>
      <c r="M6" t="s">
        <v>19</v>
      </c>
    </row>
    <row r="7" spans="1:13" x14ac:dyDescent="0.35">
      <c r="A7">
        <v>1085</v>
      </c>
      <c r="B7" s="1">
        <v>44563</v>
      </c>
      <c r="C7" t="s">
        <v>33</v>
      </c>
      <c r="D7" t="s">
        <v>15</v>
      </c>
      <c r="E7">
        <v>13032.78</v>
      </c>
      <c r="F7">
        <v>40</v>
      </c>
      <c r="G7" t="s">
        <v>16</v>
      </c>
      <c r="H7">
        <v>192.71</v>
      </c>
      <c r="I7">
        <v>378.86</v>
      </c>
      <c r="J7" t="s">
        <v>17</v>
      </c>
      <c r="K7">
        <v>0.14000000000000001</v>
      </c>
      <c r="L7" t="s">
        <v>25</v>
      </c>
      <c r="M7" t="s">
        <v>19</v>
      </c>
    </row>
    <row r="8" spans="1:13" x14ac:dyDescent="0.35">
      <c r="A8">
        <v>1038</v>
      </c>
      <c r="B8" s="1">
        <v>44563</v>
      </c>
      <c r="C8" t="s">
        <v>32</v>
      </c>
      <c r="D8" t="s">
        <v>15</v>
      </c>
      <c r="E8">
        <v>25738.45</v>
      </c>
      <c r="F8">
        <v>7</v>
      </c>
      <c r="G8" t="s">
        <v>16</v>
      </c>
      <c r="H8">
        <v>438.38</v>
      </c>
      <c r="I8">
        <v>3751.96</v>
      </c>
      <c r="J8" t="s">
        <v>17</v>
      </c>
      <c r="K8">
        <v>0.02</v>
      </c>
      <c r="L8" t="s">
        <v>25</v>
      </c>
      <c r="M8" t="s">
        <v>21</v>
      </c>
    </row>
    <row r="9" spans="1:13" x14ac:dyDescent="0.35">
      <c r="A9">
        <v>1025</v>
      </c>
      <c r="B9" s="1">
        <v>44563</v>
      </c>
      <c r="C9" t="s">
        <v>22</v>
      </c>
      <c r="D9" t="s">
        <v>30</v>
      </c>
      <c r="E9">
        <v>139348.23000000001</v>
      </c>
      <c r="F9">
        <v>46</v>
      </c>
      <c r="G9" t="s">
        <v>24</v>
      </c>
      <c r="H9">
        <v>689.7</v>
      </c>
      <c r="I9">
        <v>3883.73</v>
      </c>
      <c r="J9" t="s">
        <v>17</v>
      </c>
      <c r="K9">
        <v>0.22</v>
      </c>
      <c r="L9" t="s">
        <v>28</v>
      </c>
      <c r="M9" t="s">
        <v>21</v>
      </c>
    </row>
    <row r="10" spans="1:13" x14ac:dyDescent="0.35">
      <c r="A10">
        <v>1001</v>
      </c>
      <c r="B10" s="1">
        <v>44563</v>
      </c>
      <c r="C10" t="s">
        <v>14</v>
      </c>
      <c r="D10" t="s">
        <v>15</v>
      </c>
      <c r="E10">
        <v>167477.29</v>
      </c>
      <c r="F10">
        <v>38</v>
      </c>
      <c r="G10" t="s">
        <v>16</v>
      </c>
      <c r="H10">
        <v>252.49</v>
      </c>
      <c r="I10">
        <v>4639.26</v>
      </c>
      <c r="J10" t="s">
        <v>17</v>
      </c>
      <c r="K10">
        <v>0.05</v>
      </c>
      <c r="L10" t="s">
        <v>25</v>
      </c>
      <c r="M10" t="s">
        <v>21</v>
      </c>
    </row>
    <row r="11" spans="1:13" x14ac:dyDescent="0.35">
      <c r="A11">
        <v>1076</v>
      </c>
      <c r="B11" s="1">
        <v>44564</v>
      </c>
      <c r="C11" t="s">
        <v>29</v>
      </c>
      <c r="D11" t="s">
        <v>15</v>
      </c>
      <c r="E11">
        <v>9721.1</v>
      </c>
      <c r="F11">
        <v>5</v>
      </c>
      <c r="G11" t="s">
        <v>24</v>
      </c>
      <c r="H11">
        <v>1014.39</v>
      </c>
      <c r="I11">
        <v>2209.34</v>
      </c>
      <c r="J11" t="s">
        <v>17</v>
      </c>
      <c r="K11">
        <v>0.12</v>
      </c>
      <c r="L11" t="s">
        <v>18</v>
      </c>
      <c r="M11" t="s">
        <v>19</v>
      </c>
    </row>
    <row r="12" spans="1:13" x14ac:dyDescent="0.35">
      <c r="A12">
        <v>1093</v>
      </c>
      <c r="B12" s="1">
        <v>44564</v>
      </c>
      <c r="C12" t="s">
        <v>14</v>
      </c>
      <c r="D12" t="s">
        <v>15</v>
      </c>
      <c r="E12">
        <v>129259.32</v>
      </c>
      <c r="F12">
        <v>29</v>
      </c>
      <c r="G12" t="s">
        <v>31</v>
      </c>
      <c r="H12">
        <v>4192.33</v>
      </c>
      <c r="I12">
        <v>4608.8100000000004</v>
      </c>
      <c r="J12" t="s">
        <v>27</v>
      </c>
      <c r="K12">
        <v>0.03</v>
      </c>
      <c r="L12" t="s">
        <v>18</v>
      </c>
      <c r="M12" t="s">
        <v>19</v>
      </c>
    </row>
    <row r="13" spans="1:13" x14ac:dyDescent="0.35">
      <c r="A13">
        <v>1085</v>
      </c>
      <c r="B13" s="1">
        <v>44564</v>
      </c>
      <c r="C13" t="s">
        <v>14</v>
      </c>
      <c r="D13" t="s">
        <v>30</v>
      </c>
      <c r="E13">
        <v>78482.59</v>
      </c>
      <c r="F13">
        <v>32</v>
      </c>
      <c r="G13" t="s">
        <v>26</v>
      </c>
      <c r="H13">
        <v>1235.78</v>
      </c>
      <c r="I13">
        <v>3359.7</v>
      </c>
      <c r="J13" t="s">
        <v>27</v>
      </c>
      <c r="K13">
        <v>0.27</v>
      </c>
      <c r="L13" t="s">
        <v>28</v>
      </c>
      <c r="M13" t="s">
        <v>21</v>
      </c>
    </row>
    <row r="14" spans="1:13" x14ac:dyDescent="0.35">
      <c r="A14">
        <v>1007</v>
      </c>
      <c r="B14" s="1">
        <v>44564</v>
      </c>
      <c r="C14" t="s">
        <v>33</v>
      </c>
      <c r="D14" t="s">
        <v>20</v>
      </c>
      <c r="E14">
        <v>78764.09</v>
      </c>
      <c r="F14">
        <v>18</v>
      </c>
      <c r="G14" t="s">
        <v>31</v>
      </c>
      <c r="H14">
        <v>613.42999999999995</v>
      </c>
      <c r="I14">
        <v>4916.6099999999997</v>
      </c>
      <c r="J14" t="s">
        <v>17</v>
      </c>
      <c r="K14">
        <v>0.11</v>
      </c>
      <c r="L14" t="s">
        <v>28</v>
      </c>
      <c r="M14" t="s">
        <v>21</v>
      </c>
    </row>
    <row r="15" spans="1:13" x14ac:dyDescent="0.35">
      <c r="A15">
        <v>1037</v>
      </c>
      <c r="B15" s="1">
        <v>44565</v>
      </c>
      <c r="C15" t="s">
        <v>14</v>
      </c>
      <c r="D15" t="s">
        <v>15</v>
      </c>
      <c r="E15">
        <v>72898.77</v>
      </c>
      <c r="F15">
        <v>25</v>
      </c>
      <c r="G15" t="s">
        <v>31</v>
      </c>
      <c r="H15">
        <v>2748.89</v>
      </c>
      <c r="I15">
        <v>3471.37</v>
      </c>
      <c r="J15" t="s">
        <v>17</v>
      </c>
      <c r="K15">
        <v>0.16</v>
      </c>
      <c r="L15" t="s">
        <v>18</v>
      </c>
      <c r="M15" t="s">
        <v>19</v>
      </c>
    </row>
    <row r="16" spans="1:13" x14ac:dyDescent="0.35">
      <c r="A16">
        <v>1091</v>
      </c>
      <c r="B16" s="1">
        <v>44565</v>
      </c>
      <c r="C16" t="s">
        <v>29</v>
      </c>
      <c r="D16" t="s">
        <v>23</v>
      </c>
      <c r="E16">
        <v>30939.05</v>
      </c>
      <c r="F16">
        <v>13</v>
      </c>
      <c r="G16" t="s">
        <v>24</v>
      </c>
      <c r="H16">
        <v>1357.52</v>
      </c>
      <c r="I16">
        <v>2902.35</v>
      </c>
      <c r="J16" t="s">
        <v>27</v>
      </c>
      <c r="K16">
        <v>0.18</v>
      </c>
      <c r="L16" t="s">
        <v>28</v>
      </c>
      <c r="M16" t="s">
        <v>19</v>
      </c>
    </row>
    <row r="17" spans="1:13" x14ac:dyDescent="0.35">
      <c r="A17">
        <v>1013</v>
      </c>
      <c r="B17" s="1">
        <v>44565</v>
      </c>
      <c r="C17" t="s">
        <v>33</v>
      </c>
      <c r="D17" t="s">
        <v>23</v>
      </c>
      <c r="E17">
        <v>37892.160000000003</v>
      </c>
      <c r="F17">
        <v>8</v>
      </c>
      <c r="G17" t="s">
        <v>16</v>
      </c>
      <c r="H17">
        <v>3017.1</v>
      </c>
      <c r="I17">
        <v>4883.01</v>
      </c>
      <c r="J17" t="s">
        <v>27</v>
      </c>
      <c r="K17">
        <v>0.03</v>
      </c>
      <c r="L17" t="s">
        <v>28</v>
      </c>
      <c r="M17" t="s">
        <v>21</v>
      </c>
    </row>
    <row r="18" spans="1:13" x14ac:dyDescent="0.35">
      <c r="A18">
        <v>1099</v>
      </c>
      <c r="B18" s="1">
        <v>44565</v>
      </c>
      <c r="C18" t="s">
        <v>29</v>
      </c>
      <c r="D18" t="s">
        <v>23</v>
      </c>
      <c r="E18">
        <v>184529.45</v>
      </c>
      <c r="F18">
        <v>49</v>
      </c>
      <c r="G18" t="s">
        <v>26</v>
      </c>
      <c r="H18">
        <v>2827.29</v>
      </c>
      <c r="I18">
        <v>3922.82</v>
      </c>
      <c r="J18" t="s">
        <v>17</v>
      </c>
      <c r="K18">
        <v>0.04</v>
      </c>
      <c r="L18" t="s">
        <v>25</v>
      </c>
      <c r="M18" t="s">
        <v>21</v>
      </c>
    </row>
    <row r="19" spans="1:13" x14ac:dyDescent="0.35">
      <c r="A19">
        <v>1074</v>
      </c>
      <c r="B19" s="1">
        <v>44565</v>
      </c>
      <c r="C19" t="s">
        <v>22</v>
      </c>
      <c r="D19" t="s">
        <v>15</v>
      </c>
      <c r="E19">
        <v>82391.820000000007</v>
      </c>
      <c r="F19">
        <v>24</v>
      </c>
      <c r="G19" t="s">
        <v>26</v>
      </c>
      <c r="H19">
        <v>1363.68</v>
      </c>
      <c r="I19">
        <v>4345.5600000000004</v>
      </c>
      <c r="J19" t="s">
        <v>27</v>
      </c>
      <c r="K19">
        <v>0.21</v>
      </c>
      <c r="L19" t="s">
        <v>25</v>
      </c>
      <c r="M19" t="s">
        <v>21</v>
      </c>
    </row>
    <row r="20" spans="1:13" x14ac:dyDescent="0.35">
      <c r="A20">
        <v>1062</v>
      </c>
      <c r="B20" s="1">
        <v>44565</v>
      </c>
      <c r="C20" t="s">
        <v>32</v>
      </c>
      <c r="D20" t="s">
        <v>20</v>
      </c>
      <c r="E20">
        <v>177697.9</v>
      </c>
      <c r="F20">
        <v>42</v>
      </c>
      <c r="G20" t="s">
        <v>16</v>
      </c>
      <c r="H20">
        <v>2796.61</v>
      </c>
      <c r="I20">
        <v>4407.1899999999996</v>
      </c>
      <c r="J20" t="s">
        <v>27</v>
      </c>
      <c r="K20">
        <v>0.04</v>
      </c>
      <c r="L20" t="s">
        <v>18</v>
      </c>
      <c r="M20" t="s">
        <v>19</v>
      </c>
    </row>
    <row r="21" spans="1:13" x14ac:dyDescent="0.35">
      <c r="A21">
        <v>1075</v>
      </c>
      <c r="B21" s="1">
        <v>44566</v>
      </c>
      <c r="C21" t="s">
        <v>22</v>
      </c>
      <c r="D21" t="s">
        <v>23</v>
      </c>
      <c r="E21">
        <v>36160.910000000003</v>
      </c>
      <c r="F21">
        <v>33</v>
      </c>
      <c r="G21" t="s">
        <v>24</v>
      </c>
      <c r="H21">
        <v>905.16</v>
      </c>
      <c r="I21">
        <v>1387.07</v>
      </c>
      <c r="J21" t="s">
        <v>17</v>
      </c>
      <c r="K21">
        <v>0.21</v>
      </c>
      <c r="L21" t="s">
        <v>25</v>
      </c>
      <c r="M21" t="s">
        <v>19</v>
      </c>
    </row>
    <row r="22" spans="1:13" x14ac:dyDescent="0.35">
      <c r="A22">
        <v>1094</v>
      </c>
      <c r="B22" s="1">
        <v>44566</v>
      </c>
      <c r="C22" t="s">
        <v>14</v>
      </c>
      <c r="D22" t="s">
        <v>20</v>
      </c>
      <c r="E22">
        <v>15973.64</v>
      </c>
      <c r="F22">
        <v>4</v>
      </c>
      <c r="G22" t="s">
        <v>31</v>
      </c>
      <c r="H22">
        <v>2375.9</v>
      </c>
      <c r="I22">
        <v>4293.99</v>
      </c>
      <c r="J22" t="s">
        <v>27</v>
      </c>
      <c r="K22">
        <v>7.0000000000000007E-2</v>
      </c>
      <c r="L22" t="s">
        <v>18</v>
      </c>
      <c r="M22" t="s">
        <v>21</v>
      </c>
    </row>
    <row r="23" spans="1:13" x14ac:dyDescent="0.35">
      <c r="A23">
        <v>1078</v>
      </c>
      <c r="B23" s="1">
        <v>44567</v>
      </c>
      <c r="C23" t="s">
        <v>22</v>
      </c>
      <c r="D23" t="s">
        <v>15</v>
      </c>
      <c r="E23">
        <v>25621.23</v>
      </c>
      <c r="F23">
        <v>8</v>
      </c>
      <c r="G23" t="s">
        <v>31</v>
      </c>
      <c r="H23">
        <v>3006.08</v>
      </c>
      <c r="I23">
        <v>4159.29</v>
      </c>
      <c r="J23" t="s">
        <v>27</v>
      </c>
      <c r="K23">
        <v>0.23</v>
      </c>
      <c r="L23" t="s">
        <v>25</v>
      </c>
      <c r="M23" t="s">
        <v>21</v>
      </c>
    </row>
    <row r="24" spans="1:13" x14ac:dyDescent="0.35">
      <c r="A24">
        <v>1079</v>
      </c>
      <c r="B24" s="1">
        <v>44567</v>
      </c>
      <c r="C24" t="s">
        <v>22</v>
      </c>
      <c r="D24" t="s">
        <v>23</v>
      </c>
      <c r="E24">
        <v>133141.04999999999</v>
      </c>
      <c r="F24">
        <v>41</v>
      </c>
      <c r="G24" t="s">
        <v>31</v>
      </c>
      <c r="H24">
        <v>3171.51</v>
      </c>
      <c r="I24">
        <v>3775.98</v>
      </c>
      <c r="J24" t="s">
        <v>27</v>
      </c>
      <c r="K24">
        <v>0.14000000000000001</v>
      </c>
      <c r="L24" t="s">
        <v>28</v>
      </c>
      <c r="M24" t="s">
        <v>21</v>
      </c>
    </row>
    <row r="25" spans="1:13" x14ac:dyDescent="0.35">
      <c r="A25">
        <v>1086</v>
      </c>
      <c r="B25" s="1">
        <v>44567</v>
      </c>
      <c r="C25" t="s">
        <v>29</v>
      </c>
      <c r="D25" t="s">
        <v>15</v>
      </c>
      <c r="E25">
        <v>37635.199999999997</v>
      </c>
      <c r="F25">
        <v>11</v>
      </c>
      <c r="G25" t="s">
        <v>26</v>
      </c>
      <c r="H25">
        <v>419.02</v>
      </c>
      <c r="I25">
        <v>3759.76</v>
      </c>
      <c r="J25" t="s">
        <v>27</v>
      </c>
      <c r="K25">
        <v>0.09</v>
      </c>
      <c r="L25" t="s">
        <v>25</v>
      </c>
      <c r="M25" t="s">
        <v>19</v>
      </c>
    </row>
    <row r="26" spans="1:13" x14ac:dyDescent="0.35">
      <c r="A26">
        <v>1053</v>
      </c>
      <c r="B26" s="1">
        <v>44567</v>
      </c>
      <c r="C26" t="s">
        <v>29</v>
      </c>
      <c r="D26" t="s">
        <v>23</v>
      </c>
      <c r="E26">
        <v>83277.53</v>
      </c>
      <c r="F26">
        <v>22</v>
      </c>
      <c r="G26" t="s">
        <v>31</v>
      </c>
      <c r="H26">
        <v>1633.09</v>
      </c>
      <c r="I26">
        <v>5257.42</v>
      </c>
      <c r="J26" t="s">
        <v>27</v>
      </c>
      <c r="K26">
        <v>0.28000000000000003</v>
      </c>
      <c r="L26" t="s">
        <v>18</v>
      </c>
      <c r="M26" t="s">
        <v>19</v>
      </c>
    </row>
    <row r="27" spans="1:13" x14ac:dyDescent="0.35">
      <c r="A27">
        <v>1041</v>
      </c>
      <c r="B27" s="1">
        <v>44567</v>
      </c>
      <c r="C27" t="s">
        <v>29</v>
      </c>
      <c r="D27" t="s">
        <v>20</v>
      </c>
      <c r="E27">
        <v>81942.039999999994</v>
      </c>
      <c r="F27">
        <v>33</v>
      </c>
      <c r="G27" t="s">
        <v>26</v>
      </c>
      <c r="H27">
        <v>135.24</v>
      </c>
      <c r="I27">
        <v>3355.53</v>
      </c>
      <c r="J27" t="s">
        <v>17</v>
      </c>
      <c r="K27">
        <v>0.26</v>
      </c>
      <c r="L27" t="s">
        <v>18</v>
      </c>
      <c r="M27" t="s">
        <v>21</v>
      </c>
    </row>
    <row r="28" spans="1:13" x14ac:dyDescent="0.35">
      <c r="A28">
        <v>1088</v>
      </c>
      <c r="B28" s="1">
        <v>44570</v>
      </c>
      <c r="C28" t="s">
        <v>32</v>
      </c>
      <c r="D28" t="s">
        <v>23</v>
      </c>
      <c r="E28">
        <v>17045.11</v>
      </c>
      <c r="F28">
        <v>10</v>
      </c>
      <c r="G28" t="s">
        <v>26</v>
      </c>
      <c r="H28">
        <v>1305.01</v>
      </c>
      <c r="I28">
        <v>2029.18</v>
      </c>
      <c r="J28" t="s">
        <v>27</v>
      </c>
      <c r="K28">
        <v>0.16</v>
      </c>
      <c r="L28" t="s">
        <v>18</v>
      </c>
      <c r="M28" t="s">
        <v>21</v>
      </c>
    </row>
    <row r="29" spans="1:13" x14ac:dyDescent="0.35">
      <c r="A29">
        <v>1089</v>
      </c>
      <c r="B29" s="1">
        <v>44570</v>
      </c>
      <c r="C29" t="s">
        <v>29</v>
      </c>
      <c r="D29" t="s">
        <v>30</v>
      </c>
      <c r="E29">
        <v>91465.25</v>
      </c>
      <c r="F29">
        <v>18</v>
      </c>
      <c r="G29" t="s">
        <v>24</v>
      </c>
      <c r="H29">
        <v>2964.41</v>
      </c>
      <c r="I29">
        <v>5132.7299999999996</v>
      </c>
      <c r="J29" t="s">
        <v>27</v>
      </c>
      <c r="K29">
        <v>0.01</v>
      </c>
      <c r="L29" t="s">
        <v>18</v>
      </c>
      <c r="M29" t="s">
        <v>19</v>
      </c>
    </row>
    <row r="30" spans="1:13" x14ac:dyDescent="0.35">
      <c r="A30">
        <v>1096</v>
      </c>
      <c r="B30" s="1">
        <v>44570</v>
      </c>
      <c r="C30" t="s">
        <v>33</v>
      </c>
      <c r="D30" t="s">
        <v>15</v>
      </c>
      <c r="E30">
        <v>124485.98</v>
      </c>
      <c r="F30">
        <v>49</v>
      </c>
      <c r="G30" t="s">
        <v>16</v>
      </c>
      <c r="H30">
        <v>1411.18</v>
      </c>
      <c r="I30">
        <v>3299.39</v>
      </c>
      <c r="J30" t="s">
        <v>17</v>
      </c>
      <c r="K30">
        <v>0.23</v>
      </c>
      <c r="L30" t="s">
        <v>25</v>
      </c>
      <c r="M30" t="s">
        <v>21</v>
      </c>
    </row>
    <row r="31" spans="1:13" x14ac:dyDescent="0.35">
      <c r="A31">
        <v>1075</v>
      </c>
      <c r="B31" s="1">
        <v>44570</v>
      </c>
      <c r="C31" t="s">
        <v>22</v>
      </c>
      <c r="D31" t="s">
        <v>15</v>
      </c>
      <c r="E31">
        <v>84183.78</v>
      </c>
      <c r="F31">
        <v>19</v>
      </c>
      <c r="G31" t="s">
        <v>16</v>
      </c>
      <c r="H31">
        <v>419.8</v>
      </c>
      <c r="I31">
        <v>4475.4799999999996</v>
      </c>
      <c r="J31" t="s">
        <v>17</v>
      </c>
      <c r="K31">
        <v>0.01</v>
      </c>
      <c r="L31" t="s">
        <v>18</v>
      </c>
      <c r="M31" t="s">
        <v>21</v>
      </c>
    </row>
    <row r="32" spans="1:13" x14ac:dyDescent="0.35">
      <c r="A32">
        <v>1010</v>
      </c>
      <c r="B32" s="1">
        <v>44570</v>
      </c>
      <c r="C32" t="s">
        <v>29</v>
      </c>
      <c r="D32" t="s">
        <v>15</v>
      </c>
      <c r="E32">
        <v>134715.5</v>
      </c>
      <c r="F32">
        <v>35</v>
      </c>
      <c r="G32" t="s">
        <v>16</v>
      </c>
      <c r="H32">
        <v>1047.03</v>
      </c>
      <c r="I32">
        <v>4872.17</v>
      </c>
      <c r="J32" t="s">
        <v>17</v>
      </c>
      <c r="K32">
        <v>0.21</v>
      </c>
      <c r="L32" t="s">
        <v>18</v>
      </c>
      <c r="M32" t="s">
        <v>19</v>
      </c>
    </row>
    <row r="33" spans="1:13" x14ac:dyDescent="0.35">
      <c r="A33">
        <v>1098</v>
      </c>
      <c r="B33" s="1">
        <v>44571</v>
      </c>
      <c r="C33" t="s">
        <v>33</v>
      </c>
      <c r="D33" t="s">
        <v>20</v>
      </c>
      <c r="E33">
        <v>48583.3</v>
      </c>
      <c r="F33">
        <v>24</v>
      </c>
      <c r="G33" t="s">
        <v>24</v>
      </c>
      <c r="H33">
        <v>2021.59</v>
      </c>
      <c r="I33">
        <v>2108.65</v>
      </c>
      <c r="J33" t="s">
        <v>27</v>
      </c>
      <c r="K33">
        <v>0.04</v>
      </c>
      <c r="L33" t="s">
        <v>28</v>
      </c>
      <c r="M33" t="s">
        <v>21</v>
      </c>
    </row>
    <row r="34" spans="1:13" x14ac:dyDescent="0.35">
      <c r="A34">
        <v>1050</v>
      </c>
      <c r="B34" s="1">
        <v>44572</v>
      </c>
      <c r="C34" t="s">
        <v>33</v>
      </c>
      <c r="D34" t="s">
        <v>20</v>
      </c>
      <c r="E34">
        <v>1064.43</v>
      </c>
      <c r="F34">
        <v>1</v>
      </c>
      <c r="G34" t="s">
        <v>16</v>
      </c>
      <c r="H34">
        <v>927.71</v>
      </c>
      <c r="I34">
        <v>1083.6500000000001</v>
      </c>
      <c r="J34" t="s">
        <v>17</v>
      </c>
      <c r="K34">
        <v>0.02</v>
      </c>
      <c r="L34" t="s">
        <v>25</v>
      </c>
      <c r="M34" t="s">
        <v>21</v>
      </c>
    </row>
    <row r="35" spans="1:13" x14ac:dyDescent="0.35">
      <c r="A35">
        <v>1019</v>
      </c>
      <c r="B35" s="1">
        <v>44572</v>
      </c>
      <c r="C35" t="s">
        <v>33</v>
      </c>
      <c r="D35" t="s">
        <v>30</v>
      </c>
      <c r="E35">
        <v>21791.040000000001</v>
      </c>
      <c r="F35">
        <v>6</v>
      </c>
      <c r="G35" t="s">
        <v>24</v>
      </c>
      <c r="H35">
        <v>2972.07</v>
      </c>
      <c r="I35">
        <v>3652.6</v>
      </c>
      <c r="J35" t="s">
        <v>27</v>
      </c>
      <c r="K35">
        <v>0.01</v>
      </c>
      <c r="L35" t="s">
        <v>18</v>
      </c>
      <c r="M35" t="s">
        <v>21</v>
      </c>
    </row>
    <row r="36" spans="1:13" x14ac:dyDescent="0.35">
      <c r="A36">
        <v>1063</v>
      </c>
      <c r="B36" s="1">
        <v>44572</v>
      </c>
      <c r="C36" t="s">
        <v>29</v>
      </c>
      <c r="D36" t="s">
        <v>30</v>
      </c>
      <c r="E36">
        <v>90351.62</v>
      </c>
      <c r="F36">
        <v>25</v>
      </c>
      <c r="G36" t="s">
        <v>26</v>
      </c>
      <c r="H36">
        <v>560.39</v>
      </c>
      <c r="I36">
        <v>3725.84</v>
      </c>
      <c r="J36" t="s">
        <v>27</v>
      </c>
      <c r="K36">
        <v>0.03</v>
      </c>
      <c r="L36" t="s">
        <v>25</v>
      </c>
      <c r="M36" t="s">
        <v>21</v>
      </c>
    </row>
    <row r="37" spans="1:13" x14ac:dyDescent="0.35">
      <c r="A37">
        <v>1085</v>
      </c>
      <c r="B37" s="1">
        <v>44572</v>
      </c>
      <c r="C37" t="s">
        <v>32</v>
      </c>
      <c r="D37" t="s">
        <v>20</v>
      </c>
      <c r="E37">
        <v>92001.35</v>
      </c>
      <c r="F37">
        <v>25</v>
      </c>
      <c r="G37" t="s">
        <v>31</v>
      </c>
      <c r="H37">
        <v>391.31</v>
      </c>
      <c r="I37">
        <v>5257.22</v>
      </c>
      <c r="J37" t="s">
        <v>27</v>
      </c>
      <c r="K37">
        <v>0.3</v>
      </c>
      <c r="L37" t="s">
        <v>25</v>
      </c>
      <c r="M37" t="s">
        <v>19</v>
      </c>
    </row>
    <row r="38" spans="1:13" x14ac:dyDescent="0.35">
      <c r="A38">
        <v>1077</v>
      </c>
      <c r="B38" s="1">
        <v>44572</v>
      </c>
      <c r="C38" t="s">
        <v>22</v>
      </c>
      <c r="D38" t="s">
        <v>30</v>
      </c>
      <c r="E38">
        <v>102061.16</v>
      </c>
      <c r="F38">
        <v>33</v>
      </c>
      <c r="G38" t="s">
        <v>16</v>
      </c>
      <c r="H38">
        <v>383.51</v>
      </c>
      <c r="I38">
        <v>3155.88</v>
      </c>
      <c r="J38" t="s">
        <v>27</v>
      </c>
      <c r="K38">
        <v>0.02</v>
      </c>
      <c r="L38" t="s">
        <v>25</v>
      </c>
      <c r="M38" t="s">
        <v>19</v>
      </c>
    </row>
    <row r="39" spans="1:13" x14ac:dyDescent="0.35">
      <c r="A39">
        <v>1091</v>
      </c>
      <c r="B39" s="1">
        <v>44573</v>
      </c>
      <c r="C39" t="s">
        <v>22</v>
      </c>
      <c r="D39" t="s">
        <v>20</v>
      </c>
      <c r="E39">
        <v>66827.94</v>
      </c>
      <c r="F39">
        <v>30</v>
      </c>
      <c r="G39" t="s">
        <v>31</v>
      </c>
      <c r="H39">
        <v>2090.5</v>
      </c>
      <c r="I39">
        <v>2447.91</v>
      </c>
      <c r="J39" t="s">
        <v>27</v>
      </c>
      <c r="K39">
        <v>0.09</v>
      </c>
      <c r="L39" t="s">
        <v>25</v>
      </c>
      <c r="M39" t="s">
        <v>21</v>
      </c>
    </row>
    <row r="40" spans="1:13" x14ac:dyDescent="0.35">
      <c r="A40">
        <v>1090</v>
      </c>
      <c r="B40" s="1">
        <v>44573</v>
      </c>
      <c r="C40" t="s">
        <v>22</v>
      </c>
      <c r="D40" t="s">
        <v>23</v>
      </c>
      <c r="E40">
        <v>23509.91</v>
      </c>
      <c r="F40">
        <v>15</v>
      </c>
      <c r="G40" t="s">
        <v>26</v>
      </c>
      <c r="H40">
        <v>1239.02</v>
      </c>
      <c r="I40">
        <v>2089.77</v>
      </c>
      <c r="J40" t="s">
        <v>17</v>
      </c>
      <c r="K40">
        <v>0.25</v>
      </c>
      <c r="L40" t="s">
        <v>18</v>
      </c>
      <c r="M40" t="s">
        <v>21</v>
      </c>
    </row>
    <row r="41" spans="1:13" x14ac:dyDescent="0.35">
      <c r="A41">
        <v>1021</v>
      </c>
      <c r="B41" s="1">
        <v>44573</v>
      </c>
      <c r="C41" t="s">
        <v>32</v>
      </c>
      <c r="D41" t="s">
        <v>20</v>
      </c>
      <c r="E41">
        <v>201119.18</v>
      </c>
      <c r="F41">
        <v>41</v>
      </c>
      <c r="G41" t="s">
        <v>31</v>
      </c>
      <c r="H41">
        <v>3565.28</v>
      </c>
      <c r="I41">
        <v>4971.2299999999996</v>
      </c>
      <c r="J41" t="s">
        <v>17</v>
      </c>
      <c r="K41">
        <v>0.01</v>
      </c>
      <c r="L41" t="s">
        <v>25</v>
      </c>
      <c r="M41" t="s">
        <v>19</v>
      </c>
    </row>
    <row r="42" spans="1:13" x14ac:dyDescent="0.35">
      <c r="A42">
        <v>1009</v>
      </c>
      <c r="B42" s="1">
        <v>44573</v>
      </c>
      <c r="C42" t="s">
        <v>33</v>
      </c>
      <c r="D42" t="s">
        <v>20</v>
      </c>
      <c r="E42">
        <v>115947.25</v>
      </c>
      <c r="F42">
        <v>24</v>
      </c>
      <c r="G42" t="s">
        <v>24</v>
      </c>
      <c r="H42">
        <v>1282.5899999999999</v>
      </c>
      <c r="I42">
        <v>4929.7299999999996</v>
      </c>
      <c r="J42" t="s">
        <v>27</v>
      </c>
      <c r="K42">
        <v>0.02</v>
      </c>
      <c r="L42" t="s">
        <v>18</v>
      </c>
      <c r="M42" t="s">
        <v>19</v>
      </c>
    </row>
    <row r="43" spans="1:13" x14ac:dyDescent="0.35">
      <c r="A43">
        <v>1095</v>
      </c>
      <c r="B43" s="1">
        <v>44574</v>
      </c>
      <c r="C43" t="s">
        <v>29</v>
      </c>
      <c r="D43" t="s">
        <v>15</v>
      </c>
      <c r="E43">
        <v>30869.77</v>
      </c>
      <c r="F43">
        <v>12</v>
      </c>
      <c r="G43" t="s">
        <v>26</v>
      </c>
      <c r="H43">
        <v>2485.41</v>
      </c>
      <c r="I43">
        <v>2574.56</v>
      </c>
      <c r="J43" t="s">
        <v>17</v>
      </c>
      <c r="K43">
        <v>0</v>
      </c>
      <c r="L43" t="s">
        <v>25</v>
      </c>
      <c r="M43" t="s">
        <v>19</v>
      </c>
    </row>
    <row r="44" spans="1:13" x14ac:dyDescent="0.35">
      <c r="A44">
        <v>1057</v>
      </c>
      <c r="B44" s="1">
        <v>44574</v>
      </c>
      <c r="C44" t="s">
        <v>33</v>
      </c>
      <c r="D44" t="s">
        <v>15</v>
      </c>
      <c r="E44">
        <v>161600.89000000001</v>
      </c>
      <c r="F44">
        <v>45</v>
      </c>
      <c r="G44" t="s">
        <v>26</v>
      </c>
      <c r="H44">
        <v>3316.21</v>
      </c>
      <c r="I44">
        <v>3734.86</v>
      </c>
      <c r="J44" t="s">
        <v>17</v>
      </c>
      <c r="K44">
        <v>0.04</v>
      </c>
      <c r="L44" t="s">
        <v>25</v>
      </c>
      <c r="M44" t="s">
        <v>21</v>
      </c>
    </row>
    <row r="45" spans="1:13" x14ac:dyDescent="0.35">
      <c r="A45">
        <v>1097</v>
      </c>
      <c r="B45" s="1">
        <v>44574</v>
      </c>
      <c r="C45" t="s">
        <v>29</v>
      </c>
      <c r="D45" t="s">
        <v>30</v>
      </c>
      <c r="E45">
        <v>43072.480000000003</v>
      </c>
      <c r="F45">
        <v>15</v>
      </c>
      <c r="G45" t="s">
        <v>26</v>
      </c>
      <c r="H45">
        <v>2002.38</v>
      </c>
      <c r="I45">
        <v>3545.06</v>
      </c>
      <c r="J45" t="s">
        <v>17</v>
      </c>
      <c r="K45">
        <v>0.19</v>
      </c>
      <c r="L45" t="s">
        <v>28</v>
      </c>
      <c r="M45" t="s">
        <v>19</v>
      </c>
    </row>
    <row r="46" spans="1:13" x14ac:dyDescent="0.35">
      <c r="A46">
        <v>1005</v>
      </c>
      <c r="B46" s="1">
        <v>44574</v>
      </c>
      <c r="C46" t="s">
        <v>33</v>
      </c>
      <c r="D46" t="s">
        <v>20</v>
      </c>
      <c r="E46">
        <v>122728.62</v>
      </c>
      <c r="F46">
        <v>27</v>
      </c>
      <c r="G46" t="s">
        <v>24</v>
      </c>
      <c r="H46">
        <v>3962.83</v>
      </c>
      <c r="I46">
        <v>4995.0600000000004</v>
      </c>
      <c r="J46" t="s">
        <v>27</v>
      </c>
      <c r="K46">
        <v>0.09</v>
      </c>
      <c r="L46" t="s">
        <v>25</v>
      </c>
      <c r="M46" t="s">
        <v>21</v>
      </c>
    </row>
    <row r="47" spans="1:13" x14ac:dyDescent="0.35">
      <c r="A47">
        <v>1050</v>
      </c>
      <c r="B47" s="1">
        <v>44574</v>
      </c>
      <c r="C47" t="s">
        <v>14</v>
      </c>
      <c r="D47" t="s">
        <v>23</v>
      </c>
      <c r="E47">
        <v>63746.26</v>
      </c>
      <c r="F47">
        <v>35</v>
      </c>
      <c r="G47" t="s">
        <v>26</v>
      </c>
      <c r="H47">
        <v>313.88</v>
      </c>
      <c r="I47">
        <v>1897.21</v>
      </c>
      <c r="J47" t="s">
        <v>27</v>
      </c>
      <c r="K47">
        <v>0.04</v>
      </c>
      <c r="L47" t="s">
        <v>28</v>
      </c>
      <c r="M47" t="s">
        <v>21</v>
      </c>
    </row>
    <row r="48" spans="1:13" x14ac:dyDescent="0.35">
      <c r="A48">
        <v>1040</v>
      </c>
      <c r="B48" s="1">
        <v>44574</v>
      </c>
      <c r="C48" t="s">
        <v>29</v>
      </c>
      <c r="D48" t="s">
        <v>15</v>
      </c>
      <c r="E48">
        <v>73940.23</v>
      </c>
      <c r="F48">
        <v>21</v>
      </c>
      <c r="G48" t="s">
        <v>26</v>
      </c>
      <c r="H48">
        <v>797.86</v>
      </c>
      <c r="I48">
        <v>4142.3100000000004</v>
      </c>
      <c r="J48" t="s">
        <v>17</v>
      </c>
      <c r="K48">
        <v>0.15</v>
      </c>
      <c r="L48" t="s">
        <v>18</v>
      </c>
      <c r="M48" t="s">
        <v>21</v>
      </c>
    </row>
    <row r="49" spans="1:13" x14ac:dyDescent="0.35">
      <c r="A49">
        <v>1097</v>
      </c>
      <c r="B49" s="1">
        <v>44575</v>
      </c>
      <c r="C49" t="s">
        <v>33</v>
      </c>
      <c r="D49" t="s">
        <v>15</v>
      </c>
      <c r="E49">
        <v>4603.45</v>
      </c>
      <c r="F49">
        <v>3</v>
      </c>
      <c r="G49" t="s">
        <v>16</v>
      </c>
      <c r="H49">
        <v>1155.55</v>
      </c>
      <c r="I49">
        <v>1704.98</v>
      </c>
      <c r="J49" t="s">
        <v>17</v>
      </c>
      <c r="K49">
        <v>0.1</v>
      </c>
      <c r="L49" t="s">
        <v>28</v>
      </c>
      <c r="M49" t="s">
        <v>21</v>
      </c>
    </row>
    <row r="50" spans="1:13" x14ac:dyDescent="0.35">
      <c r="A50">
        <v>1073</v>
      </c>
      <c r="B50" s="1">
        <v>44576</v>
      </c>
      <c r="C50" t="s">
        <v>22</v>
      </c>
      <c r="D50" t="s">
        <v>20</v>
      </c>
      <c r="E50">
        <v>39801.14</v>
      </c>
      <c r="F50">
        <v>15</v>
      </c>
      <c r="G50" t="s">
        <v>24</v>
      </c>
      <c r="H50">
        <v>2127.4499999999998</v>
      </c>
      <c r="I50">
        <v>3085.36</v>
      </c>
      <c r="J50" t="s">
        <v>17</v>
      </c>
      <c r="K50">
        <v>0.14000000000000001</v>
      </c>
      <c r="L50" t="s">
        <v>18</v>
      </c>
      <c r="M50" t="s">
        <v>19</v>
      </c>
    </row>
    <row r="51" spans="1:13" x14ac:dyDescent="0.35">
      <c r="A51">
        <v>1020</v>
      </c>
      <c r="B51" s="1">
        <v>44576</v>
      </c>
      <c r="C51" t="s">
        <v>29</v>
      </c>
      <c r="D51" t="s">
        <v>30</v>
      </c>
      <c r="E51">
        <v>67761.2</v>
      </c>
      <c r="F51">
        <v>17</v>
      </c>
      <c r="G51" t="s">
        <v>24</v>
      </c>
      <c r="H51">
        <v>2408.56</v>
      </c>
      <c r="I51">
        <v>4195.74</v>
      </c>
      <c r="J51" t="s">
        <v>27</v>
      </c>
      <c r="K51">
        <v>0.05</v>
      </c>
      <c r="L51" t="s">
        <v>28</v>
      </c>
      <c r="M51" t="s">
        <v>19</v>
      </c>
    </row>
    <row r="52" spans="1:13" x14ac:dyDescent="0.35">
      <c r="A52">
        <v>1080</v>
      </c>
      <c r="B52" s="1">
        <v>44576</v>
      </c>
      <c r="C52" t="s">
        <v>29</v>
      </c>
      <c r="D52" t="s">
        <v>20</v>
      </c>
      <c r="E52">
        <v>54863.42</v>
      </c>
      <c r="F52">
        <v>40</v>
      </c>
      <c r="G52" t="s">
        <v>31</v>
      </c>
      <c r="H52">
        <v>419.03</v>
      </c>
      <c r="I52">
        <v>1558.62</v>
      </c>
      <c r="J52" t="s">
        <v>27</v>
      </c>
      <c r="K52">
        <v>0.12</v>
      </c>
      <c r="L52" t="s">
        <v>25</v>
      </c>
      <c r="M52" t="s">
        <v>19</v>
      </c>
    </row>
    <row r="53" spans="1:13" x14ac:dyDescent="0.35">
      <c r="A53">
        <v>1026</v>
      </c>
      <c r="B53" s="1">
        <v>44576</v>
      </c>
      <c r="C53" t="s">
        <v>33</v>
      </c>
      <c r="D53" t="s">
        <v>23</v>
      </c>
      <c r="E53">
        <v>88580.37</v>
      </c>
      <c r="F53">
        <v>44</v>
      </c>
      <c r="G53" t="s">
        <v>26</v>
      </c>
      <c r="H53">
        <v>309.67</v>
      </c>
      <c r="I53">
        <v>2455.11</v>
      </c>
      <c r="J53" t="s">
        <v>27</v>
      </c>
      <c r="K53">
        <v>0.18</v>
      </c>
      <c r="L53" t="s">
        <v>25</v>
      </c>
      <c r="M53" t="s">
        <v>19</v>
      </c>
    </row>
    <row r="54" spans="1:13" x14ac:dyDescent="0.35">
      <c r="A54">
        <v>1094</v>
      </c>
      <c r="B54" s="1">
        <v>44577</v>
      </c>
      <c r="C54" t="s">
        <v>29</v>
      </c>
      <c r="D54" t="s">
        <v>20</v>
      </c>
      <c r="E54">
        <v>58782.81</v>
      </c>
      <c r="F54">
        <v>35</v>
      </c>
      <c r="G54" t="s">
        <v>16</v>
      </c>
      <c r="H54">
        <v>1105.18</v>
      </c>
      <c r="I54">
        <v>1930.47</v>
      </c>
      <c r="J54" t="s">
        <v>17</v>
      </c>
      <c r="K54">
        <v>0.13</v>
      </c>
      <c r="L54" t="s">
        <v>28</v>
      </c>
      <c r="M54" t="s">
        <v>19</v>
      </c>
    </row>
    <row r="55" spans="1:13" x14ac:dyDescent="0.35">
      <c r="A55">
        <v>1007</v>
      </c>
      <c r="B55" s="1">
        <v>44577</v>
      </c>
      <c r="C55" t="s">
        <v>29</v>
      </c>
      <c r="D55" t="s">
        <v>15</v>
      </c>
      <c r="E55">
        <v>126609.47</v>
      </c>
      <c r="F55">
        <v>32</v>
      </c>
      <c r="G55" t="s">
        <v>31</v>
      </c>
      <c r="H55">
        <v>2299.08</v>
      </c>
      <c r="I55">
        <v>4654.76</v>
      </c>
      <c r="J55" t="s">
        <v>17</v>
      </c>
      <c r="K55">
        <v>0.15</v>
      </c>
      <c r="L55" t="s">
        <v>18</v>
      </c>
      <c r="M55" t="s">
        <v>19</v>
      </c>
    </row>
    <row r="56" spans="1:13" x14ac:dyDescent="0.35">
      <c r="A56">
        <v>1052</v>
      </c>
      <c r="B56" s="1">
        <v>44579</v>
      </c>
      <c r="C56" t="s">
        <v>29</v>
      </c>
      <c r="D56" t="s">
        <v>23</v>
      </c>
      <c r="E56">
        <v>40925.78</v>
      </c>
      <c r="F56">
        <v>9</v>
      </c>
      <c r="G56" t="s">
        <v>26</v>
      </c>
      <c r="H56">
        <v>3977.96</v>
      </c>
      <c r="I56">
        <v>4660.5</v>
      </c>
      <c r="J56" t="s">
        <v>27</v>
      </c>
      <c r="K56">
        <v>0.02</v>
      </c>
      <c r="L56" t="s">
        <v>28</v>
      </c>
      <c r="M56" t="s">
        <v>19</v>
      </c>
    </row>
    <row r="57" spans="1:13" x14ac:dyDescent="0.35">
      <c r="A57">
        <v>1002</v>
      </c>
      <c r="B57" s="1">
        <v>44580</v>
      </c>
      <c r="C57" t="s">
        <v>22</v>
      </c>
      <c r="D57" t="s">
        <v>23</v>
      </c>
      <c r="E57">
        <v>28237.95</v>
      </c>
      <c r="F57">
        <v>8</v>
      </c>
      <c r="G57" t="s">
        <v>16</v>
      </c>
      <c r="H57">
        <v>1122.8</v>
      </c>
      <c r="I57">
        <v>3715.52</v>
      </c>
      <c r="J57" t="s">
        <v>27</v>
      </c>
      <c r="K57">
        <v>0.05</v>
      </c>
      <c r="L57" t="s">
        <v>25</v>
      </c>
      <c r="M57" t="s">
        <v>21</v>
      </c>
    </row>
    <row r="58" spans="1:13" x14ac:dyDescent="0.35">
      <c r="A58">
        <v>1025</v>
      </c>
      <c r="B58" s="1">
        <v>44580</v>
      </c>
      <c r="C58" t="s">
        <v>32</v>
      </c>
      <c r="D58" t="s">
        <v>30</v>
      </c>
      <c r="E58">
        <v>47149.26</v>
      </c>
      <c r="F58">
        <v>36</v>
      </c>
      <c r="G58" t="s">
        <v>16</v>
      </c>
      <c r="H58">
        <v>756.9</v>
      </c>
      <c r="I58">
        <v>1819.03</v>
      </c>
      <c r="J58" t="s">
        <v>17</v>
      </c>
      <c r="K58">
        <v>0.28000000000000003</v>
      </c>
      <c r="L58" t="s">
        <v>18</v>
      </c>
      <c r="M58" t="s">
        <v>21</v>
      </c>
    </row>
    <row r="59" spans="1:13" x14ac:dyDescent="0.35">
      <c r="A59">
        <v>1090</v>
      </c>
      <c r="B59" s="1">
        <v>44580</v>
      </c>
      <c r="C59" t="s">
        <v>29</v>
      </c>
      <c r="D59" t="s">
        <v>20</v>
      </c>
      <c r="E59">
        <v>126511.15</v>
      </c>
      <c r="F59">
        <v>41</v>
      </c>
      <c r="G59" t="s">
        <v>24</v>
      </c>
      <c r="H59">
        <v>2425.4899999999998</v>
      </c>
      <c r="I59">
        <v>3181.07</v>
      </c>
      <c r="J59" t="s">
        <v>27</v>
      </c>
      <c r="K59">
        <v>0.03</v>
      </c>
      <c r="L59" t="s">
        <v>28</v>
      </c>
      <c r="M59" t="s">
        <v>21</v>
      </c>
    </row>
    <row r="60" spans="1:13" x14ac:dyDescent="0.35">
      <c r="A60">
        <v>1070</v>
      </c>
      <c r="B60" s="1">
        <v>44580</v>
      </c>
      <c r="C60" t="s">
        <v>22</v>
      </c>
      <c r="D60" t="s">
        <v>30</v>
      </c>
      <c r="E60">
        <v>221210.14</v>
      </c>
      <c r="F60">
        <v>47</v>
      </c>
      <c r="G60" t="s">
        <v>31</v>
      </c>
      <c r="H60">
        <v>1433.22</v>
      </c>
      <c r="I60">
        <v>5007.0200000000004</v>
      </c>
      <c r="J60" t="s">
        <v>17</v>
      </c>
      <c r="K60">
        <v>0.06</v>
      </c>
      <c r="L60" t="s">
        <v>28</v>
      </c>
      <c r="M60" t="s">
        <v>21</v>
      </c>
    </row>
    <row r="61" spans="1:13" x14ac:dyDescent="0.35">
      <c r="A61">
        <v>1081</v>
      </c>
      <c r="B61" s="1">
        <v>44581</v>
      </c>
      <c r="C61" t="s">
        <v>22</v>
      </c>
      <c r="D61" t="s">
        <v>30</v>
      </c>
      <c r="E61">
        <v>7889.8</v>
      </c>
      <c r="F61">
        <v>2</v>
      </c>
      <c r="G61" t="s">
        <v>26</v>
      </c>
      <c r="H61">
        <v>2724.36</v>
      </c>
      <c r="I61">
        <v>5479.03</v>
      </c>
      <c r="J61" t="s">
        <v>27</v>
      </c>
      <c r="K61">
        <v>0.28000000000000003</v>
      </c>
      <c r="L61" t="s">
        <v>28</v>
      </c>
      <c r="M61" t="s">
        <v>19</v>
      </c>
    </row>
    <row r="62" spans="1:13" x14ac:dyDescent="0.35">
      <c r="A62">
        <v>1042</v>
      </c>
      <c r="B62" s="1">
        <v>44582</v>
      </c>
      <c r="C62" t="s">
        <v>14</v>
      </c>
      <c r="D62" t="s">
        <v>20</v>
      </c>
      <c r="E62">
        <v>6886.63</v>
      </c>
      <c r="F62">
        <v>2</v>
      </c>
      <c r="G62" t="s">
        <v>24</v>
      </c>
      <c r="H62">
        <v>2947.67</v>
      </c>
      <c r="I62">
        <v>3525.62</v>
      </c>
      <c r="J62" t="s">
        <v>17</v>
      </c>
      <c r="K62">
        <v>0.02</v>
      </c>
      <c r="L62" t="s">
        <v>25</v>
      </c>
      <c r="M62" t="s">
        <v>21</v>
      </c>
    </row>
    <row r="63" spans="1:13" x14ac:dyDescent="0.35">
      <c r="A63">
        <v>1024</v>
      </c>
      <c r="B63" s="1">
        <v>44582</v>
      </c>
      <c r="C63" t="s">
        <v>14</v>
      </c>
      <c r="D63" t="s">
        <v>23</v>
      </c>
      <c r="E63">
        <v>144453.65</v>
      </c>
      <c r="F63">
        <v>35</v>
      </c>
      <c r="G63" t="s">
        <v>26</v>
      </c>
      <c r="H63">
        <v>4011.22</v>
      </c>
      <c r="I63">
        <v>4585.83</v>
      </c>
      <c r="J63" t="s">
        <v>27</v>
      </c>
      <c r="K63">
        <v>0.1</v>
      </c>
      <c r="L63" t="s">
        <v>25</v>
      </c>
      <c r="M63" t="s">
        <v>21</v>
      </c>
    </row>
    <row r="64" spans="1:13" x14ac:dyDescent="0.35">
      <c r="A64">
        <v>1091</v>
      </c>
      <c r="B64" s="1">
        <v>44582</v>
      </c>
      <c r="C64" t="s">
        <v>14</v>
      </c>
      <c r="D64" t="s">
        <v>15</v>
      </c>
      <c r="E64">
        <v>24148.080000000002</v>
      </c>
      <c r="F64">
        <v>18</v>
      </c>
      <c r="G64" t="s">
        <v>26</v>
      </c>
      <c r="H64">
        <v>713.46</v>
      </c>
      <c r="I64">
        <v>1341.56</v>
      </c>
      <c r="J64" t="s">
        <v>17</v>
      </c>
      <c r="K64">
        <v>0</v>
      </c>
      <c r="L64" t="s">
        <v>18</v>
      </c>
      <c r="M64" t="s">
        <v>21</v>
      </c>
    </row>
    <row r="65" spans="1:13" x14ac:dyDescent="0.35">
      <c r="A65">
        <v>1084</v>
      </c>
      <c r="B65" s="1">
        <v>44582</v>
      </c>
      <c r="C65" t="s">
        <v>22</v>
      </c>
      <c r="D65" t="s">
        <v>23</v>
      </c>
      <c r="E65">
        <v>71442.06</v>
      </c>
      <c r="F65">
        <v>23</v>
      </c>
      <c r="G65" t="s">
        <v>24</v>
      </c>
      <c r="H65">
        <v>2192.75</v>
      </c>
      <c r="I65">
        <v>3788.02</v>
      </c>
      <c r="J65" t="s">
        <v>17</v>
      </c>
      <c r="K65">
        <v>0.18</v>
      </c>
      <c r="L65" t="s">
        <v>28</v>
      </c>
      <c r="M65" t="s">
        <v>21</v>
      </c>
    </row>
    <row r="66" spans="1:13" x14ac:dyDescent="0.35">
      <c r="A66">
        <v>1070</v>
      </c>
      <c r="B66" s="1">
        <v>44582</v>
      </c>
      <c r="C66" t="s">
        <v>32</v>
      </c>
      <c r="D66" t="s">
        <v>23</v>
      </c>
      <c r="E66">
        <v>97122.55</v>
      </c>
      <c r="F66">
        <v>42</v>
      </c>
      <c r="G66" t="s">
        <v>16</v>
      </c>
      <c r="H66">
        <v>1159.5999999999999</v>
      </c>
      <c r="I66">
        <v>3256.96</v>
      </c>
      <c r="J66" t="s">
        <v>27</v>
      </c>
      <c r="K66">
        <v>0.28999999999999998</v>
      </c>
      <c r="L66" t="s">
        <v>28</v>
      </c>
      <c r="M66" t="s">
        <v>21</v>
      </c>
    </row>
    <row r="67" spans="1:13" x14ac:dyDescent="0.35">
      <c r="A67">
        <v>1019</v>
      </c>
      <c r="B67" s="1">
        <v>44583</v>
      </c>
      <c r="C67" t="s">
        <v>32</v>
      </c>
      <c r="D67" t="s">
        <v>15</v>
      </c>
      <c r="E67">
        <v>3267.8</v>
      </c>
      <c r="F67">
        <v>1</v>
      </c>
      <c r="G67" t="s">
        <v>26</v>
      </c>
      <c r="H67">
        <v>952.3</v>
      </c>
      <c r="I67">
        <v>3630.89</v>
      </c>
      <c r="J67" t="s">
        <v>27</v>
      </c>
      <c r="K67">
        <v>0.1</v>
      </c>
      <c r="L67" t="s">
        <v>18</v>
      </c>
      <c r="M67" t="s">
        <v>21</v>
      </c>
    </row>
    <row r="68" spans="1:13" x14ac:dyDescent="0.35">
      <c r="A68">
        <v>1084</v>
      </c>
      <c r="B68" s="1">
        <v>44583</v>
      </c>
      <c r="C68" t="s">
        <v>33</v>
      </c>
      <c r="D68" t="s">
        <v>15</v>
      </c>
      <c r="E68">
        <v>71634.34</v>
      </c>
      <c r="F68">
        <v>17</v>
      </c>
      <c r="G68" t="s">
        <v>26</v>
      </c>
      <c r="H68">
        <v>3750.72</v>
      </c>
      <c r="I68">
        <v>4218.92</v>
      </c>
      <c r="J68" t="s">
        <v>27</v>
      </c>
      <c r="K68">
        <v>0</v>
      </c>
      <c r="L68" t="s">
        <v>28</v>
      </c>
      <c r="M68" t="s">
        <v>19</v>
      </c>
    </row>
    <row r="69" spans="1:13" x14ac:dyDescent="0.35">
      <c r="A69">
        <v>1063</v>
      </c>
      <c r="B69" s="1">
        <v>44583</v>
      </c>
      <c r="C69" t="s">
        <v>22</v>
      </c>
      <c r="D69" t="s">
        <v>23</v>
      </c>
      <c r="E69">
        <v>96569.06</v>
      </c>
      <c r="F69">
        <v>50</v>
      </c>
      <c r="G69" t="s">
        <v>26</v>
      </c>
      <c r="H69">
        <v>596.16999999999996</v>
      </c>
      <c r="I69">
        <v>1950.89</v>
      </c>
      <c r="J69" t="s">
        <v>27</v>
      </c>
      <c r="K69">
        <v>0.01</v>
      </c>
      <c r="L69" t="s">
        <v>28</v>
      </c>
      <c r="M69" t="s">
        <v>19</v>
      </c>
    </row>
    <row r="70" spans="1:13" x14ac:dyDescent="0.35">
      <c r="A70">
        <v>1010</v>
      </c>
      <c r="B70" s="1">
        <v>44583</v>
      </c>
      <c r="C70" t="s">
        <v>33</v>
      </c>
      <c r="D70" t="s">
        <v>23</v>
      </c>
      <c r="E70">
        <v>85859.14</v>
      </c>
      <c r="F70">
        <v>30</v>
      </c>
      <c r="G70" t="s">
        <v>24</v>
      </c>
      <c r="H70">
        <v>635.46</v>
      </c>
      <c r="I70">
        <v>3974.96</v>
      </c>
      <c r="J70" t="s">
        <v>27</v>
      </c>
      <c r="K70">
        <v>0.28000000000000003</v>
      </c>
      <c r="L70" t="s">
        <v>18</v>
      </c>
      <c r="M70" t="s">
        <v>21</v>
      </c>
    </row>
    <row r="71" spans="1:13" x14ac:dyDescent="0.35">
      <c r="A71">
        <v>1003</v>
      </c>
      <c r="B71" s="1">
        <v>44584</v>
      </c>
      <c r="C71" t="s">
        <v>22</v>
      </c>
      <c r="D71" t="s">
        <v>15</v>
      </c>
      <c r="E71">
        <v>53393.09</v>
      </c>
      <c r="F71">
        <v>14</v>
      </c>
      <c r="G71" t="s">
        <v>24</v>
      </c>
      <c r="H71">
        <v>3340.75</v>
      </c>
      <c r="I71">
        <v>4767.24</v>
      </c>
      <c r="J71" t="s">
        <v>17</v>
      </c>
      <c r="K71">
        <v>0.2</v>
      </c>
      <c r="L71" t="s">
        <v>28</v>
      </c>
      <c r="M71" t="s">
        <v>19</v>
      </c>
    </row>
    <row r="72" spans="1:13" x14ac:dyDescent="0.35">
      <c r="A72">
        <v>1079</v>
      </c>
      <c r="B72" s="1">
        <v>44584</v>
      </c>
      <c r="C72" t="s">
        <v>32</v>
      </c>
      <c r="D72" t="s">
        <v>30</v>
      </c>
      <c r="E72">
        <v>192129.52</v>
      </c>
      <c r="F72">
        <v>44</v>
      </c>
      <c r="G72" t="s">
        <v>16</v>
      </c>
      <c r="H72">
        <v>4051.42</v>
      </c>
      <c r="I72">
        <v>4389.68</v>
      </c>
      <c r="J72" t="s">
        <v>27</v>
      </c>
      <c r="K72">
        <v>0.01</v>
      </c>
      <c r="L72" t="s">
        <v>18</v>
      </c>
      <c r="M72" t="s">
        <v>19</v>
      </c>
    </row>
    <row r="73" spans="1:13" x14ac:dyDescent="0.35">
      <c r="A73">
        <v>1020</v>
      </c>
      <c r="B73" s="1">
        <v>44584</v>
      </c>
      <c r="C73" t="s">
        <v>33</v>
      </c>
      <c r="D73" t="s">
        <v>23</v>
      </c>
      <c r="E73">
        <v>177646.98</v>
      </c>
      <c r="F73">
        <v>42</v>
      </c>
      <c r="G73" t="s">
        <v>31</v>
      </c>
      <c r="H73">
        <v>3716.23</v>
      </c>
      <c r="I73">
        <v>4229.6899999999996</v>
      </c>
      <c r="J73" t="s">
        <v>17</v>
      </c>
      <c r="K73">
        <v>0</v>
      </c>
      <c r="L73" t="s">
        <v>25</v>
      </c>
      <c r="M73" t="s">
        <v>21</v>
      </c>
    </row>
    <row r="74" spans="1:13" x14ac:dyDescent="0.35">
      <c r="A74">
        <v>1044</v>
      </c>
      <c r="B74" s="1">
        <v>44585</v>
      </c>
      <c r="C74" t="s">
        <v>29</v>
      </c>
      <c r="D74" t="s">
        <v>15</v>
      </c>
      <c r="E74">
        <v>73101.649999999994</v>
      </c>
      <c r="F74">
        <v>18</v>
      </c>
      <c r="G74" t="s">
        <v>24</v>
      </c>
      <c r="H74">
        <v>2249.73</v>
      </c>
      <c r="I74">
        <v>4274.95</v>
      </c>
      <c r="J74" t="s">
        <v>17</v>
      </c>
      <c r="K74">
        <v>0.05</v>
      </c>
      <c r="L74" t="s">
        <v>25</v>
      </c>
      <c r="M74" t="s">
        <v>19</v>
      </c>
    </row>
    <row r="75" spans="1:13" x14ac:dyDescent="0.35">
      <c r="A75">
        <v>1006</v>
      </c>
      <c r="B75" s="1">
        <v>44586</v>
      </c>
      <c r="C75" t="s">
        <v>29</v>
      </c>
      <c r="D75" t="s">
        <v>30</v>
      </c>
      <c r="E75">
        <v>7494.87</v>
      </c>
      <c r="F75">
        <v>4</v>
      </c>
      <c r="G75" t="s">
        <v>24</v>
      </c>
      <c r="H75">
        <v>548.08000000000004</v>
      </c>
      <c r="I75">
        <v>2433.4</v>
      </c>
      <c r="J75" t="s">
        <v>17</v>
      </c>
      <c r="K75">
        <v>0.23</v>
      </c>
      <c r="L75" t="s">
        <v>25</v>
      </c>
      <c r="M75" t="s">
        <v>21</v>
      </c>
    </row>
    <row r="76" spans="1:13" x14ac:dyDescent="0.35">
      <c r="A76">
        <v>1065</v>
      </c>
      <c r="B76" s="1">
        <v>44586</v>
      </c>
      <c r="C76" t="s">
        <v>14</v>
      </c>
      <c r="D76" t="s">
        <v>20</v>
      </c>
      <c r="E76">
        <v>32304.13</v>
      </c>
      <c r="F76">
        <v>14</v>
      </c>
      <c r="G76" t="s">
        <v>31</v>
      </c>
      <c r="H76">
        <v>290.74</v>
      </c>
      <c r="I76">
        <v>2563.8200000000002</v>
      </c>
      <c r="J76" t="s">
        <v>27</v>
      </c>
      <c r="K76">
        <v>0.1</v>
      </c>
      <c r="L76" t="s">
        <v>18</v>
      </c>
      <c r="M76" t="s">
        <v>19</v>
      </c>
    </row>
    <row r="77" spans="1:13" x14ac:dyDescent="0.35">
      <c r="A77">
        <v>1090</v>
      </c>
      <c r="B77" s="1">
        <v>44587</v>
      </c>
      <c r="C77" t="s">
        <v>14</v>
      </c>
      <c r="D77" t="s">
        <v>20</v>
      </c>
      <c r="E77">
        <v>9561.2900000000009</v>
      </c>
      <c r="F77">
        <v>3</v>
      </c>
      <c r="G77" t="s">
        <v>26</v>
      </c>
      <c r="H77">
        <v>2180.34</v>
      </c>
      <c r="I77">
        <v>3390.53</v>
      </c>
      <c r="J77" t="s">
        <v>27</v>
      </c>
      <c r="K77">
        <v>0.06</v>
      </c>
      <c r="L77" t="s">
        <v>28</v>
      </c>
      <c r="M77" t="s">
        <v>19</v>
      </c>
    </row>
    <row r="78" spans="1:13" x14ac:dyDescent="0.35">
      <c r="A78">
        <v>1043</v>
      </c>
      <c r="B78" s="1">
        <v>44587</v>
      </c>
      <c r="C78" t="s">
        <v>29</v>
      </c>
      <c r="D78" t="s">
        <v>30</v>
      </c>
      <c r="E78">
        <v>5401.51</v>
      </c>
      <c r="F78">
        <v>2</v>
      </c>
      <c r="G78" t="s">
        <v>26</v>
      </c>
      <c r="H78">
        <v>285.33999999999997</v>
      </c>
      <c r="I78">
        <v>3000.84</v>
      </c>
      <c r="J78" t="s">
        <v>27</v>
      </c>
      <c r="K78">
        <v>0.1</v>
      </c>
      <c r="L78" t="s">
        <v>25</v>
      </c>
      <c r="M78" t="s">
        <v>19</v>
      </c>
    </row>
    <row r="79" spans="1:13" x14ac:dyDescent="0.35">
      <c r="A79">
        <v>1040</v>
      </c>
      <c r="B79" s="1">
        <v>44588</v>
      </c>
      <c r="C79" t="s">
        <v>29</v>
      </c>
      <c r="D79" t="s">
        <v>30</v>
      </c>
      <c r="E79">
        <v>46140.52</v>
      </c>
      <c r="F79">
        <v>13</v>
      </c>
      <c r="G79" t="s">
        <v>24</v>
      </c>
      <c r="H79">
        <v>3310.57</v>
      </c>
      <c r="I79">
        <v>3816.42</v>
      </c>
      <c r="J79" t="s">
        <v>27</v>
      </c>
      <c r="K79">
        <v>7.0000000000000007E-2</v>
      </c>
      <c r="L79" t="s">
        <v>25</v>
      </c>
      <c r="M79" t="s">
        <v>19</v>
      </c>
    </row>
    <row r="80" spans="1:13" x14ac:dyDescent="0.35">
      <c r="A80">
        <v>1035</v>
      </c>
      <c r="B80" s="1">
        <v>44588</v>
      </c>
      <c r="C80" t="s">
        <v>29</v>
      </c>
      <c r="D80" t="s">
        <v>15</v>
      </c>
      <c r="E80">
        <v>39595.33</v>
      </c>
      <c r="F80">
        <v>37</v>
      </c>
      <c r="G80" t="s">
        <v>24</v>
      </c>
      <c r="H80">
        <v>725.42</v>
      </c>
      <c r="I80">
        <v>1337.68</v>
      </c>
      <c r="J80" t="s">
        <v>17</v>
      </c>
      <c r="K80">
        <v>0.2</v>
      </c>
      <c r="L80" t="s">
        <v>18</v>
      </c>
      <c r="M80" t="s">
        <v>21</v>
      </c>
    </row>
    <row r="81" spans="1:13" x14ac:dyDescent="0.35">
      <c r="A81">
        <v>1017</v>
      </c>
      <c r="B81" s="1">
        <v>44588</v>
      </c>
      <c r="C81" t="s">
        <v>22</v>
      </c>
      <c r="D81" t="s">
        <v>20</v>
      </c>
      <c r="E81">
        <v>151430.51999999999</v>
      </c>
      <c r="F81">
        <v>48</v>
      </c>
      <c r="G81" t="s">
        <v>16</v>
      </c>
      <c r="H81">
        <v>2015.57</v>
      </c>
      <c r="I81">
        <v>3847.32</v>
      </c>
      <c r="J81" t="s">
        <v>27</v>
      </c>
      <c r="K81">
        <v>0.18</v>
      </c>
      <c r="L81" t="s">
        <v>28</v>
      </c>
      <c r="M81" t="s">
        <v>19</v>
      </c>
    </row>
    <row r="82" spans="1:13" x14ac:dyDescent="0.35">
      <c r="A82">
        <v>1035</v>
      </c>
      <c r="B82" s="1">
        <v>44588</v>
      </c>
      <c r="C82" t="s">
        <v>33</v>
      </c>
      <c r="D82" t="s">
        <v>20</v>
      </c>
      <c r="E82">
        <v>144818.23000000001</v>
      </c>
      <c r="F82">
        <v>44</v>
      </c>
      <c r="G82" t="s">
        <v>16</v>
      </c>
      <c r="H82">
        <v>1864.78</v>
      </c>
      <c r="I82">
        <v>3965.45</v>
      </c>
      <c r="J82" t="s">
        <v>17</v>
      </c>
      <c r="K82">
        <v>0.17</v>
      </c>
      <c r="L82" t="s">
        <v>28</v>
      </c>
      <c r="M82" t="s">
        <v>19</v>
      </c>
    </row>
    <row r="83" spans="1:13" x14ac:dyDescent="0.35">
      <c r="A83">
        <v>1055</v>
      </c>
      <c r="B83" s="1">
        <v>44589</v>
      </c>
      <c r="C83" t="s">
        <v>22</v>
      </c>
      <c r="D83" t="s">
        <v>15</v>
      </c>
      <c r="E83">
        <v>164840.9</v>
      </c>
      <c r="F83">
        <v>38</v>
      </c>
      <c r="G83" t="s">
        <v>31</v>
      </c>
      <c r="H83">
        <v>3976.75</v>
      </c>
      <c r="I83">
        <v>4566.2299999999996</v>
      </c>
      <c r="J83" t="s">
        <v>27</v>
      </c>
      <c r="K83">
        <v>0.05</v>
      </c>
      <c r="L83" t="s">
        <v>18</v>
      </c>
      <c r="M83" t="s">
        <v>21</v>
      </c>
    </row>
    <row r="84" spans="1:13" x14ac:dyDescent="0.35">
      <c r="A84">
        <v>1068</v>
      </c>
      <c r="B84" s="1">
        <v>44589</v>
      </c>
      <c r="C84" t="s">
        <v>33</v>
      </c>
      <c r="D84" t="s">
        <v>20</v>
      </c>
      <c r="E84">
        <v>100268.18</v>
      </c>
      <c r="F84">
        <v>42</v>
      </c>
      <c r="G84" t="s">
        <v>26</v>
      </c>
      <c r="H84">
        <v>1979.08</v>
      </c>
      <c r="I84">
        <v>2460.88</v>
      </c>
      <c r="J84" t="s">
        <v>27</v>
      </c>
      <c r="K84">
        <v>0.03</v>
      </c>
      <c r="L84" t="s">
        <v>25</v>
      </c>
      <c r="M84" t="s">
        <v>21</v>
      </c>
    </row>
    <row r="85" spans="1:13" x14ac:dyDescent="0.35">
      <c r="A85">
        <v>1022</v>
      </c>
      <c r="B85" s="1">
        <v>44589</v>
      </c>
      <c r="C85" t="s">
        <v>29</v>
      </c>
      <c r="D85" t="s">
        <v>20</v>
      </c>
      <c r="E85">
        <v>83501.5</v>
      </c>
      <c r="F85">
        <v>32</v>
      </c>
      <c r="G85" t="s">
        <v>24</v>
      </c>
      <c r="H85">
        <v>655.69</v>
      </c>
      <c r="I85">
        <v>2805.83</v>
      </c>
      <c r="J85" t="s">
        <v>27</v>
      </c>
      <c r="K85">
        <v>7.0000000000000007E-2</v>
      </c>
      <c r="L85" t="s">
        <v>25</v>
      </c>
      <c r="M85" t="s">
        <v>19</v>
      </c>
    </row>
    <row r="86" spans="1:13" x14ac:dyDescent="0.35">
      <c r="A86">
        <v>1074</v>
      </c>
      <c r="B86" s="1">
        <v>44589</v>
      </c>
      <c r="C86" t="s">
        <v>33</v>
      </c>
      <c r="D86" t="s">
        <v>23</v>
      </c>
      <c r="E86">
        <v>89011.55</v>
      </c>
      <c r="F86">
        <v>19</v>
      </c>
      <c r="G86" t="s">
        <v>31</v>
      </c>
      <c r="H86">
        <v>880.36</v>
      </c>
      <c r="I86">
        <v>4732.1400000000003</v>
      </c>
      <c r="J86" t="s">
        <v>27</v>
      </c>
      <c r="K86">
        <v>0.01</v>
      </c>
      <c r="L86" t="s">
        <v>28</v>
      </c>
      <c r="M86" t="s">
        <v>21</v>
      </c>
    </row>
    <row r="87" spans="1:13" x14ac:dyDescent="0.35">
      <c r="A87">
        <v>1085</v>
      </c>
      <c r="B87" s="1">
        <v>44590</v>
      </c>
      <c r="C87" t="s">
        <v>29</v>
      </c>
      <c r="D87" t="s">
        <v>30</v>
      </c>
      <c r="E87">
        <v>94069.6</v>
      </c>
      <c r="F87">
        <v>34</v>
      </c>
      <c r="G87" t="s">
        <v>31</v>
      </c>
      <c r="H87">
        <v>2615.79</v>
      </c>
      <c r="I87">
        <v>3007.34</v>
      </c>
      <c r="J87" t="s">
        <v>27</v>
      </c>
      <c r="K87">
        <v>0.08</v>
      </c>
      <c r="L87" t="s">
        <v>18</v>
      </c>
      <c r="M87" t="s">
        <v>21</v>
      </c>
    </row>
    <row r="88" spans="1:13" x14ac:dyDescent="0.35">
      <c r="A88">
        <v>1075</v>
      </c>
      <c r="B88" s="1">
        <v>44590</v>
      </c>
      <c r="C88" t="s">
        <v>32</v>
      </c>
      <c r="D88" t="s">
        <v>15</v>
      </c>
      <c r="E88">
        <v>164018.64000000001</v>
      </c>
      <c r="F88">
        <v>39</v>
      </c>
      <c r="G88" t="s">
        <v>24</v>
      </c>
      <c r="H88">
        <v>3757.94</v>
      </c>
      <c r="I88">
        <v>4834.03</v>
      </c>
      <c r="J88" t="s">
        <v>17</v>
      </c>
      <c r="K88">
        <v>0.13</v>
      </c>
      <c r="L88" t="s">
        <v>28</v>
      </c>
      <c r="M88" t="s">
        <v>21</v>
      </c>
    </row>
    <row r="89" spans="1:13" x14ac:dyDescent="0.35">
      <c r="A89">
        <v>1065</v>
      </c>
      <c r="B89" s="1">
        <v>44590</v>
      </c>
      <c r="C89" t="s">
        <v>29</v>
      </c>
      <c r="D89" t="s">
        <v>30</v>
      </c>
      <c r="E89">
        <v>161726.54</v>
      </c>
      <c r="F89">
        <v>50</v>
      </c>
      <c r="G89" t="s">
        <v>31</v>
      </c>
      <c r="H89">
        <v>637.63</v>
      </c>
      <c r="I89">
        <v>3477.99</v>
      </c>
      <c r="J89" t="s">
        <v>17</v>
      </c>
      <c r="K89">
        <v>7.0000000000000007E-2</v>
      </c>
      <c r="L89" t="s">
        <v>25</v>
      </c>
      <c r="M89" t="s">
        <v>21</v>
      </c>
    </row>
    <row r="90" spans="1:13" x14ac:dyDescent="0.35">
      <c r="A90">
        <v>1006</v>
      </c>
      <c r="B90" s="1">
        <v>44592</v>
      </c>
      <c r="C90" t="s">
        <v>14</v>
      </c>
      <c r="D90" t="s">
        <v>15</v>
      </c>
      <c r="E90">
        <v>2774.4</v>
      </c>
      <c r="F90">
        <v>1</v>
      </c>
      <c r="G90" t="s">
        <v>26</v>
      </c>
      <c r="H90">
        <v>1973.03</v>
      </c>
      <c r="I90">
        <v>3117.3</v>
      </c>
      <c r="J90" t="s">
        <v>17</v>
      </c>
      <c r="K90">
        <v>0.11</v>
      </c>
      <c r="L90" t="s">
        <v>18</v>
      </c>
      <c r="M90" t="s">
        <v>19</v>
      </c>
    </row>
    <row r="91" spans="1:13" x14ac:dyDescent="0.35">
      <c r="A91">
        <v>1086</v>
      </c>
      <c r="B91" s="1">
        <v>44592</v>
      </c>
      <c r="C91" t="s">
        <v>29</v>
      </c>
      <c r="D91" t="s">
        <v>30</v>
      </c>
      <c r="E91">
        <v>27973.13</v>
      </c>
      <c r="F91">
        <v>9</v>
      </c>
      <c r="G91" t="s">
        <v>26</v>
      </c>
      <c r="H91">
        <v>2799.23</v>
      </c>
      <c r="I91">
        <v>3262.5</v>
      </c>
      <c r="J91" t="s">
        <v>27</v>
      </c>
      <c r="K91">
        <v>0.05</v>
      </c>
      <c r="L91" t="s">
        <v>28</v>
      </c>
      <c r="M91" t="s">
        <v>19</v>
      </c>
    </row>
    <row r="92" spans="1:13" x14ac:dyDescent="0.35">
      <c r="A92">
        <v>1086</v>
      </c>
      <c r="B92" s="1">
        <v>44592</v>
      </c>
      <c r="C92" t="s">
        <v>32</v>
      </c>
      <c r="D92" t="s">
        <v>23</v>
      </c>
      <c r="E92">
        <v>6285.24</v>
      </c>
      <c r="F92">
        <v>4</v>
      </c>
      <c r="G92" t="s">
        <v>24</v>
      </c>
      <c r="H92">
        <v>339.33</v>
      </c>
      <c r="I92">
        <v>1636.78</v>
      </c>
      <c r="J92" t="s">
        <v>17</v>
      </c>
      <c r="K92">
        <v>0.04</v>
      </c>
      <c r="L92" t="s">
        <v>25</v>
      </c>
      <c r="M92" t="s">
        <v>19</v>
      </c>
    </row>
    <row r="93" spans="1:13" x14ac:dyDescent="0.35">
      <c r="A93">
        <v>1088</v>
      </c>
      <c r="B93" s="1">
        <v>44593</v>
      </c>
      <c r="C93" t="s">
        <v>29</v>
      </c>
      <c r="D93" t="s">
        <v>15</v>
      </c>
      <c r="E93">
        <v>56052.93</v>
      </c>
      <c r="F93">
        <v>12</v>
      </c>
      <c r="G93" t="s">
        <v>16</v>
      </c>
      <c r="H93">
        <v>4600.53</v>
      </c>
      <c r="I93">
        <v>4799.3100000000004</v>
      </c>
      <c r="J93" t="s">
        <v>27</v>
      </c>
      <c r="K93">
        <v>0.03</v>
      </c>
      <c r="L93" t="s">
        <v>25</v>
      </c>
      <c r="M93" t="s">
        <v>21</v>
      </c>
    </row>
    <row r="94" spans="1:13" x14ac:dyDescent="0.35">
      <c r="A94">
        <v>1062</v>
      </c>
      <c r="B94" s="1">
        <v>44593</v>
      </c>
      <c r="C94" t="s">
        <v>22</v>
      </c>
      <c r="D94" t="s">
        <v>15</v>
      </c>
      <c r="E94">
        <v>106976.48</v>
      </c>
      <c r="F94">
        <v>43</v>
      </c>
      <c r="G94" t="s">
        <v>26</v>
      </c>
      <c r="H94">
        <v>793.99</v>
      </c>
      <c r="I94">
        <v>3317.1</v>
      </c>
      <c r="J94" t="s">
        <v>27</v>
      </c>
      <c r="K94">
        <v>0.25</v>
      </c>
      <c r="L94" t="s">
        <v>28</v>
      </c>
      <c r="M94" t="s">
        <v>21</v>
      </c>
    </row>
    <row r="95" spans="1:13" x14ac:dyDescent="0.35">
      <c r="A95">
        <v>1081</v>
      </c>
      <c r="B95" s="1">
        <v>44594</v>
      </c>
      <c r="C95" t="s">
        <v>14</v>
      </c>
      <c r="D95" t="s">
        <v>20</v>
      </c>
      <c r="E95">
        <v>3247.37</v>
      </c>
      <c r="F95">
        <v>1</v>
      </c>
      <c r="G95" t="s">
        <v>31</v>
      </c>
      <c r="H95">
        <v>3178.1</v>
      </c>
      <c r="I95">
        <v>3266</v>
      </c>
      <c r="J95" t="s">
        <v>17</v>
      </c>
      <c r="K95">
        <v>0.01</v>
      </c>
      <c r="L95" t="s">
        <v>28</v>
      </c>
      <c r="M95" t="s">
        <v>19</v>
      </c>
    </row>
    <row r="96" spans="1:13" x14ac:dyDescent="0.35">
      <c r="A96">
        <v>1052</v>
      </c>
      <c r="B96" s="1">
        <v>44594</v>
      </c>
      <c r="C96" t="s">
        <v>29</v>
      </c>
      <c r="D96" t="s">
        <v>15</v>
      </c>
      <c r="E96">
        <v>17353.560000000001</v>
      </c>
      <c r="F96">
        <v>16</v>
      </c>
      <c r="G96" t="s">
        <v>31</v>
      </c>
      <c r="H96">
        <v>910.61</v>
      </c>
      <c r="I96">
        <v>1261.1600000000001</v>
      </c>
      <c r="J96" t="s">
        <v>17</v>
      </c>
      <c r="K96">
        <v>0.14000000000000001</v>
      </c>
      <c r="L96" t="s">
        <v>18</v>
      </c>
      <c r="M96" t="s">
        <v>19</v>
      </c>
    </row>
    <row r="97" spans="1:13" x14ac:dyDescent="0.35">
      <c r="A97">
        <v>1086</v>
      </c>
      <c r="B97" s="1">
        <v>44594</v>
      </c>
      <c r="C97" t="s">
        <v>33</v>
      </c>
      <c r="D97" t="s">
        <v>15</v>
      </c>
      <c r="E97">
        <v>163478.20000000001</v>
      </c>
      <c r="F97">
        <v>49</v>
      </c>
      <c r="G97" t="s">
        <v>16</v>
      </c>
      <c r="H97">
        <v>3163.57</v>
      </c>
      <c r="I97">
        <v>4570.26</v>
      </c>
      <c r="J97" t="s">
        <v>17</v>
      </c>
      <c r="K97">
        <v>0.27</v>
      </c>
      <c r="L97" t="s">
        <v>25</v>
      </c>
      <c r="M97" t="s">
        <v>19</v>
      </c>
    </row>
    <row r="98" spans="1:13" x14ac:dyDescent="0.35">
      <c r="A98">
        <v>1064</v>
      </c>
      <c r="B98" s="1">
        <v>44594</v>
      </c>
      <c r="C98" t="s">
        <v>33</v>
      </c>
      <c r="D98" t="s">
        <v>15</v>
      </c>
      <c r="E98">
        <v>37532</v>
      </c>
      <c r="F98">
        <v>20</v>
      </c>
      <c r="G98" t="s">
        <v>24</v>
      </c>
      <c r="H98">
        <v>1112.92</v>
      </c>
      <c r="I98">
        <v>2316.79</v>
      </c>
      <c r="J98" t="s">
        <v>27</v>
      </c>
      <c r="K98">
        <v>0.19</v>
      </c>
      <c r="L98" t="s">
        <v>25</v>
      </c>
      <c r="M98" t="s">
        <v>21</v>
      </c>
    </row>
    <row r="99" spans="1:13" x14ac:dyDescent="0.35">
      <c r="A99">
        <v>1088</v>
      </c>
      <c r="B99" s="1">
        <v>44594</v>
      </c>
      <c r="C99" t="s">
        <v>32</v>
      </c>
      <c r="D99" t="s">
        <v>30</v>
      </c>
      <c r="E99">
        <v>97128.02</v>
      </c>
      <c r="F99">
        <v>46</v>
      </c>
      <c r="G99" t="s">
        <v>16</v>
      </c>
      <c r="H99">
        <v>1421.94</v>
      </c>
      <c r="I99">
        <v>2154.5700000000002</v>
      </c>
      <c r="J99" t="s">
        <v>27</v>
      </c>
      <c r="K99">
        <v>0.02</v>
      </c>
      <c r="L99" t="s">
        <v>25</v>
      </c>
      <c r="M99" t="s">
        <v>21</v>
      </c>
    </row>
    <row r="100" spans="1:13" x14ac:dyDescent="0.35">
      <c r="A100">
        <v>1091</v>
      </c>
      <c r="B100" s="1">
        <v>44594</v>
      </c>
      <c r="C100" t="s">
        <v>29</v>
      </c>
      <c r="D100" t="s">
        <v>15</v>
      </c>
      <c r="E100">
        <v>145215.84</v>
      </c>
      <c r="F100">
        <v>39</v>
      </c>
      <c r="G100" t="s">
        <v>26</v>
      </c>
      <c r="H100">
        <v>1923.59</v>
      </c>
      <c r="I100">
        <v>4899.32</v>
      </c>
      <c r="J100" t="s">
        <v>17</v>
      </c>
      <c r="K100">
        <v>0.24</v>
      </c>
      <c r="L100" t="s">
        <v>18</v>
      </c>
      <c r="M100" t="s">
        <v>21</v>
      </c>
    </row>
    <row r="101" spans="1:13" x14ac:dyDescent="0.35">
      <c r="A101">
        <v>1047</v>
      </c>
      <c r="B101" s="1">
        <v>44594</v>
      </c>
      <c r="C101" t="s">
        <v>32</v>
      </c>
      <c r="D101" t="s">
        <v>20</v>
      </c>
      <c r="E101">
        <v>174040.56</v>
      </c>
      <c r="F101">
        <v>34</v>
      </c>
      <c r="G101" t="s">
        <v>24</v>
      </c>
      <c r="H101">
        <v>414.2</v>
      </c>
      <c r="I101">
        <v>5118.84</v>
      </c>
      <c r="J101" t="s">
        <v>27</v>
      </c>
      <c r="K101">
        <v>0</v>
      </c>
      <c r="L101" t="s">
        <v>25</v>
      </c>
      <c r="M101" t="s">
        <v>21</v>
      </c>
    </row>
    <row r="102" spans="1:13" x14ac:dyDescent="0.35">
      <c r="A102">
        <v>1040</v>
      </c>
      <c r="B102" s="1">
        <v>44595</v>
      </c>
      <c r="C102" t="s">
        <v>32</v>
      </c>
      <c r="D102" t="s">
        <v>20</v>
      </c>
      <c r="E102">
        <v>46360.38</v>
      </c>
      <c r="F102">
        <v>24</v>
      </c>
      <c r="G102" t="s">
        <v>24</v>
      </c>
      <c r="H102">
        <v>830.57</v>
      </c>
      <c r="I102">
        <v>2033.35</v>
      </c>
      <c r="J102" t="s">
        <v>17</v>
      </c>
      <c r="K102">
        <v>0.05</v>
      </c>
      <c r="L102" t="s">
        <v>18</v>
      </c>
      <c r="M102" t="s">
        <v>21</v>
      </c>
    </row>
    <row r="103" spans="1:13" x14ac:dyDescent="0.35">
      <c r="A103">
        <v>1012</v>
      </c>
      <c r="B103" s="1">
        <v>44595</v>
      </c>
      <c r="C103" t="s">
        <v>33</v>
      </c>
      <c r="D103" t="s">
        <v>15</v>
      </c>
      <c r="E103">
        <v>50869.21</v>
      </c>
      <c r="F103">
        <v>18</v>
      </c>
      <c r="G103" t="s">
        <v>31</v>
      </c>
      <c r="H103">
        <v>775.91</v>
      </c>
      <c r="I103">
        <v>3819.01</v>
      </c>
      <c r="J103" t="s">
        <v>17</v>
      </c>
      <c r="K103">
        <v>0.26</v>
      </c>
      <c r="L103" t="s">
        <v>18</v>
      </c>
      <c r="M103" t="s">
        <v>21</v>
      </c>
    </row>
    <row r="104" spans="1:13" x14ac:dyDescent="0.35">
      <c r="A104">
        <v>1070</v>
      </c>
      <c r="B104" s="1">
        <v>44596</v>
      </c>
      <c r="C104" t="s">
        <v>33</v>
      </c>
      <c r="D104" t="s">
        <v>15</v>
      </c>
      <c r="E104">
        <v>54861.9</v>
      </c>
      <c r="F104">
        <v>23</v>
      </c>
      <c r="G104" t="s">
        <v>16</v>
      </c>
      <c r="H104">
        <v>2368.65</v>
      </c>
      <c r="I104">
        <v>2385.3000000000002</v>
      </c>
      <c r="J104" t="s">
        <v>17</v>
      </c>
      <c r="K104">
        <v>0</v>
      </c>
      <c r="L104" t="s">
        <v>18</v>
      </c>
      <c r="M104" t="s">
        <v>21</v>
      </c>
    </row>
    <row r="105" spans="1:13" x14ac:dyDescent="0.35">
      <c r="A105">
        <v>1015</v>
      </c>
      <c r="B105" s="1">
        <v>44596</v>
      </c>
      <c r="C105" t="s">
        <v>32</v>
      </c>
      <c r="D105" t="s">
        <v>15</v>
      </c>
      <c r="E105">
        <v>116817.73</v>
      </c>
      <c r="F105">
        <v>33</v>
      </c>
      <c r="G105" t="s">
        <v>16</v>
      </c>
      <c r="H105">
        <v>3426.59</v>
      </c>
      <c r="I105">
        <v>3629.69</v>
      </c>
      <c r="J105" t="s">
        <v>17</v>
      </c>
      <c r="K105">
        <v>0.02</v>
      </c>
      <c r="L105" t="s">
        <v>18</v>
      </c>
      <c r="M105" t="s">
        <v>21</v>
      </c>
    </row>
    <row r="106" spans="1:13" x14ac:dyDescent="0.35">
      <c r="A106">
        <v>1085</v>
      </c>
      <c r="B106" s="1">
        <v>44596</v>
      </c>
      <c r="C106" t="s">
        <v>22</v>
      </c>
      <c r="D106" t="s">
        <v>30</v>
      </c>
      <c r="E106">
        <v>11121.84</v>
      </c>
      <c r="F106">
        <v>5</v>
      </c>
      <c r="G106" t="s">
        <v>31</v>
      </c>
      <c r="H106">
        <v>1344.04</v>
      </c>
      <c r="I106">
        <v>2527.69</v>
      </c>
      <c r="J106" t="s">
        <v>17</v>
      </c>
      <c r="K106">
        <v>0.12</v>
      </c>
      <c r="L106" t="s">
        <v>25</v>
      </c>
      <c r="M106" t="s">
        <v>21</v>
      </c>
    </row>
    <row r="107" spans="1:13" x14ac:dyDescent="0.35">
      <c r="A107">
        <v>1003</v>
      </c>
      <c r="B107" s="1">
        <v>44596</v>
      </c>
      <c r="C107" t="s">
        <v>33</v>
      </c>
      <c r="D107" t="s">
        <v>23</v>
      </c>
      <c r="E107">
        <v>167872.27</v>
      </c>
      <c r="F107">
        <v>41</v>
      </c>
      <c r="G107" t="s">
        <v>24</v>
      </c>
      <c r="H107">
        <v>1575.11</v>
      </c>
      <c r="I107">
        <v>4874.34</v>
      </c>
      <c r="J107" t="s">
        <v>17</v>
      </c>
      <c r="K107">
        <v>0.16</v>
      </c>
      <c r="L107" t="s">
        <v>25</v>
      </c>
      <c r="M107" t="s">
        <v>21</v>
      </c>
    </row>
    <row r="108" spans="1:13" x14ac:dyDescent="0.35">
      <c r="A108">
        <v>1036</v>
      </c>
      <c r="B108" s="1">
        <v>44597</v>
      </c>
      <c r="C108" t="s">
        <v>14</v>
      </c>
      <c r="D108" t="s">
        <v>23</v>
      </c>
      <c r="E108">
        <v>105853.09</v>
      </c>
      <c r="F108">
        <v>36</v>
      </c>
      <c r="G108" t="s">
        <v>16</v>
      </c>
      <c r="H108">
        <v>2924.26</v>
      </c>
      <c r="I108">
        <v>2950.92</v>
      </c>
      <c r="J108" t="s">
        <v>17</v>
      </c>
      <c r="K108">
        <v>0</v>
      </c>
      <c r="L108" t="s">
        <v>28</v>
      </c>
      <c r="M108" t="s">
        <v>19</v>
      </c>
    </row>
    <row r="109" spans="1:13" x14ac:dyDescent="0.35">
      <c r="A109">
        <v>1095</v>
      </c>
      <c r="B109" s="1">
        <v>44597</v>
      </c>
      <c r="C109" t="s">
        <v>32</v>
      </c>
      <c r="D109" t="s">
        <v>20</v>
      </c>
      <c r="E109">
        <v>10556.03</v>
      </c>
      <c r="F109">
        <v>7</v>
      </c>
      <c r="G109" t="s">
        <v>26</v>
      </c>
      <c r="H109">
        <v>1242.1600000000001</v>
      </c>
      <c r="I109">
        <v>1621.51</v>
      </c>
      <c r="J109" t="s">
        <v>27</v>
      </c>
      <c r="K109">
        <v>7.0000000000000007E-2</v>
      </c>
      <c r="L109" t="s">
        <v>25</v>
      </c>
      <c r="M109" t="s">
        <v>19</v>
      </c>
    </row>
    <row r="110" spans="1:13" x14ac:dyDescent="0.35">
      <c r="A110">
        <v>1037</v>
      </c>
      <c r="B110" s="1">
        <v>44597</v>
      </c>
      <c r="C110" t="s">
        <v>22</v>
      </c>
      <c r="D110" t="s">
        <v>23</v>
      </c>
      <c r="E110">
        <v>107368.67</v>
      </c>
      <c r="F110">
        <v>29</v>
      </c>
      <c r="G110" t="s">
        <v>16</v>
      </c>
      <c r="H110">
        <v>746.02</v>
      </c>
      <c r="I110">
        <v>5003.2</v>
      </c>
      <c r="J110" t="s">
        <v>17</v>
      </c>
      <c r="K110">
        <v>0.26</v>
      </c>
      <c r="L110" t="s">
        <v>18</v>
      </c>
      <c r="M110" t="s">
        <v>19</v>
      </c>
    </row>
    <row r="111" spans="1:13" x14ac:dyDescent="0.35">
      <c r="A111">
        <v>1043</v>
      </c>
      <c r="B111" s="1">
        <v>44598</v>
      </c>
      <c r="C111" t="s">
        <v>29</v>
      </c>
      <c r="D111" t="s">
        <v>15</v>
      </c>
      <c r="E111">
        <v>109465.42</v>
      </c>
      <c r="F111">
        <v>47</v>
      </c>
      <c r="G111" t="s">
        <v>26</v>
      </c>
      <c r="H111">
        <v>2008.15</v>
      </c>
      <c r="I111">
        <v>2348.36</v>
      </c>
      <c r="J111" t="s">
        <v>27</v>
      </c>
      <c r="K111">
        <v>0.01</v>
      </c>
      <c r="L111" t="s">
        <v>25</v>
      </c>
      <c r="M111" t="s">
        <v>19</v>
      </c>
    </row>
    <row r="112" spans="1:13" x14ac:dyDescent="0.35">
      <c r="A112">
        <v>1095</v>
      </c>
      <c r="B112" s="1">
        <v>44598</v>
      </c>
      <c r="C112" t="s">
        <v>14</v>
      </c>
      <c r="D112" t="s">
        <v>20</v>
      </c>
      <c r="E112">
        <v>109033.1</v>
      </c>
      <c r="F112">
        <v>37</v>
      </c>
      <c r="G112" t="s">
        <v>31</v>
      </c>
      <c r="H112">
        <v>2401.6799999999998</v>
      </c>
      <c r="I112">
        <v>2971.66</v>
      </c>
      <c r="J112" t="s">
        <v>17</v>
      </c>
      <c r="K112">
        <v>0.01</v>
      </c>
      <c r="L112" t="s">
        <v>25</v>
      </c>
      <c r="M112" t="s">
        <v>21</v>
      </c>
    </row>
    <row r="113" spans="1:13" x14ac:dyDescent="0.35">
      <c r="A113">
        <v>1008</v>
      </c>
      <c r="B113" s="1">
        <v>44598</v>
      </c>
      <c r="C113" t="s">
        <v>32</v>
      </c>
      <c r="D113" t="s">
        <v>20</v>
      </c>
      <c r="E113">
        <v>32933.18</v>
      </c>
      <c r="F113">
        <v>11</v>
      </c>
      <c r="G113" t="s">
        <v>26</v>
      </c>
      <c r="H113">
        <v>218.17</v>
      </c>
      <c r="I113">
        <v>4158.2299999999996</v>
      </c>
      <c r="J113" t="s">
        <v>17</v>
      </c>
      <c r="K113">
        <v>0.28000000000000003</v>
      </c>
      <c r="L113" t="s">
        <v>18</v>
      </c>
      <c r="M113" t="s">
        <v>21</v>
      </c>
    </row>
    <row r="114" spans="1:13" x14ac:dyDescent="0.35">
      <c r="A114">
        <v>1088</v>
      </c>
      <c r="B114" s="1">
        <v>44598</v>
      </c>
      <c r="C114" t="s">
        <v>32</v>
      </c>
      <c r="D114" t="s">
        <v>15</v>
      </c>
      <c r="E114">
        <v>228930.24</v>
      </c>
      <c r="F114">
        <v>44</v>
      </c>
      <c r="G114" t="s">
        <v>31</v>
      </c>
      <c r="H114">
        <v>4170.8500000000004</v>
      </c>
      <c r="I114">
        <v>5476.8</v>
      </c>
      <c r="J114" t="s">
        <v>17</v>
      </c>
      <c r="K114">
        <v>0.05</v>
      </c>
      <c r="L114" t="s">
        <v>18</v>
      </c>
      <c r="M114" t="s">
        <v>21</v>
      </c>
    </row>
    <row r="115" spans="1:13" x14ac:dyDescent="0.35">
      <c r="A115">
        <v>1036</v>
      </c>
      <c r="B115" s="1">
        <v>44598</v>
      </c>
      <c r="C115" t="s">
        <v>14</v>
      </c>
      <c r="D115" t="s">
        <v>30</v>
      </c>
      <c r="E115">
        <v>112394.26</v>
      </c>
      <c r="F115">
        <v>38</v>
      </c>
      <c r="G115" t="s">
        <v>31</v>
      </c>
      <c r="H115">
        <v>997.16</v>
      </c>
      <c r="I115">
        <v>2987.62</v>
      </c>
      <c r="J115" t="s">
        <v>17</v>
      </c>
      <c r="K115">
        <v>0.01</v>
      </c>
      <c r="L115" t="s">
        <v>25</v>
      </c>
      <c r="M115" t="s">
        <v>21</v>
      </c>
    </row>
    <row r="116" spans="1:13" x14ac:dyDescent="0.35">
      <c r="A116">
        <v>1014</v>
      </c>
      <c r="B116" s="1">
        <v>44599</v>
      </c>
      <c r="C116" t="s">
        <v>22</v>
      </c>
      <c r="D116" t="s">
        <v>20</v>
      </c>
      <c r="E116">
        <v>18425.919999999998</v>
      </c>
      <c r="F116">
        <v>5</v>
      </c>
      <c r="G116" t="s">
        <v>16</v>
      </c>
      <c r="H116">
        <v>1793.04</v>
      </c>
      <c r="I116">
        <v>4439.9799999999996</v>
      </c>
      <c r="J116" t="s">
        <v>27</v>
      </c>
      <c r="K116">
        <v>0.17</v>
      </c>
      <c r="L116" t="s">
        <v>25</v>
      </c>
      <c r="M116" t="s">
        <v>21</v>
      </c>
    </row>
    <row r="117" spans="1:13" x14ac:dyDescent="0.35">
      <c r="A117">
        <v>1033</v>
      </c>
      <c r="B117" s="1">
        <v>44599</v>
      </c>
      <c r="C117" t="s">
        <v>14</v>
      </c>
      <c r="D117" t="s">
        <v>20</v>
      </c>
      <c r="E117">
        <v>94591.26</v>
      </c>
      <c r="F117">
        <v>39</v>
      </c>
      <c r="G117" t="s">
        <v>16</v>
      </c>
      <c r="H117">
        <v>1410.43</v>
      </c>
      <c r="I117">
        <v>3416.08</v>
      </c>
      <c r="J117" t="s">
        <v>17</v>
      </c>
      <c r="K117">
        <v>0.28999999999999998</v>
      </c>
      <c r="L117" t="s">
        <v>18</v>
      </c>
      <c r="M117" t="s">
        <v>19</v>
      </c>
    </row>
    <row r="118" spans="1:13" x14ac:dyDescent="0.35">
      <c r="A118">
        <v>1064</v>
      </c>
      <c r="B118" s="1">
        <v>44599</v>
      </c>
      <c r="C118" t="s">
        <v>33</v>
      </c>
      <c r="D118" t="s">
        <v>15</v>
      </c>
      <c r="E118">
        <v>97581.03</v>
      </c>
      <c r="F118">
        <v>25</v>
      </c>
      <c r="G118" t="s">
        <v>24</v>
      </c>
      <c r="H118">
        <v>2071.8000000000002</v>
      </c>
      <c r="I118">
        <v>4702.7</v>
      </c>
      <c r="J118" t="s">
        <v>17</v>
      </c>
      <c r="K118">
        <v>0.17</v>
      </c>
      <c r="L118" t="s">
        <v>25</v>
      </c>
      <c r="M118" t="s">
        <v>21</v>
      </c>
    </row>
    <row r="119" spans="1:13" x14ac:dyDescent="0.35">
      <c r="A119">
        <v>1083</v>
      </c>
      <c r="B119" s="1">
        <v>44599</v>
      </c>
      <c r="C119" t="s">
        <v>29</v>
      </c>
      <c r="D119" t="s">
        <v>15</v>
      </c>
      <c r="E119">
        <v>91216.36</v>
      </c>
      <c r="F119">
        <v>27</v>
      </c>
      <c r="G119" t="s">
        <v>24</v>
      </c>
      <c r="H119">
        <v>1574.51</v>
      </c>
      <c r="I119">
        <v>4119.9799999999996</v>
      </c>
      <c r="J119" t="s">
        <v>17</v>
      </c>
      <c r="K119">
        <v>0.18</v>
      </c>
      <c r="L119" t="s">
        <v>18</v>
      </c>
      <c r="M119" t="s">
        <v>21</v>
      </c>
    </row>
    <row r="120" spans="1:13" x14ac:dyDescent="0.35">
      <c r="A120">
        <v>1056</v>
      </c>
      <c r="B120" s="1">
        <v>44599</v>
      </c>
      <c r="C120" t="s">
        <v>32</v>
      </c>
      <c r="D120" t="s">
        <v>20</v>
      </c>
      <c r="E120">
        <v>102398.44</v>
      </c>
      <c r="F120">
        <v>46</v>
      </c>
      <c r="G120" t="s">
        <v>26</v>
      </c>
      <c r="H120">
        <v>971.88</v>
      </c>
      <c r="I120">
        <v>2294.9</v>
      </c>
      <c r="J120" t="s">
        <v>17</v>
      </c>
      <c r="K120">
        <v>0.03</v>
      </c>
      <c r="L120" t="s">
        <v>28</v>
      </c>
      <c r="M120" t="s">
        <v>19</v>
      </c>
    </row>
    <row r="121" spans="1:13" x14ac:dyDescent="0.35">
      <c r="A121">
        <v>1004</v>
      </c>
      <c r="B121" s="1">
        <v>44601</v>
      </c>
      <c r="C121" t="s">
        <v>32</v>
      </c>
      <c r="D121" t="s">
        <v>23</v>
      </c>
      <c r="E121">
        <v>20560.61</v>
      </c>
      <c r="F121">
        <v>4</v>
      </c>
      <c r="G121" t="s">
        <v>31</v>
      </c>
      <c r="H121">
        <v>4934.78</v>
      </c>
      <c r="I121">
        <v>5192.18</v>
      </c>
      <c r="J121" t="s">
        <v>27</v>
      </c>
      <c r="K121">
        <v>0.01</v>
      </c>
      <c r="L121" t="s">
        <v>25</v>
      </c>
      <c r="M121" t="s">
        <v>21</v>
      </c>
    </row>
    <row r="122" spans="1:13" x14ac:dyDescent="0.35">
      <c r="A122">
        <v>1020</v>
      </c>
      <c r="B122" s="1">
        <v>44601</v>
      </c>
      <c r="C122" t="s">
        <v>29</v>
      </c>
      <c r="D122" t="s">
        <v>20</v>
      </c>
      <c r="E122">
        <v>17293.599999999999</v>
      </c>
      <c r="F122">
        <v>5</v>
      </c>
      <c r="G122" t="s">
        <v>31</v>
      </c>
      <c r="H122">
        <v>2966.15</v>
      </c>
      <c r="I122">
        <v>3458.72</v>
      </c>
      <c r="J122" t="s">
        <v>27</v>
      </c>
      <c r="K122">
        <v>0</v>
      </c>
      <c r="L122" t="s">
        <v>25</v>
      </c>
      <c r="M122" t="s">
        <v>19</v>
      </c>
    </row>
    <row r="123" spans="1:13" x14ac:dyDescent="0.35">
      <c r="A123">
        <v>1002</v>
      </c>
      <c r="B123" s="1">
        <v>44601</v>
      </c>
      <c r="C123" t="s">
        <v>14</v>
      </c>
      <c r="D123" t="s">
        <v>30</v>
      </c>
      <c r="E123">
        <v>47150.36</v>
      </c>
      <c r="F123">
        <v>30</v>
      </c>
      <c r="G123" t="s">
        <v>16</v>
      </c>
      <c r="H123">
        <v>694.5</v>
      </c>
      <c r="I123">
        <v>2123.89</v>
      </c>
      <c r="J123" t="s">
        <v>27</v>
      </c>
      <c r="K123">
        <v>0.26</v>
      </c>
      <c r="L123" t="s">
        <v>18</v>
      </c>
      <c r="M123" t="s">
        <v>19</v>
      </c>
    </row>
    <row r="124" spans="1:13" x14ac:dyDescent="0.35">
      <c r="A124">
        <v>1084</v>
      </c>
      <c r="B124" s="1">
        <v>44601</v>
      </c>
      <c r="C124" t="s">
        <v>22</v>
      </c>
      <c r="D124" t="s">
        <v>20</v>
      </c>
      <c r="E124">
        <v>48062.67</v>
      </c>
      <c r="F124">
        <v>20</v>
      </c>
      <c r="G124" t="s">
        <v>16</v>
      </c>
      <c r="H124">
        <v>287.06</v>
      </c>
      <c r="I124">
        <v>2700.15</v>
      </c>
      <c r="J124" t="s">
        <v>27</v>
      </c>
      <c r="K124">
        <v>0.11</v>
      </c>
      <c r="L124" t="s">
        <v>28</v>
      </c>
      <c r="M124" t="s">
        <v>19</v>
      </c>
    </row>
    <row r="125" spans="1:13" x14ac:dyDescent="0.35">
      <c r="A125">
        <v>1003</v>
      </c>
      <c r="B125" s="1">
        <v>44602</v>
      </c>
      <c r="C125" t="s">
        <v>33</v>
      </c>
      <c r="D125" t="s">
        <v>30</v>
      </c>
      <c r="E125">
        <v>15877.98</v>
      </c>
      <c r="F125">
        <v>4</v>
      </c>
      <c r="G125" t="s">
        <v>24</v>
      </c>
      <c r="H125">
        <v>845.48</v>
      </c>
      <c r="I125">
        <v>4410.55</v>
      </c>
      <c r="J125" t="s">
        <v>17</v>
      </c>
      <c r="K125">
        <v>0.1</v>
      </c>
      <c r="L125" t="s">
        <v>18</v>
      </c>
      <c r="M125" t="s">
        <v>21</v>
      </c>
    </row>
    <row r="126" spans="1:13" x14ac:dyDescent="0.35">
      <c r="A126">
        <v>1003</v>
      </c>
      <c r="B126" s="1">
        <v>44602</v>
      </c>
      <c r="C126" t="s">
        <v>22</v>
      </c>
      <c r="D126" t="s">
        <v>23</v>
      </c>
      <c r="E126">
        <v>79771.77</v>
      </c>
      <c r="F126">
        <v>26</v>
      </c>
      <c r="G126" t="s">
        <v>16</v>
      </c>
      <c r="H126">
        <v>1491.98</v>
      </c>
      <c r="I126">
        <v>4090.86</v>
      </c>
      <c r="J126" t="s">
        <v>27</v>
      </c>
      <c r="K126">
        <v>0.25</v>
      </c>
      <c r="L126" t="s">
        <v>25</v>
      </c>
      <c r="M126" t="s">
        <v>21</v>
      </c>
    </row>
    <row r="127" spans="1:13" x14ac:dyDescent="0.35">
      <c r="A127">
        <v>1039</v>
      </c>
      <c r="B127" s="1">
        <v>44602</v>
      </c>
      <c r="C127" t="s">
        <v>33</v>
      </c>
      <c r="D127" t="s">
        <v>20</v>
      </c>
      <c r="E127">
        <v>60898.559999999998</v>
      </c>
      <c r="F127">
        <v>25</v>
      </c>
      <c r="G127" t="s">
        <v>16</v>
      </c>
      <c r="H127">
        <v>485.23</v>
      </c>
      <c r="I127">
        <v>2537.44</v>
      </c>
      <c r="J127" t="s">
        <v>17</v>
      </c>
      <c r="K127">
        <v>0.04</v>
      </c>
      <c r="L127" t="s">
        <v>25</v>
      </c>
      <c r="M127" t="s">
        <v>19</v>
      </c>
    </row>
    <row r="128" spans="1:13" x14ac:dyDescent="0.35">
      <c r="A128">
        <v>1098</v>
      </c>
      <c r="B128" s="1">
        <v>44602</v>
      </c>
      <c r="C128" t="s">
        <v>29</v>
      </c>
      <c r="D128" t="s">
        <v>23</v>
      </c>
      <c r="E128">
        <v>145620.85</v>
      </c>
      <c r="F128">
        <v>43</v>
      </c>
      <c r="G128" t="s">
        <v>31</v>
      </c>
      <c r="H128">
        <v>1556.35</v>
      </c>
      <c r="I128">
        <v>3564.77</v>
      </c>
      <c r="J128" t="s">
        <v>27</v>
      </c>
      <c r="K128">
        <v>0.05</v>
      </c>
      <c r="L128" t="s">
        <v>25</v>
      </c>
      <c r="M128" t="s">
        <v>19</v>
      </c>
    </row>
    <row r="129" spans="1:13" x14ac:dyDescent="0.35">
      <c r="A129">
        <v>1074</v>
      </c>
      <c r="B129" s="1">
        <v>44603</v>
      </c>
      <c r="C129" t="s">
        <v>29</v>
      </c>
      <c r="D129" t="s">
        <v>30</v>
      </c>
      <c r="E129">
        <v>57564.47</v>
      </c>
      <c r="F129">
        <v>18</v>
      </c>
      <c r="G129" t="s">
        <v>16</v>
      </c>
      <c r="H129">
        <v>2573.23</v>
      </c>
      <c r="I129">
        <v>3256.99</v>
      </c>
      <c r="J129" t="s">
        <v>17</v>
      </c>
      <c r="K129">
        <v>0.02</v>
      </c>
      <c r="L129" t="s">
        <v>25</v>
      </c>
      <c r="M129" t="s">
        <v>19</v>
      </c>
    </row>
    <row r="130" spans="1:13" x14ac:dyDescent="0.35">
      <c r="A130">
        <v>1077</v>
      </c>
      <c r="B130" s="1">
        <v>44603</v>
      </c>
      <c r="C130" t="s">
        <v>22</v>
      </c>
      <c r="D130" t="s">
        <v>15</v>
      </c>
      <c r="E130">
        <v>200912.15</v>
      </c>
      <c r="F130">
        <v>50</v>
      </c>
      <c r="G130" t="s">
        <v>24</v>
      </c>
      <c r="H130">
        <v>3728.96</v>
      </c>
      <c r="I130">
        <v>4095.24</v>
      </c>
      <c r="J130" t="s">
        <v>17</v>
      </c>
      <c r="K130">
        <v>0.02</v>
      </c>
      <c r="L130" t="s">
        <v>18</v>
      </c>
      <c r="M130" t="s">
        <v>19</v>
      </c>
    </row>
    <row r="131" spans="1:13" x14ac:dyDescent="0.35">
      <c r="A131">
        <v>1062</v>
      </c>
      <c r="B131" s="1">
        <v>44604</v>
      </c>
      <c r="C131" t="s">
        <v>22</v>
      </c>
      <c r="D131" t="s">
        <v>30</v>
      </c>
      <c r="E131">
        <v>10454.44</v>
      </c>
      <c r="F131">
        <v>13</v>
      </c>
      <c r="G131" t="s">
        <v>31</v>
      </c>
      <c r="H131">
        <v>419.24</v>
      </c>
      <c r="I131">
        <v>1044.4000000000001</v>
      </c>
      <c r="J131" t="s">
        <v>27</v>
      </c>
      <c r="K131">
        <v>0.23</v>
      </c>
      <c r="L131" t="s">
        <v>18</v>
      </c>
      <c r="M131" t="s">
        <v>19</v>
      </c>
    </row>
    <row r="132" spans="1:13" x14ac:dyDescent="0.35">
      <c r="A132">
        <v>1077</v>
      </c>
      <c r="B132" s="1">
        <v>44604</v>
      </c>
      <c r="C132" t="s">
        <v>29</v>
      </c>
      <c r="D132" t="s">
        <v>23</v>
      </c>
      <c r="E132">
        <v>154484</v>
      </c>
      <c r="F132">
        <v>37</v>
      </c>
      <c r="G132" t="s">
        <v>16</v>
      </c>
      <c r="H132">
        <v>4036.28</v>
      </c>
      <c r="I132">
        <v>4211.43</v>
      </c>
      <c r="J132" t="s">
        <v>17</v>
      </c>
      <c r="K132">
        <v>0.01</v>
      </c>
      <c r="L132" t="s">
        <v>25</v>
      </c>
      <c r="M132" t="s">
        <v>19</v>
      </c>
    </row>
    <row r="133" spans="1:13" x14ac:dyDescent="0.35">
      <c r="A133">
        <v>1021</v>
      </c>
      <c r="B133" s="1">
        <v>44605</v>
      </c>
      <c r="C133" t="s">
        <v>14</v>
      </c>
      <c r="D133" t="s">
        <v>30</v>
      </c>
      <c r="E133">
        <v>128000.72</v>
      </c>
      <c r="F133">
        <v>26</v>
      </c>
      <c r="G133" t="s">
        <v>16</v>
      </c>
      <c r="H133">
        <v>4856.8999999999996</v>
      </c>
      <c r="I133">
        <v>4953.79</v>
      </c>
      <c r="J133" t="s">
        <v>27</v>
      </c>
      <c r="K133">
        <v>0.01</v>
      </c>
      <c r="L133" t="s">
        <v>25</v>
      </c>
      <c r="M133" t="s">
        <v>19</v>
      </c>
    </row>
    <row r="134" spans="1:13" x14ac:dyDescent="0.35">
      <c r="A134">
        <v>1021</v>
      </c>
      <c r="B134" s="1">
        <v>44605</v>
      </c>
      <c r="C134" t="s">
        <v>33</v>
      </c>
      <c r="D134" t="s">
        <v>30</v>
      </c>
      <c r="E134">
        <v>35107.56</v>
      </c>
      <c r="F134">
        <v>49</v>
      </c>
      <c r="G134" t="s">
        <v>31</v>
      </c>
      <c r="H134">
        <v>410.83</v>
      </c>
      <c r="I134">
        <v>738.64</v>
      </c>
      <c r="J134" t="s">
        <v>27</v>
      </c>
      <c r="K134">
        <v>0.03</v>
      </c>
      <c r="L134" t="s">
        <v>28</v>
      </c>
      <c r="M134" t="s">
        <v>21</v>
      </c>
    </row>
    <row r="135" spans="1:13" x14ac:dyDescent="0.35">
      <c r="A135">
        <v>1021</v>
      </c>
      <c r="B135" s="1">
        <v>44605</v>
      </c>
      <c r="C135" t="s">
        <v>32</v>
      </c>
      <c r="D135" t="s">
        <v>15</v>
      </c>
      <c r="E135">
        <v>42711.68</v>
      </c>
      <c r="F135">
        <v>10</v>
      </c>
      <c r="G135" t="s">
        <v>31</v>
      </c>
      <c r="H135">
        <v>2043.48</v>
      </c>
      <c r="I135">
        <v>4853.6000000000004</v>
      </c>
      <c r="J135" t="s">
        <v>17</v>
      </c>
      <c r="K135">
        <v>0.12</v>
      </c>
      <c r="L135" t="s">
        <v>28</v>
      </c>
      <c r="M135" t="s">
        <v>21</v>
      </c>
    </row>
    <row r="136" spans="1:13" x14ac:dyDescent="0.35">
      <c r="A136">
        <v>1089</v>
      </c>
      <c r="B136" s="1">
        <v>44605</v>
      </c>
      <c r="C136" t="s">
        <v>33</v>
      </c>
      <c r="D136" t="s">
        <v>15</v>
      </c>
      <c r="E136">
        <v>89752.14</v>
      </c>
      <c r="F136">
        <v>30</v>
      </c>
      <c r="G136" t="s">
        <v>16</v>
      </c>
      <c r="H136">
        <v>1133.5899999999999</v>
      </c>
      <c r="I136">
        <v>3182.7</v>
      </c>
      <c r="J136" t="s">
        <v>17</v>
      </c>
      <c r="K136">
        <v>0.06</v>
      </c>
      <c r="L136" t="s">
        <v>25</v>
      </c>
      <c r="M136" t="s">
        <v>21</v>
      </c>
    </row>
    <row r="137" spans="1:13" x14ac:dyDescent="0.35">
      <c r="A137">
        <v>1094</v>
      </c>
      <c r="B137" s="1">
        <v>44605</v>
      </c>
      <c r="C137" t="s">
        <v>22</v>
      </c>
      <c r="D137" t="s">
        <v>23</v>
      </c>
      <c r="E137">
        <v>170253.06</v>
      </c>
      <c r="F137">
        <v>39</v>
      </c>
      <c r="G137" t="s">
        <v>16</v>
      </c>
      <c r="H137">
        <v>1905.55</v>
      </c>
      <c r="I137">
        <v>5196.9799999999996</v>
      </c>
      <c r="J137" t="s">
        <v>17</v>
      </c>
      <c r="K137">
        <v>0.16</v>
      </c>
      <c r="L137" t="s">
        <v>25</v>
      </c>
      <c r="M137" t="s">
        <v>19</v>
      </c>
    </row>
    <row r="138" spans="1:13" x14ac:dyDescent="0.35">
      <c r="A138">
        <v>1082</v>
      </c>
      <c r="B138" s="1">
        <v>44606</v>
      </c>
      <c r="C138" t="s">
        <v>29</v>
      </c>
      <c r="D138" t="s">
        <v>23</v>
      </c>
      <c r="E138">
        <v>21542.07</v>
      </c>
      <c r="F138">
        <v>5</v>
      </c>
      <c r="G138" t="s">
        <v>31</v>
      </c>
      <c r="H138">
        <v>3583.44</v>
      </c>
      <c r="I138">
        <v>4952.2</v>
      </c>
      <c r="J138" t="s">
        <v>17</v>
      </c>
      <c r="K138">
        <v>0.13</v>
      </c>
      <c r="L138" t="s">
        <v>28</v>
      </c>
      <c r="M138" t="s">
        <v>21</v>
      </c>
    </row>
    <row r="139" spans="1:13" x14ac:dyDescent="0.35">
      <c r="A139">
        <v>1039</v>
      </c>
      <c r="B139" s="1">
        <v>44606</v>
      </c>
      <c r="C139" t="s">
        <v>32</v>
      </c>
      <c r="D139" t="s">
        <v>23</v>
      </c>
      <c r="E139">
        <v>30420.33</v>
      </c>
      <c r="F139">
        <v>25</v>
      </c>
      <c r="G139" t="s">
        <v>31</v>
      </c>
      <c r="H139">
        <v>430.76</v>
      </c>
      <c r="I139">
        <v>1466.04</v>
      </c>
      <c r="J139" t="s">
        <v>17</v>
      </c>
      <c r="K139">
        <v>0.17</v>
      </c>
      <c r="L139" t="s">
        <v>25</v>
      </c>
      <c r="M139" t="s">
        <v>21</v>
      </c>
    </row>
    <row r="140" spans="1:13" x14ac:dyDescent="0.35">
      <c r="A140">
        <v>1049</v>
      </c>
      <c r="B140" s="1">
        <v>44606</v>
      </c>
      <c r="C140" t="s">
        <v>22</v>
      </c>
      <c r="D140" t="s">
        <v>30</v>
      </c>
      <c r="E140">
        <v>23056.080000000002</v>
      </c>
      <c r="F140">
        <v>9</v>
      </c>
      <c r="G140" t="s">
        <v>31</v>
      </c>
      <c r="H140">
        <v>124.96</v>
      </c>
      <c r="I140">
        <v>3124.13</v>
      </c>
      <c r="J140" t="s">
        <v>17</v>
      </c>
      <c r="K140">
        <v>0.18</v>
      </c>
      <c r="L140" t="s">
        <v>25</v>
      </c>
      <c r="M140" t="s">
        <v>21</v>
      </c>
    </row>
    <row r="141" spans="1:13" x14ac:dyDescent="0.35">
      <c r="A141">
        <v>1036</v>
      </c>
      <c r="B141" s="1">
        <v>44607</v>
      </c>
      <c r="C141" t="s">
        <v>33</v>
      </c>
      <c r="D141" t="s">
        <v>15</v>
      </c>
      <c r="E141">
        <v>46227.94</v>
      </c>
      <c r="F141">
        <v>15</v>
      </c>
      <c r="G141" t="s">
        <v>31</v>
      </c>
      <c r="H141">
        <v>2490.6</v>
      </c>
      <c r="I141">
        <v>4109.1499999999996</v>
      </c>
      <c r="J141" t="s">
        <v>17</v>
      </c>
      <c r="K141">
        <v>0.25</v>
      </c>
      <c r="L141" t="s">
        <v>28</v>
      </c>
      <c r="M141" t="s">
        <v>19</v>
      </c>
    </row>
    <row r="142" spans="1:13" x14ac:dyDescent="0.35">
      <c r="A142">
        <v>1013</v>
      </c>
      <c r="B142" s="1">
        <v>44607</v>
      </c>
      <c r="C142" t="s">
        <v>29</v>
      </c>
      <c r="D142" t="s">
        <v>20</v>
      </c>
      <c r="E142">
        <v>190730.34</v>
      </c>
      <c r="F142">
        <v>48</v>
      </c>
      <c r="G142" t="s">
        <v>26</v>
      </c>
      <c r="H142">
        <v>3352.59</v>
      </c>
      <c r="I142">
        <v>4044.61</v>
      </c>
      <c r="J142" t="s">
        <v>17</v>
      </c>
      <c r="K142">
        <v>0.02</v>
      </c>
      <c r="L142" t="s">
        <v>25</v>
      </c>
      <c r="M142" t="s">
        <v>21</v>
      </c>
    </row>
    <row r="143" spans="1:13" x14ac:dyDescent="0.35">
      <c r="A143">
        <v>1024</v>
      </c>
      <c r="B143" s="1">
        <v>44607</v>
      </c>
      <c r="C143" t="s">
        <v>22</v>
      </c>
      <c r="D143" t="s">
        <v>23</v>
      </c>
      <c r="E143">
        <v>117100.26</v>
      </c>
      <c r="F143">
        <v>44</v>
      </c>
      <c r="G143" t="s">
        <v>26</v>
      </c>
      <c r="H143">
        <v>832.54</v>
      </c>
      <c r="I143">
        <v>2772.26</v>
      </c>
      <c r="J143" t="s">
        <v>17</v>
      </c>
      <c r="K143">
        <v>0.04</v>
      </c>
      <c r="L143" t="s">
        <v>18</v>
      </c>
      <c r="M143" t="s">
        <v>21</v>
      </c>
    </row>
    <row r="144" spans="1:13" x14ac:dyDescent="0.35">
      <c r="A144">
        <v>1062</v>
      </c>
      <c r="B144" s="1">
        <v>44608</v>
      </c>
      <c r="C144" t="s">
        <v>33</v>
      </c>
      <c r="D144" t="s">
        <v>20</v>
      </c>
      <c r="E144">
        <v>8696.1299999999992</v>
      </c>
      <c r="F144">
        <v>19</v>
      </c>
      <c r="G144" t="s">
        <v>31</v>
      </c>
      <c r="H144">
        <v>140.46</v>
      </c>
      <c r="I144">
        <v>497.49</v>
      </c>
      <c r="J144" t="s">
        <v>17</v>
      </c>
      <c r="K144">
        <v>0.08</v>
      </c>
      <c r="L144" t="s">
        <v>18</v>
      </c>
      <c r="M144" t="s">
        <v>19</v>
      </c>
    </row>
    <row r="145" spans="1:13" x14ac:dyDescent="0.35">
      <c r="A145">
        <v>1064</v>
      </c>
      <c r="B145" s="1">
        <v>44609</v>
      </c>
      <c r="C145" t="s">
        <v>29</v>
      </c>
      <c r="D145" t="s">
        <v>30</v>
      </c>
      <c r="E145">
        <v>45103.31</v>
      </c>
      <c r="F145">
        <v>26</v>
      </c>
      <c r="G145" t="s">
        <v>24</v>
      </c>
      <c r="H145">
        <v>1683.77</v>
      </c>
      <c r="I145">
        <v>2312.9899999999998</v>
      </c>
      <c r="J145" t="s">
        <v>27</v>
      </c>
      <c r="K145">
        <v>0.25</v>
      </c>
      <c r="L145" t="s">
        <v>18</v>
      </c>
      <c r="M145" t="s">
        <v>19</v>
      </c>
    </row>
    <row r="146" spans="1:13" x14ac:dyDescent="0.35">
      <c r="A146">
        <v>1042</v>
      </c>
      <c r="B146" s="1">
        <v>44609</v>
      </c>
      <c r="C146" t="s">
        <v>22</v>
      </c>
      <c r="D146" t="s">
        <v>20</v>
      </c>
      <c r="E146">
        <v>132226.79999999999</v>
      </c>
      <c r="F146">
        <v>34</v>
      </c>
      <c r="G146" t="s">
        <v>24</v>
      </c>
      <c r="H146">
        <v>2124.9499999999998</v>
      </c>
      <c r="I146">
        <v>4629.79</v>
      </c>
      <c r="J146" t="s">
        <v>27</v>
      </c>
      <c r="K146">
        <v>0.16</v>
      </c>
      <c r="L146" t="s">
        <v>25</v>
      </c>
      <c r="M146" t="s">
        <v>21</v>
      </c>
    </row>
    <row r="147" spans="1:13" x14ac:dyDescent="0.35">
      <c r="A147">
        <v>1022</v>
      </c>
      <c r="B147" s="1">
        <v>44610</v>
      </c>
      <c r="C147" t="s">
        <v>22</v>
      </c>
      <c r="D147" t="s">
        <v>15</v>
      </c>
      <c r="E147">
        <v>57352.84</v>
      </c>
      <c r="F147">
        <v>14</v>
      </c>
      <c r="G147" t="s">
        <v>24</v>
      </c>
      <c r="H147">
        <v>3885.87</v>
      </c>
      <c r="I147">
        <v>4404.9799999999996</v>
      </c>
      <c r="J147" t="s">
        <v>27</v>
      </c>
      <c r="K147">
        <v>7.0000000000000007E-2</v>
      </c>
      <c r="L147" t="s">
        <v>28</v>
      </c>
      <c r="M147" t="s">
        <v>19</v>
      </c>
    </row>
    <row r="148" spans="1:13" x14ac:dyDescent="0.35">
      <c r="A148">
        <v>1022</v>
      </c>
      <c r="B148" s="1">
        <v>44610</v>
      </c>
      <c r="C148" t="s">
        <v>22</v>
      </c>
      <c r="D148" t="s">
        <v>15</v>
      </c>
      <c r="E148">
        <v>63692.2</v>
      </c>
      <c r="F148">
        <v>30</v>
      </c>
      <c r="G148" t="s">
        <v>16</v>
      </c>
      <c r="H148">
        <v>1835.94</v>
      </c>
      <c r="I148">
        <v>2131.1</v>
      </c>
      <c r="J148" t="s">
        <v>17</v>
      </c>
      <c r="K148">
        <v>0</v>
      </c>
      <c r="L148" t="s">
        <v>25</v>
      </c>
      <c r="M148" t="s">
        <v>21</v>
      </c>
    </row>
    <row r="149" spans="1:13" x14ac:dyDescent="0.35">
      <c r="A149">
        <v>1039</v>
      </c>
      <c r="B149" s="1">
        <v>44610</v>
      </c>
      <c r="C149" t="s">
        <v>22</v>
      </c>
      <c r="D149" t="s">
        <v>15</v>
      </c>
      <c r="E149">
        <v>88663.58</v>
      </c>
      <c r="F149">
        <v>25</v>
      </c>
      <c r="G149" t="s">
        <v>24</v>
      </c>
      <c r="H149">
        <v>2774.66</v>
      </c>
      <c r="I149">
        <v>3984.88</v>
      </c>
      <c r="J149" t="s">
        <v>27</v>
      </c>
      <c r="K149">
        <v>0.11</v>
      </c>
      <c r="L149" t="s">
        <v>25</v>
      </c>
      <c r="M149" t="s">
        <v>21</v>
      </c>
    </row>
    <row r="150" spans="1:13" x14ac:dyDescent="0.35">
      <c r="A150">
        <v>1051</v>
      </c>
      <c r="B150" s="1">
        <v>44610</v>
      </c>
      <c r="C150" t="s">
        <v>32</v>
      </c>
      <c r="D150" t="s">
        <v>20</v>
      </c>
      <c r="E150">
        <v>91796.83</v>
      </c>
      <c r="F150">
        <v>25</v>
      </c>
      <c r="G150" t="s">
        <v>24</v>
      </c>
      <c r="H150">
        <v>2653.66</v>
      </c>
      <c r="I150">
        <v>4125.7</v>
      </c>
      <c r="J150" t="s">
        <v>17</v>
      </c>
      <c r="K150">
        <v>0.11</v>
      </c>
      <c r="L150" t="s">
        <v>18</v>
      </c>
      <c r="M150" t="s">
        <v>21</v>
      </c>
    </row>
    <row r="151" spans="1:13" x14ac:dyDescent="0.35">
      <c r="A151">
        <v>1088</v>
      </c>
      <c r="B151" s="1">
        <v>44610</v>
      </c>
      <c r="C151" t="s">
        <v>29</v>
      </c>
      <c r="D151" t="s">
        <v>15</v>
      </c>
      <c r="E151">
        <v>51792.79</v>
      </c>
      <c r="F151">
        <v>12</v>
      </c>
      <c r="G151" t="s">
        <v>31</v>
      </c>
      <c r="H151">
        <v>1925.94</v>
      </c>
      <c r="I151">
        <v>4904.62</v>
      </c>
      <c r="J151" t="s">
        <v>17</v>
      </c>
      <c r="K151">
        <v>0.12</v>
      </c>
      <c r="L151" t="s">
        <v>28</v>
      </c>
      <c r="M151" t="s">
        <v>21</v>
      </c>
    </row>
    <row r="152" spans="1:13" x14ac:dyDescent="0.35">
      <c r="A152">
        <v>1067</v>
      </c>
      <c r="B152" s="1">
        <v>44611</v>
      </c>
      <c r="C152" t="s">
        <v>29</v>
      </c>
      <c r="D152" t="s">
        <v>30</v>
      </c>
      <c r="E152">
        <v>244476.58</v>
      </c>
      <c r="F152">
        <v>47</v>
      </c>
      <c r="G152" t="s">
        <v>31</v>
      </c>
      <c r="H152">
        <v>4827.3500000000004</v>
      </c>
      <c r="I152">
        <v>5431.53</v>
      </c>
      <c r="J152" t="s">
        <v>17</v>
      </c>
      <c r="K152">
        <v>0.04</v>
      </c>
      <c r="L152" t="s">
        <v>18</v>
      </c>
      <c r="M152" t="s">
        <v>21</v>
      </c>
    </row>
    <row r="153" spans="1:13" x14ac:dyDescent="0.35">
      <c r="A153">
        <v>1063</v>
      </c>
      <c r="B153" s="1">
        <v>44611</v>
      </c>
      <c r="C153" t="s">
        <v>29</v>
      </c>
      <c r="D153" t="s">
        <v>15</v>
      </c>
      <c r="E153">
        <v>34317.33</v>
      </c>
      <c r="F153">
        <v>20</v>
      </c>
      <c r="G153" t="s">
        <v>26</v>
      </c>
      <c r="H153">
        <v>731.85</v>
      </c>
      <c r="I153">
        <v>1825.39</v>
      </c>
      <c r="J153" t="s">
        <v>17</v>
      </c>
      <c r="K153">
        <v>0.06</v>
      </c>
      <c r="L153" t="s">
        <v>18</v>
      </c>
      <c r="M153" t="s">
        <v>21</v>
      </c>
    </row>
    <row r="154" spans="1:13" x14ac:dyDescent="0.35">
      <c r="A154">
        <v>1035</v>
      </c>
      <c r="B154" s="1">
        <v>44611</v>
      </c>
      <c r="C154" t="s">
        <v>33</v>
      </c>
      <c r="D154" t="s">
        <v>20</v>
      </c>
      <c r="E154">
        <v>141265.79999999999</v>
      </c>
      <c r="F154">
        <v>34</v>
      </c>
      <c r="G154" t="s">
        <v>24</v>
      </c>
      <c r="H154">
        <v>2791.06</v>
      </c>
      <c r="I154">
        <v>4239.67</v>
      </c>
      <c r="J154" t="s">
        <v>17</v>
      </c>
      <c r="K154">
        <v>0.02</v>
      </c>
      <c r="L154" t="s">
        <v>18</v>
      </c>
      <c r="M154" t="s">
        <v>19</v>
      </c>
    </row>
    <row r="155" spans="1:13" x14ac:dyDescent="0.35">
      <c r="A155">
        <v>1035</v>
      </c>
      <c r="B155" s="1">
        <v>44611</v>
      </c>
      <c r="C155" t="s">
        <v>33</v>
      </c>
      <c r="D155" t="s">
        <v>23</v>
      </c>
      <c r="E155">
        <v>108389.65</v>
      </c>
      <c r="F155">
        <v>44</v>
      </c>
      <c r="G155" t="s">
        <v>26</v>
      </c>
      <c r="H155">
        <v>224.71</v>
      </c>
      <c r="I155">
        <v>2677.61</v>
      </c>
      <c r="J155" t="s">
        <v>17</v>
      </c>
      <c r="K155">
        <v>0.08</v>
      </c>
      <c r="L155" t="s">
        <v>25</v>
      </c>
      <c r="M155" t="s">
        <v>21</v>
      </c>
    </row>
    <row r="156" spans="1:13" x14ac:dyDescent="0.35">
      <c r="A156">
        <v>1045</v>
      </c>
      <c r="B156" s="1">
        <v>44612</v>
      </c>
      <c r="C156" t="s">
        <v>29</v>
      </c>
      <c r="D156" t="s">
        <v>30</v>
      </c>
      <c r="E156">
        <v>131245.5</v>
      </c>
      <c r="F156">
        <v>42</v>
      </c>
      <c r="G156" t="s">
        <v>26</v>
      </c>
      <c r="H156">
        <v>3085.6</v>
      </c>
      <c r="I156">
        <v>3163.7</v>
      </c>
      <c r="J156" t="s">
        <v>17</v>
      </c>
      <c r="K156">
        <v>0.01</v>
      </c>
      <c r="L156" t="s">
        <v>18</v>
      </c>
      <c r="M156" t="s">
        <v>19</v>
      </c>
    </row>
    <row r="157" spans="1:13" x14ac:dyDescent="0.35">
      <c r="A157">
        <v>1074</v>
      </c>
      <c r="B157" s="1">
        <v>44612</v>
      </c>
      <c r="C157" t="s">
        <v>29</v>
      </c>
      <c r="D157" t="s">
        <v>15</v>
      </c>
      <c r="E157">
        <v>50245.81</v>
      </c>
      <c r="F157">
        <v>28</v>
      </c>
      <c r="G157" t="s">
        <v>26</v>
      </c>
      <c r="H157">
        <v>1028.24</v>
      </c>
      <c r="I157">
        <v>2086.62</v>
      </c>
      <c r="J157" t="s">
        <v>27</v>
      </c>
      <c r="K157">
        <v>0.14000000000000001</v>
      </c>
      <c r="L157" t="s">
        <v>25</v>
      </c>
      <c r="M157" t="s">
        <v>19</v>
      </c>
    </row>
    <row r="158" spans="1:13" x14ac:dyDescent="0.35">
      <c r="A158">
        <v>1099</v>
      </c>
      <c r="B158" s="1">
        <v>44612</v>
      </c>
      <c r="C158" t="s">
        <v>22</v>
      </c>
      <c r="D158" t="s">
        <v>30</v>
      </c>
      <c r="E158">
        <v>216832.54</v>
      </c>
      <c r="F158">
        <v>42</v>
      </c>
      <c r="G158" t="s">
        <v>16</v>
      </c>
      <c r="H158">
        <v>1284.23</v>
      </c>
      <c r="I158">
        <v>5322.35</v>
      </c>
      <c r="J158" t="s">
        <v>17</v>
      </c>
      <c r="K158">
        <v>0.03</v>
      </c>
      <c r="L158" t="s">
        <v>25</v>
      </c>
      <c r="M158" t="s">
        <v>19</v>
      </c>
    </row>
    <row r="159" spans="1:13" x14ac:dyDescent="0.35">
      <c r="A159">
        <v>1084</v>
      </c>
      <c r="B159" s="1">
        <v>44614</v>
      </c>
      <c r="C159" t="s">
        <v>22</v>
      </c>
      <c r="D159" t="s">
        <v>20</v>
      </c>
      <c r="E159">
        <v>43239.89</v>
      </c>
      <c r="F159">
        <v>37</v>
      </c>
      <c r="G159" t="s">
        <v>31</v>
      </c>
      <c r="H159">
        <v>1148.82</v>
      </c>
      <c r="I159">
        <v>1205.3900000000001</v>
      </c>
      <c r="J159" t="s">
        <v>27</v>
      </c>
      <c r="K159">
        <v>0.03</v>
      </c>
      <c r="L159" t="s">
        <v>25</v>
      </c>
      <c r="M159" t="s">
        <v>19</v>
      </c>
    </row>
    <row r="160" spans="1:13" x14ac:dyDescent="0.35">
      <c r="A160">
        <v>1073</v>
      </c>
      <c r="B160" s="1">
        <v>44614</v>
      </c>
      <c r="C160" t="s">
        <v>32</v>
      </c>
      <c r="D160" t="s">
        <v>15</v>
      </c>
      <c r="E160">
        <v>60458.36</v>
      </c>
      <c r="F160">
        <v>34</v>
      </c>
      <c r="G160" t="s">
        <v>31</v>
      </c>
      <c r="H160">
        <v>1042.3</v>
      </c>
      <c r="I160">
        <v>2339.7199999999998</v>
      </c>
      <c r="J160" t="s">
        <v>27</v>
      </c>
      <c r="K160">
        <v>0.24</v>
      </c>
      <c r="L160" t="s">
        <v>25</v>
      </c>
      <c r="M160" t="s">
        <v>19</v>
      </c>
    </row>
    <row r="161" spans="1:13" x14ac:dyDescent="0.35">
      <c r="A161">
        <v>1014</v>
      </c>
      <c r="B161" s="1">
        <v>44614</v>
      </c>
      <c r="C161" t="s">
        <v>33</v>
      </c>
      <c r="D161" t="s">
        <v>20</v>
      </c>
      <c r="E161">
        <v>150294.25</v>
      </c>
      <c r="F161">
        <v>50</v>
      </c>
      <c r="G161" t="s">
        <v>24</v>
      </c>
      <c r="H161">
        <v>1683.37</v>
      </c>
      <c r="I161">
        <v>3197.75</v>
      </c>
      <c r="J161" t="s">
        <v>17</v>
      </c>
      <c r="K161">
        <v>0.06</v>
      </c>
      <c r="L161" t="s">
        <v>18</v>
      </c>
      <c r="M161" t="s">
        <v>21</v>
      </c>
    </row>
    <row r="162" spans="1:13" x14ac:dyDescent="0.35">
      <c r="A162">
        <v>1064</v>
      </c>
      <c r="B162" s="1">
        <v>44614</v>
      </c>
      <c r="C162" t="s">
        <v>14</v>
      </c>
      <c r="D162" t="s">
        <v>15</v>
      </c>
      <c r="E162">
        <v>101949.29</v>
      </c>
      <c r="F162">
        <v>26</v>
      </c>
      <c r="G162" t="s">
        <v>26</v>
      </c>
      <c r="H162">
        <v>1190.6500000000001</v>
      </c>
      <c r="I162">
        <v>4405.76</v>
      </c>
      <c r="J162" t="s">
        <v>17</v>
      </c>
      <c r="K162">
        <v>0.11</v>
      </c>
      <c r="L162" t="s">
        <v>18</v>
      </c>
      <c r="M162" t="s">
        <v>21</v>
      </c>
    </row>
    <row r="163" spans="1:13" x14ac:dyDescent="0.35">
      <c r="A163">
        <v>1098</v>
      </c>
      <c r="B163" s="1">
        <v>44615</v>
      </c>
      <c r="C163" t="s">
        <v>32</v>
      </c>
      <c r="D163" t="s">
        <v>15</v>
      </c>
      <c r="E163">
        <v>79589.240000000005</v>
      </c>
      <c r="F163">
        <v>21</v>
      </c>
      <c r="G163" t="s">
        <v>26</v>
      </c>
      <c r="H163">
        <v>3580.25</v>
      </c>
      <c r="I163">
        <v>3871.42</v>
      </c>
      <c r="J163" t="s">
        <v>17</v>
      </c>
      <c r="K163">
        <v>0.02</v>
      </c>
      <c r="L163" t="s">
        <v>25</v>
      </c>
      <c r="M163" t="s">
        <v>21</v>
      </c>
    </row>
    <row r="164" spans="1:13" x14ac:dyDescent="0.35">
      <c r="A164">
        <v>1050</v>
      </c>
      <c r="B164" s="1">
        <v>44616</v>
      </c>
      <c r="C164" t="s">
        <v>14</v>
      </c>
      <c r="D164" t="s">
        <v>20</v>
      </c>
      <c r="E164">
        <v>45135.199999999997</v>
      </c>
      <c r="F164">
        <v>14</v>
      </c>
      <c r="G164" t="s">
        <v>26</v>
      </c>
      <c r="H164">
        <v>2830.31</v>
      </c>
      <c r="I164">
        <v>3331.67</v>
      </c>
      <c r="J164" t="s">
        <v>17</v>
      </c>
      <c r="K164">
        <v>0.03</v>
      </c>
      <c r="L164" t="s">
        <v>25</v>
      </c>
      <c r="M164" t="s">
        <v>19</v>
      </c>
    </row>
    <row r="165" spans="1:13" x14ac:dyDescent="0.35">
      <c r="A165">
        <v>1008</v>
      </c>
      <c r="B165" s="1">
        <v>44616</v>
      </c>
      <c r="C165" t="s">
        <v>22</v>
      </c>
      <c r="D165" t="s">
        <v>20</v>
      </c>
      <c r="E165">
        <v>71349.59</v>
      </c>
      <c r="F165">
        <v>43</v>
      </c>
      <c r="G165" t="s">
        <v>16</v>
      </c>
      <c r="H165">
        <v>236.29</v>
      </c>
      <c r="I165">
        <v>1728.43</v>
      </c>
      <c r="J165" t="s">
        <v>27</v>
      </c>
      <c r="K165">
        <v>0.04</v>
      </c>
      <c r="L165" t="s">
        <v>28</v>
      </c>
      <c r="M165" t="s">
        <v>19</v>
      </c>
    </row>
    <row r="166" spans="1:13" x14ac:dyDescent="0.35">
      <c r="A166">
        <v>1076</v>
      </c>
      <c r="B166" s="1">
        <v>44617</v>
      </c>
      <c r="C166" t="s">
        <v>29</v>
      </c>
      <c r="D166" t="s">
        <v>30</v>
      </c>
      <c r="E166">
        <v>65603.72</v>
      </c>
      <c r="F166">
        <v>14</v>
      </c>
      <c r="G166" t="s">
        <v>26</v>
      </c>
      <c r="H166">
        <v>4683.76</v>
      </c>
      <c r="I166">
        <v>4685.9799999999996</v>
      </c>
      <c r="J166" t="s">
        <v>27</v>
      </c>
      <c r="K166">
        <v>0</v>
      </c>
      <c r="L166" t="s">
        <v>18</v>
      </c>
      <c r="M166" t="s">
        <v>19</v>
      </c>
    </row>
    <row r="167" spans="1:13" x14ac:dyDescent="0.35">
      <c r="A167">
        <v>1088</v>
      </c>
      <c r="B167" s="1">
        <v>44617</v>
      </c>
      <c r="C167" t="s">
        <v>22</v>
      </c>
      <c r="D167" t="s">
        <v>30</v>
      </c>
      <c r="E167">
        <v>96105.85</v>
      </c>
      <c r="F167">
        <v>36</v>
      </c>
      <c r="G167" t="s">
        <v>16</v>
      </c>
      <c r="H167">
        <v>2446.16</v>
      </c>
      <c r="I167">
        <v>2966.23</v>
      </c>
      <c r="J167" t="s">
        <v>17</v>
      </c>
      <c r="K167">
        <v>0.1</v>
      </c>
      <c r="L167" t="s">
        <v>28</v>
      </c>
      <c r="M167" t="s">
        <v>19</v>
      </c>
    </row>
    <row r="168" spans="1:13" x14ac:dyDescent="0.35">
      <c r="A168">
        <v>1014</v>
      </c>
      <c r="B168" s="1">
        <v>44617</v>
      </c>
      <c r="C168" t="s">
        <v>14</v>
      </c>
      <c r="D168" t="s">
        <v>15</v>
      </c>
      <c r="E168">
        <v>92645.74</v>
      </c>
      <c r="F168">
        <v>20</v>
      </c>
      <c r="G168" t="s">
        <v>31</v>
      </c>
      <c r="H168">
        <v>3651.98</v>
      </c>
      <c r="I168">
        <v>4792.3599999999997</v>
      </c>
      <c r="J168" t="s">
        <v>27</v>
      </c>
      <c r="K168">
        <v>0.03</v>
      </c>
      <c r="L168" t="s">
        <v>25</v>
      </c>
      <c r="M168" t="s">
        <v>19</v>
      </c>
    </row>
    <row r="169" spans="1:13" x14ac:dyDescent="0.35">
      <c r="A169">
        <v>1083</v>
      </c>
      <c r="B169" s="1">
        <v>44617</v>
      </c>
      <c r="C169" t="s">
        <v>32</v>
      </c>
      <c r="D169" t="s">
        <v>23</v>
      </c>
      <c r="E169">
        <v>40840.76</v>
      </c>
      <c r="F169">
        <v>32</v>
      </c>
      <c r="G169" t="s">
        <v>16</v>
      </c>
      <c r="H169">
        <v>607.88</v>
      </c>
      <c r="I169">
        <v>1302.32</v>
      </c>
      <c r="J169" t="s">
        <v>17</v>
      </c>
      <c r="K169">
        <v>0.02</v>
      </c>
      <c r="L169" t="s">
        <v>28</v>
      </c>
      <c r="M169" t="s">
        <v>21</v>
      </c>
    </row>
    <row r="170" spans="1:13" x14ac:dyDescent="0.35">
      <c r="A170">
        <v>1082</v>
      </c>
      <c r="B170" s="1">
        <v>44617</v>
      </c>
      <c r="C170" t="s">
        <v>14</v>
      </c>
      <c r="D170" t="s">
        <v>15</v>
      </c>
      <c r="E170">
        <v>64325.53</v>
      </c>
      <c r="F170">
        <v>23</v>
      </c>
      <c r="G170" t="s">
        <v>31</v>
      </c>
      <c r="H170">
        <v>1816.63</v>
      </c>
      <c r="I170">
        <v>3679.95</v>
      </c>
      <c r="J170" t="s">
        <v>27</v>
      </c>
      <c r="K170">
        <v>0.24</v>
      </c>
      <c r="L170" t="s">
        <v>28</v>
      </c>
      <c r="M170" t="s">
        <v>19</v>
      </c>
    </row>
    <row r="171" spans="1:13" x14ac:dyDescent="0.35">
      <c r="A171">
        <v>1010</v>
      </c>
      <c r="B171" s="1">
        <v>44617</v>
      </c>
      <c r="C171" t="s">
        <v>29</v>
      </c>
      <c r="D171" t="s">
        <v>30</v>
      </c>
      <c r="E171">
        <v>157808.26</v>
      </c>
      <c r="F171">
        <v>38</v>
      </c>
      <c r="G171" t="s">
        <v>31</v>
      </c>
      <c r="H171">
        <v>3293.9</v>
      </c>
      <c r="I171">
        <v>4371.42</v>
      </c>
      <c r="J171" t="s">
        <v>17</v>
      </c>
      <c r="K171">
        <v>0.05</v>
      </c>
      <c r="L171" t="s">
        <v>25</v>
      </c>
      <c r="M171" t="s">
        <v>21</v>
      </c>
    </row>
    <row r="172" spans="1:13" x14ac:dyDescent="0.35">
      <c r="A172">
        <v>1012</v>
      </c>
      <c r="B172" s="1">
        <v>44617</v>
      </c>
      <c r="C172" t="s">
        <v>22</v>
      </c>
      <c r="D172" t="s">
        <v>15</v>
      </c>
      <c r="E172">
        <v>81005.72</v>
      </c>
      <c r="F172">
        <v>18</v>
      </c>
      <c r="G172" t="s">
        <v>16</v>
      </c>
      <c r="H172">
        <v>709.22</v>
      </c>
      <c r="I172">
        <v>4891.6499999999996</v>
      </c>
      <c r="J172" t="s">
        <v>17</v>
      </c>
      <c r="K172">
        <v>0.08</v>
      </c>
      <c r="L172" t="s">
        <v>18</v>
      </c>
      <c r="M172" t="s">
        <v>19</v>
      </c>
    </row>
    <row r="173" spans="1:13" x14ac:dyDescent="0.35">
      <c r="A173">
        <v>1022</v>
      </c>
      <c r="B173" s="1">
        <v>44617</v>
      </c>
      <c r="C173" t="s">
        <v>29</v>
      </c>
      <c r="D173" t="s">
        <v>23</v>
      </c>
      <c r="E173">
        <v>85324.53</v>
      </c>
      <c r="F173">
        <v>24</v>
      </c>
      <c r="G173" t="s">
        <v>16</v>
      </c>
      <c r="H173">
        <v>334.52</v>
      </c>
      <c r="I173">
        <v>4283.3599999999997</v>
      </c>
      <c r="J173" t="s">
        <v>17</v>
      </c>
      <c r="K173">
        <v>0.17</v>
      </c>
      <c r="L173" t="s">
        <v>25</v>
      </c>
      <c r="M173" t="s">
        <v>21</v>
      </c>
    </row>
    <row r="174" spans="1:13" x14ac:dyDescent="0.35">
      <c r="A174">
        <v>1023</v>
      </c>
      <c r="B174" s="1">
        <v>44618</v>
      </c>
      <c r="C174" t="s">
        <v>29</v>
      </c>
      <c r="D174" t="s">
        <v>20</v>
      </c>
      <c r="E174">
        <v>62126.12</v>
      </c>
      <c r="F174">
        <v>48</v>
      </c>
      <c r="G174" t="s">
        <v>16</v>
      </c>
      <c r="H174">
        <v>1124.9100000000001</v>
      </c>
      <c r="I174">
        <v>1347.33</v>
      </c>
      <c r="J174" t="s">
        <v>17</v>
      </c>
      <c r="K174">
        <v>0.04</v>
      </c>
      <c r="L174" t="s">
        <v>25</v>
      </c>
      <c r="M174" t="s">
        <v>19</v>
      </c>
    </row>
    <row r="175" spans="1:13" x14ac:dyDescent="0.35">
      <c r="A175">
        <v>1031</v>
      </c>
      <c r="B175" s="1">
        <v>44618</v>
      </c>
      <c r="C175" t="s">
        <v>32</v>
      </c>
      <c r="D175" t="s">
        <v>15</v>
      </c>
      <c r="E175">
        <v>153014.69</v>
      </c>
      <c r="F175">
        <v>49</v>
      </c>
      <c r="G175" t="s">
        <v>24</v>
      </c>
      <c r="H175">
        <v>2913.88</v>
      </c>
      <c r="I175">
        <v>4108.88</v>
      </c>
      <c r="J175" t="s">
        <v>27</v>
      </c>
      <c r="K175">
        <v>0.24</v>
      </c>
      <c r="L175" t="s">
        <v>28</v>
      </c>
      <c r="M175" t="s">
        <v>19</v>
      </c>
    </row>
    <row r="176" spans="1:13" x14ac:dyDescent="0.35">
      <c r="A176">
        <v>1056</v>
      </c>
      <c r="B176" s="1">
        <v>44618</v>
      </c>
      <c r="C176" t="s">
        <v>32</v>
      </c>
      <c r="D176" t="s">
        <v>20</v>
      </c>
      <c r="E176">
        <v>51055.040000000001</v>
      </c>
      <c r="F176">
        <v>33</v>
      </c>
      <c r="G176" t="s">
        <v>16</v>
      </c>
      <c r="H176">
        <v>885.47</v>
      </c>
      <c r="I176">
        <v>2009.25</v>
      </c>
      <c r="J176" t="s">
        <v>27</v>
      </c>
      <c r="K176">
        <v>0.23</v>
      </c>
      <c r="L176" t="s">
        <v>18</v>
      </c>
      <c r="M176" t="s">
        <v>19</v>
      </c>
    </row>
    <row r="177" spans="1:13" x14ac:dyDescent="0.35">
      <c r="A177">
        <v>1047</v>
      </c>
      <c r="B177" s="1">
        <v>44618</v>
      </c>
      <c r="C177" t="s">
        <v>14</v>
      </c>
      <c r="D177" t="s">
        <v>30</v>
      </c>
      <c r="E177">
        <v>138931.4</v>
      </c>
      <c r="F177">
        <v>41</v>
      </c>
      <c r="G177" t="s">
        <v>31</v>
      </c>
      <c r="H177">
        <v>1361.39</v>
      </c>
      <c r="I177">
        <v>4289.33</v>
      </c>
      <c r="J177" t="s">
        <v>17</v>
      </c>
      <c r="K177">
        <v>0.21</v>
      </c>
      <c r="L177" t="s">
        <v>25</v>
      </c>
      <c r="M177" t="s">
        <v>21</v>
      </c>
    </row>
    <row r="178" spans="1:13" x14ac:dyDescent="0.35">
      <c r="A178">
        <v>1098</v>
      </c>
      <c r="B178" s="1">
        <v>44619</v>
      </c>
      <c r="C178" t="s">
        <v>29</v>
      </c>
      <c r="D178" t="s">
        <v>15</v>
      </c>
      <c r="E178">
        <v>127366.21</v>
      </c>
      <c r="F178">
        <v>32</v>
      </c>
      <c r="G178" t="s">
        <v>24</v>
      </c>
      <c r="H178">
        <v>3640.6</v>
      </c>
      <c r="I178">
        <v>4913.82</v>
      </c>
      <c r="J178" t="s">
        <v>27</v>
      </c>
      <c r="K178">
        <v>0.19</v>
      </c>
      <c r="L178" t="s">
        <v>28</v>
      </c>
      <c r="M178" t="s">
        <v>19</v>
      </c>
    </row>
    <row r="179" spans="1:13" x14ac:dyDescent="0.35">
      <c r="A179">
        <v>1042</v>
      </c>
      <c r="B179" s="1">
        <v>44619</v>
      </c>
      <c r="C179" t="s">
        <v>22</v>
      </c>
      <c r="D179" t="s">
        <v>20</v>
      </c>
      <c r="E179">
        <v>29507.03</v>
      </c>
      <c r="F179">
        <v>8</v>
      </c>
      <c r="G179" t="s">
        <v>31</v>
      </c>
      <c r="H179">
        <v>2040.31</v>
      </c>
      <c r="I179">
        <v>4191.34</v>
      </c>
      <c r="J179" t="s">
        <v>27</v>
      </c>
      <c r="K179">
        <v>0.12</v>
      </c>
      <c r="L179" t="s">
        <v>18</v>
      </c>
      <c r="M179" t="s">
        <v>21</v>
      </c>
    </row>
    <row r="180" spans="1:13" x14ac:dyDescent="0.35">
      <c r="A180">
        <v>1034</v>
      </c>
      <c r="B180" s="1">
        <v>44619</v>
      </c>
      <c r="C180" t="s">
        <v>33</v>
      </c>
      <c r="D180" t="s">
        <v>30</v>
      </c>
      <c r="E180">
        <v>144143.06</v>
      </c>
      <c r="F180">
        <v>45</v>
      </c>
      <c r="G180" t="s">
        <v>24</v>
      </c>
      <c r="H180">
        <v>2819.05</v>
      </c>
      <c r="I180">
        <v>4511.5200000000004</v>
      </c>
      <c r="J180" t="s">
        <v>27</v>
      </c>
      <c r="K180">
        <v>0.28999999999999998</v>
      </c>
      <c r="L180" t="s">
        <v>28</v>
      </c>
      <c r="M180" t="s">
        <v>19</v>
      </c>
    </row>
    <row r="181" spans="1:13" x14ac:dyDescent="0.35">
      <c r="A181">
        <v>1070</v>
      </c>
      <c r="B181" s="1">
        <v>44620</v>
      </c>
      <c r="C181" t="s">
        <v>14</v>
      </c>
      <c r="D181" t="s">
        <v>15</v>
      </c>
      <c r="E181">
        <v>31695.11</v>
      </c>
      <c r="F181">
        <v>7</v>
      </c>
      <c r="G181" t="s">
        <v>16</v>
      </c>
      <c r="H181">
        <v>4470.1400000000003</v>
      </c>
      <c r="I181">
        <v>4667.91</v>
      </c>
      <c r="J181" t="s">
        <v>27</v>
      </c>
      <c r="K181">
        <v>0.03</v>
      </c>
      <c r="L181" t="s">
        <v>25</v>
      </c>
      <c r="M181" t="s">
        <v>19</v>
      </c>
    </row>
    <row r="182" spans="1:13" x14ac:dyDescent="0.35">
      <c r="A182">
        <v>1090</v>
      </c>
      <c r="B182" s="1">
        <v>44620</v>
      </c>
      <c r="C182" t="s">
        <v>29</v>
      </c>
      <c r="D182" t="s">
        <v>20</v>
      </c>
      <c r="E182">
        <v>141801.07999999999</v>
      </c>
      <c r="F182">
        <v>38</v>
      </c>
      <c r="G182" t="s">
        <v>26</v>
      </c>
      <c r="H182">
        <v>3543.97</v>
      </c>
      <c r="I182">
        <v>3858.63</v>
      </c>
      <c r="J182" t="s">
        <v>17</v>
      </c>
      <c r="K182">
        <v>0.03</v>
      </c>
      <c r="L182" t="s">
        <v>28</v>
      </c>
      <c r="M182" t="s">
        <v>19</v>
      </c>
    </row>
    <row r="183" spans="1:13" x14ac:dyDescent="0.35">
      <c r="A183">
        <v>1001</v>
      </c>
      <c r="B183" s="1">
        <v>44620</v>
      </c>
      <c r="C183" t="s">
        <v>33</v>
      </c>
      <c r="D183" t="s">
        <v>30</v>
      </c>
      <c r="E183">
        <v>12401.47</v>
      </c>
      <c r="F183">
        <v>3</v>
      </c>
      <c r="G183" t="s">
        <v>16</v>
      </c>
      <c r="H183">
        <v>1601</v>
      </c>
      <c r="I183">
        <v>4980.51</v>
      </c>
      <c r="J183" t="s">
        <v>17</v>
      </c>
      <c r="K183">
        <v>0.17</v>
      </c>
      <c r="L183" t="s">
        <v>28</v>
      </c>
      <c r="M183" t="s">
        <v>19</v>
      </c>
    </row>
    <row r="184" spans="1:13" x14ac:dyDescent="0.35">
      <c r="A184">
        <v>1024</v>
      </c>
      <c r="B184" s="1">
        <v>44620</v>
      </c>
      <c r="C184" t="s">
        <v>22</v>
      </c>
      <c r="D184" t="s">
        <v>15</v>
      </c>
      <c r="E184">
        <v>47877.79</v>
      </c>
      <c r="F184">
        <v>39</v>
      </c>
      <c r="G184" t="s">
        <v>24</v>
      </c>
      <c r="H184">
        <v>255.79</v>
      </c>
      <c r="I184">
        <v>1615.31</v>
      </c>
      <c r="J184" t="s">
        <v>27</v>
      </c>
      <c r="K184">
        <v>0.24</v>
      </c>
      <c r="L184" t="s">
        <v>28</v>
      </c>
      <c r="M184" t="s">
        <v>21</v>
      </c>
    </row>
    <row r="185" spans="1:13" x14ac:dyDescent="0.35">
      <c r="A185">
        <v>1095</v>
      </c>
      <c r="B185" s="1">
        <v>44620</v>
      </c>
      <c r="C185" t="s">
        <v>14</v>
      </c>
      <c r="D185" t="s">
        <v>30</v>
      </c>
      <c r="E185">
        <v>63705.74</v>
      </c>
      <c r="F185">
        <v>18</v>
      </c>
      <c r="G185" t="s">
        <v>26</v>
      </c>
      <c r="H185">
        <v>387.16</v>
      </c>
      <c r="I185">
        <v>4424.01</v>
      </c>
      <c r="J185" t="s">
        <v>27</v>
      </c>
      <c r="K185">
        <v>0.2</v>
      </c>
      <c r="L185" t="s">
        <v>25</v>
      </c>
      <c r="M185" t="s">
        <v>19</v>
      </c>
    </row>
    <row r="186" spans="1:13" x14ac:dyDescent="0.35">
      <c r="A186">
        <v>1064</v>
      </c>
      <c r="B186" s="1">
        <v>44621</v>
      </c>
      <c r="C186" t="s">
        <v>29</v>
      </c>
      <c r="D186" t="s">
        <v>15</v>
      </c>
      <c r="E186">
        <v>43310.5</v>
      </c>
      <c r="F186">
        <v>9</v>
      </c>
      <c r="G186" t="s">
        <v>26</v>
      </c>
      <c r="H186">
        <v>4796.22</v>
      </c>
      <c r="I186">
        <v>4969.8599999999997</v>
      </c>
      <c r="J186" t="s">
        <v>17</v>
      </c>
      <c r="K186">
        <v>0.03</v>
      </c>
      <c r="L186" t="s">
        <v>25</v>
      </c>
      <c r="M186" t="s">
        <v>19</v>
      </c>
    </row>
    <row r="187" spans="1:13" x14ac:dyDescent="0.35">
      <c r="A187">
        <v>1024</v>
      </c>
      <c r="B187" s="1">
        <v>44621</v>
      </c>
      <c r="C187" t="s">
        <v>32</v>
      </c>
      <c r="D187" t="s">
        <v>30</v>
      </c>
      <c r="E187">
        <v>18971.939999999999</v>
      </c>
      <c r="F187">
        <v>12</v>
      </c>
      <c r="G187" t="s">
        <v>26</v>
      </c>
      <c r="H187">
        <v>1430.4</v>
      </c>
      <c r="I187">
        <v>1646.87</v>
      </c>
      <c r="J187" t="s">
        <v>17</v>
      </c>
      <c r="K187">
        <v>0.04</v>
      </c>
      <c r="L187" t="s">
        <v>28</v>
      </c>
      <c r="M187" t="s">
        <v>19</v>
      </c>
    </row>
    <row r="188" spans="1:13" x14ac:dyDescent="0.35">
      <c r="A188">
        <v>1059</v>
      </c>
      <c r="B188" s="1">
        <v>44621</v>
      </c>
      <c r="C188" t="s">
        <v>14</v>
      </c>
      <c r="D188" t="s">
        <v>15</v>
      </c>
      <c r="E188">
        <v>22938.42</v>
      </c>
      <c r="F188">
        <v>38</v>
      </c>
      <c r="G188" t="s">
        <v>31</v>
      </c>
      <c r="H188">
        <v>548.89</v>
      </c>
      <c r="I188">
        <v>701.91</v>
      </c>
      <c r="J188" t="s">
        <v>27</v>
      </c>
      <c r="K188">
        <v>0.14000000000000001</v>
      </c>
      <c r="L188" t="s">
        <v>28</v>
      </c>
      <c r="M188" t="s">
        <v>19</v>
      </c>
    </row>
    <row r="189" spans="1:13" x14ac:dyDescent="0.35">
      <c r="A189">
        <v>1017</v>
      </c>
      <c r="B189" s="1">
        <v>44621</v>
      </c>
      <c r="C189" t="s">
        <v>22</v>
      </c>
      <c r="D189" t="s">
        <v>20</v>
      </c>
      <c r="E189">
        <v>42376.94</v>
      </c>
      <c r="F189">
        <v>19</v>
      </c>
      <c r="G189" t="s">
        <v>16</v>
      </c>
      <c r="H189">
        <v>1974.61</v>
      </c>
      <c r="I189">
        <v>2424.31</v>
      </c>
      <c r="J189" t="s">
        <v>27</v>
      </c>
      <c r="K189">
        <v>0.08</v>
      </c>
      <c r="L189" t="s">
        <v>18</v>
      </c>
      <c r="M189" t="s">
        <v>19</v>
      </c>
    </row>
    <row r="190" spans="1:13" x14ac:dyDescent="0.35">
      <c r="A190">
        <v>1055</v>
      </c>
      <c r="B190" s="1">
        <v>44621</v>
      </c>
      <c r="C190" t="s">
        <v>29</v>
      </c>
      <c r="D190" t="s">
        <v>20</v>
      </c>
      <c r="E190">
        <v>19583.8</v>
      </c>
      <c r="F190">
        <v>7</v>
      </c>
      <c r="G190" t="s">
        <v>31</v>
      </c>
      <c r="H190">
        <v>522.57000000000005</v>
      </c>
      <c r="I190">
        <v>3215.73</v>
      </c>
      <c r="J190" t="s">
        <v>17</v>
      </c>
      <c r="K190">
        <v>0.13</v>
      </c>
      <c r="L190" t="s">
        <v>28</v>
      </c>
      <c r="M190" t="s">
        <v>21</v>
      </c>
    </row>
    <row r="191" spans="1:13" x14ac:dyDescent="0.35">
      <c r="A191">
        <v>1076</v>
      </c>
      <c r="B191" s="1">
        <v>44621</v>
      </c>
      <c r="C191" t="s">
        <v>29</v>
      </c>
      <c r="D191" t="s">
        <v>20</v>
      </c>
      <c r="E191">
        <v>153144.35999999999</v>
      </c>
      <c r="F191">
        <v>42</v>
      </c>
      <c r="G191" t="s">
        <v>31</v>
      </c>
      <c r="H191">
        <v>3216.35</v>
      </c>
      <c r="I191">
        <v>4096.96</v>
      </c>
      <c r="J191" t="s">
        <v>17</v>
      </c>
      <c r="K191">
        <v>0.11</v>
      </c>
      <c r="L191" t="s">
        <v>25</v>
      </c>
      <c r="M191" t="s">
        <v>21</v>
      </c>
    </row>
    <row r="192" spans="1:13" x14ac:dyDescent="0.35">
      <c r="A192">
        <v>1091</v>
      </c>
      <c r="B192" s="1">
        <v>44621</v>
      </c>
      <c r="C192" t="s">
        <v>14</v>
      </c>
      <c r="D192" t="s">
        <v>15</v>
      </c>
      <c r="E192">
        <v>170797.18</v>
      </c>
      <c r="F192">
        <v>50</v>
      </c>
      <c r="G192" t="s">
        <v>31</v>
      </c>
      <c r="H192">
        <v>2415.67</v>
      </c>
      <c r="I192">
        <v>4616.1400000000003</v>
      </c>
      <c r="J192" t="s">
        <v>27</v>
      </c>
      <c r="K192">
        <v>0.26</v>
      </c>
      <c r="L192" t="s">
        <v>28</v>
      </c>
      <c r="M192" t="s">
        <v>19</v>
      </c>
    </row>
    <row r="193" spans="1:13" x14ac:dyDescent="0.35">
      <c r="A193">
        <v>1041</v>
      </c>
      <c r="B193" s="1">
        <v>44623</v>
      </c>
      <c r="C193" t="s">
        <v>33</v>
      </c>
      <c r="D193" t="s">
        <v>15</v>
      </c>
      <c r="E193">
        <v>39663.019999999997</v>
      </c>
      <c r="F193">
        <v>9</v>
      </c>
      <c r="G193" t="s">
        <v>16</v>
      </c>
      <c r="H193">
        <v>1792.58</v>
      </c>
      <c r="I193">
        <v>4688.3</v>
      </c>
      <c r="J193" t="s">
        <v>17</v>
      </c>
      <c r="K193">
        <v>0.06</v>
      </c>
      <c r="L193" t="s">
        <v>28</v>
      </c>
      <c r="M193" t="s">
        <v>19</v>
      </c>
    </row>
    <row r="194" spans="1:13" x14ac:dyDescent="0.35">
      <c r="A194">
        <v>1015</v>
      </c>
      <c r="B194" s="1">
        <v>44623</v>
      </c>
      <c r="C194" t="s">
        <v>29</v>
      </c>
      <c r="D194" t="s">
        <v>20</v>
      </c>
      <c r="E194">
        <v>66935.070000000007</v>
      </c>
      <c r="F194">
        <v>21</v>
      </c>
      <c r="G194" t="s">
        <v>24</v>
      </c>
      <c r="H194">
        <v>1073.05</v>
      </c>
      <c r="I194">
        <v>3219.58</v>
      </c>
      <c r="J194" t="s">
        <v>17</v>
      </c>
      <c r="K194">
        <v>0.01</v>
      </c>
      <c r="L194" t="s">
        <v>18</v>
      </c>
      <c r="M194" t="s">
        <v>21</v>
      </c>
    </row>
    <row r="195" spans="1:13" x14ac:dyDescent="0.35">
      <c r="A195">
        <v>1055</v>
      </c>
      <c r="B195" s="1">
        <v>44624</v>
      </c>
      <c r="C195" t="s">
        <v>33</v>
      </c>
      <c r="D195" t="s">
        <v>20</v>
      </c>
      <c r="E195">
        <v>123802.56</v>
      </c>
      <c r="F195">
        <v>46</v>
      </c>
      <c r="G195" t="s">
        <v>31</v>
      </c>
      <c r="H195">
        <v>2691.09</v>
      </c>
      <c r="I195">
        <v>2803.5</v>
      </c>
      <c r="J195" t="s">
        <v>17</v>
      </c>
      <c r="K195">
        <v>0.04</v>
      </c>
      <c r="L195" t="s">
        <v>18</v>
      </c>
      <c r="M195" t="s">
        <v>19</v>
      </c>
    </row>
    <row r="196" spans="1:13" x14ac:dyDescent="0.35">
      <c r="A196">
        <v>1099</v>
      </c>
      <c r="B196" s="1">
        <v>44624</v>
      </c>
      <c r="C196" t="s">
        <v>29</v>
      </c>
      <c r="D196" t="s">
        <v>30</v>
      </c>
      <c r="E196">
        <v>13048.91</v>
      </c>
      <c r="F196">
        <v>3</v>
      </c>
      <c r="G196" t="s">
        <v>16</v>
      </c>
      <c r="H196">
        <v>3751.81</v>
      </c>
      <c r="I196">
        <v>4942.7700000000004</v>
      </c>
      <c r="J196" t="s">
        <v>17</v>
      </c>
      <c r="K196">
        <v>0.12</v>
      </c>
      <c r="L196" t="s">
        <v>25</v>
      </c>
      <c r="M196" t="s">
        <v>21</v>
      </c>
    </row>
    <row r="197" spans="1:13" x14ac:dyDescent="0.35">
      <c r="A197">
        <v>1056</v>
      </c>
      <c r="B197" s="1">
        <v>44624</v>
      </c>
      <c r="C197" t="s">
        <v>33</v>
      </c>
      <c r="D197" t="s">
        <v>20</v>
      </c>
      <c r="E197">
        <v>63428.04</v>
      </c>
      <c r="F197">
        <v>16</v>
      </c>
      <c r="G197" t="s">
        <v>31</v>
      </c>
      <c r="H197">
        <v>3812.88</v>
      </c>
      <c r="I197">
        <v>5148.38</v>
      </c>
      <c r="J197" t="s">
        <v>27</v>
      </c>
      <c r="K197">
        <v>0.23</v>
      </c>
      <c r="L197" t="s">
        <v>18</v>
      </c>
      <c r="M197" t="s">
        <v>19</v>
      </c>
    </row>
    <row r="198" spans="1:13" x14ac:dyDescent="0.35">
      <c r="A198">
        <v>1029</v>
      </c>
      <c r="B198" s="1">
        <v>44624</v>
      </c>
      <c r="C198" t="s">
        <v>32</v>
      </c>
      <c r="D198" t="s">
        <v>30</v>
      </c>
      <c r="E198">
        <v>14508.67</v>
      </c>
      <c r="F198">
        <v>4</v>
      </c>
      <c r="G198" t="s">
        <v>26</v>
      </c>
      <c r="H198">
        <v>2546.06</v>
      </c>
      <c r="I198">
        <v>4772.59</v>
      </c>
      <c r="J198" t="s">
        <v>27</v>
      </c>
      <c r="K198">
        <v>0.24</v>
      </c>
      <c r="L198" t="s">
        <v>25</v>
      </c>
      <c r="M198" t="s">
        <v>19</v>
      </c>
    </row>
    <row r="199" spans="1:13" x14ac:dyDescent="0.35">
      <c r="A199">
        <v>1081</v>
      </c>
      <c r="B199" s="1">
        <v>44624</v>
      </c>
      <c r="C199" t="s">
        <v>29</v>
      </c>
      <c r="D199" t="s">
        <v>15</v>
      </c>
      <c r="E199">
        <v>109928.09</v>
      </c>
      <c r="F199">
        <v>34</v>
      </c>
      <c r="G199" t="s">
        <v>26</v>
      </c>
      <c r="H199">
        <v>2446.7199999999998</v>
      </c>
      <c r="I199">
        <v>3319.84</v>
      </c>
      <c r="J199" t="s">
        <v>17</v>
      </c>
      <c r="K199">
        <v>0.03</v>
      </c>
      <c r="L199" t="s">
        <v>28</v>
      </c>
      <c r="M199" t="s">
        <v>21</v>
      </c>
    </row>
    <row r="200" spans="1:13" x14ac:dyDescent="0.35">
      <c r="A200">
        <v>1015</v>
      </c>
      <c r="B200" s="1">
        <v>44624</v>
      </c>
      <c r="C200" t="s">
        <v>33</v>
      </c>
      <c r="D200" t="s">
        <v>15</v>
      </c>
      <c r="E200">
        <v>55727.93</v>
      </c>
      <c r="F200">
        <v>23</v>
      </c>
      <c r="G200" t="s">
        <v>26</v>
      </c>
      <c r="H200">
        <v>995.98</v>
      </c>
      <c r="I200">
        <v>2523.91</v>
      </c>
      <c r="J200" t="s">
        <v>27</v>
      </c>
      <c r="K200">
        <v>0.04</v>
      </c>
      <c r="L200" t="s">
        <v>25</v>
      </c>
      <c r="M200" t="s">
        <v>19</v>
      </c>
    </row>
    <row r="201" spans="1:13" x14ac:dyDescent="0.35">
      <c r="A201">
        <v>1032</v>
      </c>
      <c r="B201" s="1">
        <v>44624</v>
      </c>
      <c r="C201" t="s">
        <v>33</v>
      </c>
      <c r="D201" t="s">
        <v>20</v>
      </c>
      <c r="E201">
        <v>128630.42</v>
      </c>
      <c r="F201">
        <v>43</v>
      </c>
      <c r="G201" t="s">
        <v>16</v>
      </c>
      <c r="H201">
        <v>1870.29</v>
      </c>
      <c r="I201">
        <v>3519.3</v>
      </c>
      <c r="J201" t="s">
        <v>27</v>
      </c>
      <c r="K201">
        <v>0.15</v>
      </c>
      <c r="L201" t="s">
        <v>25</v>
      </c>
      <c r="M201" t="s">
        <v>19</v>
      </c>
    </row>
    <row r="202" spans="1:13" x14ac:dyDescent="0.35">
      <c r="A202">
        <v>1075</v>
      </c>
      <c r="B202" s="1">
        <v>44624</v>
      </c>
      <c r="C202" t="s">
        <v>33</v>
      </c>
      <c r="D202" t="s">
        <v>15</v>
      </c>
      <c r="E202">
        <v>104179.7</v>
      </c>
      <c r="F202">
        <v>26</v>
      </c>
      <c r="G202" t="s">
        <v>26</v>
      </c>
      <c r="H202">
        <v>1100.6199999999999</v>
      </c>
      <c r="I202">
        <v>5072.04</v>
      </c>
      <c r="J202" t="s">
        <v>27</v>
      </c>
      <c r="K202">
        <v>0.21</v>
      </c>
      <c r="L202" t="s">
        <v>18</v>
      </c>
      <c r="M202" t="s">
        <v>19</v>
      </c>
    </row>
    <row r="203" spans="1:13" x14ac:dyDescent="0.35">
      <c r="A203">
        <v>1091</v>
      </c>
      <c r="B203" s="1">
        <v>44625</v>
      </c>
      <c r="C203" t="s">
        <v>14</v>
      </c>
      <c r="D203" t="s">
        <v>15</v>
      </c>
      <c r="E203">
        <v>21286.36</v>
      </c>
      <c r="F203">
        <v>5</v>
      </c>
      <c r="G203" t="s">
        <v>24</v>
      </c>
      <c r="H203">
        <v>4227.22</v>
      </c>
      <c r="I203">
        <v>5321.59</v>
      </c>
      <c r="J203" t="s">
        <v>17</v>
      </c>
      <c r="K203">
        <v>0.2</v>
      </c>
      <c r="L203" t="s">
        <v>18</v>
      </c>
      <c r="M203" t="s">
        <v>21</v>
      </c>
    </row>
    <row r="204" spans="1:13" x14ac:dyDescent="0.35">
      <c r="A204">
        <v>1046</v>
      </c>
      <c r="B204" s="1">
        <v>44626</v>
      </c>
      <c r="C204" t="s">
        <v>14</v>
      </c>
      <c r="D204" t="s">
        <v>15</v>
      </c>
      <c r="E204">
        <v>8670.2000000000007</v>
      </c>
      <c r="F204">
        <v>7</v>
      </c>
      <c r="G204" t="s">
        <v>26</v>
      </c>
      <c r="H204">
        <v>393.6</v>
      </c>
      <c r="I204">
        <v>1548.25</v>
      </c>
      <c r="J204" t="s">
        <v>17</v>
      </c>
      <c r="K204">
        <v>0.2</v>
      </c>
      <c r="L204" t="s">
        <v>25</v>
      </c>
      <c r="M204" t="s">
        <v>21</v>
      </c>
    </row>
    <row r="205" spans="1:13" x14ac:dyDescent="0.35">
      <c r="A205">
        <v>1032</v>
      </c>
      <c r="B205" s="1">
        <v>44626</v>
      </c>
      <c r="C205" t="s">
        <v>29</v>
      </c>
      <c r="D205" t="s">
        <v>20</v>
      </c>
      <c r="E205">
        <v>12268.58</v>
      </c>
      <c r="F205">
        <v>4</v>
      </c>
      <c r="G205" t="s">
        <v>24</v>
      </c>
      <c r="H205">
        <v>1484.49</v>
      </c>
      <c r="I205">
        <v>3370.49</v>
      </c>
      <c r="J205" t="s">
        <v>17</v>
      </c>
      <c r="K205">
        <v>0.09</v>
      </c>
      <c r="L205" t="s">
        <v>28</v>
      </c>
      <c r="M205" t="s">
        <v>21</v>
      </c>
    </row>
    <row r="206" spans="1:13" x14ac:dyDescent="0.35">
      <c r="A206">
        <v>1029</v>
      </c>
      <c r="B206" s="1">
        <v>44626</v>
      </c>
      <c r="C206" t="s">
        <v>32</v>
      </c>
      <c r="D206" t="s">
        <v>23</v>
      </c>
      <c r="E206">
        <v>12473.5</v>
      </c>
      <c r="F206">
        <v>8</v>
      </c>
      <c r="G206" t="s">
        <v>24</v>
      </c>
      <c r="H206">
        <v>316.67</v>
      </c>
      <c r="I206">
        <v>1607.41</v>
      </c>
      <c r="J206" t="s">
        <v>17</v>
      </c>
      <c r="K206">
        <v>0.03</v>
      </c>
      <c r="L206" t="s">
        <v>28</v>
      </c>
      <c r="M206" t="s">
        <v>19</v>
      </c>
    </row>
    <row r="207" spans="1:13" x14ac:dyDescent="0.35">
      <c r="A207">
        <v>1071</v>
      </c>
      <c r="B207" s="1">
        <v>44627</v>
      </c>
      <c r="C207" t="s">
        <v>32</v>
      </c>
      <c r="D207" t="s">
        <v>30</v>
      </c>
      <c r="E207">
        <v>5298.54</v>
      </c>
      <c r="F207">
        <v>3</v>
      </c>
      <c r="G207" t="s">
        <v>16</v>
      </c>
      <c r="H207">
        <v>1040</v>
      </c>
      <c r="I207">
        <v>2323.92</v>
      </c>
      <c r="J207" t="s">
        <v>17</v>
      </c>
      <c r="K207">
        <v>0.24</v>
      </c>
      <c r="L207" t="s">
        <v>18</v>
      </c>
      <c r="M207" t="s">
        <v>21</v>
      </c>
    </row>
    <row r="208" spans="1:13" x14ac:dyDescent="0.35">
      <c r="A208">
        <v>1100</v>
      </c>
      <c r="B208" s="1">
        <v>44627</v>
      </c>
      <c r="C208" t="s">
        <v>32</v>
      </c>
      <c r="D208" t="s">
        <v>23</v>
      </c>
      <c r="E208">
        <v>22368.65</v>
      </c>
      <c r="F208">
        <v>6</v>
      </c>
      <c r="G208" t="s">
        <v>26</v>
      </c>
      <c r="H208">
        <v>3071.16</v>
      </c>
      <c r="I208">
        <v>3843.41</v>
      </c>
      <c r="J208" t="s">
        <v>17</v>
      </c>
      <c r="K208">
        <v>0.03</v>
      </c>
      <c r="L208" t="s">
        <v>18</v>
      </c>
      <c r="M208" t="s">
        <v>19</v>
      </c>
    </row>
    <row r="209" spans="1:13" x14ac:dyDescent="0.35">
      <c r="A209">
        <v>1025</v>
      </c>
      <c r="B209" s="1">
        <v>44627</v>
      </c>
      <c r="C209" t="s">
        <v>32</v>
      </c>
      <c r="D209" t="s">
        <v>30</v>
      </c>
      <c r="E209">
        <v>37901.26</v>
      </c>
      <c r="F209">
        <v>13</v>
      </c>
      <c r="G209" t="s">
        <v>26</v>
      </c>
      <c r="H209">
        <v>2036.88</v>
      </c>
      <c r="I209">
        <v>3993.81</v>
      </c>
      <c r="J209" t="s">
        <v>17</v>
      </c>
      <c r="K209">
        <v>0.27</v>
      </c>
      <c r="L209" t="s">
        <v>18</v>
      </c>
      <c r="M209" t="s">
        <v>21</v>
      </c>
    </row>
    <row r="210" spans="1:13" x14ac:dyDescent="0.35">
      <c r="A210">
        <v>1088</v>
      </c>
      <c r="B210" s="1">
        <v>44627</v>
      </c>
      <c r="C210" t="s">
        <v>32</v>
      </c>
      <c r="D210" t="s">
        <v>20</v>
      </c>
      <c r="E210">
        <v>26892.9</v>
      </c>
      <c r="F210">
        <v>27</v>
      </c>
      <c r="G210" t="s">
        <v>26</v>
      </c>
      <c r="H210">
        <v>227.6</v>
      </c>
      <c r="I210">
        <v>1310.57</v>
      </c>
      <c r="J210" t="s">
        <v>27</v>
      </c>
      <c r="K210">
        <v>0.24</v>
      </c>
      <c r="L210" t="s">
        <v>18</v>
      </c>
      <c r="M210" t="s">
        <v>19</v>
      </c>
    </row>
    <row r="211" spans="1:13" x14ac:dyDescent="0.35">
      <c r="A211">
        <v>1088</v>
      </c>
      <c r="B211" s="1">
        <v>44627</v>
      </c>
      <c r="C211" t="s">
        <v>22</v>
      </c>
      <c r="D211" t="s">
        <v>30</v>
      </c>
      <c r="E211">
        <v>34237.39</v>
      </c>
      <c r="F211">
        <v>11</v>
      </c>
      <c r="G211" t="s">
        <v>24</v>
      </c>
      <c r="H211">
        <v>1008.51</v>
      </c>
      <c r="I211">
        <v>3176.01</v>
      </c>
      <c r="J211" t="s">
        <v>27</v>
      </c>
      <c r="K211">
        <v>0.02</v>
      </c>
      <c r="L211" t="s">
        <v>18</v>
      </c>
      <c r="M211" t="s">
        <v>21</v>
      </c>
    </row>
    <row r="212" spans="1:13" x14ac:dyDescent="0.35">
      <c r="A212">
        <v>1049</v>
      </c>
      <c r="B212" s="1">
        <v>44628</v>
      </c>
      <c r="C212" t="s">
        <v>33</v>
      </c>
      <c r="D212" t="s">
        <v>20</v>
      </c>
      <c r="E212">
        <v>84117.54</v>
      </c>
      <c r="F212">
        <v>18</v>
      </c>
      <c r="G212" t="s">
        <v>26</v>
      </c>
      <c r="H212">
        <v>4293.76</v>
      </c>
      <c r="I212">
        <v>4789.1099999999997</v>
      </c>
      <c r="J212" t="s">
        <v>27</v>
      </c>
      <c r="K212">
        <v>0.02</v>
      </c>
      <c r="L212" t="s">
        <v>18</v>
      </c>
      <c r="M212" t="s">
        <v>19</v>
      </c>
    </row>
    <row r="213" spans="1:13" x14ac:dyDescent="0.35">
      <c r="A213">
        <v>1074</v>
      </c>
      <c r="B213" s="1">
        <v>44628</v>
      </c>
      <c r="C213" t="s">
        <v>14</v>
      </c>
      <c r="D213" t="s">
        <v>30</v>
      </c>
      <c r="E213">
        <v>156784</v>
      </c>
      <c r="F213">
        <v>32</v>
      </c>
      <c r="G213" t="s">
        <v>24</v>
      </c>
      <c r="H213">
        <v>2730.56</v>
      </c>
      <c r="I213">
        <v>4899.5</v>
      </c>
      <c r="J213" t="s">
        <v>27</v>
      </c>
      <c r="K213">
        <v>0</v>
      </c>
      <c r="L213" t="s">
        <v>25</v>
      </c>
      <c r="M213" t="s">
        <v>21</v>
      </c>
    </row>
    <row r="214" spans="1:13" x14ac:dyDescent="0.35">
      <c r="A214">
        <v>1090</v>
      </c>
      <c r="B214" s="1">
        <v>44628</v>
      </c>
      <c r="C214" t="s">
        <v>32</v>
      </c>
      <c r="D214" t="s">
        <v>30</v>
      </c>
      <c r="E214">
        <v>150042.12</v>
      </c>
      <c r="F214">
        <v>36</v>
      </c>
      <c r="G214" t="s">
        <v>31</v>
      </c>
      <c r="H214">
        <v>1240.08</v>
      </c>
      <c r="I214">
        <v>5021.49</v>
      </c>
      <c r="J214" t="s">
        <v>27</v>
      </c>
      <c r="K214">
        <v>0.17</v>
      </c>
      <c r="L214" t="s">
        <v>25</v>
      </c>
      <c r="M214" t="s">
        <v>21</v>
      </c>
    </row>
    <row r="215" spans="1:13" x14ac:dyDescent="0.35">
      <c r="A215">
        <v>1033</v>
      </c>
      <c r="B215" s="1">
        <v>44629</v>
      </c>
      <c r="C215" t="s">
        <v>29</v>
      </c>
      <c r="D215" t="s">
        <v>30</v>
      </c>
      <c r="E215">
        <v>18734.46</v>
      </c>
      <c r="F215">
        <v>7</v>
      </c>
      <c r="G215" t="s">
        <v>16</v>
      </c>
      <c r="H215">
        <v>1845.36</v>
      </c>
      <c r="I215">
        <v>3431.22</v>
      </c>
      <c r="J215" t="s">
        <v>27</v>
      </c>
      <c r="K215">
        <v>0.22</v>
      </c>
      <c r="L215" t="s">
        <v>28</v>
      </c>
      <c r="M215" t="s">
        <v>19</v>
      </c>
    </row>
    <row r="216" spans="1:13" x14ac:dyDescent="0.35">
      <c r="A216">
        <v>1066</v>
      </c>
      <c r="B216" s="1">
        <v>44629</v>
      </c>
      <c r="C216" t="s">
        <v>33</v>
      </c>
      <c r="D216" t="s">
        <v>23</v>
      </c>
      <c r="E216">
        <v>46695.55</v>
      </c>
      <c r="F216">
        <v>11</v>
      </c>
      <c r="G216" t="s">
        <v>26</v>
      </c>
      <c r="H216">
        <v>1387.14</v>
      </c>
      <c r="I216">
        <v>4823.92</v>
      </c>
      <c r="J216" t="s">
        <v>17</v>
      </c>
      <c r="K216">
        <v>0.12</v>
      </c>
      <c r="L216" t="s">
        <v>28</v>
      </c>
      <c r="M216" t="s">
        <v>21</v>
      </c>
    </row>
    <row r="217" spans="1:13" x14ac:dyDescent="0.35">
      <c r="A217">
        <v>1093</v>
      </c>
      <c r="B217" s="1">
        <v>44629</v>
      </c>
      <c r="C217" t="s">
        <v>32</v>
      </c>
      <c r="D217" t="s">
        <v>20</v>
      </c>
      <c r="E217">
        <v>215622.05</v>
      </c>
      <c r="F217">
        <v>49</v>
      </c>
      <c r="G217" t="s">
        <v>16</v>
      </c>
      <c r="H217">
        <v>273.06</v>
      </c>
      <c r="I217">
        <v>5177</v>
      </c>
      <c r="J217" t="s">
        <v>27</v>
      </c>
      <c r="K217">
        <v>0.15</v>
      </c>
      <c r="L217" t="s">
        <v>25</v>
      </c>
      <c r="M217" t="s">
        <v>21</v>
      </c>
    </row>
    <row r="218" spans="1:13" x14ac:dyDescent="0.35">
      <c r="A218">
        <v>1008</v>
      </c>
      <c r="B218" s="1">
        <v>44630</v>
      </c>
      <c r="C218" t="s">
        <v>33</v>
      </c>
      <c r="D218" t="s">
        <v>15</v>
      </c>
      <c r="E218">
        <v>190403.68</v>
      </c>
      <c r="F218">
        <v>49</v>
      </c>
      <c r="G218" t="s">
        <v>31</v>
      </c>
      <c r="H218">
        <v>3832.71</v>
      </c>
      <c r="I218">
        <v>3893.1</v>
      </c>
      <c r="J218" t="s">
        <v>17</v>
      </c>
      <c r="K218">
        <v>0</v>
      </c>
      <c r="L218" t="s">
        <v>25</v>
      </c>
      <c r="M218" t="s">
        <v>19</v>
      </c>
    </row>
    <row r="219" spans="1:13" x14ac:dyDescent="0.35">
      <c r="A219">
        <v>1071</v>
      </c>
      <c r="B219" s="1">
        <v>44630</v>
      </c>
      <c r="C219" t="s">
        <v>22</v>
      </c>
      <c r="D219" t="s">
        <v>23</v>
      </c>
      <c r="E219">
        <v>10996.87</v>
      </c>
      <c r="F219">
        <v>4</v>
      </c>
      <c r="G219" t="s">
        <v>31</v>
      </c>
      <c r="H219">
        <v>1005.55</v>
      </c>
      <c r="I219">
        <v>2924.7</v>
      </c>
      <c r="J219" t="s">
        <v>17</v>
      </c>
      <c r="K219">
        <v>0.06</v>
      </c>
      <c r="L219" t="s">
        <v>25</v>
      </c>
      <c r="M219" t="s">
        <v>21</v>
      </c>
    </row>
    <row r="220" spans="1:13" x14ac:dyDescent="0.35">
      <c r="A220">
        <v>1068</v>
      </c>
      <c r="B220" s="1">
        <v>44630</v>
      </c>
      <c r="C220" t="s">
        <v>33</v>
      </c>
      <c r="D220" t="s">
        <v>23</v>
      </c>
      <c r="E220">
        <v>62400.13</v>
      </c>
      <c r="F220">
        <v>13</v>
      </c>
      <c r="G220" t="s">
        <v>31</v>
      </c>
      <c r="H220">
        <v>4131.32</v>
      </c>
      <c r="I220">
        <v>4800.01</v>
      </c>
      <c r="J220" t="s">
        <v>27</v>
      </c>
      <c r="K220">
        <v>0</v>
      </c>
      <c r="L220" t="s">
        <v>18</v>
      </c>
      <c r="M220" t="s">
        <v>19</v>
      </c>
    </row>
    <row r="221" spans="1:13" x14ac:dyDescent="0.35">
      <c r="A221">
        <v>1010</v>
      </c>
      <c r="B221" s="1">
        <v>44630</v>
      </c>
      <c r="C221" t="s">
        <v>33</v>
      </c>
      <c r="D221" t="s">
        <v>23</v>
      </c>
      <c r="E221">
        <v>56333.48</v>
      </c>
      <c r="F221">
        <v>12</v>
      </c>
      <c r="G221" t="s">
        <v>26</v>
      </c>
      <c r="H221">
        <v>3191.62</v>
      </c>
      <c r="I221">
        <v>5102.67</v>
      </c>
      <c r="J221" t="s">
        <v>27</v>
      </c>
      <c r="K221">
        <v>0.08</v>
      </c>
      <c r="L221" t="s">
        <v>25</v>
      </c>
      <c r="M221" t="s">
        <v>21</v>
      </c>
    </row>
    <row r="222" spans="1:13" x14ac:dyDescent="0.35">
      <c r="A222">
        <v>1093</v>
      </c>
      <c r="B222" s="1">
        <v>44630</v>
      </c>
      <c r="C222" t="s">
        <v>32</v>
      </c>
      <c r="D222" t="s">
        <v>20</v>
      </c>
      <c r="E222">
        <v>69990.48</v>
      </c>
      <c r="F222">
        <v>28</v>
      </c>
      <c r="G222" t="s">
        <v>16</v>
      </c>
      <c r="H222">
        <v>325.48</v>
      </c>
      <c r="I222">
        <v>2777.4</v>
      </c>
      <c r="J222" t="s">
        <v>17</v>
      </c>
      <c r="K222">
        <v>0.1</v>
      </c>
      <c r="L222" t="s">
        <v>18</v>
      </c>
      <c r="M222" t="s">
        <v>21</v>
      </c>
    </row>
    <row r="223" spans="1:13" x14ac:dyDescent="0.35">
      <c r="A223">
        <v>1038</v>
      </c>
      <c r="B223" s="1">
        <v>44630</v>
      </c>
      <c r="C223" t="s">
        <v>33</v>
      </c>
      <c r="D223" t="s">
        <v>23</v>
      </c>
      <c r="E223">
        <v>184598.6</v>
      </c>
      <c r="F223">
        <v>40</v>
      </c>
      <c r="G223" t="s">
        <v>24</v>
      </c>
      <c r="H223">
        <v>1690.42</v>
      </c>
      <c r="I223">
        <v>5071.3900000000003</v>
      </c>
      <c r="J223" t="s">
        <v>27</v>
      </c>
      <c r="K223">
        <v>0.09</v>
      </c>
      <c r="L223" t="s">
        <v>28</v>
      </c>
      <c r="M223" t="s">
        <v>21</v>
      </c>
    </row>
    <row r="224" spans="1:13" x14ac:dyDescent="0.35">
      <c r="A224">
        <v>1017</v>
      </c>
      <c r="B224" s="1">
        <v>44631</v>
      </c>
      <c r="C224" t="s">
        <v>32</v>
      </c>
      <c r="D224" t="s">
        <v>30</v>
      </c>
      <c r="E224">
        <v>123398.38</v>
      </c>
      <c r="F224">
        <v>37</v>
      </c>
      <c r="G224" t="s">
        <v>26</v>
      </c>
      <c r="H224">
        <v>3267.33</v>
      </c>
      <c r="I224">
        <v>3448.29</v>
      </c>
      <c r="J224" t="s">
        <v>27</v>
      </c>
      <c r="K224">
        <v>0.03</v>
      </c>
      <c r="L224" t="s">
        <v>28</v>
      </c>
      <c r="M224" t="s">
        <v>19</v>
      </c>
    </row>
    <row r="225" spans="1:13" x14ac:dyDescent="0.35">
      <c r="A225">
        <v>1099</v>
      </c>
      <c r="B225" s="1">
        <v>44631</v>
      </c>
      <c r="C225" t="s">
        <v>14</v>
      </c>
      <c r="D225" t="s">
        <v>20</v>
      </c>
      <c r="E225">
        <v>97866.83</v>
      </c>
      <c r="F225">
        <v>27</v>
      </c>
      <c r="G225" t="s">
        <v>24</v>
      </c>
      <c r="H225">
        <v>2381.4499999999998</v>
      </c>
      <c r="I225">
        <v>4832.93</v>
      </c>
      <c r="J225" t="s">
        <v>17</v>
      </c>
      <c r="K225">
        <v>0.25</v>
      </c>
      <c r="L225" t="s">
        <v>28</v>
      </c>
      <c r="M225" t="s">
        <v>21</v>
      </c>
    </row>
    <row r="226" spans="1:13" x14ac:dyDescent="0.35">
      <c r="A226">
        <v>1040</v>
      </c>
      <c r="B226" s="1">
        <v>44631</v>
      </c>
      <c r="C226" t="s">
        <v>32</v>
      </c>
      <c r="D226" t="s">
        <v>30</v>
      </c>
      <c r="E226">
        <v>54826.73</v>
      </c>
      <c r="F226">
        <v>16</v>
      </c>
      <c r="G226" t="s">
        <v>16</v>
      </c>
      <c r="H226">
        <v>943.79</v>
      </c>
      <c r="I226">
        <v>4079.37</v>
      </c>
      <c r="J226" t="s">
        <v>17</v>
      </c>
      <c r="K226">
        <v>0.16</v>
      </c>
      <c r="L226" t="s">
        <v>28</v>
      </c>
      <c r="M226" t="s">
        <v>19</v>
      </c>
    </row>
    <row r="227" spans="1:13" x14ac:dyDescent="0.35">
      <c r="A227">
        <v>1075</v>
      </c>
      <c r="B227" s="1">
        <v>44631</v>
      </c>
      <c r="C227" t="s">
        <v>33</v>
      </c>
      <c r="D227" t="s">
        <v>15</v>
      </c>
      <c r="E227">
        <v>90610.28</v>
      </c>
      <c r="F227">
        <v>28</v>
      </c>
      <c r="G227" t="s">
        <v>31</v>
      </c>
      <c r="H227">
        <v>538.19000000000005</v>
      </c>
      <c r="I227">
        <v>3442.64</v>
      </c>
      <c r="J227" t="s">
        <v>27</v>
      </c>
      <c r="K227">
        <v>0.06</v>
      </c>
      <c r="L227" t="s">
        <v>28</v>
      </c>
      <c r="M227" t="s">
        <v>21</v>
      </c>
    </row>
    <row r="228" spans="1:13" x14ac:dyDescent="0.35">
      <c r="A228">
        <v>1028</v>
      </c>
      <c r="B228" s="1">
        <v>44632</v>
      </c>
      <c r="C228" t="s">
        <v>14</v>
      </c>
      <c r="D228" t="s">
        <v>20</v>
      </c>
      <c r="E228">
        <v>60921.75</v>
      </c>
      <c r="F228">
        <v>18</v>
      </c>
      <c r="G228" t="s">
        <v>24</v>
      </c>
      <c r="H228">
        <v>3181.8</v>
      </c>
      <c r="I228">
        <v>4284.2299999999996</v>
      </c>
      <c r="J228" t="s">
        <v>17</v>
      </c>
      <c r="K228">
        <v>0.21</v>
      </c>
      <c r="L228" t="s">
        <v>25</v>
      </c>
      <c r="M228" t="s">
        <v>21</v>
      </c>
    </row>
    <row r="229" spans="1:13" x14ac:dyDescent="0.35">
      <c r="A229">
        <v>1077</v>
      </c>
      <c r="B229" s="1">
        <v>44632</v>
      </c>
      <c r="C229" t="s">
        <v>22</v>
      </c>
      <c r="D229" t="s">
        <v>15</v>
      </c>
      <c r="E229">
        <v>10054.82</v>
      </c>
      <c r="F229">
        <v>3</v>
      </c>
      <c r="G229" t="s">
        <v>31</v>
      </c>
      <c r="H229">
        <v>193.52</v>
      </c>
      <c r="I229">
        <v>4468.8100000000004</v>
      </c>
      <c r="J229" t="s">
        <v>27</v>
      </c>
      <c r="K229">
        <v>0.25</v>
      </c>
      <c r="L229" t="s">
        <v>25</v>
      </c>
      <c r="M229" t="s">
        <v>19</v>
      </c>
    </row>
    <row r="230" spans="1:13" x14ac:dyDescent="0.35">
      <c r="A230">
        <v>1008</v>
      </c>
      <c r="B230" s="1">
        <v>44632</v>
      </c>
      <c r="C230" t="s">
        <v>32</v>
      </c>
      <c r="D230" t="s">
        <v>15</v>
      </c>
      <c r="E230">
        <v>34168.769999999997</v>
      </c>
      <c r="F230">
        <v>13</v>
      </c>
      <c r="G230" t="s">
        <v>24</v>
      </c>
      <c r="H230">
        <v>832.56</v>
      </c>
      <c r="I230">
        <v>3650.51</v>
      </c>
      <c r="J230" t="s">
        <v>17</v>
      </c>
      <c r="K230">
        <v>0.28000000000000003</v>
      </c>
      <c r="L230" t="s">
        <v>18</v>
      </c>
      <c r="M230" t="s">
        <v>21</v>
      </c>
    </row>
    <row r="231" spans="1:13" x14ac:dyDescent="0.35">
      <c r="A231">
        <v>1097</v>
      </c>
      <c r="B231" s="1">
        <v>44634</v>
      </c>
      <c r="C231" t="s">
        <v>22</v>
      </c>
      <c r="D231" t="s">
        <v>15</v>
      </c>
      <c r="E231">
        <v>5522.34</v>
      </c>
      <c r="F231">
        <v>15</v>
      </c>
      <c r="G231" t="s">
        <v>31</v>
      </c>
      <c r="H231">
        <v>247.17</v>
      </c>
      <c r="I231">
        <v>518.53</v>
      </c>
      <c r="J231" t="s">
        <v>27</v>
      </c>
      <c r="K231">
        <v>0.28999999999999998</v>
      </c>
      <c r="L231" t="s">
        <v>28</v>
      </c>
      <c r="M231" t="s">
        <v>21</v>
      </c>
    </row>
    <row r="232" spans="1:13" x14ac:dyDescent="0.35">
      <c r="A232">
        <v>1041</v>
      </c>
      <c r="B232" s="1">
        <v>44634</v>
      </c>
      <c r="C232" t="s">
        <v>33</v>
      </c>
      <c r="D232" t="s">
        <v>20</v>
      </c>
      <c r="E232">
        <v>4725.97</v>
      </c>
      <c r="F232">
        <v>1</v>
      </c>
      <c r="G232" t="s">
        <v>24</v>
      </c>
      <c r="H232">
        <v>2413.6</v>
      </c>
      <c r="I232">
        <v>4773.71</v>
      </c>
      <c r="J232" t="s">
        <v>27</v>
      </c>
      <c r="K232">
        <v>0.01</v>
      </c>
      <c r="L232" t="s">
        <v>25</v>
      </c>
      <c r="M232" t="s">
        <v>21</v>
      </c>
    </row>
    <row r="233" spans="1:13" x14ac:dyDescent="0.35">
      <c r="A233">
        <v>1021</v>
      </c>
      <c r="B233" s="1">
        <v>44634</v>
      </c>
      <c r="C233" t="s">
        <v>32</v>
      </c>
      <c r="D233" t="s">
        <v>20</v>
      </c>
      <c r="E233">
        <v>52538.3</v>
      </c>
      <c r="F233">
        <v>20</v>
      </c>
      <c r="G233" t="s">
        <v>26</v>
      </c>
      <c r="H233">
        <v>2386.9699999999998</v>
      </c>
      <c r="I233">
        <v>2736.37</v>
      </c>
      <c r="J233" t="s">
        <v>17</v>
      </c>
      <c r="K233">
        <v>0.04</v>
      </c>
      <c r="L233" t="s">
        <v>28</v>
      </c>
      <c r="M233" t="s">
        <v>19</v>
      </c>
    </row>
    <row r="234" spans="1:13" x14ac:dyDescent="0.35">
      <c r="A234">
        <v>1073</v>
      </c>
      <c r="B234" s="1">
        <v>44634</v>
      </c>
      <c r="C234" t="s">
        <v>32</v>
      </c>
      <c r="D234" t="s">
        <v>15</v>
      </c>
      <c r="E234">
        <v>53487.42</v>
      </c>
      <c r="F234">
        <v>22</v>
      </c>
      <c r="G234" t="s">
        <v>24</v>
      </c>
      <c r="H234">
        <v>1296.77</v>
      </c>
      <c r="I234">
        <v>2762.78</v>
      </c>
      <c r="J234" t="s">
        <v>17</v>
      </c>
      <c r="K234">
        <v>0.12</v>
      </c>
      <c r="L234" t="s">
        <v>25</v>
      </c>
      <c r="M234" t="s">
        <v>21</v>
      </c>
    </row>
    <row r="235" spans="1:13" x14ac:dyDescent="0.35">
      <c r="A235">
        <v>1100</v>
      </c>
      <c r="B235" s="1">
        <v>44634</v>
      </c>
      <c r="C235" t="s">
        <v>29</v>
      </c>
      <c r="D235" t="s">
        <v>30</v>
      </c>
      <c r="E235">
        <v>42032.06</v>
      </c>
      <c r="F235">
        <v>24</v>
      </c>
      <c r="G235" t="s">
        <v>26</v>
      </c>
      <c r="H235">
        <v>132.71</v>
      </c>
      <c r="I235">
        <v>2366.67</v>
      </c>
      <c r="J235" t="s">
        <v>27</v>
      </c>
      <c r="K235">
        <v>0.26</v>
      </c>
      <c r="L235" t="s">
        <v>28</v>
      </c>
      <c r="M235" t="s">
        <v>19</v>
      </c>
    </row>
    <row r="236" spans="1:13" x14ac:dyDescent="0.35">
      <c r="A236">
        <v>1019</v>
      </c>
      <c r="B236" s="1">
        <v>44634</v>
      </c>
      <c r="C236" t="s">
        <v>29</v>
      </c>
      <c r="D236" t="s">
        <v>30</v>
      </c>
      <c r="E236">
        <v>68768.399999999994</v>
      </c>
      <c r="F236">
        <v>20</v>
      </c>
      <c r="G236" t="s">
        <v>16</v>
      </c>
      <c r="H236">
        <v>1374.52</v>
      </c>
      <c r="I236">
        <v>4045.2</v>
      </c>
      <c r="J236" t="s">
        <v>27</v>
      </c>
      <c r="K236">
        <v>0.15</v>
      </c>
      <c r="L236" t="s">
        <v>28</v>
      </c>
      <c r="M236" t="s">
        <v>21</v>
      </c>
    </row>
    <row r="237" spans="1:13" x14ac:dyDescent="0.35">
      <c r="A237">
        <v>1077</v>
      </c>
      <c r="B237" s="1">
        <v>44635</v>
      </c>
      <c r="C237" t="s">
        <v>22</v>
      </c>
      <c r="D237" t="s">
        <v>20</v>
      </c>
      <c r="E237">
        <v>13271.97</v>
      </c>
      <c r="F237">
        <v>17</v>
      </c>
      <c r="G237" t="s">
        <v>16</v>
      </c>
      <c r="H237">
        <v>476.84</v>
      </c>
      <c r="I237">
        <v>788.59</v>
      </c>
      <c r="J237" t="s">
        <v>17</v>
      </c>
      <c r="K237">
        <v>0.01</v>
      </c>
      <c r="L237" t="s">
        <v>25</v>
      </c>
      <c r="M237" t="s">
        <v>21</v>
      </c>
    </row>
    <row r="238" spans="1:13" x14ac:dyDescent="0.35">
      <c r="A238">
        <v>1078</v>
      </c>
      <c r="B238" s="1">
        <v>44635</v>
      </c>
      <c r="C238" t="s">
        <v>29</v>
      </c>
      <c r="D238" t="s">
        <v>23</v>
      </c>
      <c r="E238">
        <v>117202.27</v>
      </c>
      <c r="F238">
        <v>35</v>
      </c>
      <c r="G238" t="s">
        <v>31</v>
      </c>
      <c r="H238">
        <v>1443.96</v>
      </c>
      <c r="I238">
        <v>3679.82</v>
      </c>
      <c r="J238" t="s">
        <v>27</v>
      </c>
      <c r="K238">
        <v>0.09</v>
      </c>
      <c r="L238" t="s">
        <v>18</v>
      </c>
      <c r="M238" t="s">
        <v>21</v>
      </c>
    </row>
    <row r="239" spans="1:13" x14ac:dyDescent="0.35">
      <c r="A239">
        <v>1061</v>
      </c>
      <c r="B239" s="1">
        <v>44636</v>
      </c>
      <c r="C239" t="s">
        <v>33</v>
      </c>
      <c r="D239" t="s">
        <v>23</v>
      </c>
      <c r="E239">
        <v>94196.03</v>
      </c>
      <c r="F239">
        <v>27</v>
      </c>
      <c r="G239" t="s">
        <v>31</v>
      </c>
      <c r="H239">
        <v>3035.91</v>
      </c>
      <c r="I239">
        <v>3876.38</v>
      </c>
      <c r="J239" t="s">
        <v>17</v>
      </c>
      <c r="K239">
        <v>0.1</v>
      </c>
      <c r="L239" t="s">
        <v>28</v>
      </c>
      <c r="M239" t="s">
        <v>21</v>
      </c>
    </row>
    <row r="240" spans="1:13" x14ac:dyDescent="0.35">
      <c r="A240">
        <v>1096</v>
      </c>
      <c r="B240" s="1">
        <v>44636</v>
      </c>
      <c r="C240" t="s">
        <v>29</v>
      </c>
      <c r="D240" t="s">
        <v>30</v>
      </c>
      <c r="E240">
        <v>71849.100000000006</v>
      </c>
      <c r="F240">
        <v>39</v>
      </c>
      <c r="G240" t="s">
        <v>26</v>
      </c>
      <c r="H240">
        <v>815.94</v>
      </c>
      <c r="I240">
        <v>2219.62</v>
      </c>
      <c r="J240" t="s">
        <v>27</v>
      </c>
      <c r="K240">
        <v>0.17</v>
      </c>
      <c r="L240" t="s">
        <v>18</v>
      </c>
      <c r="M240" t="s">
        <v>21</v>
      </c>
    </row>
    <row r="241" spans="1:13" x14ac:dyDescent="0.35">
      <c r="A241">
        <v>1093</v>
      </c>
      <c r="B241" s="1">
        <v>44637</v>
      </c>
      <c r="C241" t="s">
        <v>22</v>
      </c>
      <c r="D241" t="s">
        <v>15</v>
      </c>
      <c r="E241">
        <v>33132.9</v>
      </c>
      <c r="F241">
        <v>7</v>
      </c>
      <c r="G241" t="s">
        <v>26</v>
      </c>
      <c r="H241">
        <v>4603.16</v>
      </c>
      <c r="I241">
        <v>4979.3599999999997</v>
      </c>
      <c r="J241" t="s">
        <v>17</v>
      </c>
      <c r="K241">
        <v>0.05</v>
      </c>
      <c r="L241" t="s">
        <v>18</v>
      </c>
      <c r="M241" t="s">
        <v>19</v>
      </c>
    </row>
    <row r="242" spans="1:13" x14ac:dyDescent="0.35">
      <c r="A242">
        <v>1042</v>
      </c>
      <c r="B242" s="1">
        <v>44637</v>
      </c>
      <c r="C242" t="s">
        <v>22</v>
      </c>
      <c r="D242" t="s">
        <v>30</v>
      </c>
      <c r="E242">
        <v>174663.78</v>
      </c>
      <c r="F242">
        <v>38</v>
      </c>
      <c r="G242" t="s">
        <v>16</v>
      </c>
      <c r="H242">
        <v>4570.3599999999997</v>
      </c>
      <c r="I242">
        <v>4604.22</v>
      </c>
      <c r="J242" t="s">
        <v>27</v>
      </c>
      <c r="K242">
        <v>0</v>
      </c>
      <c r="L242" t="s">
        <v>18</v>
      </c>
      <c r="M242" t="s">
        <v>21</v>
      </c>
    </row>
    <row r="243" spans="1:13" x14ac:dyDescent="0.35">
      <c r="A243">
        <v>1034</v>
      </c>
      <c r="B243" s="1">
        <v>44637</v>
      </c>
      <c r="C243" t="s">
        <v>32</v>
      </c>
      <c r="D243" t="s">
        <v>15</v>
      </c>
      <c r="E243">
        <v>74327.320000000007</v>
      </c>
      <c r="F243">
        <v>37</v>
      </c>
      <c r="G243" t="s">
        <v>16</v>
      </c>
      <c r="H243">
        <v>1962.72</v>
      </c>
      <c r="I243">
        <v>2012.96</v>
      </c>
      <c r="J243" t="s">
        <v>17</v>
      </c>
      <c r="K243">
        <v>0</v>
      </c>
      <c r="L243" t="s">
        <v>25</v>
      </c>
      <c r="M243" t="s">
        <v>21</v>
      </c>
    </row>
    <row r="244" spans="1:13" x14ac:dyDescent="0.35">
      <c r="A244">
        <v>1027</v>
      </c>
      <c r="B244" s="1">
        <v>44637</v>
      </c>
      <c r="C244" t="s">
        <v>14</v>
      </c>
      <c r="D244" t="s">
        <v>23</v>
      </c>
      <c r="E244">
        <v>47636.86</v>
      </c>
      <c r="F244">
        <v>19</v>
      </c>
      <c r="G244" t="s">
        <v>31</v>
      </c>
      <c r="H244">
        <v>1048.81</v>
      </c>
      <c r="I244">
        <v>2611.67</v>
      </c>
      <c r="J244" t="s">
        <v>17</v>
      </c>
      <c r="K244">
        <v>0.04</v>
      </c>
      <c r="L244" t="s">
        <v>28</v>
      </c>
      <c r="M244" t="s">
        <v>21</v>
      </c>
    </row>
    <row r="245" spans="1:13" x14ac:dyDescent="0.35">
      <c r="A245">
        <v>1086</v>
      </c>
      <c r="B245" s="1">
        <v>44637</v>
      </c>
      <c r="C245" t="s">
        <v>29</v>
      </c>
      <c r="D245" t="s">
        <v>23</v>
      </c>
      <c r="E245">
        <v>75527.67</v>
      </c>
      <c r="F245">
        <v>22</v>
      </c>
      <c r="G245" t="s">
        <v>16</v>
      </c>
      <c r="H245">
        <v>795.38</v>
      </c>
      <c r="I245">
        <v>4458.54</v>
      </c>
      <c r="J245" t="s">
        <v>27</v>
      </c>
      <c r="K245">
        <v>0.23</v>
      </c>
      <c r="L245" t="s">
        <v>25</v>
      </c>
      <c r="M245" t="s">
        <v>19</v>
      </c>
    </row>
    <row r="246" spans="1:13" x14ac:dyDescent="0.35">
      <c r="A246">
        <v>1074</v>
      </c>
      <c r="B246" s="1">
        <v>44637</v>
      </c>
      <c r="C246" t="s">
        <v>32</v>
      </c>
      <c r="D246" t="s">
        <v>15</v>
      </c>
      <c r="E246">
        <v>106617.39</v>
      </c>
      <c r="F246">
        <v>31</v>
      </c>
      <c r="G246" t="s">
        <v>16</v>
      </c>
      <c r="H246">
        <v>777.74</v>
      </c>
      <c r="I246">
        <v>4094.37</v>
      </c>
      <c r="J246" t="s">
        <v>17</v>
      </c>
      <c r="K246">
        <v>0.16</v>
      </c>
      <c r="L246" t="s">
        <v>25</v>
      </c>
      <c r="M246" t="s">
        <v>19</v>
      </c>
    </row>
    <row r="247" spans="1:13" x14ac:dyDescent="0.35">
      <c r="A247">
        <v>1082</v>
      </c>
      <c r="B247" s="1">
        <v>44638</v>
      </c>
      <c r="C247" t="s">
        <v>33</v>
      </c>
      <c r="D247" t="s">
        <v>15</v>
      </c>
      <c r="E247">
        <v>151328.21</v>
      </c>
      <c r="F247">
        <v>45</v>
      </c>
      <c r="G247" t="s">
        <v>16</v>
      </c>
      <c r="H247">
        <v>3112.28</v>
      </c>
      <c r="I247">
        <v>3476.15</v>
      </c>
      <c r="J247" t="s">
        <v>27</v>
      </c>
      <c r="K247">
        <v>0.03</v>
      </c>
      <c r="L247" t="s">
        <v>18</v>
      </c>
      <c r="M247" t="s">
        <v>19</v>
      </c>
    </row>
    <row r="248" spans="1:13" x14ac:dyDescent="0.35">
      <c r="A248">
        <v>1037</v>
      </c>
      <c r="B248" s="1">
        <v>44639</v>
      </c>
      <c r="C248" t="s">
        <v>22</v>
      </c>
      <c r="D248" t="s">
        <v>20</v>
      </c>
      <c r="E248">
        <v>96332.79</v>
      </c>
      <c r="F248">
        <v>26</v>
      </c>
      <c r="G248" t="s">
        <v>31</v>
      </c>
      <c r="H248">
        <v>3369.36</v>
      </c>
      <c r="I248">
        <v>3757.67</v>
      </c>
      <c r="J248" t="s">
        <v>27</v>
      </c>
      <c r="K248">
        <v>0.01</v>
      </c>
      <c r="L248" t="s">
        <v>25</v>
      </c>
      <c r="M248" t="s">
        <v>19</v>
      </c>
    </row>
    <row r="249" spans="1:13" x14ac:dyDescent="0.35">
      <c r="A249">
        <v>1028</v>
      </c>
      <c r="B249" s="1">
        <v>44640</v>
      </c>
      <c r="C249" t="s">
        <v>29</v>
      </c>
      <c r="D249" t="s">
        <v>20</v>
      </c>
      <c r="E249">
        <v>11233.51</v>
      </c>
      <c r="F249">
        <v>14</v>
      </c>
      <c r="G249" t="s">
        <v>24</v>
      </c>
      <c r="H249">
        <v>641.1</v>
      </c>
      <c r="I249">
        <v>827.21</v>
      </c>
      <c r="J249" t="s">
        <v>17</v>
      </c>
      <c r="K249">
        <v>0.03</v>
      </c>
      <c r="L249" t="s">
        <v>25</v>
      </c>
      <c r="M249" t="s">
        <v>21</v>
      </c>
    </row>
    <row r="250" spans="1:13" x14ac:dyDescent="0.35">
      <c r="A250">
        <v>1091</v>
      </c>
      <c r="B250" s="1">
        <v>44640</v>
      </c>
      <c r="C250" t="s">
        <v>29</v>
      </c>
      <c r="D250" t="s">
        <v>30</v>
      </c>
      <c r="E250">
        <v>117555.2</v>
      </c>
      <c r="F250">
        <v>25</v>
      </c>
      <c r="G250" t="s">
        <v>31</v>
      </c>
      <c r="H250">
        <v>4270.6899999999996</v>
      </c>
      <c r="I250">
        <v>4910.16</v>
      </c>
      <c r="J250" t="s">
        <v>17</v>
      </c>
      <c r="K250">
        <v>0.04</v>
      </c>
      <c r="L250" t="s">
        <v>18</v>
      </c>
      <c r="M250" t="s">
        <v>19</v>
      </c>
    </row>
    <row r="251" spans="1:13" x14ac:dyDescent="0.35">
      <c r="A251">
        <v>1014</v>
      </c>
      <c r="B251" s="1">
        <v>44640</v>
      </c>
      <c r="C251" t="s">
        <v>14</v>
      </c>
      <c r="D251" t="s">
        <v>15</v>
      </c>
      <c r="E251">
        <v>94823.52</v>
      </c>
      <c r="F251">
        <v>33</v>
      </c>
      <c r="G251" t="s">
        <v>24</v>
      </c>
      <c r="H251">
        <v>1172.0999999999999</v>
      </c>
      <c r="I251">
        <v>3591.8</v>
      </c>
      <c r="J251" t="s">
        <v>17</v>
      </c>
      <c r="K251">
        <v>0.2</v>
      </c>
      <c r="L251" t="s">
        <v>28</v>
      </c>
      <c r="M251" t="s">
        <v>21</v>
      </c>
    </row>
    <row r="252" spans="1:13" x14ac:dyDescent="0.35">
      <c r="A252">
        <v>1069</v>
      </c>
      <c r="B252" s="1">
        <v>44641</v>
      </c>
      <c r="C252" t="s">
        <v>29</v>
      </c>
      <c r="D252" t="s">
        <v>30</v>
      </c>
      <c r="E252">
        <v>45714.559999999998</v>
      </c>
      <c r="F252">
        <v>36</v>
      </c>
      <c r="G252" t="s">
        <v>24</v>
      </c>
      <c r="H252">
        <v>581.21</v>
      </c>
      <c r="I252">
        <v>1443.01</v>
      </c>
      <c r="J252" t="s">
        <v>17</v>
      </c>
      <c r="K252">
        <v>0.12</v>
      </c>
      <c r="L252" t="s">
        <v>25</v>
      </c>
      <c r="M252" t="s">
        <v>19</v>
      </c>
    </row>
    <row r="253" spans="1:13" x14ac:dyDescent="0.35">
      <c r="A253">
        <v>1035</v>
      </c>
      <c r="B253" s="1">
        <v>44641</v>
      </c>
      <c r="C253" t="s">
        <v>22</v>
      </c>
      <c r="D253" t="s">
        <v>23</v>
      </c>
      <c r="E253">
        <v>101347.48</v>
      </c>
      <c r="F253">
        <v>31</v>
      </c>
      <c r="G253" t="s">
        <v>24</v>
      </c>
      <c r="H253">
        <v>707.43</v>
      </c>
      <c r="I253">
        <v>4036.14</v>
      </c>
      <c r="J253" t="s">
        <v>17</v>
      </c>
      <c r="K253">
        <v>0.19</v>
      </c>
      <c r="L253" t="s">
        <v>18</v>
      </c>
      <c r="M253" t="s">
        <v>21</v>
      </c>
    </row>
    <row r="254" spans="1:13" x14ac:dyDescent="0.35">
      <c r="A254">
        <v>1034</v>
      </c>
      <c r="B254" s="1">
        <v>44641</v>
      </c>
      <c r="C254" t="s">
        <v>32</v>
      </c>
      <c r="D254" t="s">
        <v>30</v>
      </c>
      <c r="E254">
        <v>139677.70000000001</v>
      </c>
      <c r="F254">
        <v>48</v>
      </c>
      <c r="G254" t="s">
        <v>26</v>
      </c>
      <c r="H254">
        <v>593.26</v>
      </c>
      <c r="I254">
        <v>3031.2</v>
      </c>
      <c r="J254" t="s">
        <v>27</v>
      </c>
      <c r="K254">
        <v>0.04</v>
      </c>
      <c r="L254" t="s">
        <v>28</v>
      </c>
      <c r="M254" t="s">
        <v>19</v>
      </c>
    </row>
    <row r="255" spans="1:13" x14ac:dyDescent="0.35">
      <c r="A255">
        <v>1071</v>
      </c>
      <c r="B255" s="1">
        <v>44642</v>
      </c>
      <c r="C255" t="s">
        <v>33</v>
      </c>
      <c r="D255" t="s">
        <v>23</v>
      </c>
      <c r="E255">
        <v>8361.43</v>
      </c>
      <c r="F255">
        <v>2</v>
      </c>
      <c r="G255" t="s">
        <v>26</v>
      </c>
      <c r="H255">
        <v>3598.57</v>
      </c>
      <c r="I255">
        <v>4447.57</v>
      </c>
      <c r="J255" t="s">
        <v>27</v>
      </c>
      <c r="K255">
        <v>0.06</v>
      </c>
      <c r="L255" t="s">
        <v>18</v>
      </c>
      <c r="M255" t="s">
        <v>21</v>
      </c>
    </row>
    <row r="256" spans="1:13" x14ac:dyDescent="0.35">
      <c r="A256">
        <v>1034</v>
      </c>
      <c r="B256" s="1">
        <v>44642</v>
      </c>
      <c r="C256" t="s">
        <v>32</v>
      </c>
      <c r="D256" t="s">
        <v>15</v>
      </c>
      <c r="E256">
        <v>12439.44</v>
      </c>
      <c r="F256">
        <v>3</v>
      </c>
      <c r="G256" t="s">
        <v>26</v>
      </c>
      <c r="H256">
        <v>1633.07</v>
      </c>
      <c r="I256">
        <v>4711.91</v>
      </c>
      <c r="J256" t="s">
        <v>17</v>
      </c>
      <c r="K256">
        <v>0.12</v>
      </c>
      <c r="L256" t="s">
        <v>28</v>
      </c>
      <c r="M256" t="s">
        <v>19</v>
      </c>
    </row>
    <row r="257" spans="1:13" x14ac:dyDescent="0.35">
      <c r="A257">
        <v>1014</v>
      </c>
      <c r="B257" s="1">
        <v>44642</v>
      </c>
      <c r="C257" t="s">
        <v>22</v>
      </c>
      <c r="D257" t="s">
        <v>30</v>
      </c>
      <c r="E257">
        <v>78496.070000000007</v>
      </c>
      <c r="F257">
        <v>33</v>
      </c>
      <c r="G257" t="s">
        <v>26</v>
      </c>
      <c r="H257">
        <v>2134.5700000000002</v>
      </c>
      <c r="I257">
        <v>2477.7800000000002</v>
      </c>
      <c r="J257" t="s">
        <v>17</v>
      </c>
      <c r="K257">
        <v>0.04</v>
      </c>
      <c r="L257" t="s">
        <v>18</v>
      </c>
      <c r="M257" t="s">
        <v>19</v>
      </c>
    </row>
    <row r="258" spans="1:13" x14ac:dyDescent="0.35">
      <c r="A258">
        <v>1058</v>
      </c>
      <c r="B258" s="1">
        <v>44643</v>
      </c>
      <c r="C258" t="s">
        <v>33</v>
      </c>
      <c r="D258" t="s">
        <v>20</v>
      </c>
      <c r="E258">
        <v>24469.47</v>
      </c>
      <c r="F258">
        <v>25</v>
      </c>
      <c r="G258" t="s">
        <v>31</v>
      </c>
      <c r="H258">
        <v>964.56</v>
      </c>
      <c r="I258">
        <v>1063.8900000000001</v>
      </c>
      <c r="J258" t="s">
        <v>17</v>
      </c>
      <c r="K258">
        <v>0.08</v>
      </c>
      <c r="L258" t="s">
        <v>25</v>
      </c>
      <c r="M258" t="s">
        <v>21</v>
      </c>
    </row>
    <row r="259" spans="1:13" x14ac:dyDescent="0.35">
      <c r="A259">
        <v>1080</v>
      </c>
      <c r="B259" s="1">
        <v>44643</v>
      </c>
      <c r="C259" t="s">
        <v>33</v>
      </c>
      <c r="D259" t="s">
        <v>23</v>
      </c>
      <c r="E259">
        <v>2374.86</v>
      </c>
      <c r="F259">
        <v>3</v>
      </c>
      <c r="G259" t="s">
        <v>31</v>
      </c>
      <c r="H259">
        <v>534.6</v>
      </c>
      <c r="I259">
        <v>899.57</v>
      </c>
      <c r="J259" t="s">
        <v>27</v>
      </c>
      <c r="K259">
        <v>0.12</v>
      </c>
      <c r="L259" t="s">
        <v>18</v>
      </c>
      <c r="M259" t="s">
        <v>19</v>
      </c>
    </row>
    <row r="260" spans="1:13" x14ac:dyDescent="0.35">
      <c r="A260">
        <v>1090</v>
      </c>
      <c r="B260" s="1">
        <v>44643</v>
      </c>
      <c r="C260" t="s">
        <v>22</v>
      </c>
      <c r="D260" t="s">
        <v>15</v>
      </c>
      <c r="E260">
        <v>12906.04</v>
      </c>
      <c r="F260">
        <v>4</v>
      </c>
      <c r="G260" t="s">
        <v>31</v>
      </c>
      <c r="H260">
        <v>2528.5500000000002</v>
      </c>
      <c r="I260">
        <v>3259.1</v>
      </c>
      <c r="J260" t="s">
        <v>27</v>
      </c>
      <c r="K260">
        <v>0.01</v>
      </c>
      <c r="L260" t="s">
        <v>28</v>
      </c>
      <c r="M260" t="s">
        <v>21</v>
      </c>
    </row>
    <row r="261" spans="1:13" x14ac:dyDescent="0.35">
      <c r="A261">
        <v>1013</v>
      </c>
      <c r="B261" s="1">
        <v>44644</v>
      </c>
      <c r="C261" t="s">
        <v>14</v>
      </c>
      <c r="D261" t="s">
        <v>30</v>
      </c>
      <c r="E261">
        <v>107536.4</v>
      </c>
      <c r="F261">
        <v>34</v>
      </c>
      <c r="G261" t="s">
        <v>24</v>
      </c>
      <c r="H261">
        <v>2216.77</v>
      </c>
      <c r="I261">
        <v>3765.28</v>
      </c>
      <c r="J261" t="s">
        <v>27</v>
      </c>
      <c r="K261">
        <v>0.16</v>
      </c>
      <c r="L261" t="s">
        <v>25</v>
      </c>
      <c r="M261" t="s">
        <v>21</v>
      </c>
    </row>
    <row r="262" spans="1:13" x14ac:dyDescent="0.35">
      <c r="A262">
        <v>1065</v>
      </c>
      <c r="B262" s="1">
        <v>44645</v>
      </c>
      <c r="C262" t="s">
        <v>14</v>
      </c>
      <c r="D262" t="s">
        <v>20</v>
      </c>
      <c r="E262">
        <v>83650.59</v>
      </c>
      <c r="F262">
        <v>39</v>
      </c>
      <c r="G262" t="s">
        <v>16</v>
      </c>
      <c r="H262">
        <v>1541.06</v>
      </c>
      <c r="I262">
        <v>2188.66</v>
      </c>
      <c r="J262" t="s">
        <v>17</v>
      </c>
      <c r="K262">
        <v>0.02</v>
      </c>
      <c r="L262" t="s">
        <v>25</v>
      </c>
      <c r="M262" t="s">
        <v>21</v>
      </c>
    </row>
    <row r="263" spans="1:13" x14ac:dyDescent="0.35">
      <c r="A263">
        <v>1067</v>
      </c>
      <c r="B263" s="1">
        <v>44645</v>
      </c>
      <c r="C263" t="s">
        <v>32</v>
      </c>
      <c r="D263" t="s">
        <v>20</v>
      </c>
      <c r="E263">
        <v>70211.509999999995</v>
      </c>
      <c r="F263">
        <v>44</v>
      </c>
      <c r="G263" t="s">
        <v>26</v>
      </c>
      <c r="H263">
        <v>271.77999999999997</v>
      </c>
      <c r="I263">
        <v>2045.79</v>
      </c>
      <c r="J263" t="s">
        <v>27</v>
      </c>
      <c r="K263">
        <v>0.22</v>
      </c>
      <c r="L263" t="s">
        <v>28</v>
      </c>
      <c r="M263" t="s">
        <v>21</v>
      </c>
    </row>
    <row r="264" spans="1:13" x14ac:dyDescent="0.35">
      <c r="A264">
        <v>1010</v>
      </c>
      <c r="B264" s="1">
        <v>44645</v>
      </c>
      <c r="C264" t="s">
        <v>29</v>
      </c>
      <c r="D264" t="s">
        <v>23</v>
      </c>
      <c r="E264">
        <v>160345.43</v>
      </c>
      <c r="F264">
        <v>36</v>
      </c>
      <c r="G264" t="s">
        <v>24</v>
      </c>
      <c r="H264">
        <v>650.1</v>
      </c>
      <c r="I264">
        <v>4789.29</v>
      </c>
      <c r="J264" t="s">
        <v>17</v>
      </c>
      <c r="K264">
        <v>7.0000000000000007E-2</v>
      </c>
      <c r="L264" t="s">
        <v>25</v>
      </c>
      <c r="M264" t="s">
        <v>19</v>
      </c>
    </row>
    <row r="265" spans="1:13" x14ac:dyDescent="0.35">
      <c r="A265">
        <v>1007</v>
      </c>
      <c r="B265" s="1">
        <v>44646</v>
      </c>
      <c r="C265" t="s">
        <v>32</v>
      </c>
      <c r="D265" t="s">
        <v>23</v>
      </c>
      <c r="E265">
        <v>88400.34</v>
      </c>
      <c r="F265">
        <v>31</v>
      </c>
      <c r="G265" t="s">
        <v>26</v>
      </c>
      <c r="H265">
        <v>2312.94</v>
      </c>
      <c r="I265">
        <v>3477.59</v>
      </c>
      <c r="J265" t="s">
        <v>17</v>
      </c>
      <c r="K265">
        <v>0.18</v>
      </c>
      <c r="L265" t="s">
        <v>28</v>
      </c>
      <c r="M265" t="s">
        <v>21</v>
      </c>
    </row>
    <row r="266" spans="1:13" x14ac:dyDescent="0.35">
      <c r="A266">
        <v>1088</v>
      </c>
      <c r="B266" s="1">
        <v>44646</v>
      </c>
      <c r="C266" t="s">
        <v>33</v>
      </c>
      <c r="D266" t="s">
        <v>30</v>
      </c>
      <c r="E266">
        <v>34206.9</v>
      </c>
      <c r="F266">
        <v>13</v>
      </c>
      <c r="G266" t="s">
        <v>26</v>
      </c>
      <c r="H266">
        <v>1251.0899999999999</v>
      </c>
      <c r="I266">
        <v>2685</v>
      </c>
      <c r="J266" t="s">
        <v>27</v>
      </c>
      <c r="K266">
        <v>0.02</v>
      </c>
      <c r="L266" t="s">
        <v>28</v>
      </c>
      <c r="M266" t="s">
        <v>19</v>
      </c>
    </row>
    <row r="267" spans="1:13" x14ac:dyDescent="0.35">
      <c r="A267">
        <v>1016</v>
      </c>
      <c r="B267" s="1">
        <v>44647</v>
      </c>
      <c r="C267" t="s">
        <v>22</v>
      </c>
      <c r="D267" t="s">
        <v>20</v>
      </c>
      <c r="E267">
        <v>44515.43</v>
      </c>
      <c r="F267">
        <v>14</v>
      </c>
      <c r="G267" t="s">
        <v>31</v>
      </c>
      <c r="H267">
        <v>2323.35</v>
      </c>
      <c r="I267">
        <v>3224.46</v>
      </c>
      <c r="J267" t="s">
        <v>27</v>
      </c>
      <c r="K267">
        <v>0.01</v>
      </c>
      <c r="L267" t="s">
        <v>25</v>
      </c>
      <c r="M267" t="s">
        <v>19</v>
      </c>
    </row>
    <row r="268" spans="1:13" x14ac:dyDescent="0.35">
      <c r="A268">
        <v>1019</v>
      </c>
      <c r="B268" s="1">
        <v>44648</v>
      </c>
      <c r="C268" t="s">
        <v>29</v>
      </c>
      <c r="D268" t="s">
        <v>30</v>
      </c>
      <c r="E268">
        <v>51267.69</v>
      </c>
      <c r="F268">
        <v>12</v>
      </c>
      <c r="G268" t="s">
        <v>26</v>
      </c>
      <c r="H268">
        <v>3170.47</v>
      </c>
      <c r="I268">
        <v>5086.08</v>
      </c>
      <c r="J268" t="s">
        <v>27</v>
      </c>
      <c r="K268">
        <v>0.16</v>
      </c>
      <c r="L268" t="s">
        <v>18</v>
      </c>
      <c r="M268" t="s">
        <v>19</v>
      </c>
    </row>
    <row r="269" spans="1:13" x14ac:dyDescent="0.35">
      <c r="A269">
        <v>1083</v>
      </c>
      <c r="B269" s="1">
        <v>44648</v>
      </c>
      <c r="C269" t="s">
        <v>29</v>
      </c>
      <c r="D269" t="s">
        <v>15</v>
      </c>
      <c r="E269">
        <v>66283.899999999994</v>
      </c>
      <c r="F269">
        <v>38</v>
      </c>
      <c r="G269" t="s">
        <v>16</v>
      </c>
      <c r="H269">
        <v>1330.8</v>
      </c>
      <c r="I269">
        <v>2389.4699999999998</v>
      </c>
      <c r="J269" t="s">
        <v>17</v>
      </c>
      <c r="K269">
        <v>0.27</v>
      </c>
      <c r="L269" t="s">
        <v>18</v>
      </c>
      <c r="M269" t="s">
        <v>19</v>
      </c>
    </row>
    <row r="270" spans="1:13" x14ac:dyDescent="0.35">
      <c r="A270">
        <v>1014</v>
      </c>
      <c r="B270" s="1">
        <v>44649</v>
      </c>
      <c r="C270" t="s">
        <v>33</v>
      </c>
      <c r="D270" t="s">
        <v>30</v>
      </c>
      <c r="E270">
        <v>50503.67</v>
      </c>
      <c r="F270">
        <v>12</v>
      </c>
      <c r="G270" t="s">
        <v>31</v>
      </c>
      <c r="H270">
        <v>2526.48</v>
      </c>
      <c r="I270">
        <v>4951.34</v>
      </c>
      <c r="J270" t="s">
        <v>17</v>
      </c>
      <c r="K270">
        <v>0.15</v>
      </c>
      <c r="L270" t="s">
        <v>25</v>
      </c>
      <c r="M270" t="s">
        <v>21</v>
      </c>
    </row>
    <row r="271" spans="1:13" x14ac:dyDescent="0.35">
      <c r="A271">
        <v>1056</v>
      </c>
      <c r="B271" s="1">
        <v>44649</v>
      </c>
      <c r="C271" t="s">
        <v>33</v>
      </c>
      <c r="D271" t="s">
        <v>30</v>
      </c>
      <c r="E271">
        <v>152959.79</v>
      </c>
      <c r="F271">
        <v>41</v>
      </c>
      <c r="G271" t="s">
        <v>26</v>
      </c>
      <c r="H271">
        <v>2294.89</v>
      </c>
      <c r="I271">
        <v>4389.09</v>
      </c>
      <c r="J271" t="s">
        <v>17</v>
      </c>
      <c r="K271">
        <v>0.15</v>
      </c>
      <c r="L271" t="s">
        <v>25</v>
      </c>
      <c r="M271" t="s">
        <v>19</v>
      </c>
    </row>
    <row r="272" spans="1:13" x14ac:dyDescent="0.35">
      <c r="A272">
        <v>1073</v>
      </c>
      <c r="B272" s="1">
        <v>44649</v>
      </c>
      <c r="C272" t="s">
        <v>33</v>
      </c>
      <c r="D272" t="s">
        <v>23</v>
      </c>
      <c r="E272">
        <v>156614.29999999999</v>
      </c>
      <c r="F272">
        <v>44</v>
      </c>
      <c r="G272" t="s">
        <v>31</v>
      </c>
      <c r="H272">
        <v>1611.39</v>
      </c>
      <c r="I272">
        <v>4449.2700000000004</v>
      </c>
      <c r="J272" t="s">
        <v>17</v>
      </c>
      <c r="K272">
        <v>0.2</v>
      </c>
      <c r="L272" t="s">
        <v>28</v>
      </c>
      <c r="M272" t="s">
        <v>21</v>
      </c>
    </row>
    <row r="273" spans="1:13" x14ac:dyDescent="0.35">
      <c r="A273">
        <v>1087</v>
      </c>
      <c r="B273" s="1">
        <v>44650</v>
      </c>
      <c r="C273" t="s">
        <v>22</v>
      </c>
      <c r="D273" t="s">
        <v>20</v>
      </c>
      <c r="E273">
        <v>19838.64</v>
      </c>
      <c r="F273">
        <v>6</v>
      </c>
      <c r="G273" t="s">
        <v>31</v>
      </c>
      <c r="H273">
        <v>2906.67</v>
      </c>
      <c r="I273">
        <v>3319.19</v>
      </c>
      <c r="J273" t="s">
        <v>27</v>
      </c>
      <c r="K273">
        <v>0</v>
      </c>
      <c r="L273" t="s">
        <v>25</v>
      </c>
      <c r="M273" t="s">
        <v>21</v>
      </c>
    </row>
    <row r="274" spans="1:13" x14ac:dyDescent="0.35">
      <c r="A274">
        <v>1007</v>
      </c>
      <c r="B274" s="1">
        <v>44650</v>
      </c>
      <c r="C274" t="s">
        <v>32</v>
      </c>
      <c r="D274" t="s">
        <v>23</v>
      </c>
      <c r="E274">
        <v>26477.01</v>
      </c>
      <c r="F274">
        <v>6</v>
      </c>
      <c r="G274" t="s">
        <v>31</v>
      </c>
      <c r="H274">
        <v>3902.77</v>
      </c>
      <c r="I274">
        <v>4796.5600000000004</v>
      </c>
      <c r="J274" t="s">
        <v>17</v>
      </c>
      <c r="K274">
        <v>0.08</v>
      </c>
      <c r="L274" t="s">
        <v>28</v>
      </c>
      <c r="M274" t="s">
        <v>21</v>
      </c>
    </row>
    <row r="275" spans="1:13" x14ac:dyDescent="0.35">
      <c r="A275">
        <v>1049</v>
      </c>
      <c r="B275" s="1">
        <v>44650</v>
      </c>
      <c r="C275" t="s">
        <v>29</v>
      </c>
      <c r="D275" t="s">
        <v>20</v>
      </c>
      <c r="E275">
        <v>45071.81</v>
      </c>
      <c r="F275">
        <v>18</v>
      </c>
      <c r="G275" t="s">
        <v>26</v>
      </c>
      <c r="H275">
        <v>1207.3499999999999</v>
      </c>
      <c r="I275">
        <v>2980.94</v>
      </c>
      <c r="J275" t="s">
        <v>17</v>
      </c>
      <c r="K275">
        <v>0.16</v>
      </c>
      <c r="L275" t="s">
        <v>28</v>
      </c>
      <c r="M275" t="s">
        <v>21</v>
      </c>
    </row>
    <row r="276" spans="1:13" x14ac:dyDescent="0.35">
      <c r="A276">
        <v>1030</v>
      </c>
      <c r="B276" s="1">
        <v>44650</v>
      </c>
      <c r="C276" t="s">
        <v>33</v>
      </c>
      <c r="D276" t="s">
        <v>30</v>
      </c>
      <c r="E276">
        <v>89269.8</v>
      </c>
      <c r="F276">
        <v>32</v>
      </c>
      <c r="G276" t="s">
        <v>24</v>
      </c>
      <c r="H276">
        <v>446.08</v>
      </c>
      <c r="I276">
        <v>3206.53</v>
      </c>
      <c r="J276" t="s">
        <v>27</v>
      </c>
      <c r="K276">
        <v>0.13</v>
      </c>
      <c r="L276" t="s">
        <v>28</v>
      </c>
      <c r="M276" t="s">
        <v>21</v>
      </c>
    </row>
    <row r="277" spans="1:13" x14ac:dyDescent="0.35">
      <c r="A277">
        <v>1096</v>
      </c>
      <c r="B277" s="1">
        <v>44651</v>
      </c>
      <c r="C277" t="s">
        <v>29</v>
      </c>
      <c r="D277" t="s">
        <v>15</v>
      </c>
      <c r="E277">
        <v>79448.479999999996</v>
      </c>
      <c r="F277">
        <v>21</v>
      </c>
      <c r="G277" t="s">
        <v>24</v>
      </c>
      <c r="H277">
        <v>3665.32</v>
      </c>
      <c r="I277">
        <v>3825.41</v>
      </c>
      <c r="J277" t="s">
        <v>27</v>
      </c>
      <c r="K277">
        <v>0.01</v>
      </c>
      <c r="L277" t="s">
        <v>18</v>
      </c>
      <c r="M277" t="s">
        <v>19</v>
      </c>
    </row>
    <row r="278" spans="1:13" x14ac:dyDescent="0.35">
      <c r="A278">
        <v>1026</v>
      </c>
      <c r="B278" s="1">
        <v>44651</v>
      </c>
      <c r="C278" t="s">
        <v>29</v>
      </c>
      <c r="D278" t="s">
        <v>20</v>
      </c>
      <c r="E278">
        <v>65489.64</v>
      </c>
      <c r="F278">
        <v>24</v>
      </c>
      <c r="G278" t="s">
        <v>16</v>
      </c>
      <c r="H278">
        <v>1646.92</v>
      </c>
      <c r="I278">
        <v>2998.61</v>
      </c>
      <c r="J278" t="s">
        <v>27</v>
      </c>
      <c r="K278">
        <v>0.09</v>
      </c>
      <c r="L278" t="s">
        <v>25</v>
      </c>
      <c r="M278" t="s">
        <v>21</v>
      </c>
    </row>
    <row r="279" spans="1:13" x14ac:dyDescent="0.35">
      <c r="A279">
        <v>1100</v>
      </c>
      <c r="B279" s="1">
        <v>44651</v>
      </c>
      <c r="C279" t="s">
        <v>22</v>
      </c>
      <c r="D279" t="s">
        <v>23</v>
      </c>
      <c r="E279">
        <v>90672.56</v>
      </c>
      <c r="F279">
        <v>19</v>
      </c>
      <c r="G279" t="s">
        <v>31</v>
      </c>
      <c r="H279">
        <v>209.9</v>
      </c>
      <c r="I279">
        <v>4772.24</v>
      </c>
      <c r="J279" t="s">
        <v>17</v>
      </c>
      <c r="K279">
        <v>0</v>
      </c>
      <c r="L279" t="s">
        <v>25</v>
      </c>
      <c r="M279" t="s">
        <v>19</v>
      </c>
    </row>
    <row r="280" spans="1:13" x14ac:dyDescent="0.35">
      <c r="A280">
        <v>1055</v>
      </c>
      <c r="B280" s="1">
        <v>44652</v>
      </c>
      <c r="C280" t="s">
        <v>29</v>
      </c>
      <c r="D280" t="s">
        <v>20</v>
      </c>
      <c r="E280">
        <v>115642.13</v>
      </c>
      <c r="F280">
        <v>25</v>
      </c>
      <c r="G280" t="s">
        <v>31</v>
      </c>
      <c r="H280">
        <v>3814.47</v>
      </c>
      <c r="I280">
        <v>5139.6499999999996</v>
      </c>
      <c r="J280" t="s">
        <v>27</v>
      </c>
      <c r="K280">
        <v>0.1</v>
      </c>
      <c r="L280" t="s">
        <v>18</v>
      </c>
      <c r="M280" t="s">
        <v>19</v>
      </c>
    </row>
    <row r="281" spans="1:13" x14ac:dyDescent="0.35">
      <c r="A281">
        <v>1031</v>
      </c>
      <c r="B281" s="1">
        <v>44653</v>
      </c>
      <c r="C281" t="s">
        <v>14</v>
      </c>
      <c r="D281" t="s">
        <v>23</v>
      </c>
      <c r="E281">
        <v>114888.68</v>
      </c>
      <c r="F281">
        <v>40</v>
      </c>
      <c r="G281" t="s">
        <v>16</v>
      </c>
      <c r="H281">
        <v>2186.21</v>
      </c>
      <c r="I281">
        <v>3055.55</v>
      </c>
      <c r="J281" t="s">
        <v>27</v>
      </c>
      <c r="K281">
        <v>0.06</v>
      </c>
      <c r="L281" t="s">
        <v>25</v>
      </c>
      <c r="M281" t="s">
        <v>19</v>
      </c>
    </row>
    <row r="282" spans="1:13" x14ac:dyDescent="0.35">
      <c r="A282">
        <v>1064</v>
      </c>
      <c r="B282" s="1">
        <v>44654</v>
      </c>
      <c r="C282" t="s">
        <v>22</v>
      </c>
      <c r="D282" t="s">
        <v>20</v>
      </c>
      <c r="E282">
        <v>90313.31</v>
      </c>
      <c r="F282">
        <v>30</v>
      </c>
      <c r="G282" t="s">
        <v>31</v>
      </c>
      <c r="H282">
        <v>145.07</v>
      </c>
      <c r="I282">
        <v>3103.55</v>
      </c>
      <c r="J282" t="s">
        <v>17</v>
      </c>
      <c r="K282">
        <v>0.03</v>
      </c>
      <c r="L282" t="s">
        <v>25</v>
      </c>
      <c r="M282" t="s">
        <v>21</v>
      </c>
    </row>
    <row r="283" spans="1:13" x14ac:dyDescent="0.35">
      <c r="A283">
        <v>1061</v>
      </c>
      <c r="B283" s="1">
        <v>44655</v>
      </c>
      <c r="C283" t="s">
        <v>22</v>
      </c>
      <c r="D283" t="s">
        <v>20</v>
      </c>
      <c r="E283">
        <v>34622.53</v>
      </c>
      <c r="F283">
        <v>17</v>
      </c>
      <c r="G283" t="s">
        <v>16</v>
      </c>
      <c r="H283">
        <v>1958.51</v>
      </c>
      <c r="I283">
        <v>2789.89</v>
      </c>
      <c r="J283" t="s">
        <v>27</v>
      </c>
      <c r="K283">
        <v>0.27</v>
      </c>
      <c r="L283" t="s">
        <v>18</v>
      </c>
      <c r="M283" t="s">
        <v>21</v>
      </c>
    </row>
    <row r="284" spans="1:13" x14ac:dyDescent="0.35">
      <c r="A284">
        <v>1033</v>
      </c>
      <c r="B284" s="1">
        <v>44655</v>
      </c>
      <c r="C284" t="s">
        <v>14</v>
      </c>
      <c r="D284" t="s">
        <v>15</v>
      </c>
      <c r="E284">
        <v>19569.3</v>
      </c>
      <c r="F284">
        <v>8</v>
      </c>
      <c r="G284" t="s">
        <v>24</v>
      </c>
      <c r="H284">
        <v>2041.49</v>
      </c>
      <c r="I284">
        <v>2513.2800000000002</v>
      </c>
      <c r="J284" t="s">
        <v>17</v>
      </c>
      <c r="K284">
        <v>0.03</v>
      </c>
      <c r="L284" t="s">
        <v>25</v>
      </c>
      <c r="M284" t="s">
        <v>21</v>
      </c>
    </row>
    <row r="285" spans="1:13" x14ac:dyDescent="0.35">
      <c r="A285">
        <v>1041</v>
      </c>
      <c r="B285" s="1">
        <v>44655</v>
      </c>
      <c r="C285" t="s">
        <v>22</v>
      </c>
      <c r="D285" t="s">
        <v>20</v>
      </c>
      <c r="E285">
        <v>37161.269999999997</v>
      </c>
      <c r="F285">
        <v>36</v>
      </c>
      <c r="G285" t="s">
        <v>16</v>
      </c>
      <c r="H285">
        <v>773.91</v>
      </c>
      <c r="I285">
        <v>1159.8399999999999</v>
      </c>
      <c r="J285" t="s">
        <v>27</v>
      </c>
      <c r="K285">
        <v>0.11</v>
      </c>
      <c r="L285" t="s">
        <v>18</v>
      </c>
      <c r="M285" t="s">
        <v>19</v>
      </c>
    </row>
    <row r="286" spans="1:13" x14ac:dyDescent="0.35">
      <c r="A286">
        <v>1085</v>
      </c>
      <c r="B286" s="1">
        <v>44656</v>
      </c>
      <c r="C286" t="s">
        <v>33</v>
      </c>
      <c r="D286" t="s">
        <v>23</v>
      </c>
      <c r="E286">
        <v>131260.92000000001</v>
      </c>
      <c r="F286">
        <v>35</v>
      </c>
      <c r="G286" t="s">
        <v>31</v>
      </c>
      <c r="H286">
        <v>2336.56</v>
      </c>
      <c r="I286">
        <v>4687.8900000000003</v>
      </c>
      <c r="J286" t="s">
        <v>27</v>
      </c>
      <c r="K286">
        <v>0.2</v>
      </c>
      <c r="L286" t="s">
        <v>28</v>
      </c>
      <c r="M286" t="s">
        <v>19</v>
      </c>
    </row>
    <row r="287" spans="1:13" x14ac:dyDescent="0.35">
      <c r="A287">
        <v>1029</v>
      </c>
      <c r="B287" s="1">
        <v>44656</v>
      </c>
      <c r="C287" t="s">
        <v>14</v>
      </c>
      <c r="D287" t="s">
        <v>30</v>
      </c>
      <c r="E287">
        <v>212961.11</v>
      </c>
      <c r="F287">
        <v>45</v>
      </c>
      <c r="G287" t="s">
        <v>16</v>
      </c>
      <c r="H287">
        <v>2295.38</v>
      </c>
      <c r="I287">
        <v>4829.05</v>
      </c>
      <c r="J287" t="s">
        <v>17</v>
      </c>
      <c r="K287">
        <v>0.02</v>
      </c>
      <c r="L287" t="s">
        <v>28</v>
      </c>
      <c r="M287" t="s">
        <v>21</v>
      </c>
    </row>
    <row r="288" spans="1:13" x14ac:dyDescent="0.35">
      <c r="A288">
        <v>1049</v>
      </c>
      <c r="B288" s="1">
        <v>44656</v>
      </c>
      <c r="C288" t="s">
        <v>29</v>
      </c>
      <c r="D288" t="s">
        <v>20</v>
      </c>
      <c r="E288">
        <v>197828.35</v>
      </c>
      <c r="F288">
        <v>40</v>
      </c>
      <c r="G288" t="s">
        <v>24</v>
      </c>
      <c r="H288">
        <v>994.13</v>
      </c>
      <c r="I288">
        <v>5151.78</v>
      </c>
      <c r="J288" t="s">
        <v>17</v>
      </c>
      <c r="K288">
        <v>0.04</v>
      </c>
      <c r="L288" t="s">
        <v>18</v>
      </c>
      <c r="M288" t="s">
        <v>21</v>
      </c>
    </row>
    <row r="289" spans="1:13" x14ac:dyDescent="0.35">
      <c r="A289">
        <v>1007</v>
      </c>
      <c r="B289" s="1">
        <v>44657</v>
      </c>
      <c r="C289" t="s">
        <v>14</v>
      </c>
      <c r="D289" t="s">
        <v>20</v>
      </c>
      <c r="E289">
        <v>100611.32</v>
      </c>
      <c r="F289">
        <v>42</v>
      </c>
      <c r="G289" t="s">
        <v>16</v>
      </c>
      <c r="H289">
        <v>2355.71</v>
      </c>
      <c r="I289">
        <v>3194.01</v>
      </c>
      <c r="J289" t="s">
        <v>27</v>
      </c>
      <c r="K289">
        <v>0.25</v>
      </c>
      <c r="L289" t="s">
        <v>28</v>
      </c>
      <c r="M289" t="s">
        <v>21</v>
      </c>
    </row>
    <row r="290" spans="1:13" x14ac:dyDescent="0.35">
      <c r="A290">
        <v>1029</v>
      </c>
      <c r="B290" s="1">
        <v>44657</v>
      </c>
      <c r="C290" t="s">
        <v>32</v>
      </c>
      <c r="D290" t="s">
        <v>20</v>
      </c>
      <c r="E290">
        <v>6317.34</v>
      </c>
      <c r="F290">
        <v>2</v>
      </c>
      <c r="G290" t="s">
        <v>31</v>
      </c>
      <c r="H290">
        <v>1122.3800000000001</v>
      </c>
      <c r="I290">
        <v>4049.58</v>
      </c>
      <c r="J290" t="s">
        <v>27</v>
      </c>
      <c r="K290">
        <v>0.22</v>
      </c>
      <c r="L290" t="s">
        <v>28</v>
      </c>
      <c r="M290" t="s">
        <v>19</v>
      </c>
    </row>
    <row r="291" spans="1:13" x14ac:dyDescent="0.35">
      <c r="A291">
        <v>1073</v>
      </c>
      <c r="B291" s="1">
        <v>44657</v>
      </c>
      <c r="C291" t="s">
        <v>22</v>
      </c>
      <c r="D291" t="s">
        <v>20</v>
      </c>
      <c r="E291">
        <v>27367.89</v>
      </c>
      <c r="F291">
        <v>7</v>
      </c>
      <c r="G291" t="s">
        <v>24</v>
      </c>
      <c r="H291">
        <v>969.91</v>
      </c>
      <c r="I291">
        <v>4344.1099999999997</v>
      </c>
      <c r="J291" t="s">
        <v>17</v>
      </c>
      <c r="K291">
        <v>0.1</v>
      </c>
      <c r="L291" t="s">
        <v>28</v>
      </c>
      <c r="M291" t="s">
        <v>19</v>
      </c>
    </row>
    <row r="292" spans="1:13" x14ac:dyDescent="0.35">
      <c r="A292">
        <v>1024</v>
      </c>
      <c r="B292" s="1">
        <v>44657</v>
      </c>
      <c r="C292" t="s">
        <v>29</v>
      </c>
      <c r="D292" t="s">
        <v>30</v>
      </c>
      <c r="E292">
        <v>23151.89</v>
      </c>
      <c r="F292">
        <v>6</v>
      </c>
      <c r="G292" t="s">
        <v>16</v>
      </c>
      <c r="H292">
        <v>232.97</v>
      </c>
      <c r="I292">
        <v>4823.3100000000004</v>
      </c>
      <c r="J292" t="s">
        <v>27</v>
      </c>
      <c r="K292">
        <v>0.2</v>
      </c>
      <c r="L292" t="s">
        <v>28</v>
      </c>
      <c r="M292" t="s">
        <v>19</v>
      </c>
    </row>
    <row r="293" spans="1:13" x14ac:dyDescent="0.35">
      <c r="A293">
        <v>1083</v>
      </c>
      <c r="B293" s="1">
        <v>44657</v>
      </c>
      <c r="C293" t="s">
        <v>29</v>
      </c>
      <c r="D293" t="s">
        <v>20</v>
      </c>
      <c r="E293">
        <v>179603.38</v>
      </c>
      <c r="F293">
        <v>49</v>
      </c>
      <c r="G293" t="s">
        <v>24</v>
      </c>
      <c r="H293">
        <v>2707.35</v>
      </c>
      <c r="I293">
        <v>5162.5</v>
      </c>
      <c r="J293" t="s">
        <v>17</v>
      </c>
      <c r="K293">
        <v>0.28999999999999998</v>
      </c>
      <c r="L293" t="s">
        <v>28</v>
      </c>
      <c r="M293" t="s">
        <v>21</v>
      </c>
    </row>
    <row r="294" spans="1:13" x14ac:dyDescent="0.35">
      <c r="A294">
        <v>1034</v>
      </c>
      <c r="B294" s="1">
        <v>44657</v>
      </c>
      <c r="C294" t="s">
        <v>33</v>
      </c>
      <c r="D294" t="s">
        <v>23</v>
      </c>
      <c r="E294">
        <v>129293.56</v>
      </c>
      <c r="F294">
        <v>28</v>
      </c>
      <c r="G294" t="s">
        <v>24</v>
      </c>
      <c r="H294">
        <v>151.37</v>
      </c>
      <c r="I294">
        <v>5019.16</v>
      </c>
      <c r="J294" t="s">
        <v>27</v>
      </c>
      <c r="K294">
        <v>0.08</v>
      </c>
      <c r="L294" t="s">
        <v>28</v>
      </c>
      <c r="M294" t="s">
        <v>19</v>
      </c>
    </row>
    <row r="295" spans="1:13" x14ac:dyDescent="0.35">
      <c r="A295">
        <v>1002</v>
      </c>
      <c r="B295" s="1">
        <v>44658</v>
      </c>
      <c r="C295" t="s">
        <v>14</v>
      </c>
      <c r="D295" t="s">
        <v>23</v>
      </c>
      <c r="E295">
        <v>44340.33</v>
      </c>
      <c r="F295">
        <v>12</v>
      </c>
      <c r="G295" t="s">
        <v>16</v>
      </c>
      <c r="H295">
        <v>2932.29</v>
      </c>
      <c r="I295">
        <v>4060.47</v>
      </c>
      <c r="J295" t="s">
        <v>27</v>
      </c>
      <c r="K295">
        <v>0.09</v>
      </c>
      <c r="L295" t="s">
        <v>28</v>
      </c>
      <c r="M295" t="s">
        <v>19</v>
      </c>
    </row>
    <row r="296" spans="1:13" x14ac:dyDescent="0.35">
      <c r="A296">
        <v>1057</v>
      </c>
      <c r="B296" s="1">
        <v>44658</v>
      </c>
      <c r="C296" t="s">
        <v>32</v>
      </c>
      <c r="D296" t="s">
        <v>20</v>
      </c>
      <c r="E296">
        <v>11611.36</v>
      </c>
      <c r="F296">
        <v>13</v>
      </c>
      <c r="G296" t="s">
        <v>16</v>
      </c>
      <c r="H296">
        <v>78.09</v>
      </c>
      <c r="I296">
        <v>911.41</v>
      </c>
      <c r="J296" t="s">
        <v>27</v>
      </c>
      <c r="K296">
        <v>0.02</v>
      </c>
      <c r="L296" t="s">
        <v>18</v>
      </c>
      <c r="M296" t="s">
        <v>21</v>
      </c>
    </row>
    <row r="297" spans="1:13" x14ac:dyDescent="0.35">
      <c r="A297">
        <v>1044</v>
      </c>
      <c r="B297" s="1">
        <v>44658</v>
      </c>
      <c r="C297" t="s">
        <v>29</v>
      </c>
      <c r="D297" t="s">
        <v>23</v>
      </c>
      <c r="E297">
        <v>94156.84</v>
      </c>
      <c r="F297">
        <v>27</v>
      </c>
      <c r="G297" t="s">
        <v>16</v>
      </c>
      <c r="H297">
        <v>3023.95</v>
      </c>
      <c r="I297">
        <v>4588.54</v>
      </c>
      <c r="J297" t="s">
        <v>27</v>
      </c>
      <c r="K297">
        <v>0.24</v>
      </c>
      <c r="L297" t="s">
        <v>25</v>
      </c>
      <c r="M297" t="s">
        <v>19</v>
      </c>
    </row>
    <row r="298" spans="1:13" x14ac:dyDescent="0.35">
      <c r="A298">
        <v>1086</v>
      </c>
      <c r="B298" s="1">
        <v>44659</v>
      </c>
      <c r="C298" t="s">
        <v>29</v>
      </c>
      <c r="D298" t="s">
        <v>30</v>
      </c>
      <c r="E298">
        <v>163893.6</v>
      </c>
      <c r="F298">
        <v>45</v>
      </c>
      <c r="G298" t="s">
        <v>24</v>
      </c>
      <c r="H298">
        <v>3218.28</v>
      </c>
      <c r="I298">
        <v>4552.6000000000004</v>
      </c>
      <c r="J298" t="s">
        <v>27</v>
      </c>
      <c r="K298">
        <v>0.2</v>
      </c>
      <c r="L298" t="s">
        <v>25</v>
      </c>
      <c r="M298" t="s">
        <v>21</v>
      </c>
    </row>
    <row r="299" spans="1:13" x14ac:dyDescent="0.35">
      <c r="A299">
        <v>1090</v>
      </c>
      <c r="B299" s="1">
        <v>44659</v>
      </c>
      <c r="C299" t="s">
        <v>29</v>
      </c>
      <c r="D299" t="s">
        <v>30</v>
      </c>
      <c r="E299">
        <v>108074.31</v>
      </c>
      <c r="F299">
        <v>35</v>
      </c>
      <c r="G299" t="s">
        <v>26</v>
      </c>
      <c r="H299">
        <v>406.05</v>
      </c>
      <c r="I299">
        <v>3632.75</v>
      </c>
      <c r="J299" t="s">
        <v>17</v>
      </c>
      <c r="K299">
        <v>0.15</v>
      </c>
      <c r="L299" t="s">
        <v>18</v>
      </c>
      <c r="M299" t="s">
        <v>21</v>
      </c>
    </row>
    <row r="300" spans="1:13" x14ac:dyDescent="0.35">
      <c r="A300">
        <v>1069</v>
      </c>
      <c r="B300" s="1">
        <v>44659</v>
      </c>
      <c r="C300" t="s">
        <v>22</v>
      </c>
      <c r="D300" t="s">
        <v>15</v>
      </c>
      <c r="E300">
        <v>134961.67000000001</v>
      </c>
      <c r="F300">
        <v>28</v>
      </c>
      <c r="G300" t="s">
        <v>26</v>
      </c>
      <c r="H300">
        <v>1015.89</v>
      </c>
      <c r="I300">
        <v>5182.8599999999997</v>
      </c>
      <c r="J300" t="s">
        <v>27</v>
      </c>
      <c r="K300">
        <v>7.0000000000000007E-2</v>
      </c>
      <c r="L300" t="s">
        <v>18</v>
      </c>
      <c r="M300" t="s">
        <v>21</v>
      </c>
    </row>
    <row r="301" spans="1:13" x14ac:dyDescent="0.35">
      <c r="A301">
        <v>1050</v>
      </c>
      <c r="B301" s="1">
        <v>44660</v>
      </c>
      <c r="C301" t="s">
        <v>32</v>
      </c>
      <c r="D301" t="s">
        <v>15</v>
      </c>
      <c r="E301">
        <v>33793.449999999997</v>
      </c>
      <c r="F301">
        <v>13</v>
      </c>
      <c r="G301" t="s">
        <v>16</v>
      </c>
      <c r="H301">
        <v>1119.96</v>
      </c>
      <c r="I301">
        <v>3420.39</v>
      </c>
      <c r="J301" t="s">
        <v>17</v>
      </c>
      <c r="K301">
        <v>0.24</v>
      </c>
      <c r="L301" t="s">
        <v>28</v>
      </c>
      <c r="M301" t="s">
        <v>21</v>
      </c>
    </row>
    <row r="302" spans="1:13" x14ac:dyDescent="0.35">
      <c r="A302">
        <v>1094</v>
      </c>
      <c r="B302" s="1">
        <v>44660</v>
      </c>
      <c r="C302" t="s">
        <v>32</v>
      </c>
      <c r="D302" t="s">
        <v>30</v>
      </c>
      <c r="E302">
        <v>142710.98000000001</v>
      </c>
      <c r="F302">
        <v>45</v>
      </c>
      <c r="G302" t="s">
        <v>16</v>
      </c>
      <c r="H302">
        <v>2730.23</v>
      </c>
      <c r="I302">
        <v>4404.66</v>
      </c>
      <c r="J302" t="s">
        <v>27</v>
      </c>
      <c r="K302">
        <v>0.28000000000000003</v>
      </c>
      <c r="L302" t="s">
        <v>28</v>
      </c>
      <c r="M302" t="s">
        <v>21</v>
      </c>
    </row>
    <row r="303" spans="1:13" x14ac:dyDescent="0.35">
      <c r="A303">
        <v>1004</v>
      </c>
      <c r="B303" s="1">
        <v>44660</v>
      </c>
      <c r="C303" t="s">
        <v>29</v>
      </c>
      <c r="D303" t="s">
        <v>23</v>
      </c>
      <c r="E303">
        <v>88895.52</v>
      </c>
      <c r="F303">
        <v>37</v>
      </c>
      <c r="G303" t="s">
        <v>16</v>
      </c>
      <c r="H303">
        <v>1734.62</v>
      </c>
      <c r="I303">
        <v>2426.85</v>
      </c>
      <c r="J303" t="s">
        <v>27</v>
      </c>
      <c r="K303">
        <v>0.01</v>
      </c>
      <c r="L303" t="s">
        <v>18</v>
      </c>
      <c r="M303" t="s">
        <v>21</v>
      </c>
    </row>
    <row r="304" spans="1:13" x14ac:dyDescent="0.35">
      <c r="A304">
        <v>1001</v>
      </c>
      <c r="B304" s="1">
        <v>44660</v>
      </c>
      <c r="C304" t="s">
        <v>22</v>
      </c>
      <c r="D304" t="s">
        <v>20</v>
      </c>
      <c r="E304">
        <v>216751.44</v>
      </c>
      <c r="F304">
        <v>43</v>
      </c>
      <c r="G304" t="s">
        <v>24</v>
      </c>
      <c r="H304">
        <v>2443.0700000000002</v>
      </c>
      <c r="I304">
        <v>5362.48</v>
      </c>
      <c r="J304" t="s">
        <v>17</v>
      </c>
      <c r="K304">
        <v>0.06</v>
      </c>
      <c r="L304" t="s">
        <v>28</v>
      </c>
      <c r="M304" t="s">
        <v>21</v>
      </c>
    </row>
    <row r="305" spans="1:13" x14ac:dyDescent="0.35">
      <c r="A305">
        <v>1051</v>
      </c>
      <c r="B305" s="1">
        <v>44661</v>
      </c>
      <c r="C305" t="s">
        <v>14</v>
      </c>
      <c r="D305" t="s">
        <v>15</v>
      </c>
      <c r="E305">
        <v>48065.760000000002</v>
      </c>
      <c r="F305">
        <v>24</v>
      </c>
      <c r="G305" t="s">
        <v>16</v>
      </c>
      <c r="H305">
        <v>1527.19</v>
      </c>
      <c r="I305">
        <v>2670.32</v>
      </c>
      <c r="J305" t="s">
        <v>27</v>
      </c>
      <c r="K305">
        <v>0.25</v>
      </c>
      <c r="L305" t="s">
        <v>18</v>
      </c>
      <c r="M305" t="s">
        <v>19</v>
      </c>
    </row>
    <row r="306" spans="1:13" x14ac:dyDescent="0.35">
      <c r="A306">
        <v>1014</v>
      </c>
      <c r="B306" s="1">
        <v>44661</v>
      </c>
      <c r="C306" t="s">
        <v>32</v>
      </c>
      <c r="D306" t="s">
        <v>23</v>
      </c>
      <c r="E306">
        <v>96635.37</v>
      </c>
      <c r="F306">
        <v>39</v>
      </c>
      <c r="G306" t="s">
        <v>26</v>
      </c>
      <c r="H306">
        <v>2164.87</v>
      </c>
      <c r="I306">
        <v>2722.89</v>
      </c>
      <c r="J306" t="s">
        <v>17</v>
      </c>
      <c r="K306">
        <v>0.09</v>
      </c>
      <c r="L306" t="s">
        <v>28</v>
      </c>
      <c r="M306" t="s">
        <v>19</v>
      </c>
    </row>
    <row r="307" spans="1:13" x14ac:dyDescent="0.35">
      <c r="A307">
        <v>1089</v>
      </c>
      <c r="B307" s="1">
        <v>44661</v>
      </c>
      <c r="C307" t="s">
        <v>14</v>
      </c>
      <c r="D307" t="s">
        <v>23</v>
      </c>
      <c r="E307">
        <v>33059.660000000003</v>
      </c>
      <c r="F307">
        <v>24</v>
      </c>
      <c r="G307" t="s">
        <v>31</v>
      </c>
      <c r="H307">
        <v>810.11</v>
      </c>
      <c r="I307">
        <v>1391.4</v>
      </c>
      <c r="J307" t="s">
        <v>27</v>
      </c>
      <c r="K307">
        <v>0.01</v>
      </c>
      <c r="L307" t="s">
        <v>25</v>
      </c>
      <c r="M307" t="s">
        <v>21</v>
      </c>
    </row>
    <row r="308" spans="1:13" x14ac:dyDescent="0.35">
      <c r="A308">
        <v>1019</v>
      </c>
      <c r="B308" s="1">
        <v>44661</v>
      </c>
      <c r="C308" t="s">
        <v>14</v>
      </c>
      <c r="D308" t="s">
        <v>15</v>
      </c>
      <c r="E308">
        <v>50188.480000000003</v>
      </c>
      <c r="F308">
        <v>20</v>
      </c>
      <c r="G308" t="s">
        <v>31</v>
      </c>
      <c r="H308">
        <v>1114.17</v>
      </c>
      <c r="I308">
        <v>2669.6</v>
      </c>
      <c r="J308" t="s">
        <v>27</v>
      </c>
      <c r="K308">
        <v>0.06</v>
      </c>
      <c r="L308" t="s">
        <v>28</v>
      </c>
      <c r="M308" t="s">
        <v>19</v>
      </c>
    </row>
    <row r="309" spans="1:13" x14ac:dyDescent="0.35">
      <c r="A309">
        <v>1007</v>
      </c>
      <c r="B309" s="1">
        <v>44662</v>
      </c>
      <c r="C309" t="s">
        <v>29</v>
      </c>
      <c r="D309" t="s">
        <v>23</v>
      </c>
      <c r="E309">
        <v>3493.83</v>
      </c>
      <c r="F309">
        <v>6</v>
      </c>
      <c r="G309" t="s">
        <v>26</v>
      </c>
      <c r="H309">
        <v>568.97</v>
      </c>
      <c r="I309">
        <v>756.24</v>
      </c>
      <c r="J309" t="s">
        <v>17</v>
      </c>
      <c r="K309">
        <v>0.23</v>
      </c>
      <c r="L309" t="s">
        <v>25</v>
      </c>
      <c r="M309" t="s">
        <v>21</v>
      </c>
    </row>
    <row r="310" spans="1:13" x14ac:dyDescent="0.35">
      <c r="A310">
        <v>1057</v>
      </c>
      <c r="B310" s="1">
        <v>44662</v>
      </c>
      <c r="C310" t="s">
        <v>29</v>
      </c>
      <c r="D310" t="s">
        <v>20</v>
      </c>
      <c r="E310">
        <v>209680.8</v>
      </c>
      <c r="F310">
        <v>42</v>
      </c>
      <c r="G310" t="s">
        <v>31</v>
      </c>
      <c r="H310">
        <v>4976.13</v>
      </c>
      <c r="I310">
        <v>4992.3999999999996</v>
      </c>
      <c r="J310" t="s">
        <v>17</v>
      </c>
      <c r="K310">
        <v>0</v>
      </c>
      <c r="L310" t="s">
        <v>18</v>
      </c>
      <c r="M310" t="s">
        <v>21</v>
      </c>
    </row>
    <row r="311" spans="1:13" x14ac:dyDescent="0.35">
      <c r="A311">
        <v>1073</v>
      </c>
      <c r="B311" s="1">
        <v>44662</v>
      </c>
      <c r="C311" t="s">
        <v>29</v>
      </c>
      <c r="D311" t="s">
        <v>30</v>
      </c>
      <c r="E311">
        <v>63301.46</v>
      </c>
      <c r="F311">
        <v>16</v>
      </c>
      <c r="G311" t="s">
        <v>24</v>
      </c>
      <c r="H311">
        <v>3311.97</v>
      </c>
      <c r="I311">
        <v>4709.93</v>
      </c>
      <c r="J311" t="s">
        <v>17</v>
      </c>
      <c r="K311">
        <v>0.16</v>
      </c>
      <c r="L311" t="s">
        <v>28</v>
      </c>
      <c r="M311" t="s">
        <v>19</v>
      </c>
    </row>
    <row r="312" spans="1:13" x14ac:dyDescent="0.35">
      <c r="A312">
        <v>1091</v>
      </c>
      <c r="B312" s="1">
        <v>44662</v>
      </c>
      <c r="C312" t="s">
        <v>29</v>
      </c>
      <c r="D312" t="s">
        <v>15</v>
      </c>
      <c r="E312">
        <v>47268.93</v>
      </c>
      <c r="F312">
        <v>12</v>
      </c>
      <c r="G312" t="s">
        <v>24</v>
      </c>
      <c r="H312">
        <v>2494.6999999999998</v>
      </c>
      <c r="I312">
        <v>4425.93</v>
      </c>
      <c r="J312" t="s">
        <v>27</v>
      </c>
      <c r="K312">
        <v>0.11</v>
      </c>
      <c r="L312" t="s">
        <v>28</v>
      </c>
      <c r="M312" t="s">
        <v>19</v>
      </c>
    </row>
    <row r="313" spans="1:13" x14ac:dyDescent="0.35">
      <c r="A313">
        <v>1078</v>
      </c>
      <c r="B313" s="1">
        <v>44662</v>
      </c>
      <c r="C313" t="s">
        <v>29</v>
      </c>
      <c r="D313" t="s">
        <v>20</v>
      </c>
      <c r="E313">
        <v>128356.63</v>
      </c>
      <c r="F313">
        <v>47</v>
      </c>
      <c r="G313" t="s">
        <v>16</v>
      </c>
      <c r="H313">
        <v>2094.31</v>
      </c>
      <c r="I313">
        <v>3690.53</v>
      </c>
      <c r="J313" t="s">
        <v>17</v>
      </c>
      <c r="K313">
        <v>0.26</v>
      </c>
      <c r="L313" t="s">
        <v>18</v>
      </c>
      <c r="M313" t="s">
        <v>21</v>
      </c>
    </row>
    <row r="314" spans="1:13" x14ac:dyDescent="0.35">
      <c r="A314">
        <v>1005</v>
      </c>
      <c r="B314" s="1">
        <v>44663</v>
      </c>
      <c r="C314" t="s">
        <v>29</v>
      </c>
      <c r="D314" t="s">
        <v>23</v>
      </c>
      <c r="E314">
        <v>23780.57</v>
      </c>
      <c r="F314">
        <v>27</v>
      </c>
      <c r="G314" t="s">
        <v>26</v>
      </c>
      <c r="H314">
        <v>311.31</v>
      </c>
      <c r="I314">
        <v>1074.0999999999999</v>
      </c>
      <c r="J314" t="s">
        <v>27</v>
      </c>
      <c r="K314">
        <v>0.18</v>
      </c>
      <c r="L314" t="s">
        <v>25</v>
      </c>
      <c r="M314" t="s">
        <v>21</v>
      </c>
    </row>
    <row r="315" spans="1:13" x14ac:dyDescent="0.35">
      <c r="A315">
        <v>1074</v>
      </c>
      <c r="B315" s="1">
        <v>44664</v>
      </c>
      <c r="C315" t="s">
        <v>33</v>
      </c>
      <c r="D315" t="s">
        <v>23</v>
      </c>
      <c r="E315">
        <v>2118.36</v>
      </c>
      <c r="F315">
        <v>1</v>
      </c>
      <c r="G315" t="s">
        <v>16</v>
      </c>
      <c r="H315">
        <v>989.16</v>
      </c>
      <c r="I315">
        <v>2715.85</v>
      </c>
      <c r="J315" t="s">
        <v>17</v>
      </c>
      <c r="K315">
        <v>0.22</v>
      </c>
      <c r="L315" t="s">
        <v>18</v>
      </c>
      <c r="M315" t="s">
        <v>21</v>
      </c>
    </row>
    <row r="316" spans="1:13" x14ac:dyDescent="0.35">
      <c r="A316">
        <v>1018</v>
      </c>
      <c r="B316" s="1">
        <v>44664</v>
      </c>
      <c r="C316" t="s">
        <v>32</v>
      </c>
      <c r="D316" t="s">
        <v>20</v>
      </c>
      <c r="E316">
        <v>19179.84</v>
      </c>
      <c r="F316">
        <v>5</v>
      </c>
      <c r="G316" t="s">
        <v>26</v>
      </c>
      <c r="H316">
        <v>3586.99</v>
      </c>
      <c r="I316">
        <v>4169.53</v>
      </c>
      <c r="J316" t="s">
        <v>17</v>
      </c>
      <c r="K316">
        <v>0.08</v>
      </c>
      <c r="L316" t="s">
        <v>28</v>
      </c>
      <c r="M316" t="s">
        <v>19</v>
      </c>
    </row>
    <row r="317" spans="1:13" x14ac:dyDescent="0.35">
      <c r="A317">
        <v>1033</v>
      </c>
      <c r="B317" s="1">
        <v>44664</v>
      </c>
      <c r="C317" t="s">
        <v>33</v>
      </c>
      <c r="D317" t="s">
        <v>30</v>
      </c>
      <c r="E317">
        <v>60498.75</v>
      </c>
      <c r="F317">
        <v>34</v>
      </c>
      <c r="G317" t="s">
        <v>26</v>
      </c>
      <c r="H317">
        <v>1643.93</v>
      </c>
      <c r="I317">
        <v>2281.25</v>
      </c>
      <c r="J317" t="s">
        <v>17</v>
      </c>
      <c r="K317">
        <v>0.22</v>
      </c>
      <c r="L317" t="s">
        <v>25</v>
      </c>
      <c r="M317" t="s">
        <v>19</v>
      </c>
    </row>
    <row r="318" spans="1:13" x14ac:dyDescent="0.35">
      <c r="A318">
        <v>1089</v>
      </c>
      <c r="B318" s="1">
        <v>44665</v>
      </c>
      <c r="C318" t="s">
        <v>22</v>
      </c>
      <c r="D318" t="s">
        <v>30</v>
      </c>
      <c r="E318">
        <v>46535.97</v>
      </c>
      <c r="F318">
        <v>10</v>
      </c>
      <c r="G318" t="s">
        <v>24</v>
      </c>
      <c r="H318">
        <v>4623.84</v>
      </c>
      <c r="I318">
        <v>4659.3999999999996</v>
      </c>
      <c r="J318" t="s">
        <v>27</v>
      </c>
      <c r="K318">
        <v>0</v>
      </c>
      <c r="L318" t="s">
        <v>25</v>
      </c>
      <c r="M318" t="s">
        <v>21</v>
      </c>
    </row>
    <row r="319" spans="1:13" x14ac:dyDescent="0.35">
      <c r="A319">
        <v>1007</v>
      </c>
      <c r="B319" s="1">
        <v>44665</v>
      </c>
      <c r="C319" t="s">
        <v>33</v>
      </c>
      <c r="D319" t="s">
        <v>23</v>
      </c>
      <c r="E319">
        <v>69382.17</v>
      </c>
      <c r="F319">
        <v>30</v>
      </c>
      <c r="G319" t="s">
        <v>24</v>
      </c>
      <c r="H319">
        <v>1955.68</v>
      </c>
      <c r="I319">
        <v>2569.71</v>
      </c>
      <c r="J319" t="s">
        <v>17</v>
      </c>
      <c r="K319">
        <v>0.1</v>
      </c>
      <c r="L319" t="s">
        <v>25</v>
      </c>
      <c r="M319" t="s">
        <v>19</v>
      </c>
    </row>
    <row r="320" spans="1:13" x14ac:dyDescent="0.35">
      <c r="A320">
        <v>1058</v>
      </c>
      <c r="B320" s="1">
        <v>44665</v>
      </c>
      <c r="C320" t="s">
        <v>22</v>
      </c>
      <c r="D320" t="s">
        <v>15</v>
      </c>
      <c r="E320">
        <v>100421.37</v>
      </c>
      <c r="F320">
        <v>22</v>
      </c>
      <c r="G320" t="s">
        <v>24</v>
      </c>
      <c r="H320">
        <v>3285.54</v>
      </c>
      <c r="I320">
        <v>4804.8500000000004</v>
      </c>
      <c r="J320" t="s">
        <v>27</v>
      </c>
      <c r="K320">
        <v>0.05</v>
      </c>
      <c r="L320" t="s">
        <v>18</v>
      </c>
      <c r="M320" t="s">
        <v>21</v>
      </c>
    </row>
    <row r="321" spans="1:13" x14ac:dyDescent="0.35">
      <c r="A321">
        <v>1009</v>
      </c>
      <c r="B321" s="1">
        <v>44665</v>
      </c>
      <c r="C321" t="s">
        <v>22</v>
      </c>
      <c r="D321" t="s">
        <v>30</v>
      </c>
      <c r="E321">
        <v>149314.26</v>
      </c>
      <c r="F321">
        <v>40</v>
      </c>
      <c r="G321" t="s">
        <v>24</v>
      </c>
      <c r="H321">
        <v>2289.2600000000002</v>
      </c>
      <c r="I321">
        <v>4102.04</v>
      </c>
      <c r="J321" t="s">
        <v>27</v>
      </c>
      <c r="K321">
        <v>0.09</v>
      </c>
      <c r="L321" t="s">
        <v>25</v>
      </c>
      <c r="M321" t="s">
        <v>21</v>
      </c>
    </row>
    <row r="322" spans="1:13" x14ac:dyDescent="0.35">
      <c r="A322">
        <v>1001</v>
      </c>
      <c r="B322" s="1">
        <v>44666</v>
      </c>
      <c r="C322" t="s">
        <v>22</v>
      </c>
      <c r="D322" t="s">
        <v>30</v>
      </c>
      <c r="E322">
        <v>5814.41</v>
      </c>
      <c r="F322">
        <v>6</v>
      </c>
      <c r="G322" t="s">
        <v>24</v>
      </c>
      <c r="H322">
        <v>576.69000000000005</v>
      </c>
      <c r="I322">
        <v>1181.79</v>
      </c>
      <c r="J322" t="s">
        <v>27</v>
      </c>
      <c r="K322">
        <v>0.18</v>
      </c>
      <c r="L322" t="s">
        <v>25</v>
      </c>
      <c r="M322" t="s">
        <v>21</v>
      </c>
    </row>
    <row r="323" spans="1:13" x14ac:dyDescent="0.35">
      <c r="A323">
        <v>1011</v>
      </c>
      <c r="B323" s="1">
        <v>44666</v>
      </c>
      <c r="C323" t="s">
        <v>22</v>
      </c>
      <c r="D323" t="s">
        <v>30</v>
      </c>
      <c r="E323">
        <v>72304.36</v>
      </c>
      <c r="F323">
        <v>45</v>
      </c>
      <c r="G323" t="s">
        <v>26</v>
      </c>
      <c r="H323">
        <v>1470.6</v>
      </c>
      <c r="I323">
        <v>1691.33</v>
      </c>
      <c r="J323" t="s">
        <v>17</v>
      </c>
      <c r="K323">
        <v>0.05</v>
      </c>
      <c r="L323" t="s">
        <v>25</v>
      </c>
      <c r="M323" t="s">
        <v>19</v>
      </c>
    </row>
    <row r="324" spans="1:13" x14ac:dyDescent="0.35">
      <c r="A324">
        <v>1031</v>
      </c>
      <c r="B324" s="1">
        <v>44666</v>
      </c>
      <c r="C324" t="s">
        <v>22</v>
      </c>
      <c r="D324" t="s">
        <v>15</v>
      </c>
      <c r="E324">
        <v>162880.85</v>
      </c>
      <c r="F324">
        <v>38</v>
      </c>
      <c r="G324" t="s">
        <v>31</v>
      </c>
      <c r="H324">
        <v>4104.57</v>
      </c>
      <c r="I324">
        <v>4385.47</v>
      </c>
      <c r="J324" t="s">
        <v>27</v>
      </c>
      <c r="K324">
        <v>0.02</v>
      </c>
      <c r="L324" t="s">
        <v>25</v>
      </c>
      <c r="M324" t="s">
        <v>21</v>
      </c>
    </row>
    <row r="325" spans="1:13" x14ac:dyDescent="0.35">
      <c r="A325">
        <v>1038</v>
      </c>
      <c r="B325" s="1">
        <v>44666</v>
      </c>
      <c r="C325" t="s">
        <v>22</v>
      </c>
      <c r="D325" t="s">
        <v>15</v>
      </c>
      <c r="E325">
        <v>37812.870000000003</v>
      </c>
      <c r="F325">
        <v>11</v>
      </c>
      <c r="G325" t="s">
        <v>26</v>
      </c>
      <c r="H325">
        <v>1613.51</v>
      </c>
      <c r="I325">
        <v>3736.45</v>
      </c>
      <c r="J325" t="s">
        <v>27</v>
      </c>
      <c r="K325">
        <v>0.08</v>
      </c>
      <c r="L325" t="s">
        <v>28</v>
      </c>
      <c r="M325" t="s">
        <v>19</v>
      </c>
    </row>
    <row r="326" spans="1:13" x14ac:dyDescent="0.35">
      <c r="A326">
        <v>1053</v>
      </c>
      <c r="B326" s="1">
        <v>44666</v>
      </c>
      <c r="C326" t="s">
        <v>22</v>
      </c>
      <c r="D326" t="s">
        <v>15</v>
      </c>
      <c r="E326">
        <v>99435.95</v>
      </c>
      <c r="F326">
        <v>33</v>
      </c>
      <c r="G326" t="s">
        <v>31</v>
      </c>
      <c r="H326">
        <v>174.81</v>
      </c>
      <c r="I326">
        <v>3385.63</v>
      </c>
      <c r="J326" t="s">
        <v>27</v>
      </c>
      <c r="K326">
        <v>0.11</v>
      </c>
      <c r="L326" t="s">
        <v>28</v>
      </c>
      <c r="M326" t="s">
        <v>19</v>
      </c>
    </row>
    <row r="327" spans="1:13" x14ac:dyDescent="0.35">
      <c r="A327">
        <v>1007</v>
      </c>
      <c r="B327" s="1">
        <v>44666</v>
      </c>
      <c r="C327" t="s">
        <v>32</v>
      </c>
      <c r="D327" t="s">
        <v>23</v>
      </c>
      <c r="E327">
        <v>115064.97</v>
      </c>
      <c r="F327">
        <v>33</v>
      </c>
      <c r="G327" t="s">
        <v>16</v>
      </c>
      <c r="H327">
        <v>571.80999999999995</v>
      </c>
      <c r="I327">
        <v>3709.38</v>
      </c>
      <c r="J327" t="s">
        <v>17</v>
      </c>
      <c r="K327">
        <v>0.06</v>
      </c>
      <c r="L327" t="s">
        <v>28</v>
      </c>
      <c r="M327" t="s">
        <v>21</v>
      </c>
    </row>
    <row r="328" spans="1:13" x14ac:dyDescent="0.35">
      <c r="A328">
        <v>1039</v>
      </c>
      <c r="B328" s="1">
        <v>44667</v>
      </c>
      <c r="C328" t="s">
        <v>22</v>
      </c>
      <c r="D328" t="s">
        <v>30</v>
      </c>
      <c r="E328">
        <v>8424.06</v>
      </c>
      <c r="F328">
        <v>3</v>
      </c>
      <c r="G328" t="s">
        <v>31</v>
      </c>
      <c r="H328">
        <v>2711.31</v>
      </c>
      <c r="I328">
        <v>3155.08</v>
      </c>
      <c r="J328" t="s">
        <v>27</v>
      </c>
      <c r="K328">
        <v>0.11</v>
      </c>
      <c r="L328" t="s">
        <v>25</v>
      </c>
      <c r="M328" t="s">
        <v>19</v>
      </c>
    </row>
    <row r="329" spans="1:13" x14ac:dyDescent="0.35">
      <c r="A329">
        <v>1007</v>
      </c>
      <c r="B329" s="1">
        <v>44667</v>
      </c>
      <c r="C329" t="s">
        <v>33</v>
      </c>
      <c r="D329" t="s">
        <v>20</v>
      </c>
      <c r="E329">
        <v>25355.59</v>
      </c>
      <c r="F329">
        <v>18</v>
      </c>
      <c r="G329" t="s">
        <v>16</v>
      </c>
      <c r="H329">
        <v>1372.98</v>
      </c>
      <c r="I329">
        <v>1425.67</v>
      </c>
      <c r="J329" t="s">
        <v>17</v>
      </c>
      <c r="K329">
        <v>0.01</v>
      </c>
      <c r="L329" t="s">
        <v>28</v>
      </c>
      <c r="M329" t="s">
        <v>21</v>
      </c>
    </row>
    <row r="330" spans="1:13" x14ac:dyDescent="0.35">
      <c r="A330">
        <v>1084</v>
      </c>
      <c r="B330" s="1">
        <v>44667</v>
      </c>
      <c r="C330" t="s">
        <v>32</v>
      </c>
      <c r="D330" t="s">
        <v>23</v>
      </c>
      <c r="E330">
        <v>93203.45</v>
      </c>
      <c r="F330">
        <v>25</v>
      </c>
      <c r="G330" t="s">
        <v>16</v>
      </c>
      <c r="H330">
        <v>3547.88</v>
      </c>
      <c r="I330">
        <v>3783.8</v>
      </c>
      <c r="J330" t="s">
        <v>17</v>
      </c>
      <c r="K330">
        <v>0.01</v>
      </c>
      <c r="L330" t="s">
        <v>18</v>
      </c>
      <c r="M330" t="s">
        <v>21</v>
      </c>
    </row>
    <row r="331" spans="1:13" x14ac:dyDescent="0.35">
      <c r="A331">
        <v>1027</v>
      </c>
      <c r="B331" s="1">
        <v>44667</v>
      </c>
      <c r="C331" t="s">
        <v>14</v>
      </c>
      <c r="D331" t="s">
        <v>20</v>
      </c>
      <c r="E331">
        <v>14963.67</v>
      </c>
      <c r="F331">
        <v>3</v>
      </c>
      <c r="G331" t="s">
        <v>16</v>
      </c>
      <c r="H331">
        <v>2327.59</v>
      </c>
      <c r="I331">
        <v>5421.62</v>
      </c>
      <c r="J331" t="s">
        <v>17</v>
      </c>
      <c r="K331">
        <v>0.08</v>
      </c>
      <c r="L331" t="s">
        <v>28</v>
      </c>
      <c r="M331" t="s">
        <v>21</v>
      </c>
    </row>
    <row r="332" spans="1:13" x14ac:dyDescent="0.35">
      <c r="A332">
        <v>1083</v>
      </c>
      <c r="B332" s="1">
        <v>44667</v>
      </c>
      <c r="C332" t="s">
        <v>29</v>
      </c>
      <c r="D332" t="s">
        <v>23</v>
      </c>
      <c r="E332">
        <v>20942.96</v>
      </c>
      <c r="F332">
        <v>5</v>
      </c>
      <c r="G332" t="s">
        <v>31</v>
      </c>
      <c r="H332">
        <v>1037.1099999999999</v>
      </c>
      <c r="I332">
        <v>5439.73</v>
      </c>
      <c r="J332" t="s">
        <v>17</v>
      </c>
      <c r="K332">
        <v>0.23</v>
      </c>
      <c r="L332" t="s">
        <v>28</v>
      </c>
      <c r="M332" t="s">
        <v>19</v>
      </c>
    </row>
    <row r="333" spans="1:13" x14ac:dyDescent="0.35">
      <c r="A333">
        <v>1075</v>
      </c>
      <c r="B333" s="1">
        <v>44667</v>
      </c>
      <c r="C333" t="s">
        <v>32</v>
      </c>
      <c r="D333" t="s">
        <v>23</v>
      </c>
      <c r="E333">
        <v>166506.70000000001</v>
      </c>
      <c r="F333">
        <v>49</v>
      </c>
      <c r="G333" t="s">
        <v>16</v>
      </c>
      <c r="H333">
        <v>3053</v>
      </c>
      <c r="I333">
        <v>3997.76</v>
      </c>
      <c r="J333" t="s">
        <v>17</v>
      </c>
      <c r="K333">
        <v>0.15</v>
      </c>
      <c r="L333" t="s">
        <v>25</v>
      </c>
      <c r="M333" t="s">
        <v>21</v>
      </c>
    </row>
    <row r="334" spans="1:13" x14ac:dyDescent="0.35">
      <c r="A334">
        <v>1050</v>
      </c>
      <c r="B334" s="1">
        <v>44667</v>
      </c>
      <c r="C334" t="s">
        <v>14</v>
      </c>
      <c r="D334" t="s">
        <v>15</v>
      </c>
      <c r="E334">
        <v>65785.509999999995</v>
      </c>
      <c r="F334">
        <v>19</v>
      </c>
      <c r="G334" t="s">
        <v>31</v>
      </c>
      <c r="H334">
        <v>1538.06</v>
      </c>
      <c r="I334">
        <v>3934.54</v>
      </c>
      <c r="J334" t="s">
        <v>27</v>
      </c>
      <c r="K334">
        <v>0.12</v>
      </c>
      <c r="L334" t="s">
        <v>25</v>
      </c>
      <c r="M334" t="s">
        <v>19</v>
      </c>
    </row>
    <row r="335" spans="1:13" x14ac:dyDescent="0.35">
      <c r="A335">
        <v>1051</v>
      </c>
      <c r="B335" s="1">
        <v>44667</v>
      </c>
      <c r="C335" t="s">
        <v>14</v>
      </c>
      <c r="D335" t="s">
        <v>15</v>
      </c>
      <c r="E335">
        <v>184789.03</v>
      </c>
      <c r="F335">
        <v>49</v>
      </c>
      <c r="G335" t="s">
        <v>16</v>
      </c>
      <c r="H335">
        <v>1768.45</v>
      </c>
      <c r="I335">
        <v>4599.03</v>
      </c>
      <c r="J335" t="s">
        <v>27</v>
      </c>
      <c r="K335">
        <v>0.18</v>
      </c>
      <c r="L335" t="s">
        <v>25</v>
      </c>
      <c r="M335" t="s">
        <v>21</v>
      </c>
    </row>
    <row r="336" spans="1:13" x14ac:dyDescent="0.35">
      <c r="A336">
        <v>1059</v>
      </c>
      <c r="B336" s="1">
        <v>44668</v>
      </c>
      <c r="C336" t="s">
        <v>32</v>
      </c>
      <c r="D336" t="s">
        <v>15</v>
      </c>
      <c r="E336">
        <v>4736.18</v>
      </c>
      <c r="F336">
        <v>3</v>
      </c>
      <c r="G336" t="s">
        <v>16</v>
      </c>
      <c r="H336">
        <v>1352.33</v>
      </c>
      <c r="I336">
        <v>2162.64</v>
      </c>
      <c r="J336" t="s">
        <v>27</v>
      </c>
      <c r="K336">
        <v>0.27</v>
      </c>
      <c r="L336" t="s">
        <v>18</v>
      </c>
      <c r="M336" t="s">
        <v>19</v>
      </c>
    </row>
    <row r="337" spans="1:13" x14ac:dyDescent="0.35">
      <c r="A337">
        <v>1094</v>
      </c>
      <c r="B337" s="1">
        <v>44668</v>
      </c>
      <c r="C337" t="s">
        <v>29</v>
      </c>
      <c r="D337" t="s">
        <v>15</v>
      </c>
      <c r="E337">
        <v>58501.5</v>
      </c>
      <c r="F337">
        <v>16</v>
      </c>
      <c r="G337" t="s">
        <v>24</v>
      </c>
      <c r="H337">
        <v>1629.69</v>
      </c>
      <c r="I337">
        <v>5149.78</v>
      </c>
      <c r="J337" t="s">
        <v>27</v>
      </c>
      <c r="K337">
        <v>0.28999999999999998</v>
      </c>
      <c r="L337" t="s">
        <v>18</v>
      </c>
      <c r="M337" t="s">
        <v>21</v>
      </c>
    </row>
    <row r="338" spans="1:13" x14ac:dyDescent="0.35">
      <c r="A338">
        <v>1013</v>
      </c>
      <c r="B338" s="1">
        <v>44668</v>
      </c>
      <c r="C338" t="s">
        <v>29</v>
      </c>
      <c r="D338" t="s">
        <v>15</v>
      </c>
      <c r="E338">
        <v>122485.32</v>
      </c>
      <c r="F338">
        <v>49</v>
      </c>
      <c r="G338" t="s">
        <v>31</v>
      </c>
      <c r="H338">
        <v>1625.06</v>
      </c>
      <c r="I338">
        <v>2687.85</v>
      </c>
      <c r="J338" t="s">
        <v>17</v>
      </c>
      <c r="K338">
        <v>7.0000000000000007E-2</v>
      </c>
      <c r="L338" t="s">
        <v>18</v>
      </c>
      <c r="M338" t="s">
        <v>19</v>
      </c>
    </row>
    <row r="339" spans="1:13" x14ac:dyDescent="0.35">
      <c r="A339">
        <v>1024</v>
      </c>
      <c r="B339" s="1">
        <v>44669</v>
      </c>
      <c r="C339" t="s">
        <v>14</v>
      </c>
      <c r="D339" t="s">
        <v>15</v>
      </c>
      <c r="E339">
        <v>13872.43</v>
      </c>
      <c r="F339">
        <v>7</v>
      </c>
      <c r="G339" t="s">
        <v>16</v>
      </c>
      <c r="H339">
        <v>1529.81</v>
      </c>
      <c r="I339">
        <v>2607.6</v>
      </c>
      <c r="J339" t="s">
        <v>27</v>
      </c>
      <c r="K339">
        <v>0.24</v>
      </c>
      <c r="L339" t="s">
        <v>18</v>
      </c>
      <c r="M339" t="s">
        <v>21</v>
      </c>
    </row>
    <row r="340" spans="1:13" x14ac:dyDescent="0.35">
      <c r="A340">
        <v>1057</v>
      </c>
      <c r="B340" s="1">
        <v>44669</v>
      </c>
      <c r="C340" t="s">
        <v>29</v>
      </c>
      <c r="D340" t="s">
        <v>20</v>
      </c>
      <c r="E340">
        <v>120481.77</v>
      </c>
      <c r="F340">
        <v>34</v>
      </c>
      <c r="G340" t="s">
        <v>24</v>
      </c>
      <c r="H340">
        <v>2871.71</v>
      </c>
      <c r="I340">
        <v>4990.96</v>
      </c>
      <c r="J340" t="s">
        <v>17</v>
      </c>
      <c r="K340">
        <v>0.28999999999999998</v>
      </c>
      <c r="L340" t="s">
        <v>25</v>
      </c>
      <c r="M340" t="s">
        <v>19</v>
      </c>
    </row>
    <row r="341" spans="1:13" x14ac:dyDescent="0.35">
      <c r="A341">
        <v>1015</v>
      </c>
      <c r="B341" s="1">
        <v>44669</v>
      </c>
      <c r="C341" t="s">
        <v>22</v>
      </c>
      <c r="D341" t="s">
        <v>30</v>
      </c>
      <c r="E341">
        <v>189084.65</v>
      </c>
      <c r="F341">
        <v>43</v>
      </c>
      <c r="G341" t="s">
        <v>26</v>
      </c>
      <c r="H341">
        <v>3815.26</v>
      </c>
      <c r="I341">
        <v>4459.5</v>
      </c>
      <c r="J341" t="s">
        <v>27</v>
      </c>
      <c r="K341">
        <v>0.01</v>
      </c>
      <c r="L341" t="s">
        <v>18</v>
      </c>
      <c r="M341" t="s">
        <v>21</v>
      </c>
    </row>
    <row r="342" spans="1:13" x14ac:dyDescent="0.35">
      <c r="A342">
        <v>1034</v>
      </c>
      <c r="B342" s="1">
        <v>44671</v>
      </c>
      <c r="C342" t="s">
        <v>33</v>
      </c>
      <c r="D342" t="s">
        <v>30</v>
      </c>
      <c r="E342">
        <v>103971</v>
      </c>
      <c r="F342">
        <v>47</v>
      </c>
      <c r="G342" t="s">
        <v>26</v>
      </c>
      <c r="H342">
        <v>2183.31</v>
      </c>
      <c r="I342">
        <v>2542.6999999999998</v>
      </c>
      <c r="J342" t="s">
        <v>17</v>
      </c>
      <c r="K342">
        <v>0.13</v>
      </c>
      <c r="L342" t="s">
        <v>18</v>
      </c>
      <c r="M342" t="s">
        <v>19</v>
      </c>
    </row>
    <row r="343" spans="1:13" x14ac:dyDescent="0.35">
      <c r="A343">
        <v>1053</v>
      </c>
      <c r="B343" s="1">
        <v>44671</v>
      </c>
      <c r="C343" t="s">
        <v>32</v>
      </c>
      <c r="D343" t="s">
        <v>15</v>
      </c>
      <c r="E343">
        <v>25866.39</v>
      </c>
      <c r="F343">
        <v>31</v>
      </c>
      <c r="G343" t="s">
        <v>26</v>
      </c>
      <c r="H343">
        <v>780.88</v>
      </c>
      <c r="I343">
        <v>869.23</v>
      </c>
      <c r="J343" t="s">
        <v>27</v>
      </c>
      <c r="K343">
        <v>0.04</v>
      </c>
      <c r="L343" t="s">
        <v>25</v>
      </c>
      <c r="M343" t="s">
        <v>21</v>
      </c>
    </row>
    <row r="344" spans="1:13" x14ac:dyDescent="0.35">
      <c r="A344">
        <v>1085</v>
      </c>
      <c r="B344" s="1">
        <v>44671</v>
      </c>
      <c r="C344" t="s">
        <v>22</v>
      </c>
      <c r="D344" t="s">
        <v>30</v>
      </c>
      <c r="E344">
        <v>9944.18</v>
      </c>
      <c r="F344">
        <v>11</v>
      </c>
      <c r="G344" t="s">
        <v>24</v>
      </c>
      <c r="H344">
        <v>466.02</v>
      </c>
      <c r="I344">
        <v>1116.07</v>
      </c>
      <c r="J344" t="s">
        <v>27</v>
      </c>
      <c r="K344">
        <v>0.19</v>
      </c>
      <c r="L344" t="s">
        <v>25</v>
      </c>
      <c r="M344" t="s">
        <v>21</v>
      </c>
    </row>
    <row r="345" spans="1:13" x14ac:dyDescent="0.35">
      <c r="A345">
        <v>1051</v>
      </c>
      <c r="B345" s="1">
        <v>44671</v>
      </c>
      <c r="C345" t="s">
        <v>33</v>
      </c>
      <c r="D345" t="s">
        <v>15</v>
      </c>
      <c r="E345">
        <v>53384.83</v>
      </c>
      <c r="F345">
        <v>18</v>
      </c>
      <c r="G345" t="s">
        <v>16</v>
      </c>
      <c r="H345">
        <v>1149.8399999999999</v>
      </c>
      <c r="I345">
        <v>3295.36</v>
      </c>
      <c r="J345" t="s">
        <v>27</v>
      </c>
      <c r="K345">
        <v>0.1</v>
      </c>
      <c r="L345" t="s">
        <v>18</v>
      </c>
      <c r="M345" t="s">
        <v>21</v>
      </c>
    </row>
    <row r="346" spans="1:13" x14ac:dyDescent="0.35">
      <c r="A346">
        <v>1074</v>
      </c>
      <c r="B346" s="1">
        <v>44671</v>
      </c>
      <c r="C346" t="s">
        <v>33</v>
      </c>
      <c r="D346" t="s">
        <v>30</v>
      </c>
      <c r="E346">
        <v>91113.55</v>
      </c>
      <c r="F346">
        <v>27</v>
      </c>
      <c r="G346" t="s">
        <v>31</v>
      </c>
      <c r="H346">
        <v>1958.37</v>
      </c>
      <c r="I346">
        <v>4218.22</v>
      </c>
      <c r="J346" t="s">
        <v>17</v>
      </c>
      <c r="K346">
        <v>0.2</v>
      </c>
      <c r="L346" t="s">
        <v>25</v>
      </c>
      <c r="M346" t="s">
        <v>21</v>
      </c>
    </row>
    <row r="347" spans="1:13" x14ac:dyDescent="0.35">
      <c r="A347">
        <v>1062</v>
      </c>
      <c r="B347" s="1">
        <v>44671</v>
      </c>
      <c r="C347" t="s">
        <v>33</v>
      </c>
      <c r="D347" t="s">
        <v>23</v>
      </c>
      <c r="E347">
        <v>104104.14</v>
      </c>
      <c r="F347">
        <v>47</v>
      </c>
      <c r="G347" t="s">
        <v>16</v>
      </c>
      <c r="H347">
        <v>1031.06</v>
      </c>
      <c r="I347">
        <v>2575.56</v>
      </c>
      <c r="J347" t="s">
        <v>17</v>
      </c>
      <c r="K347">
        <v>0.14000000000000001</v>
      </c>
      <c r="L347" t="s">
        <v>25</v>
      </c>
      <c r="M347" t="s">
        <v>21</v>
      </c>
    </row>
    <row r="348" spans="1:13" x14ac:dyDescent="0.35">
      <c r="A348">
        <v>1020</v>
      </c>
      <c r="B348" s="1">
        <v>44671</v>
      </c>
      <c r="C348" t="s">
        <v>32</v>
      </c>
      <c r="D348" t="s">
        <v>15</v>
      </c>
      <c r="E348">
        <v>111515.75</v>
      </c>
      <c r="F348">
        <v>26</v>
      </c>
      <c r="G348" t="s">
        <v>26</v>
      </c>
      <c r="H348">
        <v>2068.29</v>
      </c>
      <c r="I348">
        <v>5230.57</v>
      </c>
      <c r="J348" t="s">
        <v>27</v>
      </c>
      <c r="K348">
        <v>0.18</v>
      </c>
      <c r="L348" t="s">
        <v>18</v>
      </c>
      <c r="M348" t="s">
        <v>21</v>
      </c>
    </row>
    <row r="349" spans="1:13" x14ac:dyDescent="0.35">
      <c r="A349">
        <v>1006</v>
      </c>
      <c r="B349" s="1">
        <v>44671</v>
      </c>
      <c r="C349" t="s">
        <v>33</v>
      </c>
      <c r="D349" t="s">
        <v>30</v>
      </c>
      <c r="E349">
        <v>158209.87</v>
      </c>
      <c r="F349">
        <v>33</v>
      </c>
      <c r="G349" t="s">
        <v>24</v>
      </c>
      <c r="H349">
        <v>2325.52</v>
      </c>
      <c r="I349">
        <v>4892.08</v>
      </c>
      <c r="J349" t="s">
        <v>17</v>
      </c>
      <c r="K349">
        <v>0.02</v>
      </c>
      <c r="L349" t="s">
        <v>18</v>
      </c>
      <c r="M349" t="s">
        <v>21</v>
      </c>
    </row>
    <row r="350" spans="1:13" x14ac:dyDescent="0.35">
      <c r="A350">
        <v>1029</v>
      </c>
      <c r="B350" s="1">
        <v>44672</v>
      </c>
      <c r="C350" t="s">
        <v>22</v>
      </c>
      <c r="D350" t="s">
        <v>23</v>
      </c>
      <c r="E350">
        <v>11753.01</v>
      </c>
      <c r="F350">
        <v>7</v>
      </c>
      <c r="G350" t="s">
        <v>26</v>
      </c>
      <c r="H350">
        <v>270.23</v>
      </c>
      <c r="I350">
        <v>1730.93</v>
      </c>
      <c r="J350" t="s">
        <v>27</v>
      </c>
      <c r="K350">
        <v>0.03</v>
      </c>
      <c r="L350" t="s">
        <v>25</v>
      </c>
      <c r="M350" t="s">
        <v>21</v>
      </c>
    </row>
    <row r="351" spans="1:13" x14ac:dyDescent="0.35">
      <c r="A351">
        <v>1011</v>
      </c>
      <c r="B351" s="1">
        <v>44672</v>
      </c>
      <c r="C351" t="s">
        <v>33</v>
      </c>
      <c r="D351" t="s">
        <v>30</v>
      </c>
      <c r="E351">
        <v>86610.99</v>
      </c>
      <c r="F351">
        <v>48</v>
      </c>
      <c r="G351" t="s">
        <v>31</v>
      </c>
      <c r="H351">
        <v>1525.42</v>
      </c>
      <c r="I351">
        <v>1859.31</v>
      </c>
      <c r="J351" t="s">
        <v>17</v>
      </c>
      <c r="K351">
        <v>0.03</v>
      </c>
      <c r="L351" t="s">
        <v>25</v>
      </c>
      <c r="M351" t="s">
        <v>21</v>
      </c>
    </row>
    <row r="352" spans="1:13" x14ac:dyDescent="0.35">
      <c r="A352">
        <v>1052</v>
      </c>
      <c r="B352" s="1">
        <v>44672</v>
      </c>
      <c r="C352" t="s">
        <v>14</v>
      </c>
      <c r="D352" t="s">
        <v>30</v>
      </c>
      <c r="E352">
        <v>132721.74</v>
      </c>
      <c r="F352">
        <v>30</v>
      </c>
      <c r="G352" t="s">
        <v>26</v>
      </c>
      <c r="H352">
        <v>412.47</v>
      </c>
      <c r="I352">
        <v>4915.62</v>
      </c>
      <c r="J352" t="s">
        <v>27</v>
      </c>
      <c r="K352">
        <v>0.1</v>
      </c>
      <c r="L352" t="s">
        <v>25</v>
      </c>
      <c r="M352" t="s">
        <v>21</v>
      </c>
    </row>
    <row r="353" spans="1:13" x14ac:dyDescent="0.35">
      <c r="A353">
        <v>1051</v>
      </c>
      <c r="B353" s="1">
        <v>44672</v>
      </c>
      <c r="C353" t="s">
        <v>29</v>
      </c>
      <c r="D353" t="s">
        <v>20</v>
      </c>
      <c r="E353">
        <v>170689.33</v>
      </c>
      <c r="F353">
        <v>39</v>
      </c>
      <c r="G353" t="s">
        <v>16</v>
      </c>
      <c r="H353">
        <v>847.81</v>
      </c>
      <c r="I353">
        <v>4559.01</v>
      </c>
      <c r="J353" t="s">
        <v>17</v>
      </c>
      <c r="K353">
        <v>0.04</v>
      </c>
      <c r="L353" t="s">
        <v>28</v>
      </c>
      <c r="M353" t="s">
        <v>21</v>
      </c>
    </row>
    <row r="354" spans="1:13" x14ac:dyDescent="0.35">
      <c r="A354">
        <v>1075</v>
      </c>
      <c r="B354" s="1">
        <v>44673</v>
      </c>
      <c r="C354" t="s">
        <v>29</v>
      </c>
      <c r="D354" t="s">
        <v>23</v>
      </c>
      <c r="E354">
        <v>211159.9</v>
      </c>
      <c r="F354">
        <v>44</v>
      </c>
      <c r="G354" t="s">
        <v>31</v>
      </c>
      <c r="H354">
        <v>4301.0600000000004</v>
      </c>
      <c r="I354">
        <v>4930.0200000000004</v>
      </c>
      <c r="J354" t="s">
        <v>17</v>
      </c>
      <c r="K354">
        <v>0.03</v>
      </c>
      <c r="L354" t="s">
        <v>28</v>
      </c>
      <c r="M354" t="s">
        <v>19</v>
      </c>
    </row>
    <row r="355" spans="1:13" x14ac:dyDescent="0.35">
      <c r="A355">
        <v>1011</v>
      </c>
      <c r="B355" s="1">
        <v>44673</v>
      </c>
      <c r="C355" t="s">
        <v>14</v>
      </c>
      <c r="D355" t="s">
        <v>30</v>
      </c>
      <c r="E355">
        <v>104377.24</v>
      </c>
      <c r="F355">
        <v>33</v>
      </c>
      <c r="G355" t="s">
        <v>24</v>
      </c>
      <c r="H355">
        <v>2293.69</v>
      </c>
      <c r="I355">
        <v>4055.06</v>
      </c>
      <c r="J355" t="s">
        <v>27</v>
      </c>
      <c r="K355">
        <v>0.22</v>
      </c>
      <c r="L355" t="s">
        <v>28</v>
      </c>
      <c r="M355" t="s">
        <v>19</v>
      </c>
    </row>
    <row r="356" spans="1:13" x14ac:dyDescent="0.35">
      <c r="A356">
        <v>1071</v>
      </c>
      <c r="B356" s="1">
        <v>44673</v>
      </c>
      <c r="C356" t="s">
        <v>22</v>
      </c>
      <c r="D356" t="s">
        <v>23</v>
      </c>
      <c r="E356">
        <v>82769.83</v>
      </c>
      <c r="F356">
        <v>27</v>
      </c>
      <c r="G356" t="s">
        <v>24</v>
      </c>
      <c r="H356">
        <v>1623.28</v>
      </c>
      <c r="I356">
        <v>3523.62</v>
      </c>
      <c r="J356" t="s">
        <v>17</v>
      </c>
      <c r="K356">
        <v>0.13</v>
      </c>
      <c r="L356" t="s">
        <v>28</v>
      </c>
      <c r="M356" t="s">
        <v>21</v>
      </c>
    </row>
    <row r="357" spans="1:13" x14ac:dyDescent="0.35">
      <c r="A357">
        <v>1077</v>
      </c>
      <c r="B357" s="1">
        <v>44674</v>
      </c>
      <c r="C357" t="s">
        <v>29</v>
      </c>
      <c r="D357" t="s">
        <v>20</v>
      </c>
      <c r="E357">
        <v>33719.660000000003</v>
      </c>
      <c r="F357">
        <v>9</v>
      </c>
      <c r="G357" t="s">
        <v>24</v>
      </c>
      <c r="H357">
        <v>3380.53</v>
      </c>
      <c r="I357">
        <v>3943.82</v>
      </c>
      <c r="J357" t="s">
        <v>27</v>
      </c>
      <c r="K357">
        <v>0.05</v>
      </c>
      <c r="L357" t="s">
        <v>25</v>
      </c>
      <c r="M357" t="s">
        <v>21</v>
      </c>
    </row>
    <row r="358" spans="1:13" x14ac:dyDescent="0.35">
      <c r="A358">
        <v>1041</v>
      </c>
      <c r="B358" s="1">
        <v>44674</v>
      </c>
      <c r="C358" t="s">
        <v>29</v>
      </c>
      <c r="D358" t="s">
        <v>23</v>
      </c>
      <c r="E358">
        <v>110881.3</v>
      </c>
      <c r="F358">
        <v>30</v>
      </c>
      <c r="G358" t="s">
        <v>24</v>
      </c>
      <c r="H358">
        <v>3147.41</v>
      </c>
      <c r="I358">
        <v>4507.37</v>
      </c>
      <c r="J358" t="s">
        <v>17</v>
      </c>
      <c r="K358">
        <v>0.18</v>
      </c>
      <c r="L358" t="s">
        <v>28</v>
      </c>
      <c r="M358" t="s">
        <v>21</v>
      </c>
    </row>
    <row r="359" spans="1:13" x14ac:dyDescent="0.35">
      <c r="A359">
        <v>1020</v>
      </c>
      <c r="B359" s="1">
        <v>44674</v>
      </c>
      <c r="C359" t="s">
        <v>32</v>
      </c>
      <c r="D359" t="s">
        <v>30</v>
      </c>
      <c r="E359">
        <v>32818.28</v>
      </c>
      <c r="F359">
        <v>9</v>
      </c>
      <c r="G359" t="s">
        <v>31</v>
      </c>
      <c r="H359">
        <v>783.7</v>
      </c>
      <c r="I359">
        <v>3963.56</v>
      </c>
      <c r="J359" t="s">
        <v>17</v>
      </c>
      <c r="K359">
        <v>0.08</v>
      </c>
      <c r="L359" t="s">
        <v>28</v>
      </c>
      <c r="M359" t="s">
        <v>21</v>
      </c>
    </row>
    <row r="360" spans="1:13" x14ac:dyDescent="0.35">
      <c r="A360">
        <v>1015</v>
      </c>
      <c r="B360" s="1">
        <v>44674</v>
      </c>
      <c r="C360" t="s">
        <v>32</v>
      </c>
      <c r="D360" t="s">
        <v>20</v>
      </c>
      <c r="E360">
        <v>181414.93</v>
      </c>
      <c r="F360">
        <v>44</v>
      </c>
      <c r="G360" t="s">
        <v>26</v>
      </c>
      <c r="H360">
        <v>3182.64</v>
      </c>
      <c r="I360">
        <v>4340.07</v>
      </c>
      <c r="J360" t="s">
        <v>27</v>
      </c>
      <c r="K360">
        <v>0.05</v>
      </c>
      <c r="L360" t="s">
        <v>28</v>
      </c>
      <c r="M360" t="s">
        <v>19</v>
      </c>
    </row>
    <row r="361" spans="1:13" x14ac:dyDescent="0.35">
      <c r="A361">
        <v>1067</v>
      </c>
      <c r="B361" s="1">
        <v>44674</v>
      </c>
      <c r="C361" t="s">
        <v>32</v>
      </c>
      <c r="D361" t="s">
        <v>23</v>
      </c>
      <c r="E361">
        <v>94431.039999999994</v>
      </c>
      <c r="F361">
        <v>22</v>
      </c>
      <c r="G361" t="s">
        <v>26</v>
      </c>
      <c r="H361">
        <v>1969.99</v>
      </c>
      <c r="I361">
        <v>5365.4</v>
      </c>
      <c r="J361" t="s">
        <v>17</v>
      </c>
      <c r="K361">
        <v>0.2</v>
      </c>
      <c r="L361" t="s">
        <v>25</v>
      </c>
      <c r="M361" t="s">
        <v>19</v>
      </c>
    </row>
    <row r="362" spans="1:13" x14ac:dyDescent="0.35">
      <c r="A362">
        <v>1010</v>
      </c>
      <c r="B362" s="1">
        <v>44674</v>
      </c>
      <c r="C362" t="s">
        <v>29</v>
      </c>
      <c r="D362" t="s">
        <v>23</v>
      </c>
      <c r="E362">
        <v>145423.29</v>
      </c>
      <c r="F362">
        <v>49</v>
      </c>
      <c r="G362" t="s">
        <v>26</v>
      </c>
      <c r="H362">
        <v>1095.27</v>
      </c>
      <c r="I362">
        <v>4065.51</v>
      </c>
      <c r="J362" t="s">
        <v>17</v>
      </c>
      <c r="K362">
        <v>0.27</v>
      </c>
      <c r="L362" t="s">
        <v>25</v>
      </c>
      <c r="M362" t="s">
        <v>21</v>
      </c>
    </row>
    <row r="363" spans="1:13" x14ac:dyDescent="0.35">
      <c r="A363">
        <v>1045</v>
      </c>
      <c r="B363" s="1">
        <v>44675</v>
      </c>
      <c r="C363" t="s">
        <v>32</v>
      </c>
      <c r="D363" t="s">
        <v>20</v>
      </c>
      <c r="E363">
        <v>49211.519999999997</v>
      </c>
      <c r="F363">
        <v>30</v>
      </c>
      <c r="G363" t="s">
        <v>24</v>
      </c>
      <c r="H363">
        <v>635.78</v>
      </c>
      <c r="I363">
        <v>2050.48</v>
      </c>
      <c r="J363" t="s">
        <v>27</v>
      </c>
      <c r="K363">
        <v>0.2</v>
      </c>
      <c r="L363" t="s">
        <v>28</v>
      </c>
      <c r="M363" t="s">
        <v>21</v>
      </c>
    </row>
    <row r="364" spans="1:13" x14ac:dyDescent="0.35">
      <c r="A364">
        <v>1080</v>
      </c>
      <c r="B364" s="1">
        <v>44675</v>
      </c>
      <c r="C364" t="s">
        <v>14</v>
      </c>
      <c r="D364" t="s">
        <v>23</v>
      </c>
      <c r="E364">
        <v>80975.14</v>
      </c>
      <c r="F364">
        <v>23</v>
      </c>
      <c r="G364" t="s">
        <v>24</v>
      </c>
      <c r="H364">
        <v>2068.96</v>
      </c>
      <c r="I364">
        <v>4191.26</v>
      </c>
      <c r="J364" t="s">
        <v>27</v>
      </c>
      <c r="K364">
        <v>0.16</v>
      </c>
      <c r="L364" t="s">
        <v>25</v>
      </c>
      <c r="M364" t="s">
        <v>21</v>
      </c>
    </row>
    <row r="365" spans="1:13" x14ac:dyDescent="0.35">
      <c r="A365">
        <v>1075</v>
      </c>
      <c r="B365" s="1">
        <v>44675</v>
      </c>
      <c r="C365" t="s">
        <v>29</v>
      </c>
      <c r="D365" t="s">
        <v>30</v>
      </c>
      <c r="E365">
        <v>174934.82</v>
      </c>
      <c r="F365">
        <v>50</v>
      </c>
      <c r="G365" t="s">
        <v>16</v>
      </c>
      <c r="H365">
        <v>1635.29</v>
      </c>
      <c r="I365">
        <v>4021.49</v>
      </c>
      <c r="J365" t="s">
        <v>17</v>
      </c>
      <c r="K365">
        <v>0.13</v>
      </c>
      <c r="L365" t="s">
        <v>25</v>
      </c>
      <c r="M365" t="s">
        <v>21</v>
      </c>
    </row>
    <row r="366" spans="1:13" x14ac:dyDescent="0.35">
      <c r="A366">
        <v>1044</v>
      </c>
      <c r="B366" s="1">
        <v>44676</v>
      </c>
      <c r="C366" t="s">
        <v>14</v>
      </c>
      <c r="D366" t="s">
        <v>30</v>
      </c>
      <c r="E366">
        <v>17575.810000000001</v>
      </c>
      <c r="F366">
        <v>4</v>
      </c>
      <c r="G366" t="s">
        <v>26</v>
      </c>
      <c r="H366">
        <v>4136.68</v>
      </c>
      <c r="I366">
        <v>4828.5200000000004</v>
      </c>
      <c r="J366" t="s">
        <v>27</v>
      </c>
      <c r="K366">
        <v>0.09</v>
      </c>
      <c r="L366" t="s">
        <v>28</v>
      </c>
      <c r="M366" t="s">
        <v>21</v>
      </c>
    </row>
    <row r="367" spans="1:13" x14ac:dyDescent="0.35">
      <c r="A367">
        <v>1063</v>
      </c>
      <c r="B367" s="1">
        <v>44676</v>
      </c>
      <c r="C367" t="s">
        <v>14</v>
      </c>
      <c r="D367" t="s">
        <v>20</v>
      </c>
      <c r="E367">
        <v>46978.01</v>
      </c>
      <c r="F367">
        <v>13</v>
      </c>
      <c r="G367" t="s">
        <v>26</v>
      </c>
      <c r="H367">
        <v>3354.25</v>
      </c>
      <c r="I367">
        <v>3626.18</v>
      </c>
      <c r="J367" t="s">
        <v>17</v>
      </c>
      <c r="K367">
        <v>0</v>
      </c>
      <c r="L367" t="s">
        <v>18</v>
      </c>
      <c r="M367" t="s">
        <v>19</v>
      </c>
    </row>
    <row r="368" spans="1:13" x14ac:dyDescent="0.35">
      <c r="A368">
        <v>1050</v>
      </c>
      <c r="B368" s="1">
        <v>44676</v>
      </c>
      <c r="C368" t="s">
        <v>14</v>
      </c>
      <c r="D368" t="s">
        <v>15</v>
      </c>
      <c r="E368">
        <v>43331.65</v>
      </c>
      <c r="F368">
        <v>10</v>
      </c>
      <c r="G368" t="s">
        <v>26</v>
      </c>
      <c r="H368">
        <v>3864.28</v>
      </c>
      <c r="I368">
        <v>4399.1499999999996</v>
      </c>
      <c r="J368" t="s">
        <v>27</v>
      </c>
      <c r="K368">
        <v>0.01</v>
      </c>
      <c r="L368" t="s">
        <v>25</v>
      </c>
      <c r="M368" t="s">
        <v>21</v>
      </c>
    </row>
    <row r="369" spans="1:13" x14ac:dyDescent="0.35">
      <c r="A369">
        <v>1059</v>
      </c>
      <c r="B369" s="1">
        <v>44676</v>
      </c>
      <c r="C369" t="s">
        <v>32</v>
      </c>
      <c r="D369" t="s">
        <v>30</v>
      </c>
      <c r="E369">
        <v>30188.25</v>
      </c>
      <c r="F369">
        <v>7</v>
      </c>
      <c r="G369" t="s">
        <v>31</v>
      </c>
      <c r="H369">
        <v>3579.34</v>
      </c>
      <c r="I369">
        <v>4587.88</v>
      </c>
      <c r="J369" t="s">
        <v>27</v>
      </c>
      <c r="K369">
        <v>0.06</v>
      </c>
      <c r="L369" t="s">
        <v>25</v>
      </c>
      <c r="M369" t="s">
        <v>19</v>
      </c>
    </row>
    <row r="370" spans="1:13" x14ac:dyDescent="0.35">
      <c r="A370">
        <v>1013</v>
      </c>
      <c r="B370" s="1">
        <v>44676</v>
      </c>
      <c r="C370" t="s">
        <v>14</v>
      </c>
      <c r="D370" t="s">
        <v>23</v>
      </c>
      <c r="E370">
        <v>14579.47</v>
      </c>
      <c r="F370">
        <v>5</v>
      </c>
      <c r="G370" t="s">
        <v>24</v>
      </c>
      <c r="H370">
        <v>189.41</v>
      </c>
      <c r="I370">
        <v>3599.87</v>
      </c>
      <c r="J370" t="s">
        <v>17</v>
      </c>
      <c r="K370">
        <v>0.19</v>
      </c>
      <c r="L370" t="s">
        <v>18</v>
      </c>
      <c r="M370" t="s">
        <v>21</v>
      </c>
    </row>
    <row r="371" spans="1:13" x14ac:dyDescent="0.35">
      <c r="A371">
        <v>1036</v>
      </c>
      <c r="B371" s="1">
        <v>44676</v>
      </c>
      <c r="C371" t="s">
        <v>22</v>
      </c>
      <c r="D371" t="s">
        <v>30</v>
      </c>
      <c r="E371">
        <v>90769.31</v>
      </c>
      <c r="F371">
        <v>24</v>
      </c>
      <c r="G371" t="s">
        <v>26</v>
      </c>
      <c r="H371">
        <v>414.8</v>
      </c>
      <c r="I371">
        <v>3939.64</v>
      </c>
      <c r="J371" t="s">
        <v>27</v>
      </c>
      <c r="K371">
        <v>0.04</v>
      </c>
      <c r="L371" t="s">
        <v>28</v>
      </c>
      <c r="M371" t="s">
        <v>19</v>
      </c>
    </row>
    <row r="372" spans="1:13" x14ac:dyDescent="0.35">
      <c r="A372">
        <v>1009</v>
      </c>
      <c r="B372" s="1">
        <v>44677</v>
      </c>
      <c r="C372" t="s">
        <v>14</v>
      </c>
      <c r="D372" t="s">
        <v>30</v>
      </c>
      <c r="E372">
        <v>27283.37</v>
      </c>
      <c r="F372">
        <v>12</v>
      </c>
      <c r="G372" t="s">
        <v>31</v>
      </c>
      <c r="H372">
        <v>692.4</v>
      </c>
      <c r="I372">
        <v>2772.7</v>
      </c>
      <c r="J372" t="s">
        <v>27</v>
      </c>
      <c r="K372">
        <v>0.18</v>
      </c>
      <c r="L372" t="s">
        <v>25</v>
      </c>
      <c r="M372" t="s">
        <v>21</v>
      </c>
    </row>
    <row r="373" spans="1:13" x14ac:dyDescent="0.35">
      <c r="A373">
        <v>1035</v>
      </c>
      <c r="B373" s="1">
        <v>44677</v>
      </c>
      <c r="C373" t="s">
        <v>32</v>
      </c>
      <c r="D373" t="s">
        <v>30</v>
      </c>
      <c r="E373">
        <v>121339.67</v>
      </c>
      <c r="F373">
        <v>39</v>
      </c>
      <c r="G373" t="s">
        <v>16</v>
      </c>
      <c r="H373">
        <v>1120.3599999999999</v>
      </c>
      <c r="I373">
        <v>3617.76</v>
      </c>
      <c r="J373" t="s">
        <v>27</v>
      </c>
      <c r="K373">
        <v>0.14000000000000001</v>
      </c>
      <c r="L373" t="s">
        <v>25</v>
      </c>
      <c r="M373" t="s">
        <v>19</v>
      </c>
    </row>
    <row r="374" spans="1:13" x14ac:dyDescent="0.35">
      <c r="A374">
        <v>1090</v>
      </c>
      <c r="B374" s="1">
        <v>44677</v>
      </c>
      <c r="C374" t="s">
        <v>33</v>
      </c>
      <c r="D374" t="s">
        <v>23</v>
      </c>
      <c r="E374">
        <v>159836.24</v>
      </c>
      <c r="F374">
        <v>44</v>
      </c>
      <c r="G374" t="s">
        <v>31</v>
      </c>
      <c r="H374">
        <v>890.49</v>
      </c>
      <c r="I374">
        <v>4081.62</v>
      </c>
      <c r="J374" t="s">
        <v>17</v>
      </c>
      <c r="K374">
        <v>0.11</v>
      </c>
      <c r="L374" t="s">
        <v>25</v>
      </c>
      <c r="M374" t="s">
        <v>21</v>
      </c>
    </row>
    <row r="375" spans="1:13" x14ac:dyDescent="0.35">
      <c r="A375">
        <v>1093</v>
      </c>
      <c r="B375" s="1">
        <v>44678</v>
      </c>
      <c r="C375" t="s">
        <v>33</v>
      </c>
      <c r="D375" t="s">
        <v>15</v>
      </c>
      <c r="E375">
        <v>77121.08</v>
      </c>
      <c r="F375">
        <v>29</v>
      </c>
      <c r="G375" t="s">
        <v>31</v>
      </c>
      <c r="H375">
        <v>283.54000000000002</v>
      </c>
      <c r="I375">
        <v>3745.56</v>
      </c>
      <c r="J375" t="s">
        <v>17</v>
      </c>
      <c r="K375">
        <v>0.28999999999999998</v>
      </c>
      <c r="L375" t="s">
        <v>25</v>
      </c>
      <c r="M375" t="s">
        <v>19</v>
      </c>
    </row>
    <row r="376" spans="1:13" x14ac:dyDescent="0.35">
      <c r="A376">
        <v>1020</v>
      </c>
      <c r="B376" s="1">
        <v>44679</v>
      </c>
      <c r="C376" t="s">
        <v>32</v>
      </c>
      <c r="D376" t="s">
        <v>15</v>
      </c>
      <c r="E376">
        <v>28591.759999999998</v>
      </c>
      <c r="F376">
        <v>9</v>
      </c>
      <c r="G376" t="s">
        <v>24</v>
      </c>
      <c r="H376">
        <v>2786.77</v>
      </c>
      <c r="I376">
        <v>3317.15</v>
      </c>
      <c r="J376" t="s">
        <v>27</v>
      </c>
      <c r="K376">
        <v>0.04</v>
      </c>
      <c r="L376" t="s">
        <v>18</v>
      </c>
      <c r="M376" t="s">
        <v>19</v>
      </c>
    </row>
    <row r="377" spans="1:13" x14ac:dyDescent="0.35">
      <c r="A377">
        <v>1079</v>
      </c>
      <c r="B377" s="1">
        <v>44680</v>
      </c>
      <c r="C377" t="s">
        <v>33</v>
      </c>
      <c r="D377" t="s">
        <v>15</v>
      </c>
      <c r="E377">
        <v>12041.82</v>
      </c>
      <c r="F377">
        <v>7</v>
      </c>
      <c r="G377" t="s">
        <v>24</v>
      </c>
      <c r="H377">
        <v>944.09</v>
      </c>
      <c r="I377">
        <v>2263.5</v>
      </c>
      <c r="J377" t="s">
        <v>27</v>
      </c>
      <c r="K377">
        <v>0.24</v>
      </c>
      <c r="L377" t="s">
        <v>28</v>
      </c>
      <c r="M377" t="s">
        <v>21</v>
      </c>
    </row>
    <row r="378" spans="1:13" x14ac:dyDescent="0.35">
      <c r="A378">
        <v>1060</v>
      </c>
      <c r="B378" s="1">
        <v>44680</v>
      </c>
      <c r="C378" t="s">
        <v>14</v>
      </c>
      <c r="D378" t="s">
        <v>20</v>
      </c>
      <c r="E378">
        <v>36281.68</v>
      </c>
      <c r="F378">
        <v>14</v>
      </c>
      <c r="G378" t="s">
        <v>31</v>
      </c>
      <c r="H378">
        <v>1551.7</v>
      </c>
      <c r="I378">
        <v>2699.53</v>
      </c>
      <c r="J378" t="s">
        <v>27</v>
      </c>
      <c r="K378">
        <v>0.04</v>
      </c>
      <c r="L378" t="s">
        <v>28</v>
      </c>
      <c r="M378" t="s">
        <v>19</v>
      </c>
    </row>
    <row r="379" spans="1:13" x14ac:dyDescent="0.35">
      <c r="A379">
        <v>1081</v>
      </c>
      <c r="B379" s="1">
        <v>44680</v>
      </c>
      <c r="C379" t="s">
        <v>33</v>
      </c>
      <c r="D379" t="s">
        <v>30</v>
      </c>
      <c r="E379">
        <v>28565.54</v>
      </c>
      <c r="F379">
        <v>11</v>
      </c>
      <c r="G379" t="s">
        <v>16</v>
      </c>
      <c r="H379">
        <v>1215.54</v>
      </c>
      <c r="I379">
        <v>2792.33</v>
      </c>
      <c r="J379" t="s">
        <v>17</v>
      </c>
      <c r="K379">
        <v>7.0000000000000007E-2</v>
      </c>
      <c r="L379" t="s">
        <v>25</v>
      </c>
      <c r="M379" t="s">
        <v>19</v>
      </c>
    </row>
    <row r="380" spans="1:13" x14ac:dyDescent="0.35">
      <c r="A380">
        <v>1064</v>
      </c>
      <c r="B380" s="1">
        <v>44680</v>
      </c>
      <c r="C380" t="s">
        <v>32</v>
      </c>
      <c r="D380" t="s">
        <v>20</v>
      </c>
      <c r="E380">
        <v>69648.77</v>
      </c>
      <c r="F380">
        <v>16</v>
      </c>
      <c r="G380" t="s">
        <v>16</v>
      </c>
      <c r="H380">
        <v>3268.92</v>
      </c>
      <c r="I380">
        <v>5182.2</v>
      </c>
      <c r="J380" t="s">
        <v>17</v>
      </c>
      <c r="K380">
        <v>0.16</v>
      </c>
      <c r="L380" t="s">
        <v>28</v>
      </c>
      <c r="M380" t="s">
        <v>19</v>
      </c>
    </row>
    <row r="381" spans="1:13" x14ac:dyDescent="0.35">
      <c r="A381">
        <v>1010</v>
      </c>
      <c r="B381" s="1">
        <v>44680</v>
      </c>
      <c r="C381" t="s">
        <v>32</v>
      </c>
      <c r="D381" t="s">
        <v>30</v>
      </c>
      <c r="E381">
        <v>125090.41</v>
      </c>
      <c r="F381">
        <v>37</v>
      </c>
      <c r="G381" t="s">
        <v>26</v>
      </c>
      <c r="H381">
        <v>2254.27</v>
      </c>
      <c r="I381">
        <v>4448.45</v>
      </c>
      <c r="J381" t="s">
        <v>17</v>
      </c>
      <c r="K381">
        <v>0.24</v>
      </c>
      <c r="L381" t="s">
        <v>28</v>
      </c>
      <c r="M381" t="s">
        <v>19</v>
      </c>
    </row>
    <row r="382" spans="1:13" x14ac:dyDescent="0.35">
      <c r="A382">
        <v>1022</v>
      </c>
      <c r="B382" s="1">
        <v>44681</v>
      </c>
      <c r="C382" t="s">
        <v>33</v>
      </c>
      <c r="D382" t="s">
        <v>15</v>
      </c>
      <c r="E382">
        <v>15601.68</v>
      </c>
      <c r="F382">
        <v>5</v>
      </c>
      <c r="G382" t="s">
        <v>31</v>
      </c>
      <c r="H382">
        <v>682.28</v>
      </c>
      <c r="I382">
        <v>3759.44</v>
      </c>
      <c r="J382" t="s">
        <v>27</v>
      </c>
      <c r="K382">
        <v>0.17</v>
      </c>
      <c r="L382" t="s">
        <v>25</v>
      </c>
      <c r="M382" t="s">
        <v>21</v>
      </c>
    </row>
    <row r="383" spans="1:13" x14ac:dyDescent="0.35">
      <c r="A383">
        <v>1035</v>
      </c>
      <c r="B383" s="1">
        <v>44681</v>
      </c>
      <c r="C383" t="s">
        <v>14</v>
      </c>
      <c r="D383" t="s">
        <v>30</v>
      </c>
      <c r="E383">
        <v>39345.730000000003</v>
      </c>
      <c r="F383">
        <v>10</v>
      </c>
      <c r="G383" t="s">
        <v>26</v>
      </c>
      <c r="H383">
        <v>1540.63</v>
      </c>
      <c r="I383">
        <v>4014.87</v>
      </c>
      <c r="J383" t="s">
        <v>27</v>
      </c>
      <c r="K383">
        <v>0.02</v>
      </c>
      <c r="L383" t="s">
        <v>28</v>
      </c>
      <c r="M383" t="s">
        <v>21</v>
      </c>
    </row>
    <row r="384" spans="1:13" x14ac:dyDescent="0.35">
      <c r="A384">
        <v>1025</v>
      </c>
      <c r="B384" s="1">
        <v>44682</v>
      </c>
      <c r="C384" t="s">
        <v>14</v>
      </c>
      <c r="D384" t="s">
        <v>15</v>
      </c>
      <c r="E384">
        <v>57974.77</v>
      </c>
      <c r="F384">
        <v>14</v>
      </c>
      <c r="G384" t="s">
        <v>26</v>
      </c>
      <c r="H384">
        <v>3591.01</v>
      </c>
      <c r="I384">
        <v>4815.18</v>
      </c>
      <c r="J384" t="s">
        <v>17</v>
      </c>
      <c r="K384">
        <v>0.14000000000000001</v>
      </c>
      <c r="L384" t="s">
        <v>25</v>
      </c>
      <c r="M384" t="s">
        <v>19</v>
      </c>
    </row>
    <row r="385" spans="1:13" x14ac:dyDescent="0.35">
      <c r="A385">
        <v>1072</v>
      </c>
      <c r="B385" s="1">
        <v>44682</v>
      </c>
      <c r="C385" t="s">
        <v>33</v>
      </c>
      <c r="D385" t="s">
        <v>23</v>
      </c>
      <c r="E385">
        <v>256931.61</v>
      </c>
      <c r="F385">
        <v>47</v>
      </c>
      <c r="G385" t="s">
        <v>24</v>
      </c>
      <c r="H385">
        <v>4404.47</v>
      </c>
      <c r="I385">
        <v>5466.63</v>
      </c>
      <c r="J385" t="s">
        <v>27</v>
      </c>
      <c r="K385">
        <v>0</v>
      </c>
      <c r="L385" t="s">
        <v>25</v>
      </c>
      <c r="M385" t="s">
        <v>21</v>
      </c>
    </row>
    <row r="386" spans="1:13" x14ac:dyDescent="0.35">
      <c r="A386">
        <v>1037</v>
      </c>
      <c r="B386" s="1">
        <v>44683</v>
      </c>
      <c r="C386" t="s">
        <v>22</v>
      </c>
      <c r="D386" t="s">
        <v>30</v>
      </c>
      <c r="E386">
        <v>50149.88</v>
      </c>
      <c r="F386">
        <v>16</v>
      </c>
      <c r="G386" t="s">
        <v>16</v>
      </c>
      <c r="H386">
        <v>1009.5</v>
      </c>
      <c r="I386">
        <v>3731.39</v>
      </c>
      <c r="J386" t="s">
        <v>17</v>
      </c>
      <c r="K386">
        <v>0.16</v>
      </c>
      <c r="L386" t="s">
        <v>28</v>
      </c>
      <c r="M386" t="s">
        <v>19</v>
      </c>
    </row>
    <row r="387" spans="1:13" x14ac:dyDescent="0.35">
      <c r="A387">
        <v>1034</v>
      </c>
      <c r="B387" s="1">
        <v>44684</v>
      </c>
      <c r="C387" t="s">
        <v>32</v>
      </c>
      <c r="D387" t="s">
        <v>30</v>
      </c>
      <c r="E387">
        <v>30619</v>
      </c>
      <c r="F387">
        <v>44</v>
      </c>
      <c r="G387" t="s">
        <v>26</v>
      </c>
      <c r="H387">
        <v>545.62</v>
      </c>
      <c r="I387">
        <v>790.78</v>
      </c>
      <c r="J387" t="s">
        <v>17</v>
      </c>
      <c r="K387">
        <v>0.12</v>
      </c>
      <c r="L387" t="s">
        <v>25</v>
      </c>
      <c r="M387" t="s">
        <v>21</v>
      </c>
    </row>
    <row r="388" spans="1:13" x14ac:dyDescent="0.35">
      <c r="A388">
        <v>1081</v>
      </c>
      <c r="B388" s="1">
        <v>44684</v>
      </c>
      <c r="C388" t="s">
        <v>14</v>
      </c>
      <c r="D388" t="s">
        <v>20</v>
      </c>
      <c r="E388">
        <v>33505.06</v>
      </c>
      <c r="F388">
        <v>8</v>
      </c>
      <c r="G388" t="s">
        <v>24</v>
      </c>
      <c r="H388">
        <v>2340.88</v>
      </c>
      <c r="I388">
        <v>4653.4799999999996</v>
      </c>
      <c r="J388" t="s">
        <v>27</v>
      </c>
      <c r="K388">
        <v>0.1</v>
      </c>
      <c r="L388" t="s">
        <v>25</v>
      </c>
      <c r="M388" t="s">
        <v>19</v>
      </c>
    </row>
    <row r="389" spans="1:13" x14ac:dyDescent="0.35">
      <c r="A389">
        <v>1054</v>
      </c>
      <c r="B389" s="1">
        <v>44684</v>
      </c>
      <c r="C389" t="s">
        <v>29</v>
      </c>
      <c r="D389" t="s">
        <v>15</v>
      </c>
      <c r="E389">
        <v>75668.479999999996</v>
      </c>
      <c r="F389">
        <v>19</v>
      </c>
      <c r="G389" t="s">
        <v>24</v>
      </c>
      <c r="H389">
        <v>729.25</v>
      </c>
      <c r="I389">
        <v>4856.7700000000004</v>
      </c>
      <c r="J389" t="s">
        <v>17</v>
      </c>
      <c r="K389">
        <v>0.18</v>
      </c>
      <c r="L389" t="s">
        <v>28</v>
      </c>
      <c r="M389" t="s">
        <v>21</v>
      </c>
    </row>
    <row r="390" spans="1:13" x14ac:dyDescent="0.35">
      <c r="A390">
        <v>1054</v>
      </c>
      <c r="B390" s="1">
        <v>44684</v>
      </c>
      <c r="C390" t="s">
        <v>29</v>
      </c>
      <c r="D390" t="s">
        <v>15</v>
      </c>
      <c r="E390">
        <v>249571.96</v>
      </c>
      <c r="F390">
        <v>47</v>
      </c>
      <c r="G390" t="s">
        <v>26</v>
      </c>
      <c r="H390">
        <v>3212.76</v>
      </c>
      <c r="I390">
        <v>5418.41</v>
      </c>
      <c r="J390" t="s">
        <v>17</v>
      </c>
      <c r="K390">
        <v>0.02</v>
      </c>
      <c r="L390" t="s">
        <v>25</v>
      </c>
      <c r="M390" t="s">
        <v>21</v>
      </c>
    </row>
    <row r="391" spans="1:13" x14ac:dyDescent="0.35">
      <c r="A391">
        <v>1005</v>
      </c>
      <c r="B391" s="1">
        <v>44686</v>
      </c>
      <c r="C391" t="s">
        <v>22</v>
      </c>
      <c r="D391" t="s">
        <v>15</v>
      </c>
      <c r="E391">
        <v>69211.34</v>
      </c>
      <c r="F391">
        <v>28</v>
      </c>
      <c r="G391" t="s">
        <v>31</v>
      </c>
      <c r="H391">
        <v>2394.85</v>
      </c>
      <c r="I391">
        <v>2601.9299999999998</v>
      </c>
      <c r="J391" t="s">
        <v>27</v>
      </c>
      <c r="K391">
        <v>0.05</v>
      </c>
      <c r="L391" t="s">
        <v>25</v>
      </c>
      <c r="M391" t="s">
        <v>21</v>
      </c>
    </row>
    <row r="392" spans="1:13" x14ac:dyDescent="0.35">
      <c r="A392">
        <v>1005</v>
      </c>
      <c r="B392" s="1">
        <v>44686</v>
      </c>
      <c r="C392" t="s">
        <v>33</v>
      </c>
      <c r="D392" t="s">
        <v>30</v>
      </c>
      <c r="E392">
        <v>52759.91</v>
      </c>
      <c r="F392">
        <v>21</v>
      </c>
      <c r="G392" t="s">
        <v>26</v>
      </c>
      <c r="H392">
        <v>890.38</v>
      </c>
      <c r="I392">
        <v>3026.96</v>
      </c>
      <c r="J392" t="s">
        <v>27</v>
      </c>
      <c r="K392">
        <v>0.17</v>
      </c>
      <c r="L392" t="s">
        <v>25</v>
      </c>
      <c r="M392" t="s">
        <v>19</v>
      </c>
    </row>
    <row r="393" spans="1:13" x14ac:dyDescent="0.35">
      <c r="A393">
        <v>1019</v>
      </c>
      <c r="B393" s="1">
        <v>44686</v>
      </c>
      <c r="C393" t="s">
        <v>32</v>
      </c>
      <c r="D393" t="s">
        <v>15</v>
      </c>
      <c r="E393">
        <v>140114.32</v>
      </c>
      <c r="F393">
        <v>45</v>
      </c>
      <c r="G393" t="s">
        <v>31</v>
      </c>
      <c r="H393">
        <v>2040.18</v>
      </c>
      <c r="I393">
        <v>3209.95</v>
      </c>
      <c r="J393" t="s">
        <v>17</v>
      </c>
      <c r="K393">
        <v>0.03</v>
      </c>
      <c r="L393" t="s">
        <v>25</v>
      </c>
      <c r="M393" t="s">
        <v>21</v>
      </c>
    </row>
    <row r="394" spans="1:13" x14ac:dyDescent="0.35">
      <c r="A394">
        <v>1010</v>
      </c>
      <c r="B394" s="1">
        <v>44687</v>
      </c>
      <c r="C394" t="s">
        <v>29</v>
      </c>
      <c r="D394" t="s">
        <v>23</v>
      </c>
      <c r="E394">
        <v>11291.6</v>
      </c>
      <c r="F394">
        <v>5</v>
      </c>
      <c r="G394" t="s">
        <v>31</v>
      </c>
      <c r="H394">
        <v>2033.71</v>
      </c>
      <c r="I394">
        <v>3226.17</v>
      </c>
      <c r="J394" t="s">
        <v>27</v>
      </c>
      <c r="K394">
        <v>0.3</v>
      </c>
      <c r="L394" t="s">
        <v>28</v>
      </c>
      <c r="M394" t="s">
        <v>21</v>
      </c>
    </row>
    <row r="395" spans="1:13" x14ac:dyDescent="0.35">
      <c r="A395">
        <v>1029</v>
      </c>
      <c r="B395" s="1">
        <v>44687</v>
      </c>
      <c r="C395" t="s">
        <v>33</v>
      </c>
      <c r="D395" t="s">
        <v>15</v>
      </c>
      <c r="E395">
        <v>169818.38</v>
      </c>
      <c r="F395">
        <v>40</v>
      </c>
      <c r="G395" t="s">
        <v>31</v>
      </c>
      <c r="H395">
        <v>2319.94</v>
      </c>
      <c r="I395">
        <v>4614.63</v>
      </c>
      <c r="J395" t="s">
        <v>17</v>
      </c>
      <c r="K395">
        <v>0.08</v>
      </c>
      <c r="L395" t="s">
        <v>28</v>
      </c>
      <c r="M395" t="s">
        <v>19</v>
      </c>
    </row>
    <row r="396" spans="1:13" x14ac:dyDescent="0.35">
      <c r="A396">
        <v>1071</v>
      </c>
      <c r="B396" s="1">
        <v>44688</v>
      </c>
      <c r="C396" t="s">
        <v>32</v>
      </c>
      <c r="D396" t="s">
        <v>20</v>
      </c>
      <c r="E396">
        <v>14226.19</v>
      </c>
      <c r="F396">
        <v>6</v>
      </c>
      <c r="G396" t="s">
        <v>16</v>
      </c>
      <c r="H396">
        <v>397.53</v>
      </c>
      <c r="I396">
        <v>2927.2</v>
      </c>
      <c r="J396" t="s">
        <v>27</v>
      </c>
      <c r="K396">
        <v>0.19</v>
      </c>
      <c r="L396" t="s">
        <v>25</v>
      </c>
      <c r="M396" t="s">
        <v>21</v>
      </c>
    </row>
    <row r="397" spans="1:13" x14ac:dyDescent="0.35">
      <c r="A397">
        <v>1088</v>
      </c>
      <c r="B397" s="1">
        <v>44688</v>
      </c>
      <c r="C397" t="s">
        <v>22</v>
      </c>
      <c r="D397" t="s">
        <v>20</v>
      </c>
      <c r="E397">
        <v>46268.82</v>
      </c>
      <c r="F397">
        <v>12</v>
      </c>
      <c r="G397" t="s">
        <v>24</v>
      </c>
      <c r="H397">
        <v>625.57000000000005</v>
      </c>
      <c r="I397">
        <v>5140.9799999999996</v>
      </c>
      <c r="J397" t="s">
        <v>27</v>
      </c>
      <c r="K397">
        <v>0.25</v>
      </c>
      <c r="L397" t="s">
        <v>28</v>
      </c>
      <c r="M397" t="s">
        <v>19</v>
      </c>
    </row>
    <row r="398" spans="1:13" x14ac:dyDescent="0.35">
      <c r="A398">
        <v>1006</v>
      </c>
      <c r="B398" s="1">
        <v>44688</v>
      </c>
      <c r="C398" t="s">
        <v>22</v>
      </c>
      <c r="D398" t="s">
        <v>15</v>
      </c>
      <c r="E398">
        <v>87527.77</v>
      </c>
      <c r="F398">
        <v>23</v>
      </c>
      <c r="G398" t="s">
        <v>26</v>
      </c>
      <c r="H398">
        <v>832.9</v>
      </c>
      <c r="I398">
        <v>3964.12</v>
      </c>
      <c r="J398" t="s">
        <v>27</v>
      </c>
      <c r="K398">
        <v>0.04</v>
      </c>
      <c r="L398" t="s">
        <v>18</v>
      </c>
      <c r="M398" t="s">
        <v>19</v>
      </c>
    </row>
    <row r="399" spans="1:13" x14ac:dyDescent="0.35">
      <c r="A399">
        <v>1015</v>
      </c>
      <c r="B399" s="1">
        <v>44689</v>
      </c>
      <c r="C399" t="s">
        <v>14</v>
      </c>
      <c r="D399" t="s">
        <v>15</v>
      </c>
      <c r="E399">
        <v>48277.279999999999</v>
      </c>
      <c r="F399">
        <v>32</v>
      </c>
      <c r="G399" t="s">
        <v>24</v>
      </c>
      <c r="H399">
        <v>953.96</v>
      </c>
      <c r="I399">
        <v>1774.9</v>
      </c>
      <c r="J399" t="s">
        <v>27</v>
      </c>
      <c r="K399">
        <v>0.15</v>
      </c>
      <c r="L399" t="s">
        <v>25</v>
      </c>
      <c r="M399" t="s">
        <v>19</v>
      </c>
    </row>
    <row r="400" spans="1:13" x14ac:dyDescent="0.35">
      <c r="A400">
        <v>1003</v>
      </c>
      <c r="B400" s="1">
        <v>44689</v>
      </c>
      <c r="C400" t="s">
        <v>14</v>
      </c>
      <c r="D400" t="s">
        <v>23</v>
      </c>
      <c r="E400">
        <v>163271.21</v>
      </c>
      <c r="F400">
        <v>40</v>
      </c>
      <c r="G400" t="s">
        <v>24</v>
      </c>
      <c r="H400">
        <v>3619.13</v>
      </c>
      <c r="I400">
        <v>4586.2700000000004</v>
      </c>
      <c r="J400" t="s">
        <v>17</v>
      </c>
      <c r="K400">
        <v>0.11</v>
      </c>
      <c r="L400" t="s">
        <v>25</v>
      </c>
      <c r="M400" t="s">
        <v>19</v>
      </c>
    </row>
    <row r="401" spans="1:13" x14ac:dyDescent="0.35">
      <c r="A401">
        <v>1011</v>
      </c>
      <c r="B401" s="1">
        <v>44690</v>
      </c>
      <c r="C401" t="s">
        <v>22</v>
      </c>
      <c r="D401" t="s">
        <v>30</v>
      </c>
      <c r="E401">
        <v>22678.61</v>
      </c>
      <c r="F401">
        <v>47</v>
      </c>
      <c r="G401" t="s">
        <v>24</v>
      </c>
      <c r="H401">
        <v>425.17</v>
      </c>
      <c r="I401">
        <v>618.62</v>
      </c>
      <c r="J401" t="s">
        <v>27</v>
      </c>
      <c r="K401">
        <v>0.22</v>
      </c>
      <c r="L401" t="s">
        <v>25</v>
      </c>
      <c r="M401" t="s">
        <v>21</v>
      </c>
    </row>
    <row r="402" spans="1:13" x14ac:dyDescent="0.35">
      <c r="A402">
        <v>1010</v>
      </c>
      <c r="B402" s="1">
        <v>44690</v>
      </c>
      <c r="C402" t="s">
        <v>33</v>
      </c>
      <c r="D402" t="s">
        <v>20</v>
      </c>
      <c r="E402">
        <v>37359.57</v>
      </c>
      <c r="F402">
        <v>15</v>
      </c>
      <c r="G402" t="s">
        <v>31</v>
      </c>
      <c r="H402">
        <v>2037.19</v>
      </c>
      <c r="I402">
        <v>2498.4899999999998</v>
      </c>
      <c r="J402" t="s">
        <v>17</v>
      </c>
      <c r="K402">
        <v>0</v>
      </c>
      <c r="L402" t="s">
        <v>25</v>
      </c>
      <c r="M402" t="s">
        <v>19</v>
      </c>
    </row>
    <row r="403" spans="1:13" x14ac:dyDescent="0.35">
      <c r="A403">
        <v>1077</v>
      </c>
      <c r="B403" s="1">
        <v>44690</v>
      </c>
      <c r="C403" t="s">
        <v>14</v>
      </c>
      <c r="D403" t="s">
        <v>23</v>
      </c>
      <c r="E403">
        <v>35558.71</v>
      </c>
      <c r="F403">
        <v>14</v>
      </c>
      <c r="G403" t="s">
        <v>16</v>
      </c>
      <c r="H403">
        <v>393.78</v>
      </c>
      <c r="I403">
        <v>3060.13</v>
      </c>
      <c r="J403" t="s">
        <v>27</v>
      </c>
      <c r="K403">
        <v>0.17</v>
      </c>
      <c r="L403" t="s">
        <v>28</v>
      </c>
      <c r="M403" t="s">
        <v>19</v>
      </c>
    </row>
    <row r="404" spans="1:13" x14ac:dyDescent="0.35">
      <c r="A404">
        <v>1058</v>
      </c>
      <c r="B404" s="1">
        <v>44690</v>
      </c>
      <c r="C404" t="s">
        <v>33</v>
      </c>
      <c r="D404" t="s">
        <v>23</v>
      </c>
      <c r="E404">
        <v>58116.93</v>
      </c>
      <c r="F404">
        <v>13</v>
      </c>
      <c r="G404" t="s">
        <v>24</v>
      </c>
      <c r="H404">
        <v>1204.77</v>
      </c>
      <c r="I404">
        <v>4515.6899999999996</v>
      </c>
      <c r="J404" t="s">
        <v>17</v>
      </c>
      <c r="K404">
        <v>0.01</v>
      </c>
      <c r="L404" t="s">
        <v>25</v>
      </c>
      <c r="M404" t="s">
        <v>19</v>
      </c>
    </row>
    <row r="405" spans="1:13" x14ac:dyDescent="0.35">
      <c r="A405">
        <v>1017</v>
      </c>
      <c r="B405" s="1">
        <v>44690</v>
      </c>
      <c r="C405" t="s">
        <v>32</v>
      </c>
      <c r="D405" t="s">
        <v>23</v>
      </c>
      <c r="E405">
        <v>135256.04</v>
      </c>
      <c r="F405">
        <v>44</v>
      </c>
      <c r="G405" t="s">
        <v>26</v>
      </c>
      <c r="H405">
        <v>339.69</v>
      </c>
      <c r="I405">
        <v>4210.96</v>
      </c>
      <c r="J405" t="s">
        <v>17</v>
      </c>
      <c r="K405">
        <v>0.27</v>
      </c>
      <c r="L405" t="s">
        <v>28</v>
      </c>
      <c r="M405" t="s">
        <v>19</v>
      </c>
    </row>
    <row r="406" spans="1:13" x14ac:dyDescent="0.35">
      <c r="A406">
        <v>1050</v>
      </c>
      <c r="B406" s="1">
        <v>44691</v>
      </c>
      <c r="C406" t="s">
        <v>14</v>
      </c>
      <c r="D406" t="s">
        <v>20</v>
      </c>
      <c r="E406">
        <v>11119.4</v>
      </c>
      <c r="F406">
        <v>3</v>
      </c>
      <c r="G406" t="s">
        <v>24</v>
      </c>
      <c r="H406">
        <v>2745.38</v>
      </c>
      <c r="I406">
        <v>3943.05</v>
      </c>
      <c r="J406" t="s">
        <v>27</v>
      </c>
      <c r="K406">
        <v>0.06</v>
      </c>
      <c r="L406" t="s">
        <v>25</v>
      </c>
      <c r="M406" t="s">
        <v>21</v>
      </c>
    </row>
    <row r="407" spans="1:13" x14ac:dyDescent="0.35">
      <c r="A407">
        <v>1040</v>
      </c>
      <c r="B407" s="1">
        <v>44691</v>
      </c>
      <c r="C407" t="s">
        <v>33</v>
      </c>
      <c r="D407" t="s">
        <v>23</v>
      </c>
      <c r="E407">
        <v>29307.65</v>
      </c>
      <c r="F407">
        <v>19</v>
      </c>
      <c r="G407" t="s">
        <v>16</v>
      </c>
      <c r="H407">
        <v>864.19</v>
      </c>
      <c r="I407">
        <v>1752.85</v>
      </c>
      <c r="J407" t="s">
        <v>17</v>
      </c>
      <c r="K407">
        <v>0.12</v>
      </c>
      <c r="L407" t="s">
        <v>25</v>
      </c>
      <c r="M407" t="s">
        <v>19</v>
      </c>
    </row>
    <row r="408" spans="1:13" x14ac:dyDescent="0.35">
      <c r="A408">
        <v>1053</v>
      </c>
      <c r="B408" s="1">
        <v>44691</v>
      </c>
      <c r="C408" t="s">
        <v>22</v>
      </c>
      <c r="D408" t="s">
        <v>30</v>
      </c>
      <c r="E408">
        <v>84619.69</v>
      </c>
      <c r="F408">
        <v>47</v>
      </c>
      <c r="G408" t="s">
        <v>31</v>
      </c>
      <c r="H408">
        <v>873.96</v>
      </c>
      <c r="I408">
        <v>2118.14</v>
      </c>
      <c r="J408" t="s">
        <v>27</v>
      </c>
      <c r="K408">
        <v>0.15</v>
      </c>
      <c r="L408" t="s">
        <v>25</v>
      </c>
      <c r="M408" t="s">
        <v>21</v>
      </c>
    </row>
    <row r="409" spans="1:13" x14ac:dyDescent="0.35">
      <c r="A409">
        <v>1032</v>
      </c>
      <c r="B409" s="1">
        <v>44691</v>
      </c>
      <c r="C409" t="s">
        <v>29</v>
      </c>
      <c r="D409" t="s">
        <v>30</v>
      </c>
      <c r="E409">
        <v>111287.75</v>
      </c>
      <c r="F409">
        <v>25</v>
      </c>
      <c r="G409" t="s">
        <v>16</v>
      </c>
      <c r="H409">
        <v>847.47</v>
      </c>
      <c r="I409">
        <v>4786.57</v>
      </c>
      <c r="J409" t="s">
        <v>27</v>
      </c>
      <c r="K409">
        <v>7.0000000000000007E-2</v>
      </c>
      <c r="L409" t="s">
        <v>28</v>
      </c>
      <c r="M409" t="s">
        <v>21</v>
      </c>
    </row>
    <row r="410" spans="1:13" x14ac:dyDescent="0.35">
      <c r="A410">
        <v>1088</v>
      </c>
      <c r="B410" s="1">
        <v>44692</v>
      </c>
      <c r="C410" t="s">
        <v>14</v>
      </c>
      <c r="D410" t="s">
        <v>30</v>
      </c>
      <c r="E410">
        <v>40072.31</v>
      </c>
      <c r="F410">
        <v>14</v>
      </c>
      <c r="G410" t="s">
        <v>26</v>
      </c>
      <c r="H410">
        <v>2164.31</v>
      </c>
      <c r="I410">
        <v>2888.78</v>
      </c>
      <c r="J410" t="s">
        <v>17</v>
      </c>
      <c r="K410">
        <v>0.01</v>
      </c>
      <c r="L410" t="s">
        <v>25</v>
      </c>
      <c r="M410" t="s">
        <v>19</v>
      </c>
    </row>
    <row r="411" spans="1:13" x14ac:dyDescent="0.35">
      <c r="A411">
        <v>1038</v>
      </c>
      <c r="B411" s="1">
        <v>44692</v>
      </c>
      <c r="C411" t="s">
        <v>22</v>
      </c>
      <c r="D411" t="s">
        <v>20</v>
      </c>
      <c r="E411">
        <v>42130.3</v>
      </c>
      <c r="F411">
        <v>19</v>
      </c>
      <c r="G411" t="s">
        <v>31</v>
      </c>
      <c r="H411">
        <v>1405.78</v>
      </c>
      <c r="I411">
        <v>2879.72</v>
      </c>
      <c r="J411" t="s">
        <v>27</v>
      </c>
      <c r="K411">
        <v>0.23</v>
      </c>
      <c r="L411" t="s">
        <v>28</v>
      </c>
      <c r="M411" t="s">
        <v>19</v>
      </c>
    </row>
    <row r="412" spans="1:13" x14ac:dyDescent="0.35">
      <c r="A412">
        <v>1053</v>
      </c>
      <c r="B412" s="1">
        <v>44692</v>
      </c>
      <c r="C412" t="s">
        <v>32</v>
      </c>
      <c r="D412" t="s">
        <v>20</v>
      </c>
      <c r="E412">
        <v>130793.92</v>
      </c>
      <c r="F412">
        <v>32</v>
      </c>
      <c r="G412" t="s">
        <v>26</v>
      </c>
      <c r="H412">
        <v>797.27</v>
      </c>
      <c r="I412">
        <v>4924.47</v>
      </c>
      <c r="J412" t="s">
        <v>27</v>
      </c>
      <c r="K412">
        <v>0.17</v>
      </c>
      <c r="L412" t="s">
        <v>25</v>
      </c>
      <c r="M412" t="s">
        <v>21</v>
      </c>
    </row>
    <row r="413" spans="1:13" x14ac:dyDescent="0.35">
      <c r="A413">
        <v>1021</v>
      </c>
      <c r="B413" s="1">
        <v>44693</v>
      </c>
      <c r="C413" t="s">
        <v>14</v>
      </c>
      <c r="D413" t="s">
        <v>30</v>
      </c>
      <c r="E413">
        <v>9967.86</v>
      </c>
      <c r="F413">
        <v>5</v>
      </c>
      <c r="G413" t="s">
        <v>26</v>
      </c>
      <c r="H413">
        <v>1797.68</v>
      </c>
      <c r="I413">
        <v>2215.08</v>
      </c>
      <c r="J413" t="s">
        <v>27</v>
      </c>
      <c r="K413">
        <v>0.1</v>
      </c>
      <c r="L413" t="s">
        <v>25</v>
      </c>
      <c r="M413" t="s">
        <v>21</v>
      </c>
    </row>
    <row r="414" spans="1:13" x14ac:dyDescent="0.35">
      <c r="A414">
        <v>1034</v>
      </c>
      <c r="B414" s="1">
        <v>44693</v>
      </c>
      <c r="C414" t="s">
        <v>33</v>
      </c>
      <c r="D414" t="s">
        <v>15</v>
      </c>
      <c r="E414">
        <v>61194.9</v>
      </c>
      <c r="F414">
        <v>43</v>
      </c>
      <c r="G414" t="s">
        <v>31</v>
      </c>
      <c r="H414">
        <v>1385.76</v>
      </c>
      <c r="I414">
        <v>1848.23</v>
      </c>
      <c r="J414" t="s">
        <v>27</v>
      </c>
      <c r="K414">
        <v>0.23</v>
      </c>
      <c r="L414" t="s">
        <v>18</v>
      </c>
      <c r="M414" t="s">
        <v>19</v>
      </c>
    </row>
    <row r="415" spans="1:13" x14ac:dyDescent="0.35">
      <c r="A415">
        <v>1086</v>
      </c>
      <c r="B415" s="1">
        <v>44693</v>
      </c>
      <c r="C415" t="s">
        <v>33</v>
      </c>
      <c r="D415" t="s">
        <v>15</v>
      </c>
      <c r="E415">
        <v>79157.09</v>
      </c>
      <c r="F415">
        <v>27</v>
      </c>
      <c r="G415" t="s">
        <v>16</v>
      </c>
      <c r="H415">
        <v>1504.67</v>
      </c>
      <c r="I415">
        <v>3664.68</v>
      </c>
      <c r="J415" t="s">
        <v>27</v>
      </c>
      <c r="K415">
        <v>0.2</v>
      </c>
      <c r="L415" t="s">
        <v>25</v>
      </c>
      <c r="M415" t="s">
        <v>19</v>
      </c>
    </row>
    <row r="416" spans="1:13" x14ac:dyDescent="0.35">
      <c r="A416">
        <v>1098</v>
      </c>
      <c r="B416" s="1">
        <v>44693</v>
      </c>
      <c r="C416" t="s">
        <v>32</v>
      </c>
      <c r="D416" t="s">
        <v>23</v>
      </c>
      <c r="E416">
        <v>65751.7</v>
      </c>
      <c r="F416">
        <v>16</v>
      </c>
      <c r="G416" t="s">
        <v>31</v>
      </c>
      <c r="H416">
        <v>1606.32</v>
      </c>
      <c r="I416">
        <v>4325.7700000000004</v>
      </c>
      <c r="J416" t="s">
        <v>17</v>
      </c>
      <c r="K416">
        <v>0.05</v>
      </c>
      <c r="L416" t="s">
        <v>18</v>
      </c>
      <c r="M416" t="s">
        <v>21</v>
      </c>
    </row>
    <row r="417" spans="1:13" x14ac:dyDescent="0.35">
      <c r="A417">
        <v>1091</v>
      </c>
      <c r="B417" s="1">
        <v>44694</v>
      </c>
      <c r="C417" t="s">
        <v>22</v>
      </c>
      <c r="D417" t="s">
        <v>20</v>
      </c>
      <c r="E417">
        <v>4387.8100000000004</v>
      </c>
      <c r="F417">
        <v>1</v>
      </c>
      <c r="G417" t="s">
        <v>31</v>
      </c>
      <c r="H417">
        <v>2406.9</v>
      </c>
      <c r="I417">
        <v>5286.52</v>
      </c>
      <c r="J417" t="s">
        <v>17</v>
      </c>
      <c r="K417">
        <v>0.17</v>
      </c>
      <c r="L417" t="s">
        <v>28</v>
      </c>
      <c r="M417" t="s">
        <v>21</v>
      </c>
    </row>
    <row r="418" spans="1:13" x14ac:dyDescent="0.35">
      <c r="A418">
        <v>1018</v>
      </c>
      <c r="B418" s="1">
        <v>44694</v>
      </c>
      <c r="C418" t="s">
        <v>22</v>
      </c>
      <c r="D418" t="s">
        <v>23</v>
      </c>
      <c r="E418">
        <v>86321.09</v>
      </c>
      <c r="F418">
        <v>21</v>
      </c>
      <c r="G418" t="s">
        <v>26</v>
      </c>
      <c r="H418">
        <v>1487.94</v>
      </c>
      <c r="I418">
        <v>5138.16</v>
      </c>
      <c r="J418" t="s">
        <v>27</v>
      </c>
      <c r="K418">
        <v>0.2</v>
      </c>
      <c r="L418" t="s">
        <v>28</v>
      </c>
      <c r="M418" t="s">
        <v>19</v>
      </c>
    </row>
    <row r="419" spans="1:13" x14ac:dyDescent="0.35">
      <c r="A419">
        <v>1059</v>
      </c>
      <c r="B419" s="1">
        <v>44695</v>
      </c>
      <c r="C419" t="s">
        <v>29</v>
      </c>
      <c r="D419" t="s">
        <v>15</v>
      </c>
      <c r="E419">
        <v>28781.83</v>
      </c>
      <c r="F419">
        <v>7</v>
      </c>
      <c r="G419" t="s">
        <v>31</v>
      </c>
      <c r="H419">
        <v>3398.46</v>
      </c>
      <c r="I419">
        <v>4201.66</v>
      </c>
      <c r="J419" t="s">
        <v>17</v>
      </c>
      <c r="K419">
        <v>0.02</v>
      </c>
      <c r="L419" t="s">
        <v>18</v>
      </c>
      <c r="M419" t="s">
        <v>21</v>
      </c>
    </row>
    <row r="420" spans="1:13" x14ac:dyDescent="0.35">
      <c r="A420">
        <v>1090</v>
      </c>
      <c r="B420" s="1">
        <v>44695</v>
      </c>
      <c r="C420" t="s">
        <v>14</v>
      </c>
      <c r="D420" t="s">
        <v>30</v>
      </c>
      <c r="E420">
        <v>35247.17</v>
      </c>
      <c r="F420">
        <v>30</v>
      </c>
      <c r="G420" t="s">
        <v>31</v>
      </c>
      <c r="H420">
        <v>453.2</v>
      </c>
      <c r="I420">
        <v>1223.8599999999999</v>
      </c>
      <c r="J420" t="s">
        <v>27</v>
      </c>
      <c r="K420">
        <v>0.04</v>
      </c>
      <c r="L420" t="s">
        <v>28</v>
      </c>
      <c r="M420" t="s">
        <v>21</v>
      </c>
    </row>
    <row r="421" spans="1:13" x14ac:dyDescent="0.35">
      <c r="A421">
        <v>1072</v>
      </c>
      <c r="B421" s="1">
        <v>44695</v>
      </c>
      <c r="C421" t="s">
        <v>32</v>
      </c>
      <c r="D421" t="s">
        <v>15</v>
      </c>
      <c r="E421">
        <v>116649.87</v>
      </c>
      <c r="F421">
        <v>22</v>
      </c>
      <c r="G421" t="s">
        <v>31</v>
      </c>
      <c r="H421">
        <v>4181.05</v>
      </c>
      <c r="I421">
        <v>5436.29</v>
      </c>
      <c r="J421" t="s">
        <v>27</v>
      </c>
      <c r="K421">
        <v>0.02</v>
      </c>
      <c r="L421" t="s">
        <v>18</v>
      </c>
      <c r="M421" t="s">
        <v>21</v>
      </c>
    </row>
    <row r="422" spans="1:13" x14ac:dyDescent="0.35">
      <c r="A422">
        <v>1012</v>
      </c>
      <c r="B422" s="1">
        <v>44695</v>
      </c>
      <c r="C422" t="s">
        <v>32</v>
      </c>
      <c r="D422" t="s">
        <v>20</v>
      </c>
      <c r="E422">
        <v>149933.39000000001</v>
      </c>
      <c r="F422">
        <v>43</v>
      </c>
      <c r="G422" t="s">
        <v>16</v>
      </c>
      <c r="H422">
        <v>1210.8900000000001</v>
      </c>
      <c r="I422">
        <v>3670.34</v>
      </c>
      <c r="J422" t="s">
        <v>27</v>
      </c>
      <c r="K422">
        <v>0.05</v>
      </c>
      <c r="L422" t="s">
        <v>28</v>
      </c>
      <c r="M422" t="s">
        <v>19</v>
      </c>
    </row>
    <row r="423" spans="1:13" x14ac:dyDescent="0.35">
      <c r="A423">
        <v>1087</v>
      </c>
      <c r="B423" s="1">
        <v>44696</v>
      </c>
      <c r="C423" t="s">
        <v>22</v>
      </c>
      <c r="D423" t="s">
        <v>23</v>
      </c>
      <c r="E423">
        <v>11721.42</v>
      </c>
      <c r="F423">
        <v>7</v>
      </c>
      <c r="G423" t="s">
        <v>24</v>
      </c>
      <c r="H423">
        <v>1645.93</v>
      </c>
      <c r="I423">
        <v>2174.66</v>
      </c>
      <c r="J423" t="s">
        <v>27</v>
      </c>
      <c r="K423">
        <v>0.23</v>
      </c>
      <c r="L423" t="s">
        <v>18</v>
      </c>
      <c r="M423" t="s">
        <v>21</v>
      </c>
    </row>
    <row r="424" spans="1:13" x14ac:dyDescent="0.35">
      <c r="A424">
        <v>1010</v>
      </c>
      <c r="B424" s="1">
        <v>44696</v>
      </c>
      <c r="C424" t="s">
        <v>29</v>
      </c>
      <c r="D424" t="s">
        <v>15</v>
      </c>
      <c r="E424">
        <v>47930.73</v>
      </c>
      <c r="F424">
        <v>18</v>
      </c>
      <c r="G424" t="s">
        <v>16</v>
      </c>
      <c r="H424">
        <v>2167.79</v>
      </c>
      <c r="I424">
        <v>3287.43</v>
      </c>
      <c r="J424" t="s">
        <v>17</v>
      </c>
      <c r="K424">
        <v>0.19</v>
      </c>
      <c r="L424" t="s">
        <v>18</v>
      </c>
      <c r="M424" t="s">
        <v>19</v>
      </c>
    </row>
    <row r="425" spans="1:13" x14ac:dyDescent="0.35">
      <c r="A425">
        <v>1030</v>
      </c>
      <c r="B425" s="1">
        <v>44696</v>
      </c>
      <c r="C425" t="s">
        <v>29</v>
      </c>
      <c r="D425" t="s">
        <v>20</v>
      </c>
      <c r="E425">
        <v>94677.89</v>
      </c>
      <c r="F425">
        <v>23</v>
      </c>
      <c r="G425" t="s">
        <v>24</v>
      </c>
      <c r="H425">
        <v>2667.63</v>
      </c>
      <c r="I425">
        <v>4116.43</v>
      </c>
      <c r="J425" t="s">
        <v>27</v>
      </c>
      <c r="K425">
        <v>0</v>
      </c>
      <c r="L425" t="s">
        <v>18</v>
      </c>
      <c r="M425" t="s">
        <v>19</v>
      </c>
    </row>
    <row r="426" spans="1:13" x14ac:dyDescent="0.35">
      <c r="A426">
        <v>1016</v>
      </c>
      <c r="B426" s="1">
        <v>44697</v>
      </c>
      <c r="C426" t="s">
        <v>14</v>
      </c>
      <c r="D426" t="s">
        <v>23</v>
      </c>
      <c r="E426">
        <v>200887.04000000001</v>
      </c>
      <c r="F426">
        <v>41</v>
      </c>
      <c r="G426" t="s">
        <v>16</v>
      </c>
      <c r="H426">
        <v>4802.33</v>
      </c>
      <c r="I426">
        <v>4968.09</v>
      </c>
      <c r="J426" t="s">
        <v>27</v>
      </c>
      <c r="K426">
        <v>0.01</v>
      </c>
      <c r="L426" t="s">
        <v>28</v>
      </c>
      <c r="M426" t="s">
        <v>19</v>
      </c>
    </row>
    <row r="427" spans="1:13" x14ac:dyDescent="0.35">
      <c r="A427">
        <v>1024</v>
      </c>
      <c r="B427" s="1">
        <v>44697</v>
      </c>
      <c r="C427" t="s">
        <v>14</v>
      </c>
      <c r="D427" t="s">
        <v>20</v>
      </c>
      <c r="E427">
        <v>142568.32999999999</v>
      </c>
      <c r="F427">
        <v>36</v>
      </c>
      <c r="G427" t="s">
        <v>26</v>
      </c>
      <c r="H427">
        <v>3801.84</v>
      </c>
      <c r="I427">
        <v>4551.99</v>
      </c>
      <c r="J427" t="s">
        <v>17</v>
      </c>
      <c r="K427">
        <v>0.13</v>
      </c>
      <c r="L427" t="s">
        <v>18</v>
      </c>
      <c r="M427" t="s">
        <v>21</v>
      </c>
    </row>
    <row r="428" spans="1:13" x14ac:dyDescent="0.35">
      <c r="A428">
        <v>1067</v>
      </c>
      <c r="B428" s="1">
        <v>44697</v>
      </c>
      <c r="C428" t="s">
        <v>32</v>
      </c>
      <c r="D428" t="s">
        <v>15</v>
      </c>
      <c r="E428">
        <v>18660.5</v>
      </c>
      <c r="F428">
        <v>7</v>
      </c>
      <c r="G428" t="s">
        <v>31</v>
      </c>
      <c r="H428">
        <v>402.1</v>
      </c>
      <c r="I428">
        <v>2806.09</v>
      </c>
      <c r="J428" t="s">
        <v>27</v>
      </c>
      <c r="K428">
        <v>0.05</v>
      </c>
      <c r="L428" t="s">
        <v>25</v>
      </c>
      <c r="M428" t="s">
        <v>19</v>
      </c>
    </row>
    <row r="429" spans="1:13" x14ac:dyDescent="0.35">
      <c r="A429">
        <v>1002</v>
      </c>
      <c r="B429" s="1">
        <v>44697</v>
      </c>
      <c r="C429" t="s">
        <v>29</v>
      </c>
      <c r="D429" t="s">
        <v>20</v>
      </c>
      <c r="E429">
        <v>107479.29</v>
      </c>
      <c r="F429">
        <v>39</v>
      </c>
      <c r="G429" t="s">
        <v>16</v>
      </c>
      <c r="H429">
        <v>1757.46</v>
      </c>
      <c r="I429">
        <v>3402.32</v>
      </c>
      <c r="J429" t="s">
        <v>17</v>
      </c>
      <c r="K429">
        <v>0.19</v>
      </c>
      <c r="L429" t="s">
        <v>28</v>
      </c>
      <c r="M429" t="s">
        <v>21</v>
      </c>
    </row>
    <row r="430" spans="1:13" x14ac:dyDescent="0.35">
      <c r="A430">
        <v>1027</v>
      </c>
      <c r="B430" s="1">
        <v>44697</v>
      </c>
      <c r="C430" t="s">
        <v>29</v>
      </c>
      <c r="D430" t="s">
        <v>15</v>
      </c>
      <c r="E430">
        <v>183845.97</v>
      </c>
      <c r="F430">
        <v>42</v>
      </c>
      <c r="G430" t="s">
        <v>31</v>
      </c>
      <c r="H430">
        <v>2394.4</v>
      </c>
      <c r="I430">
        <v>4863.6499999999996</v>
      </c>
      <c r="J430" t="s">
        <v>17</v>
      </c>
      <c r="K430">
        <v>0.1</v>
      </c>
      <c r="L430" t="s">
        <v>25</v>
      </c>
      <c r="M430" t="s">
        <v>21</v>
      </c>
    </row>
    <row r="431" spans="1:13" x14ac:dyDescent="0.35">
      <c r="A431">
        <v>1019</v>
      </c>
      <c r="B431" s="1">
        <v>44698</v>
      </c>
      <c r="C431" t="s">
        <v>33</v>
      </c>
      <c r="D431" t="s">
        <v>15</v>
      </c>
      <c r="E431">
        <v>18092.88</v>
      </c>
      <c r="F431">
        <v>10</v>
      </c>
      <c r="G431" t="s">
        <v>24</v>
      </c>
      <c r="H431">
        <v>1417.52</v>
      </c>
      <c r="I431">
        <v>2261.61</v>
      </c>
      <c r="J431" t="s">
        <v>17</v>
      </c>
      <c r="K431">
        <v>0.2</v>
      </c>
      <c r="L431" t="s">
        <v>18</v>
      </c>
      <c r="M431" t="s">
        <v>21</v>
      </c>
    </row>
    <row r="432" spans="1:13" x14ac:dyDescent="0.35">
      <c r="A432">
        <v>1070</v>
      </c>
      <c r="B432" s="1">
        <v>44699</v>
      </c>
      <c r="C432" t="s">
        <v>32</v>
      </c>
      <c r="D432" t="s">
        <v>30</v>
      </c>
      <c r="E432">
        <v>58931.99</v>
      </c>
      <c r="F432">
        <v>34</v>
      </c>
      <c r="G432" t="s">
        <v>16</v>
      </c>
      <c r="H432">
        <v>1680.72</v>
      </c>
      <c r="I432">
        <v>1753.51</v>
      </c>
      <c r="J432" t="s">
        <v>17</v>
      </c>
      <c r="K432">
        <v>0.01</v>
      </c>
      <c r="L432" t="s">
        <v>28</v>
      </c>
      <c r="M432" t="s">
        <v>21</v>
      </c>
    </row>
    <row r="433" spans="1:13" x14ac:dyDescent="0.35">
      <c r="A433">
        <v>1004</v>
      </c>
      <c r="B433" s="1">
        <v>44699</v>
      </c>
      <c r="C433" t="s">
        <v>33</v>
      </c>
      <c r="D433" t="s">
        <v>30</v>
      </c>
      <c r="E433">
        <v>9068.57</v>
      </c>
      <c r="F433">
        <v>24</v>
      </c>
      <c r="G433" t="s">
        <v>26</v>
      </c>
      <c r="H433">
        <v>134.96</v>
      </c>
      <c r="I433">
        <v>449.83</v>
      </c>
      <c r="J433" t="s">
        <v>27</v>
      </c>
      <c r="K433">
        <v>0.16</v>
      </c>
      <c r="L433" t="s">
        <v>18</v>
      </c>
      <c r="M433" t="s">
        <v>21</v>
      </c>
    </row>
    <row r="434" spans="1:13" x14ac:dyDescent="0.35">
      <c r="A434">
        <v>1025</v>
      </c>
      <c r="B434" s="1">
        <v>44699</v>
      </c>
      <c r="C434" t="s">
        <v>32</v>
      </c>
      <c r="D434" t="s">
        <v>15</v>
      </c>
      <c r="E434">
        <v>78320.160000000003</v>
      </c>
      <c r="F434">
        <v>42</v>
      </c>
      <c r="G434" t="s">
        <v>26</v>
      </c>
      <c r="H434">
        <v>1648.08</v>
      </c>
      <c r="I434">
        <v>2302.1799999999998</v>
      </c>
      <c r="J434" t="s">
        <v>27</v>
      </c>
      <c r="K434">
        <v>0.19</v>
      </c>
      <c r="L434" t="s">
        <v>25</v>
      </c>
      <c r="M434" t="s">
        <v>19</v>
      </c>
    </row>
    <row r="435" spans="1:13" x14ac:dyDescent="0.35">
      <c r="A435">
        <v>1046</v>
      </c>
      <c r="B435" s="1">
        <v>44699</v>
      </c>
      <c r="C435" t="s">
        <v>29</v>
      </c>
      <c r="D435" t="s">
        <v>30</v>
      </c>
      <c r="E435">
        <v>56347.42</v>
      </c>
      <c r="F435">
        <v>19</v>
      </c>
      <c r="G435" t="s">
        <v>31</v>
      </c>
      <c r="H435">
        <v>757.59</v>
      </c>
      <c r="I435">
        <v>2995.61</v>
      </c>
      <c r="J435" t="s">
        <v>27</v>
      </c>
      <c r="K435">
        <v>0.01</v>
      </c>
      <c r="L435" t="s">
        <v>28</v>
      </c>
      <c r="M435" t="s">
        <v>19</v>
      </c>
    </row>
    <row r="436" spans="1:13" x14ac:dyDescent="0.35">
      <c r="A436">
        <v>1034</v>
      </c>
      <c r="B436" s="1">
        <v>44702</v>
      </c>
      <c r="C436" t="s">
        <v>14</v>
      </c>
      <c r="D436" t="s">
        <v>15</v>
      </c>
      <c r="E436">
        <v>147139.68</v>
      </c>
      <c r="F436">
        <v>32</v>
      </c>
      <c r="G436" t="s">
        <v>24</v>
      </c>
      <c r="H436">
        <v>4246.1000000000004</v>
      </c>
      <c r="I436">
        <v>4775</v>
      </c>
      <c r="J436" t="s">
        <v>27</v>
      </c>
      <c r="K436">
        <v>0.04</v>
      </c>
      <c r="L436" t="s">
        <v>18</v>
      </c>
      <c r="M436" t="s">
        <v>19</v>
      </c>
    </row>
    <row r="437" spans="1:13" x14ac:dyDescent="0.35">
      <c r="A437">
        <v>1002</v>
      </c>
      <c r="B437" s="1">
        <v>44702</v>
      </c>
      <c r="C437" t="s">
        <v>32</v>
      </c>
      <c r="D437" t="s">
        <v>20</v>
      </c>
      <c r="E437">
        <v>225658.26</v>
      </c>
      <c r="F437">
        <v>49</v>
      </c>
      <c r="G437" t="s">
        <v>26</v>
      </c>
      <c r="H437">
        <v>3820.22</v>
      </c>
      <c r="I437">
        <v>4655.21</v>
      </c>
      <c r="J437" t="s">
        <v>17</v>
      </c>
      <c r="K437">
        <v>0.01</v>
      </c>
      <c r="L437" t="s">
        <v>18</v>
      </c>
      <c r="M437" t="s">
        <v>19</v>
      </c>
    </row>
    <row r="438" spans="1:13" x14ac:dyDescent="0.35">
      <c r="A438">
        <v>1084</v>
      </c>
      <c r="B438" s="1">
        <v>44703</v>
      </c>
      <c r="C438" t="s">
        <v>33</v>
      </c>
      <c r="D438" t="s">
        <v>15</v>
      </c>
      <c r="E438">
        <v>118748.69</v>
      </c>
      <c r="F438">
        <v>43</v>
      </c>
      <c r="G438" t="s">
        <v>24</v>
      </c>
      <c r="H438">
        <v>2627.47</v>
      </c>
      <c r="I438">
        <v>2799.87</v>
      </c>
      <c r="J438" t="s">
        <v>27</v>
      </c>
      <c r="K438">
        <v>0.01</v>
      </c>
      <c r="L438" t="s">
        <v>25</v>
      </c>
      <c r="M438" t="s">
        <v>19</v>
      </c>
    </row>
    <row r="439" spans="1:13" x14ac:dyDescent="0.35">
      <c r="A439">
        <v>1064</v>
      </c>
      <c r="B439" s="1">
        <v>44703</v>
      </c>
      <c r="C439" t="s">
        <v>33</v>
      </c>
      <c r="D439" t="s">
        <v>30</v>
      </c>
      <c r="E439">
        <v>77725.08</v>
      </c>
      <c r="F439">
        <v>40</v>
      </c>
      <c r="G439" t="s">
        <v>26</v>
      </c>
      <c r="H439">
        <v>1765.15</v>
      </c>
      <c r="I439">
        <v>2259.4499999999998</v>
      </c>
      <c r="J439" t="s">
        <v>17</v>
      </c>
      <c r="K439">
        <v>0.14000000000000001</v>
      </c>
      <c r="L439" t="s">
        <v>18</v>
      </c>
      <c r="M439" t="s">
        <v>21</v>
      </c>
    </row>
    <row r="440" spans="1:13" x14ac:dyDescent="0.35">
      <c r="A440">
        <v>1046</v>
      </c>
      <c r="B440" s="1">
        <v>44703</v>
      </c>
      <c r="C440" t="s">
        <v>22</v>
      </c>
      <c r="D440" t="s">
        <v>20</v>
      </c>
      <c r="E440">
        <v>43901.51</v>
      </c>
      <c r="F440">
        <v>23</v>
      </c>
      <c r="G440" t="s">
        <v>16</v>
      </c>
      <c r="H440">
        <v>1552.03</v>
      </c>
      <c r="I440">
        <v>2447.13</v>
      </c>
      <c r="J440" t="s">
        <v>27</v>
      </c>
      <c r="K440">
        <v>0.22</v>
      </c>
      <c r="L440" t="s">
        <v>28</v>
      </c>
      <c r="M440" t="s">
        <v>19</v>
      </c>
    </row>
    <row r="441" spans="1:13" x14ac:dyDescent="0.35">
      <c r="A441">
        <v>1073</v>
      </c>
      <c r="B441" s="1">
        <v>44703</v>
      </c>
      <c r="C441" t="s">
        <v>22</v>
      </c>
      <c r="D441" t="s">
        <v>15</v>
      </c>
      <c r="E441">
        <v>55313.279999999999</v>
      </c>
      <c r="F441">
        <v>24</v>
      </c>
      <c r="G441" t="s">
        <v>26</v>
      </c>
      <c r="H441">
        <v>1626.82</v>
      </c>
      <c r="I441">
        <v>2304.7199999999998</v>
      </c>
      <c r="J441" t="s">
        <v>17</v>
      </c>
      <c r="K441">
        <v>0</v>
      </c>
      <c r="L441" t="s">
        <v>28</v>
      </c>
      <c r="M441" t="s">
        <v>19</v>
      </c>
    </row>
    <row r="442" spans="1:13" x14ac:dyDescent="0.35">
      <c r="A442">
        <v>1053</v>
      </c>
      <c r="B442" s="1">
        <v>44703</v>
      </c>
      <c r="C442" t="s">
        <v>32</v>
      </c>
      <c r="D442" t="s">
        <v>20</v>
      </c>
      <c r="E442">
        <v>115226.44</v>
      </c>
      <c r="F442">
        <v>25</v>
      </c>
      <c r="G442" t="s">
        <v>16</v>
      </c>
      <c r="H442">
        <v>3955.67</v>
      </c>
      <c r="I442">
        <v>4649.12</v>
      </c>
      <c r="J442" t="s">
        <v>27</v>
      </c>
      <c r="K442">
        <v>0.01</v>
      </c>
      <c r="L442" t="s">
        <v>18</v>
      </c>
      <c r="M442" t="s">
        <v>21</v>
      </c>
    </row>
    <row r="443" spans="1:13" x14ac:dyDescent="0.35">
      <c r="A443">
        <v>1005</v>
      </c>
      <c r="B443" s="1">
        <v>44703</v>
      </c>
      <c r="C443" t="s">
        <v>33</v>
      </c>
      <c r="D443" t="s">
        <v>20</v>
      </c>
      <c r="E443">
        <v>206202.47</v>
      </c>
      <c r="F443">
        <v>46</v>
      </c>
      <c r="G443" t="s">
        <v>24</v>
      </c>
      <c r="H443">
        <v>1106.73</v>
      </c>
      <c r="I443">
        <v>4669.4399999999996</v>
      </c>
      <c r="J443" t="s">
        <v>27</v>
      </c>
      <c r="K443">
        <v>0.04</v>
      </c>
      <c r="L443" t="s">
        <v>25</v>
      </c>
      <c r="M443" t="s">
        <v>21</v>
      </c>
    </row>
    <row r="444" spans="1:13" x14ac:dyDescent="0.35">
      <c r="A444">
        <v>1045</v>
      </c>
      <c r="B444" s="1">
        <v>44704</v>
      </c>
      <c r="C444" t="s">
        <v>33</v>
      </c>
      <c r="D444" t="s">
        <v>23</v>
      </c>
      <c r="E444">
        <v>3689.62</v>
      </c>
      <c r="F444">
        <v>1</v>
      </c>
      <c r="G444" t="s">
        <v>31</v>
      </c>
      <c r="H444">
        <v>3431.77</v>
      </c>
      <c r="I444">
        <v>3881.45</v>
      </c>
      <c r="J444" t="s">
        <v>27</v>
      </c>
      <c r="K444">
        <v>0.05</v>
      </c>
      <c r="L444" t="s">
        <v>18</v>
      </c>
      <c r="M444" t="s">
        <v>21</v>
      </c>
    </row>
    <row r="445" spans="1:13" x14ac:dyDescent="0.35">
      <c r="A445">
        <v>1037</v>
      </c>
      <c r="B445" s="1">
        <v>44704</v>
      </c>
      <c r="C445" t="s">
        <v>29</v>
      </c>
      <c r="D445" t="s">
        <v>30</v>
      </c>
      <c r="E445">
        <v>117301.92</v>
      </c>
      <c r="F445">
        <v>24</v>
      </c>
      <c r="G445" t="s">
        <v>16</v>
      </c>
      <c r="H445">
        <v>4509.26</v>
      </c>
      <c r="I445">
        <v>4887.58</v>
      </c>
      <c r="J445" t="s">
        <v>17</v>
      </c>
      <c r="K445">
        <v>0</v>
      </c>
      <c r="L445" t="s">
        <v>18</v>
      </c>
      <c r="M445" t="s">
        <v>21</v>
      </c>
    </row>
    <row r="446" spans="1:13" x14ac:dyDescent="0.35">
      <c r="A446">
        <v>1031</v>
      </c>
      <c r="B446" s="1">
        <v>44704</v>
      </c>
      <c r="C446" t="s">
        <v>29</v>
      </c>
      <c r="D446" t="s">
        <v>20</v>
      </c>
      <c r="E446">
        <v>151816.87</v>
      </c>
      <c r="F446">
        <v>31</v>
      </c>
      <c r="G446" t="s">
        <v>31</v>
      </c>
      <c r="H446">
        <v>4314.54</v>
      </c>
      <c r="I446">
        <v>5015.1499999999996</v>
      </c>
      <c r="J446" t="s">
        <v>27</v>
      </c>
      <c r="K446">
        <v>0.02</v>
      </c>
      <c r="L446" t="s">
        <v>18</v>
      </c>
      <c r="M446" t="s">
        <v>19</v>
      </c>
    </row>
    <row r="447" spans="1:13" x14ac:dyDescent="0.35">
      <c r="A447">
        <v>1067</v>
      </c>
      <c r="B447" s="1">
        <v>44705</v>
      </c>
      <c r="C447" t="s">
        <v>22</v>
      </c>
      <c r="D447" t="s">
        <v>30</v>
      </c>
      <c r="E447">
        <v>52960.15</v>
      </c>
      <c r="F447">
        <v>26</v>
      </c>
      <c r="G447" t="s">
        <v>16</v>
      </c>
      <c r="H447">
        <v>1991.89</v>
      </c>
      <c r="I447">
        <v>2095.56</v>
      </c>
      <c r="J447" t="s">
        <v>27</v>
      </c>
      <c r="K447">
        <v>0.03</v>
      </c>
      <c r="L447" t="s">
        <v>28</v>
      </c>
      <c r="M447" t="s">
        <v>21</v>
      </c>
    </row>
    <row r="448" spans="1:13" x14ac:dyDescent="0.35">
      <c r="A448">
        <v>1062</v>
      </c>
      <c r="B448" s="1">
        <v>44705</v>
      </c>
      <c r="C448" t="s">
        <v>32</v>
      </c>
      <c r="D448" t="s">
        <v>23</v>
      </c>
      <c r="E448">
        <v>4039.07</v>
      </c>
      <c r="F448">
        <v>1</v>
      </c>
      <c r="G448" t="s">
        <v>26</v>
      </c>
      <c r="H448">
        <v>1322.25</v>
      </c>
      <c r="I448">
        <v>4207.3599999999997</v>
      </c>
      <c r="J448" t="s">
        <v>17</v>
      </c>
      <c r="K448">
        <v>0.04</v>
      </c>
      <c r="L448" t="s">
        <v>28</v>
      </c>
      <c r="M448" t="s">
        <v>21</v>
      </c>
    </row>
    <row r="449" spans="1:13" x14ac:dyDescent="0.35">
      <c r="A449">
        <v>1018</v>
      </c>
      <c r="B449" s="1">
        <v>44705</v>
      </c>
      <c r="C449" t="s">
        <v>14</v>
      </c>
      <c r="D449" t="s">
        <v>15</v>
      </c>
      <c r="E449">
        <v>38150.6</v>
      </c>
      <c r="F449">
        <v>29</v>
      </c>
      <c r="G449" t="s">
        <v>26</v>
      </c>
      <c r="H449">
        <v>1057.47</v>
      </c>
      <c r="I449">
        <v>1369.81</v>
      </c>
      <c r="J449" t="s">
        <v>17</v>
      </c>
      <c r="K449">
        <v>0.04</v>
      </c>
      <c r="L449" t="s">
        <v>18</v>
      </c>
      <c r="M449" t="s">
        <v>19</v>
      </c>
    </row>
    <row r="450" spans="1:13" x14ac:dyDescent="0.35">
      <c r="A450">
        <v>1045</v>
      </c>
      <c r="B450" s="1">
        <v>44705</v>
      </c>
      <c r="C450" t="s">
        <v>22</v>
      </c>
      <c r="D450" t="s">
        <v>15</v>
      </c>
      <c r="E450">
        <v>124438.39999999999</v>
      </c>
      <c r="F450">
        <v>46</v>
      </c>
      <c r="G450" t="s">
        <v>31</v>
      </c>
      <c r="H450">
        <v>1809.79</v>
      </c>
      <c r="I450">
        <v>3606.91</v>
      </c>
      <c r="J450" t="s">
        <v>17</v>
      </c>
      <c r="K450">
        <v>0.25</v>
      </c>
      <c r="L450" t="s">
        <v>28</v>
      </c>
      <c r="M450" t="s">
        <v>21</v>
      </c>
    </row>
    <row r="451" spans="1:13" x14ac:dyDescent="0.35">
      <c r="A451">
        <v>1078</v>
      </c>
      <c r="B451" s="1">
        <v>44705</v>
      </c>
      <c r="C451" t="s">
        <v>29</v>
      </c>
      <c r="D451" t="s">
        <v>23</v>
      </c>
      <c r="E451">
        <v>108627.56</v>
      </c>
      <c r="F451">
        <v>33</v>
      </c>
      <c r="G451" t="s">
        <v>24</v>
      </c>
      <c r="H451">
        <v>933.13</v>
      </c>
      <c r="I451">
        <v>3539.51</v>
      </c>
      <c r="J451" t="s">
        <v>27</v>
      </c>
      <c r="K451">
        <v>7.0000000000000007E-2</v>
      </c>
      <c r="L451" t="s">
        <v>28</v>
      </c>
      <c r="M451" t="s">
        <v>19</v>
      </c>
    </row>
    <row r="452" spans="1:13" x14ac:dyDescent="0.35">
      <c r="A452">
        <v>1066</v>
      </c>
      <c r="B452" s="1">
        <v>44705</v>
      </c>
      <c r="C452" t="s">
        <v>14</v>
      </c>
      <c r="D452" t="s">
        <v>15</v>
      </c>
      <c r="E452">
        <v>121662.32</v>
      </c>
      <c r="F452">
        <v>47</v>
      </c>
      <c r="G452" t="s">
        <v>26</v>
      </c>
      <c r="H452">
        <v>118.97</v>
      </c>
      <c r="I452">
        <v>2724.8</v>
      </c>
      <c r="J452" t="s">
        <v>27</v>
      </c>
      <c r="K452">
        <v>0.05</v>
      </c>
      <c r="L452" t="s">
        <v>18</v>
      </c>
      <c r="M452" t="s">
        <v>19</v>
      </c>
    </row>
    <row r="453" spans="1:13" x14ac:dyDescent="0.35">
      <c r="A453">
        <v>1041</v>
      </c>
      <c r="B453" s="1">
        <v>44705</v>
      </c>
      <c r="C453" t="s">
        <v>29</v>
      </c>
      <c r="D453" t="s">
        <v>15</v>
      </c>
      <c r="E453">
        <v>140178.73000000001</v>
      </c>
      <c r="F453">
        <v>35</v>
      </c>
      <c r="G453" t="s">
        <v>16</v>
      </c>
      <c r="H453">
        <v>601.84</v>
      </c>
      <c r="I453">
        <v>4711.8900000000003</v>
      </c>
      <c r="J453" t="s">
        <v>27</v>
      </c>
      <c r="K453">
        <v>0.15</v>
      </c>
      <c r="L453" t="s">
        <v>28</v>
      </c>
      <c r="M453" t="s">
        <v>21</v>
      </c>
    </row>
    <row r="454" spans="1:13" x14ac:dyDescent="0.35">
      <c r="A454">
        <v>1064</v>
      </c>
      <c r="B454" s="1">
        <v>44705</v>
      </c>
      <c r="C454" t="s">
        <v>22</v>
      </c>
      <c r="D454" t="s">
        <v>20</v>
      </c>
      <c r="E454">
        <v>194626.5</v>
      </c>
      <c r="F454">
        <v>46</v>
      </c>
      <c r="G454" t="s">
        <v>16</v>
      </c>
      <c r="H454">
        <v>1536.95</v>
      </c>
      <c r="I454">
        <v>4919.78</v>
      </c>
      <c r="J454" t="s">
        <v>27</v>
      </c>
      <c r="K454">
        <v>0.14000000000000001</v>
      </c>
      <c r="L454" t="s">
        <v>28</v>
      </c>
      <c r="M454" t="s">
        <v>21</v>
      </c>
    </row>
    <row r="455" spans="1:13" x14ac:dyDescent="0.35">
      <c r="A455">
        <v>1027</v>
      </c>
      <c r="B455" s="1">
        <v>44706</v>
      </c>
      <c r="C455" t="s">
        <v>29</v>
      </c>
      <c r="D455" t="s">
        <v>30</v>
      </c>
      <c r="E455">
        <v>20655.509999999998</v>
      </c>
      <c r="F455">
        <v>7</v>
      </c>
      <c r="G455" t="s">
        <v>26</v>
      </c>
      <c r="H455">
        <v>873.46</v>
      </c>
      <c r="I455">
        <v>3987.55</v>
      </c>
      <c r="J455" t="s">
        <v>17</v>
      </c>
      <c r="K455">
        <v>0.26</v>
      </c>
      <c r="L455" t="s">
        <v>25</v>
      </c>
      <c r="M455" t="s">
        <v>21</v>
      </c>
    </row>
    <row r="456" spans="1:13" x14ac:dyDescent="0.35">
      <c r="A456">
        <v>1031</v>
      </c>
      <c r="B456" s="1">
        <v>44706</v>
      </c>
      <c r="C456" t="s">
        <v>32</v>
      </c>
      <c r="D456" t="s">
        <v>30</v>
      </c>
      <c r="E456">
        <v>175418.54</v>
      </c>
      <c r="F456">
        <v>50</v>
      </c>
      <c r="G456" t="s">
        <v>24</v>
      </c>
      <c r="H456">
        <v>3172.37</v>
      </c>
      <c r="I456">
        <v>4032.61</v>
      </c>
      <c r="J456" t="s">
        <v>27</v>
      </c>
      <c r="K456">
        <v>0.13</v>
      </c>
      <c r="L456" t="s">
        <v>28</v>
      </c>
      <c r="M456" t="s">
        <v>21</v>
      </c>
    </row>
    <row r="457" spans="1:13" x14ac:dyDescent="0.35">
      <c r="A457">
        <v>1018</v>
      </c>
      <c r="B457" s="1">
        <v>44706</v>
      </c>
      <c r="C457" t="s">
        <v>29</v>
      </c>
      <c r="D457" t="s">
        <v>30</v>
      </c>
      <c r="E457">
        <v>41236.19</v>
      </c>
      <c r="F457">
        <v>10</v>
      </c>
      <c r="G457" t="s">
        <v>26</v>
      </c>
      <c r="H457">
        <v>2399.5300000000002</v>
      </c>
      <c r="I457">
        <v>4909.07</v>
      </c>
      <c r="J457" t="s">
        <v>27</v>
      </c>
      <c r="K457">
        <v>0.16</v>
      </c>
      <c r="L457" t="s">
        <v>25</v>
      </c>
      <c r="M457" t="s">
        <v>21</v>
      </c>
    </row>
    <row r="458" spans="1:13" x14ac:dyDescent="0.35">
      <c r="A458">
        <v>1005</v>
      </c>
      <c r="B458" s="1">
        <v>44706</v>
      </c>
      <c r="C458" t="s">
        <v>22</v>
      </c>
      <c r="D458" t="s">
        <v>30</v>
      </c>
      <c r="E458">
        <v>68740.72</v>
      </c>
      <c r="F458">
        <v>19</v>
      </c>
      <c r="G458" t="s">
        <v>26</v>
      </c>
      <c r="H458">
        <v>1310.3399999999999</v>
      </c>
      <c r="I458">
        <v>3768.68</v>
      </c>
      <c r="J458" t="s">
        <v>27</v>
      </c>
      <c r="K458">
        <v>0.04</v>
      </c>
      <c r="L458" t="s">
        <v>28</v>
      </c>
      <c r="M458" t="s">
        <v>19</v>
      </c>
    </row>
    <row r="459" spans="1:13" x14ac:dyDescent="0.35">
      <c r="A459">
        <v>1016</v>
      </c>
      <c r="B459" s="1">
        <v>44706</v>
      </c>
      <c r="C459" t="s">
        <v>29</v>
      </c>
      <c r="D459" t="s">
        <v>20</v>
      </c>
      <c r="E459">
        <v>74091.02</v>
      </c>
      <c r="F459">
        <v>21</v>
      </c>
      <c r="G459" t="s">
        <v>26</v>
      </c>
      <c r="H459">
        <v>330.68</v>
      </c>
      <c r="I459">
        <v>4900.2</v>
      </c>
      <c r="J459" t="s">
        <v>27</v>
      </c>
      <c r="K459">
        <v>0.28000000000000003</v>
      </c>
      <c r="L459" t="s">
        <v>28</v>
      </c>
      <c r="M459" t="s">
        <v>19</v>
      </c>
    </row>
    <row r="460" spans="1:13" x14ac:dyDescent="0.35">
      <c r="A460">
        <v>1066</v>
      </c>
      <c r="B460" s="1">
        <v>44707</v>
      </c>
      <c r="C460" t="s">
        <v>22</v>
      </c>
      <c r="D460" t="s">
        <v>30</v>
      </c>
      <c r="E460">
        <v>21144.7</v>
      </c>
      <c r="F460">
        <v>8</v>
      </c>
      <c r="G460" t="s">
        <v>26</v>
      </c>
      <c r="H460">
        <v>2492.41</v>
      </c>
      <c r="I460">
        <v>3303.86</v>
      </c>
      <c r="J460" t="s">
        <v>27</v>
      </c>
      <c r="K460">
        <v>0.2</v>
      </c>
      <c r="L460" t="s">
        <v>25</v>
      </c>
      <c r="M460" t="s">
        <v>19</v>
      </c>
    </row>
    <row r="461" spans="1:13" x14ac:dyDescent="0.35">
      <c r="A461">
        <v>1083</v>
      </c>
      <c r="B461" s="1">
        <v>44707</v>
      </c>
      <c r="C461" t="s">
        <v>22</v>
      </c>
      <c r="D461" t="s">
        <v>20</v>
      </c>
      <c r="E461">
        <v>80879.91</v>
      </c>
      <c r="F461">
        <v>28</v>
      </c>
      <c r="G461" t="s">
        <v>16</v>
      </c>
      <c r="H461">
        <v>2583.2600000000002</v>
      </c>
      <c r="I461">
        <v>2902.47</v>
      </c>
      <c r="J461" t="s">
        <v>27</v>
      </c>
      <c r="K461">
        <v>0</v>
      </c>
      <c r="L461" t="s">
        <v>18</v>
      </c>
      <c r="M461" t="s">
        <v>19</v>
      </c>
    </row>
    <row r="462" spans="1:13" x14ac:dyDescent="0.35">
      <c r="A462">
        <v>1052</v>
      </c>
      <c r="B462" s="1">
        <v>44709</v>
      </c>
      <c r="C462" t="s">
        <v>29</v>
      </c>
      <c r="D462" t="s">
        <v>30</v>
      </c>
      <c r="E462">
        <v>24167.13</v>
      </c>
      <c r="F462">
        <v>5</v>
      </c>
      <c r="G462" t="s">
        <v>31</v>
      </c>
      <c r="H462">
        <v>4824.09</v>
      </c>
      <c r="I462">
        <v>4845.41</v>
      </c>
      <c r="J462" t="s">
        <v>27</v>
      </c>
      <c r="K462">
        <v>0</v>
      </c>
      <c r="L462" t="s">
        <v>25</v>
      </c>
      <c r="M462" t="s">
        <v>21</v>
      </c>
    </row>
    <row r="463" spans="1:13" x14ac:dyDescent="0.35">
      <c r="A463">
        <v>1079</v>
      </c>
      <c r="B463" s="1">
        <v>44709</v>
      </c>
      <c r="C463" t="s">
        <v>29</v>
      </c>
      <c r="D463" t="s">
        <v>23</v>
      </c>
      <c r="E463">
        <v>59460.77</v>
      </c>
      <c r="F463">
        <v>18</v>
      </c>
      <c r="G463" t="s">
        <v>26</v>
      </c>
      <c r="H463">
        <v>3291.86</v>
      </c>
      <c r="I463">
        <v>3324.13</v>
      </c>
      <c r="J463" t="s">
        <v>17</v>
      </c>
      <c r="K463">
        <v>0.01</v>
      </c>
      <c r="L463" t="s">
        <v>28</v>
      </c>
      <c r="M463" t="s">
        <v>21</v>
      </c>
    </row>
    <row r="464" spans="1:13" x14ac:dyDescent="0.35">
      <c r="A464">
        <v>1036</v>
      </c>
      <c r="B464" s="1">
        <v>44709</v>
      </c>
      <c r="C464" t="s">
        <v>22</v>
      </c>
      <c r="D464" t="s">
        <v>15</v>
      </c>
      <c r="E464">
        <v>3269.19</v>
      </c>
      <c r="F464">
        <v>2</v>
      </c>
      <c r="G464" t="s">
        <v>26</v>
      </c>
      <c r="H464">
        <v>338.01</v>
      </c>
      <c r="I464">
        <v>2270.27</v>
      </c>
      <c r="J464" t="s">
        <v>27</v>
      </c>
      <c r="K464">
        <v>0.28000000000000003</v>
      </c>
      <c r="L464" t="s">
        <v>28</v>
      </c>
      <c r="M464" t="s">
        <v>19</v>
      </c>
    </row>
    <row r="465" spans="1:13" x14ac:dyDescent="0.35">
      <c r="A465">
        <v>1007</v>
      </c>
      <c r="B465" s="1">
        <v>44709</v>
      </c>
      <c r="C465" t="s">
        <v>14</v>
      </c>
      <c r="D465" t="s">
        <v>30</v>
      </c>
      <c r="E465">
        <v>81735.149999999994</v>
      </c>
      <c r="F465">
        <v>34</v>
      </c>
      <c r="G465" t="s">
        <v>31</v>
      </c>
      <c r="H465">
        <v>1543.39</v>
      </c>
      <c r="I465">
        <v>2530.5</v>
      </c>
      <c r="J465" t="s">
        <v>17</v>
      </c>
      <c r="K465">
        <v>0.05</v>
      </c>
      <c r="L465" t="s">
        <v>18</v>
      </c>
      <c r="M465" t="s">
        <v>21</v>
      </c>
    </row>
    <row r="466" spans="1:13" x14ac:dyDescent="0.35">
      <c r="A466">
        <v>1037</v>
      </c>
      <c r="B466" s="1">
        <v>44710</v>
      </c>
      <c r="C466" t="s">
        <v>33</v>
      </c>
      <c r="D466" t="s">
        <v>20</v>
      </c>
      <c r="E466">
        <v>88011.23</v>
      </c>
      <c r="F466">
        <v>36</v>
      </c>
      <c r="G466" t="s">
        <v>16</v>
      </c>
      <c r="H466">
        <v>2346.16</v>
      </c>
      <c r="I466">
        <v>2486.9699999999998</v>
      </c>
      <c r="J466" t="s">
        <v>27</v>
      </c>
      <c r="K466">
        <v>0.02</v>
      </c>
      <c r="L466" t="s">
        <v>18</v>
      </c>
      <c r="M466" t="s">
        <v>19</v>
      </c>
    </row>
    <row r="467" spans="1:13" x14ac:dyDescent="0.35">
      <c r="A467">
        <v>1021</v>
      </c>
      <c r="B467" s="1">
        <v>44710</v>
      </c>
      <c r="C467" t="s">
        <v>29</v>
      </c>
      <c r="D467" t="s">
        <v>20</v>
      </c>
      <c r="E467">
        <v>78554.59</v>
      </c>
      <c r="F467">
        <v>30</v>
      </c>
      <c r="G467" t="s">
        <v>16</v>
      </c>
      <c r="H467">
        <v>1074.6500000000001</v>
      </c>
      <c r="I467">
        <v>2727.59</v>
      </c>
      <c r="J467" t="s">
        <v>27</v>
      </c>
      <c r="K467">
        <v>0.04</v>
      </c>
      <c r="L467" t="s">
        <v>28</v>
      </c>
      <c r="M467" t="s">
        <v>21</v>
      </c>
    </row>
    <row r="468" spans="1:13" x14ac:dyDescent="0.35">
      <c r="A468">
        <v>1045</v>
      </c>
      <c r="B468" s="1">
        <v>44710</v>
      </c>
      <c r="C468" t="s">
        <v>14</v>
      </c>
      <c r="D468" t="s">
        <v>23</v>
      </c>
      <c r="E468">
        <v>159345.20000000001</v>
      </c>
      <c r="F468">
        <v>41</v>
      </c>
      <c r="G468" t="s">
        <v>16</v>
      </c>
      <c r="H468">
        <v>1951.39</v>
      </c>
      <c r="I468">
        <v>4919.58</v>
      </c>
      <c r="J468" t="s">
        <v>17</v>
      </c>
      <c r="K468">
        <v>0.21</v>
      </c>
      <c r="L468" t="s">
        <v>28</v>
      </c>
      <c r="M468" t="s">
        <v>21</v>
      </c>
    </row>
    <row r="469" spans="1:13" x14ac:dyDescent="0.35">
      <c r="A469">
        <v>1071</v>
      </c>
      <c r="B469" s="1">
        <v>44711</v>
      </c>
      <c r="C469" t="s">
        <v>33</v>
      </c>
      <c r="D469" t="s">
        <v>30</v>
      </c>
      <c r="E469">
        <v>130900.5</v>
      </c>
      <c r="F469">
        <v>45</v>
      </c>
      <c r="G469" t="s">
        <v>24</v>
      </c>
      <c r="H469">
        <v>2907.09</v>
      </c>
      <c r="I469">
        <v>2908.9</v>
      </c>
      <c r="J469" t="s">
        <v>17</v>
      </c>
      <c r="K469">
        <v>0</v>
      </c>
      <c r="L469" t="s">
        <v>18</v>
      </c>
      <c r="M469" t="s">
        <v>19</v>
      </c>
    </row>
    <row r="470" spans="1:13" x14ac:dyDescent="0.35">
      <c r="A470">
        <v>1040</v>
      </c>
      <c r="B470" s="1">
        <v>44711</v>
      </c>
      <c r="C470" t="s">
        <v>33</v>
      </c>
      <c r="D470" t="s">
        <v>20</v>
      </c>
      <c r="E470">
        <v>28941.96</v>
      </c>
      <c r="F470">
        <v>32</v>
      </c>
      <c r="G470" t="s">
        <v>26</v>
      </c>
      <c r="H470">
        <v>501.04</v>
      </c>
      <c r="I470">
        <v>1051.67</v>
      </c>
      <c r="J470" t="s">
        <v>27</v>
      </c>
      <c r="K470">
        <v>0.14000000000000001</v>
      </c>
      <c r="L470" t="s">
        <v>28</v>
      </c>
      <c r="M470" t="s">
        <v>21</v>
      </c>
    </row>
    <row r="471" spans="1:13" x14ac:dyDescent="0.35">
      <c r="A471">
        <v>1081</v>
      </c>
      <c r="B471" s="1">
        <v>44711</v>
      </c>
      <c r="C471" t="s">
        <v>22</v>
      </c>
      <c r="D471" t="s">
        <v>23</v>
      </c>
      <c r="E471">
        <v>102574.92</v>
      </c>
      <c r="F471">
        <v>27</v>
      </c>
      <c r="G471" t="s">
        <v>24</v>
      </c>
      <c r="H471">
        <v>2767.24</v>
      </c>
      <c r="I471">
        <v>5133.88</v>
      </c>
      <c r="J471" t="s">
        <v>27</v>
      </c>
      <c r="K471">
        <v>0.26</v>
      </c>
      <c r="L471" t="s">
        <v>18</v>
      </c>
      <c r="M471" t="s">
        <v>21</v>
      </c>
    </row>
    <row r="472" spans="1:13" x14ac:dyDescent="0.35">
      <c r="A472">
        <v>1043</v>
      </c>
      <c r="B472" s="1">
        <v>44711</v>
      </c>
      <c r="C472" t="s">
        <v>22</v>
      </c>
      <c r="D472" t="s">
        <v>23</v>
      </c>
      <c r="E472">
        <v>151661.07999999999</v>
      </c>
      <c r="F472">
        <v>46</v>
      </c>
      <c r="G472" t="s">
        <v>31</v>
      </c>
      <c r="H472">
        <v>2328.21</v>
      </c>
      <c r="I472">
        <v>3878.8</v>
      </c>
      <c r="J472" t="s">
        <v>27</v>
      </c>
      <c r="K472">
        <v>0.15</v>
      </c>
      <c r="L472" t="s">
        <v>18</v>
      </c>
      <c r="M472" t="s">
        <v>21</v>
      </c>
    </row>
    <row r="473" spans="1:13" x14ac:dyDescent="0.35">
      <c r="A473">
        <v>1043</v>
      </c>
      <c r="B473" s="1">
        <v>44711</v>
      </c>
      <c r="C473" t="s">
        <v>22</v>
      </c>
      <c r="D473" t="s">
        <v>20</v>
      </c>
      <c r="E473">
        <v>115823.4</v>
      </c>
      <c r="F473">
        <v>42</v>
      </c>
      <c r="G473" t="s">
        <v>24</v>
      </c>
      <c r="H473">
        <v>425.04</v>
      </c>
      <c r="I473">
        <v>3133.75</v>
      </c>
      <c r="J473" t="s">
        <v>27</v>
      </c>
      <c r="K473">
        <v>0.12</v>
      </c>
      <c r="L473" t="s">
        <v>18</v>
      </c>
      <c r="M473" t="s">
        <v>19</v>
      </c>
    </row>
    <row r="474" spans="1:13" x14ac:dyDescent="0.35">
      <c r="A474">
        <v>1034</v>
      </c>
      <c r="B474" s="1">
        <v>44712</v>
      </c>
      <c r="C474" t="s">
        <v>14</v>
      </c>
      <c r="D474" t="s">
        <v>23</v>
      </c>
      <c r="E474">
        <v>11674.91</v>
      </c>
      <c r="F474">
        <v>3</v>
      </c>
      <c r="G474" t="s">
        <v>26</v>
      </c>
      <c r="H474">
        <v>2679.91</v>
      </c>
      <c r="I474">
        <v>5331.01</v>
      </c>
      <c r="J474" t="s">
        <v>17</v>
      </c>
      <c r="K474">
        <v>0.27</v>
      </c>
      <c r="L474" t="s">
        <v>28</v>
      </c>
      <c r="M474" t="s">
        <v>21</v>
      </c>
    </row>
    <row r="475" spans="1:13" x14ac:dyDescent="0.35">
      <c r="A475">
        <v>1069</v>
      </c>
      <c r="B475" s="1">
        <v>44712</v>
      </c>
      <c r="C475" t="s">
        <v>32</v>
      </c>
      <c r="D475" t="s">
        <v>23</v>
      </c>
      <c r="E475">
        <v>97625.1</v>
      </c>
      <c r="F475">
        <v>30</v>
      </c>
      <c r="G475" t="s">
        <v>26</v>
      </c>
      <c r="H475">
        <v>2886.08</v>
      </c>
      <c r="I475">
        <v>3254.17</v>
      </c>
      <c r="J475" t="s">
        <v>27</v>
      </c>
      <c r="K475">
        <v>0</v>
      </c>
      <c r="L475" t="s">
        <v>28</v>
      </c>
      <c r="M475" t="s">
        <v>21</v>
      </c>
    </row>
    <row r="476" spans="1:13" x14ac:dyDescent="0.35">
      <c r="A476">
        <v>1083</v>
      </c>
      <c r="B476" s="1">
        <v>44712</v>
      </c>
      <c r="C476" t="s">
        <v>14</v>
      </c>
      <c r="D476" t="s">
        <v>15</v>
      </c>
      <c r="E476">
        <v>135231.13</v>
      </c>
      <c r="F476">
        <v>29</v>
      </c>
      <c r="G476" t="s">
        <v>16</v>
      </c>
      <c r="H476">
        <v>4188.1899999999996</v>
      </c>
      <c r="I476">
        <v>4857.8500000000004</v>
      </c>
      <c r="J476" t="s">
        <v>17</v>
      </c>
      <c r="K476">
        <v>0.04</v>
      </c>
      <c r="L476" t="s">
        <v>28</v>
      </c>
      <c r="M476" t="s">
        <v>19</v>
      </c>
    </row>
    <row r="477" spans="1:13" x14ac:dyDescent="0.35">
      <c r="A477">
        <v>1015</v>
      </c>
      <c r="B477" s="1">
        <v>44712</v>
      </c>
      <c r="C477" t="s">
        <v>29</v>
      </c>
      <c r="D477" t="s">
        <v>15</v>
      </c>
      <c r="E477">
        <v>19009.88</v>
      </c>
      <c r="F477">
        <v>4</v>
      </c>
      <c r="G477" t="s">
        <v>31</v>
      </c>
      <c r="H477">
        <v>870.2</v>
      </c>
      <c r="I477">
        <v>4752.47</v>
      </c>
      <c r="J477" t="s">
        <v>27</v>
      </c>
      <c r="K477">
        <v>0</v>
      </c>
      <c r="L477" t="s">
        <v>18</v>
      </c>
      <c r="M477" t="s">
        <v>21</v>
      </c>
    </row>
    <row r="478" spans="1:13" x14ac:dyDescent="0.35">
      <c r="A478">
        <v>1078</v>
      </c>
      <c r="B478" s="1">
        <v>44712</v>
      </c>
      <c r="C478" t="s">
        <v>29</v>
      </c>
      <c r="D478" t="s">
        <v>20</v>
      </c>
      <c r="E478">
        <v>79356.100000000006</v>
      </c>
      <c r="F478">
        <v>38</v>
      </c>
      <c r="G478" t="s">
        <v>31</v>
      </c>
      <c r="H478">
        <v>1549.1</v>
      </c>
      <c r="I478">
        <v>2860.71</v>
      </c>
      <c r="J478" t="s">
        <v>27</v>
      </c>
      <c r="K478">
        <v>0.27</v>
      </c>
      <c r="L478" t="s">
        <v>28</v>
      </c>
      <c r="M478" t="s">
        <v>21</v>
      </c>
    </row>
    <row r="479" spans="1:13" x14ac:dyDescent="0.35">
      <c r="A479">
        <v>1078</v>
      </c>
      <c r="B479" s="1">
        <v>44712</v>
      </c>
      <c r="C479" t="s">
        <v>32</v>
      </c>
      <c r="D479" t="s">
        <v>15</v>
      </c>
      <c r="E479">
        <v>57633.57</v>
      </c>
      <c r="F479">
        <v>17</v>
      </c>
      <c r="G479" t="s">
        <v>31</v>
      </c>
      <c r="H479">
        <v>2057.7800000000002</v>
      </c>
      <c r="I479">
        <v>3766.9</v>
      </c>
      <c r="J479" t="s">
        <v>27</v>
      </c>
      <c r="K479">
        <v>0.1</v>
      </c>
      <c r="L479" t="s">
        <v>25</v>
      </c>
      <c r="M479" t="s">
        <v>21</v>
      </c>
    </row>
    <row r="480" spans="1:13" x14ac:dyDescent="0.35">
      <c r="A480">
        <v>1009</v>
      </c>
      <c r="B480" s="1">
        <v>44712</v>
      </c>
      <c r="C480" t="s">
        <v>22</v>
      </c>
      <c r="D480" t="s">
        <v>15</v>
      </c>
      <c r="E480">
        <v>143399.4</v>
      </c>
      <c r="F480">
        <v>38</v>
      </c>
      <c r="G480" t="s">
        <v>16</v>
      </c>
      <c r="H480">
        <v>2618.7600000000002</v>
      </c>
      <c r="I480">
        <v>4337.55</v>
      </c>
      <c r="J480" t="s">
        <v>27</v>
      </c>
      <c r="K480">
        <v>0.13</v>
      </c>
      <c r="L480" t="s">
        <v>18</v>
      </c>
      <c r="M480" t="s">
        <v>21</v>
      </c>
    </row>
    <row r="481" spans="1:13" x14ac:dyDescent="0.35">
      <c r="A481">
        <v>1039</v>
      </c>
      <c r="B481" s="1">
        <v>44712</v>
      </c>
      <c r="C481" t="s">
        <v>14</v>
      </c>
      <c r="D481" t="s">
        <v>15</v>
      </c>
      <c r="E481">
        <v>60685.06</v>
      </c>
      <c r="F481">
        <v>36</v>
      </c>
      <c r="G481" t="s">
        <v>26</v>
      </c>
      <c r="H481">
        <v>254.95</v>
      </c>
      <c r="I481">
        <v>2107.12</v>
      </c>
      <c r="J481" t="s">
        <v>27</v>
      </c>
      <c r="K481">
        <v>0.2</v>
      </c>
      <c r="L481" t="s">
        <v>25</v>
      </c>
      <c r="M481" t="s">
        <v>21</v>
      </c>
    </row>
    <row r="482" spans="1:13" x14ac:dyDescent="0.35">
      <c r="A482">
        <v>1077</v>
      </c>
      <c r="B482" s="1">
        <v>44713</v>
      </c>
      <c r="C482" t="s">
        <v>32</v>
      </c>
      <c r="D482" t="s">
        <v>30</v>
      </c>
      <c r="E482">
        <v>103084</v>
      </c>
      <c r="F482">
        <v>27</v>
      </c>
      <c r="G482" t="s">
        <v>26</v>
      </c>
      <c r="H482">
        <v>3787.84</v>
      </c>
      <c r="I482">
        <v>4545.1499999999996</v>
      </c>
      <c r="J482" t="s">
        <v>17</v>
      </c>
      <c r="K482">
        <v>0.16</v>
      </c>
      <c r="L482" t="s">
        <v>18</v>
      </c>
      <c r="M482" t="s">
        <v>21</v>
      </c>
    </row>
    <row r="483" spans="1:13" x14ac:dyDescent="0.35">
      <c r="A483">
        <v>1021</v>
      </c>
      <c r="B483" s="1">
        <v>44713</v>
      </c>
      <c r="C483" t="s">
        <v>29</v>
      </c>
      <c r="D483" t="s">
        <v>23</v>
      </c>
      <c r="E483">
        <v>15205.06</v>
      </c>
      <c r="F483">
        <v>4</v>
      </c>
      <c r="G483" t="s">
        <v>31</v>
      </c>
      <c r="H483">
        <v>3169.5</v>
      </c>
      <c r="I483">
        <v>4751.58</v>
      </c>
      <c r="J483" t="s">
        <v>17</v>
      </c>
      <c r="K483">
        <v>0.2</v>
      </c>
      <c r="L483" t="s">
        <v>18</v>
      </c>
      <c r="M483" t="s">
        <v>21</v>
      </c>
    </row>
    <row r="484" spans="1:13" x14ac:dyDescent="0.35">
      <c r="A484">
        <v>1025</v>
      </c>
      <c r="B484" s="1">
        <v>44713</v>
      </c>
      <c r="C484" t="s">
        <v>29</v>
      </c>
      <c r="D484" t="s">
        <v>23</v>
      </c>
      <c r="E484">
        <v>6046.72</v>
      </c>
      <c r="F484">
        <v>5</v>
      </c>
      <c r="G484" t="s">
        <v>16</v>
      </c>
      <c r="H484">
        <v>106.44</v>
      </c>
      <c r="I484">
        <v>1390.05</v>
      </c>
      <c r="J484" t="s">
        <v>27</v>
      </c>
      <c r="K484">
        <v>0.13</v>
      </c>
      <c r="L484" t="s">
        <v>28</v>
      </c>
      <c r="M484" t="s">
        <v>19</v>
      </c>
    </row>
    <row r="485" spans="1:13" x14ac:dyDescent="0.35">
      <c r="A485">
        <v>1088</v>
      </c>
      <c r="B485" s="1">
        <v>44713</v>
      </c>
      <c r="C485" t="s">
        <v>22</v>
      </c>
      <c r="D485" t="s">
        <v>23</v>
      </c>
      <c r="E485">
        <v>43780.84</v>
      </c>
      <c r="F485">
        <v>26</v>
      </c>
      <c r="G485" t="s">
        <v>16</v>
      </c>
      <c r="H485">
        <v>1115.1099999999999</v>
      </c>
      <c r="I485">
        <v>2338.7199999999998</v>
      </c>
      <c r="J485" t="s">
        <v>27</v>
      </c>
      <c r="K485">
        <v>0.28000000000000003</v>
      </c>
      <c r="L485" t="s">
        <v>18</v>
      </c>
      <c r="M485" t="s">
        <v>19</v>
      </c>
    </row>
    <row r="486" spans="1:13" x14ac:dyDescent="0.35">
      <c r="A486">
        <v>1071</v>
      </c>
      <c r="B486" s="1">
        <v>44713</v>
      </c>
      <c r="C486" t="s">
        <v>32</v>
      </c>
      <c r="D486" t="s">
        <v>30</v>
      </c>
      <c r="E486">
        <v>66186.27</v>
      </c>
      <c r="F486">
        <v>32</v>
      </c>
      <c r="G486" t="s">
        <v>26</v>
      </c>
      <c r="H486">
        <v>323.37</v>
      </c>
      <c r="I486">
        <v>2177.1799999999998</v>
      </c>
      <c r="J486" t="s">
        <v>27</v>
      </c>
      <c r="K486">
        <v>0.05</v>
      </c>
      <c r="L486" t="s">
        <v>18</v>
      </c>
      <c r="M486" t="s">
        <v>19</v>
      </c>
    </row>
    <row r="487" spans="1:13" x14ac:dyDescent="0.35">
      <c r="A487">
        <v>1056</v>
      </c>
      <c r="B487" s="1">
        <v>44714</v>
      </c>
      <c r="C487" t="s">
        <v>22</v>
      </c>
      <c r="D487" t="s">
        <v>23</v>
      </c>
      <c r="E487">
        <v>144053.28</v>
      </c>
      <c r="F487">
        <v>30</v>
      </c>
      <c r="G487" t="s">
        <v>16</v>
      </c>
      <c r="H487">
        <v>4509.8500000000004</v>
      </c>
      <c r="I487">
        <v>5006.25</v>
      </c>
      <c r="J487" t="s">
        <v>17</v>
      </c>
      <c r="K487">
        <v>0.04</v>
      </c>
      <c r="L487" t="s">
        <v>28</v>
      </c>
      <c r="M487" t="s">
        <v>21</v>
      </c>
    </row>
    <row r="488" spans="1:13" x14ac:dyDescent="0.35">
      <c r="A488">
        <v>1073</v>
      </c>
      <c r="B488" s="1">
        <v>44714</v>
      </c>
      <c r="C488" t="s">
        <v>14</v>
      </c>
      <c r="D488" t="s">
        <v>15</v>
      </c>
      <c r="E488">
        <v>117823.57</v>
      </c>
      <c r="F488">
        <v>36</v>
      </c>
      <c r="G488" t="s">
        <v>16</v>
      </c>
      <c r="H488">
        <v>3022.98</v>
      </c>
      <c r="I488">
        <v>3374.1</v>
      </c>
      <c r="J488" t="s">
        <v>27</v>
      </c>
      <c r="K488">
        <v>0.03</v>
      </c>
      <c r="L488" t="s">
        <v>28</v>
      </c>
      <c r="M488" t="s">
        <v>19</v>
      </c>
    </row>
    <row r="489" spans="1:13" x14ac:dyDescent="0.35">
      <c r="A489">
        <v>1026</v>
      </c>
      <c r="B489" s="1">
        <v>44714</v>
      </c>
      <c r="C489" t="s">
        <v>22</v>
      </c>
      <c r="D489" t="s">
        <v>15</v>
      </c>
      <c r="E489">
        <v>170314.27</v>
      </c>
      <c r="F489">
        <v>42</v>
      </c>
      <c r="G489" t="s">
        <v>26</v>
      </c>
      <c r="H489">
        <v>3449.47</v>
      </c>
      <c r="I489">
        <v>5133.04</v>
      </c>
      <c r="J489" t="s">
        <v>27</v>
      </c>
      <c r="K489">
        <v>0.21</v>
      </c>
      <c r="L489" t="s">
        <v>25</v>
      </c>
      <c r="M489" t="s">
        <v>19</v>
      </c>
    </row>
    <row r="490" spans="1:13" x14ac:dyDescent="0.35">
      <c r="A490">
        <v>1048</v>
      </c>
      <c r="B490" s="1">
        <v>44714</v>
      </c>
      <c r="C490" t="s">
        <v>14</v>
      </c>
      <c r="D490" t="s">
        <v>20</v>
      </c>
      <c r="E490">
        <v>49818.05</v>
      </c>
      <c r="F490">
        <v>11</v>
      </c>
      <c r="G490" t="s">
        <v>16</v>
      </c>
      <c r="H490">
        <v>1180.83</v>
      </c>
      <c r="I490">
        <v>4869.8</v>
      </c>
      <c r="J490" t="s">
        <v>27</v>
      </c>
      <c r="K490">
        <v>7.0000000000000007E-2</v>
      </c>
      <c r="L490" t="s">
        <v>25</v>
      </c>
      <c r="M490" t="s">
        <v>19</v>
      </c>
    </row>
    <row r="491" spans="1:13" x14ac:dyDescent="0.35">
      <c r="A491">
        <v>1085</v>
      </c>
      <c r="B491" s="1">
        <v>44714</v>
      </c>
      <c r="C491" t="s">
        <v>32</v>
      </c>
      <c r="D491" t="s">
        <v>20</v>
      </c>
      <c r="E491">
        <v>70726.73</v>
      </c>
      <c r="F491">
        <v>24</v>
      </c>
      <c r="G491" t="s">
        <v>24</v>
      </c>
      <c r="H491">
        <v>325.35000000000002</v>
      </c>
      <c r="I491">
        <v>3135.05</v>
      </c>
      <c r="J491" t="s">
        <v>27</v>
      </c>
      <c r="K491">
        <v>0.06</v>
      </c>
      <c r="L491" t="s">
        <v>25</v>
      </c>
      <c r="M491" t="s">
        <v>21</v>
      </c>
    </row>
    <row r="492" spans="1:13" x14ac:dyDescent="0.35">
      <c r="A492">
        <v>1085</v>
      </c>
      <c r="B492" s="1">
        <v>44714</v>
      </c>
      <c r="C492" t="s">
        <v>33</v>
      </c>
      <c r="D492" t="s">
        <v>20</v>
      </c>
      <c r="E492">
        <v>95151.86</v>
      </c>
      <c r="F492">
        <v>35</v>
      </c>
      <c r="G492" t="s">
        <v>26</v>
      </c>
      <c r="H492">
        <v>495.98</v>
      </c>
      <c r="I492">
        <v>2861.71</v>
      </c>
      <c r="J492" t="s">
        <v>27</v>
      </c>
      <c r="K492">
        <v>0.05</v>
      </c>
      <c r="L492" t="s">
        <v>25</v>
      </c>
      <c r="M492" t="s">
        <v>19</v>
      </c>
    </row>
    <row r="493" spans="1:13" x14ac:dyDescent="0.35">
      <c r="A493">
        <v>1011</v>
      </c>
      <c r="B493" s="1">
        <v>44715</v>
      </c>
      <c r="C493" t="s">
        <v>14</v>
      </c>
      <c r="D493" t="s">
        <v>15</v>
      </c>
      <c r="E493">
        <v>29699.16</v>
      </c>
      <c r="F493">
        <v>12</v>
      </c>
      <c r="G493" t="s">
        <v>31</v>
      </c>
      <c r="H493">
        <v>2207.2399999999998</v>
      </c>
      <c r="I493">
        <v>3344.5</v>
      </c>
      <c r="J493" t="s">
        <v>27</v>
      </c>
      <c r="K493">
        <v>0.26</v>
      </c>
      <c r="L493" t="s">
        <v>25</v>
      </c>
      <c r="M493" t="s">
        <v>19</v>
      </c>
    </row>
    <row r="494" spans="1:13" x14ac:dyDescent="0.35">
      <c r="A494">
        <v>1054</v>
      </c>
      <c r="B494" s="1">
        <v>44715</v>
      </c>
      <c r="C494" t="s">
        <v>14</v>
      </c>
      <c r="D494" t="s">
        <v>20</v>
      </c>
      <c r="E494">
        <v>5359.59</v>
      </c>
      <c r="F494">
        <v>5</v>
      </c>
      <c r="G494" t="s">
        <v>26</v>
      </c>
      <c r="H494">
        <v>246.24</v>
      </c>
      <c r="I494">
        <v>1105.07</v>
      </c>
      <c r="J494" t="s">
        <v>27</v>
      </c>
      <c r="K494">
        <v>0.03</v>
      </c>
      <c r="L494" t="s">
        <v>28</v>
      </c>
      <c r="M494" t="s">
        <v>19</v>
      </c>
    </row>
    <row r="495" spans="1:13" x14ac:dyDescent="0.35">
      <c r="A495">
        <v>1027</v>
      </c>
      <c r="B495" s="1">
        <v>44715</v>
      </c>
      <c r="C495" t="s">
        <v>14</v>
      </c>
      <c r="D495" t="s">
        <v>30</v>
      </c>
      <c r="E495">
        <v>129578.41</v>
      </c>
      <c r="F495">
        <v>30</v>
      </c>
      <c r="G495" t="s">
        <v>24</v>
      </c>
      <c r="H495">
        <v>3920.43</v>
      </c>
      <c r="I495">
        <v>4694.87</v>
      </c>
      <c r="J495" t="s">
        <v>27</v>
      </c>
      <c r="K495">
        <v>0.08</v>
      </c>
      <c r="L495" t="s">
        <v>25</v>
      </c>
      <c r="M495" t="s">
        <v>21</v>
      </c>
    </row>
    <row r="496" spans="1:13" x14ac:dyDescent="0.35">
      <c r="A496">
        <v>1051</v>
      </c>
      <c r="B496" s="1">
        <v>44715</v>
      </c>
      <c r="C496" t="s">
        <v>32</v>
      </c>
      <c r="D496" t="s">
        <v>30</v>
      </c>
      <c r="E496">
        <v>132998.62</v>
      </c>
      <c r="F496">
        <v>48</v>
      </c>
      <c r="G496" t="s">
        <v>31</v>
      </c>
      <c r="H496">
        <v>1017.56</v>
      </c>
      <c r="I496">
        <v>3379.03</v>
      </c>
      <c r="J496" t="s">
        <v>17</v>
      </c>
      <c r="K496">
        <v>0.18</v>
      </c>
      <c r="L496" t="s">
        <v>25</v>
      </c>
      <c r="M496" t="s">
        <v>21</v>
      </c>
    </row>
    <row r="497" spans="1:13" x14ac:dyDescent="0.35">
      <c r="A497">
        <v>1062</v>
      </c>
      <c r="B497" s="1">
        <v>44716</v>
      </c>
      <c r="C497" t="s">
        <v>22</v>
      </c>
      <c r="D497" t="s">
        <v>23</v>
      </c>
      <c r="E497">
        <v>1194.4000000000001</v>
      </c>
      <c r="F497">
        <v>4</v>
      </c>
      <c r="G497" t="s">
        <v>24</v>
      </c>
      <c r="H497">
        <v>96.57</v>
      </c>
      <c r="I497">
        <v>409.04</v>
      </c>
      <c r="J497" t="s">
        <v>17</v>
      </c>
      <c r="K497">
        <v>0.27</v>
      </c>
      <c r="L497" t="s">
        <v>18</v>
      </c>
      <c r="M497" t="s">
        <v>21</v>
      </c>
    </row>
    <row r="498" spans="1:13" x14ac:dyDescent="0.35">
      <c r="A498">
        <v>1082</v>
      </c>
      <c r="B498" s="1">
        <v>44716</v>
      </c>
      <c r="C498" t="s">
        <v>22</v>
      </c>
      <c r="D498" t="s">
        <v>23</v>
      </c>
      <c r="E498">
        <v>47139.86</v>
      </c>
      <c r="F498">
        <v>30</v>
      </c>
      <c r="G498" t="s">
        <v>26</v>
      </c>
      <c r="H498">
        <v>1222.82</v>
      </c>
      <c r="I498">
        <v>1654.03</v>
      </c>
      <c r="J498" t="s">
        <v>27</v>
      </c>
      <c r="K498">
        <v>0.05</v>
      </c>
      <c r="L498" t="s">
        <v>18</v>
      </c>
      <c r="M498" t="s">
        <v>19</v>
      </c>
    </row>
    <row r="499" spans="1:13" x14ac:dyDescent="0.35">
      <c r="A499">
        <v>1059</v>
      </c>
      <c r="B499" s="1">
        <v>44716</v>
      </c>
      <c r="C499" t="s">
        <v>29</v>
      </c>
      <c r="D499" t="s">
        <v>15</v>
      </c>
      <c r="E499">
        <v>43575.839999999997</v>
      </c>
      <c r="F499">
        <v>25</v>
      </c>
      <c r="G499" t="s">
        <v>16</v>
      </c>
      <c r="H499">
        <v>699.47</v>
      </c>
      <c r="I499">
        <v>2420.88</v>
      </c>
      <c r="J499" t="s">
        <v>17</v>
      </c>
      <c r="K499">
        <v>0.28000000000000003</v>
      </c>
      <c r="L499" t="s">
        <v>25</v>
      </c>
      <c r="M499" t="s">
        <v>21</v>
      </c>
    </row>
    <row r="500" spans="1:13" x14ac:dyDescent="0.35">
      <c r="A500">
        <v>1075</v>
      </c>
      <c r="B500" s="1">
        <v>44716</v>
      </c>
      <c r="C500" t="s">
        <v>14</v>
      </c>
      <c r="D500" t="s">
        <v>23</v>
      </c>
      <c r="E500">
        <v>69054.8</v>
      </c>
      <c r="F500">
        <v>33</v>
      </c>
      <c r="G500" t="s">
        <v>24</v>
      </c>
      <c r="H500">
        <v>1292.5999999999999</v>
      </c>
      <c r="I500">
        <v>2179.7600000000002</v>
      </c>
      <c r="J500" t="s">
        <v>27</v>
      </c>
      <c r="K500">
        <v>0.04</v>
      </c>
      <c r="L500" t="s">
        <v>25</v>
      </c>
      <c r="M500" t="s">
        <v>21</v>
      </c>
    </row>
    <row r="501" spans="1:13" x14ac:dyDescent="0.35">
      <c r="A501">
        <v>1020</v>
      </c>
      <c r="B501" s="1">
        <v>44718</v>
      </c>
      <c r="C501" t="s">
        <v>33</v>
      </c>
      <c r="D501" t="s">
        <v>30</v>
      </c>
      <c r="E501">
        <v>42109.64</v>
      </c>
      <c r="F501">
        <v>33</v>
      </c>
      <c r="G501" t="s">
        <v>31</v>
      </c>
      <c r="H501">
        <v>1139.1300000000001</v>
      </c>
      <c r="I501">
        <v>1299.82</v>
      </c>
      <c r="J501" t="s">
        <v>27</v>
      </c>
      <c r="K501">
        <v>0.02</v>
      </c>
      <c r="L501" t="s">
        <v>18</v>
      </c>
      <c r="M501" t="s">
        <v>21</v>
      </c>
    </row>
    <row r="502" spans="1:13" x14ac:dyDescent="0.35">
      <c r="A502">
        <v>1058</v>
      </c>
      <c r="B502" s="1">
        <v>44718</v>
      </c>
      <c r="C502" t="s">
        <v>32</v>
      </c>
      <c r="D502" t="s">
        <v>23</v>
      </c>
      <c r="E502">
        <v>71233.490000000005</v>
      </c>
      <c r="F502">
        <v>20</v>
      </c>
      <c r="G502" t="s">
        <v>31</v>
      </c>
      <c r="H502">
        <v>1986.18</v>
      </c>
      <c r="I502">
        <v>4946.7700000000004</v>
      </c>
      <c r="J502" t="s">
        <v>27</v>
      </c>
      <c r="K502">
        <v>0.28000000000000003</v>
      </c>
      <c r="L502" t="s">
        <v>28</v>
      </c>
      <c r="M502" t="s">
        <v>19</v>
      </c>
    </row>
    <row r="503" spans="1:13" x14ac:dyDescent="0.35">
      <c r="A503">
        <v>1058</v>
      </c>
      <c r="B503" s="1">
        <v>44718</v>
      </c>
      <c r="C503" t="s">
        <v>33</v>
      </c>
      <c r="D503" t="s">
        <v>15</v>
      </c>
      <c r="E503">
        <v>81277.14</v>
      </c>
      <c r="F503">
        <v>29</v>
      </c>
      <c r="G503" t="s">
        <v>31</v>
      </c>
      <c r="H503">
        <v>980.43</v>
      </c>
      <c r="I503">
        <v>4003.8</v>
      </c>
      <c r="J503" t="s">
        <v>27</v>
      </c>
      <c r="K503">
        <v>0.3</v>
      </c>
      <c r="L503" t="s">
        <v>25</v>
      </c>
      <c r="M503" t="s">
        <v>21</v>
      </c>
    </row>
    <row r="504" spans="1:13" x14ac:dyDescent="0.35">
      <c r="A504">
        <v>1049</v>
      </c>
      <c r="B504" s="1">
        <v>44718</v>
      </c>
      <c r="C504" t="s">
        <v>33</v>
      </c>
      <c r="D504" t="s">
        <v>20</v>
      </c>
      <c r="E504">
        <v>109605.42</v>
      </c>
      <c r="F504">
        <v>38</v>
      </c>
      <c r="G504" t="s">
        <v>31</v>
      </c>
      <c r="H504">
        <v>675.13</v>
      </c>
      <c r="I504">
        <v>3651.08</v>
      </c>
      <c r="J504" t="s">
        <v>17</v>
      </c>
      <c r="K504">
        <v>0.21</v>
      </c>
      <c r="L504" t="s">
        <v>28</v>
      </c>
      <c r="M504" t="s">
        <v>21</v>
      </c>
    </row>
    <row r="505" spans="1:13" x14ac:dyDescent="0.35">
      <c r="A505">
        <v>1033</v>
      </c>
      <c r="B505" s="1">
        <v>44719</v>
      </c>
      <c r="C505" t="s">
        <v>22</v>
      </c>
      <c r="D505" t="s">
        <v>20</v>
      </c>
      <c r="E505">
        <v>47626.84</v>
      </c>
      <c r="F505">
        <v>28</v>
      </c>
      <c r="G505" t="s">
        <v>16</v>
      </c>
      <c r="H505">
        <v>1649.45</v>
      </c>
      <c r="I505">
        <v>2330.08</v>
      </c>
      <c r="J505" t="s">
        <v>27</v>
      </c>
      <c r="K505">
        <v>0.27</v>
      </c>
      <c r="L505" t="s">
        <v>28</v>
      </c>
      <c r="M505" t="s">
        <v>21</v>
      </c>
    </row>
    <row r="506" spans="1:13" x14ac:dyDescent="0.35">
      <c r="A506">
        <v>1091</v>
      </c>
      <c r="B506" s="1">
        <v>44719</v>
      </c>
      <c r="C506" t="s">
        <v>32</v>
      </c>
      <c r="D506" t="s">
        <v>20</v>
      </c>
      <c r="E506">
        <v>11312.69</v>
      </c>
      <c r="F506">
        <v>5</v>
      </c>
      <c r="G506" t="s">
        <v>26</v>
      </c>
      <c r="H506">
        <v>1722.77</v>
      </c>
      <c r="I506">
        <v>2307.75</v>
      </c>
      <c r="J506" t="s">
        <v>27</v>
      </c>
      <c r="K506">
        <v>0.02</v>
      </c>
      <c r="L506" t="s">
        <v>25</v>
      </c>
      <c r="M506" t="s">
        <v>21</v>
      </c>
    </row>
    <row r="507" spans="1:13" x14ac:dyDescent="0.35">
      <c r="A507">
        <v>1015</v>
      </c>
      <c r="B507" s="1">
        <v>44719</v>
      </c>
      <c r="C507" t="s">
        <v>22</v>
      </c>
      <c r="D507" t="s">
        <v>15</v>
      </c>
      <c r="E507">
        <v>22541.87</v>
      </c>
      <c r="F507">
        <v>6</v>
      </c>
      <c r="G507" t="s">
        <v>24</v>
      </c>
      <c r="H507">
        <v>892.28</v>
      </c>
      <c r="I507">
        <v>4526.4799999999996</v>
      </c>
      <c r="J507" t="s">
        <v>27</v>
      </c>
      <c r="K507">
        <v>0.17</v>
      </c>
      <c r="L507" t="s">
        <v>28</v>
      </c>
      <c r="M507" t="s">
        <v>21</v>
      </c>
    </row>
    <row r="508" spans="1:13" x14ac:dyDescent="0.35">
      <c r="A508">
        <v>1076</v>
      </c>
      <c r="B508" s="1">
        <v>44719</v>
      </c>
      <c r="C508" t="s">
        <v>33</v>
      </c>
      <c r="D508" t="s">
        <v>23</v>
      </c>
      <c r="E508">
        <v>230000.86</v>
      </c>
      <c r="F508">
        <v>46</v>
      </c>
      <c r="G508" t="s">
        <v>31</v>
      </c>
      <c r="H508">
        <v>4468.84</v>
      </c>
      <c r="I508">
        <v>5040.13</v>
      </c>
      <c r="J508" t="s">
        <v>27</v>
      </c>
      <c r="K508">
        <v>0.01</v>
      </c>
      <c r="L508" t="s">
        <v>25</v>
      </c>
      <c r="M508" t="s">
        <v>21</v>
      </c>
    </row>
    <row r="509" spans="1:13" x14ac:dyDescent="0.35">
      <c r="A509">
        <v>1014</v>
      </c>
      <c r="B509" s="1">
        <v>44719</v>
      </c>
      <c r="C509" t="s">
        <v>33</v>
      </c>
      <c r="D509" t="s">
        <v>15</v>
      </c>
      <c r="E509">
        <v>79970.5</v>
      </c>
      <c r="F509">
        <v>40</v>
      </c>
      <c r="G509" t="s">
        <v>26</v>
      </c>
      <c r="H509">
        <v>569.72</v>
      </c>
      <c r="I509">
        <v>2408.75</v>
      </c>
      <c r="J509" t="s">
        <v>27</v>
      </c>
      <c r="K509">
        <v>0.17</v>
      </c>
      <c r="L509" t="s">
        <v>18</v>
      </c>
      <c r="M509" t="s">
        <v>21</v>
      </c>
    </row>
    <row r="510" spans="1:13" x14ac:dyDescent="0.35">
      <c r="A510">
        <v>1006</v>
      </c>
      <c r="B510" s="1">
        <v>44720</v>
      </c>
      <c r="C510" t="s">
        <v>33</v>
      </c>
      <c r="D510" t="s">
        <v>20</v>
      </c>
      <c r="E510">
        <v>127994.08</v>
      </c>
      <c r="F510">
        <v>47</v>
      </c>
      <c r="G510" t="s">
        <v>24</v>
      </c>
      <c r="H510">
        <v>2523.2199999999998</v>
      </c>
      <c r="I510">
        <v>2742.59</v>
      </c>
      <c r="J510" t="s">
        <v>27</v>
      </c>
      <c r="K510">
        <v>0.01</v>
      </c>
      <c r="L510" t="s">
        <v>18</v>
      </c>
      <c r="M510" t="s">
        <v>19</v>
      </c>
    </row>
    <row r="511" spans="1:13" x14ac:dyDescent="0.35">
      <c r="A511">
        <v>1057</v>
      </c>
      <c r="B511" s="1">
        <v>44720</v>
      </c>
      <c r="C511" t="s">
        <v>32</v>
      </c>
      <c r="D511" t="s">
        <v>15</v>
      </c>
      <c r="E511">
        <v>57501.3</v>
      </c>
      <c r="F511">
        <v>15</v>
      </c>
      <c r="G511" t="s">
        <v>16</v>
      </c>
      <c r="H511">
        <v>410.62</v>
      </c>
      <c r="I511">
        <v>3833.42</v>
      </c>
      <c r="J511" t="s">
        <v>27</v>
      </c>
      <c r="K511">
        <v>0</v>
      </c>
      <c r="L511" t="s">
        <v>18</v>
      </c>
      <c r="M511" t="s">
        <v>21</v>
      </c>
    </row>
    <row r="512" spans="1:13" x14ac:dyDescent="0.35">
      <c r="A512">
        <v>1057</v>
      </c>
      <c r="B512" s="1">
        <v>44720</v>
      </c>
      <c r="C512" t="s">
        <v>33</v>
      </c>
      <c r="D512" t="s">
        <v>20</v>
      </c>
      <c r="E512">
        <v>130331.56</v>
      </c>
      <c r="F512">
        <v>38</v>
      </c>
      <c r="G512" t="s">
        <v>16</v>
      </c>
      <c r="H512">
        <v>970.59</v>
      </c>
      <c r="I512">
        <v>3648.7</v>
      </c>
      <c r="J512" t="s">
        <v>27</v>
      </c>
      <c r="K512">
        <v>0.06</v>
      </c>
      <c r="L512" t="s">
        <v>25</v>
      </c>
      <c r="M512" t="s">
        <v>19</v>
      </c>
    </row>
    <row r="513" spans="1:13" x14ac:dyDescent="0.35">
      <c r="A513">
        <v>1046</v>
      </c>
      <c r="B513" s="1">
        <v>44721</v>
      </c>
      <c r="C513" t="s">
        <v>32</v>
      </c>
      <c r="D513" t="s">
        <v>20</v>
      </c>
      <c r="E513">
        <v>16260.82</v>
      </c>
      <c r="F513">
        <v>8</v>
      </c>
      <c r="G513" t="s">
        <v>26</v>
      </c>
      <c r="H513">
        <v>2002.12</v>
      </c>
      <c r="I513">
        <v>2128.4899999999998</v>
      </c>
      <c r="J513" t="s">
        <v>27</v>
      </c>
      <c r="K513">
        <v>0.05</v>
      </c>
      <c r="L513" t="s">
        <v>28</v>
      </c>
      <c r="M513" t="s">
        <v>21</v>
      </c>
    </row>
    <row r="514" spans="1:13" x14ac:dyDescent="0.35">
      <c r="A514">
        <v>1044</v>
      </c>
      <c r="B514" s="1">
        <v>44721</v>
      </c>
      <c r="C514" t="s">
        <v>32</v>
      </c>
      <c r="D514" t="s">
        <v>20</v>
      </c>
      <c r="E514">
        <v>30774.31</v>
      </c>
      <c r="F514">
        <v>11</v>
      </c>
      <c r="G514" t="s">
        <v>26</v>
      </c>
      <c r="H514">
        <v>2317.96</v>
      </c>
      <c r="I514">
        <v>2854.76</v>
      </c>
      <c r="J514" t="s">
        <v>27</v>
      </c>
      <c r="K514">
        <v>0.02</v>
      </c>
      <c r="L514" t="s">
        <v>25</v>
      </c>
      <c r="M514" t="s">
        <v>19</v>
      </c>
    </row>
    <row r="515" spans="1:13" x14ac:dyDescent="0.35">
      <c r="A515">
        <v>1033</v>
      </c>
      <c r="B515" s="1">
        <v>44721</v>
      </c>
      <c r="C515" t="s">
        <v>14</v>
      </c>
      <c r="D515" t="s">
        <v>23</v>
      </c>
      <c r="E515">
        <v>119320</v>
      </c>
      <c r="F515">
        <v>27</v>
      </c>
      <c r="G515" t="s">
        <v>31</v>
      </c>
      <c r="H515">
        <v>3365.06</v>
      </c>
      <c r="I515">
        <v>4965.46</v>
      </c>
      <c r="J515" t="s">
        <v>17</v>
      </c>
      <c r="K515">
        <v>0.11</v>
      </c>
      <c r="L515" t="s">
        <v>18</v>
      </c>
      <c r="M515" t="s">
        <v>21</v>
      </c>
    </row>
    <row r="516" spans="1:13" x14ac:dyDescent="0.35">
      <c r="A516">
        <v>1068</v>
      </c>
      <c r="B516" s="1">
        <v>44721</v>
      </c>
      <c r="C516" t="s">
        <v>22</v>
      </c>
      <c r="D516" t="s">
        <v>20</v>
      </c>
      <c r="E516">
        <v>79988.149999999994</v>
      </c>
      <c r="F516">
        <v>49</v>
      </c>
      <c r="G516" t="s">
        <v>26</v>
      </c>
      <c r="H516">
        <v>458.82</v>
      </c>
      <c r="I516">
        <v>1834.17</v>
      </c>
      <c r="J516" t="s">
        <v>17</v>
      </c>
      <c r="K516">
        <v>0.11</v>
      </c>
      <c r="L516" t="s">
        <v>28</v>
      </c>
      <c r="M516" t="s">
        <v>19</v>
      </c>
    </row>
    <row r="517" spans="1:13" x14ac:dyDescent="0.35">
      <c r="A517">
        <v>1021</v>
      </c>
      <c r="B517" s="1">
        <v>44722</v>
      </c>
      <c r="C517" t="s">
        <v>22</v>
      </c>
      <c r="D517" t="s">
        <v>15</v>
      </c>
      <c r="E517">
        <v>86264.01</v>
      </c>
      <c r="F517">
        <v>28</v>
      </c>
      <c r="G517" t="s">
        <v>26</v>
      </c>
      <c r="H517">
        <v>2854.46</v>
      </c>
      <c r="I517">
        <v>4053.76</v>
      </c>
      <c r="J517" t="s">
        <v>27</v>
      </c>
      <c r="K517">
        <v>0.24</v>
      </c>
      <c r="L517" t="s">
        <v>18</v>
      </c>
      <c r="M517" t="s">
        <v>19</v>
      </c>
    </row>
    <row r="518" spans="1:13" x14ac:dyDescent="0.35">
      <c r="A518">
        <v>1046</v>
      </c>
      <c r="B518" s="1">
        <v>44722</v>
      </c>
      <c r="C518" t="s">
        <v>29</v>
      </c>
      <c r="D518" t="s">
        <v>30</v>
      </c>
      <c r="E518">
        <v>143405.4</v>
      </c>
      <c r="F518">
        <v>37</v>
      </c>
      <c r="G518" t="s">
        <v>31</v>
      </c>
      <c r="H518">
        <v>1710.87</v>
      </c>
      <c r="I518">
        <v>3954.92</v>
      </c>
      <c r="J518" t="s">
        <v>27</v>
      </c>
      <c r="K518">
        <v>0.02</v>
      </c>
      <c r="L518" t="s">
        <v>28</v>
      </c>
      <c r="M518" t="s">
        <v>21</v>
      </c>
    </row>
    <row r="519" spans="1:13" x14ac:dyDescent="0.35">
      <c r="A519">
        <v>1008</v>
      </c>
      <c r="B519" s="1">
        <v>44723</v>
      </c>
      <c r="C519" t="s">
        <v>32</v>
      </c>
      <c r="D519" t="s">
        <v>30</v>
      </c>
      <c r="E519">
        <v>3557.5</v>
      </c>
      <c r="F519">
        <v>1</v>
      </c>
      <c r="G519" t="s">
        <v>31</v>
      </c>
      <c r="H519">
        <v>311.70999999999998</v>
      </c>
      <c r="I519">
        <v>4503.17</v>
      </c>
      <c r="J519" t="s">
        <v>27</v>
      </c>
      <c r="K519">
        <v>0.21</v>
      </c>
      <c r="L519" t="s">
        <v>25</v>
      </c>
      <c r="M519" t="s">
        <v>19</v>
      </c>
    </row>
    <row r="520" spans="1:13" x14ac:dyDescent="0.35">
      <c r="A520">
        <v>1039</v>
      </c>
      <c r="B520" s="1">
        <v>44723</v>
      </c>
      <c r="C520" t="s">
        <v>14</v>
      </c>
      <c r="D520" t="s">
        <v>15</v>
      </c>
      <c r="E520">
        <v>198268.88</v>
      </c>
      <c r="F520">
        <v>45</v>
      </c>
      <c r="G520" t="s">
        <v>31</v>
      </c>
      <c r="H520">
        <v>3538.37</v>
      </c>
      <c r="I520">
        <v>5006.79</v>
      </c>
      <c r="J520" t="s">
        <v>17</v>
      </c>
      <c r="K520">
        <v>0.12</v>
      </c>
      <c r="L520" t="s">
        <v>28</v>
      </c>
      <c r="M520" t="s">
        <v>19</v>
      </c>
    </row>
    <row r="521" spans="1:13" x14ac:dyDescent="0.35">
      <c r="A521">
        <v>1057</v>
      </c>
      <c r="B521" s="1">
        <v>44724</v>
      </c>
      <c r="C521" t="s">
        <v>14</v>
      </c>
      <c r="D521" t="s">
        <v>15</v>
      </c>
      <c r="E521">
        <v>132241.47</v>
      </c>
      <c r="F521">
        <v>30</v>
      </c>
      <c r="G521" t="s">
        <v>26</v>
      </c>
      <c r="H521">
        <v>3613.6</v>
      </c>
      <c r="I521">
        <v>4580.12</v>
      </c>
      <c r="J521" t="s">
        <v>17</v>
      </c>
      <c r="K521">
        <v>0.04</v>
      </c>
      <c r="L521" t="s">
        <v>25</v>
      </c>
      <c r="M521" t="s">
        <v>21</v>
      </c>
    </row>
    <row r="522" spans="1:13" x14ac:dyDescent="0.35">
      <c r="A522">
        <v>1033</v>
      </c>
      <c r="B522" s="1">
        <v>44724</v>
      </c>
      <c r="C522" t="s">
        <v>29</v>
      </c>
      <c r="D522" t="s">
        <v>23</v>
      </c>
      <c r="E522">
        <v>132518.66</v>
      </c>
      <c r="F522">
        <v>34</v>
      </c>
      <c r="G522" t="s">
        <v>26</v>
      </c>
      <c r="H522">
        <v>289.55</v>
      </c>
      <c r="I522">
        <v>4236.53</v>
      </c>
      <c r="J522" t="s">
        <v>27</v>
      </c>
      <c r="K522">
        <v>0.08</v>
      </c>
      <c r="L522" t="s">
        <v>28</v>
      </c>
      <c r="M522" t="s">
        <v>21</v>
      </c>
    </row>
    <row r="523" spans="1:13" x14ac:dyDescent="0.35">
      <c r="A523">
        <v>1095</v>
      </c>
      <c r="B523" s="1">
        <v>44724</v>
      </c>
      <c r="C523" t="s">
        <v>33</v>
      </c>
      <c r="D523" t="s">
        <v>20</v>
      </c>
      <c r="E523">
        <v>151029.62</v>
      </c>
      <c r="F523">
        <v>37</v>
      </c>
      <c r="G523" t="s">
        <v>16</v>
      </c>
      <c r="H523">
        <v>763.34</v>
      </c>
      <c r="I523">
        <v>5039.3599999999997</v>
      </c>
      <c r="J523" t="s">
        <v>27</v>
      </c>
      <c r="K523">
        <v>0.19</v>
      </c>
      <c r="L523" t="s">
        <v>28</v>
      </c>
      <c r="M523" t="s">
        <v>19</v>
      </c>
    </row>
    <row r="524" spans="1:13" x14ac:dyDescent="0.35">
      <c r="A524">
        <v>1079</v>
      </c>
      <c r="B524" s="1">
        <v>44725</v>
      </c>
      <c r="C524" t="s">
        <v>14</v>
      </c>
      <c r="D524" t="s">
        <v>30</v>
      </c>
      <c r="E524">
        <v>45944.69</v>
      </c>
      <c r="F524">
        <v>12</v>
      </c>
      <c r="G524" t="s">
        <v>16</v>
      </c>
      <c r="H524">
        <v>3750.73</v>
      </c>
      <c r="I524">
        <v>4000.79</v>
      </c>
      <c r="J524" t="s">
        <v>17</v>
      </c>
      <c r="K524">
        <v>0.04</v>
      </c>
      <c r="L524" t="s">
        <v>18</v>
      </c>
      <c r="M524" t="s">
        <v>19</v>
      </c>
    </row>
    <row r="525" spans="1:13" x14ac:dyDescent="0.35">
      <c r="A525">
        <v>1002</v>
      </c>
      <c r="B525" s="1">
        <v>44725</v>
      </c>
      <c r="C525" t="s">
        <v>14</v>
      </c>
      <c r="D525" t="s">
        <v>23</v>
      </c>
      <c r="E525">
        <v>101181.02</v>
      </c>
      <c r="F525">
        <v>28</v>
      </c>
      <c r="G525" t="s">
        <v>16</v>
      </c>
      <c r="H525">
        <v>3373.53</v>
      </c>
      <c r="I525">
        <v>4015.12</v>
      </c>
      <c r="J525" t="s">
        <v>27</v>
      </c>
      <c r="K525">
        <v>0.1</v>
      </c>
      <c r="L525" t="s">
        <v>25</v>
      </c>
      <c r="M525" t="s">
        <v>19</v>
      </c>
    </row>
    <row r="526" spans="1:13" x14ac:dyDescent="0.35">
      <c r="A526">
        <v>1046</v>
      </c>
      <c r="B526" s="1">
        <v>44725</v>
      </c>
      <c r="C526" t="s">
        <v>32</v>
      </c>
      <c r="D526" t="s">
        <v>23</v>
      </c>
      <c r="E526">
        <v>131377.64000000001</v>
      </c>
      <c r="F526">
        <v>30</v>
      </c>
      <c r="G526" t="s">
        <v>24</v>
      </c>
      <c r="H526">
        <v>3591.93</v>
      </c>
      <c r="I526">
        <v>4424.91</v>
      </c>
      <c r="J526" t="s">
        <v>17</v>
      </c>
      <c r="K526">
        <v>0.01</v>
      </c>
      <c r="L526" t="s">
        <v>18</v>
      </c>
      <c r="M526" t="s">
        <v>19</v>
      </c>
    </row>
    <row r="527" spans="1:13" x14ac:dyDescent="0.35">
      <c r="A527">
        <v>1098</v>
      </c>
      <c r="B527" s="1">
        <v>44725</v>
      </c>
      <c r="C527" t="s">
        <v>33</v>
      </c>
      <c r="D527" t="s">
        <v>15</v>
      </c>
      <c r="E527">
        <v>50250.96</v>
      </c>
      <c r="F527">
        <v>42</v>
      </c>
      <c r="G527" t="s">
        <v>26</v>
      </c>
      <c r="H527">
        <v>363.96</v>
      </c>
      <c r="I527">
        <v>1407.59</v>
      </c>
      <c r="J527" t="s">
        <v>27</v>
      </c>
      <c r="K527">
        <v>0.15</v>
      </c>
      <c r="L527" t="s">
        <v>18</v>
      </c>
      <c r="M527" t="s">
        <v>19</v>
      </c>
    </row>
    <row r="528" spans="1:13" x14ac:dyDescent="0.35">
      <c r="A528">
        <v>1098</v>
      </c>
      <c r="B528" s="1">
        <v>44725</v>
      </c>
      <c r="C528" t="s">
        <v>33</v>
      </c>
      <c r="D528" t="s">
        <v>15</v>
      </c>
      <c r="E528">
        <v>68745.19</v>
      </c>
      <c r="F528">
        <v>27</v>
      </c>
      <c r="G528" t="s">
        <v>24</v>
      </c>
      <c r="H528">
        <v>908.8</v>
      </c>
      <c r="I528">
        <v>2829.02</v>
      </c>
      <c r="J528" t="s">
        <v>17</v>
      </c>
      <c r="K528">
        <v>0.1</v>
      </c>
      <c r="L528" t="s">
        <v>25</v>
      </c>
      <c r="M528" t="s">
        <v>19</v>
      </c>
    </row>
    <row r="529" spans="1:13" x14ac:dyDescent="0.35">
      <c r="A529">
        <v>1057</v>
      </c>
      <c r="B529" s="1">
        <v>44725</v>
      </c>
      <c r="C529" t="s">
        <v>29</v>
      </c>
      <c r="D529" t="s">
        <v>23</v>
      </c>
      <c r="E529">
        <v>89561.46</v>
      </c>
      <c r="F529">
        <v>37</v>
      </c>
      <c r="G529" t="s">
        <v>24</v>
      </c>
      <c r="H529">
        <v>645.79</v>
      </c>
      <c r="I529">
        <v>2420.58</v>
      </c>
      <c r="J529" t="s">
        <v>27</v>
      </c>
      <c r="K529">
        <v>0</v>
      </c>
      <c r="L529" t="s">
        <v>18</v>
      </c>
      <c r="M529" t="s">
        <v>21</v>
      </c>
    </row>
    <row r="530" spans="1:13" x14ac:dyDescent="0.35">
      <c r="A530">
        <v>1079</v>
      </c>
      <c r="B530" s="1">
        <v>44725</v>
      </c>
      <c r="C530" t="s">
        <v>14</v>
      </c>
      <c r="D530" t="s">
        <v>15</v>
      </c>
      <c r="E530">
        <v>89410.67</v>
      </c>
      <c r="F530">
        <v>30</v>
      </c>
      <c r="G530" t="s">
        <v>24</v>
      </c>
      <c r="H530">
        <v>317.07</v>
      </c>
      <c r="I530">
        <v>3590.79</v>
      </c>
      <c r="J530" t="s">
        <v>17</v>
      </c>
      <c r="K530">
        <v>0.17</v>
      </c>
      <c r="L530" t="s">
        <v>28</v>
      </c>
      <c r="M530" t="s">
        <v>21</v>
      </c>
    </row>
    <row r="531" spans="1:13" x14ac:dyDescent="0.35">
      <c r="A531">
        <v>1084</v>
      </c>
      <c r="B531" s="1">
        <v>44726</v>
      </c>
      <c r="C531" t="s">
        <v>33</v>
      </c>
      <c r="D531" t="s">
        <v>30</v>
      </c>
      <c r="E531">
        <v>36810.44</v>
      </c>
      <c r="F531">
        <v>11</v>
      </c>
      <c r="G531" t="s">
        <v>16</v>
      </c>
      <c r="H531">
        <v>826.22</v>
      </c>
      <c r="I531">
        <v>3522.53</v>
      </c>
      <c r="J531" t="s">
        <v>17</v>
      </c>
      <c r="K531">
        <v>0.05</v>
      </c>
      <c r="L531" t="s">
        <v>25</v>
      </c>
      <c r="M531" t="s">
        <v>21</v>
      </c>
    </row>
    <row r="532" spans="1:13" x14ac:dyDescent="0.35">
      <c r="A532">
        <v>1022</v>
      </c>
      <c r="B532" s="1">
        <v>44727</v>
      </c>
      <c r="C532" t="s">
        <v>22</v>
      </c>
      <c r="D532" t="s">
        <v>15</v>
      </c>
      <c r="E532">
        <v>4842.45</v>
      </c>
      <c r="F532">
        <v>2</v>
      </c>
      <c r="G532" t="s">
        <v>24</v>
      </c>
      <c r="H532">
        <v>696.3</v>
      </c>
      <c r="I532">
        <v>3458.89</v>
      </c>
      <c r="J532" t="s">
        <v>17</v>
      </c>
      <c r="K532">
        <v>0.3</v>
      </c>
      <c r="L532" t="s">
        <v>25</v>
      </c>
      <c r="M532" t="s">
        <v>19</v>
      </c>
    </row>
    <row r="533" spans="1:13" x14ac:dyDescent="0.35">
      <c r="A533">
        <v>1047</v>
      </c>
      <c r="B533" s="1">
        <v>44727</v>
      </c>
      <c r="C533" t="s">
        <v>22</v>
      </c>
      <c r="D533" t="s">
        <v>20</v>
      </c>
      <c r="E533">
        <v>31297.1</v>
      </c>
      <c r="F533">
        <v>23</v>
      </c>
      <c r="G533" t="s">
        <v>16</v>
      </c>
      <c r="H533">
        <v>659.2</v>
      </c>
      <c r="I533">
        <v>1679.93</v>
      </c>
      <c r="J533" t="s">
        <v>17</v>
      </c>
      <c r="K533">
        <v>0.19</v>
      </c>
      <c r="L533" t="s">
        <v>18</v>
      </c>
      <c r="M533" t="s">
        <v>21</v>
      </c>
    </row>
    <row r="534" spans="1:13" x14ac:dyDescent="0.35">
      <c r="A534">
        <v>1040</v>
      </c>
      <c r="B534" s="1">
        <v>44727</v>
      </c>
      <c r="C534" t="s">
        <v>22</v>
      </c>
      <c r="D534" t="s">
        <v>20</v>
      </c>
      <c r="E534">
        <v>100097.4</v>
      </c>
      <c r="F534">
        <v>37</v>
      </c>
      <c r="G534" t="s">
        <v>26</v>
      </c>
      <c r="H534">
        <v>2108.1799999999998</v>
      </c>
      <c r="I534">
        <v>3757.41</v>
      </c>
      <c r="J534" t="s">
        <v>17</v>
      </c>
      <c r="K534">
        <v>0.28000000000000003</v>
      </c>
      <c r="L534" t="s">
        <v>18</v>
      </c>
      <c r="M534" t="s">
        <v>21</v>
      </c>
    </row>
    <row r="535" spans="1:13" x14ac:dyDescent="0.35">
      <c r="A535">
        <v>1023</v>
      </c>
      <c r="B535" s="1">
        <v>44728</v>
      </c>
      <c r="C535" t="s">
        <v>33</v>
      </c>
      <c r="D535" t="s">
        <v>20</v>
      </c>
      <c r="E535">
        <v>173925.88</v>
      </c>
      <c r="F535">
        <v>38</v>
      </c>
      <c r="G535" t="s">
        <v>16</v>
      </c>
      <c r="H535">
        <v>3973.62</v>
      </c>
      <c r="I535">
        <v>4737.6499999999996</v>
      </c>
      <c r="J535" t="s">
        <v>17</v>
      </c>
      <c r="K535">
        <v>0.03</v>
      </c>
      <c r="L535" t="s">
        <v>18</v>
      </c>
      <c r="M535" t="s">
        <v>19</v>
      </c>
    </row>
    <row r="536" spans="1:13" x14ac:dyDescent="0.35">
      <c r="A536">
        <v>1064</v>
      </c>
      <c r="B536" s="1">
        <v>44728</v>
      </c>
      <c r="C536" t="s">
        <v>29</v>
      </c>
      <c r="D536" t="s">
        <v>20</v>
      </c>
      <c r="E536">
        <v>67308.2</v>
      </c>
      <c r="F536">
        <v>26</v>
      </c>
      <c r="G536" t="s">
        <v>31</v>
      </c>
      <c r="H536">
        <v>1663.39</v>
      </c>
      <c r="I536">
        <v>3546.27</v>
      </c>
      <c r="J536" t="s">
        <v>27</v>
      </c>
      <c r="K536">
        <v>0.27</v>
      </c>
      <c r="L536" t="s">
        <v>28</v>
      </c>
      <c r="M536" t="s">
        <v>21</v>
      </c>
    </row>
    <row r="537" spans="1:13" x14ac:dyDescent="0.35">
      <c r="A537">
        <v>1099</v>
      </c>
      <c r="B537" s="1">
        <v>44728</v>
      </c>
      <c r="C537" t="s">
        <v>33</v>
      </c>
      <c r="D537" t="s">
        <v>30</v>
      </c>
      <c r="E537">
        <v>33185.26</v>
      </c>
      <c r="F537">
        <v>10</v>
      </c>
      <c r="G537" t="s">
        <v>31</v>
      </c>
      <c r="H537">
        <v>441.84</v>
      </c>
      <c r="I537">
        <v>4673.9799999999996</v>
      </c>
      <c r="J537" t="s">
        <v>27</v>
      </c>
      <c r="K537">
        <v>0.28999999999999998</v>
      </c>
      <c r="L537" t="s">
        <v>18</v>
      </c>
      <c r="M537" t="s">
        <v>19</v>
      </c>
    </row>
    <row r="538" spans="1:13" x14ac:dyDescent="0.35">
      <c r="A538">
        <v>1097</v>
      </c>
      <c r="B538" s="1">
        <v>44728</v>
      </c>
      <c r="C538" t="s">
        <v>14</v>
      </c>
      <c r="D538" t="s">
        <v>15</v>
      </c>
      <c r="E538">
        <v>100023.49</v>
      </c>
      <c r="F538">
        <v>35</v>
      </c>
      <c r="G538" t="s">
        <v>26</v>
      </c>
      <c r="H538">
        <v>644.62</v>
      </c>
      <c r="I538">
        <v>2946.2</v>
      </c>
      <c r="J538" t="s">
        <v>17</v>
      </c>
      <c r="K538">
        <v>0.03</v>
      </c>
      <c r="L538" t="s">
        <v>18</v>
      </c>
      <c r="M538" t="s">
        <v>19</v>
      </c>
    </row>
    <row r="539" spans="1:13" x14ac:dyDescent="0.35">
      <c r="A539">
        <v>1015</v>
      </c>
      <c r="B539" s="1">
        <v>44728</v>
      </c>
      <c r="C539" t="s">
        <v>33</v>
      </c>
      <c r="D539" t="s">
        <v>23</v>
      </c>
      <c r="E539">
        <v>157979.45000000001</v>
      </c>
      <c r="F539">
        <v>40</v>
      </c>
      <c r="G539" t="s">
        <v>24</v>
      </c>
      <c r="H539">
        <v>1381.48</v>
      </c>
      <c r="I539">
        <v>3989.38</v>
      </c>
      <c r="J539" t="s">
        <v>27</v>
      </c>
      <c r="K539">
        <v>0.01</v>
      </c>
      <c r="L539" t="s">
        <v>25</v>
      </c>
      <c r="M539" t="s">
        <v>21</v>
      </c>
    </row>
    <row r="540" spans="1:13" x14ac:dyDescent="0.35">
      <c r="A540">
        <v>1075</v>
      </c>
      <c r="B540" s="1">
        <v>44729</v>
      </c>
      <c r="C540" t="s">
        <v>33</v>
      </c>
      <c r="D540" t="s">
        <v>15</v>
      </c>
      <c r="E540">
        <v>69231.740000000005</v>
      </c>
      <c r="F540">
        <v>43</v>
      </c>
      <c r="G540" t="s">
        <v>26</v>
      </c>
      <c r="H540">
        <v>162.76</v>
      </c>
      <c r="I540">
        <v>1872.14</v>
      </c>
      <c r="J540" t="s">
        <v>17</v>
      </c>
      <c r="K540">
        <v>0.14000000000000001</v>
      </c>
      <c r="L540" t="s">
        <v>28</v>
      </c>
      <c r="M540" t="s">
        <v>19</v>
      </c>
    </row>
    <row r="541" spans="1:13" x14ac:dyDescent="0.35">
      <c r="A541">
        <v>1058</v>
      </c>
      <c r="B541" s="1">
        <v>44730</v>
      </c>
      <c r="C541" t="s">
        <v>32</v>
      </c>
      <c r="D541" t="s">
        <v>20</v>
      </c>
      <c r="E541">
        <v>63637.3</v>
      </c>
      <c r="F541">
        <v>21</v>
      </c>
      <c r="G541" t="s">
        <v>26</v>
      </c>
      <c r="H541">
        <v>2979.64</v>
      </c>
      <c r="I541">
        <v>3036.2</v>
      </c>
      <c r="J541" t="s">
        <v>17</v>
      </c>
      <c r="K541">
        <v>0</v>
      </c>
      <c r="L541" t="s">
        <v>18</v>
      </c>
      <c r="M541" t="s">
        <v>19</v>
      </c>
    </row>
    <row r="542" spans="1:13" x14ac:dyDescent="0.35">
      <c r="A542">
        <v>1024</v>
      </c>
      <c r="B542" s="1">
        <v>44730</v>
      </c>
      <c r="C542" t="s">
        <v>33</v>
      </c>
      <c r="D542" t="s">
        <v>15</v>
      </c>
      <c r="E542">
        <v>158358.51999999999</v>
      </c>
      <c r="F542">
        <v>37</v>
      </c>
      <c r="G542" t="s">
        <v>31</v>
      </c>
      <c r="H542">
        <v>1274.8800000000001</v>
      </c>
      <c r="I542">
        <v>4279.96</v>
      </c>
      <c r="J542" t="s">
        <v>17</v>
      </c>
      <c r="K542">
        <v>0</v>
      </c>
      <c r="L542" t="s">
        <v>18</v>
      </c>
      <c r="M542" t="s">
        <v>21</v>
      </c>
    </row>
    <row r="543" spans="1:13" x14ac:dyDescent="0.35">
      <c r="A543">
        <v>1063</v>
      </c>
      <c r="B543" s="1">
        <v>44731</v>
      </c>
      <c r="C543" t="s">
        <v>33</v>
      </c>
      <c r="D543" t="s">
        <v>15</v>
      </c>
      <c r="E543">
        <v>234683.7</v>
      </c>
      <c r="F543">
        <v>49</v>
      </c>
      <c r="G543" t="s">
        <v>24</v>
      </c>
      <c r="H543">
        <v>4705.99</v>
      </c>
      <c r="I543">
        <v>4950.04</v>
      </c>
      <c r="J543" t="s">
        <v>17</v>
      </c>
      <c r="K543">
        <v>0.03</v>
      </c>
      <c r="L543" t="s">
        <v>28</v>
      </c>
      <c r="M543" t="s">
        <v>21</v>
      </c>
    </row>
    <row r="544" spans="1:13" x14ac:dyDescent="0.35">
      <c r="A544">
        <v>1001</v>
      </c>
      <c r="B544" s="1">
        <v>44731</v>
      </c>
      <c r="C544" t="s">
        <v>29</v>
      </c>
      <c r="D544" t="s">
        <v>15</v>
      </c>
      <c r="E544">
        <v>40569.800000000003</v>
      </c>
      <c r="F544">
        <v>18</v>
      </c>
      <c r="G544" t="s">
        <v>26</v>
      </c>
      <c r="H544">
        <v>507.88</v>
      </c>
      <c r="I544">
        <v>2853.01</v>
      </c>
      <c r="J544" t="s">
        <v>17</v>
      </c>
      <c r="K544">
        <v>0.21</v>
      </c>
      <c r="L544" t="s">
        <v>18</v>
      </c>
      <c r="M544" t="s">
        <v>21</v>
      </c>
    </row>
    <row r="545" spans="1:13" x14ac:dyDescent="0.35">
      <c r="A545">
        <v>1045</v>
      </c>
      <c r="B545" s="1">
        <v>44731</v>
      </c>
      <c r="C545" t="s">
        <v>22</v>
      </c>
      <c r="D545" t="s">
        <v>20</v>
      </c>
      <c r="E545">
        <v>174647.4</v>
      </c>
      <c r="F545">
        <v>41</v>
      </c>
      <c r="G545" t="s">
        <v>26</v>
      </c>
      <c r="H545">
        <v>2454.27</v>
      </c>
      <c r="I545">
        <v>4840.5600000000004</v>
      </c>
      <c r="J545" t="s">
        <v>27</v>
      </c>
      <c r="K545">
        <v>0.12</v>
      </c>
      <c r="L545" t="s">
        <v>18</v>
      </c>
      <c r="M545" t="s">
        <v>21</v>
      </c>
    </row>
    <row r="546" spans="1:13" x14ac:dyDescent="0.35">
      <c r="A546">
        <v>1013</v>
      </c>
      <c r="B546" s="1">
        <v>44732</v>
      </c>
      <c r="C546" t="s">
        <v>33</v>
      </c>
      <c r="D546" t="s">
        <v>15</v>
      </c>
      <c r="E546">
        <v>7511.69</v>
      </c>
      <c r="F546">
        <v>3</v>
      </c>
      <c r="G546" t="s">
        <v>31</v>
      </c>
      <c r="H546">
        <v>2108.17</v>
      </c>
      <c r="I546">
        <v>3294.6</v>
      </c>
      <c r="J546" t="s">
        <v>27</v>
      </c>
      <c r="K546">
        <v>0.24</v>
      </c>
      <c r="L546" t="s">
        <v>18</v>
      </c>
      <c r="M546" t="s">
        <v>21</v>
      </c>
    </row>
    <row r="547" spans="1:13" x14ac:dyDescent="0.35">
      <c r="A547">
        <v>1017</v>
      </c>
      <c r="B547" s="1">
        <v>44732</v>
      </c>
      <c r="C547" t="s">
        <v>29</v>
      </c>
      <c r="D547" t="s">
        <v>30</v>
      </c>
      <c r="E547">
        <v>69488.240000000005</v>
      </c>
      <c r="F547">
        <v>18</v>
      </c>
      <c r="G547" t="s">
        <v>16</v>
      </c>
      <c r="H547">
        <v>3241.59</v>
      </c>
      <c r="I547">
        <v>4063.64</v>
      </c>
      <c r="J547" t="s">
        <v>17</v>
      </c>
      <c r="K547">
        <v>0.05</v>
      </c>
      <c r="L547" t="s">
        <v>18</v>
      </c>
      <c r="M547" t="s">
        <v>21</v>
      </c>
    </row>
    <row r="548" spans="1:13" x14ac:dyDescent="0.35">
      <c r="A548">
        <v>1005</v>
      </c>
      <c r="B548" s="1">
        <v>44732</v>
      </c>
      <c r="C548" t="s">
        <v>22</v>
      </c>
      <c r="D548" t="s">
        <v>30</v>
      </c>
      <c r="E548">
        <v>104143.24</v>
      </c>
      <c r="F548">
        <v>33</v>
      </c>
      <c r="G548" t="s">
        <v>26</v>
      </c>
      <c r="H548">
        <v>2542.62</v>
      </c>
      <c r="I548">
        <v>3300.84</v>
      </c>
      <c r="J548" t="s">
        <v>27</v>
      </c>
      <c r="K548">
        <v>0.04</v>
      </c>
      <c r="L548" t="s">
        <v>25</v>
      </c>
      <c r="M548" t="s">
        <v>19</v>
      </c>
    </row>
    <row r="549" spans="1:13" x14ac:dyDescent="0.35">
      <c r="A549">
        <v>1042</v>
      </c>
      <c r="B549" s="1">
        <v>44732</v>
      </c>
      <c r="C549" t="s">
        <v>22</v>
      </c>
      <c r="D549" t="s">
        <v>15</v>
      </c>
      <c r="E549">
        <v>73850.38</v>
      </c>
      <c r="F549">
        <v>17</v>
      </c>
      <c r="G549" t="s">
        <v>24</v>
      </c>
      <c r="H549">
        <v>1977.84</v>
      </c>
      <c r="I549">
        <v>4344.1400000000003</v>
      </c>
      <c r="J549" t="s">
        <v>17</v>
      </c>
      <c r="K549">
        <v>0</v>
      </c>
      <c r="L549" t="s">
        <v>25</v>
      </c>
      <c r="M549" t="s">
        <v>21</v>
      </c>
    </row>
    <row r="550" spans="1:13" x14ac:dyDescent="0.35">
      <c r="A550">
        <v>1044</v>
      </c>
      <c r="B550" s="1">
        <v>44733</v>
      </c>
      <c r="C550" t="s">
        <v>14</v>
      </c>
      <c r="D550" t="s">
        <v>15</v>
      </c>
      <c r="E550">
        <v>17412.55</v>
      </c>
      <c r="F550">
        <v>8</v>
      </c>
      <c r="G550" t="s">
        <v>16</v>
      </c>
      <c r="H550">
        <v>1461.7</v>
      </c>
      <c r="I550">
        <v>2418.41</v>
      </c>
      <c r="J550" t="s">
        <v>17</v>
      </c>
      <c r="K550">
        <v>0.1</v>
      </c>
      <c r="L550" t="s">
        <v>25</v>
      </c>
      <c r="M550" t="s">
        <v>21</v>
      </c>
    </row>
    <row r="551" spans="1:13" x14ac:dyDescent="0.35">
      <c r="A551">
        <v>1026</v>
      </c>
      <c r="B551" s="1">
        <v>44734</v>
      </c>
      <c r="C551" t="s">
        <v>22</v>
      </c>
      <c r="D551" t="s">
        <v>20</v>
      </c>
      <c r="E551">
        <v>7064.55</v>
      </c>
      <c r="F551">
        <v>2</v>
      </c>
      <c r="G551" t="s">
        <v>24</v>
      </c>
      <c r="H551">
        <v>1162.42</v>
      </c>
      <c r="I551">
        <v>3839.43</v>
      </c>
      <c r="J551" t="s">
        <v>27</v>
      </c>
      <c r="K551">
        <v>0.08</v>
      </c>
      <c r="L551" t="s">
        <v>25</v>
      </c>
      <c r="M551" t="s">
        <v>21</v>
      </c>
    </row>
    <row r="552" spans="1:13" x14ac:dyDescent="0.35">
      <c r="A552">
        <v>1013</v>
      </c>
      <c r="B552" s="1">
        <v>44734</v>
      </c>
      <c r="C552" t="s">
        <v>32</v>
      </c>
      <c r="D552" t="s">
        <v>30</v>
      </c>
      <c r="E552">
        <v>41563.910000000003</v>
      </c>
      <c r="F552">
        <v>9</v>
      </c>
      <c r="G552" t="s">
        <v>16</v>
      </c>
      <c r="H552">
        <v>3080.15</v>
      </c>
      <c r="I552">
        <v>4965.82</v>
      </c>
      <c r="J552" t="s">
        <v>17</v>
      </c>
      <c r="K552">
        <v>7.0000000000000007E-2</v>
      </c>
      <c r="L552" t="s">
        <v>25</v>
      </c>
      <c r="M552" t="s">
        <v>21</v>
      </c>
    </row>
    <row r="553" spans="1:13" x14ac:dyDescent="0.35">
      <c r="A553">
        <v>1048</v>
      </c>
      <c r="B553" s="1">
        <v>44734</v>
      </c>
      <c r="C553" t="s">
        <v>32</v>
      </c>
      <c r="D553" t="s">
        <v>23</v>
      </c>
      <c r="E553">
        <v>84049</v>
      </c>
      <c r="F553">
        <v>33</v>
      </c>
      <c r="G553" t="s">
        <v>26</v>
      </c>
      <c r="H553">
        <v>2044.13</v>
      </c>
      <c r="I553">
        <v>2709.51</v>
      </c>
      <c r="J553" t="s">
        <v>17</v>
      </c>
      <c r="K553">
        <v>0.06</v>
      </c>
      <c r="L553" t="s">
        <v>18</v>
      </c>
      <c r="M553" t="s">
        <v>21</v>
      </c>
    </row>
    <row r="554" spans="1:13" x14ac:dyDescent="0.35">
      <c r="A554">
        <v>1005</v>
      </c>
      <c r="B554" s="1">
        <v>44734</v>
      </c>
      <c r="C554" t="s">
        <v>29</v>
      </c>
      <c r="D554" t="s">
        <v>15</v>
      </c>
      <c r="E554">
        <v>147183.29999999999</v>
      </c>
      <c r="F554">
        <v>39</v>
      </c>
      <c r="G554" t="s">
        <v>31</v>
      </c>
      <c r="H554">
        <v>2171.83</v>
      </c>
      <c r="I554">
        <v>4014.82</v>
      </c>
      <c r="J554" t="s">
        <v>17</v>
      </c>
      <c r="K554">
        <v>0.06</v>
      </c>
      <c r="L554" t="s">
        <v>18</v>
      </c>
      <c r="M554" t="s">
        <v>19</v>
      </c>
    </row>
    <row r="555" spans="1:13" x14ac:dyDescent="0.35">
      <c r="A555">
        <v>1075</v>
      </c>
      <c r="B555" s="1">
        <v>44734</v>
      </c>
      <c r="C555" t="s">
        <v>14</v>
      </c>
      <c r="D555" t="s">
        <v>23</v>
      </c>
      <c r="E555">
        <v>127260.08</v>
      </c>
      <c r="F555">
        <v>31</v>
      </c>
      <c r="G555" t="s">
        <v>31</v>
      </c>
      <c r="H555">
        <v>1858.45</v>
      </c>
      <c r="I555">
        <v>4887.1000000000004</v>
      </c>
      <c r="J555" t="s">
        <v>27</v>
      </c>
      <c r="K555">
        <v>0.16</v>
      </c>
      <c r="L555" t="s">
        <v>18</v>
      </c>
      <c r="M555" t="s">
        <v>19</v>
      </c>
    </row>
    <row r="556" spans="1:13" x14ac:dyDescent="0.35">
      <c r="A556">
        <v>1066</v>
      </c>
      <c r="B556" s="1">
        <v>44735</v>
      </c>
      <c r="C556" t="s">
        <v>29</v>
      </c>
      <c r="D556" t="s">
        <v>30</v>
      </c>
      <c r="E556">
        <v>101177.16</v>
      </c>
      <c r="F556">
        <v>42</v>
      </c>
      <c r="G556" t="s">
        <v>26</v>
      </c>
      <c r="H556">
        <v>1208.53</v>
      </c>
      <c r="I556">
        <v>2408.98</v>
      </c>
      <c r="J556" t="s">
        <v>17</v>
      </c>
      <c r="K556">
        <v>0</v>
      </c>
      <c r="L556" t="s">
        <v>28</v>
      </c>
      <c r="M556" t="s">
        <v>19</v>
      </c>
    </row>
    <row r="557" spans="1:13" x14ac:dyDescent="0.35">
      <c r="A557">
        <v>1009</v>
      </c>
      <c r="B557" s="1">
        <v>44736</v>
      </c>
      <c r="C557" t="s">
        <v>14</v>
      </c>
      <c r="D557" t="s">
        <v>30</v>
      </c>
      <c r="E557">
        <v>17149.490000000002</v>
      </c>
      <c r="F557">
        <v>6</v>
      </c>
      <c r="G557" t="s">
        <v>24</v>
      </c>
      <c r="H557">
        <v>2742.8</v>
      </c>
      <c r="I557">
        <v>2887.12</v>
      </c>
      <c r="J557" t="s">
        <v>27</v>
      </c>
      <c r="K557">
        <v>0.01</v>
      </c>
      <c r="L557" t="s">
        <v>25</v>
      </c>
      <c r="M557" t="s">
        <v>19</v>
      </c>
    </row>
    <row r="558" spans="1:13" x14ac:dyDescent="0.35">
      <c r="A558">
        <v>1008</v>
      </c>
      <c r="B558" s="1">
        <v>44737</v>
      </c>
      <c r="C558" t="s">
        <v>33</v>
      </c>
      <c r="D558" t="s">
        <v>23</v>
      </c>
      <c r="E558">
        <v>101009.4</v>
      </c>
      <c r="F558">
        <v>30</v>
      </c>
      <c r="G558" t="s">
        <v>26</v>
      </c>
      <c r="H558">
        <v>1412.11</v>
      </c>
      <c r="I558">
        <v>3400.99</v>
      </c>
      <c r="J558" t="s">
        <v>27</v>
      </c>
      <c r="K558">
        <v>0.01</v>
      </c>
      <c r="L558" t="s">
        <v>18</v>
      </c>
      <c r="M558" t="s">
        <v>21</v>
      </c>
    </row>
    <row r="559" spans="1:13" x14ac:dyDescent="0.35">
      <c r="A559">
        <v>1004</v>
      </c>
      <c r="B559" s="1">
        <v>44737</v>
      </c>
      <c r="C559" t="s">
        <v>32</v>
      </c>
      <c r="D559" t="s">
        <v>20</v>
      </c>
      <c r="E559">
        <v>191727.31</v>
      </c>
      <c r="F559">
        <v>40</v>
      </c>
      <c r="G559" t="s">
        <v>26</v>
      </c>
      <c r="H559">
        <v>2147.5300000000002</v>
      </c>
      <c r="I559">
        <v>5153.96</v>
      </c>
      <c r="J559" t="s">
        <v>17</v>
      </c>
      <c r="K559">
        <v>7.0000000000000007E-2</v>
      </c>
      <c r="L559" t="s">
        <v>25</v>
      </c>
      <c r="M559" t="s">
        <v>19</v>
      </c>
    </row>
    <row r="560" spans="1:13" x14ac:dyDescent="0.35">
      <c r="A560">
        <v>1033</v>
      </c>
      <c r="B560" s="1">
        <v>44737</v>
      </c>
      <c r="C560" t="s">
        <v>14</v>
      </c>
      <c r="D560" t="s">
        <v>15</v>
      </c>
      <c r="E560">
        <v>153277.66</v>
      </c>
      <c r="F560">
        <v>43</v>
      </c>
      <c r="G560" t="s">
        <v>26</v>
      </c>
      <c r="H560">
        <v>220.73</v>
      </c>
      <c r="I560">
        <v>4144.88</v>
      </c>
      <c r="J560" t="s">
        <v>17</v>
      </c>
      <c r="K560">
        <v>0.14000000000000001</v>
      </c>
      <c r="L560" t="s">
        <v>18</v>
      </c>
      <c r="M560" t="s">
        <v>21</v>
      </c>
    </row>
    <row r="561" spans="1:13" x14ac:dyDescent="0.35">
      <c r="A561">
        <v>1004</v>
      </c>
      <c r="B561" s="1">
        <v>44738</v>
      </c>
      <c r="C561" t="s">
        <v>14</v>
      </c>
      <c r="D561" t="s">
        <v>23</v>
      </c>
      <c r="E561">
        <v>105866.23</v>
      </c>
      <c r="F561">
        <v>42</v>
      </c>
      <c r="G561" t="s">
        <v>16</v>
      </c>
      <c r="H561">
        <v>2405.92</v>
      </c>
      <c r="I561">
        <v>3231.57</v>
      </c>
      <c r="J561" t="s">
        <v>27</v>
      </c>
      <c r="K561">
        <v>0.22</v>
      </c>
      <c r="L561" t="s">
        <v>28</v>
      </c>
      <c r="M561" t="s">
        <v>21</v>
      </c>
    </row>
    <row r="562" spans="1:13" x14ac:dyDescent="0.35">
      <c r="A562">
        <v>1018</v>
      </c>
      <c r="B562" s="1">
        <v>44738</v>
      </c>
      <c r="C562" t="s">
        <v>32</v>
      </c>
      <c r="D562" t="s">
        <v>20</v>
      </c>
      <c r="E562">
        <v>77287.42</v>
      </c>
      <c r="F562">
        <v>30</v>
      </c>
      <c r="G562" t="s">
        <v>26</v>
      </c>
      <c r="H562">
        <v>214.96</v>
      </c>
      <c r="I562">
        <v>2602.27</v>
      </c>
      <c r="J562" t="s">
        <v>17</v>
      </c>
      <c r="K562">
        <v>0.01</v>
      </c>
      <c r="L562" t="s">
        <v>18</v>
      </c>
      <c r="M562" t="s">
        <v>19</v>
      </c>
    </row>
    <row r="563" spans="1:13" x14ac:dyDescent="0.35">
      <c r="A563">
        <v>1055</v>
      </c>
      <c r="B563" s="1">
        <v>44739</v>
      </c>
      <c r="C563" t="s">
        <v>22</v>
      </c>
      <c r="D563" t="s">
        <v>20</v>
      </c>
      <c r="E563">
        <v>127092.07</v>
      </c>
      <c r="F563">
        <v>31</v>
      </c>
      <c r="G563" t="s">
        <v>31</v>
      </c>
      <c r="H563">
        <v>4038.72</v>
      </c>
      <c r="I563">
        <v>4310.88</v>
      </c>
      <c r="J563" t="s">
        <v>17</v>
      </c>
      <c r="K563">
        <v>0.05</v>
      </c>
      <c r="L563" t="s">
        <v>25</v>
      </c>
      <c r="M563" t="s">
        <v>19</v>
      </c>
    </row>
    <row r="564" spans="1:13" x14ac:dyDescent="0.35">
      <c r="A564">
        <v>1028</v>
      </c>
      <c r="B564" s="1">
        <v>44739</v>
      </c>
      <c r="C564" t="s">
        <v>33</v>
      </c>
      <c r="D564" t="s">
        <v>20</v>
      </c>
      <c r="E564">
        <v>169671.66</v>
      </c>
      <c r="F564">
        <v>49</v>
      </c>
      <c r="G564" t="s">
        <v>26</v>
      </c>
      <c r="H564">
        <v>2886.89</v>
      </c>
      <c r="I564">
        <v>3980.1</v>
      </c>
      <c r="J564" t="s">
        <v>17</v>
      </c>
      <c r="K564">
        <v>0.13</v>
      </c>
      <c r="L564" t="s">
        <v>18</v>
      </c>
      <c r="M564" t="s">
        <v>21</v>
      </c>
    </row>
    <row r="565" spans="1:13" x14ac:dyDescent="0.35">
      <c r="A565">
        <v>1072</v>
      </c>
      <c r="B565" s="1">
        <v>44739</v>
      </c>
      <c r="C565" t="s">
        <v>32</v>
      </c>
      <c r="D565" t="s">
        <v>23</v>
      </c>
      <c r="E565">
        <v>151131.66</v>
      </c>
      <c r="F565">
        <v>45</v>
      </c>
      <c r="G565" t="s">
        <v>24</v>
      </c>
      <c r="H565">
        <v>2613.5300000000002</v>
      </c>
      <c r="I565">
        <v>3432.64</v>
      </c>
      <c r="J565" t="s">
        <v>17</v>
      </c>
      <c r="K565">
        <v>0.02</v>
      </c>
      <c r="L565" t="s">
        <v>25</v>
      </c>
      <c r="M565" t="s">
        <v>19</v>
      </c>
    </row>
    <row r="566" spans="1:13" x14ac:dyDescent="0.35">
      <c r="A566">
        <v>1076</v>
      </c>
      <c r="B566" s="1">
        <v>44739</v>
      </c>
      <c r="C566" t="s">
        <v>33</v>
      </c>
      <c r="D566" t="s">
        <v>15</v>
      </c>
      <c r="E566">
        <v>94313.94</v>
      </c>
      <c r="F566">
        <v>24</v>
      </c>
      <c r="G566" t="s">
        <v>26</v>
      </c>
      <c r="H566">
        <v>925.72</v>
      </c>
      <c r="I566">
        <v>4851.54</v>
      </c>
      <c r="J566" t="s">
        <v>27</v>
      </c>
      <c r="K566">
        <v>0.19</v>
      </c>
      <c r="L566" t="s">
        <v>18</v>
      </c>
      <c r="M566" t="s">
        <v>19</v>
      </c>
    </row>
    <row r="567" spans="1:13" x14ac:dyDescent="0.35">
      <c r="A567">
        <v>1050</v>
      </c>
      <c r="B567" s="1">
        <v>44740</v>
      </c>
      <c r="C567" t="s">
        <v>14</v>
      </c>
      <c r="D567" t="s">
        <v>15</v>
      </c>
      <c r="E567">
        <v>135322.42000000001</v>
      </c>
      <c r="F567">
        <v>41</v>
      </c>
      <c r="G567" t="s">
        <v>16</v>
      </c>
      <c r="H567">
        <v>2963.29</v>
      </c>
      <c r="I567">
        <v>3511.22</v>
      </c>
      <c r="J567" t="s">
        <v>27</v>
      </c>
      <c r="K567">
        <v>0.06</v>
      </c>
      <c r="L567" t="s">
        <v>28</v>
      </c>
      <c r="M567" t="s">
        <v>21</v>
      </c>
    </row>
    <row r="568" spans="1:13" x14ac:dyDescent="0.35">
      <c r="A568">
        <v>1012</v>
      </c>
      <c r="B568" s="1">
        <v>44740</v>
      </c>
      <c r="C568" t="s">
        <v>29</v>
      </c>
      <c r="D568" t="s">
        <v>20</v>
      </c>
      <c r="E568">
        <v>30358.66</v>
      </c>
      <c r="F568">
        <v>25</v>
      </c>
      <c r="G568" t="s">
        <v>24</v>
      </c>
      <c r="H568">
        <v>623.71</v>
      </c>
      <c r="I568">
        <v>1480.91</v>
      </c>
      <c r="J568" t="s">
        <v>17</v>
      </c>
      <c r="K568">
        <v>0.18</v>
      </c>
      <c r="L568" t="s">
        <v>28</v>
      </c>
      <c r="M568" t="s">
        <v>19</v>
      </c>
    </row>
    <row r="569" spans="1:13" x14ac:dyDescent="0.35">
      <c r="A569">
        <v>1049</v>
      </c>
      <c r="B569" s="1">
        <v>44741</v>
      </c>
      <c r="C569" t="s">
        <v>14</v>
      </c>
      <c r="D569" t="s">
        <v>20</v>
      </c>
      <c r="E569">
        <v>75137.929999999993</v>
      </c>
      <c r="F569">
        <v>42</v>
      </c>
      <c r="G569" t="s">
        <v>16</v>
      </c>
      <c r="H569">
        <v>393.97</v>
      </c>
      <c r="I569">
        <v>2208.64</v>
      </c>
      <c r="J569" t="s">
        <v>17</v>
      </c>
      <c r="K569">
        <v>0.19</v>
      </c>
      <c r="L569" t="s">
        <v>18</v>
      </c>
      <c r="M569" t="s">
        <v>19</v>
      </c>
    </row>
    <row r="570" spans="1:13" x14ac:dyDescent="0.35">
      <c r="A570">
        <v>1014</v>
      </c>
      <c r="B570" s="1">
        <v>44742</v>
      </c>
      <c r="C570" t="s">
        <v>14</v>
      </c>
      <c r="D570" t="s">
        <v>20</v>
      </c>
      <c r="E570">
        <v>178811.01</v>
      </c>
      <c r="F570">
        <v>39</v>
      </c>
      <c r="G570" t="s">
        <v>26</v>
      </c>
      <c r="H570">
        <v>4197.58</v>
      </c>
      <c r="I570">
        <v>4701.68</v>
      </c>
      <c r="J570" t="s">
        <v>27</v>
      </c>
      <c r="K570">
        <v>0.02</v>
      </c>
      <c r="L570" t="s">
        <v>18</v>
      </c>
      <c r="M570" t="s">
        <v>19</v>
      </c>
    </row>
    <row r="571" spans="1:13" x14ac:dyDescent="0.35">
      <c r="A571">
        <v>1090</v>
      </c>
      <c r="B571" s="1">
        <v>44742</v>
      </c>
      <c r="C571" t="s">
        <v>33</v>
      </c>
      <c r="D571" t="s">
        <v>20</v>
      </c>
      <c r="E571">
        <v>174199.04000000001</v>
      </c>
      <c r="F571">
        <v>46</v>
      </c>
      <c r="G571" t="s">
        <v>16</v>
      </c>
      <c r="H571">
        <v>3072.77</v>
      </c>
      <c r="I571">
        <v>4982.8100000000004</v>
      </c>
      <c r="J571" t="s">
        <v>17</v>
      </c>
      <c r="K571">
        <v>0.24</v>
      </c>
      <c r="L571" t="s">
        <v>28</v>
      </c>
      <c r="M571" t="s">
        <v>19</v>
      </c>
    </row>
    <row r="572" spans="1:13" x14ac:dyDescent="0.35">
      <c r="A572">
        <v>1075</v>
      </c>
      <c r="B572" s="1">
        <v>44744</v>
      </c>
      <c r="C572" t="s">
        <v>33</v>
      </c>
      <c r="D572" t="s">
        <v>23</v>
      </c>
      <c r="E572">
        <v>86188.68</v>
      </c>
      <c r="F572">
        <v>20</v>
      </c>
      <c r="G572" t="s">
        <v>16</v>
      </c>
      <c r="H572">
        <v>4295.33</v>
      </c>
      <c r="I572">
        <v>4327.03</v>
      </c>
      <c r="J572" t="s">
        <v>27</v>
      </c>
      <c r="K572">
        <v>0</v>
      </c>
      <c r="L572" t="s">
        <v>25</v>
      </c>
      <c r="M572" t="s">
        <v>21</v>
      </c>
    </row>
    <row r="573" spans="1:13" x14ac:dyDescent="0.35">
      <c r="A573">
        <v>1006</v>
      </c>
      <c r="B573" s="1">
        <v>44744</v>
      </c>
      <c r="C573" t="s">
        <v>33</v>
      </c>
      <c r="D573" t="s">
        <v>20</v>
      </c>
      <c r="E573">
        <v>175632.01</v>
      </c>
      <c r="F573">
        <v>38</v>
      </c>
      <c r="G573" t="s">
        <v>16</v>
      </c>
      <c r="H573">
        <v>4607.82</v>
      </c>
      <c r="I573">
        <v>4666.29</v>
      </c>
      <c r="J573" t="s">
        <v>27</v>
      </c>
      <c r="K573">
        <v>0.01</v>
      </c>
      <c r="L573" t="s">
        <v>18</v>
      </c>
      <c r="M573" t="s">
        <v>21</v>
      </c>
    </row>
    <row r="574" spans="1:13" x14ac:dyDescent="0.35">
      <c r="A574">
        <v>1005</v>
      </c>
      <c r="B574" s="1">
        <v>44744</v>
      </c>
      <c r="C574" t="s">
        <v>29</v>
      </c>
      <c r="D574" t="s">
        <v>23</v>
      </c>
      <c r="E574">
        <v>13994.04</v>
      </c>
      <c r="F574">
        <v>8</v>
      </c>
      <c r="G574" t="s">
        <v>16</v>
      </c>
      <c r="H574">
        <v>494.12</v>
      </c>
      <c r="I574">
        <v>2396.2399999999998</v>
      </c>
      <c r="J574" t="s">
        <v>17</v>
      </c>
      <c r="K574">
        <v>0.27</v>
      </c>
      <c r="L574" t="s">
        <v>18</v>
      </c>
      <c r="M574" t="s">
        <v>19</v>
      </c>
    </row>
    <row r="575" spans="1:13" x14ac:dyDescent="0.35">
      <c r="A575">
        <v>1073</v>
      </c>
      <c r="B575" s="1">
        <v>44744</v>
      </c>
      <c r="C575" t="s">
        <v>33</v>
      </c>
      <c r="D575" t="s">
        <v>20</v>
      </c>
      <c r="E575">
        <v>124299.31</v>
      </c>
      <c r="F575">
        <v>27</v>
      </c>
      <c r="G575" t="s">
        <v>31</v>
      </c>
      <c r="H575">
        <v>2210.4</v>
      </c>
      <c r="I575">
        <v>4897.53</v>
      </c>
      <c r="J575" t="s">
        <v>27</v>
      </c>
      <c r="K575">
        <v>0.06</v>
      </c>
      <c r="L575" t="s">
        <v>25</v>
      </c>
      <c r="M575" t="s">
        <v>19</v>
      </c>
    </row>
    <row r="576" spans="1:13" x14ac:dyDescent="0.35">
      <c r="A576">
        <v>1036</v>
      </c>
      <c r="B576" s="1">
        <v>44744</v>
      </c>
      <c r="C576" t="s">
        <v>32</v>
      </c>
      <c r="D576" t="s">
        <v>23</v>
      </c>
      <c r="E576">
        <v>131018.86</v>
      </c>
      <c r="F576">
        <v>42</v>
      </c>
      <c r="G576" t="s">
        <v>24</v>
      </c>
      <c r="H576">
        <v>614.82000000000005</v>
      </c>
      <c r="I576">
        <v>3948.73</v>
      </c>
      <c r="J576" t="s">
        <v>27</v>
      </c>
      <c r="K576">
        <v>0.21</v>
      </c>
      <c r="L576" t="s">
        <v>25</v>
      </c>
      <c r="M576" t="s">
        <v>19</v>
      </c>
    </row>
    <row r="577" spans="1:13" x14ac:dyDescent="0.35">
      <c r="A577">
        <v>1058</v>
      </c>
      <c r="B577" s="1">
        <v>44745</v>
      </c>
      <c r="C577" t="s">
        <v>14</v>
      </c>
      <c r="D577" t="s">
        <v>23</v>
      </c>
      <c r="E577">
        <v>161872.75</v>
      </c>
      <c r="F577">
        <v>34</v>
      </c>
      <c r="G577" t="s">
        <v>26</v>
      </c>
      <c r="H577">
        <v>4710.8500000000004</v>
      </c>
      <c r="I577">
        <v>5174.96</v>
      </c>
      <c r="J577" t="s">
        <v>27</v>
      </c>
      <c r="K577">
        <v>0.08</v>
      </c>
      <c r="L577" t="s">
        <v>18</v>
      </c>
      <c r="M577" t="s">
        <v>19</v>
      </c>
    </row>
    <row r="578" spans="1:13" x14ac:dyDescent="0.35">
      <c r="A578">
        <v>1009</v>
      </c>
      <c r="B578" s="1">
        <v>44745</v>
      </c>
      <c r="C578" t="s">
        <v>33</v>
      </c>
      <c r="D578" t="s">
        <v>15</v>
      </c>
      <c r="E578">
        <v>77317.3</v>
      </c>
      <c r="F578">
        <v>35</v>
      </c>
      <c r="G578" t="s">
        <v>16</v>
      </c>
      <c r="H578">
        <v>231.4</v>
      </c>
      <c r="I578">
        <v>2301.11</v>
      </c>
      <c r="J578" t="s">
        <v>27</v>
      </c>
      <c r="K578">
        <v>0.04</v>
      </c>
      <c r="L578" t="s">
        <v>18</v>
      </c>
      <c r="M578" t="s">
        <v>21</v>
      </c>
    </row>
    <row r="579" spans="1:13" x14ac:dyDescent="0.35">
      <c r="A579">
        <v>1069</v>
      </c>
      <c r="B579" s="1">
        <v>44746</v>
      </c>
      <c r="C579" t="s">
        <v>22</v>
      </c>
      <c r="D579" t="s">
        <v>23</v>
      </c>
      <c r="E579">
        <v>21461.32</v>
      </c>
      <c r="F579">
        <v>9</v>
      </c>
      <c r="G579" t="s">
        <v>31</v>
      </c>
      <c r="H579">
        <v>1424.87</v>
      </c>
      <c r="I579">
        <v>3137.62</v>
      </c>
      <c r="J579" t="s">
        <v>17</v>
      </c>
      <c r="K579">
        <v>0.24</v>
      </c>
      <c r="L579" t="s">
        <v>18</v>
      </c>
      <c r="M579" t="s">
        <v>21</v>
      </c>
    </row>
    <row r="580" spans="1:13" x14ac:dyDescent="0.35">
      <c r="A580">
        <v>1078</v>
      </c>
      <c r="B580" s="1">
        <v>44747</v>
      </c>
      <c r="C580" t="s">
        <v>14</v>
      </c>
      <c r="D580" t="s">
        <v>23</v>
      </c>
      <c r="E580">
        <v>41227.21</v>
      </c>
      <c r="F580">
        <v>23</v>
      </c>
      <c r="G580" t="s">
        <v>24</v>
      </c>
      <c r="H580">
        <v>1690.06</v>
      </c>
      <c r="I580">
        <v>2524.63</v>
      </c>
      <c r="J580" t="s">
        <v>17</v>
      </c>
      <c r="K580">
        <v>0.28999999999999998</v>
      </c>
      <c r="L580" t="s">
        <v>25</v>
      </c>
      <c r="M580" t="s">
        <v>19</v>
      </c>
    </row>
    <row r="581" spans="1:13" x14ac:dyDescent="0.35">
      <c r="A581">
        <v>1018</v>
      </c>
      <c r="B581" s="1">
        <v>44747</v>
      </c>
      <c r="C581" t="s">
        <v>33</v>
      </c>
      <c r="D581" t="s">
        <v>20</v>
      </c>
      <c r="E581">
        <v>22130.39</v>
      </c>
      <c r="F581">
        <v>7</v>
      </c>
      <c r="G581" t="s">
        <v>31</v>
      </c>
      <c r="H581">
        <v>1715.59</v>
      </c>
      <c r="I581">
        <v>4390.95</v>
      </c>
      <c r="J581" t="s">
        <v>17</v>
      </c>
      <c r="K581">
        <v>0.28000000000000003</v>
      </c>
      <c r="L581" t="s">
        <v>28</v>
      </c>
      <c r="M581" t="s">
        <v>19</v>
      </c>
    </row>
    <row r="582" spans="1:13" x14ac:dyDescent="0.35">
      <c r="A582">
        <v>1027</v>
      </c>
      <c r="B582" s="1">
        <v>44747</v>
      </c>
      <c r="C582" t="s">
        <v>29</v>
      </c>
      <c r="D582" t="s">
        <v>30</v>
      </c>
      <c r="E582">
        <v>38546.01</v>
      </c>
      <c r="F582">
        <v>25</v>
      </c>
      <c r="G582" t="s">
        <v>31</v>
      </c>
      <c r="H582">
        <v>908.55</v>
      </c>
      <c r="I582">
        <v>1694.33</v>
      </c>
      <c r="J582" t="s">
        <v>27</v>
      </c>
      <c r="K582">
        <v>0.09</v>
      </c>
      <c r="L582" t="s">
        <v>18</v>
      </c>
      <c r="M582" t="s">
        <v>19</v>
      </c>
    </row>
    <row r="583" spans="1:13" x14ac:dyDescent="0.35">
      <c r="A583">
        <v>1081</v>
      </c>
      <c r="B583" s="1">
        <v>44748</v>
      </c>
      <c r="C583" t="s">
        <v>14</v>
      </c>
      <c r="D583" t="s">
        <v>20</v>
      </c>
      <c r="E583">
        <v>6570.61</v>
      </c>
      <c r="F583">
        <v>2</v>
      </c>
      <c r="G583" t="s">
        <v>24</v>
      </c>
      <c r="H583">
        <v>840.49</v>
      </c>
      <c r="I583">
        <v>4055.93</v>
      </c>
      <c r="J583" t="s">
        <v>27</v>
      </c>
      <c r="K583">
        <v>0.19</v>
      </c>
      <c r="L583" t="s">
        <v>18</v>
      </c>
      <c r="M583" t="s">
        <v>21</v>
      </c>
    </row>
    <row r="584" spans="1:13" x14ac:dyDescent="0.35">
      <c r="A584">
        <v>1060</v>
      </c>
      <c r="B584" s="1">
        <v>44748</v>
      </c>
      <c r="C584" t="s">
        <v>29</v>
      </c>
      <c r="D584" t="s">
        <v>30</v>
      </c>
      <c r="E584">
        <v>89513.58</v>
      </c>
      <c r="F584">
        <v>25</v>
      </c>
      <c r="G584" t="s">
        <v>24</v>
      </c>
      <c r="H584">
        <v>1843.22</v>
      </c>
      <c r="I584">
        <v>4590.4399999999996</v>
      </c>
      <c r="J584" t="s">
        <v>27</v>
      </c>
      <c r="K584">
        <v>0.22</v>
      </c>
      <c r="L584" t="s">
        <v>28</v>
      </c>
      <c r="M584" t="s">
        <v>19</v>
      </c>
    </row>
    <row r="585" spans="1:13" x14ac:dyDescent="0.35">
      <c r="A585">
        <v>1073</v>
      </c>
      <c r="B585" s="1">
        <v>44749</v>
      </c>
      <c r="C585" t="s">
        <v>33</v>
      </c>
      <c r="D585" t="s">
        <v>30</v>
      </c>
      <c r="E585">
        <v>39389.660000000003</v>
      </c>
      <c r="F585">
        <v>16</v>
      </c>
      <c r="G585" t="s">
        <v>31</v>
      </c>
      <c r="H585">
        <v>2365.64</v>
      </c>
      <c r="I585">
        <v>2506.63</v>
      </c>
      <c r="J585" t="s">
        <v>27</v>
      </c>
      <c r="K585">
        <v>0.02</v>
      </c>
      <c r="L585" t="s">
        <v>28</v>
      </c>
      <c r="M585" t="s">
        <v>21</v>
      </c>
    </row>
    <row r="586" spans="1:13" x14ac:dyDescent="0.35">
      <c r="A586">
        <v>1016</v>
      </c>
      <c r="B586" s="1">
        <v>44749</v>
      </c>
      <c r="C586" t="s">
        <v>22</v>
      </c>
      <c r="D586" t="s">
        <v>15</v>
      </c>
      <c r="E586">
        <v>31875.34</v>
      </c>
      <c r="F586">
        <v>14</v>
      </c>
      <c r="G586" t="s">
        <v>24</v>
      </c>
      <c r="H586">
        <v>1696.46</v>
      </c>
      <c r="I586">
        <v>3076.77</v>
      </c>
      <c r="J586" t="s">
        <v>27</v>
      </c>
      <c r="K586">
        <v>0.26</v>
      </c>
      <c r="L586" t="s">
        <v>18</v>
      </c>
      <c r="M586" t="s">
        <v>19</v>
      </c>
    </row>
    <row r="587" spans="1:13" x14ac:dyDescent="0.35">
      <c r="A587">
        <v>1097</v>
      </c>
      <c r="B587" s="1">
        <v>44749</v>
      </c>
      <c r="C587" t="s">
        <v>22</v>
      </c>
      <c r="D587" t="s">
        <v>30</v>
      </c>
      <c r="E587">
        <v>105194.24000000001</v>
      </c>
      <c r="F587">
        <v>27</v>
      </c>
      <c r="G587" t="s">
        <v>24</v>
      </c>
      <c r="H587">
        <v>3518.18</v>
      </c>
      <c r="I587">
        <v>4101.1400000000003</v>
      </c>
      <c r="J587" t="s">
        <v>17</v>
      </c>
      <c r="K587">
        <v>0.05</v>
      </c>
      <c r="L587" t="s">
        <v>28</v>
      </c>
      <c r="M587" t="s">
        <v>19</v>
      </c>
    </row>
    <row r="588" spans="1:13" x14ac:dyDescent="0.35">
      <c r="A588">
        <v>1016</v>
      </c>
      <c r="B588" s="1">
        <v>44749</v>
      </c>
      <c r="C588" t="s">
        <v>22</v>
      </c>
      <c r="D588" t="s">
        <v>20</v>
      </c>
      <c r="E588">
        <v>51183.38</v>
      </c>
      <c r="F588">
        <v>16</v>
      </c>
      <c r="G588" t="s">
        <v>26</v>
      </c>
      <c r="H588">
        <v>2457.06</v>
      </c>
      <c r="I588">
        <v>3403.15</v>
      </c>
      <c r="J588" t="s">
        <v>17</v>
      </c>
      <c r="K588">
        <v>0.06</v>
      </c>
      <c r="L588" t="s">
        <v>18</v>
      </c>
      <c r="M588" t="s">
        <v>21</v>
      </c>
    </row>
    <row r="589" spans="1:13" x14ac:dyDescent="0.35">
      <c r="A589">
        <v>1033</v>
      </c>
      <c r="B589" s="1">
        <v>44749</v>
      </c>
      <c r="C589" t="s">
        <v>22</v>
      </c>
      <c r="D589" t="s">
        <v>23</v>
      </c>
      <c r="E589">
        <v>34614.959999999999</v>
      </c>
      <c r="F589">
        <v>18</v>
      </c>
      <c r="G589" t="s">
        <v>16</v>
      </c>
      <c r="H589">
        <v>996.37</v>
      </c>
      <c r="I589">
        <v>2374.14</v>
      </c>
      <c r="J589" t="s">
        <v>27</v>
      </c>
      <c r="K589">
        <v>0.19</v>
      </c>
      <c r="L589" t="s">
        <v>28</v>
      </c>
      <c r="M589" t="s">
        <v>19</v>
      </c>
    </row>
    <row r="590" spans="1:13" x14ac:dyDescent="0.35">
      <c r="A590">
        <v>1035</v>
      </c>
      <c r="B590" s="1">
        <v>44749</v>
      </c>
      <c r="C590" t="s">
        <v>29</v>
      </c>
      <c r="D590" t="s">
        <v>20</v>
      </c>
      <c r="E590">
        <v>151452.04</v>
      </c>
      <c r="F590">
        <v>46</v>
      </c>
      <c r="G590" t="s">
        <v>16</v>
      </c>
      <c r="H590">
        <v>2579.9699999999998</v>
      </c>
      <c r="I590">
        <v>3966.79</v>
      </c>
      <c r="J590" t="s">
        <v>27</v>
      </c>
      <c r="K590">
        <v>0.17</v>
      </c>
      <c r="L590" t="s">
        <v>18</v>
      </c>
      <c r="M590" t="s">
        <v>19</v>
      </c>
    </row>
    <row r="591" spans="1:13" x14ac:dyDescent="0.35">
      <c r="A591">
        <v>1083</v>
      </c>
      <c r="B591" s="1">
        <v>44750</v>
      </c>
      <c r="C591" t="s">
        <v>29</v>
      </c>
      <c r="D591" t="s">
        <v>23</v>
      </c>
      <c r="E591">
        <v>43428.34</v>
      </c>
      <c r="F591">
        <v>16</v>
      </c>
      <c r="G591" t="s">
        <v>24</v>
      </c>
      <c r="H591">
        <v>1143.45</v>
      </c>
      <c r="I591">
        <v>3718.18</v>
      </c>
      <c r="J591" t="s">
        <v>17</v>
      </c>
      <c r="K591">
        <v>0.27</v>
      </c>
      <c r="L591" t="s">
        <v>28</v>
      </c>
      <c r="M591" t="s">
        <v>19</v>
      </c>
    </row>
    <row r="592" spans="1:13" x14ac:dyDescent="0.35">
      <c r="A592">
        <v>1032</v>
      </c>
      <c r="B592" s="1">
        <v>44751</v>
      </c>
      <c r="C592" t="s">
        <v>22</v>
      </c>
      <c r="D592" t="s">
        <v>20</v>
      </c>
      <c r="E592">
        <v>10678.38</v>
      </c>
      <c r="F592">
        <v>12</v>
      </c>
      <c r="G592" t="s">
        <v>16</v>
      </c>
      <c r="H592">
        <v>872.91</v>
      </c>
      <c r="I592">
        <v>891.44</v>
      </c>
      <c r="J592" t="s">
        <v>27</v>
      </c>
      <c r="K592">
        <v>0</v>
      </c>
      <c r="L592" t="s">
        <v>28</v>
      </c>
      <c r="M592" t="s">
        <v>19</v>
      </c>
    </row>
    <row r="593" spans="1:13" x14ac:dyDescent="0.35">
      <c r="A593">
        <v>1033</v>
      </c>
      <c r="B593" s="1">
        <v>44751</v>
      </c>
      <c r="C593" t="s">
        <v>32</v>
      </c>
      <c r="D593" t="s">
        <v>15</v>
      </c>
      <c r="E593">
        <v>50058.14</v>
      </c>
      <c r="F593">
        <v>14</v>
      </c>
      <c r="G593" t="s">
        <v>26</v>
      </c>
      <c r="H593">
        <v>1178.4000000000001</v>
      </c>
      <c r="I593">
        <v>3803.81</v>
      </c>
      <c r="J593" t="s">
        <v>27</v>
      </c>
      <c r="K593">
        <v>0.06</v>
      </c>
      <c r="L593" t="s">
        <v>18</v>
      </c>
      <c r="M593" t="s">
        <v>19</v>
      </c>
    </row>
    <row r="594" spans="1:13" x14ac:dyDescent="0.35">
      <c r="A594">
        <v>1068</v>
      </c>
      <c r="B594" s="1">
        <v>44751</v>
      </c>
      <c r="C594" t="s">
        <v>33</v>
      </c>
      <c r="D594" t="s">
        <v>20</v>
      </c>
      <c r="E594">
        <v>122178.29</v>
      </c>
      <c r="F594">
        <v>47</v>
      </c>
      <c r="G594" t="s">
        <v>26</v>
      </c>
      <c r="H594">
        <v>696.02</v>
      </c>
      <c r="I594">
        <v>3058.28</v>
      </c>
      <c r="J594" t="s">
        <v>17</v>
      </c>
      <c r="K594">
        <v>0.15</v>
      </c>
      <c r="L594" t="s">
        <v>18</v>
      </c>
      <c r="M594" t="s">
        <v>19</v>
      </c>
    </row>
    <row r="595" spans="1:13" x14ac:dyDescent="0.35">
      <c r="A595">
        <v>1005</v>
      </c>
      <c r="B595" s="1">
        <v>44752</v>
      </c>
      <c r="C595" t="s">
        <v>32</v>
      </c>
      <c r="D595" t="s">
        <v>15</v>
      </c>
      <c r="E595">
        <v>6330.52</v>
      </c>
      <c r="F595">
        <v>4</v>
      </c>
      <c r="G595" t="s">
        <v>31</v>
      </c>
      <c r="H595">
        <v>1084.24</v>
      </c>
      <c r="I595">
        <v>1683.65</v>
      </c>
      <c r="J595" t="s">
        <v>17</v>
      </c>
      <c r="K595">
        <v>0.06</v>
      </c>
      <c r="L595" t="s">
        <v>25</v>
      </c>
      <c r="M595" t="s">
        <v>19</v>
      </c>
    </row>
    <row r="596" spans="1:13" x14ac:dyDescent="0.35">
      <c r="A596">
        <v>1088</v>
      </c>
      <c r="B596" s="1">
        <v>44752</v>
      </c>
      <c r="C596" t="s">
        <v>22</v>
      </c>
      <c r="D596" t="s">
        <v>30</v>
      </c>
      <c r="E596">
        <v>44946.29</v>
      </c>
      <c r="F596">
        <v>10</v>
      </c>
      <c r="G596" t="s">
        <v>26</v>
      </c>
      <c r="H596">
        <v>2292.88</v>
      </c>
      <c r="I596">
        <v>4781.5200000000004</v>
      </c>
      <c r="J596" t="s">
        <v>27</v>
      </c>
      <c r="K596">
        <v>0.06</v>
      </c>
      <c r="L596" t="s">
        <v>18</v>
      </c>
      <c r="M596" t="s">
        <v>19</v>
      </c>
    </row>
    <row r="597" spans="1:13" x14ac:dyDescent="0.35">
      <c r="A597">
        <v>1064</v>
      </c>
      <c r="B597" s="1">
        <v>44752</v>
      </c>
      <c r="C597" t="s">
        <v>32</v>
      </c>
      <c r="D597" t="s">
        <v>23</v>
      </c>
      <c r="E597">
        <v>70192.960000000006</v>
      </c>
      <c r="F597">
        <v>29</v>
      </c>
      <c r="G597" t="s">
        <v>24</v>
      </c>
      <c r="H597">
        <v>1423.65</v>
      </c>
      <c r="I597">
        <v>3409.08</v>
      </c>
      <c r="J597" t="s">
        <v>27</v>
      </c>
      <c r="K597">
        <v>0.28999999999999998</v>
      </c>
      <c r="L597" t="s">
        <v>25</v>
      </c>
      <c r="M597" t="s">
        <v>21</v>
      </c>
    </row>
    <row r="598" spans="1:13" x14ac:dyDescent="0.35">
      <c r="A598">
        <v>1044</v>
      </c>
      <c r="B598" s="1">
        <v>44753</v>
      </c>
      <c r="C598" t="s">
        <v>29</v>
      </c>
      <c r="D598" t="s">
        <v>30</v>
      </c>
      <c r="E598">
        <v>81305.210000000006</v>
      </c>
      <c r="F598">
        <v>45</v>
      </c>
      <c r="G598" t="s">
        <v>16</v>
      </c>
      <c r="H598">
        <v>1802.95</v>
      </c>
      <c r="I598">
        <v>2509.42</v>
      </c>
      <c r="J598" t="s">
        <v>17</v>
      </c>
      <c r="K598">
        <v>0.28000000000000003</v>
      </c>
      <c r="L598" t="s">
        <v>28</v>
      </c>
      <c r="M598" t="s">
        <v>21</v>
      </c>
    </row>
    <row r="599" spans="1:13" x14ac:dyDescent="0.35">
      <c r="A599">
        <v>1014</v>
      </c>
      <c r="B599" s="1">
        <v>44753</v>
      </c>
      <c r="C599" t="s">
        <v>14</v>
      </c>
      <c r="D599" t="s">
        <v>15</v>
      </c>
      <c r="E599">
        <v>8901.4699999999993</v>
      </c>
      <c r="F599">
        <v>9</v>
      </c>
      <c r="G599" t="s">
        <v>24</v>
      </c>
      <c r="H599">
        <v>891.4</v>
      </c>
      <c r="I599">
        <v>1086.8699999999999</v>
      </c>
      <c r="J599" t="s">
        <v>27</v>
      </c>
      <c r="K599">
        <v>0.09</v>
      </c>
      <c r="L599" t="s">
        <v>28</v>
      </c>
      <c r="M599" t="s">
        <v>19</v>
      </c>
    </row>
    <row r="600" spans="1:13" x14ac:dyDescent="0.35">
      <c r="A600">
        <v>1059</v>
      </c>
      <c r="B600" s="1">
        <v>44753</v>
      </c>
      <c r="C600" t="s">
        <v>32</v>
      </c>
      <c r="D600" t="s">
        <v>30</v>
      </c>
      <c r="E600">
        <v>189606.02</v>
      </c>
      <c r="F600">
        <v>50</v>
      </c>
      <c r="G600" t="s">
        <v>31</v>
      </c>
      <c r="H600">
        <v>1009.43</v>
      </c>
      <c r="I600">
        <v>4121.87</v>
      </c>
      <c r="J600" t="s">
        <v>27</v>
      </c>
      <c r="K600">
        <v>0.08</v>
      </c>
      <c r="L600" t="s">
        <v>28</v>
      </c>
      <c r="M600" t="s">
        <v>19</v>
      </c>
    </row>
    <row r="601" spans="1:13" x14ac:dyDescent="0.35">
      <c r="A601">
        <v>1008</v>
      </c>
      <c r="B601" s="1">
        <v>44754</v>
      </c>
      <c r="C601" t="s">
        <v>32</v>
      </c>
      <c r="D601" t="s">
        <v>20</v>
      </c>
      <c r="E601">
        <v>45117.9</v>
      </c>
      <c r="F601">
        <v>40</v>
      </c>
      <c r="G601" t="s">
        <v>26</v>
      </c>
      <c r="H601">
        <v>949.64</v>
      </c>
      <c r="I601">
        <v>1503.93</v>
      </c>
      <c r="J601" t="s">
        <v>27</v>
      </c>
      <c r="K601">
        <v>0.25</v>
      </c>
      <c r="L601" t="s">
        <v>25</v>
      </c>
      <c r="M601" t="s">
        <v>21</v>
      </c>
    </row>
    <row r="602" spans="1:13" x14ac:dyDescent="0.35">
      <c r="A602">
        <v>1071</v>
      </c>
      <c r="B602" s="1">
        <v>44754</v>
      </c>
      <c r="C602" t="s">
        <v>32</v>
      </c>
      <c r="D602" t="s">
        <v>15</v>
      </c>
      <c r="E602">
        <v>106697.22</v>
      </c>
      <c r="F602">
        <v>21</v>
      </c>
      <c r="G602" t="s">
        <v>26</v>
      </c>
      <c r="H602">
        <v>2290.69</v>
      </c>
      <c r="I602">
        <v>5080.82</v>
      </c>
      <c r="J602" t="s">
        <v>27</v>
      </c>
      <c r="K602">
        <v>0</v>
      </c>
      <c r="L602" t="s">
        <v>18</v>
      </c>
      <c r="M602" t="s">
        <v>19</v>
      </c>
    </row>
    <row r="603" spans="1:13" x14ac:dyDescent="0.35">
      <c r="A603">
        <v>1003</v>
      </c>
      <c r="B603" s="1">
        <v>44755</v>
      </c>
      <c r="C603" t="s">
        <v>14</v>
      </c>
      <c r="D603" t="s">
        <v>30</v>
      </c>
      <c r="E603">
        <v>2479.21</v>
      </c>
      <c r="F603">
        <v>1</v>
      </c>
      <c r="G603" t="s">
        <v>24</v>
      </c>
      <c r="H603">
        <v>727.01</v>
      </c>
      <c r="I603">
        <v>2529.81</v>
      </c>
      <c r="J603" t="s">
        <v>17</v>
      </c>
      <c r="K603">
        <v>0.02</v>
      </c>
      <c r="L603" t="s">
        <v>18</v>
      </c>
      <c r="M603" t="s">
        <v>21</v>
      </c>
    </row>
    <row r="604" spans="1:13" x14ac:dyDescent="0.35">
      <c r="A604">
        <v>1050</v>
      </c>
      <c r="B604" s="1">
        <v>44755</v>
      </c>
      <c r="C604" t="s">
        <v>32</v>
      </c>
      <c r="D604" t="s">
        <v>20</v>
      </c>
      <c r="E604">
        <v>5389.45</v>
      </c>
      <c r="F604">
        <v>3</v>
      </c>
      <c r="G604" t="s">
        <v>16</v>
      </c>
      <c r="H604">
        <v>1163.4000000000001</v>
      </c>
      <c r="I604">
        <v>2395.31</v>
      </c>
      <c r="J604" t="s">
        <v>27</v>
      </c>
      <c r="K604">
        <v>0.25</v>
      </c>
      <c r="L604" t="s">
        <v>28</v>
      </c>
      <c r="M604" t="s">
        <v>19</v>
      </c>
    </row>
    <row r="605" spans="1:13" x14ac:dyDescent="0.35">
      <c r="A605">
        <v>1097</v>
      </c>
      <c r="B605" s="1">
        <v>44755</v>
      </c>
      <c r="C605" t="s">
        <v>14</v>
      </c>
      <c r="D605" t="s">
        <v>20</v>
      </c>
      <c r="E605">
        <v>15076.67</v>
      </c>
      <c r="F605">
        <v>5</v>
      </c>
      <c r="G605" t="s">
        <v>26</v>
      </c>
      <c r="H605">
        <v>2155.5</v>
      </c>
      <c r="I605">
        <v>4246.95</v>
      </c>
      <c r="J605" t="s">
        <v>27</v>
      </c>
      <c r="K605">
        <v>0.28999999999999998</v>
      </c>
      <c r="L605" t="s">
        <v>28</v>
      </c>
      <c r="M605" t="s">
        <v>19</v>
      </c>
    </row>
    <row r="606" spans="1:13" x14ac:dyDescent="0.35">
      <c r="A606">
        <v>1009</v>
      </c>
      <c r="B606" s="1">
        <v>44755</v>
      </c>
      <c r="C606" t="s">
        <v>33</v>
      </c>
      <c r="D606" t="s">
        <v>30</v>
      </c>
      <c r="E606">
        <v>76779.64</v>
      </c>
      <c r="F606">
        <v>31</v>
      </c>
      <c r="G606" t="s">
        <v>31</v>
      </c>
      <c r="H606">
        <v>843.89</v>
      </c>
      <c r="I606">
        <v>3302.35</v>
      </c>
      <c r="J606" t="s">
        <v>27</v>
      </c>
      <c r="K606">
        <v>0.25</v>
      </c>
      <c r="L606" t="s">
        <v>18</v>
      </c>
      <c r="M606" t="s">
        <v>19</v>
      </c>
    </row>
    <row r="607" spans="1:13" x14ac:dyDescent="0.35">
      <c r="A607">
        <v>1044</v>
      </c>
      <c r="B607" s="1">
        <v>44755</v>
      </c>
      <c r="C607" t="s">
        <v>32</v>
      </c>
      <c r="D607" t="s">
        <v>15</v>
      </c>
      <c r="E607">
        <v>189399.86</v>
      </c>
      <c r="F607">
        <v>44</v>
      </c>
      <c r="G607" t="s">
        <v>24</v>
      </c>
      <c r="H607">
        <v>2355.6799999999998</v>
      </c>
      <c r="I607">
        <v>4628.54</v>
      </c>
      <c r="J607" t="s">
        <v>27</v>
      </c>
      <c r="K607">
        <v>7.0000000000000007E-2</v>
      </c>
      <c r="L607" t="s">
        <v>28</v>
      </c>
      <c r="M607" t="s">
        <v>19</v>
      </c>
    </row>
    <row r="608" spans="1:13" x14ac:dyDescent="0.35">
      <c r="A608">
        <v>1098</v>
      </c>
      <c r="B608" s="1">
        <v>44756</v>
      </c>
      <c r="C608" t="s">
        <v>33</v>
      </c>
      <c r="D608" t="s">
        <v>15</v>
      </c>
      <c r="E608">
        <v>101760.49</v>
      </c>
      <c r="F608">
        <v>32</v>
      </c>
      <c r="G608" t="s">
        <v>31</v>
      </c>
      <c r="H608">
        <v>3145.91</v>
      </c>
      <c r="I608">
        <v>4129.8900000000003</v>
      </c>
      <c r="J608" t="s">
        <v>27</v>
      </c>
      <c r="K608">
        <v>0.23</v>
      </c>
      <c r="L608" t="s">
        <v>28</v>
      </c>
      <c r="M608" t="s">
        <v>19</v>
      </c>
    </row>
    <row r="609" spans="1:13" x14ac:dyDescent="0.35">
      <c r="A609">
        <v>1033</v>
      </c>
      <c r="B609" s="1">
        <v>44756</v>
      </c>
      <c r="C609" t="s">
        <v>33</v>
      </c>
      <c r="D609" t="s">
        <v>15</v>
      </c>
      <c r="E609">
        <v>38359.47</v>
      </c>
      <c r="F609">
        <v>29</v>
      </c>
      <c r="G609" t="s">
        <v>24</v>
      </c>
      <c r="H609">
        <v>1095.7</v>
      </c>
      <c r="I609">
        <v>1337.54</v>
      </c>
      <c r="J609" t="s">
        <v>17</v>
      </c>
      <c r="K609">
        <v>0.01</v>
      </c>
      <c r="L609" t="s">
        <v>28</v>
      </c>
      <c r="M609" t="s">
        <v>21</v>
      </c>
    </row>
    <row r="610" spans="1:13" x14ac:dyDescent="0.35">
      <c r="A610">
        <v>1048</v>
      </c>
      <c r="B610" s="1">
        <v>44756</v>
      </c>
      <c r="C610" t="s">
        <v>33</v>
      </c>
      <c r="D610" t="s">
        <v>30</v>
      </c>
      <c r="E610">
        <v>58819.45</v>
      </c>
      <c r="F610">
        <v>27</v>
      </c>
      <c r="G610" t="s">
        <v>26</v>
      </c>
      <c r="H610">
        <v>894.29</v>
      </c>
      <c r="I610">
        <v>2593.4499999999998</v>
      </c>
      <c r="J610" t="s">
        <v>17</v>
      </c>
      <c r="K610">
        <v>0.16</v>
      </c>
      <c r="L610" t="s">
        <v>28</v>
      </c>
      <c r="M610" t="s">
        <v>21</v>
      </c>
    </row>
    <row r="611" spans="1:13" x14ac:dyDescent="0.35">
      <c r="A611">
        <v>1085</v>
      </c>
      <c r="B611" s="1">
        <v>44756</v>
      </c>
      <c r="C611" t="s">
        <v>29</v>
      </c>
      <c r="D611" t="s">
        <v>23</v>
      </c>
      <c r="E611">
        <v>68584.84</v>
      </c>
      <c r="F611">
        <v>26</v>
      </c>
      <c r="G611" t="s">
        <v>16</v>
      </c>
      <c r="H611">
        <v>1269.6300000000001</v>
      </c>
      <c r="I611">
        <v>3256.64</v>
      </c>
      <c r="J611" t="s">
        <v>27</v>
      </c>
      <c r="K611">
        <v>0.19</v>
      </c>
      <c r="L611" t="s">
        <v>28</v>
      </c>
      <c r="M611" t="s">
        <v>19</v>
      </c>
    </row>
    <row r="612" spans="1:13" x14ac:dyDescent="0.35">
      <c r="A612">
        <v>1007</v>
      </c>
      <c r="B612" s="1">
        <v>44756</v>
      </c>
      <c r="C612" t="s">
        <v>29</v>
      </c>
      <c r="D612" t="s">
        <v>23</v>
      </c>
      <c r="E612">
        <v>117520.82</v>
      </c>
      <c r="F612">
        <v>43</v>
      </c>
      <c r="G612" t="s">
        <v>26</v>
      </c>
      <c r="H612">
        <v>896.47</v>
      </c>
      <c r="I612">
        <v>3105.73</v>
      </c>
      <c r="J612" t="s">
        <v>27</v>
      </c>
      <c r="K612">
        <v>0.12</v>
      </c>
      <c r="L612" t="s">
        <v>28</v>
      </c>
      <c r="M612" t="s">
        <v>21</v>
      </c>
    </row>
    <row r="613" spans="1:13" x14ac:dyDescent="0.35">
      <c r="A613">
        <v>1015</v>
      </c>
      <c r="B613" s="1">
        <v>44757</v>
      </c>
      <c r="C613" t="s">
        <v>32</v>
      </c>
      <c r="D613" t="s">
        <v>20</v>
      </c>
      <c r="E613">
        <v>168727.61</v>
      </c>
      <c r="F613">
        <v>46</v>
      </c>
      <c r="G613" t="s">
        <v>16</v>
      </c>
      <c r="H613">
        <v>3594.06</v>
      </c>
      <c r="I613">
        <v>4030.76</v>
      </c>
      <c r="J613" t="s">
        <v>17</v>
      </c>
      <c r="K613">
        <v>0.09</v>
      </c>
      <c r="L613" t="s">
        <v>28</v>
      </c>
      <c r="M613" t="s">
        <v>19</v>
      </c>
    </row>
    <row r="614" spans="1:13" x14ac:dyDescent="0.35">
      <c r="A614">
        <v>1042</v>
      </c>
      <c r="B614" s="1">
        <v>44757</v>
      </c>
      <c r="C614" t="s">
        <v>14</v>
      </c>
      <c r="D614" t="s">
        <v>23</v>
      </c>
      <c r="E614">
        <v>46704.02</v>
      </c>
      <c r="F614">
        <v>9</v>
      </c>
      <c r="G614" t="s">
        <v>24</v>
      </c>
      <c r="H614">
        <v>4800.18</v>
      </c>
      <c r="I614">
        <v>5429.76</v>
      </c>
      <c r="J614" t="s">
        <v>17</v>
      </c>
      <c r="K614">
        <v>0.04</v>
      </c>
      <c r="L614" t="s">
        <v>28</v>
      </c>
      <c r="M614" t="s">
        <v>19</v>
      </c>
    </row>
    <row r="615" spans="1:13" x14ac:dyDescent="0.35">
      <c r="A615">
        <v>1062</v>
      </c>
      <c r="B615" s="1">
        <v>44757</v>
      </c>
      <c r="C615" t="s">
        <v>14</v>
      </c>
      <c r="D615" t="s">
        <v>20</v>
      </c>
      <c r="E615">
        <v>6838.49</v>
      </c>
      <c r="F615">
        <v>2</v>
      </c>
      <c r="G615" t="s">
        <v>16</v>
      </c>
      <c r="H615">
        <v>1085.0999999999999</v>
      </c>
      <c r="I615">
        <v>4748.95</v>
      </c>
      <c r="J615" t="s">
        <v>27</v>
      </c>
      <c r="K615">
        <v>0.28000000000000003</v>
      </c>
      <c r="L615" t="s">
        <v>18</v>
      </c>
      <c r="M615" t="s">
        <v>21</v>
      </c>
    </row>
    <row r="616" spans="1:13" x14ac:dyDescent="0.35">
      <c r="A616">
        <v>1068</v>
      </c>
      <c r="B616" s="1">
        <v>44757</v>
      </c>
      <c r="C616" t="s">
        <v>14</v>
      </c>
      <c r="D616" t="s">
        <v>15</v>
      </c>
      <c r="E616">
        <v>55917</v>
      </c>
      <c r="F616">
        <v>16</v>
      </c>
      <c r="G616" t="s">
        <v>16</v>
      </c>
      <c r="H616">
        <v>145.22</v>
      </c>
      <c r="I616">
        <v>4722.72</v>
      </c>
      <c r="J616" t="s">
        <v>27</v>
      </c>
      <c r="K616">
        <v>0.26</v>
      </c>
      <c r="L616" t="s">
        <v>28</v>
      </c>
      <c r="M616" t="s">
        <v>21</v>
      </c>
    </row>
    <row r="617" spans="1:13" x14ac:dyDescent="0.35">
      <c r="A617">
        <v>1084</v>
      </c>
      <c r="B617" s="1">
        <v>44758</v>
      </c>
      <c r="C617" t="s">
        <v>29</v>
      </c>
      <c r="D617" t="s">
        <v>23</v>
      </c>
      <c r="E617">
        <v>30904.06</v>
      </c>
      <c r="F617">
        <v>18</v>
      </c>
      <c r="G617" t="s">
        <v>24</v>
      </c>
      <c r="H617">
        <v>1625.31</v>
      </c>
      <c r="I617">
        <v>2229.73</v>
      </c>
      <c r="J617" t="s">
        <v>27</v>
      </c>
      <c r="K617">
        <v>0.23</v>
      </c>
      <c r="L617" t="s">
        <v>25</v>
      </c>
      <c r="M617" t="s">
        <v>19</v>
      </c>
    </row>
    <row r="618" spans="1:13" x14ac:dyDescent="0.35">
      <c r="A618">
        <v>1015</v>
      </c>
      <c r="B618" s="1">
        <v>44758</v>
      </c>
      <c r="C618" t="s">
        <v>14</v>
      </c>
      <c r="D618" t="s">
        <v>23</v>
      </c>
      <c r="E618">
        <v>97159.32</v>
      </c>
      <c r="F618">
        <v>46</v>
      </c>
      <c r="G618" t="s">
        <v>16</v>
      </c>
      <c r="H618">
        <v>1925.74</v>
      </c>
      <c r="I618">
        <v>2544.77</v>
      </c>
      <c r="J618" t="s">
        <v>27</v>
      </c>
      <c r="K618">
        <v>0.17</v>
      </c>
      <c r="L618" t="s">
        <v>28</v>
      </c>
      <c r="M618" t="s">
        <v>19</v>
      </c>
    </row>
    <row r="619" spans="1:13" x14ac:dyDescent="0.35">
      <c r="A619">
        <v>1022</v>
      </c>
      <c r="B619" s="1">
        <v>44758</v>
      </c>
      <c r="C619" t="s">
        <v>22</v>
      </c>
      <c r="D619" t="s">
        <v>30</v>
      </c>
      <c r="E619">
        <v>22409.93</v>
      </c>
      <c r="F619">
        <v>9</v>
      </c>
      <c r="G619" t="s">
        <v>31</v>
      </c>
      <c r="H619">
        <v>971.32</v>
      </c>
      <c r="I619">
        <v>3112.49</v>
      </c>
      <c r="J619" t="s">
        <v>27</v>
      </c>
      <c r="K619">
        <v>0.2</v>
      </c>
      <c r="L619" t="s">
        <v>18</v>
      </c>
      <c r="M619" t="s">
        <v>21</v>
      </c>
    </row>
    <row r="620" spans="1:13" x14ac:dyDescent="0.35">
      <c r="A620">
        <v>1099</v>
      </c>
      <c r="B620" s="1">
        <v>44758</v>
      </c>
      <c r="C620" t="s">
        <v>14</v>
      </c>
      <c r="D620" t="s">
        <v>23</v>
      </c>
      <c r="E620">
        <v>129564.22</v>
      </c>
      <c r="F620">
        <v>33</v>
      </c>
      <c r="G620" t="s">
        <v>31</v>
      </c>
      <c r="H620">
        <v>3415.66</v>
      </c>
      <c r="I620">
        <v>3968.94</v>
      </c>
      <c r="J620" t="s">
        <v>17</v>
      </c>
      <c r="K620">
        <v>0.01</v>
      </c>
      <c r="L620" t="s">
        <v>18</v>
      </c>
      <c r="M620" t="s">
        <v>21</v>
      </c>
    </row>
    <row r="621" spans="1:13" x14ac:dyDescent="0.35">
      <c r="A621">
        <v>1016</v>
      </c>
      <c r="B621" s="1">
        <v>44759</v>
      </c>
      <c r="C621" t="s">
        <v>14</v>
      </c>
      <c r="D621" t="s">
        <v>20</v>
      </c>
      <c r="E621">
        <v>37802.959999999999</v>
      </c>
      <c r="F621">
        <v>12</v>
      </c>
      <c r="G621" t="s">
        <v>26</v>
      </c>
      <c r="H621">
        <v>3084.91</v>
      </c>
      <c r="I621">
        <v>3154.24</v>
      </c>
      <c r="J621" t="s">
        <v>27</v>
      </c>
      <c r="K621">
        <v>0</v>
      </c>
      <c r="L621" t="s">
        <v>28</v>
      </c>
      <c r="M621" t="s">
        <v>21</v>
      </c>
    </row>
    <row r="622" spans="1:13" x14ac:dyDescent="0.35">
      <c r="A622">
        <v>1078</v>
      </c>
      <c r="B622" s="1">
        <v>44760</v>
      </c>
      <c r="C622" t="s">
        <v>32</v>
      </c>
      <c r="D622" t="s">
        <v>15</v>
      </c>
      <c r="E622">
        <v>21572.61</v>
      </c>
      <c r="F622">
        <v>6</v>
      </c>
      <c r="G622" t="s">
        <v>26</v>
      </c>
      <c r="H622">
        <v>3512.1</v>
      </c>
      <c r="I622">
        <v>4993.66</v>
      </c>
      <c r="J622" t="s">
        <v>27</v>
      </c>
      <c r="K622">
        <v>0.28000000000000003</v>
      </c>
      <c r="L622" t="s">
        <v>28</v>
      </c>
      <c r="M622" t="s">
        <v>19</v>
      </c>
    </row>
    <row r="623" spans="1:13" x14ac:dyDescent="0.35">
      <c r="A623">
        <v>1013</v>
      </c>
      <c r="B623" s="1">
        <v>44760</v>
      </c>
      <c r="C623" t="s">
        <v>33</v>
      </c>
      <c r="D623" t="s">
        <v>15</v>
      </c>
      <c r="E623">
        <v>48235.07</v>
      </c>
      <c r="F623">
        <v>13</v>
      </c>
      <c r="G623" t="s">
        <v>16</v>
      </c>
      <c r="H623">
        <v>809.24</v>
      </c>
      <c r="I623">
        <v>4756.91</v>
      </c>
      <c r="J623" t="s">
        <v>27</v>
      </c>
      <c r="K623">
        <v>0.22</v>
      </c>
      <c r="L623" t="s">
        <v>18</v>
      </c>
      <c r="M623" t="s">
        <v>21</v>
      </c>
    </row>
    <row r="624" spans="1:13" x14ac:dyDescent="0.35">
      <c r="A624">
        <v>1053</v>
      </c>
      <c r="B624" s="1">
        <v>44760</v>
      </c>
      <c r="C624" t="s">
        <v>29</v>
      </c>
      <c r="D624" t="s">
        <v>23</v>
      </c>
      <c r="E624">
        <v>94361.67</v>
      </c>
      <c r="F624">
        <v>31</v>
      </c>
      <c r="G624" t="s">
        <v>24</v>
      </c>
      <c r="H624">
        <v>566.4</v>
      </c>
      <c r="I624">
        <v>3623.72</v>
      </c>
      <c r="J624" t="s">
        <v>17</v>
      </c>
      <c r="K624">
        <v>0.16</v>
      </c>
      <c r="L624" t="s">
        <v>18</v>
      </c>
      <c r="M624" t="s">
        <v>21</v>
      </c>
    </row>
    <row r="625" spans="1:13" x14ac:dyDescent="0.35">
      <c r="A625">
        <v>1038</v>
      </c>
      <c r="B625" s="1">
        <v>44761</v>
      </c>
      <c r="C625" t="s">
        <v>33</v>
      </c>
      <c r="D625" t="s">
        <v>30</v>
      </c>
      <c r="E625">
        <v>72506.649999999994</v>
      </c>
      <c r="F625">
        <v>29</v>
      </c>
      <c r="G625" t="s">
        <v>16</v>
      </c>
      <c r="H625">
        <v>2062.54</v>
      </c>
      <c r="I625">
        <v>3049.06</v>
      </c>
      <c r="J625" t="s">
        <v>17</v>
      </c>
      <c r="K625">
        <v>0.18</v>
      </c>
      <c r="L625" t="s">
        <v>18</v>
      </c>
      <c r="M625" t="s">
        <v>19</v>
      </c>
    </row>
    <row r="626" spans="1:13" x14ac:dyDescent="0.35">
      <c r="A626">
        <v>1084</v>
      </c>
      <c r="B626" s="1">
        <v>44761</v>
      </c>
      <c r="C626" t="s">
        <v>29</v>
      </c>
      <c r="D626" t="s">
        <v>23</v>
      </c>
      <c r="E626">
        <v>90149.32</v>
      </c>
      <c r="F626">
        <v>20</v>
      </c>
      <c r="G626" t="s">
        <v>24</v>
      </c>
      <c r="H626">
        <v>3031.64</v>
      </c>
      <c r="I626">
        <v>5496.91</v>
      </c>
      <c r="J626" t="s">
        <v>17</v>
      </c>
      <c r="K626">
        <v>0.18</v>
      </c>
      <c r="L626" t="s">
        <v>28</v>
      </c>
      <c r="M626" t="s">
        <v>21</v>
      </c>
    </row>
    <row r="627" spans="1:13" x14ac:dyDescent="0.35">
      <c r="A627">
        <v>1065</v>
      </c>
      <c r="B627" s="1">
        <v>44761</v>
      </c>
      <c r="C627" t="s">
        <v>14</v>
      </c>
      <c r="D627" t="s">
        <v>30</v>
      </c>
      <c r="E627">
        <v>64895.77</v>
      </c>
      <c r="F627">
        <v>40</v>
      </c>
      <c r="G627" t="s">
        <v>24</v>
      </c>
      <c r="H627">
        <v>615.67999999999995</v>
      </c>
      <c r="I627">
        <v>1744.51</v>
      </c>
      <c r="J627" t="s">
        <v>17</v>
      </c>
      <c r="K627">
        <v>7.0000000000000007E-2</v>
      </c>
      <c r="L627" t="s">
        <v>18</v>
      </c>
      <c r="M627" t="s">
        <v>21</v>
      </c>
    </row>
    <row r="628" spans="1:13" x14ac:dyDescent="0.35">
      <c r="A628">
        <v>1020</v>
      </c>
      <c r="B628" s="1">
        <v>44761</v>
      </c>
      <c r="C628" t="s">
        <v>14</v>
      </c>
      <c r="D628" t="s">
        <v>30</v>
      </c>
      <c r="E628">
        <v>107898.01</v>
      </c>
      <c r="F628">
        <v>36</v>
      </c>
      <c r="G628" t="s">
        <v>24</v>
      </c>
      <c r="H628">
        <v>420.44</v>
      </c>
      <c r="I628">
        <v>3293.59</v>
      </c>
      <c r="J628" t="s">
        <v>17</v>
      </c>
      <c r="K628">
        <v>0.09</v>
      </c>
      <c r="L628" t="s">
        <v>25</v>
      </c>
      <c r="M628" t="s">
        <v>21</v>
      </c>
    </row>
    <row r="629" spans="1:13" x14ac:dyDescent="0.35">
      <c r="A629">
        <v>1058</v>
      </c>
      <c r="B629" s="1">
        <v>44762</v>
      </c>
      <c r="C629" t="s">
        <v>32</v>
      </c>
      <c r="D629" t="s">
        <v>15</v>
      </c>
      <c r="E629">
        <v>91487.75</v>
      </c>
      <c r="F629">
        <v>30</v>
      </c>
      <c r="G629" t="s">
        <v>31</v>
      </c>
      <c r="H629">
        <v>2735.69</v>
      </c>
      <c r="I629">
        <v>3199.27</v>
      </c>
      <c r="J629" t="s">
        <v>27</v>
      </c>
      <c r="K629">
        <v>0.05</v>
      </c>
      <c r="L629" t="s">
        <v>18</v>
      </c>
      <c r="M629" t="s">
        <v>21</v>
      </c>
    </row>
    <row r="630" spans="1:13" x14ac:dyDescent="0.35">
      <c r="A630">
        <v>1038</v>
      </c>
      <c r="B630" s="1">
        <v>44763</v>
      </c>
      <c r="C630" t="s">
        <v>14</v>
      </c>
      <c r="D630" t="s">
        <v>30</v>
      </c>
      <c r="E630">
        <v>24777.599999999999</v>
      </c>
      <c r="F630">
        <v>20</v>
      </c>
      <c r="G630" t="s">
        <v>16</v>
      </c>
      <c r="H630">
        <v>329.78</v>
      </c>
      <c r="I630">
        <v>1238.8800000000001</v>
      </c>
      <c r="J630" t="s">
        <v>17</v>
      </c>
      <c r="K630">
        <v>0</v>
      </c>
      <c r="L630" t="s">
        <v>25</v>
      </c>
      <c r="M630" t="s">
        <v>19</v>
      </c>
    </row>
    <row r="631" spans="1:13" x14ac:dyDescent="0.35">
      <c r="A631">
        <v>1027</v>
      </c>
      <c r="B631" s="1">
        <v>44763</v>
      </c>
      <c r="C631" t="s">
        <v>32</v>
      </c>
      <c r="D631" t="s">
        <v>30</v>
      </c>
      <c r="E631">
        <v>30337.51</v>
      </c>
      <c r="F631">
        <v>8</v>
      </c>
      <c r="G631" t="s">
        <v>31</v>
      </c>
      <c r="H631">
        <v>932.3</v>
      </c>
      <c r="I631">
        <v>4167.24</v>
      </c>
      <c r="J631" t="s">
        <v>27</v>
      </c>
      <c r="K631">
        <v>0.09</v>
      </c>
      <c r="L631" t="s">
        <v>25</v>
      </c>
      <c r="M631" t="s">
        <v>21</v>
      </c>
    </row>
    <row r="632" spans="1:13" x14ac:dyDescent="0.35">
      <c r="A632">
        <v>1090</v>
      </c>
      <c r="B632" s="1">
        <v>44763</v>
      </c>
      <c r="C632" t="s">
        <v>32</v>
      </c>
      <c r="D632" t="s">
        <v>15</v>
      </c>
      <c r="E632">
        <v>57115.86</v>
      </c>
      <c r="F632">
        <v>15</v>
      </c>
      <c r="G632" t="s">
        <v>24</v>
      </c>
      <c r="H632">
        <v>1612.32</v>
      </c>
      <c r="I632">
        <v>4050.77</v>
      </c>
      <c r="J632" t="s">
        <v>17</v>
      </c>
      <c r="K632">
        <v>0.06</v>
      </c>
      <c r="L632" t="s">
        <v>25</v>
      </c>
      <c r="M632" t="s">
        <v>21</v>
      </c>
    </row>
    <row r="633" spans="1:13" x14ac:dyDescent="0.35">
      <c r="A633">
        <v>1078</v>
      </c>
      <c r="B633" s="1">
        <v>44763</v>
      </c>
      <c r="C633" t="s">
        <v>29</v>
      </c>
      <c r="D633" t="s">
        <v>30</v>
      </c>
      <c r="E633">
        <v>60999.82</v>
      </c>
      <c r="F633">
        <v>43</v>
      </c>
      <c r="G633" t="s">
        <v>31</v>
      </c>
      <c r="H633">
        <v>630.24</v>
      </c>
      <c r="I633">
        <v>1688.81</v>
      </c>
      <c r="J633" t="s">
        <v>27</v>
      </c>
      <c r="K633">
        <v>0.16</v>
      </c>
      <c r="L633" t="s">
        <v>25</v>
      </c>
      <c r="M633" t="s">
        <v>19</v>
      </c>
    </row>
    <row r="634" spans="1:13" x14ac:dyDescent="0.35">
      <c r="A634">
        <v>1032</v>
      </c>
      <c r="B634" s="1">
        <v>44763</v>
      </c>
      <c r="C634" t="s">
        <v>22</v>
      </c>
      <c r="D634" t="s">
        <v>15</v>
      </c>
      <c r="E634">
        <v>214370.73</v>
      </c>
      <c r="F634">
        <v>49</v>
      </c>
      <c r="G634" t="s">
        <v>26</v>
      </c>
      <c r="H634">
        <v>3045.1</v>
      </c>
      <c r="I634">
        <v>4755.34</v>
      </c>
      <c r="J634" t="s">
        <v>27</v>
      </c>
      <c r="K634">
        <v>0.08</v>
      </c>
      <c r="L634" t="s">
        <v>25</v>
      </c>
      <c r="M634" t="s">
        <v>21</v>
      </c>
    </row>
    <row r="635" spans="1:13" x14ac:dyDescent="0.35">
      <c r="A635">
        <v>1098</v>
      </c>
      <c r="B635" s="1">
        <v>44764</v>
      </c>
      <c r="C635" t="s">
        <v>29</v>
      </c>
      <c r="D635" t="s">
        <v>15</v>
      </c>
      <c r="E635">
        <v>55889.35</v>
      </c>
      <c r="F635">
        <v>17</v>
      </c>
      <c r="G635" t="s">
        <v>26</v>
      </c>
      <c r="H635">
        <v>3196.22</v>
      </c>
      <c r="I635">
        <v>3913.82</v>
      </c>
      <c r="J635" t="s">
        <v>17</v>
      </c>
      <c r="K635">
        <v>0.16</v>
      </c>
      <c r="L635" t="s">
        <v>28</v>
      </c>
      <c r="M635" t="s">
        <v>19</v>
      </c>
    </row>
    <row r="636" spans="1:13" x14ac:dyDescent="0.35">
      <c r="A636">
        <v>1055</v>
      </c>
      <c r="B636" s="1">
        <v>44764</v>
      </c>
      <c r="C636" t="s">
        <v>14</v>
      </c>
      <c r="D636" t="s">
        <v>23</v>
      </c>
      <c r="E636">
        <v>122607.48</v>
      </c>
      <c r="F636">
        <v>43</v>
      </c>
      <c r="G636" t="s">
        <v>24</v>
      </c>
      <c r="H636">
        <v>853.73</v>
      </c>
      <c r="I636">
        <v>3960.19</v>
      </c>
      <c r="J636" t="s">
        <v>27</v>
      </c>
      <c r="K636">
        <v>0.28000000000000003</v>
      </c>
      <c r="L636" t="s">
        <v>25</v>
      </c>
      <c r="M636" t="s">
        <v>19</v>
      </c>
    </row>
    <row r="637" spans="1:13" x14ac:dyDescent="0.35">
      <c r="A637">
        <v>1009</v>
      </c>
      <c r="B637" s="1">
        <v>44765</v>
      </c>
      <c r="C637" t="s">
        <v>14</v>
      </c>
      <c r="D637" t="s">
        <v>20</v>
      </c>
      <c r="E637">
        <v>23629.25</v>
      </c>
      <c r="F637">
        <v>11</v>
      </c>
      <c r="G637" t="s">
        <v>31</v>
      </c>
      <c r="H637">
        <v>2135.3000000000002</v>
      </c>
      <c r="I637">
        <v>2214.5500000000002</v>
      </c>
      <c r="J637" t="s">
        <v>27</v>
      </c>
      <c r="K637">
        <v>0.03</v>
      </c>
      <c r="L637" t="s">
        <v>18</v>
      </c>
      <c r="M637" t="s">
        <v>21</v>
      </c>
    </row>
    <row r="638" spans="1:13" x14ac:dyDescent="0.35">
      <c r="A638">
        <v>1027</v>
      </c>
      <c r="B638" s="1">
        <v>44765</v>
      </c>
      <c r="C638" t="s">
        <v>22</v>
      </c>
      <c r="D638" t="s">
        <v>20</v>
      </c>
      <c r="E638">
        <v>26016.32</v>
      </c>
      <c r="F638">
        <v>10</v>
      </c>
      <c r="G638" t="s">
        <v>16</v>
      </c>
      <c r="H638">
        <v>330.34</v>
      </c>
      <c r="I638">
        <v>2738.56</v>
      </c>
      <c r="J638" t="s">
        <v>27</v>
      </c>
      <c r="K638">
        <v>0.05</v>
      </c>
      <c r="L638" t="s">
        <v>25</v>
      </c>
      <c r="M638" t="s">
        <v>21</v>
      </c>
    </row>
    <row r="639" spans="1:13" x14ac:dyDescent="0.35">
      <c r="A639">
        <v>1039</v>
      </c>
      <c r="B639" s="1">
        <v>44766</v>
      </c>
      <c r="C639" t="s">
        <v>22</v>
      </c>
      <c r="D639" t="s">
        <v>15</v>
      </c>
      <c r="E639">
        <v>4630.3999999999996</v>
      </c>
      <c r="F639">
        <v>2</v>
      </c>
      <c r="G639" t="s">
        <v>31</v>
      </c>
      <c r="H639">
        <v>1702.38</v>
      </c>
      <c r="I639">
        <v>3086.93</v>
      </c>
      <c r="J639" t="s">
        <v>27</v>
      </c>
      <c r="K639">
        <v>0.25</v>
      </c>
      <c r="L639" t="s">
        <v>25</v>
      </c>
      <c r="M639" t="s">
        <v>21</v>
      </c>
    </row>
    <row r="640" spans="1:13" x14ac:dyDescent="0.35">
      <c r="A640">
        <v>1081</v>
      </c>
      <c r="B640" s="1">
        <v>44766</v>
      </c>
      <c r="C640" t="s">
        <v>32</v>
      </c>
      <c r="D640" t="s">
        <v>23</v>
      </c>
      <c r="E640">
        <v>28013.47</v>
      </c>
      <c r="F640">
        <v>35</v>
      </c>
      <c r="G640" t="s">
        <v>24</v>
      </c>
      <c r="H640">
        <v>253.89</v>
      </c>
      <c r="I640">
        <v>930.68</v>
      </c>
      <c r="J640" t="s">
        <v>27</v>
      </c>
      <c r="K640">
        <v>0.14000000000000001</v>
      </c>
      <c r="L640" t="s">
        <v>18</v>
      </c>
      <c r="M640" t="s">
        <v>19</v>
      </c>
    </row>
    <row r="641" spans="1:13" x14ac:dyDescent="0.35">
      <c r="A641">
        <v>1025</v>
      </c>
      <c r="B641" s="1">
        <v>44766</v>
      </c>
      <c r="C641" t="s">
        <v>33</v>
      </c>
      <c r="D641" t="s">
        <v>20</v>
      </c>
      <c r="E641">
        <v>54725.23</v>
      </c>
      <c r="F641">
        <v>14</v>
      </c>
      <c r="G641" t="s">
        <v>16</v>
      </c>
      <c r="H641">
        <v>1394.07</v>
      </c>
      <c r="I641">
        <v>4493.04</v>
      </c>
      <c r="J641" t="s">
        <v>17</v>
      </c>
      <c r="K641">
        <v>0.13</v>
      </c>
      <c r="L641" t="s">
        <v>25</v>
      </c>
      <c r="M641" t="s">
        <v>19</v>
      </c>
    </row>
    <row r="642" spans="1:13" x14ac:dyDescent="0.35">
      <c r="A642">
        <v>1083</v>
      </c>
      <c r="B642" s="1">
        <v>44766</v>
      </c>
      <c r="C642" t="s">
        <v>32</v>
      </c>
      <c r="D642" t="s">
        <v>30</v>
      </c>
      <c r="E642">
        <v>243166.25</v>
      </c>
      <c r="F642">
        <v>50</v>
      </c>
      <c r="G642" t="s">
        <v>31</v>
      </c>
      <c r="H642">
        <v>971.49</v>
      </c>
      <c r="I642">
        <v>5464.41</v>
      </c>
      <c r="J642" t="s">
        <v>17</v>
      </c>
      <c r="K642">
        <v>0.11</v>
      </c>
      <c r="L642" t="s">
        <v>18</v>
      </c>
      <c r="M642" t="s">
        <v>21</v>
      </c>
    </row>
    <row r="643" spans="1:13" x14ac:dyDescent="0.35">
      <c r="A643">
        <v>1098</v>
      </c>
      <c r="B643" s="1">
        <v>44767</v>
      </c>
      <c r="C643" t="s">
        <v>14</v>
      </c>
      <c r="D643" t="s">
        <v>20</v>
      </c>
      <c r="E643">
        <v>20303.8</v>
      </c>
      <c r="F643">
        <v>4</v>
      </c>
      <c r="G643" t="s">
        <v>26</v>
      </c>
      <c r="H643">
        <v>3806.23</v>
      </c>
      <c r="I643">
        <v>5075.95</v>
      </c>
      <c r="J643" t="s">
        <v>27</v>
      </c>
      <c r="K643">
        <v>0</v>
      </c>
      <c r="L643" t="s">
        <v>28</v>
      </c>
      <c r="M643" t="s">
        <v>19</v>
      </c>
    </row>
    <row r="644" spans="1:13" x14ac:dyDescent="0.35">
      <c r="A644">
        <v>1079</v>
      </c>
      <c r="B644" s="1">
        <v>44767</v>
      </c>
      <c r="C644" t="s">
        <v>22</v>
      </c>
      <c r="D644" t="s">
        <v>15</v>
      </c>
      <c r="E644">
        <v>134732.32</v>
      </c>
      <c r="F644">
        <v>33</v>
      </c>
      <c r="G644" t="s">
        <v>31</v>
      </c>
      <c r="H644">
        <v>3269.65</v>
      </c>
      <c r="I644">
        <v>4095.69</v>
      </c>
      <c r="J644" t="s">
        <v>17</v>
      </c>
      <c r="K644">
        <v>0</v>
      </c>
      <c r="L644" t="s">
        <v>18</v>
      </c>
      <c r="M644" t="s">
        <v>19</v>
      </c>
    </row>
    <row r="645" spans="1:13" x14ac:dyDescent="0.35">
      <c r="A645">
        <v>1092</v>
      </c>
      <c r="B645" s="1">
        <v>44767</v>
      </c>
      <c r="C645" t="s">
        <v>33</v>
      </c>
      <c r="D645" t="s">
        <v>20</v>
      </c>
      <c r="E645">
        <v>70194.5</v>
      </c>
      <c r="F645">
        <v>17</v>
      </c>
      <c r="G645" t="s">
        <v>16</v>
      </c>
      <c r="H645">
        <v>1163.22</v>
      </c>
      <c r="I645">
        <v>4439.88</v>
      </c>
      <c r="J645" t="s">
        <v>17</v>
      </c>
      <c r="K645">
        <v>7.0000000000000007E-2</v>
      </c>
      <c r="L645" t="s">
        <v>25</v>
      </c>
      <c r="M645" t="s">
        <v>19</v>
      </c>
    </row>
    <row r="646" spans="1:13" x14ac:dyDescent="0.35">
      <c r="A646">
        <v>1022</v>
      </c>
      <c r="B646" s="1">
        <v>44767</v>
      </c>
      <c r="C646" t="s">
        <v>33</v>
      </c>
      <c r="D646" t="s">
        <v>15</v>
      </c>
      <c r="E646">
        <v>89207.25</v>
      </c>
      <c r="F646">
        <v>40</v>
      </c>
      <c r="G646" t="s">
        <v>16</v>
      </c>
      <c r="H646">
        <v>937.46</v>
      </c>
      <c r="I646">
        <v>2424.11</v>
      </c>
      <c r="J646" t="s">
        <v>17</v>
      </c>
      <c r="K646">
        <v>0.08</v>
      </c>
      <c r="L646" t="s">
        <v>18</v>
      </c>
      <c r="M646" t="s">
        <v>21</v>
      </c>
    </row>
    <row r="647" spans="1:13" x14ac:dyDescent="0.35">
      <c r="A647">
        <v>1084</v>
      </c>
      <c r="B647" s="1">
        <v>44767</v>
      </c>
      <c r="C647" t="s">
        <v>32</v>
      </c>
      <c r="D647" t="s">
        <v>30</v>
      </c>
      <c r="E647">
        <v>100910.07</v>
      </c>
      <c r="F647">
        <v>26</v>
      </c>
      <c r="G647" t="s">
        <v>16</v>
      </c>
      <c r="H647">
        <v>1065.5999999999999</v>
      </c>
      <c r="I647">
        <v>4128.8900000000003</v>
      </c>
      <c r="J647" t="s">
        <v>27</v>
      </c>
      <c r="K647">
        <v>0.06</v>
      </c>
      <c r="L647" t="s">
        <v>25</v>
      </c>
      <c r="M647" t="s">
        <v>19</v>
      </c>
    </row>
    <row r="648" spans="1:13" x14ac:dyDescent="0.35">
      <c r="A648">
        <v>1013</v>
      </c>
      <c r="B648" s="1">
        <v>44768</v>
      </c>
      <c r="C648" t="s">
        <v>32</v>
      </c>
      <c r="D648" t="s">
        <v>20</v>
      </c>
      <c r="E648">
        <v>144801.96</v>
      </c>
      <c r="F648">
        <v>45</v>
      </c>
      <c r="G648" t="s">
        <v>31</v>
      </c>
      <c r="H648">
        <v>3187.72</v>
      </c>
      <c r="I648">
        <v>3236.27</v>
      </c>
      <c r="J648" t="s">
        <v>17</v>
      </c>
      <c r="K648">
        <v>0.01</v>
      </c>
      <c r="L648" t="s">
        <v>25</v>
      </c>
      <c r="M648" t="s">
        <v>19</v>
      </c>
    </row>
    <row r="649" spans="1:13" x14ac:dyDescent="0.35">
      <c r="A649">
        <v>1026</v>
      </c>
      <c r="B649" s="1">
        <v>44768</v>
      </c>
      <c r="C649" t="s">
        <v>32</v>
      </c>
      <c r="D649" t="s">
        <v>30</v>
      </c>
      <c r="E649">
        <v>14427.42</v>
      </c>
      <c r="F649">
        <v>4</v>
      </c>
      <c r="G649" t="s">
        <v>31</v>
      </c>
      <c r="H649">
        <v>3064.69</v>
      </c>
      <c r="I649">
        <v>4098.7</v>
      </c>
      <c r="J649" t="s">
        <v>27</v>
      </c>
      <c r="K649">
        <v>0.12</v>
      </c>
      <c r="L649" t="s">
        <v>25</v>
      </c>
      <c r="M649" t="s">
        <v>19</v>
      </c>
    </row>
    <row r="650" spans="1:13" x14ac:dyDescent="0.35">
      <c r="A650">
        <v>1082</v>
      </c>
      <c r="B650" s="1">
        <v>44768</v>
      </c>
      <c r="C650" t="s">
        <v>33</v>
      </c>
      <c r="D650" t="s">
        <v>23</v>
      </c>
      <c r="E650">
        <v>67803.8</v>
      </c>
      <c r="F650">
        <v>22</v>
      </c>
      <c r="G650" t="s">
        <v>31</v>
      </c>
      <c r="H650">
        <v>2057.69</v>
      </c>
      <c r="I650">
        <v>3349.99</v>
      </c>
      <c r="J650" t="s">
        <v>27</v>
      </c>
      <c r="K650">
        <v>0.08</v>
      </c>
      <c r="L650" t="s">
        <v>28</v>
      </c>
      <c r="M650" t="s">
        <v>19</v>
      </c>
    </row>
    <row r="651" spans="1:13" x14ac:dyDescent="0.35">
      <c r="A651">
        <v>1001</v>
      </c>
      <c r="B651" s="1">
        <v>44768</v>
      </c>
      <c r="C651" t="s">
        <v>33</v>
      </c>
      <c r="D651" t="s">
        <v>15</v>
      </c>
      <c r="E651">
        <v>39968.86</v>
      </c>
      <c r="F651">
        <v>12</v>
      </c>
      <c r="G651" t="s">
        <v>31</v>
      </c>
      <c r="H651">
        <v>598.91</v>
      </c>
      <c r="I651">
        <v>3784.93</v>
      </c>
      <c r="J651" t="s">
        <v>27</v>
      </c>
      <c r="K651">
        <v>0.12</v>
      </c>
      <c r="L651" t="s">
        <v>18</v>
      </c>
      <c r="M651" t="s">
        <v>21</v>
      </c>
    </row>
    <row r="652" spans="1:13" x14ac:dyDescent="0.35">
      <c r="A652">
        <v>1020</v>
      </c>
      <c r="B652" s="1">
        <v>44768</v>
      </c>
      <c r="C652" t="s">
        <v>32</v>
      </c>
      <c r="D652" t="s">
        <v>23</v>
      </c>
      <c r="E652">
        <v>128024.22</v>
      </c>
      <c r="F652">
        <v>37</v>
      </c>
      <c r="G652" t="s">
        <v>31</v>
      </c>
      <c r="H652">
        <v>1935.61</v>
      </c>
      <c r="I652">
        <v>4873.3999999999996</v>
      </c>
      <c r="J652" t="s">
        <v>17</v>
      </c>
      <c r="K652">
        <v>0.28999999999999998</v>
      </c>
      <c r="L652" t="s">
        <v>25</v>
      </c>
      <c r="M652" t="s">
        <v>19</v>
      </c>
    </row>
    <row r="653" spans="1:13" x14ac:dyDescent="0.35">
      <c r="A653">
        <v>1077</v>
      </c>
      <c r="B653" s="1">
        <v>44768</v>
      </c>
      <c r="C653" t="s">
        <v>14</v>
      </c>
      <c r="D653" t="s">
        <v>23</v>
      </c>
      <c r="E653">
        <v>105969.24</v>
      </c>
      <c r="F653">
        <v>36</v>
      </c>
      <c r="G653" t="s">
        <v>26</v>
      </c>
      <c r="H653">
        <v>273.58999999999997</v>
      </c>
      <c r="I653">
        <v>2943.59</v>
      </c>
      <c r="J653" t="s">
        <v>27</v>
      </c>
      <c r="K653">
        <v>0</v>
      </c>
      <c r="L653" t="s">
        <v>18</v>
      </c>
      <c r="M653" t="s">
        <v>19</v>
      </c>
    </row>
    <row r="654" spans="1:13" x14ac:dyDescent="0.35">
      <c r="A654">
        <v>1033</v>
      </c>
      <c r="B654" s="1">
        <v>44769</v>
      </c>
      <c r="C654" t="s">
        <v>33</v>
      </c>
      <c r="D654" t="s">
        <v>23</v>
      </c>
      <c r="E654">
        <v>99228.31</v>
      </c>
      <c r="F654">
        <v>26</v>
      </c>
      <c r="G654" t="s">
        <v>31</v>
      </c>
      <c r="H654">
        <v>3543.91</v>
      </c>
      <c r="I654">
        <v>3873.07</v>
      </c>
      <c r="J654" t="s">
        <v>27</v>
      </c>
      <c r="K654">
        <v>0.01</v>
      </c>
      <c r="L654" t="s">
        <v>18</v>
      </c>
      <c r="M654" t="s">
        <v>19</v>
      </c>
    </row>
    <row r="655" spans="1:13" x14ac:dyDescent="0.35">
      <c r="A655">
        <v>1091</v>
      </c>
      <c r="B655" s="1">
        <v>44769</v>
      </c>
      <c r="C655" t="s">
        <v>32</v>
      </c>
      <c r="D655" t="s">
        <v>15</v>
      </c>
      <c r="E655">
        <v>17519.810000000001</v>
      </c>
      <c r="F655">
        <v>15</v>
      </c>
      <c r="G655" t="s">
        <v>16</v>
      </c>
      <c r="H655">
        <v>608.02</v>
      </c>
      <c r="I655">
        <v>1255.9000000000001</v>
      </c>
      <c r="J655" t="s">
        <v>27</v>
      </c>
      <c r="K655">
        <v>7.0000000000000007E-2</v>
      </c>
      <c r="L655" t="s">
        <v>25</v>
      </c>
      <c r="M655" t="s">
        <v>21</v>
      </c>
    </row>
    <row r="656" spans="1:13" x14ac:dyDescent="0.35">
      <c r="A656">
        <v>1003</v>
      </c>
      <c r="B656" s="1">
        <v>44769</v>
      </c>
      <c r="C656" t="s">
        <v>33</v>
      </c>
      <c r="D656" t="s">
        <v>20</v>
      </c>
      <c r="E656">
        <v>81953.240000000005</v>
      </c>
      <c r="F656">
        <v>42</v>
      </c>
      <c r="G656" t="s">
        <v>26</v>
      </c>
      <c r="H656">
        <v>991.37</v>
      </c>
      <c r="I656">
        <v>2601.69</v>
      </c>
      <c r="J656" t="s">
        <v>27</v>
      </c>
      <c r="K656">
        <v>0.25</v>
      </c>
      <c r="L656" t="s">
        <v>18</v>
      </c>
      <c r="M656" t="s">
        <v>19</v>
      </c>
    </row>
    <row r="657" spans="1:13" x14ac:dyDescent="0.35">
      <c r="A657">
        <v>1073</v>
      </c>
      <c r="B657" s="1">
        <v>44769</v>
      </c>
      <c r="C657" t="s">
        <v>33</v>
      </c>
      <c r="D657" t="s">
        <v>20</v>
      </c>
      <c r="E657">
        <v>110430.32</v>
      </c>
      <c r="F657">
        <v>22</v>
      </c>
      <c r="G657" t="s">
        <v>26</v>
      </c>
      <c r="H657">
        <v>2386.0300000000002</v>
      </c>
      <c r="I657">
        <v>5122</v>
      </c>
      <c r="J657" t="s">
        <v>27</v>
      </c>
      <c r="K657">
        <v>0.02</v>
      </c>
      <c r="L657" t="s">
        <v>18</v>
      </c>
      <c r="M657" t="s">
        <v>19</v>
      </c>
    </row>
    <row r="658" spans="1:13" x14ac:dyDescent="0.35">
      <c r="A658">
        <v>1004</v>
      </c>
      <c r="B658" s="1">
        <v>44769</v>
      </c>
      <c r="C658" t="s">
        <v>22</v>
      </c>
      <c r="D658" t="s">
        <v>30</v>
      </c>
      <c r="E658">
        <v>192524.55</v>
      </c>
      <c r="F658">
        <v>39</v>
      </c>
      <c r="G658" t="s">
        <v>26</v>
      </c>
      <c r="H658">
        <v>470.26</v>
      </c>
      <c r="I658">
        <v>5365.79</v>
      </c>
      <c r="J658" t="s">
        <v>27</v>
      </c>
      <c r="K658">
        <v>0.08</v>
      </c>
      <c r="L658" t="s">
        <v>25</v>
      </c>
      <c r="M658" t="s">
        <v>21</v>
      </c>
    </row>
    <row r="659" spans="1:13" x14ac:dyDescent="0.35">
      <c r="A659">
        <v>1043</v>
      </c>
      <c r="B659" s="1">
        <v>44770</v>
      </c>
      <c r="C659" t="s">
        <v>29</v>
      </c>
      <c r="D659" t="s">
        <v>23</v>
      </c>
      <c r="E659">
        <v>22681.72</v>
      </c>
      <c r="F659">
        <v>5</v>
      </c>
      <c r="G659" t="s">
        <v>31</v>
      </c>
      <c r="H659">
        <v>4077.69</v>
      </c>
      <c r="I659">
        <v>4725.09</v>
      </c>
      <c r="J659" t="s">
        <v>17</v>
      </c>
      <c r="K659">
        <v>0.04</v>
      </c>
      <c r="L659" t="s">
        <v>18</v>
      </c>
      <c r="M659" t="s">
        <v>21</v>
      </c>
    </row>
    <row r="660" spans="1:13" x14ac:dyDescent="0.35">
      <c r="A660">
        <v>1089</v>
      </c>
      <c r="B660" s="1">
        <v>44771</v>
      </c>
      <c r="C660" t="s">
        <v>14</v>
      </c>
      <c r="D660" t="s">
        <v>20</v>
      </c>
      <c r="E660">
        <v>25703.1</v>
      </c>
      <c r="F660">
        <v>6</v>
      </c>
      <c r="G660" t="s">
        <v>16</v>
      </c>
      <c r="H660">
        <v>2998.08</v>
      </c>
      <c r="I660">
        <v>4606.29</v>
      </c>
      <c r="J660" t="s">
        <v>27</v>
      </c>
      <c r="K660">
        <v>7.0000000000000007E-2</v>
      </c>
      <c r="L660" t="s">
        <v>28</v>
      </c>
      <c r="M660" t="s">
        <v>21</v>
      </c>
    </row>
    <row r="661" spans="1:13" x14ac:dyDescent="0.35">
      <c r="A661">
        <v>1001</v>
      </c>
      <c r="B661" s="1">
        <v>44772</v>
      </c>
      <c r="C661" t="s">
        <v>29</v>
      </c>
      <c r="D661" t="s">
        <v>15</v>
      </c>
      <c r="E661">
        <v>12349.22</v>
      </c>
      <c r="F661">
        <v>4</v>
      </c>
      <c r="G661" t="s">
        <v>16</v>
      </c>
      <c r="H661">
        <v>2459.77</v>
      </c>
      <c r="I661">
        <v>3150.31</v>
      </c>
      <c r="J661" t="s">
        <v>27</v>
      </c>
      <c r="K661">
        <v>0.02</v>
      </c>
      <c r="L661" t="s">
        <v>28</v>
      </c>
      <c r="M661" t="s">
        <v>21</v>
      </c>
    </row>
    <row r="662" spans="1:13" x14ac:dyDescent="0.35">
      <c r="A662">
        <v>1070</v>
      </c>
      <c r="B662" s="1">
        <v>44772</v>
      </c>
      <c r="C662" t="s">
        <v>29</v>
      </c>
      <c r="D662" t="s">
        <v>15</v>
      </c>
      <c r="E662">
        <v>33150.370000000003</v>
      </c>
      <c r="F662">
        <v>41</v>
      </c>
      <c r="G662" t="s">
        <v>26</v>
      </c>
      <c r="H662">
        <v>502.44</v>
      </c>
      <c r="I662">
        <v>951.23</v>
      </c>
      <c r="J662" t="s">
        <v>27</v>
      </c>
      <c r="K662">
        <v>0.15</v>
      </c>
      <c r="L662" t="s">
        <v>18</v>
      </c>
      <c r="M662" t="s">
        <v>19</v>
      </c>
    </row>
    <row r="663" spans="1:13" x14ac:dyDescent="0.35">
      <c r="A663">
        <v>1093</v>
      </c>
      <c r="B663" s="1">
        <v>44772</v>
      </c>
      <c r="C663" t="s">
        <v>29</v>
      </c>
      <c r="D663" t="s">
        <v>15</v>
      </c>
      <c r="E663">
        <v>56076.6</v>
      </c>
      <c r="F663">
        <v>15</v>
      </c>
      <c r="G663" t="s">
        <v>24</v>
      </c>
      <c r="H663">
        <v>1083.1099999999999</v>
      </c>
      <c r="I663">
        <v>4919</v>
      </c>
      <c r="J663" t="s">
        <v>27</v>
      </c>
      <c r="K663">
        <v>0.24</v>
      </c>
      <c r="L663" t="s">
        <v>28</v>
      </c>
      <c r="M663" t="s">
        <v>21</v>
      </c>
    </row>
    <row r="664" spans="1:13" x14ac:dyDescent="0.35">
      <c r="A664">
        <v>1018</v>
      </c>
      <c r="B664" s="1">
        <v>44773</v>
      </c>
      <c r="C664" t="s">
        <v>29</v>
      </c>
      <c r="D664" t="s">
        <v>23</v>
      </c>
      <c r="E664">
        <v>121089.21</v>
      </c>
      <c r="F664">
        <v>39</v>
      </c>
      <c r="G664" t="s">
        <v>16</v>
      </c>
      <c r="H664">
        <v>613.29</v>
      </c>
      <c r="I664">
        <v>3833.15</v>
      </c>
      <c r="J664" t="s">
        <v>27</v>
      </c>
      <c r="K664">
        <v>0.19</v>
      </c>
      <c r="L664" t="s">
        <v>18</v>
      </c>
      <c r="M664" t="s">
        <v>21</v>
      </c>
    </row>
    <row r="665" spans="1:13" x14ac:dyDescent="0.35">
      <c r="A665">
        <v>1005</v>
      </c>
      <c r="B665" s="1">
        <v>44774</v>
      </c>
      <c r="C665" t="s">
        <v>32</v>
      </c>
      <c r="D665" t="s">
        <v>30</v>
      </c>
      <c r="E665">
        <v>95168.91</v>
      </c>
      <c r="F665">
        <v>48</v>
      </c>
      <c r="G665" t="s">
        <v>24</v>
      </c>
      <c r="H665">
        <v>701.45</v>
      </c>
      <c r="I665">
        <v>2753.73</v>
      </c>
      <c r="J665" t="s">
        <v>17</v>
      </c>
      <c r="K665">
        <v>0.28000000000000003</v>
      </c>
      <c r="L665" t="s">
        <v>25</v>
      </c>
      <c r="M665" t="s">
        <v>19</v>
      </c>
    </row>
    <row r="666" spans="1:13" x14ac:dyDescent="0.35">
      <c r="A666">
        <v>1005</v>
      </c>
      <c r="B666" s="1">
        <v>44774</v>
      </c>
      <c r="C666" t="s">
        <v>29</v>
      </c>
      <c r="D666" t="s">
        <v>30</v>
      </c>
      <c r="E666">
        <v>123085.37</v>
      </c>
      <c r="F666">
        <v>29</v>
      </c>
      <c r="G666" t="s">
        <v>31</v>
      </c>
      <c r="H666">
        <v>407.89</v>
      </c>
      <c r="I666">
        <v>4421.17</v>
      </c>
      <c r="J666" t="s">
        <v>27</v>
      </c>
      <c r="K666">
        <v>0.04</v>
      </c>
      <c r="L666" t="s">
        <v>25</v>
      </c>
      <c r="M666" t="s">
        <v>21</v>
      </c>
    </row>
    <row r="667" spans="1:13" x14ac:dyDescent="0.35">
      <c r="A667">
        <v>1038</v>
      </c>
      <c r="B667" s="1">
        <v>44775</v>
      </c>
      <c r="C667" t="s">
        <v>22</v>
      </c>
      <c r="D667" t="s">
        <v>30</v>
      </c>
      <c r="E667">
        <v>17724.64</v>
      </c>
      <c r="F667">
        <v>16</v>
      </c>
      <c r="G667" t="s">
        <v>24</v>
      </c>
      <c r="H667">
        <v>484.68</v>
      </c>
      <c r="I667">
        <v>1178.5</v>
      </c>
      <c r="J667" t="s">
        <v>17</v>
      </c>
      <c r="K667">
        <v>0.06</v>
      </c>
      <c r="L667" t="s">
        <v>28</v>
      </c>
      <c r="M667" t="s">
        <v>21</v>
      </c>
    </row>
    <row r="668" spans="1:13" x14ac:dyDescent="0.35">
      <c r="A668">
        <v>1026</v>
      </c>
      <c r="B668" s="1">
        <v>44775</v>
      </c>
      <c r="C668" t="s">
        <v>33</v>
      </c>
      <c r="D668" t="s">
        <v>15</v>
      </c>
      <c r="E668">
        <v>16861.25</v>
      </c>
      <c r="F668">
        <v>14</v>
      </c>
      <c r="G668" t="s">
        <v>24</v>
      </c>
      <c r="H668">
        <v>163.22999999999999</v>
      </c>
      <c r="I668">
        <v>1468.75</v>
      </c>
      <c r="J668" t="s">
        <v>17</v>
      </c>
      <c r="K668">
        <v>0.18</v>
      </c>
      <c r="L668" t="s">
        <v>18</v>
      </c>
      <c r="M668" t="s">
        <v>21</v>
      </c>
    </row>
    <row r="669" spans="1:13" x14ac:dyDescent="0.35">
      <c r="A669">
        <v>1026</v>
      </c>
      <c r="B669" s="1">
        <v>44775</v>
      </c>
      <c r="C669" t="s">
        <v>32</v>
      </c>
      <c r="D669" t="s">
        <v>15</v>
      </c>
      <c r="E669">
        <v>208591.08</v>
      </c>
      <c r="F669">
        <v>50</v>
      </c>
      <c r="G669" t="s">
        <v>16</v>
      </c>
      <c r="H669">
        <v>3775.69</v>
      </c>
      <c r="I669">
        <v>4687.4399999999996</v>
      </c>
      <c r="J669" t="s">
        <v>27</v>
      </c>
      <c r="K669">
        <v>0.11</v>
      </c>
      <c r="L669" t="s">
        <v>25</v>
      </c>
      <c r="M669" t="s">
        <v>21</v>
      </c>
    </row>
    <row r="670" spans="1:13" x14ac:dyDescent="0.35">
      <c r="A670">
        <v>1050</v>
      </c>
      <c r="B670" s="1">
        <v>44775</v>
      </c>
      <c r="C670" t="s">
        <v>33</v>
      </c>
      <c r="D670" t="s">
        <v>23</v>
      </c>
      <c r="E670">
        <v>51395.8</v>
      </c>
      <c r="F670">
        <v>37</v>
      </c>
      <c r="G670" t="s">
        <v>24</v>
      </c>
      <c r="H670">
        <v>626.04</v>
      </c>
      <c r="I670">
        <v>1477.74</v>
      </c>
      <c r="J670" t="s">
        <v>17</v>
      </c>
      <c r="K670">
        <v>0.06</v>
      </c>
      <c r="L670" t="s">
        <v>18</v>
      </c>
      <c r="M670" t="s">
        <v>21</v>
      </c>
    </row>
    <row r="671" spans="1:13" x14ac:dyDescent="0.35">
      <c r="A671">
        <v>1038</v>
      </c>
      <c r="B671" s="1">
        <v>44775</v>
      </c>
      <c r="C671" t="s">
        <v>32</v>
      </c>
      <c r="D671" t="s">
        <v>20</v>
      </c>
      <c r="E671">
        <v>69071.66</v>
      </c>
      <c r="F671">
        <v>23</v>
      </c>
      <c r="G671" t="s">
        <v>31</v>
      </c>
      <c r="H671">
        <v>518.16999999999996</v>
      </c>
      <c r="I671">
        <v>3900.15</v>
      </c>
      <c r="J671" t="s">
        <v>27</v>
      </c>
      <c r="K671">
        <v>0.23</v>
      </c>
      <c r="L671" t="s">
        <v>28</v>
      </c>
      <c r="M671" t="s">
        <v>21</v>
      </c>
    </row>
    <row r="672" spans="1:13" x14ac:dyDescent="0.35">
      <c r="A672">
        <v>1076</v>
      </c>
      <c r="B672" s="1">
        <v>44775</v>
      </c>
      <c r="C672" t="s">
        <v>29</v>
      </c>
      <c r="D672" t="s">
        <v>15</v>
      </c>
      <c r="E672">
        <v>212082.05</v>
      </c>
      <c r="F672">
        <v>47</v>
      </c>
      <c r="G672" t="s">
        <v>16</v>
      </c>
      <c r="H672">
        <v>3028.96</v>
      </c>
      <c r="I672">
        <v>4700.3999999999996</v>
      </c>
      <c r="J672" t="s">
        <v>27</v>
      </c>
      <c r="K672">
        <v>0.04</v>
      </c>
      <c r="L672" t="s">
        <v>25</v>
      </c>
      <c r="M672" t="s">
        <v>21</v>
      </c>
    </row>
    <row r="673" spans="1:13" x14ac:dyDescent="0.35">
      <c r="A673">
        <v>1016</v>
      </c>
      <c r="B673" s="1">
        <v>44776</v>
      </c>
      <c r="C673" t="s">
        <v>33</v>
      </c>
      <c r="D673" t="s">
        <v>15</v>
      </c>
      <c r="E673">
        <v>74454.5</v>
      </c>
      <c r="F673">
        <v>26</v>
      </c>
      <c r="G673" t="s">
        <v>24</v>
      </c>
      <c r="H673">
        <v>1352.67</v>
      </c>
      <c r="I673">
        <v>3046.42</v>
      </c>
      <c r="J673" t="s">
        <v>17</v>
      </c>
      <c r="K673">
        <v>0.06</v>
      </c>
      <c r="L673" t="s">
        <v>28</v>
      </c>
      <c r="M673" t="s">
        <v>21</v>
      </c>
    </row>
    <row r="674" spans="1:13" x14ac:dyDescent="0.35">
      <c r="A674">
        <v>1068</v>
      </c>
      <c r="B674" s="1">
        <v>44776</v>
      </c>
      <c r="C674" t="s">
        <v>32</v>
      </c>
      <c r="D674" t="s">
        <v>15</v>
      </c>
      <c r="E674">
        <v>170606.3</v>
      </c>
      <c r="F674">
        <v>45</v>
      </c>
      <c r="G674" t="s">
        <v>26</v>
      </c>
      <c r="H674">
        <v>2907.27</v>
      </c>
      <c r="I674">
        <v>4166.21</v>
      </c>
      <c r="J674" t="s">
        <v>27</v>
      </c>
      <c r="K674">
        <v>0.09</v>
      </c>
      <c r="L674" t="s">
        <v>18</v>
      </c>
      <c r="M674" t="s">
        <v>19</v>
      </c>
    </row>
    <row r="675" spans="1:13" x14ac:dyDescent="0.35">
      <c r="A675">
        <v>1073</v>
      </c>
      <c r="B675" s="1">
        <v>44776</v>
      </c>
      <c r="C675" t="s">
        <v>22</v>
      </c>
      <c r="D675" t="s">
        <v>15</v>
      </c>
      <c r="E675">
        <v>75485.05</v>
      </c>
      <c r="F675">
        <v>32</v>
      </c>
      <c r="G675" t="s">
        <v>31</v>
      </c>
      <c r="H675">
        <v>1028.56</v>
      </c>
      <c r="I675">
        <v>2536.46</v>
      </c>
      <c r="J675" t="s">
        <v>27</v>
      </c>
      <c r="K675">
        <v>7.0000000000000007E-2</v>
      </c>
      <c r="L675" t="s">
        <v>28</v>
      </c>
      <c r="M675" t="s">
        <v>21</v>
      </c>
    </row>
    <row r="676" spans="1:13" x14ac:dyDescent="0.35">
      <c r="A676">
        <v>1080</v>
      </c>
      <c r="B676" s="1">
        <v>44777</v>
      </c>
      <c r="C676" t="s">
        <v>33</v>
      </c>
      <c r="D676" t="s">
        <v>15</v>
      </c>
      <c r="E676">
        <v>147772.6</v>
      </c>
      <c r="F676">
        <v>30</v>
      </c>
      <c r="G676" t="s">
        <v>26</v>
      </c>
      <c r="H676">
        <v>4906.7299999999996</v>
      </c>
      <c r="I676">
        <v>4980.2</v>
      </c>
      <c r="J676" t="s">
        <v>27</v>
      </c>
      <c r="K676">
        <v>0.01</v>
      </c>
      <c r="L676" t="s">
        <v>25</v>
      </c>
      <c r="M676" t="s">
        <v>21</v>
      </c>
    </row>
    <row r="677" spans="1:13" x14ac:dyDescent="0.35">
      <c r="A677">
        <v>1051</v>
      </c>
      <c r="B677" s="1">
        <v>44777</v>
      </c>
      <c r="C677" t="s">
        <v>33</v>
      </c>
      <c r="D677" t="s">
        <v>20</v>
      </c>
      <c r="E677">
        <v>119085.8</v>
      </c>
      <c r="F677">
        <v>27</v>
      </c>
      <c r="G677" t="s">
        <v>31</v>
      </c>
      <c r="H677">
        <v>2567.17</v>
      </c>
      <c r="I677">
        <v>4900.6499999999996</v>
      </c>
      <c r="J677" t="s">
        <v>27</v>
      </c>
      <c r="K677">
        <v>0.1</v>
      </c>
      <c r="L677" t="s">
        <v>28</v>
      </c>
      <c r="M677" t="s">
        <v>19</v>
      </c>
    </row>
    <row r="678" spans="1:13" x14ac:dyDescent="0.35">
      <c r="A678">
        <v>1026</v>
      </c>
      <c r="B678" s="1">
        <v>44777</v>
      </c>
      <c r="C678" t="s">
        <v>14</v>
      </c>
      <c r="D678" t="s">
        <v>30</v>
      </c>
      <c r="E678">
        <v>82160.11</v>
      </c>
      <c r="F678">
        <v>33</v>
      </c>
      <c r="G678" t="s">
        <v>24</v>
      </c>
      <c r="H678">
        <v>633.36</v>
      </c>
      <c r="I678">
        <v>3036.22</v>
      </c>
      <c r="J678" t="s">
        <v>17</v>
      </c>
      <c r="K678">
        <v>0.18</v>
      </c>
      <c r="L678" t="s">
        <v>28</v>
      </c>
      <c r="M678" t="s">
        <v>19</v>
      </c>
    </row>
    <row r="679" spans="1:13" x14ac:dyDescent="0.35">
      <c r="A679">
        <v>1095</v>
      </c>
      <c r="B679" s="1">
        <v>44778</v>
      </c>
      <c r="C679" t="s">
        <v>32</v>
      </c>
      <c r="D679" t="s">
        <v>15</v>
      </c>
      <c r="E679">
        <v>224378.32</v>
      </c>
      <c r="F679">
        <v>47</v>
      </c>
      <c r="G679" t="s">
        <v>24</v>
      </c>
      <c r="H679">
        <v>4153.78</v>
      </c>
      <c r="I679">
        <v>4798.9399999999996</v>
      </c>
      <c r="J679" t="s">
        <v>27</v>
      </c>
      <c r="K679">
        <v>0.01</v>
      </c>
      <c r="L679" t="s">
        <v>18</v>
      </c>
      <c r="M679" t="s">
        <v>19</v>
      </c>
    </row>
    <row r="680" spans="1:13" x14ac:dyDescent="0.35">
      <c r="A680">
        <v>1034</v>
      </c>
      <c r="B680" s="1">
        <v>44779</v>
      </c>
      <c r="C680" t="s">
        <v>14</v>
      </c>
      <c r="D680" t="s">
        <v>15</v>
      </c>
      <c r="E680">
        <v>106759.86</v>
      </c>
      <c r="F680">
        <v>27</v>
      </c>
      <c r="G680" t="s">
        <v>24</v>
      </c>
      <c r="H680">
        <v>2695.44</v>
      </c>
      <c r="I680">
        <v>4493.26</v>
      </c>
      <c r="J680" t="s">
        <v>17</v>
      </c>
      <c r="K680">
        <v>0.12</v>
      </c>
      <c r="L680" t="s">
        <v>28</v>
      </c>
      <c r="M680" t="s">
        <v>19</v>
      </c>
    </row>
    <row r="681" spans="1:13" x14ac:dyDescent="0.35">
      <c r="A681">
        <v>1040</v>
      </c>
      <c r="B681" s="1">
        <v>44779</v>
      </c>
      <c r="C681" t="s">
        <v>22</v>
      </c>
      <c r="D681" t="s">
        <v>20</v>
      </c>
      <c r="E681">
        <v>122464.46</v>
      </c>
      <c r="F681">
        <v>33</v>
      </c>
      <c r="G681" t="s">
        <v>24</v>
      </c>
      <c r="H681">
        <v>487.82</v>
      </c>
      <c r="I681">
        <v>3990.37</v>
      </c>
      <c r="J681" t="s">
        <v>17</v>
      </c>
      <c r="K681">
        <v>7.0000000000000007E-2</v>
      </c>
      <c r="L681" t="s">
        <v>25</v>
      </c>
      <c r="M681" t="s">
        <v>21</v>
      </c>
    </row>
    <row r="682" spans="1:13" x14ac:dyDescent="0.35">
      <c r="A682">
        <v>1078</v>
      </c>
      <c r="B682" s="1">
        <v>44780</v>
      </c>
      <c r="C682" t="s">
        <v>32</v>
      </c>
      <c r="D682" t="s">
        <v>30</v>
      </c>
      <c r="E682">
        <v>4026.5</v>
      </c>
      <c r="F682">
        <v>1</v>
      </c>
      <c r="G682" t="s">
        <v>31</v>
      </c>
      <c r="H682">
        <v>2573.7199999999998</v>
      </c>
      <c r="I682">
        <v>4737.0600000000004</v>
      </c>
      <c r="J682" t="s">
        <v>27</v>
      </c>
      <c r="K682">
        <v>0.15</v>
      </c>
      <c r="L682" t="s">
        <v>28</v>
      </c>
      <c r="M682" t="s">
        <v>19</v>
      </c>
    </row>
    <row r="683" spans="1:13" x14ac:dyDescent="0.35">
      <c r="A683">
        <v>1088</v>
      </c>
      <c r="B683" s="1">
        <v>44781</v>
      </c>
      <c r="C683" t="s">
        <v>14</v>
      </c>
      <c r="D683" t="s">
        <v>30</v>
      </c>
      <c r="E683">
        <v>12226.71</v>
      </c>
      <c r="F683">
        <v>3</v>
      </c>
      <c r="G683" t="s">
        <v>26</v>
      </c>
      <c r="H683">
        <v>3074.89</v>
      </c>
      <c r="I683">
        <v>4478.6499999999996</v>
      </c>
      <c r="J683" t="s">
        <v>27</v>
      </c>
      <c r="K683">
        <v>0.09</v>
      </c>
      <c r="L683" t="s">
        <v>25</v>
      </c>
      <c r="M683" t="s">
        <v>21</v>
      </c>
    </row>
    <row r="684" spans="1:13" x14ac:dyDescent="0.35">
      <c r="A684">
        <v>1055</v>
      </c>
      <c r="B684" s="1">
        <v>44781</v>
      </c>
      <c r="C684" t="s">
        <v>33</v>
      </c>
      <c r="D684" t="s">
        <v>23</v>
      </c>
      <c r="E684">
        <v>32441.59</v>
      </c>
      <c r="F684">
        <v>36</v>
      </c>
      <c r="G684" t="s">
        <v>24</v>
      </c>
      <c r="H684">
        <v>720.16</v>
      </c>
      <c r="I684">
        <v>1098.97</v>
      </c>
      <c r="J684" t="s">
        <v>27</v>
      </c>
      <c r="K684">
        <v>0.18</v>
      </c>
      <c r="L684" t="s">
        <v>28</v>
      </c>
      <c r="M684" t="s">
        <v>19</v>
      </c>
    </row>
    <row r="685" spans="1:13" x14ac:dyDescent="0.35">
      <c r="A685">
        <v>1068</v>
      </c>
      <c r="B685" s="1">
        <v>44781</v>
      </c>
      <c r="C685" t="s">
        <v>14</v>
      </c>
      <c r="D685" t="s">
        <v>20</v>
      </c>
      <c r="E685">
        <v>69230.95</v>
      </c>
      <c r="F685">
        <v>38</v>
      </c>
      <c r="G685" t="s">
        <v>16</v>
      </c>
      <c r="H685">
        <v>1128.8</v>
      </c>
      <c r="I685">
        <v>2566.0100000000002</v>
      </c>
      <c r="J685" t="s">
        <v>27</v>
      </c>
      <c r="K685">
        <v>0.28999999999999998</v>
      </c>
      <c r="L685" t="s">
        <v>25</v>
      </c>
      <c r="M685" t="s">
        <v>21</v>
      </c>
    </row>
    <row r="686" spans="1:13" x14ac:dyDescent="0.35">
      <c r="A686">
        <v>1012</v>
      </c>
      <c r="B686" s="1">
        <v>44781</v>
      </c>
      <c r="C686" t="s">
        <v>29</v>
      </c>
      <c r="D686" t="s">
        <v>30</v>
      </c>
      <c r="E686">
        <v>90956.91</v>
      </c>
      <c r="F686">
        <v>18</v>
      </c>
      <c r="G686" t="s">
        <v>16</v>
      </c>
      <c r="H686">
        <v>2513.3200000000002</v>
      </c>
      <c r="I686">
        <v>5263.71</v>
      </c>
      <c r="J686" t="s">
        <v>27</v>
      </c>
      <c r="K686">
        <v>0.04</v>
      </c>
      <c r="L686" t="s">
        <v>28</v>
      </c>
      <c r="M686" t="s">
        <v>21</v>
      </c>
    </row>
    <row r="687" spans="1:13" x14ac:dyDescent="0.35">
      <c r="A687">
        <v>1092</v>
      </c>
      <c r="B687" s="1">
        <v>44782</v>
      </c>
      <c r="C687" t="s">
        <v>14</v>
      </c>
      <c r="D687" t="s">
        <v>20</v>
      </c>
      <c r="E687">
        <v>11944.63</v>
      </c>
      <c r="F687">
        <v>6</v>
      </c>
      <c r="G687" t="s">
        <v>31</v>
      </c>
      <c r="H687">
        <v>1658.24</v>
      </c>
      <c r="I687">
        <v>2314.85</v>
      </c>
      <c r="J687" t="s">
        <v>17</v>
      </c>
      <c r="K687">
        <v>0.14000000000000001</v>
      </c>
      <c r="L687" t="s">
        <v>25</v>
      </c>
      <c r="M687" t="s">
        <v>21</v>
      </c>
    </row>
    <row r="688" spans="1:13" x14ac:dyDescent="0.35">
      <c r="A688">
        <v>1013</v>
      </c>
      <c r="B688" s="1">
        <v>44782</v>
      </c>
      <c r="C688" t="s">
        <v>29</v>
      </c>
      <c r="D688" t="s">
        <v>15</v>
      </c>
      <c r="E688">
        <v>42173.19</v>
      </c>
      <c r="F688">
        <v>17</v>
      </c>
      <c r="G688" t="s">
        <v>26</v>
      </c>
      <c r="H688">
        <v>2150.5700000000002</v>
      </c>
      <c r="I688">
        <v>3100.97</v>
      </c>
      <c r="J688" t="s">
        <v>27</v>
      </c>
      <c r="K688">
        <v>0.2</v>
      </c>
      <c r="L688" t="s">
        <v>28</v>
      </c>
      <c r="M688" t="s">
        <v>19</v>
      </c>
    </row>
    <row r="689" spans="1:13" x14ac:dyDescent="0.35">
      <c r="A689">
        <v>1011</v>
      </c>
      <c r="B689" s="1">
        <v>44782</v>
      </c>
      <c r="C689" t="s">
        <v>29</v>
      </c>
      <c r="D689" t="s">
        <v>30</v>
      </c>
      <c r="E689">
        <v>39221.050000000003</v>
      </c>
      <c r="F689">
        <v>10</v>
      </c>
      <c r="G689" t="s">
        <v>31</v>
      </c>
      <c r="H689">
        <v>1651.78</v>
      </c>
      <c r="I689">
        <v>5028.34</v>
      </c>
      <c r="J689" t="s">
        <v>27</v>
      </c>
      <c r="K689">
        <v>0.22</v>
      </c>
      <c r="L689" t="s">
        <v>25</v>
      </c>
      <c r="M689" t="s">
        <v>19</v>
      </c>
    </row>
    <row r="690" spans="1:13" x14ac:dyDescent="0.35">
      <c r="A690">
        <v>1015</v>
      </c>
      <c r="B690" s="1">
        <v>44782</v>
      </c>
      <c r="C690" t="s">
        <v>22</v>
      </c>
      <c r="D690" t="s">
        <v>15</v>
      </c>
      <c r="E690">
        <v>120945.53</v>
      </c>
      <c r="F690">
        <v>40</v>
      </c>
      <c r="G690" t="s">
        <v>24</v>
      </c>
      <c r="H690">
        <v>287.72000000000003</v>
      </c>
      <c r="I690">
        <v>3054.18</v>
      </c>
      <c r="J690" t="s">
        <v>27</v>
      </c>
      <c r="K690">
        <v>0.01</v>
      </c>
      <c r="L690" t="s">
        <v>25</v>
      </c>
      <c r="M690" t="s">
        <v>19</v>
      </c>
    </row>
    <row r="691" spans="1:13" x14ac:dyDescent="0.35">
      <c r="A691">
        <v>1028</v>
      </c>
      <c r="B691" s="1">
        <v>44783</v>
      </c>
      <c r="C691" t="s">
        <v>33</v>
      </c>
      <c r="D691" t="s">
        <v>15</v>
      </c>
      <c r="E691">
        <v>25832.400000000001</v>
      </c>
      <c r="F691">
        <v>36</v>
      </c>
      <c r="G691" t="s">
        <v>24</v>
      </c>
      <c r="H691">
        <v>280.35000000000002</v>
      </c>
      <c r="I691">
        <v>834.38</v>
      </c>
      <c r="J691" t="s">
        <v>17</v>
      </c>
      <c r="K691">
        <v>0.14000000000000001</v>
      </c>
      <c r="L691" t="s">
        <v>28</v>
      </c>
      <c r="M691" t="s">
        <v>21</v>
      </c>
    </row>
    <row r="692" spans="1:13" x14ac:dyDescent="0.35">
      <c r="A692">
        <v>1026</v>
      </c>
      <c r="B692" s="1">
        <v>44783</v>
      </c>
      <c r="C692" t="s">
        <v>14</v>
      </c>
      <c r="D692" t="s">
        <v>23</v>
      </c>
      <c r="E692">
        <v>37591.519999999997</v>
      </c>
      <c r="F692">
        <v>36</v>
      </c>
      <c r="G692" t="s">
        <v>24</v>
      </c>
      <c r="H692">
        <v>349.94</v>
      </c>
      <c r="I692">
        <v>1200.24</v>
      </c>
      <c r="J692" t="s">
        <v>17</v>
      </c>
      <c r="K692">
        <v>0.13</v>
      </c>
      <c r="L692" t="s">
        <v>28</v>
      </c>
      <c r="M692" t="s">
        <v>21</v>
      </c>
    </row>
    <row r="693" spans="1:13" x14ac:dyDescent="0.35">
      <c r="A693">
        <v>1074</v>
      </c>
      <c r="B693" s="1">
        <v>44783</v>
      </c>
      <c r="C693" t="s">
        <v>22</v>
      </c>
      <c r="D693" t="s">
        <v>30</v>
      </c>
      <c r="E693">
        <v>100949.51</v>
      </c>
      <c r="F693">
        <v>33</v>
      </c>
      <c r="G693" t="s">
        <v>24</v>
      </c>
      <c r="H693">
        <v>434.34</v>
      </c>
      <c r="I693">
        <v>3220.08</v>
      </c>
      <c r="J693" t="s">
        <v>27</v>
      </c>
      <c r="K693">
        <v>0.05</v>
      </c>
      <c r="L693" t="s">
        <v>25</v>
      </c>
      <c r="M693" t="s">
        <v>19</v>
      </c>
    </row>
    <row r="694" spans="1:13" x14ac:dyDescent="0.35">
      <c r="A694">
        <v>1058</v>
      </c>
      <c r="B694" s="1">
        <v>44784</v>
      </c>
      <c r="C694" t="s">
        <v>32</v>
      </c>
      <c r="D694" t="s">
        <v>20</v>
      </c>
      <c r="E694">
        <v>59519.49</v>
      </c>
      <c r="F694">
        <v>16</v>
      </c>
      <c r="G694" t="s">
        <v>31</v>
      </c>
      <c r="H694">
        <v>3644</v>
      </c>
      <c r="I694">
        <v>4649.96</v>
      </c>
      <c r="J694" t="s">
        <v>27</v>
      </c>
      <c r="K694">
        <v>0.2</v>
      </c>
      <c r="L694" t="s">
        <v>28</v>
      </c>
      <c r="M694" t="s">
        <v>21</v>
      </c>
    </row>
    <row r="695" spans="1:13" x14ac:dyDescent="0.35">
      <c r="A695">
        <v>1035</v>
      </c>
      <c r="B695" s="1">
        <v>44784</v>
      </c>
      <c r="C695" t="s">
        <v>14</v>
      </c>
      <c r="D695" t="s">
        <v>15</v>
      </c>
      <c r="E695">
        <v>144245.01999999999</v>
      </c>
      <c r="F695">
        <v>40</v>
      </c>
      <c r="G695" t="s">
        <v>24</v>
      </c>
      <c r="H695">
        <v>3261.95</v>
      </c>
      <c r="I695">
        <v>4097.87</v>
      </c>
      <c r="J695" t="s">
        <v>17</v>
      </c>
      <c r="K695">
        <v>0.12</v>
      </c>
      <c r="L695" t="s">
        <v>28</v>
      </c>
      <c r="M695" t="s">
        <v>21</v>
      </c>
    </row>
    <row r="696" spans="1:13" x14ac:dyDescent="0.35">
      <c r="A696">
        <v>1078</v>
      </c>
      <c r="B696" s="1">
        <v>44785</v>
      </c>
      <c r="C696" t="s">
        <v>29</v>
      </c>
      <c r="D696" t="s">
        <v>30</v>
      </c>
      <c r="E696">
        <v>24163.39</v>
      </c>
      <c r="F696">
        <v>32</v>
      </c>
      <c r="G696" t="s">
        <v>31</v>
      </c>
      <c r="H696">
        <v>396.29</v>
      </c>
      <c r="I696">
        <v>888.36</v>
      </c>
      <c r="J696" t="s">
        <v>27</v>
      </c>
      <c r="K696">
        <v>0.15</v>
      </c>
      <c r="L696" t="s">
        <v>25</v>
      </c>
      <c r="M696" t="s">
        <v>21</v>
      </c>
    </row>
    <row r="697" spans="1:13" x14ac:dyDescent="0.35">
      <c r="A697">
        <v>1015</v>
      </c>
      <c r="B697" s="1">
        <v>44785</v>
      </c>
      <c r="C697" t="s">
        <v>22</v>
      </c>
      <c r="D697" t="s">
        <v>23</v>
      </c>
      <c r="E697">
        <v>97484.160000000003</v>
      </c>
      <c r="F697">
        <v>28</v>
      </c>
      <c r="G697" t="s">
        <v>16</v>
      </c>
      <c r="H697">
        <v>2914.32</v>
      </c>
      <c r="I697">
        <v>4903.63</v>
      </c>
      <c r="J697" t="s">
        <v>27</v>
      </c>
      <c r="K697">
        <v>0.28999999999999998</v>
      </c>
      <c r="L697" t="s">
        <v>28</v>
      </c>
      <c r="M697" t="s">
        <v>19</v>
      </c>
    </row>
    <row r="698" spans="1:13" x14ac:dyDescent="0.35">
      <c r="A698">
        <v>1041</v>
      </c>
      <c r="B698" s="1">
        <v>44785</v>
      </c>
      <c r="C698" t="s">
        <v>29</v>
      </c>
      <c r="D698" t="s">
        <v>23</v>
      </c>
      <c r="E698">
        <v>38646.93</v>
      </c>
      <c r="F698">
        <v>16</v>
      </c>
      <c r="G698" t="s">
        <v>26</v>
      </c>
      <c r="H698">
        <v>812.75</v>
      </c>
      <c r="I698">
        <v>2776.36</v>
      </c>
      <c r="J698" t="s">
        <v>17</v>
      </c>
      <c r="K698">
        <v>0.13</v>
      </c>
      <c r="L698" t="s">
        <v>25</v>
      </c>
      <c r="M698" t="s">
        <v>19</v>
      </c>
    </row>
    <row r="699" spans="1:13" x14ac:dyDescent="0.35">
      <c r="A699">
        <v>1081</v>
      </c>
      <c r="B699" s="1">
        <v>44785</v>
      </c>
      <c r="C699" t="s">
        <v>33</v>
      </c>
      <c r="D699" t="s">
        <v>20</v>
      </c>
      <c r="E699">
        <v>111675.96</v>
      </c>
      <c r="F699">
        <v>33</v>
      </c>
      <c r="G699" t="s">
        <v>16</v>
      </c>
      <c r="H699">
        <v>1480.82</v>
      </c>
      <c r="I699">
        <v>4512.16</v>
      </c>
      <c r="J699" t="s">
        <v>27</v>
      </c>
      <c r="K699">
        <v>0.25</v>
      </c>
      <c r="L699" t="s">
        <v>28</v>
      </c>
      <c r="M699" t="s">
        <v>21</v>
      </c>
    </row>
    <row r="700" spans="1:13" x14ac:dyDescent="0.35">
      <c r="A700">
        <v>1072</v>
      </c>
      <c r="B700" s="1">
        <v>44786</v>
      </c>
      <c r="C700" t="s">
        <v>14</v>
      </c>
      <c r="D700" t="s">
        <v>30</v>
      </c>
      <c r="E700">
        <v>72564.63</v>
      </c>
      <c r="F700">
        <v>44</v>
      </c>
      <c r="G700" t="s">
        <v>31</v>
      </c>
      <c r="H700">
        <v>110.9</v>
      </c>
      <c r="I700">
        <v>1917.67</v>
      </c>
      <c r="J700" t="s">
        <v>27</v>
      </c>
      <c r="K700">
        <v>0.14000000000000001</v>
      </c>
      <c r="L700" t="s">
        <v>25</v>
      </c>
      <c r="M700" t="s">
        <v>21</v>
      </c>
    </row>
    <row r="701" spans="1:13" x14ac:dyDescent="0.35">
      <c r="A701">
        <v>1072</v>
      </c>
      <c r="B701" s="1">
        <v>44786</v>
      </c>
      <c r="C701" t="s">
        <v>33</v>
      </c>
      <c r="D701" t="s">
        <v>15</v>
      </c>
      <c r="E701">
        <v>149820.32999999999</v>
      </c>
      <c r="F701">
        <v>37</v>
      </c>
      <c r="G701" t="s">
        <v>16</v>
      </c>
      <c r="H701">
        <v>286.97000000000003</v>
      </c>
      <c r="I701">
        <v>4708.37</v>
      </c>
      <c r="J701" t="s">
        <v>27</v>
      </c>
      <c r="K701">
        <v>0.14000000000000001</v>
      </c>
      <c r="L701" t="s">
        <v>25</v>
      </c>
      <c r="M701" t="s">
        <v>19</v>
      </c>
    </row>
    <row r="702" spans="1:13" x14ac:dyDescent="0.35">
      <c r="A702">
        <v>1043</v>
      </c>
      <c r="B702" s="1">
        <v>44787</v>
      </c>
      <c r="C702" t="s">
        <v>33</v>
      </c>
      <c r="D702" t="s">
        <v>23</v>
      </c>
      <c r="E702">
        <v>39789.86</v>
      </c>
      <c r="F702">
        <v>13</v>
      </c>
      <c r="G702" t="s">
        <v>31</v>
      </c>
      <c r="H702">
        <v>309.42</v>
      </c>
      <c r="I702">
        <v>4192.82</v>
      </c>
      <c r="J702" t="s">
        <v>27</v>
      </c>
      <c r="K702">
        <v>0.27</v>
      </c>
      <c r="L702" t="s">
        <v>18</v>
      </c>
      <c r="M702" t="s">
        <v>21</v>
      </c>
    </row>
    <row r="703" spans="1:13" x14ac:dyDescent="0.35">
      <c r="A703">
        <v>1008</v>
      </c>
      <c r="B703" s="1">
        <v>44787</v>
      </c>
      <c r="C703" t="s">
        <v>33</v>
      </c>
      <c r="D703" t="s">
        <v>20</v>
      </c>
      <c r="E703">
        <v>60157.01</v>
      </c>
      <c r="F703">
        <v>13</v>
      </c>
      <c r="G703" t="s">
        <v>26</v>
      </c>
      <c r="H703">
        <v>477.47</v>
      </c>
      <c r="I703">
        <v>4770.58</v>
      </c>
      <c r="J703" t="s">
        <v>17</v>
      </c>
      <c r="K703">
        <v>0.03</v>
      </c>
      <c r="L703" t="s">
        <v>18</v>
      </c>
      <c r="M703" t="s">
        <v>21</v>
      </c>
    </row>
    <row r="704" spans="1:13" x14ac:dyDescent="0.35">
      <c r="A704">
        <v>1098</v>
      </c>
      <c r="B704" s="1">
        <v>44787</v>
      </c>
      <c r="C704" t="s">
        <v>32</v>
      </c>
      <c r="D704" t="s">
        <v>15</v>
      </c>
      <c r="E704">
        <v>103145.15</v>
      </c>
      <c r="F704">
        <v>23</v>
      </c>
      <c r="G704" t="s">
        <v>16</v>
      </c>
      <c r="H704">
        <v>930.14</v>
      </c>
      <c r="I704">
        <v>4822.12</v>
      </c>
      <c r="J704" t="s">
        <v>27</v>
      </c>
      <c r="K704">
        <v>7.0000000000000007E-2</v>
      </c>
      <c r="L704" t="s">
        <v>28</v>
      </c>
      <c r="M704" t="s">
        <v>19</v>
      </c>
    </row>
    <row r="705" spans="1:13" x14ac:dyDescent="0.35">
      <c r="A705">
        <v>1026</v>
      </c>
      <c r="B705" s="1">
        <v>44788</v>
      </c>
      <c r="C705" t="s">
        <v>22</v>
      </c>
      <c r="D705" t="s">
        <v>23</v>
      </c>
      <c r="E705">
        <v>184607.27</v>
      </c>
      <c r="F705">
        <v>38</v>
      </c>
      <c r="G705" t="s">
        <v>31</v>
      </c>
      <c r="H705">
        <v>4455.21</v>
      </c>
      <c r="I705">
        <v>5100.45</v>
      </c>
      <c r="J705" t="s">
        <v>17</v>
      </c>
      <c r="K705">
        <v>0.05</v>
      </c>
      <c r="L705" t="s">
        <v>18</v>
      </c>
      <c r="M705" t="s">
        <v>21</v>
      </c>
    </row>
    <row r="706" spans="1:13" x14ac:dyDescent="0.35">
      <c r="A706">
        <v>1062</v>
      </c>
      <c r="B706" s="1">
        <v>44788</v>
      </c>
      <c r="C706" t="s">
        <v>32</v>
      </c>
      <c r="D706" t="s">
        <v>20</v>
      </c>
      <c r="E706">
        <v>112496.05</v>
      </c>
      <c r="F706">
        <v>43</v>
      </c>
      <c r="G706" t="s">
        <v>26</v>
      </c>
      <c r="H706">
        <v>1417.75</v>
      </c>
      <c r="I706">
        <v>2972.94</v>
      </c>
      <c r="J706" t="s">
        <v>17</v>
      </c>
      <c r="K706">
        <v>0.12</v>
      </c>
      <c r="L706" t="s">
        <v>28</v>
      </c>
      <c r="M706" t="s">
        <v>21</v>
      </c>
    </row>
    <row r="707" spans="1:13" x14ac:dyDescent="0.35">
      <c r="A707">
        <v>1002</v>
      </c>
      <c r="B707" s="1">
        <v>44789</v>
      </c>
      <c r="C707" t="s">
        <v>29</v>
      </c>
      <c r="D707" t="s">
        <v>20</v>
      </c>
      <c r="E707">
        <v>13515.72</v>
      </c>
      <c r="F707">
        <v>4</v>
      </c>
      <c r="G707" t="s">
        <v>16</v>
      </c>
      <c r="H707">
        <v>2785.71</v>
      </c>
      <c r="I707">
        <v>4505.24</v>
      </c>
      <c r="J707" t="s">
        <v>17</v>
      </c>
      <c r="K707">
        <v>0.25</v>
      </c>
      <c r="L707" t="s">
        <v>25</v>
      </c>
      <c r="M707" t="s">
        <v>19</v>
      </c>
    </row>
    <row r="708" spans="1:13" x14ac:dyDescent="0.35">
      <c r="A708">
        <v>1049</v>
      </c>
      <c r="B708" s="1">
        <v>44789</v>
      </c>
      <c r="C708" t="s">
        <v>22</v>
      </c>
      <c r="D708" t="s">
        <v>30</v>
      </c>
      <c r="E708">
        <v>113056.09</v>
      </c>
      <c r="F708">
        <v>44</v>
      </c>
      <c r="G708" t="s">
        <v>31</v>
      </c>
      <c r="H708">
        <v>561.59</v>
      </c>
      <c r="I708">
        <v>2887.03</v>
      </c>
      <c r="J708" t="s">
        <v>17</v>
      </c>
      <c r="K708">
        <v>0.11</v>
      </c>
      <c r="L708" t="s">
        <v>18</v>
      </c>
      <c r="M708" t="s">
        <v>21</v>
      </c>
    </row>
    <row r="709" spans="1:13" x14ac:dyDescent="0.35">
      <c r="A709">
        <v>1079</v>
      </c>
      <c r="B709" s="1">
        <v>44790</v>
      </c>
      <c r="C709" t="s">
        <v>14</v>
      </c>
      <c r="D709" t="s">
        <v>20</v>
      </c>
      <c r="E709">
        <v>4214.3100000000004</v>
      </c>
      <c r="F709">
        <v>4</v>
      </c>
      <c r="G709" t="s">
        <v>31</v>
      </c>
      <c r="H709">
        <v>261.01</v>
      </c>
      <c r="I709">
        <v>1109.03</v>
      </c>
      <c r="J709" t="s">
        <v>27</v>
      </c>
      <c r="K709">
        <v>0.05</v>
      </c>
      <c r="L709" t="s">
        <v>28</v>
      </c>
      <c r="M709" t="s">
        <v>19</v>
      </c>
    </row>
    <row r="710" spans="1:13" x14ac:dyDescent="0.35">
      <c r="A710">
        <v>1049</v>
      </c>
      <c r="B710" s="1">
        <v>44790</v>
      </c>
      <c r="C710" t="s">
        <v>22</v>
      </c>
      <c r="D710" t="s">
        <v>23</v>
      </c>
      <c r="E710">
        <v>4810.46</v>
      </c>
      <c r="F710">
        <v>2</v>
      </c>
      <c r="G710" t="s">
        <v>16</v>
      </c>
      <c r="H710">
        <v>700.99</v>
      </c>
      <c r="I710">
        <v>3083.63</v>
      </c>
      <c r="J710" t="s">
        <v>27</v>
      </c>
      <c r="K710">
        <v>0.22</v>
      </c>
      <c r="L710" t="s">
        <v>25</v>
      </c>
      <c r="M710" t="s">
        <v>21</v>
      </c>
    </row>
    <row r="711" spans="1:13" x14ac:dyDescent="0.35">
      <c r="A711">
        <v>1059</v>
      </c>
      <c r="B711" s="1">
        <v>44791</v>
      </c>
      <c r="C711" t="s">
        <v>29</v>
      </c>
      <c r="D711" t="s">
        <v>15</v>
      </c>
      <c r="E711">
        <v>16866.689999999999</v>
      </c>
      <c r="F711">
        <v>4</v>
      </c>
      <c r="G711" t="s">
        <v>16</v>
      </c>
      <c r="H711">
        <v>3972.16</v>
      </c>
      <c r="I711">
        <v>4361.22</v>
      </c>
      <c r="J711" t="s">
        <v>17</v>
      </c>
      <c r="K711">
        <v>0.03</v>
      </c>
      <c r="L711" t="s">
        <v>18</v>
      </c>
      <c r="M711" t="s">
        <v>21</v>
      </c>
    </row>
    <row r="712" spans="1:13" x14ac:dyDescent="0.35">
      <c r="A712">
        <v>1057</v>
      </c>
      <c r="B712" s="1">
        <v>44791</v>
      </c>
      <c r="C712" t="s">
        <v>33</v>
      </c>
      <c r="D712" t="s">
        <v>23</v>
      </c>
      <c r="E712">
        <v>21102.13</v>
      </c>
      <c r="F712">
        <v>12</v>
      </c>
      <c r="G712" t="s">
        <v>24</v>
      </c>
      <c r="H712">
        <v>1272.3399999999999</v>
      </c>
      <c r="I712">
        <v>2044.78</v>
      </c>
      <c r="J712" t="s">
        <v>27</v>
      </c>
      <c r="K712">
        <v>0.14000000000000001</v>
      </c>
      <c r="L712" t="s">
        <v>28</v>
      </c>
      <c r="M712" t="s">
        <v>19</v>
      </c>
    </row>
    <row r="713" spans="1:13" x14ac:dyDescent="0.35">
      <c r="A713">
        <v>1100</v>
      </c>
      <c r="B713" s="1">
        <v>44791</v>
      </c>
      <c r="C713" t="s">
        <v>22</v>
      </c>
      <c r="D713" t="s">
        <v>30</v>
      </c>
      <c r="E713">
        <v>70183.45</v>
      </c>
      <c r="F713">
        <v>16</v>
      </c>
      <c r="G713" t="s">
        <v>26</v>
      </c>
      <c r="H713">
        <v>808.59</v>
      </c>
      <c r="I713">
        <v>4984.62</v>
      </c>
      <c r="J713" t="s">
        <v>27</v>
      </c>
      <c r="K713">
        <v>0.12</v>
      </c>
      <c r="L713" t="s">
        <v>25</v>
      </c>
      <c r="M713" t="s">
        <v>21</v>
      </c>
    </row>
    <row r="714" spans="1:13" x14ac:dyDescent="0.35">
      <c r="A714">
        <v>1051</v>
      </c>
      <c r="B714" s="1">
        <v>44791</v>
      </c>
      <c r="C714" t="s">
        <v>22</v>
      </c>
      <c r="D714" t="s">
        <v>30</v>
      </c>
      <c r="E714">
        <v>113129.77</v>
      </c>
      <c r="F714">
        <v>42</v>
      </c>
      <c r="G714" t="s">
        <v>26</v>
      </c>
      <c r="H714">
        <v>1315.23</v>
      </c>
      <c r="I714">
        <v>3325.39</v>
      </c>
      <c r="J714" t="s">
        <v>17</v>
      </c>
      <c r="K714">
        <v>0.19</v>
      </c>
      <c r="L714" t="s">
        <v>18</v>
      </c>
      <c r="M714" t="s">
        <v>19</v>
      </c>
    </row>
    <row r="715" spans="1:13" x14ac:dyDescent="0.35">
      <c r="A715">
        <v>1013</v>
      </c>
      <c r="B715" s="1">
        <v>44791</v>
      </c>
      <c r="C715" t="s">
        <v>32</v>
      </c>
      <c r="D715" t="s">
        <v>15</v>
      </c>
      <c r="E715">
        <v>105949.64</v>
      </c>
      <c r="F715">
        <v>44</v>
      </c>
      <c r="G715" t="s">
        <v>26</v>
      </c>
      <c r="H715">
        <v>579.54999999999995</v>
      </c>
      <c r="I715">
        <v>3344.37</v>
      </c>
      <c r="J715" t="s">
        <v>27</v>
      </c>
      <c r="K715">
        <v>0.28000000000000003</v>
      </c>
      <c r="L715" t="s">
        <v>28</v>
      </c>
      <c r="M715" t="s">
        <v>19</v>
      </c>
    </row>
    <row r="716" spans="1:13" x14ac:dyDescent="0.35">
      <c r="A716">
        <v>1073</v>
      </c>
      <c r="B716" s="1">
        <v>44792</v>
      </c>
      <c r="C716" t="s">
        <v>29</v>
      </c>
      <c r="D716" t="s">
        <v>30</v>
      </c>
      <c r="E716">
        <v>1809.04</v>
      </c>
      <c r="F716">
        <v>1</v>
      </c>
      <c r="G716" t="s">
        <v>26</v>
      </c>
      <c r="H716">
        <v>777.36</v>
      </c>
      <c r="I716">
        <v>2032.63</v>
      </c>
      <c r="J716" t="s">
        <v>17</v>
      </c>
      <c r="K716">
        <v>0.11</v>
      </c>
      <c r="L716" t="s">
        <v>28</v>
      </c>
      <c r="M716" t="s">
        <v>19</v>
      </c>
    </row>
    <row r="717" spans="1:13" x14ac:dyDescent="0.35">
      <c r="A717">
        <v>1057</v>
      </c>
      <c r="B717" s="1">
        <v>44792</v>
      </c>
      <c r="C717" t="s">
        <v>22</v>
      </c>
      <c r="D717" t="s">
        <v>20</v>
      </c>
      <c r="E717">
        <v>36294.6</v>
      </c>
      <c r="F717">
        <v>17</v>
      </c>
      <c r="G717" t="s">
        <v>16</v>
      </c>
      <c r="H717">
        <v>1795.92</v>
      </c>
      <c r="I717">
        <v>2603.63</v>
      </c>
      <c r="J717" t="s">
        <v>27</v>
      </c>
      <c r="K717">
        <v>0.18</v>
      </c>
      <c r="L717" t="s">
        <v>25</v>
      </c>
      <c r="M717" t="s">
        <v>19</v>
      </c>
    </row>
    <row r="718" spans="1:13" x14ac:dyDescent="0.35">
      <c r="A718">
        <v>1019</v>
      </c>
      <c r="B718" s="1">
        <v>44792</v>
      </c>
      <c r="C718" t="s">
        <v>14</v>
      </c>
      <c r="D718" t="s">
        <v>20</v>
      </c>
      <c r="E718">
        <v>88353.59</v>
      </c>
      <c r="F718">
        <v>39</v>
      </c>
      <c r="G718" t="s">
        <v>16</v>
      </c>
      <c r="H718">
        <v>481.48</v>
      </c>
      <c r="I718">
        <v>2729.49</v>
      </c>
      <c r="J718" t="s">
        <v>17</v>
      </c>
      <c r="K718">
        <v>0.17</v>
      </c>
      <c r="L718" t="s">
        <v>18</v>
      </c>
      <c r="M718" t="s">
        <v>19</v>
      </c>
    </row>
    <row r="719" spans="1:13" x14ac:dyDescent="0.35">
      <c r="A719">
        <v>1084</v>
      </c>
      <c r="B719" s="1">
        <v>44793</v>
      </c>
      <c r="C719" t="s">
        <v>14</v>
      </c>
      <c r="D719" t="s">
        <v>23</v>
      </c>
      <c r="E719">
        <v>5649.92</v>
      </c>
      <c r="F719">
        <v>5</v>
      </c>
      <c r="G719" t="s">
        <v>26</v>
      </c>
      <c r="H719">
        <v>318.89</v>
      </c>
      <c r="I719">
        <v>1202.1099999999999</v>
      </c>
      <c r="J719" t="s">
        <v>27</v>
      </c>
      <c r="K719">
        <v>0.06</v>
      </c>
      <c r="L719" t="s">
        <v>28</v>
      </c>
      <c r="M719" t="s">
        <v>21</v>
      </c>
    </row>
    <row r="720" spans="1:13" x14ac:dyDescent="0.35">
      <c r="A720">
        <v>1043</v>
      </c>
      <c r="B720" s="1">
        <v>44794</v>
      </c>
      <c r="C720" t="s">
        <v>22</v>
      </c>
      <c r="D720" t="s">
        <v>20</v>
      </c>
      <c r="E720">
        <v>108771.71</v>
      </c>
      <c r="F720">
        <v>28</v>
      </c>
      <c r="G720" t="s">
        <v>24</v>
      </c>
      <c r="H720">
        <v>3877.99</v>
      </c>
      <c r="I720">
        <v>4570.24</v>
      </c>
      <c r="J720" t="s">
        <v>27</v>
      </c>
      <c r="K720">
        <v>0.15</v>
      </c>
      <c r="L720" t="s">
        <v>28</v>
      </c>
      <c r="M720" t="s">
        <v>21</v>
      </c>
    </row>
    <row r="721" spans="1:13" x14ac:dyDescent="0.35">
      <c r="A721">
        <v>1096</v>
      </c>
      <c r="B721" s="1">
        <v>44794</v>
      </c>
      <c r="C721" t="s">
        <v>32</v>
      </c>
      <c r="D721" t="s">
        <v>30</v>
      </c>
      <c r="E721">
        <v>100056.47</v>
      </c>
      <c r="F721">
        <v>20</v>
      </c>
      <c r="G721" t="s">
        <v>24</v>
      </c>
      <c r="H721">
        <v>3669.27</v>
      </c>
      <c r="I721">
        <v>5379.38</v>
      </c>
      <c r="J721" t="s">
        <v>27</v>
      </c>
      <c r="K721">
        <v>7.0000000000000007E-2</v>
      </c>
      <c r="L721" t="s">
        <v>25</v>
      </c>
      <c r="M721" t="s">
        <v>19</v>
      </c>
    </row>
    <row r="722" spans="1:13" x14ac:dyDescent="0.35">
      <c r="A722">
        <v>1088</v>
      </c>
      <c r="B722" s="1">
        <v>44794</v>
      </c>
      <c r="C722" t="s">
        <v>29</v>
      </c>
      <c r="D722" t="s">
        <v>30</v>
      </c>
      <c r="E722">
        <v>90016.66</v>
      </c>
      <c r="F722">
        <v>48</v>
      </c>
      <c r="G722" t="s">
        <v>16</v>
      </c>
      <c r="H722">
        <v>810.01</v>
      </c>
      <c r="I722">
        <v>1995.05</v>
      </c>
      <c r="J722" t="s">
        <v>17</v>
      </c>
      <c r="K722">
        <v>0.06</v>
      </c>
      <c r="L722" t="s">
        <v>28</v>
      </c>
      <c r="M722" t="s">
        <v>19</v>
      </c>
    </row>
    <row r="723" spans="1:13" x14ac:dyDescent="0.35">
      <c r="A723">
        <v>1019</v>
      </c>
      <c r="B723" s="1">
        <v>44795</v>
      </c>
      <c r="C723" t="s">
        <v>29</v>
      </c>
      <c r="D723" t="s">
        <v>23</v>
      </c>
      <c r="E723">
        <v>7285.31</v>
      </c>
      <c r="F723">
        <v>2</v>
      </c>
      <c r="G723" t="s">
        <v>26</v>
      </c>
      <c r="H723">
        <v>3325.88</v>
      </c>
      <c r="I723">
        <v>4670.07</v>
      </c>
      <c r="J723" t="s">
        <v>17</v>
      </c>
      <c r="K723">
        <v>0.22</v>
      </c>
      <c r="L723" t="s">
        <v>28</v>
      </c>
      <c r="M723" t="s">
        <v>19</v>
      </c>
    </row>
    <row r="724" spans="1:13" x14ac:dyDescent="0.35">
      <c r="A724">
        <v>1087</v>
      </c>
      <c r="B724" s="1">
        <v>44795</v>
      </c>
      <c r="C724" t="s">
        <v>29</v>
      </c>
      <c r="D724" t="s">
        <v>20</v>
      </c>
      <c r="E724">
        <v>3014.84</v>
      </c>
      <c r="F724">
        <v>6</v>
      </c>
      <c r="G724" t="s">
        <v>26</v>
      </c>
      <c r="H724">
        <v>384.6</v>
      </c>
      <c r="I724">
        <v>505.11</v>
      </c>
      <c r="J724" t="s">
        <v>17</v>
      </c>
      <c r="K724">
        <v>0.01</v>
      </c>
      <c r="L724" t="s">
        <v>28</v>
      </c>
      <c r="M724" t="s">
        <v>19</v>
      </c>
    </row>
    <row r="725" spans="1:13" x14ac:dyDescent="0.35">
      <c r="A725">
        <v>1036</v>
      </c>
      <c r="B725" s="1">
        <v>44795</v>
      </c>
      <c r="C725" t="s">
        <v>32</v>
      </c>
      <c r="D725" t="s">
        <v>30</v>
      </c>
      <c r="E725">
        <v>68153.429999999993</v>
      </c>
      <c r="F725">
        <v>38</v>
      </c>
      <c r="G725" t="s">
        <v>24</v>
      </c>
      <c r="H725">
        <v>1533.57</v>
      </c>
      <c r="I725">
        <v>1803.2</v>
      </c>
      <c r="J725" t="s">
        <v>17</v>
      </c>
      <c r="K725">
        <v>0.01</v>
      </c>
      <c r="L725" t="s">
        <v>18</v>
      </c>
      <c r="M725" t="s">
        <v>19</v>
      </c>
    </row>
    <row r="726" spans="1:13" x14ac:dyDescent="0.35">
      <c r="A726">
        <v>1059</v>
      </c>
      <c r="B726" s="1">
        <v>44795</v>
      </c>
      <c r="C726" t="s">
        <v>32</v>
      </c>
      <c r="D726" t="s">
        <v>15</v>
      </c>
      <c r="E726">
        <v>73193.259999999995</v>
      </c>
      <c r="F726">
        <v>23</v>
      </c>
      <c r="G726" t="s">
        <v>26</v>
      </c>
      <c r="H726">
        <v>792.12</v>
      </c>
      <c r="I726">
        <v>3497.05</v>
      </c>
      <c r="J726" t="s">
        <v>17</v>
      </c>
      <c r="K726">
        <v>0.09</v>
      </c>
      <c r="L726" t="s">
        <v>18</v>
      </c>
      <c r="M726" t="s">
        <v>19</v>
      </c>
    </row>
    <row r="727" spans="1:13" x14ac:dyDescent="0.35">
      <c r="A727">
        <v>1091</v>
      </c>
      <c r="B727" s="1">
        <v>44796</v>
      </c>
      <c r="C727" t="s">
        <v>33</v>
      </c>
      <c r="D727" t="s">
        <v>15</v>
      </c>
      <c r="E727">
        <v>4707.17</v>
      </c>
      <c r="F727">
        <v>1</v>
      </c>
      <c r="G727" t="s">
        <v>24</v>
      </c>
      <c r="H727">
        <v>2128.35</v>
      </c>
      <c r="I727">
        <v>4754.72</v>
      </c>
      <c r="J727" t="s">
        <v>17</v>
      </c>
      <c r="K727">
        <v>0.01</v>
      </c>
      <c r="L727" t="s">
        <v>18</v>
      </c>
      <c r="M727" t="s">
        <v>21</v>
      </c>
    </row>
    <row r="728" spans="1:13" x14ac:dyDescent="0.35">
      <c r="A728">
        <v>1008</v>
      </c>
      <c r="B728" s="1">
        <v>44796</v>
      </c>
      <c r="C728" t="s">
        <v>33</v>
      </c>
      <c r="D728" t="s">
        <v>30</v>
      </c>
      <c r="E728">
        <v>83486.720000000001</v>
      </c>
      <c r="F728">
        <v>26</v>
      </c>
      <c r="G728" t="s">
        <v>16</v>
      </c>
      <c r="H728">
        <v>2961.03</v>
      </c>
      <c r="I728">
        <v>3332.43</v>
      </c>
      <c r="J728" t="s">
        <v>17</v>
      </c>
      <c r="K728">
        <v>0.04</v>
      </c>
      <c r="L728" t="s">
        <v>18</v>
      </c>
      <c r="M728" t="s">
        <v>19</v>
      </c>
    </row>
    <row r="729" spans="1:13" x14ac:dyDescent="0.35">
      <c r="A729">
        <v>1023</v>
      </c>
      <c r="B729" s="1">
        <v>44796</v>
      </c>
      <c r="C729" t="s">
        <v>33</v>
      </c>
      <c r="D729" t="s">
        <v>15</v>
      </c>
      <c r="E729">
        <v>142061.68</v>
      </c>
      <c r="F729">
        <v>40</v>
      </c>
      <c r="G729" t="s">
        <v>16</v>
      </c>
      <c r="H729">
        <v>1588.55</v>
      </c>
      <c r="I729">
        <v>4129.7</v>
      </c>
      <c r="J729" t="s">
        <v>17</v>
      </c>
      <c r="K729">
        <v>0.14000000000000001</v>
      </c>
      <c r="L729" t="s">
        <v>25</v>
      </c>
      <c r="M729" t="s">
        <v>21</v>
      </c>
    </row>
    <row r="730" spans="1:13" x14ac:dyDescent="0.35">
      <c r="A730">
        <v>1066</v>
      </c>
      <c r="B730" s="1">
        <v>44797</v>
      </c>
      <c r="C730" t="s">
        <v>22</v>
      </c>
      <c r="D730" t="s">
        <v>23</v>
      </c>
      <c r="E730">
        <v>16863.509999999998</v>
      </c>
      <c r="F730">
        <v>14</v>
      </c>
      <c r="G730" t="s">
        <v>26</v>
      </c>
      <c r="H730">
        <v>1130.73</v>
      </c>
      <c r="I730">
        <v>1650.05</v>
      </c>
      <c r="J730" t="s">
        <v>27</v>
      </c>
      <c r="K730">
        <v>0.27</v>
      </c>
      <c r="L730" t="s">
        <v>25</v>
      </c>
      <c r="M730" t="s">
        <v>21</v>
      </c>
    </row>
    <row r="731" spans="1:13" x14ac:dyDescent="0.35">
      <c r="A731">
        <v>1062</v>
      </c>
      <c r="B731" s="1">
        <v>44797</v>
      </c>
      <c r="C731" t="s">
        <v>22</v>
      </c>
      <c r="D731" t="s">
        <v>15</v>
      </c>
      <c r="E731">
        <v>24781.360000000001</v>
      </c>
      <c r="F731">
        <v>12</v>
      </c>
      <c r="G731" t="s">
        <v>31</v>
      </c>
      <c r="H731">
        <v>1894.43</v>
      </c>
      <c r="I731">
        <v>2294.5700000000002</v>
      </c>
      <c r="J731" t="s">
        <v>17</v>
      </c>
      <c r="K731">
        <v>0.1</v>
      </c>
      <c r="L731" t="s">
        <v>18</v>
      </c>
      <c r="M731" t="s">
        <v>19</v>
      </c>
    </row>
    <row r="732" spans="1:13" x14ac:dyDescent="0.35">
      <c r="A732">
        <v>1037</v>
      </c>
      <c r="B732" s="1">
        <v>44797</v>
      </c>
      <c r="C732" t="s">
        <v>14</v>
      </c>
      <c r="D732" t="s">
        <v>20</v>
      </c>
      <c r="E732">
        <v>88796.37</v>
      </c>
      <c r="F732">
        <v>20</v>
      </c>
      <c r="G732" t="s">
        <v>16</v>
      </c>
      <c r="H732">
        <v>4108.83</v>
      </c>
      <c r="I732">
        <v>4988.5600000000004</v>
      </c>
      <c r="J732" t="s">
        <v>27</v>
      </c>
      <c r="K732">
        <v>0.11</v>
      </c>
      <c r="L732" t="s">
        <v>18</v>
      </c>
      <c r="M732" t="s">
        <v>21</v>
      </c>
    </row>
    <row r="733" spans="1:13" x14ac:dyDescent="0.35">
      <c r="A733">
        <v>1085</v>
      </c>
      <c r="B733" s="1">
        <v>44797</v>
      </c>
      <c r="C733" t="s">
        <v>29</v>
      </c>
      <c r="D733" t="s">
        <v>30</v>
      </c>
      <c r="E733">
        <v>17807.689999999999</v>
      </c>
      <c r="F733">
        <v>5</v>
      </c>
      <c r="G733" t="s">
        <v>26</v>
      </c>
      <c r="H733">
        <v>901.8</v>
      </c>
      <c r="I733">
        <v>4291.01</v>
      </c>
      <c r="J733" t="s">
        <v>17</v>
      </c>
      <c r="K733">
        <v>0.17</v>
      </c>
      <c r="L733" t="s">
        <v>18</v>
      </c>
      <c r="M733" t="s">
        <v>19</v>
      </c>
    </row>
    <row r="734" spans="1:13" x14ac:dyDescent="0.35">
      <c r="A734">
        <v>1014</v>
      </c>
      <c r="B734" s="1">
        <v>44797</v>
      </c>
      <c r="C734" t="s">
        <v>22</v>
      </c>
      <c r="D734" t="s">
        <v>20</v>
      </c>
      <c r="E734">
        <v>56978.61</v>
      </c>
      <c r="F734">
        <v>47</v>
      </c>
      <c r="G734" t="s">
        <v>31</v>
      </c>
      <c r="H734">
        <v>425.66</v>
      </c>
      <c r="I734">
        <v>1303.56</v>
      </c>
      <c r="J734" t="s">
        <v>17</v>
      </c>
      <c r="K734">
        <v>7.0000000000000007E-2</v>
      </c>
      <c r="L734" t="s">
        <v>28</v>
      </c>
      <c r="M734" t="s">
        <v>21</v>
      </c>
    </row>
    <row r="735" spans="1:13" x14ac:dyDescent="0.35">
      <c r="A735">
        <v>1054</v>
      </c>
      <c r="B735" s="1">
        <v>44797</v>
      </c>
      <c r="C735" t="s">
        <v>29</v>
      </c>
      <c r="D735" t="s">
        <v>15</v>
      </c>
      <c r="E735">
        <v>130734.85</v>
      </c>
      <c r="F735">
        <v>39</v>
      </c>
      <c r="G735" t="s">
        <v>24</v>
      </c>
      <c r="H735">
        <v>209.54</v>
      </c>
      <c r="I735">
        <v>3604.49</v>
      </c>
      <c r="J735" t="s">
        <v>17</v>
      </c>
      <c r="K735">
        <v>7.0000000000000007E-2</v>
      </c>
      <c r="L735" t="s">
        <v>28</v>
      </c>
      <c r="M735" t="s">
        <v>21</v>
      </c>
    </row>
    <row r="736" spans="1:13" x14ac:dyDescent="0.35">
      <c r="A736">
        <v>1045</v>
      </c>
      <c r="B736" s="1">
        <v>44798</v>
      </c>
      <c r="C736" t="s">
        <v>22</v>
      </c>
      <c r="D736" t="s">
        <v>23</v>
      </c>
      <c r="E736">
        <v>53456.01</v>
      </c>
      <c r="F736">
        <v>29</v>
      </c>
      <c r="G736" t="s">
        <v>26</v>
      </c>
      <c r="H736">
        <v>1658.63</v>
      </c>
      <c r="I736">
        <v>2247.94</v>
      </c>
      <c r="J736" t="s">
        <v>17</v>
      </c>
      <c r="K736">
        <v>0.18</v>
      </c>
      <c r="L736" t="s">
        <v>28</v>
      </c>
      <c r="M736" t="s">
        <v>19</v>
      </c>
    </row>
    <row r="737" spans="1:13" x14ac:dyDescent="0.35">
      <c r="A737">
        <v>1015</v>
      </c>
      <c r="B737" s="1">
        <v>44799</v>
      </c>
      <c r="C737" t="s">
        <v>22</v>
      </c>
      <c r="D737" t="s">
        <v>15</v>
      </c>
      <c r="E737">
        <v>94632.37</v>
      </c>
      <c r="F737">
        <v>22</v>
      </c>
      <c r="G737" t="s">
        <v>24</v>
      </c>
      <c r="H737">
        <v>977.42</v>
      </c>
      <c r="I737">
        <v>4944.22</v>
      </c>
      <c r="J737" t="s">
        <v>17</v>
      </c>
      <c r="K737">
        <v>0.13</v>
      </c>
      <c r="L737" t="s">
        <v>28</v>
      </c>
      <c r="M737" t="s">
        <v>21</v>
      </c>
    </row>
    <row r="738" spans="1:13" x14ac:dyDescent="0.35">
      <c r="A738">
        <v>1093</v>
      </c>
      <c r="B738" s="1">
        <v>44800</v>
      </c>
      <c r="C738" t="s">
        <v>32</v>
      </c>
      <c r="D738" t="s">
        <v>15</v>
      </c>
      <c r="E738">
        <v>4607.05</v>
      </c>
      <c r="F738">
        <v>11</v>
      </c>
      <c r="G738" t="s">
        <v>31</v>
      </c>
      <c r="H738">
        <v>385.57</v>
      </c>
      <c r="I738">
        <v>427.37</v>
      </c>
      <c r="J738" t="s">
        <v>27</v>
      </c>
      <c r="K738">
        <v>0.02</v>
      </c>
      <c r="L738" t="s">
        <v>18</v>
      </c>
      <c r="M738" t="s">
        <v>21</v>
      </c>
    </row>
    <row r="739" spans="1:13" x14ac:dyDescent="0.35">
      <c r="A739">
        <v>1015</v>
      </c>
      <c r="B739" s="1">
        <v>44800</v>
      </c>
      <c r="C739" t="s">
        <v>33</v>
      </c>
      <c r="D739" t="s">
        <v>23</v>
      </c>
      <c r="E739">
        <v>4146.72</v>
      </c>
      <c r="F739">
        <v>2</v>
      </c>
      <c r="G739" t="s">
        <v>26</v>
      </c>
      <c r="H739">
        <v>142.30000000000001</v>
      </c>
      <c r="I739">
        <v>2356.09</v>
      </c>
      <c r="J739" t="s">
        <v>17</v>
      </c>
      <c r="K739">
        <v>0.12</v>
      </c>
      <c r="L739" t="s">
        <v>18</v>
      </c>
      <c r="M739" t="s">
        <v>19</v>
      </c>
    </row>
    <row r="740" spans="1:13" x14ac:dyDescent="0.35">
      <c r="A740">
        <v>1076</v>
      </c>
      <c r="B740" s="1">
        <v>44800</v>
      </c>
      <c r="C740" t="s">
        <v>32</v>
      </c>
      <c r="D740" t="s">
        <v>23</v>
      </c>
      <c r="E740">
        <v>159546.57999999999</v>
      </c>
      <c r="F740">
        <v>47</v>
      </c>
      <c r="G740" t="s">
        <v>26</v>
      </c>
      <c r="H740">
        <v>354.18</v>
      </c>
      <c r="I740">
        <v>4041.2</v>
      </c>
      <c r="J740" t="s">
        <v>27</v>
      </c>
      <c r="K740">
        <v>0.16</v>
      </c>
      <c r="L740" t="s">
        <v>18</v>
      </c>
      <c r="M740" t="s">
        <v>21</v>
      </c>
    </row>
    <row r="741" spans="1:13" x14ac:dyDescent="0.35">
      <c r="A741">
        <v>1044</v>
      </c>
      <c r="B741" s="1">
        <v>44801</v>
      </c>
      <c r="C741" t="s">
        <v>22</v>
      </c>
      <c r="D741" t="s">
        <v>20</v>
      </c>
      <c r="E741">
        <v>120545.33</v>
      </c>
      <c r="F741">
        <v>27</v>
      </c>
      <c r="G741" t="s">
        <v>24</v>
      </c>
      <c r="H741">
        <v>4452.26</v>
      </c>
      <c r="I741">
        <v>5252.52</v>
      </c>
      <c r="J741" t="s">
        <v>27</v>
      </c>
      <c r="K741">
        <v>0.15</v>
      </c>
      <c r="L741" t="s">
        <v>28</v>
      </c>
      <c r="M741" t="s">
        <v>21</v>
      </c>
    </row>
    <row r="742" spans="1:13" x14ac:dyDescent="0.35">
      <c r="A742">
        <v>1017</v>
      </c>
      <c r="B742" s="1">
        <v>44801</v>
      </c>
      <c r="C742" t="s">
        <v>32</v>
      </c>
      <c r="D742" t="s">
        <v>30</v>
      </c>
      <c r="E742">
        <v>4396.1400000000003</v>
      </c>
      <c r="F742">
        <v>5</v>
      </c>
      <c r="G742" t="s">
        <v>24</v>
      </c>
      <c r="H742">
        <v>709.94</v>
      </c>
      <c r="I742">
        <v>883</v>
      </c>
      <c r="J742" t="s">
        <v>27</v>
      </c>
      <c r="K742">
        <v>0</v>
      </c>
      <c r="L742" t="s">
        <v>18</v>
      </c>
      <c r="M742" t="s">
        <v>21</v>
      </c>
    </row>
    <row r="743" spans="1:13" x14ac:dyDescent="0.35">
      <c r="A743">
        <v>1086</v>
      </c>
      <c r="B743" s="1">
        <v>44801</v>
      </c>
      <c r="C743" t="s">
        <v>33</v>
      </c>
      <c r="D743" t="s">
        <v>30</v>
      </c>
      <c r="E743">
        <v>42138.33</v>
      </c>
      <c r="F743">
        <v>9</v>
      </c>
      <c r="G743" t="s">
        <v>24</v>
      </c>
      <c r="H743">
        <v>2495.7600000000002</v>
      </c>
      <c r="I743">
        <v>4928.46</v>
      </c>
      <c r="J743" t="s">
        <v>27</v>
      </c>
      <c r="K743">
        <v>0.05</v>
      </c>
      <c r="L743" t="s">
        <v>28</v>
      </c>
      <c r="M743" t="s">
        <v>19</v>
      </c>
    </row>
    <row r="744" spans="1:13" x14ac:dyDescent="0.35">
      <c r="A744">
        <v>1046</v>
      </c>
      <c r="B744" s="1">
        <v>44801</v>
      </c>
      <c r="C744" t="s">
        <v>22</v>
      </c>
      <c r="D744" t="s">
        <v>30</v>
      </c>
      <c r="E744">
        <v>85928.43</v>
      </c>
      <c r="F744">
        <v>28</v>
      </c>
      <c r="G744" t="s">
        <v>26</v>
      </c>
      <c r="H744">
        <v>494.19</v>
      </c>
      <c r="I744">
        <v>4037.99</v>
      </c>
      <c r="J744" t="s">
        <v>17</v>
      </c>
      <c r="K744">
        <v>0.24</v>
      </c>
      <c r="L744" t="s">
        <v>18</v>
      </c>
      <c r="M744" t="s">
        <v>21</v>
      </c>
    </row>
    <row r="745" spans="1:13" x14ac:dyDescent="0.35">
      <c r="A745">
        <v>1017</v>
      </c>
      <c r="B745" s="1">
        <v>44802</v>
      </c>
      <c r="C745" t="s">
        <v>33</v>
      </c>
      <c r="D745" t="s">
        <v>20</v>
      </c>
      <c r="E745">
        <v>26196.32</v>
      </c>
      <c r="F745">
        <v>12</v>
      </c>
      <c r="G745" t="s">
        <v>24</v>
      </c>
      <c r="H745">
        <v>1916.88</v>
      </c>
      <c r="I745">
        <v>2204.77</v>
      </c>
      <c r="J745" t="s">
        <v>27</v>
      </c>
      <c r="K745">
        <v>0.01</v>
      </c>
      <c r="L745" t="s">
        <v>25</v>
      </c>
      <c r="M745" t="s">
        <v>19</v>
      </c>
    </row>
    <row r="746" spans="1:13" x14ac:dyDescent="0.35">
      <c r="A746">
        <v>1081</v>
      </c>
      <c r="B746" s="1">
        <v>44802</v>
      </c>
      <c r="C746" t="s">
        <v>22</v>
      </c>
      <c r="D746" t="s">
        <v>30</v>
      </c>
      <c r="E746">
        <v>128221.48</v>
      </c>
      <c r="F746">
        <v>30</v>
      </c>
      <c r="G746" t="s">
        <v>24</v>
      </c>
      <c r="H746">
        <v>3891.42</v>
      </c>
      <c r="I746">
        <v>4339.3500000000004</v>
      </c>
      <c r="J746" t="s">
        <v>27</v>
      </c>
      <c r="K746">
        <v>0.02</v>
      </c>
      <c r="L746" t="s">
        <v>25</v>
      </c>
      <c r="M746" t="s">
        <v>19</v>
      </c>
    </row>
    <row r="747" spans="1:13" x14ac:dyDescent="0.35">
      <c r="A747">
        <v>1059</v>
      </c>
      <c r="B747" s="1">
        <v>44802</v>
      </c>
      <c r="C747" t="s">
        <v>22</v>
      </c>
      <c r="D747" t="s">
        <v>30</v>
      </c>
      <c r="E747">
        <v>66523.73</v>
      </c>
      <c r="F747">
        <v>20</v>
      </c>
      <c r="G747" t="s">
        <v>26</v>
      </c>
      <c r="H747">
        <v>1570.43</v>
      </c>
      <c r="I747">
        <v>4556.42</v>
      </c>
      <c r="J747" t="s">
        <v>27</v>
      </c>
      <c r="K747">
        <v>0.27</v>
      </c>
      <c r="L747" t="s">
        <v>25</v>
      </c>
      <c r="M747" t="s">
        <v>19</v>
      </c>
    </row>
    <row r="748" spans="1:13" x14ac:dyDescent="0.35">
      <c r="A748">
        <v>1082</v>
      </c>
      <c r="B748" s="1">
        <v>44803</v>
      </c>
      <c r="C748" t="s">
        <v>29</v>
      </c>
      <c r="D748" t="s">
        <v>30</v>
      </c>
      <c r="E748">
        <v>5413.59</v>
      </c>
      <c r="F748">
        <v>1</v>
      </c>
      <c r="G748" t="s">
        <v>26</v>
      </c>
      <c r="H748">
        <v>689.1</v>
      </c>
      <c r="I748">
        <v>5468.27</v>
      </c>
      <c r="J748" t="s">
        <v>17</v>
      </c>
      <c r="K748">
        <v>0.01</v>
      </c>
      <c r="L748" t="s">
        <v>18</v>
      </c>
      <c r="M748" t="s">
        <v>19</v>
      </c>
    </row>
    <row r="749" spans="1:13" x14ac:dyDescent="0.35">
      <c r="A749">
        <v>1064</v>
      </c>
      <c r="B749" s="1">
        <v>44804</v>
      </c>
      <c r="C749" t="s">
        <v>32</v>
      </c>
      <c r="D749" t="s">
        <v>15</v>
      </c>
      <c r="E749">
        <v>10547.74</v>
      </c>
      <c r="F749">
        <v>27</v>
      </c>
      <c r="G749" t="s">
        <v>24</v>
      </c>
      <c r="H749">
        <v>337.56</v>
      </c>
      <c r="I749">
        <v>406.43</v>
      </c>
      <c r="J749" t="s">
        <v>17</v>
      </c>
      <c r="K749">
        <v>0.04</v>
      </c>
      <c r="L749" t="s">
        <v>28</v>
      </c>
      <c r="M749" t="s">
        <v>21</v>
      </c>
    </row>
    <row r="750" spans="1:13" x14ac:dyDescent="0.35">
      <c r="A750">
        <v>1051</v>
      </c>
      <c r="B750" s="1">
        <v>44804</v>
      </c>
      <c r="C750" t="s">
        <v>14</v>
      </c>
      <c r="D750" t="s">
        <v>30</v>
      </c>
      <c r="E750">
        <v>11254.66</v>
      </c>
      <c r="F750">
        <v>20</v>
      </c>
      <c r="G750" t="s">
        <v>24</v>
      </c>
      <c r="H750">
        <v>284.33</v>
      </c>
      <c r="I750">
        <v>760.45</v>
      </c>
      <c r="J750" t="s">
        <v>27</v>
      </c>
      <c r="K750">
        <v>0.26</v>
      </c>
      <c r="L750" t="s">
        <v>28</v>
      </c>
      <c r="M750" t="s">
        <v>21</v>
      </c>
    </row>
    <row r="751" spans="1:13" x14ac:dyDescent="0.35">
      <c r="A751">
        <v>1033</v>
      </c>
      <c r="B751" s="1">
        <v>44804</v>
      </c>
      <c r="C751" t="s">
        <v>22</v>
      </c>
      <c r="D751" t="s">
        <v>20</v>
      </c>
      <c r="E751">
        <v>115157.7</v>
      </c>
      <c r="F751">
        <v>30</v>
      </c>
      <c r="G751" t="s">
        <v>16</v>
      </c>
      <c r="H751">
        <v>2929.7</v>
      </c>
      <c r="I751">
        <v>4265.1000000000004</v>
      </c>
      <c r="J751" t="s">
        <v>17</v>
      </c>
      <c r="K751">
        <v>0.1</v>
      </c>
      <c r="L751" t="s">
        <v>25</v>
      </c>
      <c r="M751" t="s">
        <v>19</v>
      </c>
    </row>
    <row r="752" spans="1:13" x14ac:dyDescent="0.35">
      <c r="A752">
        <v>1067</v>
      </c>
      <c r="B752" s="1">
        <v>44804</v>
      </c>
      <c r="C752" t="s">
        <v>14</v>
      </c>
      <c r="D752" t="s">
        <v>23</v>
      </c>
      <c r="E752">
        <v>61182.93</v>
      </c>
      <c r="F752">
        <v>36</v>
      </c>
      <c r="G752" t="s">
        <v>24</v>
      </c>
      <c r="H752">
        <v>332.47</v>
      </c>
      <c r="I752">
        <v>2098.1799999999998</v>
      </c>
      <c r="J752" t="s">
        <v>27</v>
      </c>
      <c r="K752">
        <v>0.19</v>
      </c>
      <c r="L752" t="s">
        <v>25</v>
      </c>
      <c r="M752" t="s">
        <v>19</v>
      </c>
    </row>
    <row r="753" spans="1:13" x14ac:dyDescent="0.35">
      <c r="A753">
        <v>1059</v>
      </c>
      <c r="B753" s="1">
        <v>44804</v>
      </c>
      <c r="C753" t="s">
        <v>14</v>
      </c>
      <c r="D753" t="s">
        <v>30</v>
      </c>
      <c r="E753">
        <v>103662.59</v>
      </c>
      <c r="F753">
        <v>31</v>
      </c>
      <c r="G753" t="s">
        <v>31</v>
      </c>
      <c r="H753">
        <v>1636.35</v>
      </c>
      <c r="I753">
        <v>4399.9399999999996</v>
      </c>
      <c r="J753" t="s">
        <v>17</v>
      </c>
      <c r="K753">
        <v>0.24</v>
      </c>
      <c r="L753" t="s">
        <v>18</v>
      </c>
      <c r="M753" t="s">
        <v>21</v>
      </c>
    </row>
    <row r="754" spans="1:13" x14ac:dyDescent="0.35">
      <c r="A754">
        <v>1010</v>
      </c>
      <c r="B754" s="1">
        <v>44805</v>
      </c>
      <c r="C754" t="s">
        <v>14</v>
      </c>
      <c r="D754" t="s">
        <v>15</v>
      </c>
      <c r="E754">
        <v>28770.799999999999</v>
      </c>
      <c r="F754">
        <v>10</v>
      </c>
      <c r="G754" t="s">
        <v>26</v>
      </c>
      <c r="H754">
        <v>1983.34</v>
      </c>
      <c r="I754">
        <v>3551.95</v>
      </c>
      <c r="J754" t="s">
        <v>17</v>
      </c>
      <c r="K754">
        <v>0.19</v>
      </c>
      <c r="L754" t="s">
        <v>25</v>
      </c>
      <c r="M754" t="s">
        <v>19</v>
      </c>
    </row>
    <row r="755" spans="1:13" x14ac:dyDescent="0.35">
      <c r="A755">
        <v>1028</v>
      </c>
      <c r="B755" s="1">
        <v>44805</v>
      </c>
      <c r="C755" t="s">
        <v>22</v>
      </c>
      <c r="D755" t="s">
        <v>20</v>
      </c>
      <c r="E755">
        <v>69647.429999999993</v>
      </c>
      <c r="F755">
        <v>42</v>
      </c>
      <c r="G755" t="s">
        <v>31</v>
      </c>
      <c r="H755">
        <v>421.41</v>
      </c>
      <c r="I755">
        <v>2125.9899999999998</v>
      </c>
      <c r="J755" t="s">
        <v>17</v>
      </c>
      <c r="K755">
        <v>0.22</v>
      </c>
      <c r="L755" t="s">
        <v>25</v>
      </c>
      <c r="M755" t="s">
        <v>19</v>
      </c>
    </row>
    <row r="756" spans="1:13" x14ac:dyDescent="0.35">
      <c r="A756">
        <v>1065</v>
      </c>
      <c r="B756" s="1">
        <v>44805</v>
      </c>
      <c r="C756" t="s">
        <v>32</v>
      </c>
      <c r="D756" t="s">
        <v>20</v>
      </c>
      <c r="E756">
        <v>71460.59</v>
      </c>
      <c r="F756">
        <v>29</v>
      </c>
      <c r="G756" t="s">
        <v>31</v>
      </c>
      <c r="H756">
        <v>478.58</v>
      </c>
      <c r="I756">
        <v>2800.18</v>
      </c>
      <c r="J756" t="s">
        <v>27</v>
      </c>
      <c r="K756">
        <v>0.12</v>
      </c>
      <c r="L756" t="s">
        <v>18</v>
      </c>
      <c r="M756" t="s">
        <v>21</v>
      </c>
    </row>
    <row r="757" spans="1:13" x14ac:dyDescent="0.35">
      <c r="A757">
        <v>1007</v>
      </c>
      <c r="B757" s="1">
        <v>44805</v>
      </c>
      <c r="C757" t="s">
        <v>32</v>
      </c>
      <c r="D757" t="s">
        <v>15</v>
      </c>
      <c r="E757">
        <v>112612.9</v>
      </c>
      <c r="F757">
        <v>27</v>
      </c>
      <c r="G757" t="s">
        <v>16</v>
      </c>
      <c r="H757">
        <v>1903.25</v>
      </c>
      <c r="I757">
        <v>4906.88</v>
      </c>
      <c r="J757" t="s">
        <v>17</v>
      </c>
      <c r="K757">
        <v>0.15</v>
      </c>
      <c r="L757" t="s">
        <v>28</v>
      </c>
      <c r="M757" t="s">
        <v>19</v>
      </c>
    </row>
    <row r="758" spans="1:13" x14ac:dyDescent="0.35">
      <c r="A758">
        <v>1052</v>
      </c>
      <c r="B758" s="1">
        <v>44806</v>
      </c>
      <c r="C758" t="s">
        <v>14</v>
      </c>
      <c r="D758" t="s">
        <v>20</v>
      </c>
      <c r="E758">
        <v>13190.2</v>
      </c>
      <c r="F758">
        <v>9</v>
      </c>
      <c r="G758" t="s">
        <v>16</v>
      </c>
      <c r="H758">
        <v>748.38</v>
      </c>
      <c r="I758">
        <v>1628.42</v>
      </c>
      <c r="J758" t="s">
        <v>17</v>
      </c>
      <c r="K758">
        <v>0.1</v>
      </c>
      <c r="L758" t="s">
        <v>25</v>
      </c>
      <c r="M758" t="s">
        <v>19</v>
      </c>
    </row>
    <row r="759" spans="1:13" x14ac:dyDescent="0.35">
      <c r="A759">
        <v>1054</v>
      </c>
      <c r="B759" s="1">
        <v>44806</v>
      </c>
      <c r="C759" t="s">
        <v>33</v>
      </c>
      <c r="D759" t="s">
        <v>23</v>
      </c>
      <c r="E759">
        <v>45137.66</v>
      </c>
      <c r="F759">
        <v>16</v>
      </c>
      <c r="G759" t="s">
        <v>24</v>
      </c>
      <c r="H759">
        <v>448.9</v>
      </c>
      <c r="I759">
        <v>3616.8</v>
      </c>
      <c r="J759" t="s">
        <v>27</v>
      </c>
      <c r="K759">
        <v>0.22</v>
      </c>
      <c r="L759" t="s">
        <v>18</v>
      </c>
      <c r="M759" t="s">
        <v>19</v>
      </c>
    </row>
    <row r="760" spans="1:13" x14ac:dyDescent="0.35">
      <c r="A760">
        <v>1037</v>
      </c>
      <c r="B760" s="1">
        <v>44807</v>
      </c>
      <c r="C760" t="s">
        <v>32</v>
      </c>
      <c r="D760" t="s">
        <v>15</v>
      </c>
      <c r="E760">
        <v>19234.16</v>
      </c>
      <c r="F760">
        <v>13</v>
      </c>
      <c r="G760" t="s">
        <v>16</v>
      </c>
      <c r="H760">
        <v>897.92</v>
      </c>
      <c r="I760">
        <v>1573.99</v>
      </c>
      <c r="J760" t="s">
        <v>17</v>
      </c>
      <c r="K760">
        <v>0.06</v>
      </c>
      <c r="L760" t="s">
        <v>28</v>
      </c>
      <c r="M760" t="s">
        <v>19</v>
      </c>
    </row>
    <row r="761" spans="1:13" x14ac:dyDescent="0.35">
      <c r="A761">
        <v>1033</v>
      </c>
      <c r="B761" s="1">
        <v>44807</v>
      </c>
      <c r="C761" t="s">
        <v>33</v>
      </c>
      <c r="D761" t="s">
        <v>23</v>
      </c>
      <c r="E761">
        <v>105546.82</v>
      </c>
      <c r="F761">
        <v>24</v>
      </c>
      <c r="G761" t="s">
        <v>31</v>
      </c>
      <c r="H761">
        <v>4030.39</v>
      </c>
      <c r="I761">
        <v>4832.7299999999996</v>
      </c>
      <c r="J761" t="s">
        <v>17</v>
      </c>
      <c r="K761">
        <v>0.09</v>
      </c>
      <c r="L761" t="s">
        <v>18</v>
      </c>
      <c r="M761" t="s">
        <v>19</v>
      </c>
    </row>
    <row r="762" spans="1:13" x14ac:dyDescent="0.35">
      <c r="A762">
        <v>1032</v>
      </c>
      <c r="B762" s="1">
        <v>44807</v>
      </c>
      <c r="C762" t="s">
        <v>33</v>
      </c>
      <c r="D762" t="s">
        <v>15</v>
      </c>
      <c r="E762">
        <v>84226.49</v>
      </c>
      <c r="F762">
        <v>30</v>
      </c>
      <c r="G762" t="s">
        <v>26</v>
      </c>
      <c r="H762">
        <v>1944.85</v>
      </c>
      <c r="I762">
        <v>3154.55</v>
      </c>
      <c r="J762" t="s">
        <v>27</v>
      </c>
      <c r="K762">
        <v>0.11</v>
      </c>
      <c r="L762" t="s">
        <v>28</v>
      </c>
      <c r="M762" t="s">
        <v>19</v>
      </c>
    </row>
    <row r="763" spans="1:13" x14ac:dyDescent="0.35">
      <c r="A763">
        <v>1085</v>
      </c>
      <c r="B763" s="1">
        <v>44807</v>
      </c>
      <c r="C763" t="s">
        <v>32</v>
      </c>
      <c r="D763" t="s">
        <v>30</v>
      </c>
      <c r="E763">
        <v>130480.56</v>
      </c>
      <c r="F763">
        <v>35</v>
      </c>
      <c r="G763" t="s">
        <v>26</v>
      </c>
      <c r="H763">
        <v>2734.16</v>
      </c>
      <c r="I763">
        <v>5177.8</v>
      </c>
      <c r="J763" t="s">
        <v>17</v>
      </c>
      <c r="K763">
        <v>0.28000000000000003</v>
      </c>
      <c r="L763" t="s">
        <v>18</v>
      </c>
      <c r="M763" t="s">
        <v>19</v>
      </c>
    </row>
    <row r="764" spans="1:13" x14ac:dyDescent="0.35">
      <c r="A764">
        <v>1004</v>
      </c>
      <c r="B764" s="1">
        <v>44807</v>
      </c>
      <c r="C764" t="s">
        <v>14</v>
      </c>
      <c r="D764" t="s">
        <v>23</v>
      </c>
      <c r="E764">
        <v>176981.77</v>
      </c>
      <c r="F764">
        <v>42</v>
      </c>
      <c r="G764" t="s">
        <v>24</v>
      </c>
      <c r="H764">
        <v>3374.13</v>
      </c>
      <c r="I764">
        <v>5016.49</v>
      </c>
      <c r="J764" t="s">
        <v>17</v>
      </c>
      <c r="K764">
        <v>0.16</v>
      </c>
      <c r="L764" t="s">
        <v>18</v>
      </c>
      <c r="M764" t="s">
        <v>19</v>
      </c>
    </row>
    <row r="765" spans="1:13" x14ac:dyDescent="0.35">
      <c r="A765">
        <v>1002</v>
      </c>
      <c r="B765" s="1">
        <v>44807</v>
      </c>
      <c r="C765" t="s">
        <v>33</v>
      </c>
      <c r="D765" t="s">
        <v>20</v>
      </c>
      <c r="E765">
        <v>82254.38</v>
      </c>
      <c r="F765">
        <v>19</v>
      </c>
      <c r="G765" t="s">
        <v>31</v>
      </c>
      <c r="H765">
        <v>711.21</v>
      </c>
      <c r="I765">
        <v>4655.03</v>
      </c>
      <c r="J765" t="s">
        <v>17</v>
      </c>
      <c r="K765">
        <v>7.0000000000000007E-2</v>
      </c>
      <c r="L765" t="s">
        <v>28</v>
      </c>
      <c r="M765" t="s">
        <v>21</v>
      </c>
    </row>
    <row r="766" spans="1:13" x14ac:dyDescent="0.35">
      <c r="A766">
        <v>1099</v>
      </c>
      <c r="B766" s="1">
        <v>44808</v>
      </c>
      <c r="C766" t="s">
        <v>29</v>
      </c>
      <c r="D766" t="s">
        <v>20</v>
      </c>
      <c r="E766">
        <v>16001.52</v>
      </c>
      <c r="F766">
        <v>34</v>
      </c>
      <c r="G766" t="s">
        <v>26</v>
      </c>
      <c r="H766">
        <v>470.52</v>
      </c>
      <c r="I766">
        <v>493.99</v>
      </c>
      <c r="J766" t="s">
        <v>27</v>
      </c>
      <c r="K766">
        <v>0.05</v>
      </c>
      <c r="L766" t="s">
        <v>18</v>
      </c>
      <c r="M766" t="s">
        <v>21</v>
      </c>
    </row>
    <row r="767" spans="1:13" x14ac:dyDescent="0.35">
      <c r="A767">
        <v>1084</v>
      </c>
      <c r="B767" s="1">
        <v>44808</v>
      </c>
      <c r="C767" t="s">
        <v>33</v>
      </c>
      <c r="D767" t="s">
        <v>30</v>
      </c>
      <c r="E767">
        <v>84088.9</v>
      </c>
      <c r="F767">
        <v>24</v>
      </c>
      <c r="G767" t="s">
        <v>24</v>
      </c>
      <c r="H767">
        <v>1360.4</v>
      </c>
      <c r="I767">
        <v>4379.63</v>
      </c>
      <c r="J767" t="s">
        <v>27</v>
      </c>
      <c r="K767">
        <v>0.2</v>
      </c>
      <c r="L767" t="s">
        <v>25</v>
      </c>
      <c r="M767" t="s">
        <v>21</v>
      </c>
    </row>
    <row r="768" spans="1:13" x14ac:dyDescent="0.35">
      <c r="A768">
        <v>1094</v>
      </c>
      <c r="B768" s="1">
        <v>44808</v>
      </c>
      <c r="C768" t="s">
        <v>33</v>
      </c>
      <c r="D768" t="s">
        <v>20</v>
      </c>
      <c r="E768">
        <v>184676.25</v>
      </c>
      <c r="F768">
        <v>37</v>
      </c>
      <c r="G768" t="s">
        <v>26</v>
      </c>
      <c r="H768">
        <v>2124.19</v>
      </c>
      <c r="I768">
        <v>4991.25</v>
      </c>
      <c r="J768" t="s">
        <v>17</v>
      </c>
      <c r="K768">
        <v>0</v>
      </c>
      <c r="L768" t="s">
        <v>25</v>
      </c>
      <c r="M768" t="s">
        <v>19</v>
      </c>
    </row>
    <row r="769" spans="1:13" x14ac:dyDescent="0.35">
      <c r="A769">
        <v>1059</v>
      </c>
      <c r="B769" s="1">
        <v>44809</v>
      </c>
      <c r="C769" t="s">
        <v>32</v>
      </c>
      <c r="D769" t="s">
        <v>23</v>
      </c>
      <c r="E769">
        <v>164724.54</v>
      </c>
      <c r="F769">
        <v>39</v>
      </c>
      <c r="G769" t="s">
        <v>16</v>
      </c>
      <c r="H769">
        <v>3681.04</v>
      </c>
      <c r="I769">
        <v>4319.92</v>
      </c>
      <c r="J769" t="s">
        <v>17</v>
      </c>
      <c r="K769">
        <v>0.02</v>
      </c>
      <c r="L769" t="s">
        <v>25</v>
      </c>
      <c r="M769" t="s">
        <v>21</v>
      </c>
    </row>
    <row r="770" spans="1:13" x14ac:dyDescent="0.35">
      <c r="A770">
        <v>1069</v>
      </c>
      <c r="B770" s="1">
        <v>44809</v>
      </c>
      <c r="C770" t="s">
        <v>22</v>
      </c>
      <c r="D770" t="s">
        <v>20</v>
      </c>
      <c r="E770">
        <v>72632.59</v>
      </c>
      <c r="F770">
        <v>19</v>
      </c>
      <c r="G770" t="s">
        <v>16</v>
      </c>
      <c r="H770">
        <v>958.03</v>
      </c>
      <c r="I770">
        <v>4247.5200000000004</v>
      </c>
      <c r="J770" t="s">
        <v>17</v>
      </c>
      <c r="K770">
        <v>0.1</v>
      </c>
      <c r="L770" t="s">
        <v>28</v>
      </c>
      <c r="M770" t="s">
        <v>19</v>
      </c>
    </row>
    <row r="771" spans="1:13" x14ac:dyDescent="0.35">
      <c r="A771">
        <v>1086</v>
      </c>
      <c r="B771" s="1">
        <v>44810</v>
      </c>
      <c r="C771" t="s">
        <v>14</v>
      </c>
      <c r="D771" t="s">
        <v>15</v>
      </c>
      <c r="E771">
        <v>78624.820000000007</v>
      </c>
      <c r="F771">
        <v>23</v>
      </c>
      <c r="G771" t="s">
        <v>31</v>
      </c>
      <c r="H771">
        <v>2031.27</v>
      </c>
      <c r="I771">
        <v>3598.39</v>
      </c>
      <c r="J771" t="s">
        <v>27</v>
      </c>
      <c r="K771">
        <v>0.05</v>
      </c>
      <c r="L771" t="s">
        <v>28</v>
      </c>
      <c r="M771" t="s">
        <v>19</v>
      </c>
    </row>
    <row r="772" spans="1:13" x14ac:dyDescent="0.35">
      <c r="A772">
        <v>1054</v>
      </c>
      <c r="B772" s="1">
        <v>44810</v>
      </c>
      <c r="C772" t="s">
        <v>22</v>
      </c>
      <c r="D772" t="s">
        <v>15</v>
      </c>
      <c r="E772">
        <v>129310.82</v>
      </c>
      <c r="F772">
        <v>31</v>
      </c>
      <c r="G772" t="s">
        <v>26</v>
      </c>
      <c r="H772">
        <v>953.05</v>
      </c>
      <c r="I772">
        <v>4534.04</v>
      </c>
      <c r="J772" t="s">
        <v>17</v>
      </c>
      <c r="K772">
        <v>0.08</v>
      </c>
      <c r="L772" t="s">
        <v>28</v>
      </c>
      <c r="M772" t="s">
        <v>19</v>
      </c>
    </row>
    <row r="773" spans="1:13" x14ac:dyDescent="0.35">
      <c r="A773">
        <v>1096</v>
      </c>
      <c r="B773" s="1">
        <v>44811</v>
      </c>
      <c r="C773" t="s">
        <v>33</v>
      </c>
      <c r="D773" t="s">
        <v>15</v>
      </c>
      <c r="E773">
        <v>49277.48</v>
      </c>
      <c r="F773">
        <v>12</v>
      </c>
      <c r="G773" t="s">
        <v>31</v>
      </c>
      <c r="H773">
        <v>2612.4499999999998</v>
      </c>
      <c r="I773">
        <v>4774.95</v>
      </c>
      <c r="J773" t="s">
        <v>17</v>
      </c>
      <c r="K773">
        <v>0.14000000000000001</v>
      </c>
      <c r="L773" t="s">
        <v>18</v>
      </c>
      <c r="M773" t="s">
        <v>19</v>
      </c>
    </row>
    <row r="774" spans="1:13" x14ac:dyDescent="0.35">
      <c r="A774">
        <v>1047</v>
      </c>
      <c r="B774" s="1">
        <v>44812</v>
      </c>
      <c r="C774" t="s">
        <v>33</v>
      </c>
      <c r="D774" t="s">
        <v>30</v>
      </c>
      <c r="E774">
        <v>42031.61</v>
      </c>
      <c r="F774">
        <v>13</v>
      </c>
      <c r="G774" t="s">
        <v>31</v>
      </c>
      <c r="H774">
        <v>2401.92</v>
      </c>
      <c r="I774">
        <v>3476.56</v>
      </c>
      <c r="J774" t="s">
        <v>17</v>
      </c>
      <c r="K774">
        <v>7.0000000000000007E-2</v>
      </c>
      <c r="L774" t="s">
        <v>28</v>
      </c>
      <c r="M774" t="s">
        <v>19</v>
      </c>
    </row>
    <row r="775" spans="1:13" x14ac:dyDescent="0.35">
      <c r="A775">
        <v>1068</v>
      </c>
      <c r="B775" s="1">
        <v>44812</v>
      </c>
      <c r="C775" t="s">
        <v>29</v>
      </c>
      <c r="D775" t="s">
        <v>23</v>
      </c>
      <c r="E775">
        <v>63418.57</v>
      </c>
      <c r="F775">
        <v>23</v>
      </c>
      <c r="G775" t="s">
        <v>26</v>
      </c>
      <c r="H775">
        <v>1323.56</v>
      </c>
      <c r="I775">
        <v>2964.87</v>
      </c>
      <c r="J775" t="s">
        <v>27</v>
      </c>
      <c r="K775">
        <v>7.0000000000000007E-2</v>
      </c>
      <c r="L775" t="s">
        <v>18</v>
      </c>
      <c r="M775" t="s">
        <v>21</v>
      </c>
    </row>
    <row r="776" spans="1:13" x14ac:dyDescent="0.35">
      <c r="A776">
        <v>1088</v>
      </c>
      <c r="B776" s="1">
        <v>44812</v>
      </c>
      <c r="C776" t="s">
        <v>32</v>
      </c>
      <c r="D776" t="s">
        <v>15</v>
      </c>
      <c r="E776">
        <v>115336.08</v>
      </c>
      <c r="F776">
        <v>30</v>
      </c>
      <c r="G776" t="s">
        <v>31</v>
      </c>
      <c r="H776">
        <v>2270.3000000000002</v>
      </c>
      <c r="I776">
        <v>4805.67</v>
      </c>
      <c r="J776" t="s">
        <v>17</v>
      </c>
      <c r="K776">
        <v>0.2</v>
      </c>
      <c r="L776" t="s">
        <v>25</v>
      </c>
      <c r="M776" t="s">
        <v>21</v>
      </c>
    </row>
    <row r="777" spans="1:13" x14ac:dyDescent="0.35">
      <c r="A777">
        <v>1088</v>
      </c>
      <c r="B777" s="1">
        <v>44813</v>
      </c>
      <c r="C777" t="s">
        <v>33</v>
      </c>
      <c r="D777" t="s">
        <v>30</v>
      </c>
      <c r="E777">
        <v>15528.93</v>
      </c>
      <c r="F777">
        <v>3</v>
      </c>
      <c r="G777" t="s">
        <v>26</v>
      </c>
      <c r="H777">
        <v>108.63</v>
      </c>
      <c r="I777">
        <v>5176.3100000000004</v>
      </c>
      <c r="J777" t="s">
        <v>17</v>
      </c>
      <c r="K777">
        <v>0</v>
      </c>
      <c r="L777" t="s">
        <v>18</v>
      </c>
      <c r="M777" t="s">
        <v>21</v>
      </c>
    </row>
    <row r="778" spans="1:13" x14ac:dyDescent="0.35">
      <c r="A778">
        <v>1077</v>
      </c>
      <c r="B778" s="1">
        <v>44813</v>
      </c>
      <c r="C778" t="s">
        <v>32</v>
      </c>
      <c r="D778" t="s">
        <v>15</v>
      </c>
      <c r="E778">
        <v>170816.42</v>
      </c>
      <c r="F778">
        <v>46</v>
      </c>
      <c r="G778" t="s">
        <v>16</v>
      </c>
      <c r="H778">
        <v>2294.4699999999998</v>
      </c>
      <c r="I778">
        <v>4172.3599999999997</v>
      </c>
      <c r="J778" t="s">
        <v>17</v>
      </c>
      <c r="K778">
        <v>0.11</v>
      </c>
      <c r="L778" t="s">
        <v>28</v>
      </c>
      <c r="M778" t="s">
        <v>21</v>
      </c>
    </row>
    <row r="779" spans="1:13" x14ac:dyDescent="0.35">
      <c r="A779">
        <v>1008</v>
      </c>
      <c r="B779" s="1">
        <v>44814</v>
      </c>
      <c r="C779" t="s">
        <v>14</v>
      </c>
      <c r="D779" t="s">
        <v>20</v>
      </c>
      <c r="E779">
        <v>30007.94</v>
      </c>
      <c r="F779">
        <v>7</v>
      </c>
      <c r="G779" t="s">
        <v>24</v>
      </c>
      <c r="H779">
        <v>4254</v>
      </c>
      <c r="I779">
        <v>4321.1099999999997</v>
      </c>
      <c r="J779" t="s">
        <v>17</v>
      </c>
      <c r="K779">
        <v>0.01</v>
      </c>
      <c r="L779" t="s">
        <v>28</v>
      </c>
      <c r="M779" t="s">
        <v>19</v>
      </c>
    </row>
    <row r="780" spans="1:13" x14ac:dyDescent="0.35">
      <c r="A780">
        <v>1053</v>
      </c>
      <c r="B780" s="1">
        <v>44814</v>
      </c>
      <c r="C780" t="s">
        <v>33</v>
      </c>
      <c r="D780" t="s">
        <v>20</v>
      </c>
      <c r="E780">
        <v>24118.46</v>
      </c>
      <c r="F780">
        <v>19</v>
      </c>
      <c r="G780" t="s">
        <v>31</v>
      </c>
      <c r="H780">
        <v>1053.52</v>
      </c>
      <c r="I780">
        <v>1548.04</v>
      </c>
      <c r="J780" t="s">
        <v>17</v>
      </c>
      <c r="K780">
        <v>0.18</v>
      </c>
      <c r="L780" t="s">
        <v>18</v>
      </c>
      <c r="M780" t="s">
        <v>19</v>
      </c>
    </row>
    <row r="781" spans="1:13" x14ac:dyDescent="0.35">
      <c r="A781">
        <v>1001</v>
      </c>
      <c r="B781" s="1">
        <v>44814</v>
      </c>
      <c r="C781" t="s">
        <v>33</v>
      </c>
      <c r="D781" t="s">
        <v>15</v>
      </c>
      <c r="E781">
        <v>27812.53</v>
      </c>
      <c r="F781">
        <v>7</v>
      </c>
      <c r="G781" t="s">
        <v>31</v>
      </c>
      <c r="H781">
        <v>1318.08</v>
      </c>
      <c r="I781">
        <v>5029.3900000000003</v>
      </c>
      <c r="J781" t="s">
        <v>17</v>
      </c>
      <c r="K781">
        <v>0.21</v>
      </c>
      <c r="L781" t="s">
        <v>18</v>
      </c>
      <c r="M781" t="s">
        <v>21</v>
      </c>
    </row>
    <row r="782" spans="1:13" x14ac:dyDescent="0.35">
      <c r="A782">
        <v>1085</v>
      </c>
      <c r="B782" s="1">
        <v>44815</v>
      </c>
      <c r="C782" t="s">
        <v>14</v>
      </c>
      <c r="D782" t="s">
        <v>20</v>
      </c>
      <c r="E782">
        <v>56975.21</v>
      </c>
      <c r="F782">
        <v>13</v>
      </c>
      <c r="G782" t="s">
        <v>16</v>
      </c>
      <c r="H782">
        <v>4382.4799999999996</v>
      </c>
      <c r="I782">
        <v>4442.33</v>
      </c>
      <c r="J782" t="s">
        <v>17</v>
      </c>
      <c r="K782">
        <v>0.01</v>
      </c>
      <c r="L782" t="s">
        <v>18</v>
      </c>
      <c r="M782" t="s">
        <v>19</v>
      </c>
    </row>
    <row r="783" spans="1:13" x14ac:dyDescent="0.35">
      <c r="A783">
        <v>1004</v>
      </c>
      <c r="B783" s="1">
        <v>44815</v>
      </c>
      <c r="C783" t="s">
        <v>14</v>
      </c>
      <c r="D783" t="s">
        <v>20</v>
      </c>
      <c r="E783">
        <v>11631.76</v>
      </c>
      <c r="F783">
        <v>5</v>
      </c>
      <c r="G783" t="s">
        <v>16</v>
      </c>
      <c r="H783">
        <v>1611.49</v>
      </c>
      <c r="I783">
        <v>2349.85</v>
      </c>
      <c r="J783" t="s">
        <v>27</v>
      </c>
      <c r="K783">
        <v>0.01</v>
      </c>
      <c r="L783" t="s">
        <v>28</v>
      </c>
      <c r="M783" t="s">
        <v>19</v>
      </c>
    </row>
    <row r="784" spans="1:13" x14ac:dyDescent="0.35">
      <c r="A784">
        <v>1090</v>
      </c>
      <c r="B784" s="1">
        <v>44815</v>
      </c>
      <c r="C784" t="s">
        <v>32</v>
      </c>
      <c r="D784" t="s">
        <v>20</v>
      </c>
      <c r="E784">
        <v>12308.81</v>
      </c>
      <c r="F784">
        <v>4</v>
      </c>
      <c r="G784" t="s">
        <v>16</v>
      </c>
      <c r="H784">
        <v>1889.95</v>
      </c>
      <c r="I784">
        <v>3205.42</v>
      </c>
      <c r="J784" t="s">
        <v>27</v>
      </c>
      <c r="K784">
        <v>0.04</v>
      </c>
      <c r="L784" t="s">
        <v>28</v>
      </c>
      <c r="M784" t="s">
        <v>21</v>
      </c>
    </row>
    <row r="785" spans="1:13" x14ac:dyDescent="0.35">
      <c r="A785">
        <v>1080</v>
      </c>
      <c r="B785" s="1">
        <v>44815</v>
      </c>
      <c r="C785" t="s">
        <v>14</v>
      </c>
      <c r="D785" t="s">
        <v>30</v>
      </c>
      <c r="E785">
        <v>20821.28</v>
      </c>
      <c r="F785">
        <v>38</v>
      </c>
      <c r="G785" t="s">
        <v>24</v>
      </c>
      <c r="H785">
        <v>173.52</v>
      </c>
      <c r="I785">
        <v>771.73</v>
      </c>
      <c r="J785" t="s">
        <v>27</v>
      </c>
      <c r="K785">
        <v>0.28999999999999998</v>
      </c>
      <c r="L785" t="s">
        <v>25</v>
      </c>
      <c r="M785" t="s">
        <v>19</v>
      </c>
    </row>
    <row r="786" spans="1:13" x14ac:dyDescent="0.35">
      <c r="A786">
        <v>1030</v>
      </c>
      <c r="B786" s="1">
        <v>44815</v>
      </c>
      <c r="C786" t="s">
        <v>33</v>
      </c>
      <c r="D786" t="s">
        <v>20</v>
      </c>
      <c r="E786">
        <v>41150</v>
      </c>
      <c r="F786">
        <v>21</v>
      </c>
      <c r="G786" t="s">
        <v>31</v>
      </c>
      <c r="H786">
        <v>923.33</v>
      </c>
      <c r="I786">
        <v>2084.6</v>
      </c>
      <c r="J786" t="s">
        <v>27</v>
      </c>
      <c r="K786">
        <v>0.06</v>
      </c>
      <c r="L786" t="s">
        <v>28</v>
      </c>
      <c r="M786" t="s">
        <v>19</v>
      </c>
    </row>
    <row r="787" spans="1:13" x14ac:dyDescent="0.35">
      <c r="A787">
        <v>1070</v>
      </c>
      <c r="B787" s="1">
        <v>44815</v>
      </c>
      <c r="C787" t="s">
        <v>14</v>
      </c>
      <c r="D787" t="s">
        <v>20</v>
      </c>
      <c r="E787">
        <v>108396.09</v>
      </c>
      <c r="F787">
        <v>49</v>
      </c>
      <c r="G787" t="s">
        <v>31</v>
      </c>
      <c r="H787">
        <v>1279.76</v>
      </c>
      <c r="I787">
        <v>2633.53</v>
      </c>
      <c r="J787" t="s">
        <v>17</v>
      </c>
      <c r="K787">
        <v>0.16</v>
      </c>
      <c r="L787" t="s">
        <v>18</v>
      </c>
      <c r="M787" t="s">
        <v>19</v>
      </c>
    </row>
    <row r="788" spans="1:13" x14ac:dyDescent="0.35">
      <c r="A788">
        <v>1074</v>
      </c>
      <c r="B788" s="1">
        <v>44815</v>
      </c>
      <c r="C788" t="s">
        <v>33</v>
      </c>
      <c r="D788" t="s">
        <v>30</v>
      </c>
      <c r="E788">
        <v>107693.12</v>
      </c>
      <c r="F788">
        <v>26</v>
      </c>
      <c r="G788" t="s">
        <v>24</v>
      </c>
      <c r="H788">
        <v>159.72999999999999</v>
      </c>
      <c r="I788">
        <v>4602.2700000000004</v>
      </c>
      <c r="J788" t="s">
        <v>17</v>
      </c>
      <c r="K788">
        <v>0.1</v>
      </c>
      <c r="L788" t="s">
        <v>18</v>
      </c>
      <c r="M788" t="s">
        <v>21</v>
      </c>
    </row>
    <row r="789" spans="1:13" x14ac:dyDescent="0.35">
      <c r="A789">
        <v>1020</v>
      </c>
      <c r="B789" s="1">
        <v>44816</v>
      </c>
      <c r="C789" t="s">
        <v>33</v>
      </c>
      <c r="D789" t="s">
        <v>23</v>
      </c>
      <c r="E789">
        <v>27069.759999999998</v>
      </c>
      <c r="F789">
        <v>25</v>
      </c>
      <c r="G789" t="s">
        <v>16</v>
      </c>
      <c r="H789">
        <v>1054.8599999999999</v>
      </c>
      <c r="I789">
        <v>1094.5899999999999</v>
      </c>
      <c r="J789" t="s">
        <v>27</v>
      </c>
      <c r="K789">
        <v>0.01</v>
      </c>
      <c r="L789" t="s">
        <v>28</v>
      </c>
      <c r="M789" t="s">
        <v>21</v>
      </c>
    </row>
    <row r="790" spans="1:13" x14ac:dyDescent="0.35">
      <c r="A790">
        <v>1012</v>
      </c>
      <c r="B790" s="1">
        <v>44816</v>
      </c>
      <c r="C790" t="s">
        <v>33</v>
      </c>
      <c r="D790" t="s">
        <v>30</v>
      </c>
      <c r="E790">
        <v>27631.91</v>
      </c>
      <c r="F790">
        <v>31</v>
      </c>
      <c r="G790" t="s">
        <v>31</v>
      </c>
      <c r="H790">
        <v>734.3</v>
      </c>
      <c r="I790">
        <v>1012.9</v>
      </c>
      <c r="J790" t="s">
        <v>17</v>
      </c>
      <c r="K790">
        <v>0.12</v>
      </c>
      <c r="L790" t="s">
        <v>28</v>
      </c>
      <c r="M790" t="s">
        <v>19</v>
      </c>
    </row>
    <row r="791" spans="1:13" x14ac:dyDescent="0.35">
      <c r="A791">
        <v>1090</v>
      </c>
      <c r="B791" s="1">
        <v>44817</v>
      </c>
      <c r="C791" t="s">
        <v>33</v>
      </c>
      <c r="D791" t="s">
        <v>30</v>
      </c>
      <c r="E791">
        <v>111923.76</v>
      </c>
      <c r="F791">
        <v>38</v>
      </c>
      <c r="G791" t="s">
        <v>16</v>
      </c>
      <c r="H791">
        <v>2874.48</v>
      </c>
      <c r="I791">
        <v>3030.57</v>
      </c>
      <c r="J791" t="s">
        <v>27</v>
      </c>
      <c r="K791">
        <v>0.03</v>
      </c>
      <c r="L791" t="s">
        <v>18</v>
      </c>
      <c r="M791" t="s">
        <v>19</v>
      </c>
    </row>
    <row r="792" spans="1:13" x14ac:dyDescent="0.35">
      <c r="A792">
        <v>1055</v>
      </c>
      <c r="B792" s="1">
        <v>44817</v>
      </c>
      <c r="C792" t="s">
        <v>14</v>
      </c>
      <c r="D792" t="s">
        <v>30</v>
      </c>
      <c r="E792">
        <v>185163.4</v>
      </c>
      <c r="F792">
        <v>43</v>
      </c>
      <c r="G792" t="s">
        <v>24</v>
      </c>
      <c r="H792">
        <v>3518.46</v>
      </c>
      <c r="I792">
        <v>5126.34</v>
      </c>
      <c r="J792" t="s">
        <v>27</v>
      </c>
      <c r="K792">
        <v>0.16</v>
      </c>
      <c r="L792" t="s">
        <v>25</v>
      </c>
      <c r="M792" t="s">
        <v>21</v>
      </c>
    </row>
    <row r="793" spans="1:13" x14ac:dyDescent="0.35">
      <c r="A793">
        <v>1016</v>
      </c>
      <c r="B793" s="1">
        <v>44817</v>
      </c>
      <c r="C793" t="s">
        <v>32</v>
      </c>
      <c r="D793" t="s">
        <v>20</v>
      </c>
      <c r="E793">
        <v>184101.05</v>
      </c>
      <c r="F793">
        <v>42</v>
      </c>
      <c r="G793" t="s">
        <v>16</v>
      </c>
      <c r="H793">
        <v>3151.39</v>
      </c>
      <c r="I793">
        <v>4764.5200000000004</v>
      </c>
      <c r="J793" t="s">
        <v>27</v>
      </c>
      <c r="K793">
        <v>0.08</v>
      </c>
      <c r="L793" t="s">
        <v>25</v>
      </c>
      <c r="M793" t="s">
        <v>19</v>
      </c>
    </row>
    <row r="794" spans="1:13" x14ac:dyDescent="0.35">
      <c r="A794">
        <v>1018</v>
      </c>
      <c r="B794" s="1">
        <v>44817</v>
      </c>
      <c r="C794" t="s">
        <v>32</v>
      </c>
      <c r="D794" t="s">
        <v>20</v>
      </c>
      <c r="E794">
        <v>138527.10999999999</v>
      </c>
      <c r="F794">
        <v>36</v>
      </c>
      <c r="G794" t="s">
        <v>16</v>
      </c>
      <c r="H794">
        <v>2019.75</v>
      </c>
      <c r="I794">
        <v>4474.3900000000003</v>
      </c>
      <c r="J794" t="s">
        <v>27</v>
      </c>
      <c r="K794">
        <v>0.14000000000000001</v>
      </c>
      <c r="L794" t="s">
        <v>28</v>
      </c>
      <c r="M794" t="s">
        <v>21</v>
      </c>
    </row>
    <row r="795" spans="1:13" x14ac:dyDescent="0.35">
      <c r="A795">
        <v>1054</v>
      </c>
      <c r="B795" s="1">
        <v>44817</v>
      </c>
      <c r="C795" t="s">
        <v>14</v>
      </c>
      <c r="D795" t="s">
        <v>30</v>
      </c>
      <c r="E795">
        <v>126045.41</v>
      </c>
      <c r="F795">
        <v>46</v>
      </c>
      <c r="G795" t="s">
        <v>16</v>
      </c>
      <c r="H795">
        <v>702.24</v>
      </c>
      <c r="I795">
        <v>3653.49</v>
      </c>
      <c r="J795" t="s">
        <v>27</v>
      </c>
      <c r="K795">
        <v>0.25</v>
      </c>
      <c r="L795" t="s">
        <v>25</v>
      </c>
      <c r="M795" t="s">
        <v>19</v>
      </c>
    </row>
    <row r="796" spans="1:13" x14ac:dyDescent="0.35">
      <c r="A796">
        <v>1016</v>
      </c>
      <c r="B796" s="1">
        <v>44817</v>
      </c>
      <c r="C796" t="s">
        <v>22</v>
      </c>
      <c r="D796" t="s">
        <v>30</v>
      </c>
      <c r="E796">
        <v>114825.06</v>
      </c>
      <c r="F796">
        <v>26</v>
      </c>
      <c r="G796" t="s">
        <v>31</v>
      </c>
      <c r="H796">
        <v>583.69000000000005</v>
      </c>
      <c r="I796">
        <v>4853.13</v>
      </c>
      <c r="J796" t="s">
        <v>17</v>
      </c>
      <c r="K796">
        <v>0.09</v>
      </c>
      <c r="L796" t="s">
        <v>25</v>
      </c>
      <c r="M796" t="s">
        <v>21</v>
      </c>
    </row>
    <row r="797" spans="1:13" x14ac:dyDescent="0.35">
      <c r="A797">
        <v>1034</v>
      </c>
      <c r="B797" s="1">
        <v>44818</v>
      </c>
      <c r="C797" t="s">
        <v>22</v>
      </c>
      <c r="D797" t="s">
        <v>15</v>
      </c>
      <c r="E797">
        <v>23358.01</v>
      </c>
      <c r="F797">
        <v>5</v>
      </c>
      <c r="G797" t="s">
        <v>26</v>
      </c>
      <c r="H797">
        <v>4542.95</v>
      </c>
      <c r="I797">
        <v>4704.67</v>
      </c>
      <c r="J797" t="s">
        <v>27</v>
      </c>
      <c r="K797">
        <v>0.01</v>
      </c>
      <c r="L797" t="s">
        <v>28</v>
      </c>
      <c r="M797" t="s">
        <v>19</v>
      </c>
    </row>
    <row r="798" spans="1:13" x14ac:dyDescent="0.35">
      <c r="A798">
        <v>1035</v>
      </c>
      <c r="B798" s="1">
        <v>44818</v>
      </c>
      <c r="C798" t="s">
        <v>33</v>
      </c>
      <c r="D798" t="s">
        <v>30</v>
      </c>
      <c r="E798">
        <v>45630.62</v>
      </c>
      <c r="F798">
        <v>40</v>
      </c>
      <c r="G798" t="s">
        <v>26</v>
      </c>
      <c r="H798">
        <v>1117.72</v>
      </c>
      <c r="I798">
        <v>1144.57</v>
      </c>
      <c r="J798" t="s">
        <v>27</v>
      </c>
      <c r="K798">
        <v>0</v>
      </c>
      <c r="L798" t="s">
        <v>28</v>
      </c>
      <c r="M798" t="s">
        <v>21</v>
      </c>
    </row>
    <row r="799" spans="1:13" x14ac:dyDescent="0.35">
      <c r="A799">
        <v>1042</v>
      </c>
      <c r="B799" s="1">
        <v>44818</v>
      </c>
      <c r="C799" t="s">
        <v>22</v>
      </c>
      <c r="D799" t="s">
        <v>15</v>
      </c>
      <c r="E799">
        <v>133530.35</v>
      </c>
      <c r="F799">
        <v>33</v>
      </c>
      <c r="G799" t="s">
        <v>16</v>
      </c>
      <c r="H799">
        <v>3682.27</v>
      </c>
      <c r="I799">
        <v>4174.8</v>
      </c>
      <c r="J799" t="s">
        <v>17</v>
      </c>
      <c r="K799">
        <v>0.03</v>
      </c>
      <c r="L799" t="s">
        <v>28</v>
      </c>
      <c r="M799" t="s">
        <v>21</v>
      </c>
    </row>
    <row r="800" spans="1:13" x14ac:dyDescent="0.35">
      <c r="A800">
        <v>1055</v>
      </c>
      <c r="B800" s="1">
        <v>44818</v>
      </c>
      <c r="C800" t="s">
        <v>22</v>
      </c>
      <c r="D800" t="s">
        <v>23</v>
      </c>
      <c r="E800">
        <v>225594.35</v>
      </c>
      <c r="F800">
        <v>49</v>
      </c>
      <c r="G800" t="s">
        <v>31</v>
      </c>
      <c r="H800">
        <v>3742.59</v>
      </c>
      <c r="I800">
        <v>5231.78</v>
      </c>
      <c r="J800" t="s">
        <v>27</v>
      </c>
      <c r="K800">
        <v>0.12</v>
      </c>
      <c r="L800" t="s">
        <v>18</v>
      </c>
      <c r="M800" t="s">
        <v>19</v>
      </c>
    </row>
    <row r="801" spans="1:13" x14ac:dyDescent="0.35">
      <c r="A801">
        <v>1043</v>
      </c>
      <c r="B801" s="1">
        <v>44818</v>
      </c>
      <c r="C801" t="s">
        <v>33</v>
      </c>
      <c r="D801" t="s">
        <v>20</v>
      </c>
      <c r="E801">
        <v>68168.61</v>
      </c>
      <c r="F801">
        <v>38</v>
      </c>
      <c r="G801" t="s">
        <v>26</v>
      </c>
      <c r="H801">
        <v>294.67</v>
      </c>
      <c r="I801">
        <v>2015.63</v>
      </c>
      <c r="J801" t="s">
        <v>27</v>
      </c>
      <c r="K801">
        <v>0.11</v>
      </c>
      <c r="L801" t="s">
        <v>25</v>
      </c>
      <c r="M801" t="s">
        <v>19</v>
      </c>
    </row>
    <row r="802" spans="1:13" x14ac:dyDescent="0.35">
      <c r="A802">
        <v>1012</v>
      </c>
      <c r="B802" s="1">
        <v>44818</v>
      </c>
      <c r="C802" t="s">
        <v>33</v>
      </c>
      <c r="D802" t="s">
        <v>20</v>
      </c>
      <c r="E802">
        <v>167571.4</v>
      </c>
      <c r="F802">
        <v>49</v>
      </c>
      <c r="G802" t="s">
        <v>24</v>
      </c>
      <c r="H802">
        <v>2185.7800000000002</v>
      </c>
      <c r="I802">
        <v>3976.54</v>
      </c>
      <c r="J802" t="s">
        <v>17</v>
      </c>
      <c r="K802">
        <v>0.14000000000000001</v>
      </c>
      <c r="L802" t="s">
        <v>25</v>
      </c>
      <c r="M802" t="s">
        <v>19</v>
      </c>
    </row>
    <row r="803" spans="1:13" x14ac:dyDescent="0.35">
      <c r="A803">
        <v>1100</v>
      </c>
      <c r="B803" s="1">
        <v>44819</v>
      </c>
      <c r="C803" t="s">
        <v>22</v>
      </c>
      <c r="D803" t="s">
        <v>15</v>
      </c>
      <c r="E803">
        <v>34795.279999999999</v>
      </c>
      <c r="F803">
        <v>22</v>
      </c>
      <c r="G803" t="s">
        <v>24</v>
      </c>
      <c r="H803">
        <v>500</v>
      </c>
      <c r="I803">
        <v>1860.71</v>
      </c>
      <c r="J803" t="s">
        <v>27</v>
      </c>
      <c r="K803">
        <v>0.15</v>
      </c>
      <c r="L803" t="s">
        <v>18</v>
      </c>
      <c r="M803" t="s">
        <v>21</v>
      </c>
    </row>
    <row r="804" spans="1:13" x14ac:dyDescent="0.35">
      <c r="A804">
        <v>1021</v>
      </c>
      <c r="B804" s="1">
        <v>44820</v>
      </c>
      <c r="C804" t="s">
        <v>29</v>
      </c>
      <c r="D804" t="s">
        <v>20</v>
      </c>
      <c r="E804">
        <v>26705.58</v>
      </c>
      <c r="F804">
        <v>16</v>
      </c>
      <c r="G804" t="s">
        <v>16</v>
      </c>
      <c r="H804">
        <v>1262.6099999999999</v>
      </c>
      <c r="I804">
        <v>1794.73</v>
      </c>
      <c r="J804" t="s">
        <v>27</v>
      </c>
      <c r="K804">
        <v>7.0000000000000007E-2</v>
      </c>
      <c r="L804" t="s">
        <v>25</v>
      </c>
      <c r="M804" t="s">
        <v>19</v>
      </c>
    </row>
    <row r="805" spans="1:13" x14ac:dyDescent="0.35">
      <c r="A805">
        <v>1004</v>
      </c>
      <c r="B805" s="1">
        <v>44821</v>
      </c>
      <c r="C805" t="s">
        <v>29</v>
      </c>
      <c r="D805" t="s">
        <v>23</v>
      </c>
      <c r="E805">
        <v>60790.71</v>
      </c>
      <c r="F805">
        <v>14</v>
      </c>
      <c r="G805" t="s">
        <v>24</v>
      </c>
      <c r="H805">
        <v>1659.44</v>
      </c>
      <c r="I805">
        <v>4430.8100000000004</v>
      </c>
      <c r="J805" t="s">
        <v>27</v>
      </c>
      <c r="K805">
        <v>0.02</v>
      </c>
      <c r="L805" t="s">
        <v>28</v>
      </c>
      <c r="M805" t="s">
        <v>19</v>
      </c>
    </row>
    <row r="806" spans="1:13" x14ac:dyDescent="0.35">
      <c r="A806">
        <v>1080</v>
      </c>
      <c r="B806" s="1">
        <v>44821</v>
      </c>
      <c r="C806" t="s">
        <v>22</v>
      </c>
      <c r="D806" t="s">
        <v>15</v>
      </c>
      <c r="E806">
        <v>149568.19</v>
      </c>
      <c r="F806">
        <v>44</v>
      </c>
      <c r="G806" t="s">
        <v>31</v>
      </c>
      <c r="H806">
        <v>759.28</v>
      </c>
      <c r="I806">
        <v>3468.65</v>
      </c>
      <c r="J806" t="s">
        <v>17</v>
      </c>
      <c r="K806">
        <v>0.02</v>
      </c>
      <c r="L806" t="s">
        <v>25</v>
      </c>
      <c r="M806" t="s">
        <v>21</v>
      </c>
    </row>
    <row r="807" spans="1:13" x14ac:dyDescent="0.35">
      <c r="A807">
        <v>1037</v>
      </c>
      <c r="B807" s="1">
        <v>44822</v>
      </c>
      <c r="C807" t="s">
        <v>29</v>
      </c>
      <c r="D807" t="s">
        <v>23</v>
      </c>
      <c r="E807">
        <v>36088.65</v>
      </c>
      <c r="F807">
        <v>13</v>
      </c>
      <c r="G807" t="s">
        <v>31</v>
      </c>
      <c r="H807">
        <v>902.24</v>
      </c>
      <c r="I807">
        <v>3701.4</v>
      </c>
      <c r="J807" t="s">
        <v>17</v>
      </c>
      <c r="K807">
        <v>0.25</v>
      </c>
      <c r="L807" t="s">
        <v>18</v>
      </c>
      <c r="M807" t="s">
        <v>19</v>
      </c>
    </row>
    <row r="808" spans="1:13" x14ac:dyDescent="0.35">
      <c r="A808">
        <v>1083</v>
      </c>
      <c r="B808" s="1">
        <v>44822</v>
      </c>
      <c r="C808" t="s">
        <v>22</v>
      </c>
      <c r="D808" t="s">
        <v>23</v>
      </c>
      <c r="E808">
        <v>97396.55</v>
      </c>
      <c r="F808">
        <v>37</v>
      </c>
      <c r="G808" t="s">
        <v>24</v>
      </c>
      <c r="H808">
        <v>898.06</v>
      </c>
      <c r="I808">
        <v>3707.52</v>
      </c>
      <c r="J808" t="s">
        <v>27</v>
      </c>
      <c r="K808">
        <v>0.28999999999999998</v>
      </c>
      <c r="L808" t="s">
        <v>25</v>
      </c>
      <c r="M808" t="s">
        <v>21</v>
      </c>
    </row>
    <row r="809" spans="1:13" x14ac:dyDescent="0.35">
      <c r="A809">
        <v>1039</v>
      </c>
      <c r="B809" s="1">
        <v>44823</v>
      </c>
      <c r="C809" t="s">
        <v>33</v>
      </c>
      <c r="D809" t="s">
        <v>15</v>
      </c>
      <c r="E809">
        <v>15471.68</v>
      </c>
      <c r="F809">
        <v>22</v>
      </c>
      <c r="G809" t="s">
        <v>24</v>
      </c>
      <c r="H809">
        <v>208.49</v>
      </c>
      <c r="I809">
        <v>890.2</v>
      </c>
      <c r="J809" t="s">
        <v>27</v>
      </c>
      <c r="K809">
        <v>0.21</v>
      </c>
      <c r="L809" t="s">
        <v>25</v>
      </c>
      <c r="M809" t="s">
        <v>21</v>
      </c>
    </row>
    <row r="810" spans="1:13" x14ac:dyDescent="0.35">
      <c r="A810">
        <v>1050</v>
      </c>
      <c r="B810" s="1">
        <v>44823</v>
      </c>
      <c r="C810" t="s">
        <v>29</v>
      </c>
      <c r="D810" t="s">
        <v>15</v>
      </c>
      <c r="E810">
        <v>195945.74</v>
      </c>
      <c r="F810">
        <v>50</v>
      </c>
      <c r="G810" t="s">
        <v>26</v>
      </c>
      <c r="H810">
        <v>2847.29</v>
      </c>
      <c r="I810">
        <v>4259.6899999999996</v>
      </c>
      <c r="J810" t="s">
        <v>17</v>
      </c>
      <c r="K810">
        <v>0.08</v>
      </c>
      <c r="L810" t="s">
        <v>18</v>
      </c>
      <c r="M810" t="s">
        <v>19</v>
      </c>
    </row>
    <row r="811" spans="1:13" x14ac:dyDescent="0.35">
      <c r="A811">
        <v>1014</v>
      </c>
      <c r="B811" s="1">
        <v>44824</v>
      </c>
      <c r="C811" t="s">
        <v>32</v>
      </c>
      <c r="D811" t="s">
        <v>20</v>
      </c>
      <c r="E811">
        <v>9326.6</v>
      </c>
      <c r="F811">
        <v>3</v>
      </c>
      <c r="G811" t="s">
        <v>16</v>
      </c>
      <c r="H811">
        <v>1676.27</v>
      </c>
      <c r="I811">
        <v>4441.24</v>
      </c>
      <c r="J811" t="s">
        <v>17</v>
      </c>
      <c r="K811">
        <v>0.3</v>
      </c>
      <c r="L811" t="s">
        <v>25</v>
      </c>
      <c r="M811" t="s">
        <v>19</v>
      </c>
    </row>
    <row r="812" spans="1:13" x14ac:dyDescent="0.35">
      <c r="A812">
        <v>1086</v>
      </c>
      <c r="B812" s="1">
        <v>44824</v>
      </c>
      <c r="C812" t="s">
        <v>14</v>
      </c>
      <c r="D812" t="s">
        <v>30</v>
      </c>
      <c r="E812">
        <v>65911.78</v>
      </c>
      <c r="F812">
        <v>23</v>
      </c>
      <c r="G812" t="s">
        <v>24</v>
      </c>
      <c r="H812">
        <v>791.16</v>
      </c>
      <c r="I812">
        <v>3980.18</v>
      </c>
      <c r="J812" t="s">
        <v>17</v>
      </c>
      <c r="K812">
        <v>0.28000000000000003</v>
      </c>
      <c r="L812" t="s">
        <v>25</v>
      </c>
      <c r="M812" t="s">
        <v>21</v>
      </c>
    </row>
    <row r="813" spans="1:13" x14ac:dyDescent="0.35">
      <c r="A813">
        <v>1081</v>
      </c>
      <c r="B813" s="1">
        <v>44825</v>
      </c>
      <c r="C813" t="s">
        <v>14</v>
      </c>
      <c r="D813" t="s">
        <v>30</v>
      </c>
      <c r="E813">
        <v>128147.26</v>
      </c>
      <c r="F813">
        <v>28</v>
      </c>
      <c r="G813" t="s">
        <v>31</v>
      </c>
      <c r="H813">
        <v>2027.8</v>
      </c>
      <c r="I813">
        <v>5321.73</v>
      </c>
      <c r="J813" t="s">
        <v>17</v>
      </c>
      <c r="K813">
        <v>0.14000000000000001</v>
      </c>
      <c r="L813" t="s">
        <v>18</v>
      </c>
      <c r="M813" t="s">
        <v>21</v>
      </c>
    </row>
    <row r="814" spans="1:13" x14ac:dyDescent="0.35">
      <c r="A814">
        <v>1025</v>
      </c>
      <c r="B814" s="1">
        <v>44826</v>
      </c>
      <c r="C814" t="s">
        <v>32</v>
      </c>
      <c r="D814" t="s">
        <v>20</v>
      </c>
      <c r="E814">
        <v>60009.09</v>
      </c>
      <c r="F814">
        <v>42</v>
      </c>
      <c r="G814" t="s">
        <v>16</v>
      </c>
      <c r="H814">
        <v>1347.2</v>
      </c>
      <c r="I814">
        <v>1443.22</v>
      </c>
      <c r="J814" t="s">
        <v>17</v>
      </c>
      <c r="K814">
        <v>0.01</v>
      </c>
      <c r="L814" t="s">
        <v>25</v>
      </c>
      <c r="M814" t="s">
        <v>19</v>
      </c>
    </row>
    <row r="815" spans="1:13" x14ac:dyDescent="0.35">
      <c r="A815">
        <v>1097</v>
      </c>
      <c r="B815" s="1">
        <v>44826</v>
      </c>
      <c r="C815" t="s">
        <v>32</v>
      </c>
      <c r="D815" t="s">
        <v>20</v>
      </c>
      <c r="E815">
        <v>52874.46</v>
      </c>
      <c r="F815">
        <v>12</v>
      </c>
      <c r="G815" t="s">
        <v>31</v>
      </c>
      <c r="H815">
        <v>3714.11</v>
      </c>
      <c r="I815">
        <v>4563.67</v>
      </c>
      <c r="J815" t="s">
        <v>27</v>
      </c>
      <c r="K815">
        <v>0.03</v>
      </c>
      <c r="L815" t="s">
        <v>28</v>
      </c>
      <c r="M815" t="s">
        <v>21</v>
      </c>
    </row>
    <row r="816" spans="1:13" x14ac:dyDescent="0.35">
      <c r="A816">
        <v>1062</v>
      </c>
      <c r="B816" s="1">
        <v>44826</v>
      </c>
      <c r="C816" t="s">
        <v>32</v>
      </c>
      <c r="D816" t="s">
        <v>15</v>
      </c>
      <c r="E816">
        <v>71662.600000000006</v>
      </c>
      <c r="F816">
        <v>27</v>
      </c>
      <c r="G816" t="s">
        <v>31</v>
      </c>
      <c r="H816">
        <v>2174.79</v>
      </c>
      <c r="I816">
        <v>2696.05</v>
      </c>
      <c r="J816" t="s">
        <v>27</v>
      </c>
      <c r="K816">
        <v>0.02</v>
      </c>
      <c r="L816" t="s">
        <v>28</v>
      </c>
      <c r="M816" t="s">
        <v>21</v>
      </c>
    </row>
    <row r="817" spans="1:13" x14ac:dyDescent="0.35">
      <c r="A817">
        <v>1074</v>
      </c>
      <c r="B817" s="1">
        <v>44826</v>
      </c>
      <c r="C817" t="s">
        <v>32</v>
      </c>
      <c r="D817" t="s">
        <v>30</v>
      </c>
      <c r="E817">
        <v>142419.10999999999</v>
      </c>
      <c r="F817">
        <v>38</v>
      </c>
      <c r="G817" t="s">
        <v>24</v>
      </c>
      <c r="H817">
        <v>387.2</v>
      </c>
      <c r="I817">
        <v>4357.99</v>
      </c>
      <c r="J817" t="s">
        <v>17</v>
      </c>
      <c r="K817">
        <v>0.14000000000000001</v>
      </c>
      <c r="L817" t="s">
        <v>18</v>
      </c>
      <c r="M817" t="s">
        <v>21</v>
      </c>
    </row>
    <row r="818" spans="1:13" x14ac:dyDescent="0.35">
      <c r="A818">
        <v>1053</v>
      </c>
      <c r="B818" s="1">
        <v>44827</v>
      </c>
      <c r="C818" t="s">
        <v>22</v>
      </c>
      <c r="D818" t="s">
        <v>15</v>
      </c>
      <c r="E818">
        <v>39931.980000000003</v>
      </c>
      <c r="F818">
        <v>9</v>
      </c>
      <c r="G818" t="s">
        <v>26</v>
      </c>
      <c r="H818">
        <v>3620.02</v>
      </c>
      <c r="I818">
        <v>4528.32</v>
      </c>
      <c r="J818" t="s">
        <v>17</v>
      </c>
      <c r="K818">
        <v>0.02</v>
      </c>
      <c r="L818" t="s">
        <v>28</v>
      </c>
      <c r="M818" t="s">
        <v>19</v>
      </c>
    </row>
    <row r="819" spans="1:13" x14ac:dyDescent="0.35">
      <c r="A819">
        <v>1018</v>
      </c>
      <c r="B819" s="1">
        <v>44827</v>
      </c>
      <c r="C819" t="s">
        <v>33</v>
      </c>
      <c r="D819" t="s">
        <v>15</v>
      </c>
      <c r="E819">
        <v>127175.08</v>
      </c>
      <c r="F819">
        <v>35</v>
      </c>
      <c r="G819" t="s">
        <v>16</v>
      </c>
      <c r="H819">
        <v>3245.49</v>
      </c>
      <c r="I819">
        <v>3730.11</v>
      </c>
      <c r="J819" t="s">
        <v>27</v>
      </c>
      <c r="K819">
        <v>0.03</v>
      </c>
      <c r="L819" t="s">
        <v>28</v>
      </c>
      <c r="M819" t="s">
        <v>21</v>
      </c>
    </row>
    <row r="820" spans="1:13" x14ac:dyDescent="0.35">
      <c r="A820">
        <v>1014</v>
      </c>
      <c r="B820" s="1">
        <v>44827</v>
      </c>
      <c r="C820" t="s">
        <v>33</v>
      </c>
      <c r="D820" t="s">
        <v>30</v>
      </c>
      <c r="E820">
        <v>109226.29</v>
      </c>
      <c r="F820">
        <v>37</v>
      </c>
      <c r="G820" t="s">
        <v>31</v>
      </c>
      <c r="H820">
        <v>2526.8000000000002</v>
      </c>
      <c r="I820">
        <v>3432.63</v>
      </c>
      <c r="J820" t="s">
        <v>17</v>
      </c>
      <c r="K820">
        <v>0.14000000000000001</v>
      </c>
      <c r="L820" t="s">
        <v>25</v>
      </c>
      <c r="M820" t="s">
        <v>21</v>
      </c>
    </row>
    <row r="821" spans="1:13" x14ac:dyDescent="0.35">
      <c r="A821">
        <v>1028</v>
      </c>
      <c r="B821" s="1">
        <v>44827</v>
      </c>
      <c r="C821" t="s">
        <v>22</v>
      </c>
      <c r="D821" t="s">
        <v>20</v>
      </c>
      <c r="E821">
        <v>56867.519999999997</v>
      </c>
      <c r="F821">
        <v>26</v>
      </c>
      <c r="G821" t="s">
        <v>26</v>
      </c>
      <c r="H821">
        <v>1510.56</v>
      </c>
      <c r="I821">
        <v>2543.27</v>
      </c>
      <c r="J821" t="s">
        <v>27</v>
      </c>
      <c r="K821">
        <v>0.14000000000000001</v>
      </c>
      <c r="L821" t="s">
        <v>28</v>
      </c>
      <c r="M821" t="s">
        <v>19</v>
      </c>
    </row>
    <row r="822" spans="1:13" x14ac:dyDescent="0.35">
      <c r="A822">
        <v>1075</v>
      </c>
      <c r="B822" s="1">
        <v>44827</v>
      </c>
      <c r="C822" t="s">
        <v>22</v>
      </c>
      <c r="D822" t="s">
        <v>23</v>
      </c>
      <c r="E822">
        <v>170013.43</v>
      </c>
      <c r="F822">
        <v>38</v>
      </c>
      <c r="G822" t="s">
        <v>24</v>
      </c>
      <c r="H822">
        <v>2368.14</v>
      </c>
      <c r="I822">
        <v>4519.2299999999996</v>
      </c>
      <c r="J822" t="s">
        <v>27</v>
      </c>
      <c r="K822">
        <v>0.01</v>
      </c>
      <c r="L822" t="s">
        <v>25</v>
      </c>
      <c r="M822" t="s">
        <v>19</v>
      </c>
    </row>
    <row r="823" spans="1:13" x14ac:dyDescent="0.35">
      <c r="A823">
        <v>1080</v>
      </c>
      <c r="B823" s="1">
        <v>44828</v>
      </c>
      <c r="C823" t="s">
        <v>33</v>
      </c>
      <c r="D823" t="s">
        <v>23</v>
      </c>
      <c r="E823">
        <v>6462.5</v>
      </c>
      <c r="F823">
        <v>5</v>
      </c>
      <c r="G823" t="s">
        <v>31</v>
      </c>
      <c r="H823">
        <v>611.88</v>
      </c>
      <c r="I823">
        <v>1468.75</v>
      </c>
      <c r="J823" t="s">
        <v>17</v>
      </c>
      <c r="K823">
        <v>0.12</v>
      </c>
      <c r="L823" t="s">
        <v>28</v>
      </c>
      <c r="M823" t="s">
        <v>19</v>
      </c>
    </row>
    <row r="824" spans="1:13" x14ac:dyDescent="0.35">
      <c r="A824">
        <v>1040</v>
      </c>
      <c r="B824" s="1">
        <v>44828</v>
      </c>
      <c r="C824" t="s">
        <v>22</v>
      </c>
      <c r="D824" t="s">
        <v>20</v>
      </c>
      <c r="E824">
        <v>116888.4</v>
      </c>
      <c r="F824">
        <v>23</v>
      </c>
      <c r="G824" t="s">
        <v>31</v>
      </c>
      <c r="H824">
        <v>4884.8599999999997</v>
      </c>
      <c r="I824">
        <v>5245.18</v>
      </c>
      <c r="J824" t="s">
        <v>17</v>
      </c>
      <c r="K824">
        <v>0.03</v>
      </c>
      <c r="L824" t="s">
        <v>18</v>
      </c>
      <c r="M824" t="s">
        <v>19</v>
      </c>
    </row>
    <row r="825" spans="1:13" x14ac:dyDescent="0.35">
      <c r="A825">
        <v>1007</v>
      </c>
      <c r="B825" s="1">
        <v>44828</v>
      </c>
      <c r="C825" t="s">
        <v>33</v>
      </c>
      <c r="D825" t="s">
        <v>20</v>
      </c>
      <c r="E825">
        <v>44552.68</v>
      </c>
      <c r="F825">
        <v>16</v>
      </c>
      <c r="G825" t="s">
        <v>31</v>
      </c>
      <c r="H825">
        <v>1934.9</v>
      </c>
      <c r="I825">
        <v>3867.42</v>
      </c>
      <c r="J825" t="s">
        <v>27</v>
      </c>
      <c r="K825">
        <v>0.28000000000000003</v>
      </c>
      <c r="L825" t="s">
        <v>25</v>
      </c>
      <c r="M825" t="s">
        <v>21</v>
      </c>
    </row>
    <row r="826" spans="1:13" x14ac:dyDescent="0.35">
      <c r="A826">
        <v>1049</v>
      </c>
      <c r="B826" s="1">
        <v>44828</v>
      </c>
      <c r="C826" t="s">
        <v>32</v>
      </c>
      <c r="D826" t="s">
        <v>30</v>
      </c>
      <c r="E826">
        <v>47944.08</v>
      </c>
      <c r="F826">
        <v>34</v>
      </c>
      <c r="G826" t="s">
        <v>16</v>
      </c>
      <c r="H826">
        <v>193.83</v>
      </c>
      <c r="I826">
        <v>1958.5</v>
      </c>
      <c r="J826" t="s">
        <v>27</v>
      </c>
      <c r="K826">
        <v>0.28000000000000003</v>
      </c>
      <c r="L826" t="s">
        <v>18</v>
      </c>
      <c r="M826" t="s">
        <v>21</v>
      </c>
    </row>
    <row r="827" spans="1:13" x14ac:dyDescent="0.35">
      <c r="A827">
        <v>1058</v>
      </c>
      <c r="B827" s="1">
        <v>44829</v>
      </c>
      <c r="C827" t="s">
        <v>33</v>
      </c>
      <c r="D827" t="s">
        <v>20</v>
      </c>
      <c r="E827">
        <v>52832.97</v>
      </c>
      <c r="F827">
        <v>37</v>
      </c>
      <c r="G827" t="s">
        <v>16</v>
      </c>
      <c r="H827">
        <v>1312.51</v>
      </c>
      <c r="I827">
        <v>1660.37</v>
      </c>
      <c r="J827" t="s">
        <v>27</v>
      </c>
      <c r="K827">
        <v>0.14000000000000001</v>
      </c>
      <c r="L827" t="s">
        <v>25</v>
      </c>
      <c r="M827" t="s">
        <v>19</v>
      </c>
    </row>
    <row r="828" spans="1:13" x14ac:dyDescent="0.35">
      <c r="A828">
        <v>1064</v>
      </c>
      <c r="B828" s="1">
        <v>44829</v>
      </c>
      <c r="C828" t="s">
        <v>14</v>
      </c>
      <c r="D828" t="s">
        <v>15</v>
      </c>
      <c r="E828">
        <v>34754.54</v>
      </c>
      <c r="F828">
        <v>16</v>
      </c>
      <c r="G828" t="s">
        <v>24</v>
      </c>
      <c r="H828">
        <v>1811.45</v>
      </c>
      <c r="I828">
        <v>2975.56</v>
      </c>
      <c r="J828" t="s">
        <v>17</v>
      </c>
      <c r="K828">
        <v>0.27</v>
      </c>
      <c r="L828" t="s">
        <v>25</v>
      </c>
      <c r="M828" t="s">
        <v>21</v>
      </c>
    </row>
    <row r="829" spans="1:13" x14ac:dyDescent="0.35">
      <c r="A829">
        <v>1043</v>
      </c>
      <c r="B829" s="1">
        <v>44830</v>
      </c>
      <c r="C829" t="s">
        <v>29</v>
      </c>
      <c r="D829" t="s">
        <v>20</v>
      </c>
      <c r="E829">
        <v>22554.78</v>
      </c>
      <c r="F829">
        <v>9</v>
      </c>
      <c r="G829" t="s">
        <v>26</v>
      </c>
      <c r="H829">
        <v>1145.3599999999999</v>
      </c>
      <c r="I829">
        <v>2880.56</v>
      </c>
      <c r="J829" t="s">
        <v>17</v>
      </c>
      <c r="K829">
        <v>0.13</v>
      </c>
      <c r="L829" t="s">
        <v>25</v>
      </c>
      <c r="M829" t="s">
        <v>19</v>
      </c>
    </row>
    <row r="830" spans="1:13" x14ac:dyDescent="0.35">
      <c r="A830">
        <v>1064</v>
      </c>
      <c r="B830" s="1">
        <v>44831</v>
      </c>
      <c r="C830" t="s">
        <v>22</v>
      </c>
      <c r="D830" t="s">
        <v>15</v>
      </c>
      <c r="E830">
        <v>72750.649999999994</v>
      </c>
      <c r="F830">
        <v>26</v>
      </c>
      <c r="G830" t="s">
        <v>26</v>
      </c>
      <c r="H830">
        <v>2139.27</v>
      </c>
      <c r="I830">
        <v>3587.31</v>
      </c>
      <c r="J830" t="s">
        <v>27</v>
      </c>
      <c r="K830">
        <v>0.22</v>
      </c>
      <c r="L830" t="s">
        <v>28</v>
      </c>
      <c r="M830" t="s">
        <v>21</v>
      </c>
    </row>
    <row r="831" spans="1:13" x14ac:dyDescent="0.35">
      <c r="A831">
        <v>1019</v>
      </c>
      <c r="B831" s="1">
        <v>44832</v>
      </c>
      <c r="C831" t="s">
        <v>14</v>
      </c>
      <c r="D831" t="s">
        <v>23</v>
      </c>
      <c r="E831">
        <v>87697.58</v>
      </c>
      <c r="F831">
        <v>26</v>
      </c>
      <c r="G831" t="s">
        <v>31</v>
      </c>
      <c r="H831">
        <v>2405.7199999999998</v>
      </c>
      <c r="I831">
        <v>3747.76</v>
      </c>
      <c r="J831" t="s">
        <v>27</v>
      </c>
      <c r="K831">
        <v>0.1</v>
      </c>
      <c r="L831" t="s">
        <v>25</v>
      </c>
      <c r="M831" t="s">
        <v>19</v>
      </c>
    </row>
    <row r="832" spans="1:13" x14ac:dyDescent="0.35">
      <c r="A832">
        <v>1050</v>
      </c>
      <c r="B832" s="1">
        <v>44832</v>
      </c>
      <c r="C832" t="s">
        <v>14</v>
      </c>
      <c r="D832" t="s">
        <v>15</v>
      </c>
      <c r="E832">
        <v>140069.48000000001</v>
      </c>
      <c r="F832">
        <v>44</v>
      </c>
      <c r="G832" t="s">
        <v>24</v>
      </c>
      <c r="H832">
        <v>939.34</v>
      </c>
      <c r="I832">
        <v>3930.12</v>
      </c>
      <c r="J832" t="s">
        <v>27</v>
      </c>
      <c r="K832">
        <v>0.19</v>
      </c>
      <c r="L832" t="s">
        <v>18</v>
      </c>
      <c r="M832" t="s">
        <v>19</v>
      </c>
    </row>
    <row r="833" spans="1:13" x14ac:dyDescent="0.35">
      <c r="A833">
        <v>1026</v>
      </c>
      <c r="B833" s="1">
        <v>44833</v>
      </c>
      <c r="C833" t="s">
        <v>33</v>
      </c>
      <c r="D833" t="s">
        <v>23</v>
      </c>
      <c r="E833">
        <v>6866.27</v>
      </c>
      <c r="F833">
        <v>2</v>
      </c>
      <c r="G833" t="s">
        <v>26</v>
      </c>
      <c r="H833">
        <v>2294.64</v>
      </c>
      <c r="I833">
        <v>4345.74</v>
      </c>
      <c r="J833" t="s">
        <v>27</v>
      </c>
      <c r="K833">
        <v>0.21</v>
      </c>
      <c r="L833" t="s">
        <v>25</v>
      </c>
      <c r="M833" t="s">
        <v>21</v>
      </c>
    </row>
    <row r="834" spans="1:13" x14ac:dyDescent="0.35">
      <c r="A834">
        <v>1015</v>
      </c>
      <c r="B834" s="1">
        <v>44834</v>
      </c>
      <c r="C834" t="s">
        <v>33</v>
      </c>
      <c r="D834" t="s">
        <v>20</v>
      </c>
      <c r="E834">
        <v>29701.72</v>
      </c>
      <c r="F834">
        <v>9</v>
      </c>
      <c r="G834" t="s">
        <v>24</v>
      </c>
      <c r="H834">
        <v>1396.33</v>
      </c>
      <c r="I834">
        <v>4074.31</v>
      </c>
      <c r="J834" t="s">
        <v>27</v>
      </c>
      <c r="K834">
        <v>0.19</v>
      </c>
      <c r="L834" t="s">
        <v>25</v>
      </c>
      <c r="M834" t="s">
        <v>19</v>
      </c>
    </row>
    <row r="835" spans="1:13" x14ac:dyDescent="0.35">
      <c r="A835">
        <v>1085</v>
      </c>
      <c r="B835" s="1">
        <v>44835</v>
      </c>
      <c r="C835" t="s">
        <v>14</v>
      </c>
      <c r="D835" t="s">
        <v>15</v>
      </c>
      <c r="E835">
        <v>196735.78</v>
      </c>
      <c r="F835">
        <v>50</v>
      </c>
      <c r="G835" t="s">
        <v>24</v>
      </c>
      <c r="H835">
        <v>3893.29</v>
      </c>
      <c r="I835">
        <v>3946.34</v>
      </c>
      <c r="J835" t="s">
        <v>17</v>
      </c>
      <c r="K835">
        <v>0</v>
      </c>
      <c r="L835" t="s">
        <v>18</v>
      </c>
      <c r="M835" t="s">
        <v>19</v>
      </c>
    </row>
    <row r="836" spans="1:13" x14ac:dyDescent="0.35">
      <c r="A836">
        <v>1038</v>
      </c>
      <c r="B836" s="1">
        <v>44835</v>
      </c>
      <c r="C836" t="s">
        <v>22</v>
      </c>
      <c r="D836" t="s">
        <v>30</v>
      </c>
      <c r="E836">
        <v>18702.84</v>
      </c>
      <c r="F836">
        <v>10</v>
      </c>
      <c r="G836" t="s">
        <v>16</v>
      </c>
      <c r="H836">
        <v>791.89</v>
      </c>
      <c r="I836">
        <v>2397.8000000000002</v>
      </c>
      <c r="J836" t="s">
        <v>17</v>
      </c>
      <c r="K836">
        <v>0.22</v>
      </c>
      <c r="L836" t="s">
        <v>25</v>
      </c>
      <c r="M836" t="s">
        <v>21</v>
      </c>
    </row>
    <row r="837" spans="1:13" x14ac:dyDescent="0.35">
      <c r="A837">
        <v>1097</v>
      </c>
      <c r="B837" s="1">
        <v>44835</v>
      </c>
      <c r="C837" t="s">
        <v>22</v>
      </c>
      <c r="D837" t="s">
        <v>30</v>
      </c>
      <c r="E837">
        <v>30632.99</v>
      </c>
      <c r="F837">
        <v>45</v>
      </c>
      <c r="G837" t="s">
        <v>26</v>
      </c>
      <c r="H837">
        <v>302.94</v>
      </c>
      <c r="I837">
        <v>756.37</v>
      </c>
      <c r="J837" t="s">
        <v>27</v>
      </c>
      <c r="K837">
        <v>0.1</v>
      </c>
      <c r="L837" t="s">
        <v>25</v>
      </c>
      <c r="M837" t="s">
        <v>21</v>
      </c>
    </row>
    <row r="838" spans="1:13" x14ac:dyDescent="0.35">
      <c r="A838">
        <v>1065</v>
      </c>
      <c r="B838" s="1">
        <v>44836</v>
      </c>
      <c r="C838" t="s">
        <v>29</v>
      </c>
      <c r="D838" t="s">
        <v>15</v>
      </c>
      <c r="E838">
        <v>1320.94</v>
      </c>
      <c r="F838">
        <v>7</v>
      </c>
      <c r="G838" t="s">
        <v>16</v>
      </c>
      <c r="H838">
        <v>71.599999999999994</v>
      </c>
      <c r="I838">
        <v>269.58</v>
      </c>
      <c r="J838" t="s">
        <v>27</v>
      </c>
      <c r="K838">
        <v>0.3</v>
      </c>
      <c r="L838" t="s">
        <v>18</v>
      </c>
      <c r="M838" t="s">
        <v>19</v>
      </c>
    </row>
    <row r="839" spans="1:13" x14ac:dyDescent="0.35">
      <c r="A839">
        <v>1098</v>
      </c>
      <c r="B839" s="1">
        <v>44836</v>
      </c>
      <c r="C839" t="s">
        <v>14</v>
      </c>
      <c r="D839" t="s">
        <v>20</v>
      </c>
      <c r="E839">
        <v>22223.78</v>
      </c>
      <c r="F839">
        <v>9</v>
      </c>
      <c r="G839" t="s">
        <v>26</v>
      </c>
      <c r="H839">
        <v>2250.69</v>
      </c>
      <c r="I839">
        <v>2580.63</v>
      </c>
      <c r="J839" t="s">
        <v>17</v>
      </c>
      <c r="K839">
        <v>0.04</v>
      </c>
      <c r="L839" t="s">
        <v>18</v>
      </c>
      <c r="M839" t="s">
        <v>19</v>
      </c>
    </row>
    <row r="840" spans="1:13" x14ac:dyDescent="0.35">
      <c r="A840">
        <v>1094</v>
      </c>
      <c r="B840" s="1">
        <v>44836</v>
      </c>
      <c r="C840" t="s">
        <v>33</v>
      </c>
      <c r="D840" t="s">
        <v>23</v>
      </c>
      <c r="E840">
        <v>55003.1</v>
      </c>
      <c r="F840">
        <v>30</v>
      </c>
      <c r="G840" t="s">
        <v>26</v>
      </c>
      <c r="H840">
        <v>1083.9100000000001</v>
      </c>
      <c r="I840">
        <v>2208.96</v>
      </c>
      <c r="J840" t="s">
        <v>27</v>
      </c>
      <c r="K840">
        <v>0.17</v>
      </c>
      <c r="L840" t="s">
        <v>25</v>
      </c>
      <c r="M840" t="s">
        <v>19</v>
      </c>
    </row>
    <row r="841" spans="1:13" x14ac:dyDescent="0.35">
      <c r="A841">
        <v>1024</v>
      </c>
      <c r="B841" s="1">
        <v>44836</v>
      </c>
      <c r="C841" t="s">
        <v>29</v>
      </c>
      <c r="D841" t="s">
        <v>30</v>
      </c>
      <c r="E841">
        <v>106357.38</v>
      </c>
      <c r="F841">
        <v>38</v>
      </c>
      <c r="G841" t="s">
        <v>24</v>
      </c>
      <c r="H841">
        <v>1719.99</v>
      </c>
      <c r="I841">
        <v>3834.08</v>
      </c>
      <c r="J841" t="s">
        <v>27</v>
      </c>
      <c r="K841">
        <v>0.27</v>
      </c>
      <c r="L841" t="s">
        <v>18</v>
      </c>
      <c r="M841" t="s">
        <v>21</v>
      </c>
    </row>
    <row r="842" spans="1:13" x14ac:dyDescent="0.35">
      <c r="A842">
        <v>1062</v>
      </c>
      <c r="B842" s="1">
        <v>44837</v>
      </c>
      <c r="C842" t="s">
        <v>32</v>
      </c>
      <c r="D842" t="s">
        <v>15</v>
      </c>
      <c r="E842">
        <v>191394.6</v>
      </c>
      <c r="F842">
        <v>50</v>
      </c>
      <c r="G842" t="s">
        <v>31</v>
      </c>
      <c r="H842">
        <v>3273.15</v>
      </c>
      <c r="I842">
        <v>5036.7</v>
      </c>
      <c r="J842" t="s">
        <v>27</v>
      </c>
      <c r="K842">
        <v>0.24</v>
      </c>
      <c r="L842" t="s">
        <v>18</v>
      </c>
      <c r="M842" t="s">
        <v>19</v>
      </c>
    </row>
    <row r="843" spans="1:13" x14ac:dyDescent="0.35">
      <c r="A843">
        <v>1026</v>
      </c>
      <c r="B843" s="1">
        <v>44838</v>
      </c>
      <c r="C843" t="s">
        <v>14</v>
      </c>
      <c r="D843" t="s">
        <v>30</v>
      </c>
      <c r="E843">
        <v>98114</v>
      </c>
      <c r="F843">
        <v>50</v>
      </c>
      <c r="G843" t="s">
        <v>24</v>
      </c>
      <c r="H843">
        <v>1961.45</v>
      </c>
      <c r="I843">
        <v>1962.28</v>
      </c>
      <c r="J843" t="s">
        <v>17</v>
      </c>
      <c r="K843">
        <v>0</v>
      </c>
      <c r="L843" t="s">
        <v>18</v>
      </c>
      <c r="M843" t="s">
        <v>21</v>
      </c>
    </row>
    <row r="844" spans="1:13" x14ac:dyDescent="0.35">
      <c r="A844">
        <v>1076</v>
      </c>
      <c r="B844" s="1">
        <v>44838</v>
      </c>
      <c r="C844" t="s">
        <v>29</v>
      </c>
      <c r="D844" t="s">
        <v>30</v>
      </c>
      <c r="E844">
        <v>5298.39</v>
      </c>
      <c r="F844">
        <v>2</v>
      </c>
      <c r="G844" t="s">
        <v>24</v>
      </c>
      <c r="H844">
        <v>2590.0100000000002</v>
      </c>
      <c r="I844">
        <v>2759.58</v>
      </c>
      <c r="J844" t="s">
        <v>17</v>
      </c>
      <c r="K844">
        <v>0.04</v>
      </c>
      <c r="L844" t="s">
        <v>25</v>
      </c>
      <c r="M844" t="s">
        <v>21</v>
      </c>
    </row>
    <row r="845" spans="1:13" x14ac:dyDescent="0.35">
      <c r="A845">
        <v>1068</v>
      </c>
      <c r="B845" s="1">
        <v>44838</v>
      </c>
      <c r="C845" t="s">
        <v>29</v>
      </c>
      <c r="D845" t="s">
        <v>30</v>
      </c>
      <c r="E845">
        <v>134118.89000000001</v>
      </c>
      <c r="F845">
        <v>27</v>
      </c>
      <c r="G845" t="s">
        <v>26</v>
      </c>
      <c r="H845">
        <v>4574.63</v>
      </c>
      <c r="I845">
        <v>5174.34</v>
      </c>
      <c r="J845" t="s">
        <v>17</v>
      </c>
      <c r="K845">
        <v>0.04</v>
      </c>
      <c r="L845" t="s">
        <v>25</v>
      </c>
      <c r="M845" t="s">
        <v>21</v>
      </c>
    </row>
    <row r="846" spans="1:13" x14ac:dyDescent="0.35">
      <c r="A846">
        <v>1082</v>
      </c>
      <c r="B846" s="1">
        <v>44839</v>
      </c>
      <c r="C846" t="s">
        <v>14</v>
      </c>
      <c r="D846" t="s">
        <v>23</v>
      </c>
      <c r="E846">
        <v>36419.1</v>
      </c>
      <c r="F846">
        <v>34</v>
      </c>
      <c r="G846" t="s">
        <v>16</v>
      </c>
      <c r="H846">
        <v>1055.71</v>
      </c>
      <c r="I846">
        <v>1447.5</v>
      </c>
      <c r="J846" t="s">
        <v>17</v>
      </c>
      <c r="K846">
        <v>0.26</v>
      </c>
      <c r="L846" t="s">
        <v>25</v>
      </c>
      <c r="M846" t="s">
        <v>21</v>
      </c>
    </row>
    <row r="847" spans="1:13" x14ac:dyDescent="0.35">
      <c r="A847">
        <v>1053</v>
      </c>
      <c r="B847" s="1">
        <v>44839</v>
      </c>
      <c r="C847" t="s">
        <v>29</v>
      </c>
      <c r="D847" t="s">
        <v>30</v>
      </c>
      <c r="E847">
        <v>93987.97</v>
      </c>
      <c r="F847">
        <v>33</v>
      </c>
      <c r="G847" t="s">
        <v>31</v>
      </c>
      <c r="H847">
        <v>2823.2</v>
      </c>
      <c r="I847">
        <v>2854.64</v>
      </c>
      <c r="J847" t="s">
        <v>17</v>
      </c>
      <c r="K847">
        <v>0</v>
      </c>
      <c r="L847" t="s">
        <v>25</v>
      </c>
      <c r="M847" t="s">
        <v>21</v>
      </c>
    </row>
    <row r="848" spans="1:13" x14ac:dyDescent="0.35">
      <c r="A848">
        <v>1066</v>
      </c>
      <c r="B848" s="1">
        <v>44839</v>
      </c>
      <c r="C848" t="s">
        <v>14</v>
      </c>
      <c r="D848" t="s">
        <v>20</v>
      </c>
      <c r="E848">
        <v>131849.60000000001</v>
      </c>
      <c r="F848">
        <v>34</v>
      </c>
      <c r="G848" t="s">
        <v>24</v>
      </c>
      <c r="H848">
        <v>3736.39</v>
      </c>
      <c r="I848">
        <v>4457.3900000000003</v>
      </c>
      <c r="J848" t="s">
        <v>17</v>
      </c>
      <c r="K848">
        <v>0.13</v>
      </c>
      <c r="L848" t="s">
        <v>28</v>
      </c>
      <c r="M848" t="s">
        <v>21</v>
      </c>
    </row>
    <row r="849" spans="1:13" x14ac:dyDescent="0.35">
      <c r="A849">
        <v>1063</v>
      </c>
      <c r="B849" s="1">
        <v>44839</v>
      </c>
      <c r="C849" t="s">
        <v>33</v>
      </c>
      <c r="D849" t="s">
        <v>15</v>
      </c>
      <c r="E849">
        <v>8496.4699999999993</v>
      </c>
      <c r="F849">
        <v>2</v>
      </c>
      <c r="G849" t="s">
        <v>24</v>
      </c>
      <c r="H849">
        <v>1621.62</v>
      </c>
      <c r="I849">
        <v>4668.3900000000003</v>
      </c>
      <c r="J849" t="s">
        <v>27</v>
      </c>
      <c r="K849">
        <v>0.09</v>
      </c>
      <c r="L849" t="s">
        <v>25</v>
      </c>
      <c r="M849" t="s">
        <v>19</v>
      </c>
    </row>
    <row r="850" spans="1:13" x14ac:dyDescent="0.35">
      <c r="A850">
        <v>1046</v>
      </c>
      <c r="B850" s="1">
        <v>44839</v>
      </c>
      <c r="C850" t="s">
        <v>32</v>
      </c>
      <c r="D850" t="s">
        <v>30</v>
      </c>
      <c r="E850">
        <v>9241.68</v>
      </c>
      <c r="F850">
        <v>10</v>
      </c>
      <c r="G850" t="s">
        <v>31</v>
      </c>
      <c r="H850">
        <v>302.49</v>
      </c>
      <c r="I850">
        <v>1216.01</v>
      </c>
      <c r="J850" t="s">
        <v>27</v>
      </c>
      <c r="K850">
        <v>0.24</v>
      </c>
      <c r="L850" t="s">
        <v>18</v>
      </c>
      <c r="M850" t="s">
        <v>19</v>
      </c>
    </row>
    <row r="851" spans="1:13" x14ac:dyDescent="0.35">
      <c r="A851">
        <v>1015</v>
      </c>
      <c r="B851" s="1">
        <v>44840</v>
      </c>
      <c r="C851" t="s">
        <v>33</v>
      </c>
      <c r="D851" t="s">
        <v>20</v>
      </c>
      <c r="E851">
        <v>64104.54</v>
      </c>
      <c r="F851">
        <v>13</v>
      </c>
      <c r="G851" t="s">
        <v>16</v>
      </c>
      <c r="H851">
        <v>4159.29</v>
      </c>
      <c r="I851">
        <v>5150.05</v>
      </c>
      <c r="J851" t="s">
        <v>27</v>
      </c>
      <c r="K851">
        <v>0.04</v>
      </c>
      <c r="L851" t="s">
        <v>28</v>
      </c>
      <c r="M851" t="s">
        <v>21</v>
      </c>
    </row>
    <row r="852" spans="1:13" x14ac:dyDescent="0.35">
      <c r="A852">
        <v>1048</v>
      </c>
      <c r="B852" s="1">
        <v>44840</v>
      </c>
      <c r="C852" t="s">
        <v>32</v>
      </c>
      <c r="D852" t="s">
        <v>30</v>
      </c>
      <c r="E852">
        <v>37058.92</v>
      </c>
      <c r="F852">
        <v>14</v>
      </c>
      <c r="G852" t="s">
        <v>26</v>
      </c>
      <c r="H852">
        <v>916.75</v>
      </c>
      <c r="I852">
        <v>3676.48</v>
      </c>
      <c r="J852" t="s">
        <v>27</v>
      </c>
      <c r="K852">
        <v>0.28000000000000003</v>
      </c>
      <c r="L852" t="s">
        <v>18</v>
      </c>
      <c r="M852" t="s">
        <v>21</v>
      </c>
    </row>
    <row r="853" spans="1:13" x14ac:dyDescent="0.35">
      <c r="A853">
        <v>1027</v>
      </c>
      <c r="B853" s="1">
        <v>44840</v>
      </c>
      <c r="C853" t="s">
        <v>14</v>
      </c>
      <c r="D853" t="s">
        <v>20</v>
      </c>
      <c r="E853">
        <v>140334.04999999999</v>
      </c>
      <c r="F853">
        <v>50</v>
      </c>
      <c r="G853" t="s">
        <v>24</v>
      </c>
      <c r="H853">
        <v>904.74</v>
      </c>
      <c r="I853">
        <v>3226.07</v>
      </c>
      <c r="J853" t="s">
        <v>17</v>
      </c>
      <c r="K853">
        <v>0.13</v>
      </c>
      <c r="L853" t="s">
        <v>18</v>
      </c>
      <c r="M853" t="s">
        <v>21</v>
      </c>
    </row>
    <row r="854" spans="1:13" x14ac:dyDescent="0.35">
      <c r="A854">
        <v>1022</v>
      </c>
      <c r="B854" s="1">
        <v>44841</v>
      </c>
      <c r="C854" t="s">
        <v>32</v>
      </c>
      <c r="D854" t="s">
        <v>20</v>
      </c>
      <c r="E854">
        <v>3149.85</v>
      </c>
      <c r="F854">
        <v>1</v>
      </c>
      <c r="G854" t="s">
        <v>31</v>
      </c>
      <c r="H854">
        <v>1275.0999999999999</v>
      </c>
      <c r="I854">
        <v>4374.79</v>
      </c>
      <c r="J854" t="s">
        <v>27</v>
      </c>
      <c r="K854">
        <v>0.28000000000000003</v>
      </c>
      <c r="L854" t="s">
        <v>18</v>
      </c>
      <c r="M854" t="s">
        <v>19</v>
      </c>
    </row>
    <row r="855" spans="1:13" x14ac:dyDescent="0.35">
      <c r="A855">
        <v>1001</v>
      </c>
      <c r="B855" s="1">
        <v>44841</v>
      </c>
      <c r="C855" t="s">
        <v>33</v>
      </c>
      <c r="D855" t="s">
        <v>23</v>
      </c>
      <c r="E855">
        <v>57569.34</v>
      </c>
      <c r="F855">
        <v>14</v>
      </c>
      <c r="G855" t="s">
        <v>31</v>
      </c>
      <c r="H855">
        <v>3486.98</v>
      </c>
      <c r="I855">
        <v>4374.57</v>
      </c>
      <c r="J855" t="s">
        <v>17</v>
      </c>
      <c r="K855">
        <v>0.06</v>
      </c>
      <c r="L855" t="s">
        <v>18</v>
      </c>
      <c r="M855" t="s">
        <v>21</v>
      </c>
    </row>
    <row r="856" spans="1:13" x14ac:dyDescent="0.35">
      <c r="A856">
        <v>1070</v>
      </c>
      <c r="B856" s="1">
        <v>44841</v>
      </c>
      <c r="C856" t="s">
        <v>22</v>
      </c>
      <c r="D856" t="s">
        <v>20</v>
      </c>
      <c r="E856">
        <v>39884.83</v>
      </c>
      <c r="F856">
        <v>9</v>
      </c>
      <c r="G856" t="s">
        <v>31</v>
      </c>
      <c r="H856">
        <v>1314.92</v>
      </c>
      <c r="I856">
        <v>5471.17</v>
      </c>
      <c r="J856" t="s">
        <v>27</v>
      </c>
      <c r="K856">
        <v>0.19</v>
      </c>
      <c r="L856" t="s">
        <v>18</v>
      </c>
      <c r="M856" t="s">
        <v>19</v>
      </c>
    </row>
    <row r="857" spans="1:13" x14ac:dyDescent="0.35">
      <c r="A857">
        <v>1089</v>
      </c>
      <c r="B857" s="1">
        <v>44841</v>
      </c>
      <c r="C857" t="s">
        <v>14</v>
      </c>
      <c r="D857" t="s">
        <v>23</v>
      </c>
      <c r="E857">
        <v>155486.72</v>
      </c>
      <c r="F857">
        <v>42</v>
      </c>
      <c r="G857" t="s">
        <v>31</v>
      </c>
      <c r="H857">
        <v>3028.03</v>
      </c>
      <c r="I857">
        <v>4407.22</v>
      </c>
      <c r="J857" t="s">
        <v>17</v>
      </c>
      <c r="K857">
        <v>0.16</v>
      </c>
      <c r="L857" t="s">
        <v>18</v>
      </c>
      <c r="M857" t="s">
        <v>19</v>
      </c>
    </row>
    <row r="858" spans="1:13" x14ac:dyDescent="0.35">
      <c r="A858">
        <v>1009</v>
      </c>
      <c r="B858" s="1">
        <v>44842</v>
      </c>
      <c r="C858" t="s">
        <v>14</v>
      </c>
      <c r="D858" t="s">
        <v>20</v>
      </c>
      <c r="E858">
        <v>9467.34</v>
      </c>
      <c r="F858">
        <v>2</v>
      </c>
      <c r="G858" t="s">
        <v>24</v>
      </c>
      <c r="H858">
        <v>4682.2299999999996</v>
      </c>
      <c r="I858">
        <v>4745.8599999999997</v>
      </c>
      <c r="J858" t="s">
        <v>27</v>
      </c>
      <c r="K858">
        <v>0</v>
      </c>
      <c r="L858" t="s">
        <v>25</v>
      </c>
      <c r="M858" t="s">
        <v>19</v>
      </c>
    </row>
    <row r="859" spans="1:13" x14ac:dyDescent="0.35">
      <c r="A859">
        <v>1040</v>
      </c>
      <c r="B859" s="1">
        <v>44842</v>
      </c>
      <c r="C859" t="s">
        <v>32</v>
      </c>
      <c r="D859" t="s">
        <v>15</v>
      </c>
      <c r="E859">
        <v>8008.51</v>
      </c>
      <c r="F859">
        <v>3</v>
      </c>
      <c r="G859" t="s">
        <v>26</v>
      </c>
      <c r="H859">
        <v>540.07000000000005</v>
      </c>
      <c r="I859">
        <v>3177.98</v>
      </c>
      <c r="J859" t="s">
        <v>27</v>
      </c>
      <c r="K859">
        <v>0.16</v>
      </c>
      <c r="L859" t="s">
        <v>18</v>
      </c>
      <c r="M859" t="s">
        <v>21</v>
      </c>
    </row>
    <row r="860" spans="1:13" x14ac:dyDescent="0.35">
      <c r="A860">
        <v>1027</v>
      </c>
      <c r="B860" s="1">
        <v>44842</v>
      </c>
      <c r="C860" t="s">
        <v>32</v>
      </c>
      <c r="D860" t="s">
        <v>23</v>
      </c>
      <c r="E860">
        <v>110198.26</v>
      </c>
      <c r="F860">
        <v>38</v>
      </c>
      <c r="G860" t="s">
        <v>26</v>
      </c>
      <c r="H860">
        <v>2491.7800000000002</v>
      </c>
      <c r="I860">
        <v>2966.97</v>
      </c>
      <c r="J860" t="s">
        <v>27</v>
      </c>
      <c r="K860">
        <v>0.02</v>
      </c>
      <c r="L860" t="s">
        <v>18</v>
      </c>
      <c r="M860" t="s">
        <v>19</v>
      </c>
    </row>
    <row r="861" spans="1:13" x14ac:dyDescent="0.35">
      <c r="A861">
        <v>1076</v>
      </c>
      <c r="B861" s="1">
        <v>44842</v>
      </c>
      <c r="C861" t="s">
        <v>14</v>
      </c>
      <c r="D861" t="s">
        <v>15</v>
      </c>
      <c r="E861">
        <v>94662.1</v>
      </c>
      <c r="F861">
        <v>26</v>
      </c>
      <c r="G861" t="s">
        <v>16</v>
      </c>
      <c r="H861">
        <v>3026.1</v>
      </c>
      <c r="I861">
        <v>3710.85</v>
      </c>
      <c r="J861" t="s">
        <v>17</v>
      </c>
      <c r="K861">
        <v>0.02</v>
      </c>
      <c r="L861" t="s">
        <v>28</v>
      </c>
      <c r="M861" t="s">
        <v>21</v>
      </c>
    </row>
    <row r="862" spans="1:13" x14ac:dyDescent="0.35">
      <c r="A862">
        <v>1042</v>
      </c>
      <c r="B862" s="1">
        <v>44842</v>
      </c>
      <c r="C862" t="s">
        <v>22</v>
      </c>
      <c r="D862" t="s">
        <v>15</v>
      </c>
      <c r="E862">
        <v>46427.94</v>
      </c>
      <c r="F862">
        <v>39</v>
      </c>
      <c r="G862" t="s">
        <v>16</v>
      </c>
      <c r="H862">
        <v>131.57</v>
      </c>
      <c r="I862">
        <v>1190.46</v>
      </c>
      <c r="J862" t="s">
        <v>27</v>
      </c>
      <c r="K862">
        <v>0</v>
      </c>
      <c r="L862" t="s">
        <v>18</v>
      </c>
      <c r="M862" t="s">
        <v>21</v>
      </c>
    </row>
    <row r="863" spans="1:13" x14ac:dyDescent="0.35">
      <c r="A863">
        <v>1019</v>
      </c>
      <c r="B863" s="1">
        <v>44843</v>
      </c>
      <c r="C863" t="s">
        <v>14</v>
      </c>
      <c r="D863" t="s">
        <v>15</v>
      </c>
      <c r="E863">
        <v>23936.03</v>
      </c>
      <c r="F863">
        <v>6</v>
      </c>
      <c r="G863" t="s">
        <v>16</v>
      </c>
      <c r="H863">
        <v>2022.29</v>
      </c>
      <c r="I863">
        <v>4693.34</v>
      </c>
      <c r="J863" t="s">
        <v>27</v>
      </c>
      <c r="K863">
        <v>0.15</v>
      </c>
      <c r="L863" t="s">
        <v>28</v>
      </c>
      <c r="M863" t="s">
        <v>21</v>
      </c>
    </row>
    <row r="864" spans="1:13" x14ac:dyDescent="0.35">
      <c r="A864">
        <v>1007</v>
      </c>
      <c r="B864" s="1">
        <v>44843</v>
      </c>
      <c r="C864" t="s">
        <v>29</v>
      </c>
      <c r="D864" t="s">
        <v>23</v>
      </c>
      <c r="E864">
        <v>95046.89</v>
      </c>
      <c r="F864">
        <v>36</v>
      </c>
      <c r="G864" t="s">
        <v>26</v>
      </c>
      <c r="H864">
        <v>2264.1</v>
      </c>
      <c r="I864">
        <v>2666.86</v>
      </c>
      <c r="J864" t="s">
        <v>17</v>
      </c>
      <c r="K864">
        <v>0.01</v>
      </c>
      <c r="L864" t="s">
        <v>25</v>
      </c>
      <c r="M864" t="s">
        <v>19</v>
      </c>
    </row>
    <row r="865" spans="1:13" x14ac:dyDescent="0.35">
      <c r="A865">
        <v>1068</v>
      </c>
      <c r="B865" s="1">
        <v>44843</v>
      </c>
      <c r="C865" t="s">
        <v>33</v>
      </c>
      <c r="D865" t="s">
        <v>30</v>
      </c>
      <c r="E865">
        <v>34887.19</v>
      </c>
      <c r="F865">
        <v>8</v>
      </c>
      <c r="G865" t="s">
        <v>16</v>
      </c>
      <c r="H865">
        <v>1550.85</v>
      </c>
      <c r="I865">
        <v>4590.42</v>
      </c>
      <c r="J865" t="s">
        <v>27</v>
      </c>
      <c r="K865">
        <v>0.05</v>
      </c>
      <c r="L865" t="s">
        <v>25</v>
      </c>
      <c r="M865" t="s">
        <v>19</v>
      </c>
    </row>
    <row r="866" spans="1:13" x14ac:dyDescent="0.35">
      <c r="A866">
        <v>1092</v>
      </c>
      <c r="B866" s="1">
        <v>44843</v>
      </c>
      <c r="C866" t="s">
        <v>14</v>
      </c>
      <c r="D866" t="s">
        <v>20</v>
      </c>
      <c r="E866">
        <v>158088.95999999999</v>
      </c>
      <c r="F866">
        <v>33</v>
      </c>
      <c r="G866" t="s">
        <v>16</v>
      </c>
      <c r="H866">
        <v>3722.01</v>
      </c>
      <c r="I866">
        <v>5042.71</v>
      </c>
      <c r="J866" t="s">
        <v>17</v>
      </c>
      <c r="K866">
        <v>0.05</v>
      </c>
      <c r="L866" t="s">
        <v>18</v>
      </c>
      <c r="M866" t="s">
        <v>21</v>
      </c>
    </row>
    <row r="867" spans="1:13" x14ac:dyDescent="0.35">
      <c r="A867">
        <v>1015</v>
      </c>
      <c r="B867" s="1">
        <v>44843</v>
      </c>
      <c r="C867" t="s">
        <v>32</v>
      </c>
      <c r="D867" t="s">
        <v>30</v>
      </c>
      <c r="E867">
        <v>102361.14</v>
      </c>
      <c r="F867">
        <v>38</v>
      </c>
      <c r="G867" t="s">
        <v>31</v>
      </c>
      <c r="H867">
        <v>1343.64</v>
      </c>
      <c r="I867">
        <v>3498.33</v>
      </c>
      <c r="J867" t="s">
        <v>17</v>
      </c>
      <c r="K867">
        <v>0.23</v>
      </c>
      <c r="L867" t="s">
        <v>28</v>
      </c>
      <c r="M867" t="s">
        <v>19</v>
      </c>
    </row>
    <row r="868" spans="1:13" x14ac:dyDescent="0.35">
      <c r="A868">
        <v>1025</v>
      </c>
      <c r="B868" s="1">
        <v>44844</v>
      </c>
      <c r="C868" t="s">
        <v>32</v>
      </c>
      <c r="D868" t="s">
        <v>20</v>
      </c>
      <c r="E868">
        <v>97856.35</v>
      </c>
      <c r="F868">
        <v>48</v>
      </c>
      <c r="G868" t="s">
        <v>24</v>
      </c>
      <c r="H868">
        <v>1808.25</v>
      </c>
      <c r="I868">
        <v>2398.44</v>
      </c>
      <c r="J868" t="s">
        <v>27</v>
      </c>
      <c r="K868">
        <v>0.15</v>
      </c>
      <c r="L868" t="s">
        <v>28</v>
      </c>
      <c r="M868" t="s">
        <v>21</v>
      </c>
    </row>
    <row r="869" spans="1:13" x14ac:dyDescent="0.35">
      <c r="A869">
        <v>1074</v>
      </c>
      <c r="B869" s="1">
        <v>44844</v>
      </c>
      <c r="C869" t="s">
        <v>32</v>
      </c>
      <c r="D869" t="s">
        <v>30</v>
      </c>
      <c r="E869">
        <v>116675.04</v>
      </c>
      <c r="F869">
        <v>30</v>
      </c>
      <c r="G869" t="s">
        <v>24</v>
      </c>
      <c r="H869">
        <v>3424.61</v>
      </c>
      <c r="I869">
        <v>4861.46</v>
      </c>
      <c r="J869" t="s">
        <v>27</v>
      </c>
      <c r="K869">
        <v>0.2</v>
      </c>
      <c r="L869" t="s">
        <v>28</v>
      </c>
      <c r="M869" t="s">
        <v>19</v>
      </c>
    </row>
    <row r="870" spans="1:13" x14ac:dyDescent="0.35">
      <c r="A870">
        <v>1011</v>
      </c>
      <c r="B870" s="1">
        <v>44844</v>
      </c>
      <c r="C870" t="s">
        <v>33</v>
      </c>
      <c r="D870" t="s">
        <v>15</v>
      </c>
      <c r="E870">
        <v>79405.47</v>
      </c>
      <c r="F870">
        <v>19</v>
      </c>
      <c r="G870" t="s">
        <v>31</v>
      </c>
      <c r="H870">
        <v>2370.54</v>
      </c>
      <c r="I870">
        <v>4308.49</v>
      </c>
      <c r="J870" t="s">
        <v>17</v>
      </c>
      <c r="K870">
        <v>0.03</v>
      </c>
      <c r="L870" t="s">
        <v>28</v>
      </c>
      <c r="M870" t="s">
        <v>19</v>
      </c>
    </row>
    <row r="871" spans="1:13" x14ac:dyDescent="0.35">
      <c r="A871">
        <v>1005</v>
      </c>
      <c r="B871" s="1">
        <v>44844</v>
      </c>
      <c r="C871" t="s">
        <v>29</v>
      </c>
      <c r="D871" t="s">
        <v>15</v>
      </c>
      <c r="E871">
        <v>128746.13</v>
      </c>
      <c r="F871">
        <v>38</v>
      </c>
      <c r="G871" t="s">
        <v>26</v>
      </c>
      <c r="H871">
        <v>1720.41</v>
      </c>
      <c r="I871">
        <v>3939.6</v>
      </c>
      <c r="J871" t="s">
        <v>17</v>
      </c>
      <c r="K871">
        <v>0.14000000000000001</v>
      </c>
      <c r="L871" t="s">
        <v>25</v>
      </c>
      <c r="M871" t="s">
        <v>21</v>
      </c>
    </row>
    <row r="872" spans="1:13" x14ac:dyDescent="0.35">
      <c r="A872">
        <v>1029</v>
      </c>
      <c r="B872" s="1">
        <v>44844</v>
      </c>
      <c r="C872" t="s">
        <v>29</v>
      </c>
      <c r="D872" t="s">
        <v>20</v>
      </c>
      <c r="E872">
        <v>120717.34</v>
      </c>
      <c r="F872">
        <v>34</v>
      </c>
      <c r="G872" t="s">
        <v>24</v>
      </c>
      <c r="H872">
        <v>1189.76</v>
      </c>
      <c r="I872">
        <v>3550.51</v>
      </c>
      <c r="J872" t="s">
        <v>17</v>
      </c>
      <c r="K872">
        <v>0</v>
      </c>
      <c r="L872" t="s">
        <v>25</v>
      </c>
      <c r="M872" t="s">
        <v>19</v>
      </c>
    </row>
    <row r="873" spans="1:13" x14ac:dyDescent="0.35">
      <c r="A873">
        <v>1089</v>
      </c>
      <c r="B873" s="1">
        <v>44845</v>
      </c>
      <c r="C873" t="s">
        <v>29</v>
      </c>
      <c r="D873" t="s">
        <v>15</v>
      </c>
      <c r="E873">
        <v>74626.240000000005</v>
      </c>
      <c r="F873">
        <v>34</v>
      </c>
      <c r="G873" t="s">
        <v>24</v>
      </c>
      <c r="H873">
        <v>1465.9</v>
      </c>
      <c r="I873">
        <v>2709.74</v>
      </c>
      <c r="J873" t="s">
        <v>17</v>
      </c>
      <c r="K873">
        <v>0.19</v>
      </c>
      <c r="L873" t="s">
        <v>28</v>
      </c>
      <c r="M873" t="s">
        <v>21</v>
      </c>
    </row>
    <row r="874" spans="1:13" x14ac:dyDescent="0.35">
      <c r="A874">
        <v>1076</v>
      </c>
      <c r="B874" s="1">
        <v>44845</v>
      </c>
      <c r="C874" t="s">
        <v>29</v>
      </c>
      <c r="D874" t="s">
        <v>23</v>
      </c>
      <c r="E874">
        <v>95753.47</v>
      </c>
      <c r="F874">
        <v>24</v>
      </c>
      <c r="G874" t="s">
        <v>16</v>
      </c>
      <c r="H874">
        <v>1079.76</v>
      </c>
      <c r="I874">
        <v>4290.03</v>
      </c>
      <c r="J874" t="s">
        <v>27</v>
      </c>
      <c r="K874">
        <v>7.0000000000000007E-2</v>
      </c>
      <c r="L874" t="s">
        <v>18</v>
      </c>
      <c r="M874" t="s">
        <v>19</v>
      </c>
    </row>
    <row r="875" spans="1:13" x14ac:dyDescent="0.35">
      <c r="A875">
        <v>1062</v>
      </c>
      <c r="B875" s="1">
        <v>44845</v>
      </c>
      <c r="C875" t="s">
        <v>29</v>
      </c>
      <c r="D875" t="s">
        <v>23</v>
      </c>
      <c r="E875">
        <v>128768.16</v>
      </c>
      <c r="F875">
        <v>31</v>
      </c>
      <c r="G875" t="s">
        <v>26</v>
      </c>
      <c r="H875">
        <v>1638.63</v>
      </c>
      <c r="I875">
        <v>4282.28</v>
      </c>
      <c r="J875" t="s">
        <v>27</v>
      </c>
      <c r="K875">
        <v>0.03</v>
      </c>
      <c r="L875" t="s">
        <v>25</v>
      </c>
      <c r="M875" t="s">
        <v>21</v>
      </c>
    </row>
    <row r="876" spans="1:13" x14ac:dyDescent="0.35">
      <c r="A876">
        <v>1056</v>
      </c>
      <c r="B876" s="1">
        <v>44846</v>
      </c>
      <c r="C876" t="s">
        <v>14</v>
      </c>
      <c r="D876" t="s">
        <v>20</v>
      </c>
      <c r="E876">
        <v>72511.520000000004</v>
      </c>
      <c r="F876">
        <v>29</v>
      </c>
      <c r="G876" t="s">
        <v>31</v>
      </c>
      <c r="H876">
        <v>834.37</v>
      </c>
      <c r="I876">
        <v>2874.02</v>
      </c>
      <c r="J876" t="s">
        <v>17</v>
      </c>
      <c r="K876">
        <v>0.13</v>
      </c>
      <c r="L876" t="s">
        <v>18</v>
      </c>
      <c r="M876" t="s">
        <v>19</v>
      </c>
    </row>
    <row r="877" spans="1:13" x14ac:dyDescent="0.35">
      <c r="A877">
        <v>1001</v>
      </c>
      <c r="B877" s="1">
        <v>44846</v>
      </c>
      <c r="C877" t="s">
        <v>22</v>
      </c>
      <c r="D877" t="s">
        <v>20</v>
      </c>
      <c r="E877">
        <v>127775</v>
      </c>
      <c r="F877">
        <v>39</v>
      </c>
      <c r="G877" t="s">
        <v>31</v>
      </c>
      <c r="H877">
        <v>434.41</v>
      </c>
      <c r="I877">
        <v>3600.31</v>
      </c>
      <c r="J877" t="s">
        <v>27</v>
      </c>
      <c r="K877">
        <v>0.09</v>
      </c>
      <c r="L877" t="s">
        <v>25</v>
      </c>
      <c r="M877" t="s">
        <v>19</v>
      </c>
    </row>
    <row r="878" spans="1:13" x14ac:dyDescent="0.35">
      <c r="A878">
        <v>1056</v>
      </c>
      <c r="B878" s="1">
        <v>44846</v>
      </c>
      <c r="C878" t="s">
        <v>32</v>
      </c>
      <c r="D878" t="s">
        <v>23</v>
      </c>
      <c r="E878">
        <v>166000.75</v>
      </c>
      <c r="F878">
        <v>43</v>
      </c>
      <c r="G878" t="s">
        <v>26</v>
      </c>
      <c r="H878">
        <v>622.61</v>
      </c>
      <c r="I878">
        <v>5147.3100000000004</v>
      </c>
      <c r="J878" t="s">
        <v>27</v>
      </c>
      <c r="K878">
        <v>0.25</v>
      </c>
      <c r="L878" t="s">
        <v>28</v>
      </c>
      <c r="M878" t="s">
        <v>19</v>
      </c>
    </row>
    <row r="879" spans="1:13" x14ac:dyDescent="0.35">
      <c r="A879">
        <v>1031</v>
      </c>
      <c r="B879" s="1">
        <v>44847</v>
      </c>
      <c r="C879" t="s">
        <v>29</v>
      </c>
      <c r="D879" t="s">
        <v>15</v>
      </c>
      <c r="E879">
        <v>13505.37</v>
      </c>
      <c r="F879">
        <v>11</v>
      </c>
      <c r="G879" t="s">
        <v>31</v>
      </c>
      <c r="H879">
        <v>1176.8599999999999</v>
      </c>
      <c r="I879">
        <v>1278.1400000000001</v>
      </c>
      <c r="J879" t="s">
        <v>17</v>
      </c>
      <c r="K879">
        <v>0.04</v>
      </c>
      <c r="L879" t="s">
        <v>28</v>
      </c>
      <c r="M879" t="s">
        <v>19</v>
      </c>
    </row>
    <row r="880" spans="1:13" x14ac:dyDescent="0.35">
      <c r="A880">
        <v>1063</v>
      </c>
      <c r="B880" s="1">
        <v>44847</v>
      </c>
      <c r="C880" t="s">
        <v>32</v>
      </c>
      <c r="D880" t="s">
        <v>30</v>
      </c>
      <c r="E880">
        <v>23910.080000000002</v>
      </c>
      <c r="F880">
        <v>8</v>
      </c>
      <c r="G880" t="s">
        <v>24</v>
      </c>
      <c r="H880">
        <v>2757.02</v>
      </c>
      <c r="I880">
        <v>3028.26</v>
      </c>
      <c r="J880" t="s">
        <v>17</v>
      </c>
      <c r="K880">
        <v>0.01</v>
      </c>
      <c r="L880" t="s">
        <v>25</v>
      </c>
      <c r="M880" t="s">
        <v>19</v>
      </c>
    </row>
    <row r="881" spans="1:13" x14ac:dyDescent="0.35">
      <c r="A881">
        <v>1010</v>
      </c>
      <c r="B881" s="1">
        <v>44847</v>
      </c>
      <c r="C881" t="s">
        <v>22</v>
      </c>
      <c r="D881" t="s">
        <v>30</v>
      </c>
      <c r="E881">
        <v>31099.07</v>
      </c>
      <c r="F881">
        <v>13</v>
      </c>
      <c r="G881" t="s">
        <v>26</v>
      </c>
      <c r="H881">
        <v>1065.8599999999999</v>
      </c>
      <c r="I881">
        <v>2658.04</v>
      </c>
      <c r="J881" t="s">
        <v>27</v>
      </c>
      <c r="K881">
        <v>0.1</v>
      </c>
      <c r="L881" t="s">
        <v>28</v>
      </c>
      <c r="M881" t="s">
        <v>21</v>
      </c>
    </row>
    <row r="882" spans="1:13" x14ac:dyDescent="0.35">
      <c r="A882">
        <v>1062</v>
      </c>
      <c r="B882" s="1">
        <v>44847</v>
      </c>
      <c r="C882" t="s">
        <v>14</v>
      </c>
      <c r="D882" t="s">
        <v>20</v>
      </c>
      <c r="E882">
        <v>148711.14000000001</v>
      </c>
      <c r="F882">
        <v>37</v>
      </c>
      <c r="G882" t="s">
        <v>26</v>
      </c>
      <c r="H882">
        <v>169.61</v>
      </c>
      <c r="I882">
        <v>5358.96</v>
      </c>
      <c r="J882" t="s">
        <v>17</v>
      </c>
      <c r="K882">
        <v>0.25</v>
      </c>
      <c r="L882" t="s">
        <v>28</v>
      </c>
      <c r="M882" t="s">
        <v>19</v>
      </c>
    </row>
    <row r="883" spans="1:13" x14ac:dyDescent="0.35">
      <c r="A883">
        <v>1040</v>
      </c>
      <c r="B883" s="1">
        <v>44848</v>
      </c>
      <c r="C883" t="s">
        <v>22</v>
      </c>
      <c r="D883" t="s">
        <v>15</v>
      </c>
      <c r="E883">
        <v>12929.45</v>
      </c>
      <c r="F883">
        <v>4</v>
      </c>
      <c r="G883" t="s">
        <v>16</v>
      </c>
      <c r="H883">
        <v>1433.88</v>
      </c>
      <c r="I883">
        <v>3715.36</v>
      </c>
      <c r="J883" t="s">
        <v>17</v>
      </c>
      <c r="K883">
        <v>0.13</v>
      </c>
      <c r="L883" t="s">
        <v>18</v>
      </c>
      <c r="M883" t="s">
        <v>21</v>
      </c>
    </row>
    <row r="884" spans="1:13" x14ac:dyDescent="0.35">
      <c r="A884">
        <v>1006</v>
      </c>
      <c r="B884" s="1">
        <v>44848</v>
      </c>
      <c r="C884" t="s">
        <v>29</v>
      </c>
      <c r="D884" t="s">
        <v>30</v>
      </c>
      <c r="E884">
        <v>92965.68</v>
      </c>
      <c r="F884">
        <v>35</v>
      </c>
      <c r="G884" t="s">
        <v>31</v>
      </c>
      <c r="H884">
        <v>2206.7600000000002</v>
      </c>
      <c r="I884">
        <v>2783.15</v>
      </c>
      <c r="J884" t="s">
        <v>17</v>
      </c>
      <c r="K884">
        <v>0.05</v>
      </c>
      <c r="L884" t="s">
        <v>28</v>
      </c>
      <c r="M884" t="s">
        <v>21</v>
      </c>
    </row>
    <row r="885" spans="1:13" x14ac:dyDescent="0.35">
      <c r="A885">
        <v>1024</v>
      </c>
      <c r="B885" s="1">
        <v>44848</v>
      </c>
      <c r="C885" t="s">
        <v>22</v>
      </c>
      <c r="D885" t="s">
        <v>20</v>
      </c>
      <c r="E885">
        <v>69459.98</v>
      </c>
      <c r="F885">
        <v>30</v>
      </c>
      <c r="G885" t="s">
        <v>16</v>
      </c>
      <c r="H885">
        <v>777.04</v>
      </c>
      <c r="I885">
        <v>2631.06</v>
      </c>
      <c r="J885" t="s">
        <v>27</v>
      </c>
      <c r="K885">
        <v>0.12</v>
      </c>
      <c r="L885" t="s">
        <v>25</v>
      </c>
      <c r="M885" t="s">
        <v>19</v>
      </c>
    </row>
    <row r="886" spans="1:13" x14ac:dyDescent="0.35">
      <c r="A886">
        <v>1074</v>
      </c>
      <c r="B886" s="1">
        <v>44848</v>
      </c>
      <c r="C886" t="s">
        <v>32</v>
      </c>
      <c r="D886" t="s">
        <v>15</v>
      </c>
      <c r="E886">
        <v>143056.04</v>
      </c>
      <c r="F886">
        <v>45</v>
      </c>
      <c r="G886" t="s">
        <v>16</v>
      </c>
      <c r="H886">
        <v>2005.53</v>
      </c>
      <c r="I886">
        <v>4415.3100000000004</v>
      </c>
      <c r="J886" t="s">
        <v>27</v>
      </c>
      <c r="K886">
        <v>0.28000000000000003</v>
      </c>
      <c r="L886" t="s">
        <v>25</v>
      </c>
      <c r="M886" t="s">
        <v>21</v>
      </c>
    </row>
    <row r="887" spans="1:13" x14ac:dyDescent="0.35">
      <c r="A887">
        <v>1034</v>
      </c>
      <c r="B887" s="1">
        <v>44849</v>
      </c>
      <c r="C887" t="s">
        <v>33</v>
      </c>
      <c r="D887" t="s">
        <v>15</v>
      </c>
      <c r="E887">
        <v>4441.78</v>
      </c>
      <c r="F887">
        <v>2</v>
      </c>
      <c r="G887" t="s">
        <v>24</v>
      </c>
      <c r="H887">
        <v>419.79</v>
      </c>
      <c r="I887">
        <v>2495.38</v>
      </c>
      <c r="J887" t="s">
        <v>17</v>
      </c>
      <c r="K887">
        <v>0.11</v>
      </c>
      <c r="L887" t="s">
        <v>18</v>
      </c>
      <c r="M887" t="s">
        <v>19</v>
      </c>
    </row>
    <row r="888" spans="1:13" x14ac:dyDescent="0.35">
      <c r="A888">
        <v>1063</v>
      </c>
      <c r="B888" s="1">
        <v>44849</v>
      </c>
      <c r="C888" t="s">
        <v>32</v>
      </c>
      <c r="D888" t="s">
        <v>20</v>
      </c>
      <c r="E888">
        <v>89924.46</v>
      </c>
      <c r="F888">
        <v>22</v>
      </c>
      <c r="G888" t="s">
        <v>26</v>
      </c>
      <c r="H888">
        <v>3772.79</v>
      </c>
      <c r="I888">
        <v>4168.34</v>
      </c>
      <c r="J888" t="s">
        <v>27</v>
      </c>
      <c r="K888">
        <v>0.02</v>
      </c>
      <c r="L888" t="s">
        <v>28</v>
      </c>
      <c r="M888" t="s">
        <v>21</v>
      </c>
    </row>
    <row r="889" spans="1:13" x14ac:dyDescent="0.35">
      <c r="A889">
        <v>1031</v>
      </c>
      <c r="B889" s="1">
        <v>44849</v>
      </c>
      <c r="C889" t="s">
        <v>29</v>
      </c>
      <c r="D889" t="s">
        <v>20</v>
      </c>
      <c r="E889">
        <v>23119.21</v>
      </c>
      <c r="F889">
        <v>20</v>
      </c>
      <c r="G889" t="s">
        <v>31</v>
      </c>
      <c r="H889">
        <v>419.78</v>
      </c>
      <c r="I889">
        <v>1344.14</v>
      </c>
      <c r="J889" t="s">
        <v>27</v>
      </c>
      <c r="K889">
        <v>0.14000000000000001</v>
      </c>
      <c r="L889" t="s">
        <v>18</v>
      </c>
      <c r="M889" t="s">
        <v>19</v>
      </c>
    </row>
    <row r="890" spans="1:13" x14ac:dyDescent="0.35">
      <c r="A890">
        <v>1056</v>
      </c>
      <c r="B890" s="1">
        <v>44849</v>
      </c>
      <c r="C890" t="s">
        <v>32</v>
      </c>
      <c r="D890" t="s">
        <v>30</v>
      </c>
      <c r="E890">
        <v>157129.54999999999</v>
      </c>
      <c r="F890">
        <v>34</v>
      </c>
      <c r="G890" t="s">
        <v>16</v>
      </c>
      <c r="H890">
        <v>3931.95</v>
      </c>
      <c r="I890">
        <v>4712.6099999999997</v>
      </c>
      <c r="J890" t="s">
        <v>27</v>
      </c>
      <c r="K890">
        <v>0.02</v>
      </c>
      <c r="L890" t="s">
        <v>18</v>
      </c>
      <c r="M890" t="s">
        <v>21</v>
      </c>
    </row>
    <row r="891" spans="1:13" x14ac:dyDescent="0.35">
      <c r="A891">
        <v>1044</v>
      </c>
      <c r="B891" s="1">
        <v>44849</v>
      </c>
      <c r="C891" t="s">
        <v>33</v>
      </c>
      <c r="D891" t="s">
        <v>15</v>
      </c>
      <c r="E891">
        <v>69490.080000000002</v>
      </c>
      <c r="F891">
        <v>25</v>
      </c>
      <c r="G891" t="s">
        <v>24</v>
      </c>
      <c r="H891">
        <v>567.94000000000005</v>
      </c>
      <c r="I891">
        <v>3389.76</v>
      </c>
      <c r="J891" t="s">
        <v>27</v>
      </c>
      <c r="K891">
        <v>0.18</v>
      </c>
      <c r="L891" t="s">
        <v>18</v>
      </c>
      <c r="M891" t="s">
        <v>21</v>
      </c>
    </row>
    <row r="892" spans="1:13" x14ac:dyDescent="0.35">
      <c r="A892">
        <v>1011</v>
      </c>
      <c r="B892" s="1">
        <v>44850</v>
      </c>
      <c r="C892" t="s">
        <v>14</v>
      </c>
      <c r="D892" t="s">
        <v>30</v>
      </c>
      <c r="E892">
        <v>51720.74</v>
      </c>
      <c r="F892">
        <v>20</v>
      </c>
      <c r="G892" t="s">
        <v>24</v>
      </c>
      <c r="H892">
        <v>2530.7600000000002</v>
      </c>
      <c r="I892">
        <v>2611.1999999999998</v>
      </c>
      <c r="J892" t="s">
        <v>17</v>
      </c>
      <c r="K892">
        <v>0.01</v>
      </c>
      <c r="L892" t="s">
        <v>18</v>
      </c>
      <c r="M892" t="s">
        <v>21</v>
      </c>
    </row>
    <row r="893" spans="1:13" x14ac:dyDescent="0.35">
      <c r="A893">
        <v>1006</v>
      </c>
      <c r="B893" s="1">
        <v>44850</v>
      </c>
      <c r="C893" t="s">
        <v>22</v>
      </c>
      <c r="D893" t="s">
        <v>30</v>
      </c>
      <c r="E893">
        <v>20169.97</v>
      </c>
      <c r="F893">
        <v>5</v>
      </c>
      <c r="G893" t="s">
        <v>16</v>
      </c>
      <c r="H893">
        <v>2984.41</v>
      </c>
      <c r="I893">
        <v>4690.6899999999996</v>
      </c>
      <c r="J893" t="s">
        <v>27</v>
      </c>
      <c r="K893">
        <v>0.14000000000000001</v>
      </c>
      <c r="L893" t="s">
        <v>18</v>
      </c>
      <c r="M893" t="s">
        <v>21</v>
      </c>
    </row>
    <row r="894" spans="1:13" x14ac:dyDescent="0.35">
      <c r="A894">
        <v>1062</v>
      </c>
      <c r="B894" s="1">
        <v>44850</v>
      </c>
      <c r="C894" t="s">
        <v>29</v>
      </c>
      <c r="D894" t="s">
        <v>23</v>
      </c>
      <c r="E894">
        <v>174305.86</v>
      </c>
      <c r="F894">
        <v>43</v>
      </c>
      <c r="G894" t="s">
        <v>16</v>
      </c>
      <c r="H894">
        <v>3913.99</v>
      </c>
      <c r="I894">
        <v>4172.5600000000004</v>
      </c>
      <c r="J894" t="s">
        <v>27</v>
      </c>
      <c r="K894">
        <v>0.03</v>
      </c>
      <c r="L894" t="s">
        <v>28</v>
      </c>
      <c r="M894" t="s">
        <v>19</v>
      </c>
    </row>
    <row r="895" spans="1:13" x14ac:dyDescent="0.35">
      <c r="A895">
        <v>1031</v>
      </c>
      <c r="B895" s="1">
        <v>44850</v>
      </c>
      <c r="C895" t="s">
        <v>32</v>
      </c>
      <c r="D895" t="s">
        <v>23</v>
      </c>
      <c r="E895">
        <v>129559.43</v>
      </c>
      <c r="F895">
        <v>43</v>
      </c>
      <c r="G895" t="s">
        <v>24</v>
      </c>
      <c r="H895">
        <v>2506.08</v>
      </c>
      <c r="I895">
        <v>3311</v>
      </c>
      <c r="J895" t="s">
        <v>27</v>
      </c>
      <c r="K895">
        <v>0.09</v>
      </c>
      <c r="L895" t="s">
        <v>18</v>
      </c>
      <c r="M895" t="s">
        <v>19</v>
      </c>
    </row>
    <row r="896" spans="1:13" x14ac:dyDescent="0.35">
      <c r="A896">
        <v>1045</v>
      </c>
      <c r="B896" s="1">
        <v>44851</v>
      </c>
      <c r="C896" t="s">
        <v>32</v>
      </c>
      <c r="D896" t="s">
        <v>23</v>
      </c>
      <c r="E896">
        <v>2793.46</v>
      </c>
      <c r="F896">
        <v>1</v>
      </c>
      <c r="G896" t="s">
        <v>24</v>
      </c>
      <c r="H896">
        <v>2748.86</v>
      </c>
      <c r="I896">
        <v>2890.5</v>
      </c>
      <c r="J896" t="s">
        <v>27</v>
      </c>
      <c r="K896">
        <v>0.03</v>
      </c>
      <c r="L896" t="s">
        <v>18</v>
      </c>
      <c r="M896" t="s">
        <v>21</v>
      </c>
    </row>
    <row r="897" spans="1:13" x14ac:dyDescent="0.35">
      <c r="A897">
        <v>1008</v>
      </c>
      <c r="B897" s="1">
        <v>44851</v>
      </c>
      <c r="C897" t="s">
        <v>32</v>
      </c>
      <c r="D897" t="s">
        <v>20</v>
      </c>
      <c r="E897">
        <v>39039.17</v>
      </c>
      <c r="F897">
        <v>40</v>
      </c>
      <c r="G897" t="s">
        <v>31</v>
      </c>
      <c r="H897">
        <v>969.3</v>
      </c>
      <c r="I897">
        <v>1049.44</v>
      </c>
      <c r="J897" t="s">
        <v>27</v>
      </c>
      <c r="K897">
        <v>7.0000000000000007E-2</v>
      </c>
      <c r="L897" t="s">
        <v>25</v>
      </c>
      <c r="M897" t="s">
        <v>19</v>
      </c>
    </row>
    <row r="898" spans="1:13" x14ac:dyDescent="0.35">
      <c r="A898">
        <v>1100</v>
      </c>
      <c r="B898" s="1">
        <v>44851</v>
      </c>
      <c r="C898" t="s">
        <v>29</v>
      </c>
      <c r="D898" t="s">
        <v>23</v>
      </c>
      <c r="E898">
        <v>10498.22</v>
      </c>
      <c r="F898">
        <v>5</v>
      </c>
      <c r="G898" t="s">
        <v>26</v>
      </c>
      <c r="H898">
        <v>1823.48</v>
      </c>
      <c r="I898">
        <v>2359.15</v>
      </c>
      <c r="J898" t="s">
        <v>27</v>
      </c>
      <c r="K898">
        <v>0.11</v>
      </c>
      <c r="L898" t="s">
        <v>18</v>
      </c>
      <c r="M898" t="s">
        <v>21</v>
      </c>
    </row>
    <row r="899" spans="1:13" x14ac:dyDescent="0.35">
      <c r="A899">
        <v>1016</v>
      </c>
      <c r="B899" s="1">
        <v>44851</v>
      </c>
      <c r="C899" t="s">
        <v>29</v>
      </c>
      <c r="D899" t="s">
        <v>30</v>
      </c>
      <c r="E899">
        <v>46478.73</v>
      </c>
      <c r="F899">
        <v>43</v>
      </c>
      <c r="G899" t="s">
        <v>16</v>
      </c>
      <c r="H899">
        <v>197.98</v>
      </c>
      <c r="I899">
        <v>1302.29</v>
      </c>
      <c r="J899" t="s">
        <v>27</v>
      </c>
      <c r="K899">
        <v>0.17</v>
      </c>
      <c r="L899" t="s">
        <v>25</v>
      </c>
      <c r="M899" t="s">
        <v>19</v>
      </c>
    </row>
    <row r="900" spans="1:13" x14ac:dyDescent="0.35">
      <c r="A900">
        <v>1061</v>
      </c>
      <c r="B900" s="1">
        <v>44851</v>
      </c>
      <c r="C900" t="s">
        <v>32</v>
      </c>
      <c r="D900" t="s">
        <v>15</v>
      </c>
      <c r="E900">
        <v>107957.78</v>
      </c>
      <c r="F900">
        <v>46</v>
      </c>
      <c r="G900" t="s">
        <v>16</v>
      </c>
      <c r="H900">
        <v>749.86</v>
      </c>
      <c r="I900">
        <v>2579.02</v>
      </c>
      <c r="J900" t="s">
        <v>17</v>
      </c>
      <c r="K900">
        <v>0.09</v>
      </c>
      <c r="L900" t="s">
        <v>28</v>
      </c>
      <c r="M900" t="s">
        <v>19</v>
      </c>
    </row>
    <row r="901" spans="1:13" x14ac:dyDescent="0.35">
      <c r="A901">
        <v>1094</v>
      </c>
      <c r="B901" s="1">
        <v>44852</v>
      </c>
      <c r="C901" t="s">
        <v>33</v>
      </c>
      <c r="D901" t="s">
        <v>20</v>
      </c>
      <c r="E901">
        <v>38806.370000000003</v>
      </c>
      <c r="F901">
        <v>44</v>
      </c>
      <c r="G901" t="s">
        <v>24</v>
      </c>
      <c r="H901">
        <v>802.61</v>
      </c>
      <c r="I901">
        <v>914.18</v>
      </c>
      <c r="J901" t="s">
        <v>17</v>
      </c>
      <c r="K901">
        <v>0.04</v>
      </c>
      <c r="L901" t="s">
        <v>28</v>
      </c>
      <c r="M901" t="s">
        <v>19</v>
      </c>
    </row>
    <row r="902" spans="1:13" x14ac:dyDescent="0.35">
      <c r="A902">
        <v>1025</v>
      </c>
      <c r="B902" s="1">
        <v>44854</v>
      </c>
      <c r="C902" t="s">
        <v>32</v>
      </c>
      <c r="D902" t="s">
        <v>23</v>
      </c>
      <c r="E902">
        <v>86673.9</v>
      </c>
      <c r="F902">
        <v>20</v>
      </c>
      <c r="G902" t="s">
        <v>16</v>
      </c>
      <c r="H902">
        <v>3745</v>
      </c>
      <c r="I902">
        <v>5039.18</v>
      </c>
      <c r="J902" t="s">
        <v>27</v>
      </c>
      <c r="K902">
        <v>0.14000000000000001</v>
      </c>
      <c r="L902" t="s">
        <v>25</v>
      </c>
      <c r="M902" t="s">
        <v>21</v>
      </c>
    </row>
    <row r="903" spans="1:13" x14ac:dyDescent="0.35">
      <c r="A903">
        <v>1008</v>
      </c>
      <c r="B903" s="1">
        <v>44854</v>
      </c>
      <c r="C903" t="s">
        <v>14</v>
      </c>
      <c r="D903" t="s">
        <v>23</v>
      </c>
      <c r="E903">
        <v>24454.14</v>
      </c>
      <c r="F903">
        <v>5</v>
      </c>
      <c r="G903" t="s">
        <v>24</v>
      </c>
      <c r="H903">
        <v>1345.21</v>
      </c>
      <c r="I903">
        <v>5042.09</v>
      </c>
      <c r="J903" t="s">
        <v>17</v>
      </c>
      <c r="K903">
        <v>0.03</v>
      </c>
      <c r="L903" t="s">
        <v>28</v>
      </c>
      <c r="M903" t="s">
        <v>21</v>
      </c>
    </row>
    <row r="904" spans="1:13" x14ac:dyDescent="0.35">
      <c r="A904">
        <v>1062</v>
      </c>
      <c r="B904" s="1">
        <v>44854</v>
      </c>
      <c r="C904" t="s">
        <v>33</v>
      </c>
      <c r="D904" t="s">
        <v>23</v>
      </c>
      <c r="E904">
        <v>107013.49</v>
      </c>
      <c r="F904">
        <v>41</v>
      </c>
      <c r="G904" t="s">
        <v>31</v>
      </c>
      <c r="H904">
        <v>566.33000000000004</v>
      </c>
      <c r="I904">
        <v>2932.68</v>
      </c>
      <c r="J904" t="s">
        <v>17</v>
      </c>
      <c r="K904">
        <v>0.11</v>
      </c>
      <c r="L904" t="s">
        <v>25</v>
      </c>
      <c r="M904" t="s">
        <v>21</v>
      </c>
    </row>
    <row r="905" spans="1:13" x14ac:dyDescent="0.35">
      <c r="A905">
        <v>1040</v>
      </c>
      <c r="B905" s="1">
        <v>44855</v>
      </c>
      <c r="C905" t="s">
        <v>33</v>
      </c>
      <c r="D905" t="s">
        <v>30</v>
      </c>
      <c r="E905">
        <v>3696.58</v>
      </c>
      <c r="F905">
        <v>1</v>
      </c>
      <c r="G905" t="s">
        <v>26</v>
      </c>
      <c r="H905">
        <v>3351.41</v>
      </c>
      <c r="I905">
        <v>3772.02</v>
      </c>
      <c r="J905" t="s">
        <v>27</v>
      </c>
      <c r="K905">
        <v>0.02</v>
      </c>
      <c r="L905" t="s">
        <v>18</v>
      </c>
      <c r="M905" t="s">
        <v>21</v>
      </c>
    </row>
    <row r="906" spans="1:13" x14ac:dyDescent="0.35">
      <c r="A906">
        <v>1062</v>
      </c>
      <c r="B906" s="1">
        <v>44855</v>
      </c>
      <c r="C906" t="s">
        <v>33</v>
      </c>
      <c r="D906" t="s">
        <v>15</v>
      </c>
      <c r="E906">
        <v>37081.19</v>
      </c>
      <c r="F906">
        <v>11</v>
      </c>
      <c r="G906" t="s">
        <v>24</v>
      </c>
      <c r="H906">
        <v>3273.32</v>
      </c>
      <c r="I906">
        <v>3406.86</v>
      </c>
      <c r="J906" t="s">
        <v>27</v>
      </c>
      <c r="K906">
        <v>0.01</v>
      </c>
      <c r="L906" t="s">
        <v>18</v>
      </c>
      <c r="M906" t="s">
        <v>21</v>
      </c>
    </row>
    <row r="907" spans="1:13" x14ac:dyDescent="0.35">
      <c r="A907">
        <v>1090</v>
      </c>
      <c r="B907" s="1">
        <v>44855</v>
      </c>
      <c r="C907" t="s">
        <v>32</v>
      </c>
      <c r="D907" t="s">
        <v>30</v>
      </c>
      <c r="E907">
        <v>48349.21</v>
      </c>
      <c r="F907">
        <v>15</v>
      </c>
      <c r="G907" t="s">
        <v>24</v>
      </c>
      <c r="H907">
        <v>1733.09</v>
      </c>
      <c r="I907">
        <v>3704.92</v>
      </c>
      <c r="J907" t="s">
        <v>17</v>
      </c>
      <c r="K907">
        <v>0.13</v>
      </c>
      <c r="L907" t="s">
        <v>25</v>
      </c>
      <c r="M907" t="s">
        <v>19</v>
      </c>
    </row>
    <row r="908" spans="1:13" x14ac:dyDescent="0.35">
      <c r="A908">
        <v>1045</v>
      </c>
      <c r="B908" s="1">
        <v>44855</v>
      </c>
      <c r="C908" t="s">
        <v>29</v>
      </c>
      <c r="D908" t="s">
        <v>30</v>
      </c>
      <c r="E908">
        <v>101887.03999999999</v>
      </c>
      <c r="F908">
        <v>24</v>
      </c>
      <c r="G908" t="s">
        <v>16</v>
      </c>
      <c r="H908">
        <v>467.55</v>
      </c>
      <c r="I908">
        <v>4468.7299999999996</v>
      </c>
      <c r="J908" t="s">
        <v>27</v>
      </c>
      <c r="K908">
        <v>0.05</v>
      </c>
      <c r="L908" t="s">
        <v>18</v>
      </c>
      <c r="M908" t="s">
        <v>21</v>
      </c>
    </row>
    <row r="909" spans="1:13" x14ac:dyDescent="0.35">
      <c r="A909">
        <v>1078</v>
      </c>
      <c r="B909" s="1">
        <v>44856</v>
      </c>
      <c r="C909" t="s">
        <v>33</v>
      </c>
      <c r="D909" t="s">
        <v>20</v>
      </c>
      <c r="E909">
        <v>78936.789999999994</v>
      </c>
      <c r="F909">
        <v>18</v>
      </c>
      <c r="G909" t="s">
        <v>16</v>
      </c>
      <c r="H909">
        <v>4348</v>
      </c>
      <c r="I909">
        <v>4927.3900000000003</v>
      </c>
      <c r="J909" t="s">
        <v>27</v>
      </c>
      <c r="K909">
        <v>0.11</v>
      </c>
      <c r="L909" t="s">
        <v>25</v>
      </c>
      <c r="M909" t="s">
        <v>19</v>
      </c>
    </row>
    <row r="910" spans="1:13" x14ac:dyDescent="0.35">
      <c r="A910">
        <v>1015</v>
      </c>
      <c r="B910" s="1">
        <v>44856</v>
      </c>
      <c r="C910" t="s">
        <v>33</v>
      </c>
      <c r="D910" t="s">
        <v>20</v>
      </c>
      <c r="E910">
        <v>56362.48</v>
      </c>
      <c r="F910">
        <v>16</v>
      </c>
      <c r="G910" t="s">
        <v>31</v>
      </c>
      <c r="H910">
        <v>1129.23</v>
      </c>
      <c r="I910">
        <v>4144.3</v>
      </c>
      <c r="J910" t="s">
        <v>17</v>
      </c>
      <c r="K910">
        <v>0.15</v>
      </c>
      <c r="L910" t="s">
        <v>25</v>
      </c>
      <c r="M910" t="s">
        <v>21</v>
      </c>
    </row>
    <row r="911" spans="1:13" x14ac:dyDescent="0.35">
      <c r="A911">
        <v>1004</v>
      </c>
      <c r="B911" s="1">
        <v>44856</v>
      </c>
      <c r="C911" t="s">
        <v>14</v>
      </c>
      <c r="D911" t="s">
        <v>15</v>
      </c>
      <c r="E911">
        <v>162749.84</v>
      </c>
      <c r="F911">
        <v>41</v>
      </c>
      <c r="G911" t="s">
        <v>26</v>
      </c>
      <c r="H911">
        <v>626.96</v>
      </c>
      <c r="I911">
        <v>4782.54</v>
      </c>
      <c r="J911" t="s">
        <v>27</v>
      </c>
      <c r="K911">
        <v>0.17</v>
      </c>
      <c r="L911" t="s">
        <v>25</v>
      </c>
      <c r="M911" t="s">
        <v>19</v>
      </c>
    </row>
    <row r="912" spans="1:13" x14ac:dyDescent="0.35">
      <c r="A912">
        <v>1062</v>
      </c>
      <c r="B912" s="1">
        <v>44857</v>
      </c>
      <c r="C912" t="s">
        <v>29</v>
      </c>
      <c r="D912" t="s">
        <v>20</v>
      </c>
      <c r="E912">
        <v>42790.93</v>
      </c>
      <c r="F912">
        <v>50</v>
      </c>
      <c r="G912" t="s">
        <v>24</v>
      </c>
      <c r="H912">
        <v>362.81</v>
      </c>
      <c r="I912">
        <v>940.46</v>
      </c>
      <c r="J912" t="s">
        <v>17</v>
      </c>
      <c r="K912">
        <v>0.09</v>
      </c>
      <c r="L912" t="s">
        <v>18</v>
      </c>
      <c r="M912" t="s">
        <v>19</v>
      </c>
    </row>
    <row r="913" spans="1:13" x14ac:dyDescent="0.35">
      <c r="A913">
        <v>1064</v>
      </c>
      <c r="B913" s="1">
        <v>44858</v>
      </c>
      <c r="C913" t="s">
        <v>22</v>
      </c>
      <c r="D913" t="s">
        <v>15</v>
      </c>
      <c r="E913">
        <v>13050.18</v>
      </c>
      <c r="F913">
        <v>12</v>
      </c>
      <c r="G913" t="s">
        <v>31</v>
      </c>
      <c r="H913">
        <v>549.66</v>
      </c>
      <c r="I913">
        <v>1450.02</v>
      </c>
      <c r="J913" t="s">
        <v>17</v>
      </c>
      <c r="K913">
        <v>0.25</v>
      </c>
      <c r="L913" t="s">
        <v>28</v>
      </c>
      <c r="M913" t="s">
        <v>19</v>
      </c>
    </row>
    <row r="914" spans="1:13" x14ac:dyDescent="0.35">
      <c r="A914">
        <v>1091</v>
      </c>
      <c r="B914" s="1">
        <v>44858</v>
      </c>
      <c r="C914" t="s">
        <v>22</v>
      </c>
      <c r="D914" t="s">
        <v>20</v>
      </c>
      <c r="E914">
        <v>84733.56</v>
      </c>
      <c r="F914">
        <v>25</v>
      </c>
      <c r="G914" t="s">
        <v>16</v>
      </c>
      <c r="H914">
        <v>2862.97</v>
      </c>
      <c r="I914">
        <v>3808.25</v>
      </c>
      <c r="J914" t="s">
        <v>17</v>
      </c>
      <c r="K914">
        <v>0.11</v>
      </c>
      <c r="L914" t="s">
        <v>28</v>
      </c>
      <c r="M914" t="s">
        <v>21</v>
      </c>
    </row>
    <row r="915" spans="1:13" x14ac:dyDescent="0.35">
      <c r="A915">
        <v>1003</v>
      </c>
      <c r="B915" s="1">
        <v>44859</v>
      </c>
      <c r="C915" t="s">
        <v>33</v>
      </c>
      <c r="D915" t="s">
        <v>30</v>
      </c>
      <c r="E915">
        <v>2273.15</v>
      </c>
      <c r="F915">
        <v>2</v>
      </c>
      <c r="G915" t="s">
        <v>26</v>
      </c>
      <c r="H915">
        <v>354.09</v>
      </c>
      <c r="I915">
        <v>1209.1199999999999</v>
      </c>
      <c r="J915" t="s">
        <v>27</v>
      </c>
      <c r="K915">
        <v>0.06</v>
      </c>
      <c r="L915" t="s">
        <v>28</v>
      </c>
      <c r="M915" t="s">
        <v>19</v>
      </c>
    </row>
    <row r="916" spans="1:13" x14ac:dyDescent="0.35">
      <c r="A916">
        <v>1082</v>
      </c>
      <c r="B916" s="1">
        <v>44859</v>
      </c>
      <c r="C916" t="s">
        <v>22</v>
      </c>
      <c r="D916" t="s">
        <v>15</v>
      </c>
      <c r="E916">
        <v>15068.45</v>
      </c>
      <c r="F916">
        <v>11</v>
      </c>
      <c r="G916" t="s">
        <v>26</v>
      </c>
      <c r="H916">
        <v>1030.5999999999999</v>
      </c>
      <c r="I916">
        <v>1396.89</v>
      </c>
      <c r="J916" t="s">
        <v>17</v>
      </c>
      <c r="K916">
        <v>0.02</v>
      </c>
      <c r="L916" t="s">
        <v>25</v>
      </c>
      <c r="M916" t="s">
        <v>19</v>
      </c>
    </row>
    <row r="917" spans="1:13" x14ac:dyDescent="0.35">
      <c r="A917">
        <v>1091</v>
      </c>
      <c r="B917" s="1">
        <v>44859</v>
      </c>
      <c r="C917" t="s">
        <v>22</v>
      </c>
      <c r="D917" t="s">
        <v>23</v>
      </c>
      <c r="E917">
        <v>17818.849999999999</v>
      </c>
      <c r="F917">
        <v>7</v>
      </c>
      <c r="G917" t="s">
        <v>24</v>
      </c>
      <c r="H917">
        <v>1767.15</v>
      </c>
      <c r="I917">
        <v>2892.67</v>
      </c>
      <c r="J917" t="s">
        <v>27</v>
      </c>
      <c r="K917">
        <v>0.12</v>
      </c>
      <c r="L917" t="s">
        <v>28</v>
      </c>
      <c r="M917" t="s">
        <v>19</v>
      </c>
    </row>
    <row r="918" spans="1:13" x14ac:dyDescent="0.35">
      <c r="A918">
        <v>1097</v>
      </c>
      <c r="B918" s="1">
        <v>44859</v>
      </c>
      <c r="C918" t="s">
        <v>22</v>
      </c>
      <c r="D918" t="s">
        <v>15</v>
      </c>
      <c r="E918">
        <v>9937.27</v>
      </c>
      <c r="F918">
        <v>4</v>
      </c>
      <c r="G918" t="s">
        <v>31</v>
      </c>
      <c r="H918">
        <v>933.86</v>
      </c>
      <c r="I918">
        <v>2730.02</v>
      </c>
      <c r="J918" t="s">
        <v>17</v>
      </c>
      <c r="K918">
        <v>0.09</v>
      </c>
      <c r="L918" t="s">
        <v>28</v>
      </c>
      <c r="M918" t="s">
        <v>19</v>
      </c>
    </row>
    <row r="919" spans="1:13" x14ac:dyDescent="0.35">
      <c r="A919">
        <v>1048</v>
      </c>
      <c r="B919" s="1">
        <v>44859</v>
      </c>
      <c r="C919" t="s">
        <v>22</v>
      </c>
      <c r="D919" t="s">
        <v>23</v>
      </c>
      <c r="E919">
        <v>28073.48</v>
      </c>
      <c r="F919">
        <v>7</v>
      </c>
      <c r="G919" t="s">
        <v>16</v>
      </c>
      <c r="H919">
        <v>2330.7399999999998</v>
      </c>
      <c r="I919">
        <v>5419.59</v>
      </c>
      <c r="J919" t="s">
        <v>27</v>
      </c>
      <c r="K919">
        <v>0.26</v>
      </c>
      <c r="L919" t="s">
        <v>28</v>
      </c>
      <c r="M919" t="s">
        <v>21</v>
      </c>
    </row>
    <row r="920" spans="1:13" x14ac:dyDescent="0.35">
      <c r="A920">
        <v>1089</v>
      </c>
      <c r="B920" s="1">
        <v>44859</v>
      </c>
      <c r="C920" t="s">
        <v>33</v>
      </c>
      <c r="D920" t="s">
        <v>30</v>
      </c>
      <c r="E920">
        <v>147305.84</v>
      </c>
      <c r="F920">
        <v>46</v>
      </c>
      <c r="G920" t="s">
        <v>31</v>
      </c>
      <c r="H920">
        <v>831.3</v>
      </c>
      <c r="I920">
        <v>4447.6400000000003</v>
      </c>
      <c r="J920" t="s">
        <v>27</v>
      </c>
      <c r="K920">
        <v>0.28000000000000003</v>
      </c>
      <c r="L920" t="s">
        <v>18</v>
      </c>
      <c r="M920" t="s">
        <v>21</v>
      </c>
    </row>
    <row r="921" spans="1:13" x14ac:dyDescent="0.35">
      <c r="A921">
        <v>1075</v>
      </c>
      <c r="B921" s="1">
        <v>44860</v>
      </c>
      <c r="C921" t="s">
        <v>14</v>
      </c>
      <c r="D921" t="s">
        <v>23</v>
      </c>
      <c r="E921">
        <v>135650.10999999999</v>
      </c>
      <c r="F921">
        <v>36</v>
      </c>
      <c r="G921" t="s">
        <v>16</v>
      </c>
      <c r="H921">
        <v>3764.74</v>
      </c>
      <c r="I921">
        <v>3793.97</v>
      </c>
      <c r="J921" t="s">
        <v>27</v>
      </c>
      <c r="K921">
        <v>0.01</v>
      </c>
      <c r="L921" t="s">
        <v>28</v>
      </c>
      <c r="M921" t="s">
        <v>21</v>
      </c>
    </row>
    <row r="922" spans="1:13" x14ac:dyDescent="0.35">
      <c r="A922">
        <v>1060</v>
      </c>
      <c r="B922" s="1">
        <v>44860</v>
      </c>
      <c r="C922" t="s">
        <v>29</v>
      </c>
      <c r="D922" t="s">
        <v>30</v>
      </c>
      <c r="E922">
        <v>4474.01</v>
      </c>
      <c r="F922">
        <v>1</v>
      </c>
      <c r="G922" t="s">
        <v>31</v>
      </c>
      <c r="H922">
        <v>2098.91</v>
      </c>
      <c r="I922">
        <v>5202.34</v>
      </c>
      <c r="J922" t="s">
        <v>17</v>
      </c>
      <c r="K922">
        <v>0.14000000000000001</v>
      </c>
      <c r="L922" t="s">
        <v>28</v>
      </c>
      <c r="M922" t="s">
        <v>21</v>
      </c>
    </row>
    <row r="923" spans="1:13" x14ac:dyDescent="0.35">
      <c r="A923">
        <v>1089</v>
      </c>
      <c r="B923" s="1">
        <v>44860</v>
      </c>
      <c r="C923" t="s">
        <v>29</v>
      </c>
      <c r="D923" t="s">
        <v>15</v>
      </c>
      <c r="E923">
        <v>46223.17</v>
      </c>
      <c r="F923">
        <v>28</v>
      </c>
      <c r="G923" t="s">
        <v>26</v>
      </c>
      <c r="H923">
        <v>629.70000000000005</v>
      </c>
      <c r="I923">
        <v>1942.15</v>
      </c>
      <c r="J923" t="s">
        <v>27</v>
      </c>
      <c r="K923">
        <v>0.15</v>
      </c>
      <c r="L923" t="s">
        <v>18</v>
      </c>
      <c r="M923" t="s">
        <v>19</v>
      </c>
    </row>
    <row r="924" spans="1:13" x14ac:dyDescent="0.35">
      <c r="A924">
        <v>1004</v>
      </c>
      <c r="B924" s="1">
        <v>44861</v>
      </c>
      <c r="C924" t="s">
        <v>32</v>
      </c>
      <c r="D924" t="s">
        <v>20</v>
      </c>
      <c r="E924">
        <v>65207.4</v>
      </c>
      <c r="F924">
        <v>24</v>
      </c>
      <c r="G924" t="s">
        <v>16</v>
      </c>
      <c r="H924">
        <v>2274.19</v>
      </c>
      <c r="I924">
        <v>2717.34</v>
      </c>
      <c r="J924" t="s">
        <v>27</v>
      </c>
      <c r="K924">
        <v>0</v>
      </c>
      <c r="L924" t="s">
        <v>28</v>
      </c>
      <c r="M924" t="s">
        <v>19</v>
      </c>
    </row>
    <row r="925" spans="1:13" x14ac:dyDescent="0.35">
      <c r="A925">
        <v>1080</v>
      </c>
      <c r="B925" s="1">
        <v>44861</v>
      </c>
      <c r="C925" t="s">
        <v>32</v>
      </c>
      <c r="D925" t="s">
        <v>15</v>
      </c>
      <c r="E925">
        <v>142421.93</v>
      </c>
      <c r="F925">
        <v>33</v>
      </c>
      <c r="G925" t="s">
        <v>16</v>
      </c>
      <c r="H925">
        <v>1672.52</v>
      </c>
      <c r="I925">
        <v>5394.77</v>
      </c>
      <c r="J925" t="s">
        <v>17</v>
      </c>
      <c r="K925">
        <v>0.2</v>
      </c>
      <c r="L925" t="s">
        <v>25</v>
      </c>
      <c r="M925" t="s">
        <v>21</v>
      </c>
    </row>
    <row r="926" spans="1:13" x14ac:dyDescent="0.35">
      <c r="A926">
        <v>1067</v>
      </c>
      <c r="B926" s="1">
        <v>44862</v>
      </c>
      <c r="C926" t="s">
        <v>33</v>
      </c>
      <c r="D926" t="s">
        <v>23</v>
      </c>
      <c r="E926">
        <v>46843.42</v>
      </c>
      <c r="F926">
        <v>10</v>
      </c>
      <c r="G926" t="s">
        <v>26</v>
      </c>
      <c r="H926">
        <v>3938.8</v>
      </c>
      <c r="I926">
        <v>4750.68</v>
      </c>
      <c r="J926" t="s">
        <v>17</v>
      </c>
      <c r="K926">
        <v>0.01</v>
      </c>
      <c r="L926" t="s">
        <v>28</v>
      </c>
      <c r="M926" t="s">
        <v>21</v>
      </c>
    </row>
    <row r="927" spans="1:13" x14ac:dyDescent="0.35">
      <c r="A927">
        <v>1088</v>
      </c>
      <c r="B927" s="1">
        <v>44862</v>
      </c>
      <c r="C927" t="s">
        <v>14</v>
      </c>
      <c r="D927" t="s">
        <v>15</v>
      </c>
      <c r="E927">
        <v>93767.67</v>
      </c>
      <c r="F927">
        <v>28</v>
      </c>
      <c r="G927" t="s">
        <v>31</v>
      </c>
      <c r="H927">
        <v>1435.49</v>
      </c>
      <c r="I927">
        <v>3680.05</v>
      </c>
      <c r="J927" t="s">
        <v>27</v>
      </c>
      <c r="K927">
        <v>0.09</v>
      </c>
      <c r="L927" t="s">
        <v>18</v>
      </c>
      <c r="M927" t="s">
        <v>19</v>
      </c>
    </row>
    <row r="928" spans="1:13" x14ac:dyDescent="0.35">
      <c r="A928">
        <v>1100</v>
      </c>
      <c r="B928" s="1">
        <v>44862</v>
      </c>
      <c r="C928" t="s">
        <v>33</v>
      </c>
      <c r="D928" t="s">
        <v>30</v>
      </c>
      <c r="E928">
        <v>60675.44</v>
      </c>
      <c r="F928">
        <v>14</v>
      </c>
      <c r="G928" t="s">
        <v>16</v>
      </c>
      <c r="H928">
        <v>113.9</v>
      </c>
      <c r="I928">
        <v>4333.96</v>
      </c>
      <c r="J928" t="s">
        <v>17</v>
      </c>
      <c r="K928">
        <v>0</v>
      </c>
      <c r="L928" t="s">
        <v>18</v>
      </c>
      <c r="M928" t="s">
        <v>21</v>
      </c>
    </row>
    <row r="929" spans="1:13" x14ac:dyDescent="0.35">
      <c r="A929">
        <v>1078</v>
      </c>
      <c r="B929" s="1">
        <v>44862</v>
      </c>
      <c r="C929" t="s">
        <v>33</v>
      </c>
      <c r="D929" t="s">
        <v>23</v>
      </c>
      <c r="E929">
        <v>106425.34</v>
      </c>
      <c r="F929">
        <v>28</v>
      </c>
      <c r="G929" t="s">
        <v>26</v>
      </c>
      <c r="H929">
        <v>261.2</v>
      </c>
      <c r="I929">
        <v>4635.25</v>
      </c>
      <c r="J929" t="s">
        <v>27</v>
      </c>
      <c r="K929">
        <v>0.18</v>
      </c>
      <c r="L929" t="s">
        <v>28</v>
      </c>
      <c r="M929" t="s">
        <v>19</v>
      </c>
    </row>
    <row r="930" spans="1:13" x14ac:dyDescent="0.35">
      <c r="A930">
        <v>1061</v>
      </c>
      <c r="B930" s="1">
        <v>44863</v>
      </c>
      <c r="C930" t="s">
        <v>29</v>
      </c>
      <c r="D930" t="s">
        <v>23</v>
      </c>
      <c r="E930">
        <v>9961.99</v>
      </c>
      <c r="F930">
        <v>9</v>
      </c>
      <c r="G930" t="s">
        <v>31</v>
      </c>
      <c r="H930">
        <v>531.92999999999995</v>
      </c>
      <c r="I930">
        <v>1475.85</v>
      </c>
      <c r="J930" t="s">
        <v>27</v>
      </c>
      <c r="K930">
        <v>0.25</v>
      </c>
      <c r="L930" t="s">
        <v>25</v>
      </c>
      <c r="M930" t="s">
        <v>21</v>
      </c>
    </row>
    <row r="931" spans="1:13" x14ac:dyDescent="0.35">
      <c r="A931">
        <v>1022</v>
      </c>
      <c r="B931" s="1">
        <v>44863</v>
      </c>
      <c r="C931" t="s">
        <v>14</v>
      </c>
      <c r="D931" t="s">
        <v>23</v>
      </c>
      <c r="E931">
        <v>148418.9</v>
      </c>
      <c r="F931">
        <v>28</v>
      </c>
      <c r="G931" t="s">
        <v>24</v>
      </c>
      <c r="H931">
        <v>4130.8900000000003</v>
      </c>
      <c r="I931">
        <v>5482.15</v>
      </c>
      <c r="J931" t="s">
        <v>27</v>
      </c>
      <c r="K931">
        <v>0.03</v>
      </c>
      <c r="L931" t="s">
        <v>25</v>
      </c>
      <c r="M931" t="s">
        <v>19</v>
      </c>
    </row>
    <row r="932" spans="1:13" x14ac:dyDescent="0.35">
      <c r="A932">
        <v>1011</v>
      </c>
      <c r="B932" s="1">
        <v>44865</v>
      </c>
      <c r="C932" t="s">
        <v>22</v>
      </c>
      <c r="D932" t="s">
        <v>15</v>
      </c>
      <c r="E932">
        <v>70816.23</v>
      </c>
      <c r="F932">
        <v>21</v>
      </c>
      <c r="G932" t="s">
        <v>26</v>
      </c>
      <c r="H932">
        <v>3334.08</v>
      </c>
      <c r="I932">
        <v>3512.71</v>
      </c>
      <c r="J932" t="s">
        <v>27</v>
      </c>
      <c r="K932">
        <v>0.04</v>
      </c>
      <c r="L932" t="s">
        <v>25</v>
      </c>
      <c r="M932" t="s">
        <v>19</v>
      </c>
    </row>
    <row r="933" spans="1:13" x14ac:dyDescent="0.35">
      <c r="A933">
        <v>1049</v>
      </c>
      <c r="B933" s="1">
        <v>44865</v>
      </c>
      <c r="C933" t="s">
        <v>33</v>
      </c>
      <c r="D933" t="s">
        <v>15</v>
      </c>
      <c r="E933">
        <v>239423.94</v>
      </c>
      <c r="F933">
        <v>46</v>
      </c>
      <c r="G933" t="s">
        <v>31</v>
      </c>
      <c r="H933">
        <v>4000.96</v>
      </c>
      <c r="I933">
        <v>5311.09</v>
      </c>
      <c r="J933" t="s">
        <v>27</v>
      </c>
      <c r="K933">
        <v>0.02</v>
      </c>
      <c r="L933" t="s">
        <v>25</v>
      </c>
      <c r="M933" t="s">
        <v>21</v>
      </c>
    </row>
    <row r="934" spans="1:13" x14ac:dyDescent="0.35">
      <c r="A934">
        <v>1013</v>
      </c>
      <c r="B934" s="1">
        <v>44865</v>
      </c>
      <c r="C934" t="s">
        <v>22</v>
      </c>
      <c r="D934" t="s">
        <v>30</v>
      </c>
      <c r="E934">
        <v>124679.58</v>
      </c>
      <c r="F934">
        <v>24</v>
      </c>
      <c r="G934" t="s">
        <v>24</v>
      </c>
      <c r="H934">
        <v>2886.51</v>
      </c>
      <c r="I934">
        <v>5411.44</v>
      </c>
      <c r="J934" t="s">
        <v>17</v>
      </c>
      <c r="K934">
        <v>0.04</v>
      </c>
      <c r="L934" t="s">
        <v>28</v>
      </c>
      <c r="M934" t="s">
        <v>21</v>
      </c>
    </row>
    <row r="935" spans="1:13" x14ac:dyDescent="0.35">
      <c r="A935">
        <v>1003</v>
      </c>
      <c r="B935" s="1">
        <v>44866</v>
      </c>
      <c r="C935" t="s">
        <v>33</v>
      </c>
      <c r="D935" t="s">
        <v>15</v>
      </c>
      <c r="E935">
        <v>43304.32</v>
      </c>
      <c r="F935">
        <v>13</v>
      </c>
      <c r="G935" t="s">
        <v>26</v>
      </c>
      <c r="H935">
        <v>2728.93</v>
      </c>
      <c r="I935">
        <v>3581.83</v>
      </c>
      <c r="J935" t="s">
        <v>27</v>
      </c>
      <c r="K935">
        <v>7.0000000000000007E-2</v>
      </c>
      <c r="L935" t="s">
        <v>18</v>
      </c>
      <c r="M935" t="s">
        <v>21</v>
      </c>
    </row>
    <row r="936" spans="1:13" x14ac:dyDescent="0.35">
      <c r="A936">
        <v>1005</v>
      </c>
      <c r="B936" s="1">
        <v>44866</v>
      </c>
      <c r="C936" t="s">
        <v>33</v>
      </c>
      <c r="D936" t="s">
        <v>30</v>
      </c>
      <c r="E936">
        <v>169959.74</v>
      </c>
      <c r="F936">
        <v>42</v>
      </c>
      <c r="G936" t="s">
        <v>24</v>
      </c>
      <c r="H936">
        <v>1476.93</v>
      </c>
      <c r="I936">
        <v>5468.46</v>
      </c>
      <c r="J936" t="s">
        <v>27</v>
      </c>
      <c r="K936">
        <v>0.26</v>
      </c>
      <c r="L936" t="s">
        <v>28</v>
      </c>
      <c r="M936" t="s">
        <v>21</v>
      </c>
    </row>
    <row r="937" spans="1:13" x14ac:dyDescent="0.35">
      <c r="A937">
        <v>1005</v>
      </c>
      <c r="B937" s="1">
        <v>44867</v>
      </c>
      <c r="C937" t="s">
        <v>22</v>
      </c>
      <c r="D937" t="s">
        <v>20</v>
      </c>
      <c r="E937">
        <v>13098.83</v>
      </c>
      <c r="F937">
        <v>13</v>
      </c>
      <c r="G937" t="s">
        <v>26</v>
      </c>
      <c r="H937">
        <v>1001.38</v>
      </c>
      <c r="I937">
        <v>1343.47</v>
      </c>
      <c r="J937" t="s">
        <v>17</v>
      </c>
      <c r="K937">
        <v>0.25</v>
      </c>
      <c r="L937" t="s">
        <v>25</v>
      </c>
      <c r="M937" t="s">
        <v>19</v>
      </c>
    </row>
    <row r="938" spans="1:13" x14ac:dyDescent="0.35">
      <c r="A938">
        <v>1054</v>
      </c>
      <c r="B938" s="1">
        <v>44867</v>
      </c>
      <c r="C938" t="s">
        <v>29</v>
      </c>
      <c r="D938" t="s">
        <v>30</v>
      </c>
      <c r="E938">
        <v>89421.23</v>
      </c>
      <c r="F938">
        <v>18</v>
      </c>
      <c r="G938" t="s">
        <v>31</v>
      </c>
      <c r="H938">
        <v>4944.2700000000004</v>
      </c>
      <c r="I938">
        <v>5157.32</v>
      </c>
      <c r="J938" t="s">
        <v>27</v>
      </c>
      <c r="K938">
        <v>0.04</v>
      </c>
      <c r="L938" t="s">
        <v>18</v>
      </c>
      <c r="M938" t="s">
        <v>19</v>
      </c>
    </row>
    <row r="939" spans="1:13" x14ac:dyDescent="0.35">
      <c r="A939">
        <v>1057</v>
      </c>
      <c r="B939" s="1">
        <v>44867</v>
      </c>
      <c r="C939" t="s">
        <v>33</v>
      </c>
      <c r="D939" t="s">
        <v>30</v>
      </c>
      <c r="E939">
        <v>22867.98</v>
      </c>
      <c r="F939">
        <v>25</v>
      </c>
      <c r="G939" t="s">
        <v>26</v>
      </c>
      <c r="H939">
        <v>428.55</v>
      </c>
      <c r="I939">
        <v>1253.04</v>
      </c>
      <c r="J939" t="s">
        <v>17</v>
      </c>
      <c r="K939">
        <v>0.27</v>
      </c>
      <c r="L939" t="s">
        <v>28</v>
      </c>
      <c r="M939" t="s">
        <v>21</v>
      </c>
    </row>
    <row r="940" spans="1:13" x14ac:dyDescent="0.35">
      <c r="A940">
        <v>1096</v>
      </c>
      <c r="B940" s="1">
        <v>44867</v>
      </c>
      <c r="C940" t="s">
        <v>33</v>
      </c>
      <c r="D940" t="s">
        <v>23</v>
      </c>
      <c r="E940">
        <v>157697.93</v>
      </c>
      <c r="F940">
        <v>50</v>
      </c>
      <c r="G940" t="s">
        <v>31</v>
      </c>
      <c r="H940">
        <v>2377.17</v>
      </c>
      <c r="I940">
        <v>4096.05</v>
      </c>
      <c r="J940" t="s">
        <v>27</v>
      </c>
      <c r="K940">
        <v>0.23</v>
      </c>
      <c r="L940" t="s">
        <v>25</v>
      </c>
      <c r="M940" t="s">
        <v>21</v>
      </c>
    </row>
    <row r="941" spans="1:13" x14ac:dyDescent="0.35">
      <c r="A941">
        <v>1039</v>
      </c>
      <c r="B941" s="1">
        <v>44869</v>
      </c>
      <c r="C941" t="s">
        <v>32</v>
      </c>
      <c r="D941" t="s">
        <v>20</v>
      </c>
      <c r="E941">
        <v>38239.03</v>
      </c>
      <c r="F941">
        <v>24</v>
      </c>
      <c r="G941" t="s">
        <v>24</v>
      </c>
      <c r="H941">
        <v>676.81</v>
      </c>
      <c r="I941">
        <v>1919.63</v>
      </c>
      <c r="J941" t="s">
        <v>27</v>
      </c>
      <c r="K941">
        <v>0.17</v>
      </c>
      <c r="L941" t="s">
        <v>28</v>
      </c>
      <c r="M941" t="s">
        <v>19</v>
      </c>
    </row>
    <row r="942" spans="1:13" x14ac:dyDescent="0.35">
      <c r="A942">
        <v>1042</v>
      </c>
      <c r="B942" s="1">
        <v>44869</v>
      </c>
      <c r="C942" t="s">
        <v>22</v>
      </c>
      <c r="D942" t="s">
        <v>23</v>
      </c>
      <c r="E942">
        <v>201171.25</v>
      </c>
      <c r="F942">
        <v>40</v>
      </c>
      <c r="G942" t="s">
        <v>31</v>
      </c>
      <c r="H942">
        <v>2017.78</v>
      </c>
      <c r="I942">
        <v>5466.61</v>
      </c>
      <c r="J942" t="s">
        <v>27</v>
      </c>
      <c r="K942">
        <v>0.08</v>
      </c>
      <c r="L942" t="s">
        <v>18</v>
      </c>
      <c r="M942" t="s">
        <v>19</v>
      </c>
    </row>
    <row r="943" spans="1:13" x14ac:dyDescent="0.35">
      <c r="A943">
        <v>1035</v>
      </c>
      <c r="B943" s="1">
        <v>44870</v>
      </c>
      <c r="C943" t="s">
        <v>22</v>
      </c>
      <c r="D943" t="s">
        <v>20</v>
      </c>
      <c r="E943">
        <v>5282.54</v>
      </c>
      <c r="F943">
        <v>1</v>
      </c>
      <c r="G943" t="s">
        <v>26</v>
      </c>
      <c r="H943">
        <v>4918.33</v>
      </c>
      <c r="I943">
        <v>5396.42</v>
      </c>
      <c r="J943" t="s">
        <v>27</v>
      </c>
      <c r="K943">
        <v>0.02</v>
      </c>
      <c r="L943" t="s">
        <v>28</v>
      </c>
      <c r="M943" t="s">
        <v>21</v>
      </c>
    </row>
    <row r="944" spans="1:13" x14ac:dyDescent="0.35">
      <c r="A944">
        <v>1010</v>
      </c>
      <c r="B944" s="1">
        <v>44870</v>
      </c>
      <c r="C944" t="s">
        <v>22</v>
      </c>
      <c r="D944" t="s">
        <v>23</v>
      </c>
      <c r="E944">
        <v>147639.67000000001</v>
      </c>
      <c r="F944">
        <v>46</v>
      </c>
      <c r="G944" t="s">
        <v>26</v>
      </c>
      <c r="H944">
        <v>2297.86</v>
      </c>
      <c r="I944">
        <v>3488.65</v>
      </c>
      <c r="J944" t="s">
        <v>27</v>
      </c>
      <c r="K944">
        <v>0.08</v>
      </c>
      <c r="L944" t="s">
        <v>18</v>
      </c>
      <c r="M944" t="s">
        <v>19</v>
      </c>
    </row>
    <row r="945" spans="1:13" x14ac:dyDescent="0.35">
      <c r="A945">
        <v>1078</v>
      </c>
      <c r="B945" s="1">
        <v>44870</v>
      </c>
      <c r="C945" t="s">
        <v>22</v>
      </c>
      <c r="D945" t="s">
        <v>20</v>
      </c>
      <c r="E945">
        <v>96302.98</v>
      </c>
      <c r="F945">
        <v>32</v>
      </c>
      <c r="G945" t="s">
        <v>26</v>
      </c>
      <c r="H945">
        <v>346.94</v>
      </c>
      <c r="I945">
        <v>3582.7</v>
      </c>
      <c r="J945" t="s">
        <v>27</v>
      </c>
      <c r="K945">
        <v>0.16</v>
      </c>
      <c r="L945" t="s">
        <v>28</v>
      </c>
      <c r="M945" t="s">
        <v>21</v>
      </c>
    </row>
    <row r="946" spans="1:13" x14ac:dyDescent="0.35">
      <c r="A946">
        <v>1021</v>
      </c>
      <c r="B946" s="1">
        <v>44871</v>
      </c>
      <c r="C946" t="s">
        <v>32</v>
      </c>
      <c r="D946" t="s">
        <v>20</v>
      </c>
      <c r="E946">
        <v>161863.49</v>
      </c>
      <c r="F946">
        <v>40</v>
      </c>
      <c r="G946" t="s">
        <v>31</v>
      </c>
      <c r="H946">
        <v>4043.3</v>
      </c>
      <c r="I946">
        <v>4120.57</v>
      </c>
      <c r="J946" t="s">
        <v>17</v>
      </c>
      <c r="K946">
        <v>0.02</v>
      </c>
      <c r="L946" t="s">
        <v>18</v>
      </c>
      <c r="M946" t="s">
        <v>21</v>
      </c>
    </row>
    <row r="947" spans="1:13" x14ac:dyDescent="0.35">
      <c r="A947">
        <v>1001</v>
      </c>
      <c r="B947" s="1">
        <v>44871</v>
      </c>
      <c r="C947" t="s">
        <v>14</v>
      </c>
      <c r="D947" t="s">
        <v>20</v>
      </c>
      <c r="E947">
        <v>41548.980000000003</v>
      </c>
      <c r="F947">
        <v>11</v>
      </c>
      <c r="G947" t="s">
        <v>16</v>
      </c>
      <c r="H947">
        <v>3615.44</v>
      </c>
      <c r="I947">
        <v>5036.24</v>
      </c>
      <c r="J947" t="s">
        <v>27</v>
      </c>
      <c r="K947">
        <v>0.25</v>
      </c>
      <c r="L947" t="s">
        <v>18</v>
      </c>
      <c r="M947" t="s">
        <v>21</v>
      </c>
    </row>
    <row r="948" spans="1:13" x14ac:dyDescent="0.35">
      <c r="A948">
        <v>1056</v>
      </c>
      <c r="B948" s="1">
        <v>44871</v>
      </c>
      <c r="C948" t="s">
        <v>22</v>
      </c>
      <c r="D948" t="s">
        <v>30</v>
      </c>
      <c r="E948">
        <v>110428.13</v>
      </c>
      <c r="F948">
        <v>32</v>
      </c>
      <c r="G948" t="s">
        <v>31</v>
      </c>
      <c r="H948">
        <v>1673.52</v>
      </c>
      <c r="I948">
        <v>4012.65</v>
      </c>
      <c r="J948" t="s">
        <v>27</v>
      </c>
      <c r="K948">
        <v>0.14000000000000001</v>
      </c>
      <c r="L948" t="s">
        <v>25</v>
      </c>
      <c r="M948" t="s">
        <v>21</v>
      </c>
    </row>
    <row r="949" spans="1:13" x14ac:dyDescent="0.35">
      <c r="A949">
        <v>1076</v>
      </c>
      <c r="B949" s="1">
        <v>44871</v>
      </c>
      <c r="C949" t="s">
        <v>33</v>
      </c>
      <c r="D949" t="s">
        <v>30</v>
      </c>
      <c r="E949">
        <v>130915.02</v>
      </c>
      <c r="F949">
        <v>39</v>
      </c>
      <c r="G949" t="s">
        <v>16</v>
      </c>
      <c r="H949">
        <v>1144.04</v>
      </c>
      <c r="I949">
        <v>4536.21</v>
      </c>
      <c r="J949" t="s">
        <v>17</v>
      </c>
      <c r="K949">
        <v>0.26</v>
      </c>
      <c r="L949" t="s">
        <v>28</v>
      </c>
      <c r="M949" t="s">
        <v>19</v>
      </c>
    </row>
    <row r="950" spans="1:13" x14ac:dyDescent="0.35">
      <c r="A950">
        <v>1024</v>
      </c>
      <c r="B950" s="1">
        <v>44872</v>
      </c>
      <c r="C950" t="s">
        <v>29</v>
      </c>
      <c r="D950" t="s">
        <v>15</v>
      </c>
      <c r="E950">
        <v>3658.43</v>
      </c>
      <c r="F950">
        <v>1</v>
      </c>
      <c r="G950" t="s">
        <v>31</v>
      </c>
      <c r="H950">
        <v>3127.87</v>
      </c>
      <c r="I950">
        <v>3778.88</v>
      </c>
      <c r="J950" t="s">
        <v>17</v>
      </c>
      <c r="K950">
        <v>0.03</v>
      </c>
      <c r="L950" t="s">
        <v>28</v>
      </c>
      <c r="M950" t="s">
        <v>19</v>
      </c>
    </row>
    <row r="951" spans="1:13" x14ac:dyDescent="0.35">
      <c r="A951">
        <v>1095</v>
      </c>
      <c r="B951" s="1">
        <v>44872</v>
      </c>
      <c r="C951" t="s">
        <v>22</v>
      </c>
      <c r="D951" t="s">
        <v>30</v>
      </c>
      <c r="E951">
        <v>65390.44</v>
      </c>
      <c r="F951">
        <v>13</v>
      </c>
      <c r="G951" t="s">
        <v>24</v>
      </c>
      <c r="H951">
        <v>4672.87</v>
      </c>
      <c r="I951">
        <v>5241.0200000000004</v>
      </c>
      <c r="J951" t="s">
        <v>17</v>
      </c>
      <c r="K951">
        <v>0.04</v>
      </c>
      <c r="L951" t="s">
        <v>28</v>
      </c>
      <c r="M951" t="s">
        <v>21</v>
      </c>
    </row>
    <row r="952" spans="1:13" x14ac:dyDescent="0.35">
      <c r="A952">
        <v>1006</v>
      </c>
      <c r="B952" s="1">
        <v>44872</v>
      </c>
      <c r="C952" t="s">
        <v>33</v>
      </c>
      <c r="D952" t="s">
        <v>15</v>
      </c>
      <c r="E952">
        <v>6804.36</v>
      </c>
      <c r="F952">
        <v>3</v>
      </c>
      <c r="G952" t="s">
        <v>26</v>
      </c>
      <c r="H952">
        <v>670.96</v>
      </c>
      <c r="I952">
        <v>2438.84</v>
      </c>
      <c r="J952" t="s">
        <v>17</v>
      </c>
      <c r="K952">
        <v>7.0000000000000007E-2</v>
      </c>
      <c r="L952" t="s">
        <v>25</v>
      </c>
      <c r="M952" t="s">
        <v>19</v>
      </c>
    </row>
    <row r="953" spans="1:13" x14ac:dyDescent="0.35">
      <c r="A953">
        <v>1090</v>
      </c>
      <c r="B953" s="1">
        <v>44872</v>
      </c>
      <c r="C953" t="s">
        <v>33</v>
      </c>
      <c r="D953" t="s">
        <v>23</v>
      </c>
      <c r="E953">
        <v>38721.089999999997</v>
      </c>
      <c r="F953">
        <v>12</v>
      </c>
      <c r="G953" t="s">
        <v>26</v>
      </c>
      <c r="H953">
        <v>1668.15</v>
      </c>
      <c r="I953">
        <v>3292.61</v>
      </c>
      <c r="J953" t="s">
        <v>27</v>
      </c>
      <c r="K953">
        <v>0.02</v>
      </c>
      <c r="L953" t="s">
        <v>28</v>
      </c>
      <c r="M953" t="s">
        <v>21</v>
      </c>
    </row>
    <row r="954" spans="1:13" x14ac:dyDescent="0.35">
      <c r="A954">
        <v>1031</v>
      </c>
      <c r="B954" s="1">
        <v>44872</v>
      </c>
      <c r="C954" t="s">
        <v>14</v>
      </c>
      <c r="D954" t="s">
        <v>30</v>
      </c>
      <c r="E954">
        <v>123470.75</v>
      </c>
      <c r="F954">
        <v>30</v>
      </c>
      <c r="G954" t="s">
        <v>31</v>
      </c>
      <c r="H954">
        <v>1392.47</v>
      </c>
      <c r="I954">
        <v>4841.99</v>
      </c>
      <c r="J954" t="s">
        <v>17</v>
      </c>
      <c r="K954">
        <v>0.15</v>
      </c>
      <c r="L954" t="s">
        <v>28</v>
      </c>
      <c r="M954" t="s">
        <v>21</v>
      </c>
    </row>
    <row r="955" spans="1:13" x14ac:dyDescent="0.35">
      <c r="A955">
        <v>1081</v>
      </c>
      <c r="B955" s="1">
        <v>44874</v>
      </c>
      <c r="C955" t="s">
        <v>14</v>
      </c>
      <c r="D955" t="s">
        <v>20</v>
      </c>
      <c r="E955">
        <v>48034.21</v>
      </c>
      <c r="F955">
        <v>29</v>
      </c>
      <c r="G955" t="s">
        <v>26</v>
      </c>
      <c r="H955">
        <v>1573.5</v>
      </c>
      <c r="I955">
        <v>2332.89</v>
      </c>
      <c r="J955" t="s">
        <v>17</v>
      </c>
      <c r="K955">
        <v>0.28999999999999998</v>
      </c>
      <c r="L955" t="s">
        <v>25</v>
      </c>
      <c r="M955" t="s">
        <v>21</v>
      </c>
    </row>
    <row r="956" spans="1:13" x14ac:dyDescent="0.35">
      <c r="A956">
        <v>1028</v>
      </c>
      <c r="B956" s="1">
        <v>44874</v>
      </c>
      <c r="C956" t="s">
        <v>32</v>
      </c>
      <c r="D956" t="s">
        <v>30</v>
      </c>
      <c r="E956">
        <v>93297.57</v>
      </c>
      <c r="F956">
        <v>26</v>
      </c>
      <c r="G956" t="s">
        <v>24</v>
      </c>
      <c r="H956">
        <v>3148.69</v>
      </c>
      <c r="I956">
        <v>3900.4</v>
      </c>
      <c r="J956" t="s">
        <v>27</v>
      </c>
      <c r="K956">
        <v>0.08</v>
      </c>
      <c r="L956" t="s">
        <v>18</v>
      </c>
      <c r="M956" t="s">
        <v>21</v>
      </c>
    </row>
    <row r="957" spans="1:13" x14ac:dyDescent="0.35">
      <c r="A957">
        <v>1038</v>
      </c>
      <c r="B957" s="1">
        <v>44874</v>
      </c>
      <c r="C957" t="s">
        <v>22</v>
      </c>
      <c r="D957" t="s">
        <v>15</v>
      </c>
      <c r="E957">
        <v>67822.179999999993</v>
      </c>
      <c r="F957">
        <v>17</v>
      </c>
      <c r="G957" t="s">
        <v>31</v>
      </c>
      <c r="H957">
        <v>1717.18</v>
      </c>
      <c r="I957">
        <v>5391.27</v>
      </c>
      <c r="J957" t="s">
        <v>27</v>
      </c>
      <c r="K957">
        <v>0.26</v>
      </c>
      <c r="L957" t="s">
        <v>25</v>
      </c>
      <c r="M957" t="s">
        <v>21</v>
      </c>
    </row>
    <row r="958" spans="1:13" x14ac:dyDescent="0.35">
      <c r="A958">
        <v>1072</v>
      </c>
      <c r="B958" s="1">
        <v>44874</v>
      </c>
      <c r="C958" t="s">
        <v>29</v>
      </c>
      <c r="D958" t="s">
        <v>30</v>
      </c>
      <c r="E958">
        <v>106645.25</v>
      </c>
      <c r="F958">
        <v>35</v>
      </c>
      <c r="G958" t="s">
        <v>16</v>
      </c>
      <c r="H958">
        <v>1243.5</v>
      </c>
      <c r="I958">
        <v>4009.22</v>
      </c>
      <c r="J958" t="s">
        <v>17</v>
      </c>
      <c r="K958">
        <v>0.24</v>
      </c>
      <c r="L958" t="s">
        <v>18</v>
      </c>
      <c r="M958" t="s">
        <v>19</v>
      </c>
    </row>
    <row r="959" spans="1:13" x14ac:dyDescent="0.35">
      <c r="A959">
        <v>1094</v>
      </c>
      <c r="B959" s="1">
        <v>44875</v>
      </c>
      <c r="C959" t="s">
        <v>29</v>
      </c>
      <c r="D959" t="s">
        <v>23</v>
      </c>
      <c r="E959">
        <v>44204.89</v>
      </c>
      <c r="F959">
        <v>14</v>
      </c>
      <c r="G959" t="s">
        <v>26</v>
      </c>
      <c r="H959">
        <v>3148.45</v>
      </c>
      <c r="I959">
        <v>3197.35</v>
      </c>
      <c r="J959" t="s">
        <v>27</v>
      </c>
      <c r="K959">
        <v>0.01</v>
      </c>
      <c r="L959" t="s">
        <v>28</v>
      </c>
      <c r="M959" t="s">
        <v>19</v>
      </c>
    </row>
    <row r="960" spans="1:13" x14ac:dyDescent="0.35">
      <c r="A960">
        <v>1072</v>
      </c>
      <c r="B960" s="1">
        <v>44875</v>
      </c>
      <c r="C960" t="s">
        <v>14</v>
      </c>
      <c r="D960" t="s">
        <v>15</v>
      </c>
      <c r="E960">
        <v>26749.439999999999</v>
      </c>
      <c r="F960">
        <v>36</v>
      </c>
      <c r="G960" t="s">
        <v>24</v>
      </c>
      <c r="H960">
        <v>493.36</v>
      </c>
      <c r="I960">
        <v>774</v>
      </c>
      <c r="J960" t="s">
        <v>27</v>
      </c>
      <c r="K960">
        <v>0.04</v>
      </c>
      <c r="L960" t="s">
        <v>25</v>
      </c>
      <c r="M960" t="s">
        <v>19</v>
      </c>
    </row>
    <row r="961" spans="1:13" x14ac:dyDescent="0.35">
      <c r="A961">
        <v>1050</v>
      </c>
      <c r="B961" s="1">
        <v>44875</v>
      </c>
      <c r="C961" t="s">
        <v>32</v>
      </c>
      <c r="D961" t="s">
        <v>15</v>
      </c>
      <c r="E961">
        <v>113165.95</v>
      </c>
      <c r="F961">
        <v>29</v>
      </c>
      <c r="G961" t="s">
        <v>31</v>
      </c>
      <c r="H961">
        <v>3279.21</v>
      </c>
      <c r="I961">
        <v>4335.8599999999997</v>
      </c>
      <c r="J961" t="s">
        <v>27</v>
      </c>
      <c r="K961">
        <v>0.1</v>
      </c>
      <c r="L961" t="s">
        <v>18</v>
      </c>
      <c r="M961" t="s">
        <v>21</v>
      </c>
    </row>
    <row r="962" spans="1:13" x14ac:dyDescent="0.35">
      <c r="A962">
        <v>1036</v>
      </c>
      <c r="B962" s="1">
        <v>44875</v>
      </c>
      <c r="C962" t="s">
        <v>14</v>
      </c>
      <c r="D962" t="s">
        <v>23</v>
      </c>
      <c r="E962">
        <v>105861.89</v>
      </c>
      <c r="F962">
        <v>33</v>
      </c>
      <c r="G962" t="s">
        <v>24</v>
      </c>
      <c r="H962">
        <v>1306.55</v>
      </c>
      <c r="I962">
        <v>4518.22</v>
      </c>
      <c r="J962" t="s">
        <v>27</v>
      </c>
      <c r="K962">
        <v>0.28999999999999998</v>
      </c>
      <c r="L962" t="s">
        <v>25</v>
      </c>
      <c r="M962" t="s">
        <v>19</v>
      </c>
    </row>
    <row r="963" spans="1:13" x14ac:dyDescent="0.35">
      <c r="A963">
        <v>1067</v>
      </c>
      <c r="B963" s="1">
        <v>44876</v>
      </c>
      <c r="C963" t="s">
        <v>22</v>
      </c>
      <c r="D963" t="s">
        <v>20</v>
      </c>
      <c r="E963">
        <v>9208.7900000000009</v>
      </c>
      <c r="F963">
        <v>2</v>
      </c>
      <c r="G963" t="s">
        <v>24</v>
      </c>
      <c r="H963">
        <v>3389.44</v>
      </c>
      <c r="I963">
        <v>4950.96</v>
      </c>
      <c r="J963" t="s">
        <v>17</v>
      </c>
      <c r="K963">
        <v>7.0000000000000007E-2</v>
      </c>
      <c r="L963" t="s">
        <v>18</v>
      </c>
      <c r="M963" t="s">
        <v>19</v>
      </c>
    </row>
    <row r="964" spans="1:13" x14ac:dyDescent="0.35">
      <c r="A964">
        <v>1008</v>
      </c>
      <c r="B964" s="1">
        <v>44876</v>
      </c>
      <c r="C964" t="s">
        <v>22</v>
      </c>
      <c r="D964" t="s">
        <v>15</v>
      </c>
      <c r="E964">
        <v>75154.28</v>
      </c>
      <c r="F964">
        <v>25</v>
      </c>
      <c r="G964" t="s">
        <v>31</v>
      </c>
      <c r="H964">
        <v>2722.69</v>
      </c>
      <c r="I964">
        <v>3124.85</v>
      </c>
      <c r="J964" t="s">
        <v>27</v>
      </c>
      <c r="K964">
        <v>0.04</v>
      </c>
      <c r="L964" t="s">
        <v>18</v>
      </c>
      <c r="M964" t="s">
        <v>21</v>
      </c>
    </row>
    <row r="965" spans="1:13" x14ac:dyDescent="0.35">
      <c r="A965">
        <v>1087</v>
      </c>
      <c r="B965" s="1">
        <v>44876</v>
      </c>
      <c r="C965" t="s">
        <v>29</v>
      </c>
      <c r="D965" t="s">
        <v>23</v>
      </c>
      <c r="E965">
        <v>68251.28</v>
      </c>
      <c r="F965">
        <v>27</v>
      </c>
      <c r="G965" t="s">
        <v>24</v>
      </c>
      <c r="H965">
        <v>700.77</v>
      </c>
      <c r="I965">
        <v>3282.89</v>
      </c>
      <c r="J965" t="s">
        <v>27</v>
      </c>
      <c r="K965">
        <v>0.23</v>
      </c>
      <c r="L965" t="s">
        <v>25</v>
      </c>
      <c r="M965" t="s">
        <v>19</v>
      </c>
    </row>
    <row r="966" spans="1:13" x14ac:dyDescent="0.35">
      <c r="A966">
        <v>1035</v>
      </c>
      <c r="B966" s="1">
        <v>44876</v>
      </c>
      <c r="C966" t="s">
        <v>29</v>
      </c>
      <c r="D966" t="s">
        <v>23</v>
      </c>
      <c r="E966">
        <v>87957.11</v>
      </c>
      <c r="F966">
        <v>25</v>
      </c>
      <c r="G966" t="s">
        <v>24</v>
      </c>
      <c r="H966">
        <v>287.97000000000003</v>
      </c>
      <c r="I966">
        <v>4955.33</v>
      </c>
      <c r="J966" t="s">
        <v>27</v>
      </c>
      <c r="K966">
        <v>0.28999999999999998</v>
      </c>
      <c r="L966" t="s">
        <v>28</v>
      </c>
      <c r="M966" t="s">
        <v>19</v>
      </c>
    </row>
    <row r="967" spans="1:13" x14ac:dyDescent="0.35">
      <c r="A967">
        <v>1066</v>
      </c>
      <c r="B967" s="1">
        <v>44877</v>
      </c>
      <c r="C967" t="s">
        <v>32</v>
      </c>
      <c r="D967" t="s">
        <v>23</v>
      </c>
      <c r="E967">
        <v>14549.19</v>
      </c>
      <c r="F967">
        <v>4</v>
      </c>
      <c r="G967" t="s">
        <v>24</v>
      </c>
      <c r="H967">
        <v>2943.11</v>
      </c>
      <c r="I967">
        <v>3787.44</v>
      </c>
      <c r="J967" t="s">
        <v>17</v>
      </c>
      <c r="K967">
        <v>0.04</v>
      </c>
      <c r="L967" t="s">
        <v>18</v>
      </c>
      <c r="M967" t="s">
        <v>19</v>
      </c>
    </row>
    <row r="968" spans="1:13" x14ac:dyDescent="0.35">
      <c r="A968">
        <v>1003</v>
      </c>
      <c r="B968" s="1">
        <v>44877</v>
      </c>
      <c r="C968" t="s">
        <v>33</v>
      </c>
      <c r="D968" t="s">
        <v>30</v>
      </c>
      <c r="E968">
        <v>130052.52</v>
      </c>
      <c r="F968">
        <v>47</v>
      </c>
      <c r="G968" t="s">
        <v>24</v>
      </c>
      <c r="H968">
        <v>2467.5500000000002</v>
      </c>
      <c r="I968">
        <v>3007.69</v>
      </c>
      <c r="J968" t="s">
        <v>27</v>
      </c>
      <c r="K968">
        <v>0.08</v>
      </c>
      <c r="L968" t="s">
        <v>28</v>
      </c>
      <c r="M968" t="s">
        <v>19</v>
      </c>
    </row>
    <row r="969" spans="1:13" x14ac:dyDescent="0.35">
      <c r="A969">
        <v>1020</v>
      </c>
      <c r="B969" s="1">
        <v>44877</v>
      </c>
      <c r="C969" t="s">
        <v>14</v>
      </c>
      <c r="D969" t="s">
        <v>23</v>
      </c>
      <c r="E969">
        <v>67472.929999999993</v>
      </c>
      <c r="F969">
        <v>16</v>
      </c>
      <c r="G969" t="s">
        <v>16</v>
      </c>
      <c r="H969">
        <v>452.17</v>
      </c>
      <c r="I969">
        <v>4685.62</v>
      </c>
      <c r="J969" t="s">
        <v>17</v>
      </c>
      <c r="K969">
        <v>0.1</v>
      </c>
      <c r="L969" t="s">
        <v>18</v>
      </c>
      <c r="M969" t="s">
        <v>19</v>
      </c>
    </row>
    <row r="970" spans="1:13" x14ac:dyDescent="0.35">
      <c r="A970">
        <v>1072</v>
      </c>
      <c r="B970" s="1">
        <v>44877</v>
      </c>
      <c r="C970" t="s">
        <v>33</v>
      </c>
      <c r="D970" t="s">
        <v>30</v>
      </c>
      <c r="E970">
        <v>108206.88</v>
      </c>
      <c r="F970">
        <v>26</v>
      </c>
      <c r="G970" t="s">
        <v>26</v>
      </c>
      <c r="H970">
        <v>1601.84</v>
      </c>
      <c r="I970">
        <v>4573.41</v>
      </c>
      <c r="J970" t="s">
        <v>17</v>
      </c>
      <c r="K970">
        <v>0.09</v>
      </c>
      <c r="L970" t="s">
        <v>28</v>
      </c>
      <c r="M970" t="s">
        <v>19</v>
      </c>
    </row>
    <row r="971" spans="1:13" x14ac:dyDescent="0.35">
      <c r="A971">
        <v>1029</v>
      </c>
      <c r="B971" s="1">
        <v>44878</v>
      </c>
      <c r="C971" t="s">
        <v>33</v>
      </c>
      <c r="D971" t="s">
        <v>30</v>
      </c>
      <c r="E971">
        <v>115614.68</v>
      </c>
      <c r="F971">
        <v>45</v>
      </c>
      <c r="G971" t="s">
        <v>31</v>
      </c>
      <c r="H971">
        <v>2464.13</v>
      </c>
      <c r="I971">
        <v>3095.44</v>
      </c>
      <c r="J971" t="s">
        <v>17</v>
      </c>
      <c r="K971">
        <v>0.17</v>
      </c>
      <c r="L971" t="s">
        <v>18</v>
      </c>
      <c r="M971" t="s">
        <v>19</v>
      </c>
    </row>
    <row r="972" spans="1:13" x14ac:dyDescent="0.35">
      <c r="A972">
        <v>1019</v>
      </c>
      <c r="B972" s="1">
        <v>44878</v>
      </c>
      <c r="C972" t="s">
        <v>29</v>
      </c>
      <c r="D972" t="s">
        <v>15</v>
      </c>
      <c r="E972">
        <v>156622.76999999999</v>
      </c>
      <c r="F972">
        <v>44</v>
      </c>
      <c r="G972" t="s">
        <v>31</v>
      </c>
      <c r="H972">
        <v>3368.89</v>
      </c>
      <c r="I972">
        <v>3623.95</v>
      </c>
      <c r="J972" t="s">
        <v>17</v>
      </c>
      <c r="K972">
        <v>0.02</v>
      </c>
      <c r="L972" t="s">
        <v>18</v>
      </c>
      <c r="M972" t="s">
        <v>19</v>
      </c>
    </row>
    <row r="973" spans="1:13" x14ac:dyDescent="0.35">
      <c r="A973">
        <v>1088</v>
      </c>
      <c r="B973" s="1">
        <v>44878</v>
      </c>
      <c r="C973" t="s">
        <v>29</v>
      </c>
      <c r="D973" t="s">
        <v>30</v>
      </c>
      <c r="E973">
        <v>115382.25</v>
      </c>
      <c r="F973">
        <v>38</v>
      </c>
      <c r="G973" t="s">
        <v>26</v>
      </c>
      <c r="H973">
        <v>2442.4</v>
      </c>
      <c r="I973">
        <v>3373.75</v>
      </c>
      <c r="J973" t="s">
        <v>27</v>
      </c>
      <c r="K973">
        <v>0.1</v>
      </c>
      <c r="L973" t="s">
        <v>18</v>
      </c>
      <c r="M973" t="s">
        <v>21</v>
      </c>
    </row>
    <row r="974" spans="1:13" x14ac:dyDescent="0.35">
      <c r="A974">
        <v>1021</v>
      </c>
      <c r="B974" s="1">
        <v>44879</v>
      </c>
      <c r="C974" t="s">
        <v>22</v>
      </c>
      <c r="D974" t="s">
        <v>30</v>
      </c>
      <c r="E974">
        <v>170525.64</v>
      </c>
      <c r="F974">
        <v>35</v>
      </c>
      <c r="G974" t="s">
        <v>16</v>
      </c>
      <c r="H974">
        <v>4513.29</v>
      </c>
      <c r="I974">
        <v>4939.01</v>
      </c>
      <c r="J974" t="s">
        <v>17</v>
      </c>
      <c r="K974">
        <v>0.01</v>
      </c>
      <c r="L974" t="s">
        <v>25</v>
      </c>
      <c r="M974" t="s">
        <v>19</v>
      </c>
    </row>
    <row r="975" spans="1:13" x14ac:dyDescent="0.35">
      <c r="A975">
        <v>1049</v>
      </c>
      <c r="B975" s="1">
        <v>44879</v>
      </c>
      <c r="C975" t="s">
        <v>14</v>
      </c>
      <c r="D975" t="s">
        <v>30</v>
      </c>
      <c r="E975">
        <v>89631.360000000001</v>
      </c>
      <c r="F975">
        <v>28</v>
      </c>
      <c r="G975" t="s">
        <v>31</v>
      </c>
      <c r="H975">
        <v>2324.6799999999998</v>
      </c>
      <c r="I975">
        <v>4446</v>
      </c>
      <c r="J975" t="s">
        <v>27</v>
      </c>
      <c r="K975">
        <v>0.28000000000000003</v>
      </c>
      <c r="L975" t="s">
        <v>28</v>
      </c>
      <c r="M975" t="s">
        <v>19</v>
      </c>
    </row>
    <row r="976" spans="1:13" x14ac:dyDescent="0.35">
      <c r="A976">
        <v>1064</v>
      </c>
      <c r="B976" s="1">
        <v>44879</v>
      </c>
      <c r="C976" t="s">
        <v>14</v>
      </c>
      <c r="D976" t="s">
        <v>23</v>
      </c>
      <c r="E976">
        <v>95923.8</v>
      </c>
      <c r="F976">
        <v>46</v>
      </c>
      <c r="G976" t="s">
        <v>24</v>
      </c>
      <c r="H976">
        <v>1390.8</v>
      </c>
      <c r="I976">
        <v>2979</v>
      </c>
      <c r="J976" t="s">
        <v>27</v>
      </c>
      <c r="K976">
        <v>0.3</v>
      </c>
      <c r="L976" t="s">
        <v>25</v>
      </c>
      <c r="M976" t="s">
        <v>21</v>
      </c>
    </row>
    <row r="977" spans="1:13" x14ac:dyDescent="0.35">
      <c r="A977">
        <v>1056</v>
      </c>
      <c r="B977" s="1">
        <v>44880</v>
      </c>
      <c r="C977" t="s">
        <v>22</v>
      </c>
      <c r="D977" t="s">
        <v>30</v>
      </c>
      <c r="E977">
        <v>30534.720000000001</v>
      </c>
      <c r="F977">
        <v>13</v>
      </c>
      <c r="G977" t="s">
        <v>24</v>
      </c>
      <c r="H977">
        <v>1725.77</v>
      </c>
      <c r="I977">
        <v>2796.22</v>
      </c>
      <c r="J977" t="s">
        <v>27</v>
      </c>
      <c r="K977">
        <v>0.16</v>
      </c>
      <c r="L977" t="s">
        <v>28</v>
      </c>
      <c r="M977" t="s">
        <v>21</v>
      </c>
    </row>
    <row r="978" spans="1:13" x14ac:dyDescent="0.35">
      <c r="A978">
        <v>1087</v>
      </c>
      <c r="B978" s="1">
        <v>44880</v>
      </c>
      <c r="C978" t="s">
        <v>29</v>
      </c>
      <c r="D978" t="s">
        <v>15</v>
      </c>
      <c r="E978">
        <v>24100.02</v>
      </c>
      <c r="F978">
        <v>6</v>
      </c>
      <c r="G978" t="s">
        <v>31</v>
      </c>
      <c r="H978">
        <v>1319.89</v>
      </c>
      <c r="I978">
        <v>4781.75</v>
      </c>
      <c r="J978" t="s">
        <v>27</v>
      </c>
      <c r="K978">
        <v>0.16</v>
      </c>
      <c r="L978" t="s">
        <v>28</v>
      </c>
      <c r="M978" t="s">
        <v>19</v>
      </c>
    </row>
    <row r="979" spans="1:13" x14ac:dyDescent="0.35">
      <c r="A979">
        <v>1099</v>
      </c>
      <c r="B979" s="1">
        <v>44880</v>
      </c>
      <c r="C979" t="s">
        <v>32</v>
      </c>
      <c r="D979" t="s">
        <v>30</v>
      </c>
      <c r="E979">
        <v>43643.42</v>
      </c>
      <c r="F979">
        <v>14</v>
      </c>
      <c r="G979" t="s">
        <v>31</v>
      </c>
      <c r="H979">
        <v>1320.75</v>
      </c>
      <c r="I979">
        <v>3996.65</v>
      </c>
      <c r="J979" t="s">
        <v>17</v>
      </c>
      <c r="K979">
        <v>0.22</v>
      </c>
      <c r="L979" t="s">
        <v>25</v>
      </c>
      <c r="M979" t="s">
        <v>19</v>
      </c>
    </row>
    <row r="980" spans="1:13" x14ac:dyDescent="0.35">
      <c r="A980">
        <v>1059</v>
      </c>
      <c r="B980" s="1">
        <v>44880</v>
      </c>
      <c r="C980" t="s">
        <v>22</v>
      </c>
      <c r="D980" t="s">
        <v>20</v>
      </c>
      <c r="E980">
        <v>152089.72</v>
      </c>
      <c r="F980">
        <v>43</v>
      </c>
      <c r="G980" t="s">
        <v>31</v>
      </c>
      <c r="H980">
        <v>1886.91</v>
      </c>
      <c r="I980">
        <v>4366.63</v>
      </c>
      <c r="J980" t="s">
        <v>27</v>
      </c>
      <c r="K980">
        <v>0.19</v>
      </c>
      <c r="L980" t="s">
        <v>28</v>
      </c>
      <c r="M980" t="s">
        <v>19</v>
      </c>
    </row>
    <row r="981" spans="1:13" x14ac:dyDescent="0.35">
      <c r="A981">
        <v>1077</v>
      </c>
      <c r="B981" s="1">
        <v>44881</v>
      </c>
      <c r="C981" t="s">
        <v>33</v>
      </c>
      <c r="D981" t="s">
        <v>15</v>
      </c>
      <c r="E981">
        <v>68138.240000000005</v>
      </c>
      <c r="F981">
        <v>24</v>
      </c>
      <c r="G981" t="s">
        <v>16</v>
      </c>
      <c r="H981">
        <v>2831.26</v>
      </c>
      <c r="I981">
        <v>3340.11</v>
      </c>
      <c r="J981" t="s">
        <v>17</v>
      </c>
      <c r="K981">
        <v>0.15</v>
      </c>
      <c r="L981" t="s">
        <v>18</v>
      </c>
      <c r="M981" t="s">
        <v>19</v>
      </c>
    </row>
    <row r="982" spans="1:13" x14ac:dyDescent="0.35">
      <c r="A982">
        <v>1048</v>
      </c>
      <c r="B982" s="1">
        <v>44881</v>
      </c>
      <c r="C982" t="s">
        <v>32</v>
      </c>
      <c r="D982" t="s">
        <v>15</v>
      </c>
      <c r="E982">
        <v>75188.3</v>
      </c>
      <c r="F982">
        <v>45</v>
      </c>
      <c r="G982" t="s">
        <v>31</v>
      </c>
      <c r="H982">
        <v>1609.83</v>
      </c>
      <c r="I982">
        <v>1942.85</v>
      </c>
      <c r="J982" t="s">
        <v>17</v>
      </c>
      <c r="K982">
        <v>0.14000000000000001</v>
      </c>
      <c r="L982" t="s">
        <v>25</v>
      </c>
      <c r="M982" t="s">
        <v>19</v>
      </c>
    </row>
    <row r="983" spans="1:13" x14ac:dyDescent="0.35">
      <c r="A983">
        <v>1053</v>
      </c>
      <c r="B983" s="1">
        <v>44881</v>
      </c>
      <c r="C983" t="s">
        <v>32</v>
      </c>
      <c r="D983" t="s">
        <v>15</v>
      </c>
      <c r="E983">
        <v>61566.239999999998</v>
      </c>
      <c r="F983">
        <v>15</v>
      </c>
      <c r="G983" t="s">
        <v>26</v>
      </c>
      <c r="H983">
        <v>3419.78</v>
      </c>
      <c r="I983">
        <v>5330.41</v>
      </c>
      <c r="J983" t="s">
        <v>17</v>
      </c>
      <c r="K983">
        <v>0.23</v>
      </c>
      <c r="L983" t="s">
        <v>18</v>
      </c>
      <c r="M983" t="s">
        <v>19</v>
      </c>
    </row>
    <row r="984" spans="1:13" x14ac:dyDescent="0.35">
      <c r="A984">
        <v>1009</v>
      </c>
      <c r="B984" s="1">
        <v>44881</v>
      </c>
      <c r="C984" t="s">
        <v>22</v>
      </c>
      <c r="D984" t="s">
        <v>15</v>
      </c>
      <c r="E984">
        <v>33248.81</v>
      </c>
      <c r="F984">
        <v>33</v>
      </c>
      <c r="G984" t="s">
        <v>26</v>
      </c>
      <c r="H984">
        <v>492.2</v>
      </c>
      <c r="I984">
        <v>1419.07</v>
      </c>
      <c r="J984" t="s">
        <v>27</v>
      </c>
      <c r="K984">
        <v>0.28999999999999998</v>
      </c>
      <c r="L984" t="s">
        <v>28</v>
      </c>
      <c r="M984" t="s">
        <v>19</v>
      </c>
    </row>
    <row r="985" spans="1:13" x14ac:dyDescent="0.35">
      <c r="A985">
        <v>1031</v>
      </c>
      <c r="B985" s="1">
        <v>44881</v>
      </c>
      <c r="C985" t="s">
        <v>32</v>
      </c>
      <c r="D985" t="s">
        <v>15</v>
      </c>
      <c r="E985">
        <v>34127.53</v>
      </c>
      <c r="F985">
        <v>44</v>
      </c>
      <c r="G985" t="s">
        <v>31</v>
      </c>
      <c r="H985">
        <v>69.37</v>
      </c>
      <c r="I985">
        <v>1020.56</v>
      </c>
      <c r="J985" t="s">
        <v>27</v>
      </c>
      <c r="K985">
        <v>0.24</v>
      </c>
      <c r="L985" t="s">
        <v>18</v>
      </c>
      <c r="M985" t="s">
        <v>21</v>
      </c>
    </row>
    <row r="986" spans="1:13" x14ac:dyDescent="0.35">
      <c r="A986">
        <v>1083</v>
      </c>
      <c r="B986" s="1">
        <v>44881</v>
      </c>
      <c r="C986" t="s">
        <v>33</v>
      </c>
      <c r="D986" t="s">
        <v>15</v>
      </c>
      <c r="E986">
        <v>121294.78</v>
      </c>
      <c r="F986">
        <v>34</v>
      </c>
      <c r="G986" t="s">
        <v>16</v>
      </c>
      <c r="H986">
        <v>1727.04</v>
      </c>
      <c r="I986">
        <v>4053.97</v>
      </c>
      <c r="J986" t="s">
        <v>27</v>
      </c>
      <c r="K986">
        <v>0.12</v>
      </c>
      <c r="L986" t="s">
        <v>18</v>
      </c>
      <c r="M986" t="s">
        <v>21</v>
      </c>
    </row>
    <row r="987" spans="1:13" x14ac:dyDescent="0.35">
      <c r="A987">
        <v>1016</v>
      </c>
      <c r="B987" s="1">
        <v>44882</v>
      </c>
      <c r="C987" t="s">
        <v>32</v>
      </c>
      <c r="D987" t="s">
        <v>20</v>
      </c>
      <c r="E987">
        <v>7811.52</v>
      </c>
      <c r="F987">
        <v>2</v>
      </c>
      <c r="G987" t="s">
        <v>16</v>
      </c>
      <c r="H987">
        <v>3817.58</v>
      </c>
      <c r="I987">
        <v>3974.33</v>
      </c>
      <c r="J987" t="s">
        <v>27</v>
      </c>
      <c r="K987">
        <v>0.02</v>
      </c>
      <c r="L987" t="s">
        <v>18</v>
      </c>
      <c r="M987" t="s">
        <v>21</v>
      </c>
    </row>
    <row r="988" spans="1:13" x14ac:dyDescent="0.35">
      <c r="A988">
        <v>1084</v>
      </c>
      <c r="B988" s="1">
        <v>44882</v>
      </c>
      <c r="C988" t="s">
        <v>22</v>
      </c>
      <c r="D988" t="s">
        <v>20</v>
      </c>
      <c r="E988">
        <v>70837.91</v>
      </c>
      <c r="F988">
        <v>22</v>
      </c>
      <c r="G988" t="s">
        <v>31</v>
      </c>
      <c r="H988">
        <v>1379.2</v>
      </c>
      <c r="I988">
        <v>3833.22</v>
      </c>
      <c r="J988" t="s">
        <v>17</v>
      </c>
      <c r="K988">
        <v>0.16</v>
      </c>
      <c r="L988" t="s">
        <v>25</v>
      </c>
      <c r="M988" t="s">
        <v>21</v>
      </c>
    </row>
    <row r="989" spans="1:13" x14ac:dyDescent="0.35">
      <c r="A989">
        <v>1022</v>
      </c>
      <c r="B989" s="1">
        <v>44883</v>
      </c>
      <c r="C989" t="s">
        <v>22</v>
      </c>
      <c r="D989" t="s">
        <v>23</v>
      </c>
      <c r="E989">
        <v>56496.9</v>
      </c>
      <c r="F989">
        <v>18</v>
      </c>
      <c r="G989" t="s">
        <v>26</v>
      </c>
      <c r="H989">
        <v>1736.56</v>
      </c>
      <c r="I989">
        <v>3339.06</v>
      </c>
      <c r="J989" t="s">
        <v>27</v>
      </c>
      <c r="K989">
        <v>0.06</v>
      </c>
      <c r="L989" t="s">
        <v>18</v>
      </c>
      <c r="M989" t="s">
        <v>21</v>
      </c>
    </row>
    <row r="990" spans="1:13" x14ac:dyDescent="0.35">
      <c r="A990">
        <v>1040</v>
      </c>
      <c r="B990" s="1">
        <v>44884</v>
      </c>
      <c r="C990" t="s">
        <v>22</v>
      </c>
      <c r="D990" t="s">
        <v>30</v>
      </c>
      <c r="E990">
        <v>17579.02</v>
      </c>
      <c r="F990">
        <v>7</v>
      </c>
      <c r="G990" t="s">
        <v>31</v>
      </c>
      <c r="H990">
        <v>789.76</v>
      </c>
      <c r="I990">
        <v>2700.31</v>
      </c>
      <c r="J990" t="s">
        <v>27</v>
      </c>
      <c r="K990">
        <v>7.0000000000000007E-2</v>
      </c>
      <c r="L990" t="s">
        <v>18</v>
      </c>
      <c r="M990" t="s">
        <v>21</v>
      </c>
    </row>
    <row r="991" spans="1:13" x14ac:dyDescent="0.35">
      <c r="A991">
        <v>1079</v>
      </c>
      <c r="B991" s="1">
        <v>44885</v>
      </c>
      <c r="C991" t="s">
        <v>33</v>
      </c>
      <c r="D991" t="s">
        <v>30</v>
      </c>
      <c r="E991">
        <v>6556.13</v>
      </c>
      <c r="F991">
        <v>7</v>
      </c>
      <c r="G991" t="s">
        <v>31</v>
      </c>
      <c r="H991">
        <v>912.94</v>
      </c>
      <c r="I991">
        <v>1076.54</v>
      </c>
      <c r="J991" t="s">
        <v>27</v>
      </c>
      <c r="K991">
        <v>0.13</v>
      </c>
      <c r="L991" t="s">
        <v>28</v>
      </c>
      <c r="M991" t="s">
        <v>19</v>
      </c>
    </row>
    <row r="992" spans="1:13" x14ac:dyDescent="0.35">
      <c r="A992">
        <v>1036</v>
      </c>
      <c r="B992" s="1">
        <v>44885</v>
      </c>
      <c r="C992" t="s">
        <v>33</v>
      </c>
      <c r="D992" t="s">
        <v>23</v>
      </c>
      <c r="E992">
        <v>12058.02</v>
      </c>
      <c r="F992">
        <v>4</v>
      </c>
      <c r="G992" t="s">
        <v>31</v>
      </c>
      <c r="H992">
        <v>1752.41</v>
      </c>
      <c r="I992">
        <v>4019.34</v>
      </c>
      <c r="J992" t="s">
        <v>17</v>
      </c>
      <c r="K992">
        <v>0.25</v>
      </c>
      <c r="L992" t="s">
        <v>25</v>
      </c>
      <c r="M992" t="s">
        <v>19</v>
      </c>
    </row>
    <row r="993" spans="1:13" x14ac:dyDescent="0.35">
      <c r="A993">
        <v>1089</v>
      </c>
      <c r="B993" s="1">
        <v>44885</v>
      </c>
      <c r="C993" t="s">
        <v>14</v>
      </c>
      <c r="D993" t="s">
        <v>15</v>
      </c>
      <c r="E993">
        <v>172564.42</v>
      </c>
      <c r="F993">
        <v>41</v>
      </c>
      <c r="G993" t="s">
        <v>16</v>
      </c>
      <c r="H993">
        <v>3199.01</v>
      </c>
      <c r="I993">
        <v>4339.0600000000004</v>
      </c>
      <c r="J993" t="s">
        <v>27</v>
      </c>
      <c r="K993">
        <v>0.03</v>
      </c>
      <c r="L993" t="s">
        <v>18</v>
      </c>
      <c r="M993" t="s">
        <v>19</v>
      </c>
    </row>
    <row r="994" spans="1:13" x14ac:dyDescent="0.35">
      <c r="A994">
        <v>1062</v>
      </c>
      <c r="B994" s="1">
        <v>44886</v>
      </c>
      <c r="C994" t="s">
        <v>33</v>
      </c>
      <c r="D994" t="s">
        <v>15</v>
      </c>
      <c r="E994">
        <v>86573.89</v>
      </c>
      <c r="F994">
        <v>48</v>
      </c>
      <c r="G994" t="s">
        <v>24</v>
      </c>
      <c r="H994">
        <v>1615.83</v>
      </c>
      <c r="I994">
        <v>2147.17</v>
      </c>
      <c r="J994" t="s">
        <v>17</v>
      </c>
      <c r="K994">
        <v>0.16</v>
      </c>
      <c r="L994" t="s">
        <v>18</v>
      </c>
      <c r="M994" t="s">
        <v>19</v>
      </c>
    </row>
    <row r="995" spans="1:13" x14ac:dyDescent="0.35">
      <c r="A995">
        <v>1036</v>
      </c>
      <c r="B995" s="1">
        <v>44886</v>
      </c>
      <c r="C995" t="s">
        <v>32</v>
      </c>
      <c r="D995" t="s">
        <v>23</v>
      </c>
      <c r="E995">
        <v>92207.2</v>
      </c>
      <c r="F995">
        <v>20</v>
      </c>
      <c r="G995" t="s">
        <v>31</v>
      </c>
      <c r="H995">
        <v>3858.46</v>
      </c>
      <c r="I995">
        <v>5180.18</v>
      </c>
      <c r="J995" t="s">
        <v>17</v>
      </c>
      <c r="K995">
        <v>0.11</v>
      </c>
      <c r="L995" t="s">
        <v>18</v>
      </c>
      <c r="M995" t="s">
        <v>21</v>
      </c>
    </row>
    <row r="996" spans="1:13" x14ac:dyDescent="0.35">
      <c r="A996">
        <v>1006</v>
      </c>
      <c r="B996" s="1">
        <v>44886</v>
      </c>
      <c r="C996" t="s">
        <v>22</v>
      </c>
      <c r="D996" t="s">
        <v>15</v>
      </c>
      <c r="E996">
        <v>178064.88</v>
      </c>
      <c r="F996">
        <v>49</v>
      </c>
      <c r="G996" t="s">
        <v>16</v>
      </c>
      <c r="H996">
        <v>1030.67</v>
      </c>
      <c r="I996">
        <v>3708.14</v>
      </c>
      <c r="J996" t="s">
        <v>17</v>
      </c>
      <c r="K996">
        <v>0.02</v>
      </c>
      <c r="L996" t="s">
        <v>28</v>
      </c>
      <c r="M996" t="s">
        <v>19</v>
      </c>
    </row>
    <row r="997" spans="1:13" x14ac:dyDescent="0.35">
      <c r="A997">
        <v>1007</v>
      </c>
      <c r="B997" s="1">
        <v>44887</v>
      </c>
      <c r="C997" t="s">
        <v>14</v>
      </c>
      <c r="D997" t="s">
        <v>23</v>
      </c>
      <c r="E997">
        <v>16771.650000000001</v>
      </c>
      <c r="F997">
        <v>9</v>
      </c>
      <c r="G997" t="s">
        <v>16</v>
      </c>
      <c r="H997">
        <v>1785</v>
      </c>
      <c r="I997">
        <v>2047.82</v>
      </c>
      <c r="J997" t="s">
        <v>27</v>
      </c>
      <c r="K997">
        <v>0.09</v>
      </c>
      <c r="L997" t="s">
        <v>18</v>
      </c>
      <c r="M997" t="s">
        <v>19</v>
      </c>
    </row>
    <row r="998" spans="1:13" x14ac:dyDescent="0.35">
      <c r="A998">
        <v>1044</v>
      </c>
      <c r="B998" s="1">
        <v>44887</v>
      </c>
      <c r="C998" t="s">
        <v>29</v>
      </c>
      <c r="D998" t="s">
        <v>20</v>
      </c>
      <c r="E998">
        <v>18333.740000000002</v>
      </c>
      <c r="F998">
        <v>5</v>
      </c>
      <c r="G998" t="s">
        <v>31</v>
      </c>
      <c r="H998">
        <v>2798.53</v>
      </c>
      <c r="I998">
        <v>3819.53</v>
      </c>
      <c r="J998" t="s">
        <v>17</v>
      </c>
      <c r="K998">
        <v>0.04</v>
      </c>
      <c r="L998" t="s">
        <v>25</v>
      </c>
      <c r="M998" t="s">
        <v>21</v>
      </c>
    </row>
    <row r="999" spans="1:13" x14ac:dyDescent="0.35">
      <c r="A999">
        <v>1062</v>
      </c>
      <c r="B999" s="1">
        <v>44887</v>
      </c>
      <c r="C999" t="s">
        <v>14</v>
      </c>
      <c r="D999" t="s">
        <v>20</v>
      </c>
      <c r="E999">
        <v>128683.31</v>
      </c>
      <c r="F999">
        <v>50</v>
      </c>
      <c r="G999" t="s">
        <v>31</v>
      </c>
      <c r="H999">
        <v>2401.17</v>
      </c>
      <c r="I999">
        <v>2626.19</v>
      </c>
      <c r="J999" t="s">
        <v>27</v>
      </c>
      <c r="K999">
        <v>0.02</v>
      </c>
      <c r="L999" t="s">
        <v>25</v>
      </c>
      <c r="M999" t="s">
        <v>19</v>
      </c>
    </row>
    <row r="1000" spans="1:13" x14ac:dyDescent="0.35">
      <c r="A1000">
        <v>1070</v>
      </c>
      <c r="B1000" s="1">
        <v>44888</v>
      </c>
      <c r="C1000" t="s">
        <v>22</v>
      </c>
      <c r="D1000" t="s">
        <v>15</v>
      </c>
      <c r="E1000">
        <v>17831.349999999999</v>
      </c>
      <c r="F1000">
        <v>27</v>
      </c>
      <c r="G1000" t="s">
        <v>24</v>
      </c>
      <c r="H1000">
        <v>450.17</v>
      </c>
      <c r="I1000">
        <v>892.46</v>
      </c>
      <c r="J1000" t="s">
        <v>27</v>
      </c>
      <c r="K1000">
        <v>0.26</v>
      </c>
      <c r="L1000" t="s">
        <v>28</v>
      </c>
      <c r="M1000" t="s">
        <v>19</v>
      </c>
    </row>
    <row r="1001" spans="1:13" x14ac:dyDescent="0.35">
      <c r="A1001">
        <v>1029</v>
      </c>
      <c r="B1001" s="1">
        <v>44888</v>
      </c>
      <c r="C1001" t="s">
        <v>22</v>
      </c>
      <c r="D1001" t="s">
        <v>30</v>
      </c>
      <c r="E1001">
        <v>109842.45</v>
      </c>
      <c r="F1001">
        <v>22</v>
      </c>
      <c r="G1001" t="s">
        <v>24</v>
      </c>
      <c r="H1001">
        <v>4664.68</v>
      </c>
      <c r="I1001">
        <v>5166.32</v>
      </c>
      <c r="J1001" t="s">
        <v>27</v>
      </c>
      <c r="K1001">
        <v>0.03</v>
      </c>
      <c r="L1001" t="s">
        <v>18</v>
      </c>
      <c r="M1001" t="s">
        <v>19</v>
      </c>
    </row>
    <row r="1002" spans="1:13" x14ac:dyDescent="0.35">
      <c r="A1002">
        <v>1013</v>
      </c>
      <c r="B1002" s="1">
        <v>44888</v>
      </c>
      <c r="C1002" t="s">
        <v>33</v>
      </c>
      <c r="D1002" t="s">
        <v>20</v>
      </c>
      <c r="E1002">
        <v>13115.83</v>
      </c>
      <c r="F1002">
        <v>6</v>
      </c>
      <c r="G1002" t="s">
        <v>26</v>
      </c>
      <c r="H1002">
        <v>664.86</v>
      </c>
      <c r="I1002">
        <v>2665.82</v>
      </c>
      <c r="J1002" t="s">
        <v>17</v>
      </c>
      <c r="K1002">
        <v>0.18</v>
      </c>
      <c r="L1002" t="s">
        <v>25</v>
      </c>
      <c r="M1002" t="s">
        <v>19</v>
      </c>
    </row>
    <row r="1003" spans="1:13" x14ac:dyDescent="0.35">
      <c r="A1003">
        <v>1090</v>
      </c>
      <c r="B1003" s="1">
        <v>44888</v>
      </c>
      <c r="C1003" t="s">
        <v>33</v>
      </c>
      <c r="D1003" t="s">
        <v>30</v>
      </c>
      <c r="E1003">
        <v>13876.67</v>
      </c>
      <c r="F1003">
        <v>4</v>
      </c>
      <c r="G1003" t="s">
        <v>31</v>
      </c>
      <c r="H1003">
        <v>140.78</v>
      </c>
      <c r="I1003">
        <v>3504.21</v>
      </c>
      <c r="J1003" t="s">
        <v>27</v>
      </c>
      <c r="K1003">
        <v>0.01</v>
      </c>
      <c r="L1003" t="s">
        <v>28</v>
      </c>
      <c r="M1003" t="s">
        <v>19</v>
      </c>
    </row>
    <row r="1004" spans="1:13" x14ac:dyDescent="0.35">
      <c r="A1004">
        <v>1062</v>
      </c>
      <c r="B1004" s="1">
        <v>44888</v>
      </c>
      <c r="C1004" t="s">
        <v>14</v>
      </c>
      <c r="D1004" t="s">
        <v>23</v>
      </c>
      <c r="E1004">
        <v>123862.21</v>
      </c>
      <c r="F1004">
        <v>39</v>
      </c>
      <c r="G1004" t="s">
        <v>24</v>
      </c>
      <c r="H1004">
        <v>2110.85</v>
      </c>
      <c r="I1004">
        <v>3692.97</v>
      </c>
      <c r="J1004" t="s">
        <v>27</v>
      </c>
      <c r="K1004">
        <v>0.14000000000000001</v>
      </c>
      <c r="L1004" t="s">
        <v>28</v>
      </c>
      <c r="M1004" t="s">
        <v>19</v>
      </c>
    </row>
    <row r="1005" spans="1:13" x14ac:dyDescent="0.35">
      <c r="A1005">
        <v>1097</v>
      </c>
      <c r="B1005" s="1">
        <v>44888</v>
      </c>
      <c r="C1005" t="s">
        <v>22</v>
      </c>
      <c r="D1005" t="s">
        <v>23</v>
      </c>
      <c r="E1005">
        <v>103530.64</v>
      </c>
      <c r="F1005">
        <v>37</v>
      </c>
      <c r="G1005" t="s">
        <v>26</v>
      </c>
      <c r="H1005">
        <v>1025.5999999999999</v>
      </c>
      <c r="I1005">
        <v>2855.23</v>
      </c>
      <c r="J1005" t="s">
        <v>27</v>
      </c>
      <c r="K1005">
        <v>0.02</v>
      </c>
      <c r="L1005" t="s">
        <v>25</v>
      </c>
      <c r="M1005" t="s">
        <v>19</v>
      </c>
    </row>
    <row r="1006" spans="1:13" x14ac:dyDescent="0.35">
      <c r="A1006">
        <v>1031</v>
      </c>
      <c r="B1006" s="1">
        <v>44889</v>
      </c>
      <c r="C1006" t="s">
        <v>29</v>
      </c>
      <c r="D1006" t="s">
        <v>23</v>
      </c>
      <c r="E1006">
        <v>35895.120000000003</v>
      </c>
      <c r="F1006">
        <v>8</v>
      </c>
      <c r="G1006" t="s">
        <v>26</v>
      </c>
      <c r="H1006">
        <v>4482.63</v>
      </c>
      <c r="I1006">
        <v>4486.8900000000003</v>
      </c>
      <c r="J1006" t="s">
        <v>17</v>
      </c>
      <c r="K1006">
        <v>0</v>
      </c>
      <c r="L1006" t="s">
        <v>18</v>
      </c>
      <c r="M1006" t="s">
        <v>19</v>
      </c>
    </row>
    <row r="1007" spans="1:13" x14ac:dyDescent="0.35">
      <c r="A1007">
        <v>1071</v>
      </c>
      <c r="B1007" s="1">
        <v>44889</v>
      </c>
      <c r="C1007" t="s">
        <v>33</v>
      </c>
      <c r="D1007" t="s">
        <v>15</v>
      </c>
      <c r="E1007">
        <v>65373.38</v>
      </c>
      <c r="F1007">
        <v>45</v>
      </c>
      <c r="G1007" t="s">
        <v>31</v>
      </c>
      <c r="H1007">
        <v>1122.69</v>
      </c>
      <c r="I1007">
        <v>1463.81</v>
      </c>
      <c r="J1007" t="s">
        <v>27</v>
      </c>
      <c r="K1007">
        <v>0.01</v>
      </c>
      <c r="L1007" t="s">
        <v>25</v>
      </c>
      <c r="M1007" t="s">
        <v>21</v>
      </c>
    </row>
    <row r="1008" spans="1:13" x14ac:dyDescent="0.35">
      <c r="A1008">
        <v>1028</v>
      </c>
      <c r="B1008" s="1">
        <v>44889</v>
      </c>
      <c r="C1008" t="s">
        <v>32</v>
      </c>
      <c r="D1008" t="s">
        <v>23</v>
      </c>
      <c r="E1008">
        <v>237691.69</v>
      </c>
      <c r="F1008">
        <v>50</v>
      </c>
      <c r="G1008" t="s">
        <v>24</v>
      </c>
      <c r="H1008">
        <v>4262.41</v>
      </c>
      <c r="I1008">
        <v>4905.5600000000004</v>
      </c>
      <c r="J1008" t="s">
        <v>27</v>
      </c>
      <c r="K1008">
        <v>0.03</v>
      </c>
      <c r="L1008" t="s">
        <v>25</v>
      </c>
      <c r="M1008" t="s">
        <v>21</v>
      </c>
    </row>
    <row r="1009" spans="1:13" x14ac:dyDescent="0.35">
      <c r="A1009">
        <v>1075</v>
      </c>
      <c r="B1009" s="1">
        <v>44889</v>
      </c>
      <c r="C1009" t="s">
        <v>14</v>
      </c>
      <c r="D1009" t="s">
        <v>23</v>
      </c>
      <c r="E1009">
        <v>89492.31</v>
      </c>
      <c r="F1009">
        <v>29</v>
      </c>
      <c r="G1009" t="s">
        <v>26</v>
      </c>
      <c r="H1009">
        <v>1740.11</v>
      </c>
      <c r="I1009">
        <v>3148.92</v>
      </c>
      <c r="J1009" t="s">
        <v>27</v>
      </c>
      <c r="K1009">
        <v>0.02</v>
      </c>
      <c r="L1009" t="s">
        <v>28</v>
      </c>
      <c r="M1009" t="s">
        <v>19</v>
      </c>
    </row>
    <row r="1010" spans="1:13" x14ac:dyDescent="0.35">
      <c r="A1010">
        <v>1089</v>
      </c>
      <c r="B1010" s="1">
        <v>44890</v>
      </c>
      <c r="C1010" t="s">
        <v>14</v>
      </c>
      <c r="D1010" t="s">
        <v>23</v>
      </c>
      <c r="E1010">
        <v>45470.81</v>
      </c>
      <c r="F1010">
        <v>30</v>
      </c>
      <c r="G1010" t="s">
        <v>26</v>
      </c>
      <c r="H1010">
        <v>1502.21</v>
      </c>
      <c r="I1010">
        <v>1529.74</v>
      </c>
      <c r="J1010" t="s">
        <v>17</v>
      </c>
      <c r="K1010">
        <v>0.01</v>
      </c>
      <c r="L1010" t="s">
        <v>28</v>
      </c>
      <c r="M1010" t="s">
        <v>21</v>
      </c>
    </row>
    <row r="1011" spans="1:13" x14ac:dyDescent="0.35">
      <c r="A1011">
        <v>1071</v>
      </c>
      <c r="B1011" s="1">
        <v>44890</v>
      </c>
      <c r="C1011" t="s">
        <v>14</v>
      </c>
      <c r="D1011" t="s">
        <v>15</v>
      </c>
      <c r="E1011">
        <v>28988.240000000002</v>
      </c>
      <c r="F1011">
        <v>11</v>
      </c>
      <c r="G1011" t="s">
        <v>26</v>
      </c>
      <c r="H1011">
        <v>1006.75</v>
      </c>
      <c r="I1011">
        <v>3253.45</v>
      </c>
      <c r="J1011" t="s">
        <v>27</v>
      </c>
      <c r="K1011">
        <v>0.19</v>
      </c>
      <c r="L1011" t="s">
        <v>18</v>
      </c>
      <c r="M1011" t="s">
        <v>21</v>
      </c>
    </row>
    <row r="1012" spans="1:13" x14ac:dyDescent="0.35">
      <c r="A1012">
        <v>1028</v>
      </c>
      <c r="B1012" s="1">
        <v>44890</v>
      </c>
      <c r="C1012" t="s">
        <v>29</v>
      </c>
      <c r="D1012" t="s">
        <v>15</v>
      </c>
      <c r="E1012">
        <v>136534.71</v>
      </c>
      <c r="F1012">
        <v>43</v>
      </c>
      <c r="G1012" t="s">
        <v>26</v>
      </c>
      <c r="H1012">
        <v>1977.99</v>
      </c>
      <c r="I1012">
        <v>4123.67</v>
      </c>
      <c r="J1012" t="s">
        <v>27</v>
      </c>
      <c r="K1012">
        <v>0.23</v>
      </c>
      <c r="L1012" t="s">
        <v>25</v>
      </c>
      <c r="M1012" t="s">
        <v>19</v>
      </c>
    </row>
    <row r="1013" spans="1:13" x14ac:dyDescent="0.35">
      <c r="A1013">
        <v>1098</v>
      </c>
      <c r="B1013" s="1">
        <v>44891</v>
      </c>
      <c r="C1013" t="s">
        <v>14</v>
      </c>
      <c r="D1013" t="s">
        <v>20</v>
      </c>
      <c r="E1013">
        <v>19147.080000000002</v>
      </c>
      <c r="F1013">
        <v>5</v>
      </c>
      <c r="G1013" t="s">
        <v>26</v>
      </c>
      <c r="H1013">
        <v>3305.51</v>
      </c>
      <c r="I1013">
        <v>4452.8100000000004</v>
      </c>
      <c r="J1013" t="s">
        <v>17</v>
      </c>
      <c r="K1013">
        <v>0.14000000000000001</v>
      </c>
      <c r="L1013" t="s">
        <v>18</v>
      </c>
      <c r="M1013" t="s">
        <v>21</v>
      </c>
    </row>
    <row r="1014" spans="1:13" x14ac:dyDescent="0.35">
      <c r="A1014">
        <v>1082</v>
      </c>
      <c r="B1014" s="1">
        <v>44891</v>
      </c>
      <c r="C1014" t="s">
        <v>33</v>
      </c>
      <c r="D1014" t="s">
        <v>20</v>
      </c>
      <c r="E1014">
        <v>13765.17</v>
      </c>
      <c r="F1014">
        <v>4</v>
      </c>
      <c r="G1014" t="s">
        <v>24</v>
      </c>
      <c r="H1014">
        <v>961.95</v>
      </c>
      <c r="I1014">
        <v>4469.21</v>
      </c>
      <c r="J1014" t="s">
        <v>27</v>
      </c>
      <c r="K1014">
        <v>0.23</v>
      </c>
      <c r="L1014" t="s">
        <v>18</v>
      </c>
      <c r="M1014" t="s">
        <v>19</v>
      </c>
    </row>
    <row r="1015" spans="1:13" x14ac:dyDescent="0.35">
      <c r="A1015">
        <v>1023</v>
      </c>
      <c r="B1015" s="1">
        <v>44891</v>
      </c>
      <c r="C1015" t="s">
        <v>33</v>
      </c>
      <c r="D1015" t="s">
        <v>23</v>
      </c>
      <c r="E1015">
        <v>22265.82</v>
      </c>
      <c r="F1015">
        <v>6</v>
      </c>
      <c r="G1015" t="s">
        <v>31</v>
      </c>
      <c r="H1015">
        <v>227.43</v>
      </c>
      <c r="I1015">
        <v>3990.29</v>
      </c>
      <c r="J1015" t="s">
        <v>27</v>
      </c>
      <c r="K1015">
        <v>7.0000000000000007E-2</v>
      </c>
      <c r="L1015" t="s">
        <v>18</v>
      </c>
      <c r="M1015" t="s">
        <v>21</v>
      </c>
    </row>
    <row r="1016" spans="1:13" x14ac:dyDescent="0.35">
      <c r="A1016">
        <v>1099</v>
      </c>
      <c r="B1016" s="1">
        <v>44892</v>
      </c>
      <c r="C1016" t="s">
        <v>14</v>
      </c>
      <c r="D1016" t="s">
        <v>23</v>
      </c>
      <c r="E1016">
        <v>15377.18</v>
      </c>
      <c r="F1016">
        <v>5</v>
      </c>
      <c r="G1016" t="s">
        <v>16</v>
      </c>
      <c r="H1016">
        <v>723.16</v>
      </c>
      <c r="I1016">
        <v>3306.92</v>
      </c>
      <c r="J1016" t="s">
        <v>17</v>
      </c>
      <c r="K1016">
        <v>7.0000000000000007E-2</v>
      </c>
      <c r="L1016" t="s">
        <v>25</v>
      </c>
      <c r="M1016" t="s">
        <v>21</v>
      </c>
    </row>
    <row r="1017" spans="1:13" x14ac:dyDescent="0.35">
      <c r="A1017">
        <v>1084</v>
      </c>
      <c r="B1017" s="1">
        <v>44892</v>
      </c>
      <c r="C1017" t="s">
        <v>29</v>
      </c>
      <c r="D1017" t="s">
        <v>15</v>
      </c>
      <c r="E1017">
        <v>228409.26</v>
      </c>
      <c r="F1017">
        <v>50</v>
      </c>
      <c r="G1017" t="s">
        <v>26</v>
      </c>
      <c r="H1017">
        <v>3945.19</v>
      </c>
      <c r="I1017">
        <v>4640.76</v>
      </c>
      <c r="J1017" t="s">
        <v>17</v>
      </c>
      <c r="K1017">
        <v>0.02</v>
      </c>
      <c r="L1017" t="s">
        <v>18</v>
      </c>
      <c r="M1017" t="s">
        <v>19</v>
      </c>
    </row>
    <row r="1018" spans="1:13" x14ac:dyDescent="0.35">
      <c r="A1018">
        <v>1013</v>
      </c>
      <c r="B1018" s="1">
        <v>44892</v>
      </c>
      <c r="C1018" t="s">
        <v>32</v>
      </c>
      <c r="D1018" t="s">
        <v>20</v>
      </c>
      <c r="E1018">
        <v>98327.89</v>
      </c>
      <c r="F1018">
        <v>37</v>
      </c>
      <c r="G1018" t="s">
        <v>16</v>
      </c>
      <c r="H1018">
        <v>1705.04</v>
      </c>
      <c r="I1018">
        <v>3201.82</v>
      </c>
      <c r="J1018" t="s">
        <v>17</v>
      </c>
      <c r="K1018">
        <v>0.17</v>
      </c>
      <c r="L1018" t="s">
        <v>18</v>
      </c>
      <c r="M1018" t="s">
        <v>19</v>
      </c>
    </row>
    <row r="1019" spans="1:13" x14ac:dyDescent="0.35">
      <c r="A1019">
        <v>1100</v>
      </c>
      <c r="B1019" s="1">
        <v>44892</v>
      </c>
      <c r="C1019" t="s">
        <v>29</v>
      </c>
      <c r="D1019" t="s">
        <v>30</v>
      </c>
      <c r="E1019">
        <v>54322.92</v>
      </c>
      <c r="F1019">
        <v>38</v>
      </c>
      <c r="G1019" t="s">
        <v>24</v>
      </c>
      <c r="H1019">
        <v>319.63</v>
      </c>
      <c r="I1019">
        <v>1504.79</v>
      </c>
      <c r="J1019" t="s">
        <v>17</v>
      </c>
      <c r="K1019">
        <v>0.05</v>
      </c>
      <c r="L1019" t="s">
        <v>25</v>
      </c>
      <c r="M1019" t="s">
        <v>19</v>
      </c>
    </row>
    <row r="1020" spans="1:13" x14ac:dyDescent="0.35">
      <c r="A1020">
        <v>1070</v>
      </c>
      <c r="B1020" s="1">
        <v>44893</v>
      </c>
      <c r="C1020" t="s">
        <v>14</v>
      </c>
      <c r="D1020" t="s">
        <v>23</v>
      </c>
      <c r="E1020">
        <v>28131.77</v>
      </c>
      <c r="F1020">
        <v>12</v>
      </c>
      <c r="G1020" t="s">
        <v>31</v>
      </c>
      <c r="H1020">
        <v>2226.9299999999998</v>
      </c>
      <c r="I1020">
        <v>2790.85</v>
      </c>
      <c r="J1020" t="s">
        <v>27</v>
      </c>
      <c r="K1020">
        <v>0.16</v>
      </c>
      <c r="L1020" t="s">
        <v>18</v>
      </c>
      <c r="M1020" t="s">
        <v>21</v>
      </c>
    </row>
    <row r="1021" spans="1:13" x14ac:dyDescent="0.35">
      <c r="A1021">
        <v>1012</v>
      </c>
      <c r="B1021" s="1">
        <v>44893</v>
      </c>
      <c r="C1021" t="s">
        <v>29</v>
      </c>
      <c r="D1021" t="s">
        <v>15</v>
      </c>
      <c r="E1021">
        <v>48306.21</v>
      </c>
      <c r="F1021">
        <v>14</v>
      </c>
      <c r="G1021" t="s">
        <v>24</v>
      </c>
      <c r="H1021">
        <v>1936.34</v>
      </c>
      <c r="I1021">
        <v>4859.78</v>
      </c>
      <c r="J1021" t="s">
        <v>17</v>
      </c>
      <c r="K1021">
        <v>0.28999999999999998</v>
      </c>
      <c r="L1021" t="s">
        <v>18</v>
      </c>
      <c r="M1021" t="s">
        <v>21</v>
      </c>
    </row>
    <row r="1022" spans="1:13" x14ac:dyDescent="0.35">
      <c r="A1022">
        <v>1099</v>
      </c>
      <c r="B1022" s="1">
        <v>44893</v>
      </c>
      <c r="C1022" t="s">
        <v>32</v>
      </c>
      <c r="D1022" t="s">
        <v>30</v>
      </c>
      <c r="E1022">
        <v>69053.16</v>
      </c>
      <c r="F1022">
        <v>19</v>
      </c>
      <c r="G1022" t="s">
        <v>31</v>
      </c>
      <c r="H1022">
        <v>1990.73</v>
      </c>
      <c r="I1022">
        <v>3746.78</v>
      </c>
      <c r="J1022" t="s">
        <v>27</v>
      </c>
      <c r="K1022">
        <v>0.03</v>
      </c>
      <c r="L1022" t="s">
        <v>25</v>
      </c>
      <c r="M1022" t="s">
        <v>19</v>
      </c>
    </row>
    <row r="1023" spans="1:13" x14ac:dyDescent="0.35">
      <c r="A1023">
        <v>1066</v>
      </c>
      <c r="B1023" s="1">
        <v>44894</v>
      </c>
      <c r="C1023" t="s">
        <v>33</v>
      </c>
      <c r="D1023" t="s">
        <v>15</v>
      </c>
      <c r="E1023">
        <v>87692.33</v>
      </c>
      <c r="F1023">
        <v>25</v>
      </c>
      <c r="G1023" t="s">
        <v>31</v>
      </c>
      <c r="H1023">
        <v>2298.1</v>
      </c>
      <c r="I1023">
        <v>3812.71</v>
      </c>
      <c r="J1023" t="s">
        <v>27</v>
      </c>
      <c r="K1023">
        <v>0.08</v>
      </c>
      <c r="L1023" t="s">
        <v>25</v>
      </c>
      <c r="M1023" t="s">
        <v>19</v>
      </c>
    </row>
    <row r="1024" spans="1:13" x14ac:dyDescent="0.35">
      <c r="A1024">
        <v>1058</v>
      </c>
      <c r="B1024" s="1">
        <v>44894</v>
      </c>
      <c r="C1024" t="s">
        <v>22</v>
      </c>
      <c r="D1024" t="s">
        <v>15</v>
      </c>
      <c r="E1024">
        <v>175090.9</v>
      </c>
      <c r="F1024">
        <v>45</v>
      </c>
      <c r="G1024" t="s">
        <v>31</v>
      </c>
      <c r="H1024">
        <v>412.42</v>
      </c>
      <c r="I1024">
        <v>4053.03</v>
      </c>
      <c r="J1024" t="s">
        <v>17</v>
      </c>
      <c r="K1024">
        <v>0.04</v>
      </c>
      <c r="L1024" t="s">
        <v>18</v>
      </c>
      <c r="M1024" t="s">
        <v>21</v>
      </c>
    </row>
    <row r="1025" spans="1:13" x14ac:dyDescent="0.35">
      <c r="A1025">
        <v>1099</v>
      </c>
      <c r="B1025" s="1">
        <v>44895</v>
      </c>
      <c r="C1025" t="s">
        <v>14</v>
      </c>
      <c r="D1025" t="s">
        <v>23</v>
      </c>
      <c r="E1025">
        <v>127350.43</v>
      </c>
      <c r="F1025">
        <v>43</v>
      </c>
      <c r="G1025" t="s">
        <v>16</v>
      </c>
      <c r="H1025">
        <v>2893.3</v>
      </c>
      <c r="I1025">
        <v>3046.45</v>
      </c>
      <c r="J1025" t="s">
        <v>27</v>
      </c>
      <c r="K1025">
        <v>0.03</v>
      </c>
      <c r="L1025" t="s">
        <v>28</v>
      </c>
      <c r="M1025" t="s">
        <v>19</v>
      </c>
    </row>
    <row r="1026" spans="1:13" x14ac:dyDescent="0.35">
      <c r="A1026">
        <v>1015</v>
      </c>
      <c r="B1026" s="1">
        <v>44895</v>
      </c>
      <c r="C1026" t="s">
        <v>32</v>
      </c>
      <c r="D1026" t="s">
        <v>15</v>
      </c>
      <c r="E1026">
        <v>149462.63</v>
      </c>
      <c r="F1026">
        <v>38</v>
      </c>
      <c r="G1026" t="s">
        <v>24</v>
      </c>
      <c r="H1026">
        <v>3624.35</v>
      </c>
      <c r="I1026">
        <v>4573.5200000000004</v>
      </c>
      <c r="J1026" t="s">
        <v>17</v>
      </c>
      <c r="K1026">
        <v>0.14000000000000001</v>
      </c>
      <c r="L1026" t="s">
        <v>28</v>
      </c>
      <c r="M1026" t="s">
        <v>21</v>
      </c>
    </row>
    <row r="1027" spans="1:13" x14ac:dyDescent="0.35">
      <c r="A1027">
        <v>1020</v>
      </c>
      <c r="B1027" s="1">
        <v>44895</v>
      </c>
      <c r="C1027" t="s">
        <v>29</v>
      </c>
      <c r="D1027" t="s">
        <v>30</v>
      </c>
      <c r="E1027">
        <v>211226.73</v>
      </c>
      <c r="F1027">
        <v>49</v>
      </c>
      <c r="G1027" t="s">
        <v>26</v>
      </c>
      <c r="H1027">
        <v>3893.01</v>
      </c>
      <c r="I1027">
        <v>4518.37</v>
      </c>
      <c r="J1027" t="s">
        <v>17</v>
      </c>
      <c r="K1027">
        <v>0.05</v>
      </c>
      <c r="L1027" t="s">
        <v>28</v>
      </c>
      <c r="M1027" t="s">
        <v>19</v>
      </c>
    </row>
    <row r="1028" spans="1:13" x14ac:dyDescent="0.35">
      <c r="A1028">
        <v>1087</v>
      </c>
      <c r="B1028" s="1">
        <v>44895</v>
      </c>
      <c r="C1028" t="s">
        <v>29</v>
      </c>
      <c r="D1028" t="s">
        <v>15</v>
      </c>
      <c r="E1028">
        <v>74446.22</v>
      </c>
      <c r="F1028">
        <v>21</v>
      </c>
      <c r="G1028" t="s">
        <v>31</v>
      </c>
      <c r="H1028">
        <v>712.91</v>
      </c>
      <c r="I1028">
        <v>4664.55</v>
      </c>
      <c r="J1028" t="s">
        <v>17</v>
      </c>
      <c r="K1028">
        <v>0.24</v>
      </c>
      <c r="L1028" t="s">
        <v>18</v>
      </c>
      <c r="M1028" t="s">
        <v>19</v>
      </c>
    </row>
    <row r="1029" spans="1:13" x14ac:dyDescent="0.35">
      <c r="A1029">
        <v>1098</v>
      </c>
      <c r="B1029" s="1">
        <v>44895</v>
      </c>
      <c r="C1029" t="s">
        <v>29</v>
      </c>
      <c r="D1029" t="s">
        <v>30</v>
      </c>
      <c r="E1029">
        <v>150527.20000000001</v>
      </c>
      <c r="F1029">
        <v>40</v>
      </c>
      <c r="G1029" t="s">
        <v>16</v>
      </c>
      <c r="H1029">
        <v>1607.97</v>
      </c>
      <c r="I1029">
        <v>4046.43</v>
      </c>
      <c r="J1029" t="s">
        <v>27</v>
      </c>
      <c r="K1029">
        <v>7.0000000000000007E-2</v>
      </c>
      <c r="L1029" t="s">
        <v>18</v>
      </c>
      <c r="M1029" t="s">
        <v>19</v>
      </c>
    </row>
    <row r="1030" spans="1:13" x14ac:dyDescent="0.35">
      <c r="A1030">
        <v>1014</v>
      </c>
      <c r="B1030" s="1">
        <v>44896</v>
      </c>
      <c r="C1030" t="s">
        <v>29</v>
      </c>
      <c r="D1030" t="s">
        <v>23</v>
      </c>
      <c r="E1030">
        <v>53408.81</v>
      </c>
      <c r="F1030">
        <v>13</v>
      </c>
      <c r="G1030" t="s">
        <v>24</v>
      </c>
      <c r="H1030">
        <v>3950.64</v>
      </c>
      <c r="I1030">
        <v>4243.03</v>
      </c>
      <c r="J1030" t="s">
        <v>27</v>
      </c>
      <c r="K1030">
        <v>0.03</v>
      </c>
      <c r="L1030" t="s">
        <v>18</v>
      </c>
      <c r="M1030" t="s">
        <v>21</v>
      </c>
    </row>
    <row r="1031" spans="1:13" x14ac:dyDescent="0.35">
      <c r="A1031">
        <v>1057</v>
      </c>
      <c r="B1031" s="1">
        <v>44896</v>
      </c>
      <c r="C1031" t="s">
        <v>14</v>
      </c>
      <c r="D1031" t="s">
        <v>23</v>
      </c>
      <c r="E1031">
        <v>6564.6</v>
      </c>
      <c r="F1031">
        <v>3</v>
      </c>
      <c r="G1031" t="s">
        <v>16</v>
      </c>
      <c r="H1031">
        <v>534.89</v>
      </c>
      <c r="I1031">
        <v>2701.48</v>
      </c>
      <c r="J1031" t="s">
        <v>27</v>
      </c>
      <c r="K1031">
        <v>0.19</v>
      </c>
      <c r="L1031" t="s">
        <v>18</v>
      </c>
      <c r="M1031" t="s">
        <v>19</v>
      </c>
    </row>
    <row r="1032" spans="1:13" x14ac:dyDescent="0.35">
      <c r="A1032">
        <v>1056</v>
      </c>
      <c r="B1032" s="1">
        <v>44896</v>
      </c>
      <c r="C1032" t="s">
        <v>22</v>
      </c>
      <c r="D1032" t="s">
        <v>30</v>
      </c>
      <c r="E1032">
        <v>62475.81</v>
      </c>
      <c r="F1032">
        <v>22</v>
      </c>
      <c r="G1032" t="s">
        <v>16</v>
      </c>
      <c r="H1032">
        <v>2522.5100000000002</v>
      </c>
      <c r="I1032">
        <v>3944.18</v>
      </c>
      <c r="J1032" t="s">
        <v>17</v>
      </c>
      <c r="K1032">
        <v>0.28000000000000003</v>
      </c>
      <c r="L1032" t="s">
        <v>18</v>
      </c>
      <c r="M1032" t="s">
        <v>21</v>
      </c>
    </row>
    <row r="1033" spans="1:13" x14ac:dyDescent="0.35">
      <c r="A1033">
        <v>1099</v>
      </c>
      <c r="B1033" s="1">
        <v>44896</v>
      </c>
      <c r="C1033" t="s">
        <v>33</v>
      </c>
      <c r="D1033" t="s">
        <v>20</v>
      </c>
      <c r="E1033">
        <v>153372.45000000001</v>
      </c>
      <c r="F1033">
        <v>35</v>
      </c>
      <c r="G1033" t="s">
        <v>31</v>
      </c>
      <c r="H1033">
        <v>3980.75</v>
      </c>
      <c r="I1033">
        <v>4471.5</v>
      </c>
      <c r="J1033" t="s">
        <v>17</v>
      </c>
      <c r="K1033">
        <v>0.02</v>
      </c>
      <c r="L1033" t="s">
        <v>18</v>
      </c>
      <c r="M1033" t="s">
        <v>21</v>
      </c>
    </row>
    <row r="1034" spans="1:13" x14ac:dyDescent="0.35">
      <c r="A1034">
        <v>1097</v>
      </c>
      <c r="B1034" s="1">
        <v>44896</v>
      </c>
      <c r="C1034" t="s">
        <v>29</v>
      </c>
      <c r="D1034" t="s">
        <v>15</v>
      </c>
      <c r="E1034">
        <v>171508.85</v>
      </c>
      <c r="F1034">
        <v>39</v>
      </c>
      <c r="G1034" t="s">
        <v>31</v>
      </c>
      <c r="H1034">
        <v>3981.81</v>
      </c>
      <c r="I1034">
        <v>4472.7299999999996</v>
      </c>
      <c r="J1034" t="s">
        <v>17</v>
      </c>
      <c r="K1034">
        <v>0.02</v>
      </c>
      <c r="L1034" t="s">
        <v>25</v>
      </c>
      <c r="M1034" t="s">
        <v>21</v>
      </c>
    </row>
    <row r="1035" spans="1:13" x14ac:dyDescent="0.35">
      <c r="A1035">
        <v>1001</v>
      </c>
      <c r="B1035" s="1">
        <v>44897</v>
      </c>
      <c r="C1035" t="s">
        <v>22</v>
      </c>
      <c r="D1035" t="s">
        <v>23</v>
      </c>
      <c r="E1035">
        <v>49613.83</v>
      </c>
      <c r="F1035">
        <v>14</v>
      </c>
      <c r="G1035" t="s">
        <v>24</v>
      </c>
      <c r="H1035">
        <v>3437.53</v>
      </c>
      <c r="I1035">
        <v>4485.88</v>
      </c>
      <c r="J1035" t="s">
        <v>17</v>
      </c>
      <c r="K1035">
        <v>0.21</v>
      </c>
      <c r="L1035" t="s">
        <v>18</v>
      </c>
      <c r="M1035" t="s">
        <v>19</v>
      </c>
    </row>
    <row r="1036" spans="1:13" x14ac:dyDescent="0.35">
      <c r="A1036">
        <v>1051</v>
      </c>
      <c r="B1036" s="1">
        <v>44897</v>
      </c>
      <c r="C1036" t="s">
        <v>33</v>
      </c>
      <c r="D1036" t="s">
        <v>30</v>
      </c>
      <c r="E1036">
        <v>34887.14</v>
      </c>
      <c r="F1036">
        <v>17</v>
      </c>
      <c r="G1036" t="s">
        <v>31</v>
      </c>
      <c r="H1036">
        <v>927.72</v>
      </c>
      <c r="I1036">
        <v>2206.65</v>
      </c>
      <c r="J1036" t="s">
        <v>27</v>
      </c>
      <c r="K1036">
        <v>7.0000000000000007E-2</v>
      </c>
      <c r="L1036" t="s">
        <v>28</v>
      </c>
      <c r="M1036" t="s">
        <v>21</v>
      </c>
    </row>
    <row r="1037" spans="1:13" x14ac:dyDescent="0.35">
      <c r="A1037">
        <v>1026</v>
      </c>
      <c r="B1037" s="1">
        <v>44898</v>
      </c>
      <c r="C1037" t="s">
        <v>33</v>
      </c>
      <c r="D1037" t="s">
        <v>15</v>
      </c>
      <c r="E1037">
        <v>93631.72</v>
      </c>
      <c r="F1037">
        <v>29</v>
      </c>
      <c r="G1037" t="s">
        <v>26</v>
      </c>
      <c r="H1037">
        <v>1911.84</v>
      </c>
      <c r="I1037">
        <v>3548</v>
      </c>
      <c r="J1037" t="s">
        <v>17</v>
      </c>
      <c r="K1037">
        <v>0.09</v>
      </c>
      <c r="L1037" t="s">
        <v>25</v>
      </c>
      <c r="M1037" t="s">
        <v>21</v>
      </c>
    </row>
    <row r="1038" spans="1:13" x14ac:dyDescent="0.35">
      <c r="A1038">
        <v>1012</v>
      </c>
      <c r="B1038" s="1">
        <v>44899</v>
      </c>
      <c r="C1038" t="s">
        <v>32</v>
      </c>
      <c r="D1038" t="s">
        <v>20</v>
      </c>
      <c r="E1038">
        <v>23094.9</v>
      </c>
      <c r="F1038">
        <v>6</v>
      </c>
      <c r="G1038" t="s">
        <v>31</v>
      </c>
      <c r="H1038">
        <v>2351.48</v>
      </c>
      <c r="I1038">
        <v>4424.3100000000004</v>
      </c>
      <c r="J1038" t="s">
        <v>17</v>
      </c>
      <c r="K1038">
        <v>0.13</v>
      </c>
      <c r="L1038" t="s">
        <v>25</v>
      </c>
      <c r="M1038" t="s">
        <v>21</v>
      </c>
    </row>
    <row r="1039" spans="1:13" x14ac:dyDescent="0.35">
      <c r="A1039">
        <v>1019</v>
      </c>
      <c r="B1039" s="1">
        <v>44899</v>
      </c>
      <c r="C1039" t="s">
        <v>32</v>
      </c>
      <c r="D1039" t="s">
        <v>20</v>
      </c>
      <c r="E1039">
        <v>124263.54</v>
      </c>
      <c r="F1039">
        <v>47</v>
      </c>
      <c r="G1039" t="s">
        <v>24</v>
      </c>
      <c r="H1039">
        <v>1860.15</v>
      </c>
      <c r="I1039">
        <v>2970.68</v>
      </c>
      <c r="J1039" t="s">
        <v>27</v>
      </c>
      <c r="K1039">
        <v>0.11</v>
      </c>
      <c r="L1039" t="s">
        <v>18</v>
      </c>
      <c r="M1039" t="s">
        <v>19</v>
      </c>
    </row>
    <row r="1040" spans="1:13" x14ac:dyDescent="0.35">
      <c r="A1040">
        <v>1019</v>
      </c>
      <c r="B1040" s="1">
        <v>44900</v>
      </c>
      <c r="C1040" t="s">
        <v>33</v>
      </c>
      <c r="D1040" t="s">
        <v>30</v>
      </c>
      <c r="E1040">
        <v>139576.87</v>
      </c>
      <c r="F1040">
        <v>28</v>
      </c>
      <c r="G1040" t="s">
        <v>24</v>
      </c>
      <c r="H1040">
        <v>4790.6499999999996</v>
      </c>
      <c r="I1040">
        <v>5139.0600000000004</v>
      </c>
      <c r="J1040" t="s">
        <v>17</v>
      </c>
      <c r="K1040">
        <v>0.03</v>
      </c>
      <c r="L1040" t="s">
        <v>18</v>
      </c>
      <c r="M1040" t="s">
        <v>19</v>
      </c>
    </row>
    <row r="1041" spans="1:13" x14ac:dyDescent="0.35">
      <c r="A1041">
        <v>1067</v>
      </c>
      <c r="B1041" s="1">
        <v>44900</v>
      </c>
      <c r="C1041" t="s">
        <v>14</v>
      </c>
      <c r="D1041" t="s">
        <v>23</v>
      </c>
      <c r="E1041">
        <v>81808.990000000005</v>
      </c>
      <c r="F1041">
        <v>16</v>
      </c>
      <c r="G1041" t="s">
        <v>24</v>
      </c>
      <c r="H1041">
        <v>4156.5600000000004</v>
      </c>
      <c r="I1041">
        <v>5191.76</v>
      </c>
      <c r="J1041" t="s">
        <v>17</v>
      </c>
      <c r="K1041">
        <v>0.02</v>
      </c>
      <c r="L1041" t="s">
        <v>18</v>
      </c>
      <c r="M1041" t="s">
        <v>19</v>
      </c>
    </row>
    <row r="1042" spans="1:13" x14ac:dyDescent="0.35">
      <c r="A1042">
        <v>1010</v>
      </c>
      <c r="B1042" s="1">
        <v>44900</v>
      </c>
      <c r="C1042" t="s">
        <v>14</v>
      </c>
      <c r="D1042" t="s">
        <v>30</v>
      </c>
      <c r="E1042">
        <v>124661.02</v>
      </c>
      <c r="F1042">
        <v>34</v>
      </c>
      <c r="G1042" t="s">
        <v>26</v>
      </c>
      <c r="H1042">
        <v>183.74</v>
      </c>
      <c r="I1042">
        <v>4313.53</v>
      </c>
      <c r="J1042" t="s">
        <v>17</v>
      </c>
      <c r="K1042">
        <v>0.15</v>
      </c>
      <c r="L1042" t="s">
        <v>28</v>
      </c>
      <c r="M1042" t="s">
        <v>19</v>
      </c>
    </row>
    <row r="1043" spans="1:13" x14ac:dyDescent="0.35">
      <c r="A1043">
        <v>1100</v>
      </c>
      <c r="B1043" s="1">
        <v>44901</v>
      </c>
      <c r="C1043" t="s">
        <v>22</v>
      </c>
      <c r="D1043" t="s">
        <v>15</v>
      </c>
      <c r="E1043">
        <v>104119.55</v>
      </c>
      <c r="F1043">
        <v>41</v>
      </c>
      <c r="G1043" t="s">
        <v>24</v>
      </c>
      <c r="H1043">
        <v>1741.62</v>
      </c>
      <c r="I1043">
        <v>3059.64</v>
      </c>
      <c r="J1043" t="s">
        <v>27</v>
      </c>
      <c r="K1043">
        <v>0.17</v>
      </c>
      <c r="L1043" t="s">
        <v>28</v>
      </c>
      <c r="M1043" t="s">
        <v>21</v>
      </c>
    </row>
    <row r="1044" spans="1:13" x14ac:dyDescent="0.35">
      <c r="A1044">
        <v>1073</v>
      </c>
      <c r="B1044" s="1">
        <v>44902</v>
      </c>
      <c r="C1044" t="s">
        <v>33</v>
      </c>
      <c r="D1044" t="s">
        <v>15</v>
      </c>
      <c r="E1044">
        <v>35496.080000000002</v>
      </c>
      <c r="F1044">
        <v>10</v>
      </c>
      <c r="G1044" t="s">
        <v>16</v>
      </c>
      <c r="H1044">
        <v>2753.13</v>
      </c>
      <c r="I1044">
        <v>3666.69</v>
      </c>
      <c r="J1044" t="s">
        <v>27</v>
      </c>
      <c r="K1044">
        <v>0.03</v>
      </c>
      <c r="L1044" t="s">
        <v>25</v>
      </c>
      <c r="M1044" t="s">
        <v>21</v>
      </c>
    </row>
    <row r="1045" spans="1:13" x14ac:dyDescent="0.35">
      <c r="A1045">
        <v>1044</v>
      </c>
      <c r="B1045" s="1">
        <v>44902</v>
      </c>
      <c r="C1045" t="s">
        <v>29</v>
      </c>
      <c r="D1045" t="s">
        <v>30</v>
      </c>
      <c r="E1045">
        <v>126352.52</v>
      </c>
      <c r="F1045">
        <v>24</v>
      </c>
      <c r="G1045" t="s">
        <v>16</v>
      </c>
      <c r="H1045">
        <v>4816.04</v>
      </c>
      <c r="I1045">
        <v>5470.6</v>
      </c>
      <c r="J1045" t="s">
        <v>27</v>
      </c>
      <c r="K1045">
        <v>0.04</v>
      </c>
      <c r="L1045" t="s">
        <v>18</v>
      </c>
      <c r="M1045" t="s">
        <v>19</v>
      </c>
    </row>
    <row r="1046" spans="1:13" x14ac:dyDescent="0.35">
      <c r="A1046">
        <v>1076</v>
      </c>
      <c r="B1046" s="1">
        <v>44902</v>
      </c>
      <c r="C1046" t="s">
        <v>32</v>
      </c>
      <c r="D1046" t="s">
        <v>15</v>
      </c>
      <c r="E1046">
        <v>29729.08</v>
      </c>
      <c r="F1046">
        <v>20</v>
      </c>
      <c r="G1046" t="s">
        <v>24</v>
      </c>
      <c r="H1046">
        <v>349.99</v>
      </c>
      <c r="I1046">
        <v>1516.79</v>
      </c>
      <c r="J1046" t="s">
        <v>27</v>
      </c>
      <c r="K1046">
        <v>0.02</v>
      </c>
      <c r="L1046" t="s">
        <v>28</v>
      </c>
      <c r="M1046" t="s">
        <v>21</v>
      </c>
    </row>
    <row r="1047" spans="1:13" x14ac:dyDescent="0.35">
      <c r="A1047">
        <v>1061</v>
      </c>
      <c r="B1047" s="1">
        <v>44902</v>
      </c>
      <c r="C1047" t="s">
        <v>22</v>
      </c>
      <c r="D1047" t="s">
        <v>15</v>
      </c>
      <c r="E1047">
        <v>48114.5</v>
      </c>
      <c r="F1047">
        <v>21</v>
      </c>
      <c r="G1047" t="s">
        <v>24</v>
      </c>
      <c r="H1047">
        <v>934.73</v>
      </c>
      <c r="I1047">
        <v>2314.31</v>
      </c>
      <c r="J1047" t="s">
        <v>17</v>
      </c>
      <c r="K1047">
        <v>0.01</v>
      </c>
      <c r="L1047" t="s">
        <v>25</v>
      </c>
      <c r="M1047" t="s">
        <v>19</v>
      </c>
    </row>
    <row r="1048" spans="1:13" x14ac:dyDescent="0.35">
      <c r="A1048">
        <v>1056</v>
      </c>
      <c r="B1048" s="1">
        <v>44903</v>
      </c>
      <c r="C1048" t="s">
        <v>32</v>
      </c>
      <c r="D1048" t="s">
        <v>15</v>
      </c>
      <c r="E1048">
        <v>18572.59</v>
      </c>
      <c r="F1048">
        <v>46</v>
      </c>
      <c r="G1048" t="s">
        <v>16</v>
      </c>
      <c r="H1048">
        <v>313.49</v>
      </c>
      <c r="I1048">
        <v>504.69</v>
      </c>
      <c r="J1048" t="s">
        <v>17</v>
      </c>
      <c r="K1048">
        <v>0.2</v>
      </c>
      <c r="L1048" t="s">
        <v>18</v>
      </c>
      <c r="M1048" t="s">
        <v>21</v>
      </c>
    </row>
    <row r="1049" spans="1:13" x14ac:dyDescent="0.35">
      <c r="A1049">
        <v>1059</v>
      </c>
      <c r="B1049" s="1">
        <v>44903</v>
      </c>
      <c r="C1049" t="s">
        <v>33</v>
      </c>
      <c r="D1049" t="s">
        <v>15</v>
      </c>
      <c r="E1049">
        <v>96452.97</v>
      </c>
      <c r="F1049">
        <v>35</v>
      </c>
      <c r="G1049" t="s">
        <v>26</v>
      </c>
      <c r="H1049">
        <v>502.87</v>
      </c>
      <c r="I1049">
        <v>2812.04</v>
      </c>
      <c r="J1049" t="s">
        <v>17</v>
      </c>
      <c r="K1049">
        <v>0.02</v>
      </c>
      <c r="L1049" t="s">
        <v>28</v>
      </c>
      <c r="M1049" t="s">
        <v>21</v>
      </c>
    </row>
    <row r="1050" spans="1:13" x14ac:dyDescent="0.35">
      <c r="A1050">
        <v>1031</v>
      </c>
      <c r="B1050" s="1">
        <v>44904</v>
      </c>
      <c r="C1050" t="s">
        <v>14</v>
      </c>
      <c r="D1050" t="s">
        <v>15</v>
      </c>
      <c r="E1050">
        <v>10012.780000000001</v>
      </c>
      <c r="F1050">
        <v>6</v>
      </c>
      <c r="G1050" t="s">
        <v>24</v>
      </c>
      <c r="H1050">
        <v>1459.91</v>
      </c>
      <c r="I1050">
        <v>1738.33</v>
      </c>
      <c r="J1050" t="s">
        <v>27</v>
      </c>
      <c r="K1050">
        <v>0.04</v>
      </c>
      <c r="L1050" t="s">
        <v>28</v>
      </c>
      <c r="M1050" t="s">
        <v>21</v>
      </c>
    </row>
    <row r="1051" spans="1:13" x14ac:dyDescent="0.35">
      <c r="A1051">
        <v>1044</v>
      </c>
      <c r="B1051" s="1">
        <v>44904</v>
      </c>
      <c r="C1051" t="s">
        <v>14</v>
      </c>
      <c r="D1051" t="s">
        <v>30</v>
      </c>
      <c r="E1051">
        <v>113183.14</v>
      </c>
      <c r="F1051">
        <v>47</v>
      </c>
      <c r="G1051" t="s">
        <v>24</v>
      </c>
      <c r="H1051">
        <v>373.84</v>
      </c>
      <c r="I1051">
        <v>3010.19</v>
      </c>
      <c r="J1051" t="s">
        <v>17</v>
      </c>
      <c r="K1051">
        <v>0.2</v>
      </c>
      <c r="L1051" t="s">
        <v>28</v>
      </c>
      <c r="M1051" t="s">
        <v>21</v>
      </c>
    </row>
    <row r="1052" spans="1:13" x14ac:dyDescent="0.35">
      <c r="A1052">
        <v>1048</v>
      </c>
      <c r="B1052" s="1">
        <v>44905</v>
      </c>
      <c r="C1052" t="s">
        <v>29</v>
      </c>
      <c r="D1052" t="s">
        <v>15</v>
      </c>
      <c r="E1052">
        <v>102097.68</v>
      </c>
      <c r="F1052">
        <v>24</v>
      </c>
      <c r="G1052" t="s">
        <v>31</v>
      </c>
      <c r="H1052">
        <v>2496.9699999999998</v>
      </c>
      <c r="I1052">
        <v>4254.07</v>
      </c>
      <c r="J1052" t="s">
        <v>17</v>
      </c>
      <c r="K1052">
        <v>0</v>
      </c>
      <c r="L1052" t="s">
        <v>18</v>
      </c>
      <c r="M1052" t="s">
        <v>19</v>
      </c>
    </row>
    <row r="1053" spans="1:13" x14ac:dyDescent="0.35">
      <c r="A1053">
        <v>1048</v>
      </c>
      <c r="B1053" s="1">
        <v>44905</v>
      </c>
      <c r="C1053" t="s">
        <v>32</v>
      </c>
      <c r="D1053" t="s">
        <v>15</v>
      </c>
      <c r="E1053">
        <v>171682.71</v>
      </c>
      <c r="F1053">
        <v>49</v>
      </c>
      <c r="G1053" t="s">
        <v>24</v>
      </c>
      <c r="H1053">
        <v>2044.55</v>
      </c>
      <c r="I1053">
        <v>4221.3599999999997</v>
      </c>
      <c r="J1053" t="s">
        <v>27</v>
      </c>
      <c r="K1053">
        <v>0.17</v>
      </c>
      <c r="L1053" t="s">
        <v>18</v>
      </c>
      <c r="M1053" t="s">
        <v>21</v>
      </c>
    </row>
    <row r="1054" spans="1:13" x14ac:dyDescent="0.35">
      <c r="A1054">
        <v>1086</v>
      </c>
      <c r="B1054" s="1">
        <v>44905</v>
      </c>
      <c r="C1054" t="s">
        <v>14</v>
      </c>
      <c r="D1054" t="s">
        <v>30</v>
      </c>
      <c r="E1054">
        <v>96380.52</v>
      </c>
      <c r="F1054">
        <v>21</v>
      </c>
      <c r="G1054" t="s">
        <v>16</v>
      </c>
      <c r="H1054">
        <v>300.29000000000002</v>
      </c>
      <c r="I1054">
        <v>4780.78</v>
      </c>
      <c r="J1054" t="s">
        <v>17</v>
      </c>
      <c r="K1054">
        <v>0.04</v>
      </c>
      <c r="L1054" t="s">
        <v>28</v>
      </c>
      <c r="M1054" t="s">
        <v>19</v>
      </c>
    </row>
    <row r="1055" spans="1:13" x14ac:dyDescent="0.35">
      <c r="A1055">
        <v>1054</v>
      </c>
      <c r="B1055" s="1">
        <v>44906</v>
      </c>
      <c r="C1055" t="s">
        <v>14</v>
      </c>
      <c r="D1055" t="s">
        <v>30</v>
      </c>
      <c r="E1055">
        <v>11956.61</v>
      </c>
      <c r="F1055">
        <v>3</v>
      </c>
      <c r="G1055" t="s">
        <v>31</v>
      </c>
      <c r="H1055">
        <v>679.05</v>
      </c>
      <c r="I1055">
        <v>4529.0200000000004</v>
      </c>
      <c r="J1055" t="s">
        <v>17</v>
      </c>
      <c r="K1055">
        <v>0.12</v>
      </c>
      <c r="L1055" t="s">
        <v>25</v>
      </c>
      <c r="M1055" t="s">
        <v>21</v>
      </c>
    </row>
    <row r="1056" spans="1:13" x14ac:dyDescent="0.35">
      <c r="A1056">
        <v>1070</v>
      </c>
      <c r="B1056" s="1">
        <v>44906</v>
      </c>
      <c r="C1056" t="s">
        <v>14</v>
      </c>
      <c r="D1056" t="s">
        <v>30</v>
      </c>
      <c r="E1056">
        <v>70416.62</v>
      </c>
      <c r="F1056">
        <v>16</v>
      </c>
      <c r="G1056" t="s">
        <v>24</v>
      </c>
      <c r="H1056">
        <v>190.5</v>
      </c>
      <c r="I1056">
        <v>4732.3</v>
      </c>
      <c r="J1056" t="s">
        <v>17</v>
      </c>
      <c r="K1056">
        <v>7.0000000000000007E-2</v>
      </c>
      <c r="L1056" t="s">
        <v>25</v>
      </c>
      <c r="M1056" t="s">
        <v>21</v>
      </c>
    </row>
    <row r="1057" spans="1:13" x14ac:dyDescent="0.35">
      <c r="A1057">
        <v>1047</v>
      </c>
      <c r="B1057" s="1">
        <v>44907</v>
      </c>
      <c r="C1057" t="s">
        <v>22</v>
      </c>
      <c r="D1057" t="s">
        <v>15</v>
      </c>
      <c r="E1057">
        <v>18059.46</v>
      </c>
      <c r="F1057">
        <v>9</v>
      </c>
      <c r="G1057" t="s">
        <v>16</v>
      </c>
      <c r="H1057">
        <v>1033.19</v>
      </c>
      <c r="I1057">
        <v>2711.63</v>
      </c>
      <c r="J1057" t="s">
        <v>27</v>
      </c>
      <c r="K1057">
        <v>0.26</v>
      </c>
      <c r="L1057" t="s">
        <v>18</v>
      </c>
      <c r="M1057" t="s">
        <v>21</v>
      </c>
    </row>
    <row r="1058" spans="1:13" x14ac:dyDescent="0.35">
      <c r="A1058">
        <v>1094</v>
      </c>
      <c r="B1058" s="1">
        <v>44907</v>
      </c>
      <c r="C1058" t="s">
        <v>32</v>
      </c>
      <c r="D1058" t="s">
        <v>20</v>
      </c>
      <c r="E1058">
        <v>28037.08</v>
      </c>
      <c r="F1058">
        <v>7</v>
      </c>
      <c r="G1058" t="s">
        <v>26</v>
      </c>
      <c r="H1058">
        <v>396.52</v>
      </c>
      <c r="I1058">
        <v>4825.66</v>
      </c>
      <c r="J1058" t="s">
        <v>27</v>
      </c>
      <c r="K1058">
        <v>0.17</v>
      </c>
      <c r="L1058" t="s">
        <v>18</v>
      </c>
      <c r="M1058" t="s">
        <v>21</v>
      </c>
    </row>
    <row r="1059" spans="1:13" x14ac:dyDescent="0.35">
      <c r="A1059">
        <v>1076</v>
      </c>
      <c r="B1059" s="1">
        <v>44907</v>
      </c>
      <c r="C1059" t="s">
        <v>22</v>
      </c>
      <c r="D1059" t="s">
        <v>23</v>
      </c>
      <c r="E1059">
        <v>139526.42000000001</v>
      </c>
      <c r="F1059">
        <v>29</v>
      </c>
      <c r="G1059" t="s">
        <v>31</v>
      </c>
      <c r="H1059">
        <v>3866.1</v>
      </c>
      <c r="I1059">
        <v>5060.05</v>
      </c>
      <c r="J1059" t="s">
        <v>27</v>
      </c>
      <c r="K1059">
        <v>0.05</v>
      </c>
      <c r="L1059" t="s">
        <v>28</v>
      </c>
      <c r="M1059" t="s">
        <v>19</v>
      </c>
    </row>
    <row r="1060" spans="1:13" x14ac:dyDescent="0.35">
      <c r="A1060">
        <v>1022</v>
      </c>
      <c r="B1060" s="1">
        <v>44907</v>
      </c>
      <c r="C1060" t="s">
        <v>29</v>
      </c>
      <c r="D1060" t="s">
        <v>23</v>
      </c>
      <c r="E1060">
        <v>60688.43</v>
      </c>
      <c r="F1060">
        <v>16</v>
      </c>
      <c r="G1060" t="s">
        <v>31</v>
      </c>
      <c r="H1060">
        <v>1247.18</v>
      </c>
      <c r="I1060">
        <v>3992.66</v>
      </c>
      <c r="J1060" t="s">
        <v>27</v>
      </c>
      <c r="K1060">
        <v>0.05</v>
      </c>
      <c r="L1060" t="s">
        <v>25</v>
      </c>
      <c r="M1060" t="s">
        <v>21</v>
      </c>
    </row>
    <row r="1061" spans="1:13" x14ac:dyDescent="0.35">
      <c r="A1061">
        <v>1053</v>
      </c>
      <c r="B1061" s="1">
        <v>44907</v>
      </c>
      <c r="C1061" t="s">
        <v>22</v>
      </c>
      <c r="D1061" t="s">
        <v>30</v>
      </c>
      <c r="E1061">
        <v>72814.460000000006</v>
      </c>
      <c r="F1061">
        <v>18</v>
      </c>
      <c r="G1061" t="s">
        <v>24</v>
      </c>
      <c r="H1061">
        <v>536.59</v>
      </c>
      <c r="I1061">
        <v>4213.8</v>
      </c>
      <c r="J1061" t="s">
        <v>17</v>
      </c>
      <c r="K1061">
        <v>0.04</v>
      </c>
      <c r="L1061" t="s">
        <v>28</v>
      </c>
      <c r="M1061" t="s">
        <v>19</v>
      </c>
    </row>
    <row r="1062" spans="1:13" x14ac:dyDescent="0.35">
      <c r="A1062">
        <v>1037</v>
      </c>
      <c r="B1062" s="1">
        <v>44908</v>
      </c>
      <c r="C1062" t="s">
        <v>14</v>
      </c>
      <c r="D1062" t="s">
        <v>20</v>
      </c>
      <c r="E1062">
        <v>8188.65</v>
      </c>
      <c r="F1062">
        <v>8</v>
      </c>
      <c r="G1062" t="s">
        <v>26</v>
      </c>
      <c r="H1062">
        <v>963.9</v>
      </c>
      <c r="I1062">
        <v>1248.27</v>
      </c>
      <c r="J1062" t="s">
        <v>17</v>
      </c>
      <c r="K1062">
        <v>0.18</v>
      </c>
      <c r="L1062" t="s">
        <v>28</v>
      </c>
      <c r="M1062" t="s">
        <v>21</v>
      </c>
    </row>
    <row r="1063" spans="1:13" x14ac:dyDescent="0.35">
      <c r="A1063">
        <v>1004</v>
      </c>
      <c r="B1063" s="1">
        <v>44908</v>
      </c>
      <c r="C1063" t="s">
        <v>33</v>
      </c>
      <c r="D1063" t="s">
        <v>15</v>
      </c>
      <c r="E1063">
        <v>108189.15</v>
      </c>
      <c r="F1063">
        <v>31</v>
      </c>
      <c r="G1063" t="s">
        <v>16</v>
      </c>
      <c r="H1063">
        <v>3255.11</v>
      </c>
      <c r="I1063">
        <v>3644.43</v>
      </c>
      <c r="J1063" t="s">
        <v>17</v>
      </c>
      <c r="K1063">
        <v>0.04</v>
      </c>
      <c r="L1063" t="s">
        <v>25</v>
      </c>
      <c r="M1063" t="s">
        <v>19</v>
      </c>
    </row>
    <row r="1064" spans="1:13" x14ac:dyDescent="0.35">
      <c r="A1064">
        <v>1060</v>
      </c>
      <c r="B1064" s="1">
        <v>44908</v>
      </c>
      <c r="C1064" t="s">
        <v>22</v>
      </c>
      <c r="D1064" t="s">
        <v>15</v>
      </c>
      <c r="E1064">
        <v>52874.76</v>
      </c>
      <c r="F1064">
        <v>12</v>
      </c>
      <c r="G1064" t="s">
        <v>26</v>
      </c>
      <c r="H1064">
        <v>3407.31</v>
      </c>
      <c r="I1064">
        <v>5183.8</v>
      </c>
      <c r="J1064" t="s">
        <v>17</v>
      </c>
      <c r="K1064">
        <v>0.15</v>
      </c>
      <c r="L1064" t="s">
        <v>25</v>
      </c>
      <c r="M1064" t="s">
        <v>19</v>
      </c>
    </row>
    <row r="1065" spans="1:13" x14ac:dyDescent="0.35">
      <c r="A1065">
        <v>1004</v>
      </c>
      <c r="B1065" s="1">
        <v>44908</v>
      </c>
      <c r="C1065" t="s">
        <v>29</v>
      </c>
      <c r="D1065" t="s">
        <v>20</v>
      </c>
      <c r="E1065">
        <v>137524.18</v>
      </c>
      <c r="F1065">
        <v>40</v>
      </c>
      <c r="G1065" t="s">
        <v>31</v>
      </c>
      <c r="H1065">
        <v>1244.8800000000001</v>
      </c>
      <c r="I1065">
        <v>3508.27</v>
      </c>
      <c r="J1065" t="s">
        <v>17</v>
      </c>
      <c r="K1065">
        <v>0.02</v>
      </c>
      <c r="L1065" t="s">
        <v>18</v>
      </c>
      <c r="M1065" t="s">
        <v>19</v>
      </c>
    </row>
    <row r="1066" spans="1:13" x14ac:dyDescent="0.35">
      <c r="A1066">
        <v>1064</v>
      </c>
      <c r="B1066" s="1">
        <v>44909</v>
      </c>
      <c r="C1066" t="s">
        <v>29</v>
      </c>
      <c r="D1066" t="s">
        <v>23</v>
      </c>
      <c r="E1066">
        <v>134269.16</v>
      </c>
      <c r="F1066">
        <v>32</v>
      </c>
      <c r="G1066" t="s">
        <v>26</v>
      </c>
      <c r="H1066">
        <v>4153.2</v>
      </c>
      <c r="I1066">
        <v>4256</v>
      </c>
      <c r="J1066" t="s">
        <v>17</v>
      </c>
      <c r="K1066">
        <v>0.01</v>
      </c>
      <c r="L1066" t="s">
        <v>18</v>
      </c>
      <c r="M1066" t="s">
        <v>19</v>
      </c>
    </row>
    <row r="1067" spans="1:13" x14ac:dyDescent="0.35">
      <c r="A1067">
        <v>1087</v>
      </c>
      <c r="B1067" s="1">
        <v>44909</v>
      </c>
      <c r="C1067" t="s">
        <v>33</v>
      </c>
      <c r="D1067" t="s">
        <v>20</v>
      </c>
      <c r="E1067">
        <v>26357.18</v>
      </c>
      <c r="F1067">
        <v>14</v>
      </c>
      <c r="G1067" t="s">
        <v>31</v>
      </c>
      <c r="H1067">
        <v>925.24</v>
      </c>
      <c r="I1067">
        <v>2614.8000000000002</v>
      </c>
      <c r="J1067" t="s">
        <v>27</v>
      </c>
      <c r="K1067">
        <v>0.28000000000000003</v>
      </c>
      <c r="L1067" t="s">
        <v>28</v>
      </c>
      <c r="M1067" t="s">
        <v>19</v>
      </c>
    </row>
    <row r="1068" spans="1:13" x14ac:dyDescent="0.35">
      <c r="A1068">
        <v>1068</v>
      </c>
      <c r="B1068" s="1">
        <v>44910</v>
      </c>
      <c r="C1068" t="s">
        <v>29</v>
      </c>
      <c r="D1068" t="s">
        <v>23</v>
      </c>
      <c r="E1068">
        <v>8445.11</v>
      </c>
      <c r="F1068">
        <v>17</v>
      </c>
      <c r="G1068" t="s">
        <v>16</v>
      </c>
      <c r="H1068">
        <v>345.41</v>
      </c>
      <c r="I1068">
        <v>517.47</v>
      </c>
      <c r="J1068" t="s">
        <v>17</v>
      </c>
      <c r="K1068">
        <v>0.04</v>
      </c>
      <c r="L1068" t="s">
        <v>28</v>
      </c>
      <c r="M1068" t="s">
        <v>19</v>
      </c>
    </row>
    <row r="1069" spans="1:13" x14ac:dyDescent="0.35">
      <c r="A1069">
        <v>1071</v>
      </c>
      <c r="B1069" s="1">
        <v>44910</v>
      </c>
      <c r="C1069" t="s">
        <v>32</v>
      </c>
      <c r="D1069" t="s">
        <v>30</v>
      </c>
      <c r="E1069">
        <v>11612.13</v>
      </c>
      <c r="F1069">
        <v>24</v>
      </c>
      <c r="G1069" t="s">
        <v>16</v>
      </c>
      <c r="H1069">
        <v>360.66</v>
      </c>
      <c r="I1069">
        <v>636.63</v>
      </c>
      <c r="J1069" t="s">
        <v>17</v>
      </c>
      <c r="K1069">
        <v>0.24</v>
      </c>
      <c r="L1069" t="s">
        <v>25</v>
      </c>
      <c r="M1069" t="s">
        <v>21</v>
      </c>
    </row>
    <row r="1070" spans="1:13" x14ac:dyDescent="0.35">
      <c r="A1070">
        <v>1086</v>
      </c>
      <c r="B1070" s="1">
        <v>44911</v>
      </c>
      <c r="C1070" t="s">
        <v>29</v>
      </c>
      <c r="D1070" t="s">
        <v>15</v>
      </c>
      <c r="E1070">
        <v>94893.63</v>
      </c>
      <c r="F1070">
        <v>22</v>
      </c>
      <c r="G1070" t="s">
        <v>24</v>
      </c>
      <c r="H1070">
        <v>4257.99</v>
      </c>
      <c r="I1070">
        <v>4957.87</v>
      </c>
      <c r="J1070" t="s">
        <v>17</v>
      </c>
      <c r="K1070">
        <v>0.13</v>
      </c>
      <c r="L1070" t="s">
        <v>28</v>
      </c>
      <c r="M1070" t="s">
        <v>19</v>
      </c>
    </row>
    <row r="1071" spans="1:13" x14ac:dyDescent="0.35">
      <c r="A1071">
        <v>1066</v>
      </c>
      <c r="B1071" s="1">
        <v>44911</v>
      </c>
      <c r="C1071" t="s">
        <v>14</v>
      </c>
      <c r="D1071" t="s">
        <v>15</v>
      </c>
      <c r="E1071">
        <v>130893.55</v>
      </c>
      <c r="F1071">
        <v>32</v>
      </c>
      <c r="G1071" t="s">
        <v>26</v>
      </c>
      <c r="H1071">
        <v>3629.69</v>
      </c>
      <c r="I1071">
        <v>4280.8999999999996</v>
      </c>
      <c r="J1071" t="s">
        <v>17</v>
      </c>
      <c r="K1071">
        <v>0.04</v>
      </c>
      <c r="L1071" t="s">
        <v>25</v>
      </c>
      <c r="M1071" t="s">
        <v>19</v>
      </c>
    </row>
    <row r="1072" spans="1:13" x14ac:dyDescent="0.35">
      <c r="A1072">
        <v>1090</v>
      </c>
      <c r="B1072" s="1">
        <v>44911</v>
      </c>
      <c r="C1072" t="s">
        <v>22</v>
      </c>
      <c r="D1072" t="s">
        <v>30</v>
      </c>
      <c r="E1072">
        <v>105662.49</v>
      </c>
      <c r="F1072">
        <v>29</v>
      </c>
      <c r="G1072" t="s">
        <v>16</v>
      </c>
      <c r="H1072">
        <v>2723.34</v>
      </c>
      <c r="I1072">
        <v>3876.1</v>
      </c>
      <c r="J1072" t="s">
        <v>27</v>
      </c>
      <c r="K1072">
        <v>0.06</v>
      </c>
      <c r="L1072" t="s">
        <v>28</v>
      </c>
      <c r="M1072" t="s">
        <v>19</v>
      </c>
    </row>
    <row r="1073" spans="1:13" x14ac:dyDescent="0.35">
      <c r="A1073">
        <v>1088</v>
      </c>
      <c r="B1073" s="1">
        <v>44912</v>
      </c>
      <c r="C1073" t="s">
        <v>33</v>
      </c>
      <c r="D1073" t="s">
        <v>30</v>
      </c>
      <c r="E1073">
        <v>31805.54</v>
      </c>
      <c r="F1073">
        <v>9</v>
      </c>
      <c r="G1073" t="s">
        <v>26</v>
      </c>
      <c r="H1073">
        <v>2945.48</v>
      </c>
      <c r="I1073">
        <v>3883.46</v>
      </c>
      <c r="J1073" t="s">
        <v>27</v>
      </c>
      <c r="K1073">
        <v>0.09</v>
      </c>
      <c r="L1073" t="s">
        <v>28</v>
      </c>
      <c r="M1073" t="s">
        <v>19</v>
      </c>
    </row>
    <row r="1074" spans="1:13" x14ac:dyDescent="0.35">
      <c r="A1074">
        <v>1040</v>
      </c>
      <c r="B1074" s="1">
        <v>44912</v>
      </c>
      <c r="C1074" t="s">
        <v>33</v>
      </c>
      <c r="D1074" t="s">
        <v>30</v>
      </c>
      <c r="E1074">
        <v>35164.870000000003</v>
      </c>
      <c r="F1074">
        <v>9</v>
      </c>
      <c r="G1074" t="s">
        <v>26</v>
      </c>
      <c r="H1074">
        <v>3217.23</v>
      </c>
      <c r="I1074">
        <v>4884.01</v>
      </c>
      <c r="J1074" t="s">
        <v>27</v>
      </c>
      <c r="K1074">
        <v>0.2</v>
      </c>
      <c r="L1074" t="s">
        <v>28</v>
      </c>
      <c r="M1074" t="s">
        <v>19</v>
      </c>
    </row>
    <row r="1075" spans="1:13" x14ac:dyDescent="0.35">
      <c r="A1075">
        <v>1048</v>
      </c>
      <c r="B1075" s="1">
        <v>44912</v>
      </c>
      <c r="C1075" t="s">
        <v>29</v>
      </c>
      <c r="D1075" t="s">
        <v>15</v>
      </c>
      <c r="E1075">
        <v>151284.19</v>
      </c>
      <c r="F1075">
        <v>47</v>
      </c>
      <c r="G1075" t="s">
        <v>16</v>
      </c>
      <c r="H1075">
        <v>2604</v>
      </c>
      <c r="I1075">
        <v>4291.75</v>
      </c>
      <c r="J1075" t="s">
        <v>17</v>
      </c>
      <c r="K1075">
        <v>0.25</v>
      </c>
      <c r="L1075" t="s">
        <v>18</v>
      </c>
      <c r="M1075" t="s">
        <v>19</v>
      </c>
    </row>
    <row r="1076" spans="1:13" x14ac:dyDescent="0.35">
      <c r="A1076">
        <v>1090</v>
      </c>
      <c r="B1076" s="1">
        <v>44912</v>
      </c>
      <c r="C1076" t="s">
        <v>14</v>
      </c>
      <c r="D1076" t="s">
        <v>15</v>
      </c>
      <c r="E1076">
        <v>98903.039999999994</v>
      </c>
      <c r="F1076">
        <v>22</v>
      </c>
      <c r="G1076" t="s">
        <v>26</v>
      </c>
      <c r="H1076">
        <v>3171.03</v>
      </c>
      <c r="I1076">
        <v>5482.43</v>
      </c>
      <c r="J1076" t="s">
        <v>17</v>
      </c>
      <c r="K1076">
        <v>0.18</v>
      </c>
      <c r="L1076" t="s">
        <v>18</v>
      </c>
      <c r="M1076" t="s">
        <v>21</v>
      </c>
    </row>
    <row r="1077" spans="1:13" x14ac:dyDescent="0.35">
      <c r="A1077">
        <v>1036</v>
      </c>
      <c r="B1077" s="1">
        <v>44913</v>
      </c>
      <c r="C1077" t="s">
        <v>32</v>
      </c>
      <c r="D1077" t="s">
        <v>15</v>
      </c>
      <c r="E1077">
        <v>82838.47</v>
      </c>
      <c r="F1077">
        <v>35</v>
      </c>
      <c r="G1077" t="s">
        <v>24</v>
      </c>
      <c r="H1077">
        <v>1841.66</v>
      </c>
      <c r="I1077">
        <v>3333.54</v>
      </c>
      <c r="J1077" t="s">
        <v>17</v>
      </c>
      <c r="K1077">
        <v>0.28999999999999998</v>
      </c>
      <c r="L1077" t="s">
        <v>18</v>
      </c>
      <c r="M1077" t="s">
        <v>21</v>
      </c>
    </row>
    <row r="1078" spans="1:13" x14ac:dyDescent="0.35">
      <c r="A1078">
        <v>1024</v>
      </c>
      <c r="B1078" s="1">
        <v>44913</v>
      </c>
      <c r="C1078" t="s">
        <v>14</v>
      </c>
      <c r="D1078" t="s">
        <v>20</v>
      </c>
      <c r="E1078">
        <v>96953.61</v>
      </c>
      <c r="F1078">
        <v>43</v>
      </c>
      <c r="G1078" t="s">
        <v>31</v>
      </c>
      <c r="H1078">
        <v>940.19</v>
      </c>
      <c r="I1078">
        <v>3221.05</v>
      </c>
      <c r="J1078" t="s">
        <v>27</v>
      </c>
      <c r="K1078">
        <v>0.3</v>
      </c>
      <c r="L1078" t="s">
        <v>25</v>
      </c>
      <c r="M1078" t="s">
        <v>21</v>
      </c>
    </row>
    <row r="1079" spans="1:13" x14ac:dyDescent="0.35">
      <c r="A1079">
        <v>1041</v>
      </c>
      <c r="B1079" s="1">
        <v>44914</v>
      </c>
      <c r="C1079" t="s">
        <v>14</v>
      </c>
      <c r="D1079" t="s">
        <v>20</v>
      </c>
      <c r="E1079">
        <v>19804.14</v>
      </c>
      <c r="F1079">
        <v>5</v>
      </c>
      <c r="G1079" t="s">
        <v>24</v>
      </c>
      <c r="H1079">
        <v>3042.98</v>
      </c>
      <c r="I1079">
        <v>4500.9399999999996</v>
      </c>
      <c r="J1079" t="s">
        <v>27</v>
      </c>
      <c r="K1079">
        <v>0.12</v>
      </c>
      <c r="L1079" t="s">
        <v>18</v>
      </c>
      <c r="M1079" t="s">
        <v>19</v>
      </c>
    </row>
    <row r="1080" spans="1:13" x14ac:dyDescent="0.35">
      <c r="A1080">
        <v>1016</v>
      </c>
      <c r="B1080" s="1">
        <v>44914</v>
      </c>
      <c r="C1080" t="s">
        <v>33</v>
      </c>
      <c r="D1080" t="s">
        <v>30</v>
      </c>
      <c r="E1080">
        <v>18006.150000000001</v>
      </c>
      <c r="F1080">
        <v>6</v>
      </c>
      <c r="G1080" t="s">
        <v>26</v>
      </c>
      <c r="H1080">
        <v>1374.67</v>
      </c>
      <c r="I1080">
        <v>3192.58</v>
      </c>
      <c r="J1080" t="s">
        <v>27</v>
      </c>
      <c r="K1080">
        <v>0.06</v>
      </c>
      <c r="L1080" t="s">
        <v>28</v>
      </c>
      <c r="M1080" t="s">
        <v>21</v>
      </c>
    </row>
    <row r="1081" spans="1:13" x14ac:dyDescent="0.35">
      <c r="A1081">
        <v>1062</v>
      </c>
      <c r="B1081" s="1">
        <v>44914</v>
      </c>
      <c r="C1081" t="s">
        <v>33</v>
      </c>
      <c r="D1081" t="s">
        <v>20</v>
      </c>
      <c r="E1081">
        <v>81954.09</v>
      </c>
      <c r="F1081">
        <v>23</v>
      </c>
      <c r="G1081" t="s">
        <v>26</v>
      </c>
      <c r="H1081">
        <v>2414.59</v>
      </c>
      <c r="I1081">
        <v>4241.93</v>
      </c>
      <c r="J1081" t="s">
        <v>27</v>
      </c>
      <c r="K1081">
        <v>0.16</v>
      </c>
      <c r="L1081" t="s">
        <v>28</v>
      </c>
      <c r="M1081" t="s">
        <v>19</v>
      </c>
    </row>
    <row r="1082" spans="1:13" x14ac:dyDescent="0.35">
      <c r="A1082">
        <v>1003</v>
      </c>
      <c r="B1082" s="1">
        <v>44915</v>
      </c>
      <c r="C1082" t="s">
        <v>33</v>
      </c>
      <c r="D1082" t="s">
        <v>15</v>
      </c>
      <c r="E1082">
        <v>3806.42</v>
      </c>
      <c r="F1082">
        <v>5</v>
      </c>
      <c r="G1082" t="s">
        <v>31</v>
      </c>
      <c r="H1082">
        <v>673.86</v>
      </c>
      <c r="I1082">
        <v>917.21</v>
      </c>
      <c r="J1082" t="s">
        <v>17</v>
      </c>
      <c r="K1082">
        <v>0.17</v>
      </c>
      <c r="L1082" t="s">
        <v>25</v>
      </c>
      <c r="M1082" t="s">
        <v>19</v>
      </c>
    </row>
    <row r="1083" spans="1:13" x14ac:dyDescent="0.35">
      <c r="A1083">
        <v>1053</v>
      </c>
      <c r="B1083" s="1">
        <v>44915</v>
      </c>
      <c r="C1083" t="s">
        <v>29</v>
      </c>
      <c r="D1083" t="s">
        <v>20</v>
      </c>
      <c r="E1083">
        <v>23312.38</v>
      </c>
      <c r="F1083">
        <v>16</v>
      </c>
      <c r="G1083" t="s">
        <v>31</v>
      </c>
      <c r="H1083">
        <v>1329.64</v>
      </c>
      <c r="I1083">
        <v>1821.28</v>
      </c>
      <c r="J1083" t="s">
        <v>17</v>
      </c>
      <c r="K1083">
        <v>0.2</v>
      </c>
      <c r="L1083" t="s">
        <v>28</v>
      </c>
      <c r="M1083" t="s">
        <v>19</v>
      </c>
    </row>
    <row r="1084" spans="1:13" x14ac:dyDescent="0.35">
      <c r="A1084">
        <v>1014</v>
      </c>
      <c r="B1084" s="1">
        <v>44915</v>
      </c>
      <c r="C1084" t="s">
        <v>14</v>
      </c>
      <c r="D1084" t="s">
        <v>30</v>
      </c>
      <c r="E1084">
        <v>22786.41</v>
      </c>
      <c r="F1084">
        <v>13</v>
      </c>
      <c r="G1084" t="s">
        <v>31</v>
      </c>
      <c r="H1084">
        <v>1279.0899999999999</v>
      </c>
      <c r="I1084">
        <v>2368.65</v>
      </c>
      <c r="J1084" t="s">
        <v>17</v>
      </c>
      <c r="K1084">
        <v>0.26</v>
      </c>
      <c r="L1084" t="s">
        <v>25</v>
      </c>
      <c r="M1084" t="s">
        <v>21</v>
      </c>
    </row>
    <row r="1085" spans="1:13" x14ac:dyDescent="0.35">
      <c r="A1085">
        <v>1072</v>
      </c>
      <c r="B1085" s="1">
        <v>44915</v>
      </c>
      <c r="C1085" t="s">
        <v>33</v>
      </c>
      <c r="D1085" t="s">
        <v>20</v>
      </c>
      <c r="E1085">
        <v>86974.73</v>
      </c>
      <c r="F1085">
        <v>38</v>
      </c>
      <c r="G1085" t="s">
        <v>31</v>
      </c>
      <c r="H1085">
        <v>912.98</v>
      </c>
      <c r="I1085">
        <v>2791.23</v>
      </c>
      <c r="J1085" t="s">
        <v>27</v>
      </c>
      <c r="K1085">
        <v>0.18</v>
      </c>
      <c r="L1085" t="s">
        <v>18</v>
      </c>
      <c r="M1085" t="s">
        <v>21</v>
      </c>
    </row>
    <row r="1086" spans="1:13" x14ac:dyDescent="0.35">
      <c r="A1086">
        <v>1005</v>
      </c>
      <c r="B1086" s="1">
        <v>44916</v>
      </c>
      <c r="C1086" t="s">
        <v>29</v>
      </c>
      <c r="D1086" t="s">
        <v>15</v>
      </c>
      <c r="E1086">
        <v>62827.29</v>
      </c>
      <c r="F1086">
        <v>29</v>
      </c>
      <c r="G1086" t="s">
        <v>26</v>
      </c>
      <c r="H1086">
        <v>1813.47</v>
      </c>
      <c r="I1086">
        <v>2674.64</v>
      </c>
      <c r="J1086" t="s">
        <v>17</v>
      </c>
      <c r="K1086">
        <v>0.19</v>
      </c>
      <c r="L1086" t="s">
        <v>28</v>
      </c>
      <c r="M1086" t="s">
        <v>21</v>
      </c>
    </row>
    <row r="1087" spans="1:13" x14ac:dyDescent="0.35">
      <c r="A1087">
        <v>1078</v>
      </c>
      <c r="B1087" s="1">
        <v>44916</v>
      </c>
      <c r="C1087" t="s">
        <v>33</v>
      </c>
      <c r="D1087" t="s">
        <v>15</v>
      </c>
      <c r="E1087">
        <v>15959.03</v>
      </c>
      <c r="F1087">
        <v>7</v>
      </c>
      <c r="G1087" t="s">
        <v>31</v>
      </c>
      <c r="H1087">
        <v>632.4</v>
      </c>
      <c r="I1087">
        <v>2533.1799999999998</v>
      </c>
      <c r="J1087" t="s">
        <v>17</v>
      </c>
      <c r="K1087">
        <v>0.1</v>
      </c>
      <c r="L1087" t="s">
        <v>25</v>
      </c>
      <c r="M1087" t="s">
        <v>19</v>
      </c>
    </row>
    <row r="1088" spans="1:13" x14ac:dyDescent="0.35">
      <c r="A1088">
        <v>1088</v>
      </c>
      <c r="B1088" s="1">
        <v>44916</v>
      </c>
      <c r="C1088" t="s">
        <v>32</v>
      </c>
      <c r="D1088" t="s">
        <v>23</v>
      </c>
      <c r="E1088">
        <v>60485.83</v>
      </c>
      <c r="F1088">
        <v>23</v>
      </c>
      <c r="G1088" t="s">
        <v>24</v>
      </c>
      <c r="H1088">
        <v>1629.28</v>
      </c>
      <c r="I1088">
        <v>3022.78</v>
      </c>
      <c r="J1088" t="s">
        <v>27</v>
      </c>
      <c r="K1088">
        <v>0.13</v>
      </c>
      <c r="L1088" t="s">
        <v>28</v>
      </c>
      <c r="M1088" t="s">
        <v>21</v>
      </c>
    </row>
    <row r="1089" spans="1:13" x14ac:dyDescent="0.35">
      <c r="A1089">
        <v>1058</v>
      </c>
      <c r="B1089" s="1">
        <v>44917</v>
      </c>
      <c r="C1089" t="s">
        <v>29</v>
      </c>
      <c r="D1089" t="s">
        <v>15</v>
      </c>
      <c r="E1089">
        <v>151412.84</v>
      </c>
      <c r="F1089">
        <v>38</v>
      </c>
      <c r="G1089" t="s">
        <v>31</v>
      </c>
      <c r="H1089">
        <v>3718.24</v>
      </c>
      <c r="I1089">
        <v>4743.51</v>
      </c>
      <c r="J1089" t="s">
        <v>27</v>
      </c>
      <c r="K1089">
        <v>0.16</v>
      </c>
      <c r="L1089" t="s">
        <v>25</v>
      </c>
      <c r="M1089" t="s">
        <v>19</v>
      </c>
    </row>
    <row r="1090" spans="1:13" x14ac:dyDescent="0.35">
      <c r="A1090">
        <v>1085</v>
      </c>
      <c r="B1090" s="1">
        <v>44917</v>
      </c>
      <c r="C1090" t="s">
        <v>33</v>
      </c>
      <c r="D1090" t="s">
        <v>20</v>
      </c>
      <c r="E1090">
        <v>143539.35</v>
      </c>
      <c r="F1090">
        <v>41</v>
      </c>
      <c r="G1090" t="s">
        <v>31</v>
      </c>
      <c r="H1090">
        <v>3068.78</v>
      </c>
      <c r="I1090">
        <v>4488.41</v>
      </c>
      <c r="J1090" t="s">
        <v>17</v>
      </c>
      <c r="K1090">
        <v>0.22</v>
      </c>
      <c r="L1090" t="s">
        <v>28</v>
      </c>
      <c r="M1090" t="s">
        <v>21</v>
      </c>
    </row>
    <row r="1091" spans="1:13" x14ac:dyDescent="0.35">
      <c r="A1091">
        <v>1070</v>
      </c>
      <c r="B1091" s="1">
        <v>44917</v>
      </c>
      <c r="C1091" t="s">
        <v>33</v>
      </c>
      <c r="D1091" t="s">
        <v>20</v>
      </c>
      <c r="E1091">
        <v>83550.850000000006</v>
      </c>
      <c r="F1091">
        <v>45</v>
      </c>
      <c r="G1091" t="s">
        <v>31</v>
      </c>
      <c r="H1091">
        <v>1346.51</v>
      </c>
      <c r="I1091">
        <v>2578.73</v>
      </c>
      <c r="J1091" t="s">
        <v>27</v>
      </c>
      <c r="K1091">
        <v>0.28000000000000003</v>
      </c>
      <c r="L1091" t="s">
        <v>28</v>
      </c>
      <c r="M1091" t="s">
        <v>21</v>
      </c>
    </row>
    <row r="1092" spans="1:13" x14ac:dyDescent="0.35">
      <c r="A1092">
        <v>1002</v>
      </c>
      <c r="B1092" s="1">
        <v>44918</v>
      </c>
      <c r="C1092" t="s">
        <v>33</v>
      </c>
      <c r="D1092" t="s">
        <v>23</v>
      </c>
      <c r="E1092">
        <v>27369.01</v>
      </c>
      <c r="F1092">
        <v>50</v>
      </c>
      <c r="G1092" t="s">
        <v>24</v>
      </c>
      <c r="H1092">
        <v>460.31</v>
      </c>
      <c r="I1092">
        <v>560.76</v>
      </c>
      <c r="J1092" t="s">
        <v>17</v>
      </c>
      <c r="K1092">
        <v>0.02</v>
      </c>
      <c r="L1092" t="s">
        <v>25</v>
      </c>
      <c r="M1092" t="s">
        <v>21</v>
      </c>
    </row>
    <row r="1093" spans="1:13" x14ac:dyDescent="0.35">
      <c r="A1093">
        <v>1045</v>
      </c>
      <c r="B1093" s="1">
        <v>44918</v>
      </c>
      <c r="C1093" t="s">
        <v>33</v>
      </c>
      <c r="D1093" t="s">
        <v>23</v>
      </c>
      <c r="E1093">
        <v>58864.32</v>
      </c>
      <c r="F1093">
        <v>36</v>
      </c>
      <c r="G1093" t="s">
        <v>24</v>
      </c>
      <c r="H1093">
        <v>157.15</v>
      </c>
      <c r="I1093">
        <v>1635.12</v>
      </c>
      <c r="J1093" t="s">
        <v>17</v>
      </c>
      <c r="K1093">
        <v>0</v>
      </c>
      <c r="L1093" t="s">
        <v>18</v>
      </c>
      <c r="M1093" t="s">
        <v>21</v>
      </c>
    </row>
    <row r="1094" spans="1:13" x14ac:dyDescent="0.35">
      <c r="A1094">
        <v>1060</v>
      </c>
      <c r="B1094" s="1">
        <v>44919</v>
      </c>
      <c r="C1094" t="s">
        <v>33</v>
      </c>
      <c r="D1094" t="s">
        <v>30</v>
      </c>
      <c r="E1094">
        <v>187236.1</v>
      </c>
      <c r="F1094">
        <v>40</v>
      </c>
      <c r="G1094" t="s">
        <v>16</v>
      </c>
      <c r="H1094">
        <v>4208.05</v>
      </c>
      <c r="I1094">
        <v>4875.9399999999996</v>
      </c>
      <c r="J1094" t="s">
        <v>17</v>
      </c>
      <c r="K1094">
        <v>0.04</v>
      </c>
      <c r="L1094" t="s">
        <v>18</v>
      </c>
      <c r="M1094" t="s">
        <v>21</v>
      </c>
    </row>
    <row r="1095" spans="1:13" x14ac:dyDescent="0.35">
      <c r="A1095">
        <v>1092</v>
      </c>
      <c r="B1095" s="1">
        <v>44919</v>
      </c>
      <c r="C1095" t="s">
        <v>29</v>
      </c>
      <c r="D1095" t="s">
        <v>30</v>
      </c>
      <c r="E1095">
        <v>47978.52</v>
      </c>
      <c r="F1095">
        <v>16</v>
      </c>
      <c r="G1095" t="s">
        <v>24</v>
      </c>
      <c r="H1095">
        <v>1156.0999999999999</v>
      </c>
      <c r="I1095">
        <v>4107.75</v>
      </c>
      <c r="J1095" t="s">
        <v>17</v>
      </c>
      <c r="K1095">
        <v>0.27</v>
      </c>
      <c r="L1095" t="s">
        <v>18</v>
      </c>
      <c r="M1095" t="s">
        <v>21</v>
      </c>
    </row>
    <row r="1096" spans="1:13" x14ac:dyDescent="0.35">
      <c r="A1096">
        <v>1092</v>
      </c>
      <c r="B1096" s="1">
        <v>44919</v>
      </c>
      <c r="C1096" t="s">
        <v>14</v>
      </c>
      <c r="D1096" t="s">
        <v>23</v>
      </c>
      <c r="E1096">
        <v>110286.6</v>
      </c>
      <c r="F1096">
        <v>34</v>
      </c>
      <c r="G1096" t="s">
        <v>26</v>
      </c>
      <c r="H1096">
        <v>1674.3</v>
      </c>
      <c r="I1096">
        <v>4383.41</v>
      </c>
      <c r="J1096" t="s">
        <v>27</v>
      </c>
      <c r="K1096">
        <v>0.26</v>
      </c>
      <c r="L1096" t="s">
        <v>18</v>
      </c>
      <c r="M1096" t="s">
        <v>21</v>
      </c>
    </row>
    <row r="1097" spans="1:13" x14ac:dyDescent="0.35">
      <c r="A1097">
        <v>1091</v>
      </c>
      <c r="B1097" s="1">
        <v>44919</v>
      </c>
      <c r="C1097" t="s">
        <v>32</v>
      </c>
      <c r="D1097" t="s">
        <v>20</v>
      </c>
      <c r="E1097">
        <v>143424.73000000001</v>
      </c>
      <c r="F1097">
        <v>37</v>
      </c>
      <c r="G1097" t="s">
        <v>26</v>
      </c>
      <c r="H1097">
        <v>1527.03</v>
      </c>
      <c r="I1097">
        <v>4785.6099999999997</v>
      </c>
      <c r="J1097" t="s">
        <v>27</v>
      </c>
      <c r="K1097">
        <v>0.19</v>
      </c>
      <c r="L1097" t="s">
        <v>28</v>
      </c>
      <c r="M1097" t="s">
        <v>21</v>
      </c>
    </row>
    <row r="1098" spans="1:13" x14ac:dyDescent="0.35">
      <c r="A1098">
        <v>1033</v>
      </c>
      <c r="B1098" s="1">
        <v>44919</v>
      </c>
      <c r="C1098" t="s">
        <v>32</v>
      </c>
      <c r="D1098" t="s">
        <v>15</v>
      </c>
      <c r="E1098">
        <v>202688.44</v>
      </c>
      <c r="F1098">
        <v>46</v>
      </c>
      <c r="G1098" t="s">
        <v>24</v>
      </c>
      <c r="H1098">
        <v>1057.97</v>
      </c>
      <c r="I1098">
        <v>5439.84</v>
      </c>
      <c r="J1098" t="s">
        <v>27</v>
      </c>
      <c r="K1098">
        <v>0.19</v>
      </c>
      <c r="L1098" t="s">
        <v>25</v>
      </c>
      <c r="M1098" t="s">
        <v>19</v>
      </c>
    </row>
    <row r="1099" spans="1:13" x14ac:dyDescent="0.35">
      <c r="A1099">
        <v>1073</v>
      </c>
      <c r="B1099" s="1">
        <v>44920</v>
      </c>
      <c r="C1099" t="s">
        <v>33</v>
      </c>
      <c r="D1099" t="s">
        <v>23</v>
      </c>
      <c r="E1099">
        <v>3068.86</v>
      </c>
      <c r="F1099">
        <v>4</v>
      </c>
      <c r="G1099" t="s">
        <v>31</v>
      </c>
      <c r="H1099">
        <v>760.91</v>
      </c>
      <c r="I1099">
        <v>1096.02</v>
      </c>
      <c r="J1099" t="s">
        <v>27</v>
      </c>
      <c r="K1099">
        <v>0.3</v>
      </c>
      <c r="L1099" t="s">
        <v>25</v>
      </c>
      <c r="M1099" t="s">
        <v>21</v>
      </c>
    </row>
    <row r="1100" spans="1:13" x14ac:dyDescent="0.35">
      <c r="A1100">
        <v>1072</v>
      </c>
      <c r="B1100" s="1">
        <v>44920</v>
      </c>
      <c r="C1100" t="s">
        <v>14</v>
      </c>
      <c r="D1100" t="s">
        <v>30</v>
      </c>
      <c r="E1100">
        <v>10800.09</v>
      </c>
      <c r="F1100">
        <v>8</v>
      </c>
      <c r="G1100" t="s">
        <v>16</v>
      </c>
      <c r="H1100">
        <v>1273</v>
      </c>
      <c r="I1100">
        <v>1776.33</v>
      </c>
      <c r="J1100" t="s">
        <v>17</v>
      </c>
      <c r="K1100">
        <v>0.24</v>
      </c>
      <c r="L1100" t="s">
        <v>25</v>
      </c>
      <c r="M1100" t="s">
        <v>21</v>
      </c>
    </row>
    <row r="1101" spans="1:13" x14ac:dyDescent="0.35">
      <c r="A1101">
        <v>1037</v>
      </c>
      <c r="B1101" s="1">
        <v>44920</v>
      </c>
      <c r="C1101" t="s">
        <v>14</v>
      </c>
      <c r="D1101" t="s">
        <v>20</v>
      </c>
      <c r="E1101">
        <v>8167.19</v>
      </c>
      <c r="F1101">
        <v>3</v>
      </c>
      <c r="G1101" t="s">
        <v>26</v>
      </c>
      <c r="H1101">
        <v>1568.41</v>
      </c>
      <c r="I1101">
        <v>3582.1</v>
      </c>
      <c r="J1101" t="s">
        <v>17</v>
      </c>
      <c r="K1101">
        <v>0.24</v>
      </c>
      <c r="L1101" t="s">
        <v>18</v>
      </c>
      <c r="M1101" t="s">
        <v>21</v>
      </c>
    </row>
    <row r="1102" spans="1:13" x14ac:dyDescent="0.35">
      <c r="A1102">
        <v>1008</v>
      </c>
      <c r="B1102" s="1">
        <v>44920</v>
      </c>
      <c r="C1102" t="s">
        <v>22</v>
      </c>
      <c r="D1102" t="s">
        <v>30</v>
      </c>
      <c r="E1102">
        <v>31503.439999999999</v>
      </c>
      <c r="F1102">
        <v>8</v>
      </c>
      <c r="G1102" t="s">
        <v>31</v>
      </c>
      <c r="H1102">
        <v>885.08</v>
      </c>
      <c r="I1102">
        <v>4145.1899999999996</v>
      </c>
      <c r="J1102" t="s">
        <v>17</v>
      </c>
      <c r="K1102">
        <v>0.05</v>
      </c>
      <c r="L1102" t="s">
        <v>18</v>
      </c>
      <c r="M1102" t="s">
        <v>21</v>
      </c>
    </row>
    <row r="1103" spans="1:13" x14ac:dyDescent="0.35">
      <c r="A1103">
        <v>1088</v>
      </c>
      <c r="B1103" s="1">
        <v>44920</v>
      </c>
      <c r="C1103" t="s">
        <v>22</v>
      </c>
      <c r="D1103" t="s">
        <v>23</v>
      </c>
      <c r="E1103">
        <v>151990.75</v>
      </c>
      <c r="F1103">
        <v>50</v>
      </c>
      <c r="G1103" t="s">
        <v>24</v>
      </c>
      <c r="H1103">
        <v>2139.46</v>
      </c>
      <c r="I1103">
        <v>4164.13</v>
      </c>
      <c r="J1103" t="s">
        <v>17</v>
      </c>
      <c r="K1103">
        <v>0.27</v>
      </c>
      <c r="L1103" t="s">
        <v>25</v>
      </c>
      <c r="M1103" t="s">
        <v>21</v>
      </c>
    </row>
    <row r="1104" spans="1:13" x14ac:dyDescent="0.35">
      <c r="A1104">
        <v>1047</v>
      </c>
      <c r="B1104" s="1">
        <v>44921</v>
      </c>
      <c r="C1104" t="s">
        <v>33</v>
      </c>
      <c r="D1104" t="s">
        <v>20</v>
      </c>
      <c r="E1104">
        <v>9556.1200000000008</v>
      </c>
      <c r="F1104">
        <v>3</v>
      </c>
      <c r="G1104" t="s">
        <v>16</v>
      </c>
      <c r="H1104">
        <v>1224.1099999999999</v>
      </c>
      <c r="I1104">
        <v>4136.8500000000004</v>
      </c>
      <c r="J1104" t="s">
        <v>17</v>
      </c>
      <c r="K1104">
        <v>0.23</v>
      </c>
      <c r="L1104" t="s">
        <v>28</v>
      </c>
      <c r="M1104" t="s">
        <v>21</v>
      </c>
    </row>
    <row r="1105" spans="1:13" x14ac:dyDescent="0.35">
      <c r="A1105">
        <v>1003</v>
      </c>
      <c r="B1105" s="1">
        <v>44921</v>
      </c>
      <c r="C1105" t="s">
        <v>32</v>
      </c>
      <c r="D1105" t="s">
        <v>23</v>
      </c>
      <c r="E1105">
        <v>13326.62</v>
      </c>
      <c r="F1105">
        <v>9</v>
      </c>
      <c r="G1105" t="s">
        <v>24</v>
      </c>
      <c r="H1105">
        <v>683.22</v>
      </c>
      <c r="I1105">
        <v>1575.25</v>
      </c>
      <c r="J1105" t="s">
        <v>27</v>
      </c>
      <c r="K1105">
        <v>0.06</v>
      </c>
      <c r="L1105" t="s">
        <v>28</v>
      </c>
      <c r="M1105" t="s">
        <v>19</v>
      </c>
    </row>
    <row r="1106" spans="1:13" x14ac:dyDescent="0.35">
      <c r="A1106">
        <v>1091</v>
      </c>
      <c r="B1106" s="1">
        <v>44921</v>
      </c>
      <c r="C1106" t="s">
        <v>32</v>
      </c>
      <c r="D1106" t="s">
        <v>20</v>
      </c>
      <c r="E1106">
        <v>57509.279999999999</v>
      </c>
      <c r="F1106">
        <v>19</v>
      </c>
      <c r="G1106" t="s">
        <v>16</v>
      </c>
      <c r="H1106">
        <v>802.44</v>
      </c>
      <c r="I1106">
        <v>3439.55</v>
      </c>
      <c r="J1106" t="s">
        <v>17</v>
      </c>
      <c r="K1106">
        <v>0.12</v>
      </c>
      <c r="L1106" t="s">
        <v>18</v>
      </c>
      <c r="M1106" t="s">
        <v>21</v>
      </c>
    </row>
    <row r="1107" spans="1:13" x14ac:dyDescent="0.35">
      <c r="A1107">
        <v>1049</v>
      </c>
      <c r="B1107" s="1">
        <v>44922</v>
      </c>
      <c r="C1107" t="s">
        <v>14</v>
      </c>
      <c r="D1107" t="s">
        <v>23</v>
      </c>
      <c r="E1107">
        <v>6739.07</v>
      </c>
      <c r="F1107">
        <v>5</v>
      </c>
      <c r="G1107" t="s">
        <v>16</v>
      </c>
      <c r="H1107">
        <v>1292.72</v>
      </c>
      <c r="I1107">
        <v>1364.93</v>
      </c>
      <c r="J1107" t="s">
        <v>27</v>
      </c>
      <c r="K1107">
        <v>0.01</v>
      </c>
      <c r="L1107" t="s">
        <v>25</v>
      </c>
      <c r="M1107" t="s">
        <v>21</v>
      </c>
    </row>
    <row r="1108" spans="1:13" x14ac:dyDescent="0.35">
      <c r="A1108">
        <v>1069</v>
      </c>
      <c r="B1108" s="1">
        <v>44922</v>
      </c>
      <c r="C1108" t="s">
        <v>32</v>
      </c>
      <c r="D1108" t="s">
        <v>15</v>
      </c>
      <c r="E1108">
        <v>65831.95</v>
      </c>
      <c r="F1108">
        <v>26</v>
      </c>
      <c r="G1108" t="s">
        <v>26</v>
      </c>
      <c r="H1108">
        <v>1901.01</v>
      </c>
      <c r="I1108">
        <v>3050.6</v>
      </c>
      <c r="J1108" t="s">
        <v>17</v>
      </c>
      <c r="K1108">
        <v>0.17</v>
      </c>
      <c r="L1108" t="s">
        <v>18</v>
      </c>
      <c r="M1108" t="s">
        <v>21</v>
      </c>
    </row>
    <row r="1109" spans="1:13" x14ac:dyDescent="0.35">
      <c r="A1109">
        <v>1030</v>
      </c>
      <c r="B1109" s="1">
        <v>44922</v>
      </c>
      <c r="C1109" t="s">
        <v>32</v>
      </c>
      <c r="D1109" t="s">
        <v>20</v>
      </c>
      <c r="E1109">
        <v>38795.26</v>
      </c>
      <c r="F1109">
        <v>9</v>
      </c>
      <c r="G1109" t="s">
        <v>26</v>
      </c>
      <c r="H1109">
        <v>2408.1</v>
      </c>
      <c r="I1109">
        <v>5256.81</v>
      </c>
      <c r="J1109" t="s">
        <v>17</v>
      </c>
      <c r="K1109">
        <v>0.18</v>
      </c>
      <c r="L1109" t="s">
        <v>18</v>
      </c>
      <c r="M1109" t="s">
        <v>21</v>
      </c>
    </row>
    <row r="1110" spans="1:13" x14ac:dyDescent="0.35">
      <c r="A1110">
        <v>1019</v>
      </c>
      <c r="B1110" s="1">
        <v>44923</v>
      </c>
      <c r="C1110" t="s">
        <v>14</v>
      </c>
      <c r="D1110" t="s">
        <v>15</v>
      </c>
      <c r="E1110">
        <v>160119.38</v>
      </c>
      <c r="F1110">
        <v>43</v>
      </c>
      <c r="G1110" t="s">
        <v>24</v>
      </c>
      <c r="H1110">
        <v>2982.24</v>
      </c>
      <c r="I1110">
        <v>3961.39</v>
      </c>
      <c r="J1110" t="s">
        <v>27</v>
      </c>
      <c r="K1110">
        <v>0.06</v>
      </c>
      <c r="L1110" t="s">
        <v>28</v>
      </c>
      <c r="M1110" t="s">
        <v>21</v>
      </c>
    </row>
    <row r="1111" spans="1:13" x14ac:dyDescent="0.35">
      <c r="A1111">
        <v>1049</v>
      </c>
      <c r="B1111" s="1">
        <v>44923</v>
      </c>
      <c r="C1111" t="s">
        <v>29</v>
      </c>
      <c r="D1111" t="s">
        <v>15</v>
      </c>
      <c r="E1111">
        <v>141245.57</v>
      </c>
      <c r="F1111">
        <v>40</v>
      </c>
      <c r="G1111" t="s">
        <v>24</v>
      </c>
      <c r="H1111">
        <v>2591.92</v>
      </c>
      <c r="I1111">
        <v>4904.3599999999997</v>
      </c>
      <c r="J1111" t="s">
        <v>27</v>
      </c>
      <c r="K1111">
        <v>0.28000000000000003</v>
      </c>
      <c r="L1111" t="s">
        <v>25</v>
      </c>
      <c r="M1111" t="s">
        <v>19</v>
      </c>
    </row>
    <row r="1112" spans="1:13" x14ac:dyDescent="0.35">
      <c r="A1112">
        <v>1024</v>
      </c>
      <c r="B1112" s="1">
        <v>44923</v>
      </c>
      <c r="C1112" t="s">
        <v>14</v>
      </c>
      <c r="D1112" t="s">
        <v>30</v>
      </c>
      <c r="E1112">
        <v>76050.14</v>
      </c>
      <c r="F1112">
        <v>46</v>
      </c>
      <c r="G1112" t="s">
        <v>31</v>
      </c>
      <c r="H1112">
        <v>333.02</v>
      </c>
      <c r="I1112">
        <v>1922.4</v>
      </c>
      <c r="J1112" t="s">
        <v>27</v>
      </c>
      <c r="K1112">
        <v>0.14000000000000001</v>
      </c>
      <c r="L1112" t="s">
        <v>25</v>
      </c>
      <c r="M1112" t="s">
        <v>19</v>
      </c>
    </row>
    <row r="1113" spans="1:13" x14ac:dyDescent="0.35">
      <c r="A1113">
        <v>1021</v>
      </c>
      <c r="B1113" s="1">
        <v>44924</v>
      </c>
      <c r="C1113" t="s">
        <v>32</v>
      </c>
      <c r="D1113" t="s">
        <v>30</v>
      </c>
      <c r="E1113">
        <v>55333.04</v>
      </c>
      <c r="F1113">
        <v>20</v>
      </c>
      <c r="G1113" t="s">
        <v>26</v>
      </c>
      <c r="H1113">
        <v>2457.77</v>
      </c>
      <c r="I1113">
        <v>2886.21</v>
      </c>
      <c r="J1113" t="s">
        <v>27</v>
      </c>
      <c r="K1113">
        <v>0.04</v>
      </c>
      <c r="L1113" t="s">
        <v>25</v>
      </c>
      <c r="M1113" t="s">
        <v>19</v>
      </c>
    </row>
    <row r="1114" spans="1:13" x14ac:dyDescent="0.35">
      <c r="A1114">
        <v>1080</v>
      </c>
      <c r="B1114" s="1">
        <v>44924</v>
      </c>
      <c r="C1114" t="s">
        <v>14</v>
      </c>
      <c r="D1114" t="s">
        <v>15</v>
      </c>
      <c r="E1114">
        <v>82136.61</v>
      </c>
      <c r="F1114">
        <v>38</v>
      </c>
      <c r="G1114" t="s">
        <v>26</v>
      </c>
      <c r="H1114">
        <v>1618.47</v>
      </c>
      <c r="I1114">
        <v>2228.34</v>
      </c>
      <c r="J1114" t="s">
        <v>27</v>
      </c>
      <c r="K1114">
        <v>0.03</v>
      </c>
      <c r="L1114" t="s">
        <v>18</v>
      </c>
      <c r="M1114" t="s">
        <v>19</v>
      </c>
    </row>
    <row r="1115" spans="1:13" x14ac:dyDescent="0.35">
      <c r="A1115">
        <v>1010</v>
      </c>
      <c r="B1115" s="1">
        <v>44924</v>
      </c>
      <c r="C1115" t="s">
        <v>33</v>
      </c>
      <c r="D1115" t="s">
        <v>20</v>
      </c>
      <c r="E1115">
        <v>124474.75</v>
      </c>
      <c r="F1115">
        <v>29</v>
      </c>
      <c r="G1115" t="s">
        <v>26</v>
      </c>
      <c r="H1115">
        <v>3303.08</v>
      </c>
      <c r="I1115">
        <v>5234.43</v>
      </c>
      <c r="J1115" t="s">
        <v>17</v>
      </c>
      <c r="K1115">
        <v>0.18</v>
      </c>
      <c r="L1115" t="s">
        <v>28</v>
      </c>
      <c r="M1115" t="s">
        <v>19</v>
      </c>
    </row>
    <row r="1116" spans="1:13" x14ac:dyDescent="0.35">
      <c r="A1116">
        <v>1094</v>
      </c>
      <c r="B1116" s="1">
        <v>44925</v>
      </c>
      <c r="C1116" t="s">
        <v>32</v>
      </c>
      <c r="D1116" t="s">
        <v>15</v>
      </c>
      <c r="E1116">
        <v>136160.84</v>
      </c>
      <c r="F1116">
        <v>30</v>
      </c>
      <c r="G1116" t="s">
        <v>26</v>
      </c>
      <c r="H1116">
        <v>2313.38</v>
      </c>
      <c r="I1116">
        <v>4584.54</v>
      </c>
      <c r="J1116" t="s">
        <v>27</v>
      </c>
      <c r="K1116">
        <v>0.01</v>
      </c>
      <c r="L1116" t="s">
        <v>28</v>
      </c>
      <c r="M1116" t="s">
        <v>19</v>
      </c>
    </row>
    <row r="1117" spans="1:13" x14ac:dyDescent="0.35">
      <c r="A1117">
        <v>1001</v>
      </c>
      <c r="B1117" s="1">
        <v>44926</v>
      </c>
      <c r="C1117" t="s">
        <v>33</v>
      </c>
      <c r="D1117" t="s">
        <v>15</v>
      </c>
      <c r="E1117">
        <v>84675.38</v>
      </c>
      <c r="F1117">
        <v>19</v>
      </c>
      <c r="G1117" t="s">
        <v>24</v>
      </c>
      <c r="H1117">
        <v>4422.8599999999997</v>
      </c>
      <c r="I1117">
        <v>4475.01</v>
      </c>
      <c r="J1117" t="s">
        <v>17</v>
      </c>
      <c r="K1117">
        <v>0</v>
      </c>
      <c r="L1117" t="s">
        <v>18</v>
      </c>
      <c r="M1117" t="s">
        <v>21</v>
      </c>
    </row>
    <row r="1118" spans="1:13" x14ac:dyDescent="0.35">
      <c r="A1118">
        <v>1083</v>
      </c>
      <c r="B1118" s="1">
        <v>44926</v>
      </c>
      <c r="C1118" t="s">
        <v>32</v>
      </c>
      <c r="D1118" t="s">
        <v>20</v>
      </c>
      <c r="E1118">
        <v>96385.97</v>
      </c>
      <c r="F1118">
        <v>25</v>
      </c>
      <c r="G1118" t="s">
        <v>24</v>
      </c>
      <c r="H1118">
        <v>3527.8</v>
      </c>
      <c r="I1118">
        <v>4942.87</v>
      </c>
      <c r="J1118" t="s">
        <v>17</v>
      </c>
      <c r="K1118">
        <v>0.22</v>
      </c>
      <c r="L1118" t="s">
        <v>25</v>
      </c>
      <c r="M1118" t="s">
        <v>19</v>
      </c>
    </row>
    <row r="1119" spans="1:13" x14ac:dyDescent="0.35">
      <c r="A1119">
        <v>1033</v>
      </c>
      <c r="B1119" s="1">
        <v>44926</v>
      </c>
      <c r="C1119" t="s">
        <v>32</v>
      </c>
      <c r="D1119" t="s">
        <v>23</v>
      </c>
      <c r="E1119">
        <v>30244.13</v>
      </c>
      <c r="F1119">
        <v>12</v>
      </c>
      <c r="G1119" t="s">
        <v>24</v>
      </c>
      <c r="H1119">
        <v>958.96</v>
      </c>
      <c r="I1119">
        <v>3000.41</v>
      </c>
      <c r="J1119" t="s">
        <v>27</v>
      </c>
      <c r="K1119">
        <v>0.16</v>
      </c>
      <c r="L1119" t="s">
        <v>18</v>
      </c>
      <c r="M1119" t="s">
        <v>19</v>
      </c>
    </row>
    <row r="1120" spans="1:13" x14ac:dyDescent="0.35">
      <c r="A1120">
        <v>1018</v>
      </c>
      <c r="B1120" s="1">
        <v>44926</v>
      </c>
      <c r="C1120" t="s">
        <v>22</v>
      </c>
      <c r="D1120" t="s">
        <v>30</v>
      </c>
      <c r="E1120">
        <v>77630.600000000006</v>
      </c>
      <c r="F1120">
        <v>21</v>
      </c>
      <c r="G1120" t="s">
        <v>31</v>
      </c>
      <c r="H1120">
        <v>1290.06</v>
      </c>
      <c r="I1120">
        <v>4200.79</v>
      </c>
      <c r="J1120" t="s">
        <v>17</v>
      </c>
      <c r="K1120">
        <v>0.12</v>
      </c>
      <c r="L1120" t="s">
        <v>28</v>
      </c>
      <c r="M1120" t="s">
        <v>21</v>
      </c>
    </row>
    <row r="1121" spans="1:13" x14ac:dyDescent="0.35">
      <c r="A1121">
        <v>1089</v>
      </c>
      <c r="B1121" s="1">
        <v>44927</v>
      </c>
      <c r="C1121" t="s">
        <v>29</v>
      </c>
      <c r="D1121" t="s">
        <v>15</v>
      </c>
      <c r="E1121">
        <v>143783.99</v>
      </c>
      <c r="F1121">
        <v>35</v>
      </c>
      <c r="G1121" t="s">
        <v>26</v>
      </c>
      <c r="H1121">
        <v>4071.01</v>
      </c>
      <c r="I1121">
        <v>4304.7</v>
      </c>
      <c r="J1121" t="s">
        <v>27</v>
      </c>
      <c r="K1121">
        <v>0.05</v>
      </c>
      <c r="L1121" t="s">
        <v>28</v>
      </c>
      <c r="M1121" t="s">
        <v>19</v>
      </c>
    </row>
    <row r="1122" spans="1:13" x14ac:dyDescent="0.35">
      <c r="A1122">
        <v>1070</v>
      </c>
      <c r="B1122" s="1">
        <v>44927</v>
      </c>
      <c r="C1122" t="s">
        <v>32</v>
      </c>
      <c r="D1122" t="s">
        <v>23</v>
      </c>
      <c r="E1122">
        <v>10059.700000000001</v>
      </c>
      <c r="F1122">
        <v>12</v>
      </c>
      <c r="G1122" t="s">
        <v>16</v>
      </c>
      <c r="H1122">
        <v>664.33</v>
      </c>
      <c r="I1122">
        <v>863.03</v>
      </c>
      <c r="J1122" t="s">
        <v>17</v>
      </c>
      <c r="K1122">
        <v>0.03</v>
      </c>
      <c r="L1122" t="s">
        <v>25</v>
      </c>
      <c r="M1122" t="s">
        <v>21</v>
      </c>
    </row>
    <row r="1123" spans="1:13" x14ac:dyDescent="0.35">
      <c r="A1123">
        <v>1008</v>
      </c>
      <c r="B1123" s="1">
        <v>44927</v>
      </c>
      <c r="C1123" t="s">
        <v>32</v>
      </c>
      <c r="D1123" t="s">
        <v>15</v>
      </c>
      <c r="E1123">
        <v>183223.38</v>
      </c>
      <c r="F1123">
        <v>38</v>
      </c>
      <c r="G1123" t="s">
        <v>26</v>
      </c>
      <c r="H1123">
        <v>4635.2299999999996</v>
      </c>
      <c r="I1123">
        <v>5075.4399999999996</v>
      </c>
      <c r="J1123" t="s">
        <v>17</v>
      </c>
      <c r="K1123">
        <v>0.05</v>
      </c>
      <c r="L1123" t="s">
        <v>18</v>
      </c>
      <c r="M1123" t="s">
        <v>19</v>
      </c>
    </row>
    <row r="1124" spans="1:13" x14ac:dyDescent="0.35">
      <c r="A1124">
        <v>1064</v>
      </c>
      <c r="B1124" s="1">
        <v>44928</v>
      </c>
      <c r="C1124" t="s">
        <v>22</v>
      </c>
      <c r="D1124" t="s">
        <v>23</v>
      </c>
      <c r="E1124">
        <v>22643.279999999999</v>
      </c>
      <c r="F1124">
        <v>10</v>
      </c>
      <c r="G1124" t="s">
        <v>31</v>
      </c>
      <c r="H1124">
        <v>2242.0100000000002</v>
      </c>
      <c r="I1124">
        <v>2282.23</v>
      </c>
      <c r="J1124" t="s">
        <v>17</v>
      </c>
      <c r="K1124">
        <v>0.01</v>
      </c>
      <c r="L1124" t="s">
        <v>28</v>
      </c>
      <c r="M1124" t="s">
        <v>19</v>
      </c>
    </row>
    <row r="1125" spans="1:13" x14ac:dyDescent="0.35">
      <c r="A1125">
        <v>1075</v>
      </c>
      <c r="B1125" s="1">
        <v>44928</v>
      </c>
      <c r="C1125" t="s">
        <v>22</v>
      </c>
      <c r="D1125" t="s">
        <v>20</v>
      </c>
      <c r="E1125">
        <v>118496.56</v>
      </c>
      <c r="F1125">
        <v>26</v>
      </c>
      <c r="G1125" t="s">
        <v>31</v>
      </c>
      <c r="H1125">
        <v>4535.38</v>
      </c>
      <c r="I1125">
        <v>4557.5600000000004</v>
      </c>
      <c r="J1125" t="s">
        <v>27</v>
      </c>
      <c r="K1125">
        <v>0</v>
      </c>
      <c r="L1125" t="s">
        <v>28</v>
      </c>
      <c r="M1125" t="s">
        <v>19</v>
      </c>
    </row>
    <row r="1126" spans="1:13" x14ac:dyDescent="0.35">
      <c r="A1126">
        <v>1099</v>
      </c>
      <c r="B1126" s="1">
        <v>44929</v>
      </c>
      <c r="C1126" t="s">
        <v>14</v>
      </c>
      <c r="D1126" t="s">
        <v>30</v>
      </c>
      <c r="E1126">
        <v>145315.16</v>
      </c>
      <c r="F1126">
        <v>31</v>
      </c>
      <c r="G1126" t="s">
        <v>16</v>
      </c>
      <c r="H1126">
        <v>4632.8500000000004</v>
      </c>
      <c r="I1126">
        <v>4711.7</v>
      </c>
      <c r="J1126" t="s">
        <v>27</v>
      </c>
      <c r="K1126">
        <v>0.01</v>
      </c>
      <c r="L1126" t="s">
        <v>18</v>
      </c>
      <c r="M1126" t="s">
        <v>21</v>
      </c>
    </row>
    <row r="1127" spans="1:13" x14ac:dyDescent="0.35">
      <c r="A1127">
        <v>1087</v>
      </c>
      <c r="B1127" s="1">
        <v>44929</v>
      </c>
      <c r="C1127" t="s">
        <v>29</v>
      </c>
      <c r="D1127" t="s">
        <v>30</v>
      </c>
      <c r="E1127">
        <v>75937.37</v>
      </c>
      <c r="F1127">
        <v>20</v>
      </c>
      <c r="G1127" t="s">
        <v>16</v>
      </c>
      <c r="H1127">
        <v>3625.94</v>
      </c>
      <c r="I1127">
        <v>3880.53</v>
      </c>
      <c r="J1127" t="s">
        <v>27</v>
      </c>
      <c r="K1127">
        <v>0.02</v>
      </c>
      <c r="L1127" t="s">
        <v>25</v>
      </c>
      <c r="M1127" t="s">
        <v>19</v>
      </c>
    </row>
    <row r="1128" spans="1:13" x14ac:dyDescent="0.35">
      <c r="A1128">
        <v>1027</v>
      </c>
      <c r="B1128" s="1">
        <v>44929</v>
      </c>
      <c r="C1128" t="s">
        <v>14</v>
      </c>
      <c r="D1128" t="s">
        <v>30</v>
      </c>
      <c r="E1128">
        <v>27432.48</v>
      </c>
      <c r="F1128">
        <v>30</v>
      </c>
      <c r="G1128" t="s">
        <v>16</v>
      </c>
      <c r="H1128">
        <v>745.93</v>
      </c>
      <c r="I1128">
        <v>1143.02</v>
      </c>
      <c r="J1128" t="s">
        <v>17</v>
      </c>
      <c r="K1128">
        <v>0.2</v>
      </c>
      <c r="L1128" t="s">
        <v>28</v>
      </c>
      <c r="M1128" t="s">
        <v>19</v>
      </c>
    </row>
    <row r="1129" spans="1:13" x14ac:dyDescent="0.35">
      <c r="A1129">
        <v>1051</v>
      </c>
      <c r="B1129" s="1">
        <v>44930</v>
      </c>
      <c r="C1129" t="s">
        <v>32</v>
      </c>
      <c r="D1129" t="s">
        <v>15</v>
      </c>
      <c r="E1129">
        <v>51672.49</v>
      </c>
      <c r="F1129">
        <v>14</v>
      </c>
      <c r="G1129" t="s">
        <v>31</v>
      </c>
      <c r="H1129">
        <v>3686.81</v>
      </c>
      <c r="I1129">
        <v>3710.92</v>
      </c>
      <c r="J1129" t="s">
        <v>27</v>
      </c>
      <c r="K1129">
        <v>0.01</v>
      </c>
      <c r="L1129" t="s">
        <v>25</v>
      </c>
      <c r="M1129" t="s">
        <v>21</v>
      </c>
    </row>
    <row r="1130" spans="1:13" x14ac:dyDescent="0.35">
      <c r="A1130">
        <v>1086</v>
      </c>
      <c r="B1130" s="1">
        <v>44930</v>
      </c>
      <c r="C1130" t="s">
        <v>14</v>
      </c>
      <c r="D1130" t="s">
        <v>23</v>
      </c>
      <c r="E1130">
        <v>13377.27</v>
      </c>
      <c r="F1130">
        <v>8</v>
      </c>
      <c r="G1130" t="s">
        <v>16</v>
      </c>
      <c r="H1130">
        <v>1569.31</v>
      </c>
      <c r="I1130">
        <v>1798.02</v>
      </c>
      <c r="J1130" t="s">
        <v>27</v>
      </c>
      <c r="K1130">
        <v>7.0000000000000007E-2</v>
      </c>
      <c r="L1130" t="s">
        <v>28</v>
      </c>
      <c r="M1130" t="s">
        <v>19</v>
      </c>
    </row>
    <row r="1131" spans="1:13" x14ac:dyDescent="0.35">
      <c r="A1131">
        <v>1064</v>
      </c>
      <c r="B1131" s="1">
        <v>44930</v>
      </c>
      <c r="C1131" t="s">
        <v>32</v>
      </c>
      <c r="D1131" t="s">
        <v>30</v>
      </c>
      <c r="E1131">
        <v>48890.91</v>
      </c>
      <c r="F1131">
        <v>10</v>
      </c>
      <c r="G1131" t="s">
        <v>31</v>
      </c>
      <c r="H1131">
        <v>4764.96</v>
      </c>
      <c r="I1131">
        <v>5074.42</v>
      </c>
      <c r="J1131" t="s">
        <v>27</v>
      </c>
      <c r="K1131">
        <v>0.04</v>
      </c>
      <c r="L1131" t="s">
        <v>18</v>
      </c>
      <c r="M1131" t="s">
        <v>19</v>
      </c>
    </row>
    <row r="1132" spans="1:13" x14ac:dyDescent="0.35">
      <c r="A1132">
        <v>1002</v>
      </c>
      <c r="B1132" s="1">
        <v>44930</v>
      </c>
      <c r="C1132" t="s">
        <v>14</v>
      </c>
      <c r="D1132" t="s">
        <v>30</v>
      </c>
      <c r="E1132">
        <v>31204.560000000001</v>
      </c>
      <c r="F1132">
        <v>17</v>
      </c>
      <c r="G1132" t="s">
        <v>16</v>
      </c>
      <c r="H1132">
        <v>1727.12</v>
      </c>
      <c r="I1132">
        <v>1865.83</v>
      </c>
      <c r="J1132" t="s">
        <v>27</v>
      </c>
      <c r="K1132">
        <v>0.02</v>
      </c>
      <c r="L1132" t="s">
        <v>18</v>
      </c>
      <c r="M1132" t="s">
        <v>19</v>
      </c>
    </row>
    <row r="1133" spans="1:13" x14ac:dyDescent="0.35">
      <c r="A1133">
        <v>1090</v>
      </c>
      <c r="B1133" s="1">
        <v>44930</v>
      </c>
      <c r="C1133" t="s">
        <v>32</v>
      </c>
      <c r="D1133" t="s">
        <v>15</v>
      </c>
      <c r="E1133">
        <v>60159.08</v>
      </c>
      <c r="F1133">
        <v>14</v>
      </c>
      <c r="G1133" t="s">
        <v>16</v>
      </c>
      <c r="H1133">
        <v>4037.21</v>
      </c>
      <c r="I1133">
        <v>4323.71</v>
      </c>
      <c r="J1133" t="s">
        <v>17</v>
      </c>
      <c r="K1133">
        <v>0.01</v>
      </c>
      <c r="L1133" t="s">
        <v>28</v>
      </c>
      <c r="M1133" t="s">
        <v>19</v>
      </c>
    </row>
    <row r="1134" spans="1:13" x14ac:dyDescent="0.35">
      <c r="A1134">
        <v>1074</v>
      </c>
      <c r="B1134" s="1">
        <v>44930</v>
      </c>
      <c r="C1134" t="s">
        <v>32</v>
      </c>
      <c r="D1134" t="s">
        <v>23</v>
      </c>
      <c r="E1134">
        <v>70250.22</v>
      </c>
      <c r="F1134">
        <v>38</v>
      </c>
      <c r="G1134" t="s">
        <v>16</v>
      </c>
      <c r="H1134">
        <v>1394.74</v>
      </c>
      <c r="I1134">
        <v>1848.69</v>
      </c>
      <c r="J1134" t="s">
        <v>17</v>
      </c>
      <c r="K1134">
        <v>0</v>
      </c>
      <c r="L1134" t="s">
        <v>25</v>
      </c>
      <c r="M1134" t="s">
        <v>21</v>
      </c>
    </row>
    <row r="1135" spans="1:13" x14ac:dyDescent="0.35">
      <c r="A1135">
        <v>1023</v>
      </c>
      <c r="B1135" s="1">
        <v>44931</v>
      </c>
      <c r="C1135" t="s">
        <v>33</v>
      </c>
      <c r="D1135" t="s">
        <v>30</v>
      </c>
      <c r="E1135">
        <v>1353.86</v>
      </c>
      <c r="F1135">
        <v>2</v>
      </c>
      <c r="G1135" t="s">
        <v>26</v>
      </c>
      <c r="H1135">
        <v>575.32000000000005</v>
      </c>
      <c r="I1135">
        <v>914.77</v>
      </c>
      <c r="J1135" t="s">
        <v>17</v>
      </c>
      <c r="K1135">
        <v>0.26</v>
      </c>
      <c r="L1135" t="s">
        <v>25</v>
      </c>
      <c r="M1135" t="s">
        <v>19</v>
      </c>
    </row>
    <row r="1136" spans="1:13" x14ac:dyDescent="0.35">
      <c r="A1136">
        <v>1052</v>
      </c>
      <c r="B1136" s="1">
        <v>44931</v>
      </c>
      <c r="C1136" t="s">
        <v>14</v>
      </c>
      <c r="D1136" t="s">
        <v>15</v>
      </c>
      <c r="E1136">
        <v>41671.089999999997</v>
      </c>
      <c r="F1136">
        <v>11</v>
      </c>
      <c r="G1136" t="s">
        <v>26</v>
      </c>
      <c r="H1136">
        <v>3451.59</v>
      </c>
      <c r="I1136">
        <v>3929.26</v>
      </c>
      <c r="J1136" t="s">
        <v>27</v>
      </c>
      <c r="K1136">
        <v>0.04</v>
      </c>
      <c r="L1136" t="s">
        <v>28</v>
      </c>
      <c r="M1136" t="s">
        <v>21</v>
      </c>
    </row>
    <row r="1137" spans="1:13" x14ac:dyDescent="0.35">
      <c r="A1137">
        <v>1081</v>
      </c>
      <c r="B1137" s="1">
        <v>44931</v>
      </c>
      <c r="C1137" t="s">
        <v>14</v>
      </c>
      <c r="D1137" t="s">
        <v>23</v>
      </c>
      <c r="E1137">
        <v>40035.550000000003</v>
      </c>
      <c r="F1137">
        <v>44</v>
      </c>
      <c r="G1137" t="s">
        <v>24</v>
      </c>
      <c r="H1137">
        <v>618.79</v>
      </c>
      <c r="I1137">
        <v>938.04</v>
      </c>
      <c r="J1137" t="s">
        <v>17</v>
      </c>
      <c r="K1137">
        <v>0.03</v>
      </c>
      <c r="L1137" t="s">
        <v>18</v>
      </c>
      <c r="M1137" t="s">
        <v>19</v>
      </c>
    </row>
    <row r="1138" spans="1:13" x14ac:dyDescent="0.35">
      <c r="A1138">
        <v>1062</v>
      </c>
      <c r="B1138" s="1">
        <v>44932</v>
      </c>
      <c r="C1138" t="s">
        <v>32</v>
      </c>
      <c r="D1138" t="s">
        <v>30</v>
      </c>
      <c r="E1138">
        <v>73140.350000000006</v>
      </c>
      <c r="F1138">
        <v>15</v>
      </c>
      <c r="G1138" t="s">
        <v>26</v>
      </c>
      <c r="H1138">
        <v>4756.55</v>
      </c>
      <c r="I1138">
        <v>4888.46</v>
      </c>
      <c r="J1138" t="s">
        <v>27</v>
      </c>
      <c r="K1138">
        <v>0</v>
      </c>
      <c r="L1138" t="s">
        <v>28</v>
      </c>
      <c r="M1138" t="s">
        <v>19</v>
      </c>
    </row>
    <row r="1139" spans="1:13" x14ac:dyDescent="0.35">
      <c r="A1139">
        <v>1087</v>
      </c>
      <c r="B1139" s="1">
        <v>44932</v>
      </c>
      <c r="C1139" t="s">
        <v>32</v>
      </c>
      <c r="D1139" t="s">
        <v>23</v>
      </c>
      <c r="E1139">
        <v>175073.47</v>
      </c>
      <c r="F1139">
        <v>46</v>
      </c>
      <c r="G1139" t="s">
        <v>16</v>
      </c>
      <c r="H1139">
        <v>3702.51</v>
      </c>
      <c r="I1139">
        <v>3964.65</v>
      </c>
      <c r="J1139" t="s">
        <v>27</v>
      </c>
      <c r="K1139">
        <v>0.04</v>
      </c>
      <c r="L1139" t="s">
        <v>25</v>
      </c>
      <c r="M1139" t="s">
        <v>19</v>
      </c>
    </row>
    <row r="1140" spans="1:13" x14ac:dyDescent="0.35">
      <c r="A1140">
        <v>1065</v>
      </c>
      <c r="B1140" s="1">
        <v>44933</v>
      </c>
      <c r="C1140" t="s">
        <v>32</v>
      </c>
      <c r="D1140" t="s">
        <v>15</v>
      </c>
      <c r="E1140">
        <v>12389.51</v>
      </c>
      <c r="F1140">
        <v>6</v>
      </c>
      <c r="G1140" t="s">
        <v>26</v>
      </c>
      <c r="H1140">
        <v>2019.9</v>
      </c>
      <c r="I1140">
        <v>2116.7399999999998</v>
      </c>
      <c r="J1140" t="s">
        <v>27</v>
      </c>
      <c r="K1140">
        <v>0.02</v>
      </c>
      <c r="L1140" t="s">
        <v>28</v>
      </c>
      <c r="M1140" t="s">
        <v>19</v>
      </c>
    </row>
    <row r="1141" spans="1:13" x14ac:dyDescent="0.35">
      <c r="A1141">
        <v>1034</v>
      </c>
      <c r="B1141" s="1">
        <v>44933</v>
      </c>
      <c r="C1141" t="s">
        <v>22</v>
      </c>
      <c r="D1141" t="s">
        <v>20</v>
      </c>
      <c r="E1141">
        <v>4795.84</v>
      </c>
      <c r="F1141">
        <v>28</v>
      </c>
      <c r="G1141" t="s">
        <v>16</v>
      </c>
      <c r="H1141">
        <v>137.47</v>
      </c>
      <c r="I1141">
        <v>234.63</v>
      </c>
      <c r="J1141" t="s">
        <v>27</v>
      </c>
      <c r="K1141">
        <v>0.27</v>
      </c>
      <c r="L1141" t="s">
        <v>25</v>
      </c>
      <c r="M1141" t="s">
        <v>21</v>
      </c>
    </row>
    <row r="1142" spans="1:13" x14ac:dyDescent="0.35">
      <c r="A1142">
        <v>1069</v>
      </c>
      <c r="B1142" s="1">
        <v>44933</v>
      </c>
      <c r="C1142" t="s">
        <v>33</v>
      </c>
      <c r="D1142" t="s">
        <v>30</v>
      </c>
      <c r="E1142">
        <v>12321.26</v>
      </c>
      <c r="F1142">
        <v>6</v>
      </c>
      <c r="G1142" t="s">
        <v>24</v>
      </c>
      <c r="H1142">
        <v>1768.6</v>
      </c>
      <c r="I1142">
        <v>2152.1999999999998</v>
      </c>
      <c r="J1142" t="s">
        <v>27</v>
      </c>
      <c r="K1142">
        <v>0.05</v>
      </c>
      <c r="L1142" t="s">
        <v>25</v>
      </c>
      <c r="M1142" t="s">
        <v>21</v>
      </c>
    </row>
    <row r="1143" spans="1:13" x14ac:dyDescent="0.35">
      <c r="A1143">
        <v>1021</v>
      </c>
      <c r="B1143" s="1">
        <v>44933</v>
      </c>
      <c r="C1143" t="s">
        <v>14</v>
      </c>
      <c r="D1143" t="s">
        <v>15</v>
      </c>
      <c r="E1143">
        <v>32747.119999999999</v>
      </c>
      <c r="F1143">
        <v>9</v>
      </c>
      <c r="G1143" t="s">
        <v>16</v>
      </c>
      <c r="H1143">
        <v>3365.28</v>
      </c>
      <c r="I1143">
        <v>3730.43</v>
      </c>
      <c r="J1143" t="s">
        <v>27</v>
      </c>
      <c r="K1143">
        <v>0.02</v>
      </c>
      <c r="L1143" t="s">
        <v>25</v>
      </c>
      <c r="M1143" t="s">
        <v>19</v>
      </c>
    </row>
    <row r="1144" spans="1:13" x14ac:dyDescent="0.35">
      <c r="A1144">
        <v>1085</v>
      </c>
      <c r="B1144" s="1">
        <v>44933</v>
      </c>
      <c r="C1144" t="s">
        <v>32</v>
      </c>
      <c r="D1144" t="s">
        <v>20</v>
      </c>
      <c r="E1144">
        <v>13479.36</v>
      </c>
      <c r="F1144">
        <v>16</v>
      </c>
      <c r="G1144" t="s">
        <v>24</v>
      </c>
      <c r="H1144">
        <v>472.08</v>
      </c>
      <c r="I1144">
        <v>842.46</v>
      </c>
      <c r="J1144" t="s">
        <v>27</v>
      </c>
      <c r="K1144">
        <v>0</v>
      </c>
      <c r="L1144" t="s">
        <v>18</v>
      </c>
      <c r="M1144" t="s">
        <v>21</v>
      </c>
    </row>
    <row r="1145" spans="1:13" x14ac:dyDescent="0.35">
      <c r="A1145">
        <v>1039</v>
      </c>
      <c r="B1145" s="1">
        <v>44934</v>
      </c>
      <c r="C1145" t="s">
        <v>32</v>
      </c>
      <c r="D1145" t="s">
        <v>23</v>
      </c>
      <c r="E1145">
        <v>4469.8599999999997</v>
      </c>
      <c r="F1145">
        <v>4</v>
      </c>
      <c r="G1145" t="s">
        <v>31</v>
      </c>
      <c r="H1145">
        <v>1054.1199999999999</v>
      </c>
      <c r="I1145">
        <v>1175.22</v>
      </c>
      <c r="J1145" t="s">
        <v>17</v>
      </c>
      <c r="K1145">
        <v>0.05</v>
      </c>
      <c r="L1145" t="s">
        <v>25</v>
      </c>
      <c r="M1145" t="s">
        <v>21</v>
      </c>
    </row>
    <row r="1146" spans="1:13" x14ac:dyDescent="0.35">
      <c r="A1146">
        <v>1041</v>
      </c>
      <c r="B1146" s="1">
        <v>44934</v>
      </c>
      <c r="C1146" t="s">
        <v>22</v>
      </c>
      <c r="D1146" t="s">
        <v>30</v>
      </c>
      <c r="E1146">
        <v>37491.93</v>
      </c>
      <c r="F1146">
        <v>36</v>
      </c>
      <c r="G1146" t="s">
        <v>24</v>
      </c>
      <c r="H1146">
        <v>864.77</v>
      </c>
      <c r="I1146">
        <v>1170.1600000000001</v>
      </c>
      <c r="J1146" t="s">
        <v>17</v>
      </c>
      <c r="K1146">
        <v>0.11</v>
      </c>
      <c r="L1146" t="s">
        <v>18</v>
      </c>
      <c r="M1146" t="s">
        <v>21</v>
      </c>
    </row>
    <row r="1147" spans="1:13" x14ac:dyDescent="0.35">
      <c r="A1147">
        <v>1057</v>
      </c>
      <c r="B1147" s="1">
        <v>44935</v>
      </c>
      <c r="C1147" t="s">
        <v>29</v>
      </c>
      <c r="D1147" t="s">
        <v>15</v>
      </c>
      <c r="E1147">
        <v>8597.15</v>
      </c>
      <c r="F1147">
        <v>12</v>
      </c>
      <c r="G1147" t="s">
        <v>16</v>
      </c>
      <c r="H1147">
        <v>639.16</v>
      </c>
      <c r="I1147">
        <v>746.28</v>
      </c>
      <c r="J1147" t="s">
        <v>17</v>
      </c>
      <c r="K1147">
        <v>0.04</v>
      </c>
      <c r="L1147" t="s">
        <v>25</v>
      </c>
      <c r="M1147" t="s">
        <v>21</v>
      </c>
    </row>
    <row r="1148" spans="1:13" x14ac:dyDescent="0.35">
      <c r="A1148">
        <v>1051</v>
      </c>
      <c r="B1148" s="1">
        <v>44935</v>
      </c>
      <c r="C1148" t="s">
        <v>22</v>
      </c>
      <c r="D1148" t="s">
        <v>23</v>
      </c>
      <c r="E1148">
        <v>67857.23</v>
      </c>
      <c r="F1148">
        <v>23</v>
      </c>
      <c r="G1148" t="s">
        <v>16</v>
      </c>
      <c r="H1148">
        <v>2598.1799999999998</v>
      </c>
      <c r="I1148">
        <v>3042.73</v>
      </c>
      <c r="J1148" t="s">
        <v>17</v>
      </c>
      <c r="K1148">
        <v>0.03</v>
      </c>
      <c r="L1148" t="s">
        <v>28</v>
      </c>
      <c r="M1148" t="s">
        <v>19</v>
      </c>
    </row>
    <row r="1149" spans="1:13" x14ac:dyDescent="0.35">
      <c r="A1149">
        <v>1037</v>
      </c>
      <c r="B1149" s="1">
        <v>44935</v>
      </c>
      <c r="C1149" t="s">
        <v>29</v>
      </c>
      <c r="D1149" t="s">
        <v>15</v>
      </c>
      <c r="E1149">
        <v>212818.65</v>
      </c>
      <c r="F1149">
        <v>41</v>
      </c>
      <c r="G1149" t="s">
        <v>26</v>
      </c>
      <c r="H1149">
        <v>4965.07</v>
      </c>
      <c r="I1149">
        <v>5243.13</v>
      </c>
      <c r="J1149" t="s">
        <v>27</v>
      </c>
      <c r="K1149">
        <v>0.01</v>
      </c>
      <c r="L1149" t="s">
        <v>28</v>
      </c>
      <c r="M1149" t="s">
        <v>19</v>
      </c>
    </row>
    <row r="1150" spans="1:13" x14ac:dyDescent="0.35">
      <c r="A1150">
        <v>1066</v>
      </c>
      <c r="B1150" s="1">
        <v>44935</v>
      </c>
      <c r="C1150" t="s">
        <v>33</v>
      </c>
      <c r="D1150" t="s">
        <v>15</v>
      </c>
      <c r="E1150">
        <v>137861.26999999999</v>
      </c>
      <c r="F1150">
        <v>48</v>
      </c>
      <c r="G1150" t="s">
        <v>26</v>
      </c>
      <c r="H1150">
        <v>2588.54</v>
      </c>
      <c r="I1150">
        <v>2872.8</v>
      </c>
      <c r="J1150" t="s">
        <v>27</v>
      </c>
      <c r="K1150">
        <v>0</v>
      </c>
      <c r="L1150" t="s">
        <v>18</v>
      </c>
      <c r="M1150" t="s">
        <v>19</v>
      </c>
    </row>
    <row r="1151" spans="1:13" x14ac:dyDescent="0.35">
      <c r="A1151">
        <v>1067</v>
      </c>
      <c r="B1151" s="1">
        <v>44935</v>
      </c>
      <c r="C1151" t="s">
        <v>29</v>
      </c>
      <c r="D1151" t="s">
        <v>15</v>
      </c>
      <c r="E1151">
        <v>24587.37</v>
      </c>
      <c r="F1151">
        <v>48</v>
      </c>
      <c r="G1151" t="s">
        <v>31</v>
      </c>
      <c r="H1151">
        <v>210.63</v>
      </c>
      <c r="I1151">
        <v>533.58000000000004</v>
      </c>
      <c r="J1151" t="s">
        <v>27</v>
      </c>
      <c r="K1151">
        <v>0.04</v>
      </c>
      <c r="L1151" t="s">
        <v>25</v>
      </c>
      <c r="M1151" t="s">
        <v>19</v>
      </c>
    </row>
    <row r="1152" spans="1:13" x14ac:dyDescent="0.35">
      <c r="A1152">
        <v>1094</v>
      </c>
      <c r="B1152" s="1">
        <v>44936</v>
      </c>
      <c r="C1152" t="s">
        <v>32</v>
      </c>
      <c r="D1152" t="s">
        <v>15</v>
      </c>
      <c r="E1152">
        <v>48969.84</v>
      </c>
      <c r="F1152">
        <v>25</v>
      </c>
      <c r="G1152" t="s">
        <v>31</v>
      </c>
      <c r="H1152">
        <v>1933.39</v>
      </c>
      <c r="I1152">
        <v>1982.92</v>
      </c>
      <c r="J1152" t="s">
        <v>27</v>
      </c>
      <c r="K1152">
        <v>0.01</v>
      </c>
      <c r="L1152" t="s">
        <v>25</v>
      </c>
      <c r="M1152" t="s">
        <v>19</v>
      </c>
    </row>
    <row r="1153" spans="1:13" x14ac:dyDescent="0.35">
      <c r="A1153">
        <v>1054</v>
      </c>
      <c r="B1153" s="1">
        <v>44936</v>
      </c>
      <c r="C1153" t="s">
        <v>32</v>
      </c>
      <c r="D1153" t="s">
        <v>23</v>
      </c>
      <c r="E1153">
        <v>107798.98</v>
      </c>
      <c r="F1153">
        <v>40</v>
      </c>
      <c r="G1153" t="s">
        <v>16</v>
      </c>
      <c r="H1153">
        <v>2654.11</v>
      </c>
      <c r="I1153">
        <v>2929.32</v>
      </c>
      <c r="J1153" t="s">
        <v>17</v>
      </c>
      <c r="K1153">
        <v>0.08</v>
      </c>
      <c r="L1153" t="s">
        <v>18</v>
      </c>
      <c r="M1153" t="s">
        <v>19</v>
      </c>
    </row>
    <row r="1154" spans="1:13" x14ac:dyDescent="0.35">
      <c r="A1154">
        <v>1088</v>
      </c>
      <c r="B1154" s="1">
        <v>44937</v>
      </c>
      <c r="C1154" t="s">
        <v>33</v>
      </c>
      <c r="D1154" t="s">
        <v>23</v>
      </c>
      <c r="E1154">
        <v>42887.06</v>
      </c>
      <c r="F1154">
        <v>11</v>
      </c>
      <c r="G1154" t="s">
        <v>24</v>
      </c>
      <c r="H1154">
        <v>3884.13</v>
      </c>
      <c r="I1154">
        <v>3915.41</v>
      </c>
      <c r="J1154" t="s">
        <v>17</v>
      </c>
      <c r="K1154">
        <v>0</v>
      </c>
      <c r="L1154" t="s">
        <v>18</v>
      </c>
      <c r="M1154" t="s">
        <v>19</v>
      </c>
    </row>
    <row r="1155" spans="1:13" x14ac:dyDescent="0.35">
      <c r="A1155">
        <v>1044</v>
      </c>
      <c r="B1155" s="1">
        <v>44937</v>
      </c>
      <c r="C1155" t="s">
        <v>32</v>
      </c>
      <c r="D1155" t="s">
        <v>15</v>
      </c>
      <c r="E1155">
        <v>24127.68</v>
      </c>
      <c r="F1155">
        <v>5</v>
      </c>
      <c r="G1155" t="s">
        <v>24</v>
      </c>
      <c r="H1155">
        <v>4762.87</v>
      </c>
      <c r="I1155">
        <v>5050.46</v>
      </c>
      <c r="J1155" t="s">
        <v>27</v>
      </c>
      <c r="K1155">
        <v>0.04</v>
      </c>
      <c r="L1155" t="s">
        <v>18</v>
      </c>
      <c r="M1155" t="s">
        <v>21</v>
      </c>
    </row>
    <row r="1156" spans="1:13" x14ac:dyDescent="0.35">
      <c r="A1156">
        <v>1084</v>
      </c>
      <c r="B1156" s="1">
        <v>44937</v>
      </c>
      <c r="C1156" t="s">
        <v>14</v>
      </c>
      <c r="D1156" t="s">
        <v>30</v>
      </c>
      <c r="E1156">
        <v>13231.19</v>
      </c>
      <c r="F1156">
        <v>21</v>
      </c>
      <c r="G1156" t="s">
        <v>26</v>
      </c>
      <c r="H1156">
        <v>576.74</v>
      </c>
      <c r="I1156">
        <v>648.29</v>
      </c>
      <c r="J1156" t="s">
        <v>17</v>
      </c>
      <c r="K1156">
        <v>0.03</v>
      </c>
      <c r="L1156" t="s">
        <v>25</v>
      </c>
      <c r="M1156" t="s">
        <v>19</v>
      </c>
    </row>
    <row r="1157" spans="1:13" x14ac:dyDescent="0.35">
      <c r="A1157">
        <v>1060</v>
      </c>
      <c r="B1157" s="1">
        <v>44937</v>
      </c>
      <c r="C1157" t="s">
        <v>29</v>
      </c>
      <c r="D1157" t="s">
        <v>20</v>
      </c>
      <c r="E1157">
        <v>172625.74</v>
      </c>
      <c r="F1157">
        <v>34</v>
      </c>
      <c r="G1157" t="s">
        <v>31</v>
      </c>
      <c r="H1157">
        <v>4984.21</v>
      </c>
      <c r="I1157">
        <v>5184.6400000000003</v>
      </c>
      <c r="J1157" t="s">
        <v>27</v>
      </c>
      <c r="K1157">
        <v>0.02</v>
      </c>
      <c r="L1157" t="s">
        <v>18</v>
      </c>
      <c r="M1157" t="s">
        <v>19</v>
      </c>
    </row>
    <row r="1158" spans="1:13" x14ac:dyDescent="0.35">
      <c r="A1158">
        <v>1077</v>
      </c>
      <c r="B1158" s="1">
        <v>44937</v>
      </c>
      <c r="C1158" t="s">
        <v>32</v>
      </c>
      <c r="D1158" t="s">
        <v>15</v>
      </c>
      <c r="E1158">
        <v>28872.080000000002</v>
      </c>
      <c r="F1158">
        <v>35</v>
      </c>
      <c r="G1158" t="s">
        <v>31</v>
      </c>
      <c r="H1158">
        <v>585.37</v>
      </c>
      <c r="I1158">
        <v>970.49</v>
      </c>
      <c r="J1158" t="s">
        <v>17</v>
      </c>
      <c r="K1158">
        <v>0.15</v>
      </c>
      <c r="L1158" t="s">
        <v>25</v>
      </c>
      <c r="M1158" t="s">
        <v>21</v>
      </c>
    </row>
    <row r="1159" spans="1:13" x14ac:dyDescent="0.35">
      <c r="A1159">
        <v>1022</v>
      </c>
      <c r="B1159" s="1">
        <v>44938</v>
      </c>
      <c r="C1159" t="s">
        <v>32</v>
      </c>
      <c r="D1159" t="s">
        <v>30</v>
      </c>
      <c r="E1159">
        <v>30606.21</v>
      </c>
      <c r="F1159">
        <v>13</v>
      </c>
      <c r="G1159" t="s">
        <v>24</v>
      </c>
      <c r="H1159">
        <v>2312.4499999999998</v>
      </c>
      <c r="I1159">
        <v>2504.6</v>
      </c>
      <c r="J1159" t="s">
        <v>17</v>
      </c>
      <c r="K1159">
        <v>0.06</v>
      </c>
      <c r="L1159" t="s">
        <v>25</v>
      </c>
      <c r="M1159" t="s">
        <v>19</v>
      </c>
    </row>
    <row r="1160" spans="1:13" x14ac:dyDescent="0.35">
      <c r="A1160">
        <v>1013</v>
      </c>
      <c r="B1160" s="1">
        <v>44938</v>
      </c>
      <c r="C1160" t="s">
        <v>33</v>
      </c>
      <c r="D1160" t="s">
        <v>20</v>
      </c>
      <c r="E1160">
        <v>46996.69</v>
      </c>
      <c r="F1160">
        <v>35</v>
      </c>
      <c r="G1160" t="s">
        <v>31</v>
      </c>
      <c r="H1160">
        <v>1312.71</v>
      </c>
      <c r="I1160">
        <v>1352.11</v>
      </c>
      <c r="J1160" t="s">
        <v>17</v>
      </c>
      <c r="K1160">
        <v>0.01</v>
      </c>
      <c r="L1160" t="s">
        <v>25</v>
      </c>
      <c r="M1160" t="s">
        <v>21</v>
      </c>
    </row>
    <row r="1161" spans="1:13" x14ac:dyDescent="0.35">
      <c r="A1161">
        <v>1087</v>
      </c>
      <c r="B1161" s="1">
        <v>44938</v>
      </c>
      <c r="C1161" t="s">
        <v>29</v>
      </c>
      <c r="D1161" t="s">
        <v>15</v>
      </c>
      <c r="E1161">
        <v>81249.820000000007</v>
      </c>
      <c r="F1161">
        <v>21</v>
      </c>
      <c r="G1161" t="s">
        <v>24</v>
      </c>
      <c r="H1161">
        <v>3724.38</v>
      </c>
      <c r="I1161">
        <v>3988.7</v>
      </c>
      <c r="J1161" t="s">
        <v>27</v>
      </c>
      <c r="K1161">
        <v>0.03</v>
      </c>
      <c r="L1161" t="s">
        <v>25</v>
      </c>
      <c r="M1161" t="s">
        <v>21</v>
      </c>
    </row>
    <row r="1162" spans="1:13" x14ac:dyDescent="0.35">
      <c r="A1162">
        <v>1048</v>
      </c>
      <c r="B1162" s="1">
        <v>44938</v>
      </c>
      <c r="C1162" t="s">
        <v>29</v>
      </c>
      <c r="D1162" t="s">
        <v>30</v>
      </c>
      <c r="E1162">
        <v>38136.82</v>
      </c>
      <c r="F1162">
        <v>47</v>
      </c>
      <c r="G1162" t="s">
        <v>26</v>
      </c>
      <c r="H1162">
        <v>702.44</v>
      </c>
      <c r="I1162">
        <v>1067.6600000000001</v>
      </c>
      <c r="J1162" t="s">
        <v>27</v>
      </c>
      <c r="K1162">
        <v>0.24</v>
      </c>
      <c r="L1162" t="s">
        <v>18</v>
      </c>
      <c r="M1162" t="s">
        <v>21</v>
      </c>
    </row>
    <row r="1163" spans="1:13" x14ac:dyDescent="0.35">
      <c r="A1163">
        <v>1078</v>
      </c>
      <c r="B1163" s="1">
        <v>44938</v>
      </c>
      <c r="C1163" t="s">
        <v>32</v>
      </c>
      <c r="D1163" t="s">
        <v>30</v>
      </c>
      <c r="E1163">
        <v>172294.61</v>
      </c>
      <c r="F1163">
        <v>36</v>
      </c>
      <c r="G1163" t="s">
        <v>24</v>
      </c>
      <c r="H1163">
        <v>4548.88</v>
      </c>
      <c r="I1163">
        <v>4853.41</v>
      </c>
      <c r="J1163" t="s">
        <v>17</v>
      </c>
      <c r="K1163">
        <v>0.01</v>
      </c>
      <c r="L1163" t="s">
        <v>28</v>
      </c>
      <c r="M1163" t="s">
        <v>21</v>
      </c>
    </row>
    <row r="1164" spans="1:13" x14ac:dyDescent="0.35">
      <c r="A1164">
        <v>1045</v>
      </c>
      <c r="B1164" s="1">
        <v>44938</v>
      </c>
      <c r="C1164" t="s">
        <v>29</v>
      </c>
      <c r="D1164" t="s">
        <v>23</v>
      </c>
      <c r="E1164">
        <v>143183.49</v>
      </c>
      <c r="F1164">
        <v>35</v>
      </c>
      <c r="G1164" t="s">
        <v>16</v>
      </c>
      <c r="H1164">
        <v>3777.94</v>
      </c>
      <c r="I1164">
        <v>4188.66</v>
      </c>
      <c r="J1164" t="s">
        <v>27</v>
      </c>
      <c r="K1164">
        <v>0.02</v>
      </c>
      <c r="L1164" t="s">
        <v>25</v>
      </c>
      <c r="M1164" t="s">
        <v>19</v>
      </c>
    </row>
    <row r="1165" spans="1:13" x14ac:dyDescent="0.35">
      <c r="A1165">
        <v>1094</v>
      </c>
      <c r="B1165" s="1">
        <v>44938</v>
      </c>
      <c r="C1165" t="s">
        <v>32</v>
      </c>
      <c r="D1165" t="s">
        <v>20</v>
      </c>
      <c r="E1165">
        <v>143719.69</v>
      </c>
      <c r="F1165">
        <v>38</v>
      </c>
      <c r="G1165" t="s">
        <v>24</v>
      </c>
      <c r="H1165">
        <v>3443.98</v>
      </c>
      <c r="I1165">
        <v>3820.3</v>
      </c>
      <c r="J1165" t="s">
        <v>17</v>
      </c>
      <c r="K1165">
        <v>0.01</v>
      </c>
      <c r="L1165" t="s">
        <v>28</v>
      </c>
      <c r="M1165" t="s">
        <v>21</v>
      </c>
    </row>
    <row r="1166" spans="1:13" x14ac:dyDescent="0.35">
      <c r="A1166">
        <v>1012</v>
      </c>
      <c r="B1166" s="1">
        <v>44939</v>
      </c>
      <c r="C1166" t="s">
        <v>33</v>
      </c>
      <c r="D1166" t="s">
        <v>30</v>
      </c>
      <c r="E1166">
        <v>124352.55</v>
      </c>
      <c r="F1166">
        <v>39</v>
      </c>
      <c r="G1166" t="s">
        <v>16</v>
      </c>
      <c r="H1166">
        <v>3126.52</v>
      </c>
      <c r="I1166">
        <v>3465.79</v>
      </c>
      <c r="J1166" t="s">
        <v>27</v>
      </c>
      <c r="K1166">
        <v>0.08</v>
      </c>
      <c r="L1166" t="s">
        <v>18</v>
      </c>
      <c r="M1166" t="s">
        <v>19</v>
      </c>
    </row>
    <row r="1167" spans="1:13" x14ac:dyDescent="0.35">
      <c r="A1167">
        <v>1090</v>
      </c>
      <c r="B1167" s="1">
        <v>44939</v>
      </c>
      <c r="C1167" t="s">
        <v>33</v>
      </c>
      <c r="D1167" t="s">
        <v>30</v>
      </c>
      <c r="E1167">
        <v>47874.31</v>
      </c>
      <c r="F1167">
        <v>17</v>
      </c>
      <c r="G1167" t="s">
        <v>26</v>
      </c>
      <c r="H1167">
        <v>2382.98</v>
      </c>
      <c r="I1167">
        <v>2839.73</v>
      </c>
      <c r="J1167" t="s">
        <v>17</v>
      </c>
      <c r="K1167">
        <v>0.01</v>
      </c>
      <c r="L1167" t="s">
        <v>25</v>
      </c>
      <c r="M1167" t="s">
        <v>21</v>
      </c>
    </row>
    <row r="1168" spans="1:13" x14ac:dyDescent="0.35">
      <c r="A1168">
        <v>1058</v>
      </c>
      <c r="B1168" s="1">
        <v>44940</v>
      </c>
      <c r="C1168" t="s">
        <v>14</v>
      </c>
      <c r="D1168" t="s">
        <v>30</v>
      </c>
      <c r="E1168">
        <v>29992.68</v>
      </c>
      <c r="F1168">
        <v>6</v>
      </c>
      <c r="G1168" t="s">
        <v>24</v>
      </c>
      <c r="H1168">
        <v>4987.71</v>
      </c>
      <c r="I1168">
        <v>4998.78</v>
      </c>
      <c r="J1168" t="s">
        <v>17</v>
      </c>
      <c r="K1168">
        <v>0</v>
      </c>
      <c r="L1168" t="s">
        <v>18</v>
      </c>
      <c r="M1168" t="s">
        <v>21</v>
      </c>
    </row>
    <row r="1169" spans="1:13" x14ac:dyDescent="0.35">
      <c r="A1169">
        <v>1033</v>
      </c>
      <c r="B1169" s="1">
        <v>44940</v>
      </c>
      <c r="C1169" t="s">
        <v>33</v>
      </c>
      <c r="D1169" t="s">
        <v>20</v>
      </c>
      <c r="E1169">
        <v>32675.439999999999</v>
      </c>
      <c r="F1169">
        <v>24</v>
      </c>
      <c r="G1169" t="s">
        <v>26</v>
      </c>
      <c r="H1169">
        <v>1345.67</v>
      </c>
      <c r="I1169">
        <v>1367.76</v>
      </c>
      <c r="J1169" t="s">
        <v>27</v>
      </c>
      <c r="K1169">
        <v>0</v>
      </c>
      <c r="L1169" t="s">
        <v>25</v>
      </c>
      <c r="M1169" t="s">
        <v>19</v>
      </c>
    </row>
    <row r="1170" spans="1:13" x14ac:dyDescent="0.35">
      <c r="A1170">
        <v>1056</v>
      </c>
      <c r="B1170" s="1">
        <v>44940</v>
      </c>
      <c r="C1170" t="s">
        <v>29</v>
      </c>
      <c r="D1170" t="s">
        <v>20</v>
      </c>
      <c r="E1170">
        <v>63375.4</v>
      </c>
      <c r="F1170">
        <v>25</v>
      </c>
      <c r="G1170" t="s">
        <v>24</v>
      </c>
      <c r="H1170">
        <v>2361.7399999999998</v>
      </c>
      <c r="I1170">
        <v>2584.35</v>
      </c>
      <c r="J1170" t="s">
        <v>17</v>
      </c>
      <c r="K1170">
        <v>0.02</v>
      </c>
      <c r="L1170" t="s">
        <v>18</v>
      </c>
      <c r="M1170" t="s">
        <v>19</v>
      </c>
    </row>
    <row r="1171" spans="1:13" x14ac:dyDescent="0.35">
      <c r="A1171">
        <v>1024</v>
      </c>
      <c r="B1171" s="1">
        <v>44940</v>
      </c>
      <c r="C1171" t="s">
        <v>14</v>
      </c>
      <c r="D1171" t="s">
        <v>23</v>
      </c>
      <c r="E1171">
        <v>135696.63</v>
      </c>
      <c r="F1171">
        <v>45</v>
      </c>
      <c r="G1171" t="s">
        <v>26</v>
      </c>
      <c r="H1171">
        <v>2693.99</v>
      </c>
      <c r="I1171">
        <v>3045.94</v>
      </c>
      <c r="J1171" t="s">
        <v>27</v>
      </c>
      <c r="K1171">
        <v>0.01</v>
      </c>
      <c r="L1171" t="s">
        <v>18</v>
      </c>
      <c r="M1171" t="s">
        <v>21</v>
      </c>
    </row>
    <row r="1172" spans="1:13" x14ac:dyDescent="0.35">
      <c r="A1172">
        <v>1017</v>
      </c>
      <c r="B1172" s="1">
        <v>44941</v>
      </c>
      <c r="C1172" t="s">
        <v>32</v>
      </c>
      <c r="D1172" t="s">
        <v>15</v>
      </c>
      <c r="E1172">
        <v>16637.62</v>
      </c>
      <c r="F1172">
        <v>6</v>
      </c>
      <c r="G1172" t="s">
        <v>16</v>
      </c>
      <c r="H1172">
        <v>2594.42</v>
      </c>
      <c r="I1172">
        <v>3081.04</v>
      </c>
      <c r="J1172" t="s">
        <v>17</v>
      </c>
      <c r="K1172">
        <v>0.1</v>
      </c>
      <c r="L1172" t="s">
        <v>25</v>
      </c>
      <c r="M1172" t="s">
        <v>21</v>
      </c>
    </row>
    <row r="1173" spans="1:13" x14ac:dyDescent="0.35">
      <c r="A1173">
        <v>1094</v>
      </c>
      <c r="B1173" s="1">
        <v>44941</v>
      </c>
      <c r="C1173" t="s">
        <v>14</v>
      </c>
      <c r="D1173" t="s">
        <v>15</v>
      </c>
      <c r="E1173">
        <v>206377.58</v>
      </c>
      <c r="F1173">
        <v>45</v>
      </c>
      <c r="G1173" t="s">
        <v>16</v>
      </c>
      <c r="H1173">
        <v>4470.91</v>
      </c>
      <c r="I1173">
        <v>4695.54</v>
      </c>
      <c r="J1173" t="s">
        <v>17</v>
      </c>
      <c r="K1173">
        <v>0.02</v>
      </c>
      <c r="L1173" t="s">
        <v>18</v>
      </c>
      <c r="M1173" t="s">
        <v>21</v>
      </c>
    </row>
    <row r="1174" spans="1:13" x14ac:dyDescent="0.35">
      <c r="A1174">
        <v>1040</v>
      </c>
      <c r="B1174" s="1">
        <v>44941</v>
      </c>
      <c r="C1174" t="s">
        <v>29</v>
      </c>
      <c r="D1174" t="s">
        <v>15</v>
      </c>
      <c r="E1174">
        <v>13279.76</v>
      </c>
      <c r="F1174">
        <v>19</v>
      </c>
      <c r="G1174" t="s">
        <v>16</v>
      </c>
      <c r="H1174">
        <v>342.3</v>
      </c>
      <c r="I1174">
        <v>768.06</v>
      </c>
      <c r="J1174" t="s">
        <v>17</v>
      </c>
      <c r="K1174">
        <v>0.09</v>
      </c>
      <c r="L1174" t="s">
        <v>28</v>
      </c>
      <c r="M1174" t="s">
        <v>19</v>
      </c>
    </row>
    <row r="1175" spans="1:13" x14ac:dyDescent="0.35">
      <c r="A1175">
        <v>1027</v>
      </c>
      <c r="B1175" s="1">
        <v>44941</v>
      </c>
      <c r="C1175" t="s">
        <v>14</v>
      </c>
      <c r="D1175" t="s">
        <v>20</v>
      </c>
      <c r="E1175">
        <v>10680.7</v>
      </c>
      <c r="F1175">
        <v>26</v>
      </c>
      <c r="G1175" t="s">
        <v>24</v>
      </c>
      <c r="H1175">
        <v>149.11000000000001</v>
      </c>
      <c r="I1175">
        <v>477.67</v>
      </c>
      <c r="J1175" t="s">
        <v>17</v>
      </c>
      <c r="K1175">
        <v>0.14000000000000001</v>
      </c>
      <c r="L1175" t="s">
        <v>18</v>
      </c>
      <c r="M1175" t="s">
        <v>21</v>
      </c>
    </row>
    <row r="1176" spans="1:13" x14ac:dyDescent="0.35">
      <c r="A1176">
        <v>1042</v>
      </c>
      <c r="B1176" s="1">
        <v>44941</v>
      </c>
      <c r="C1176" t="s">
        <v>22</v>
      </c>
      <c r="D1176" t="s">
        <v>23</v>
      </c>
      <c r="E1176">
        <v>108645.72</v>
      </c>
      <c r="F1176">
        <v>46</v>
      </c>
      <c r="G1176" t="s">
        <v>16</v>
      </c>
      <c r="H1176">
        <v>2172.38</v>
      </c>
      <c r="I1176">
        <v>2367.11</v>
      </c>
      <c r="J1176" t="s">
        <v>27</v>
      </c>
      <c r="K1176">
        <v>0</v>
      </c>
      <c r="L1176" t="s">
        <v>18</v>
      </c>
      <c r="M1176" t="s">
        <v>21</v>
      </c>
    </row>
    <row r="1177" spans="1:13" x14ac:dyDescent="0.35">
      <c r="A1177">
        <v>1034</v>
      </c>
      <c r="B1177" s="1">
        <v>44942</v>
      </c>
      <c r="C1177" t="s">
        <v>33</v>
      </c>
      <c r="D1177" t="s">
        <v>15</v>
      </c>
      <c r="E1177">
        <v>5636.26</v>
      </c>
      <c r="F1177">
        <v>13</v>
      </c>
      <c r="G1177" t="s">
        <v>16</v>
      </c>
      <c r="H1177">
        <v>366.31</v>
      </c>
      <c r="I1177">
        <v>492.68</v>
      </c>
      <c r="J1177" t="s">
        <v>27</v>
      </c>
      <c r="K1177">
        <v>0.12</v>
      </c>
      <c r="L1177" t="s">
        <v>28</v>
      </c>
      <c r="M1177" t="s">
        <v>21</v>
      </c>
    </row>
    <row r="1178" spans="1:13" x14ac:dyDescent="0.35">
      <c r="A1178">
        <v>1013</v>
      </c>
      <c r="B1178" s="1">
        <v>44942</v>
      </c>
      <c r="C1178" t="s">
        <v>32</v>
      </c>
      <c r="D1178" t="s">
        <v>30</v>
      </c>
      <c r="E1178">
        <v>71421.19</v>
      </c>
      <c r="F1178">
        <v>20</v>
      </c>
      <c r="G1178" t="s">
        <v>26</v>
      </c>
      <c r="H1178">
        <v>3356.62</v>
      </c>
      <c r="I1178">
        <v>3759.01</v>
      </c>
      <c r="J1178" t="s">
        <v>17</v>
      </c>
      <c r="K1178">
        <v>0.05</v>
      </c>
      <c r="L1178" t="s">
        <v>28</v>
      </c>
      <c r="M1178" t="s">
        <v>21</v>
      </c>
    </row>
    <row r="1179" spans="1:13" x14ac:dyDescent="0.35">
      <c r="A1179">
        <v>1060</v>
      </c>
      <c r="B1179" s="1">
        <v>44943</v>
      </c>
      <c r="C1179" t="s">
        <v>14</v>
      </c>
      <c r="D1179" t="s">
        <v>23</v>
      </c>
      <c r="E1179">
        <v>4653.7</v>
      </c>
      <c r="F1179">
        <v>3</v>
      </c>
      <c r="G1179" t="s">
        <v>31</v>
      </c>
      <c r="H1179">
        <v>1190.4100000000001</v>
      </c>
      <c r="I1179">
        <v>1582.89</v>
      </c>
      <c r="J1179" t="s">
        <v>27</v>
      </c>
      <c r="K1179">
        <v>0.02</v>
      </c>
      <c r="L1179" t="s">
        <v>28</v>
      </c>
      <c r="M1179" t="s">
        <v>21</v>
      </c>
    </row>
    <row r="1180" spans="1:13" x14ac:dyDescent="0.35">
      <c r="A1180">
        <v>1016</v>
      </c>
      <c r="B1180" s="1">
        <v>44943</v>
      </c>
      <c r="C1180" t="s">
        <v>32</v>
      </c>
      <c r="D1180" t="s">
        <v>20</v>
      </c>
      <c r="E1180">
        <v>62020.51</v>
      </c>
      <c r="F1180">
        <v>21</v>
      </c>
      <c r="G1180" t="s">
        <v>31</v>
      </c>
      <c r="H1180">
        <v>2863.74</v>
      </c>
      <c r="I1180">
        <v>2953.91</v>
      </c>
      <c r="J1180" t="s">
        <v>27</v>
      </c>
      <c r="K1180">
        <v>0</v>
      </c>
      <c r="L1180" t="s">
        <v>25</v>
      </c>
      <c r="M1180" t="s">
        <v>21</v>
      </c>
    </row>
    <row r="1181" spans="1:13" x14ac:dyDescent="0.35">
      <c r="A1181">
        <v>1009</v>
      </c>
      <c r="B1181" s="1">
        <v>44943</v>
      </c>
      <c r="C1181" t="s">
        <v>22</v>
      </c>
      <c r="D1181" t="s">
        <v>20</v>
      </c>
      <c r="E1181">
        <v>29234.9</v>
      </c>
      <c r="F1181">
        <v>12</v>
      </c>
      <c r="G1181" t="s">
        <v>16</v>
      </c>
      <c r="H1181">
        <v>2278.67</v>
      </c>
      <c r="I1181">
        <v>2476.8000000000002</v>
      </c>
      <c r="J1181" t="s">
        <v>27</v>
      </c>
      <c r="K1181">
        <v>0.02</v>
      </c>
      <c r="L1181" t="s">
        <v>18</v>
      </c>
      <c r="M1181" t="s">
        <v>21</v>
      </c>
    </row>
    <row r="1182" spans="1:13" x14ac:dyDescent="0.35">
      <c r="A1182">
        <v>1076</v>
      </c>
      <c r="B1182" s="1">
        <v>44943</v>
      </c>
      <c r="C1182" t="s">
        <v>29</v>
      </c>
      <c r="D1182" t="s">
        <v>23</v>
      </c>
      <c r="E1182">
        <v>34953.97</v>
      </c>
      <c r="F1182">
        <v>16</v>
      </c>
      <c r="G1182" t="s">
        <v>26</v>
      </c>
      <c r="H1182">
        <v>1964.15</v>
      </c>
      <c r="I1182">
        <v>2211.17</v>
      </c>
      <c r="J1182" t="s">
        <v>17</v>
      </c>
      <c r="K1182">
        <v>0.01</v>
      </c>
      <c r="L1182" t="s">
        <v>25</v>
      </c>
      <c r="M1182" t="s">
        <v>19</v>
      </c>
    </row>
    <row r="1183" spans="1:13" x14ac:dyDescent="0.35">
      <c r="A1183">
        <v>1080</v>
      </c>
      <c r="B1183" s="1">
        <v>44943</v>
      </c>
      <c r="C1183" t="s">
        <v>14</v>
      </c>
      <c r="D1183" t="s">
        <v>23</v>
      </c>
      <c r="E1183">
        <v>196362.23</v>
      </c>
      <c r="F1183">
        <v>47</v>
      </c>
      <c r="G1183" t="s">
        <v>16</v>
      </c>
      <c r="H1183">
        <v>4035.33</v>
      </c>
      <c r="I1183">
        <v>4211.25</v>
      </c>
      <c r="J1183" t="s">
        <v>17</v>
      </c>
      <c r="K1183">
        <v>0.01</v>
      </c>
      <c r="L1183" t="s">
        <v>25</v>
      </c>
      <c r="M1183" t="s">
        <v>19</v>
      </c>
    </row>
    <row r="1184" spans="1:13" x14ac:dyDescent="0.35">
      <c r="A1184">
        <v>1029</v>
      </c>
      <c r="B1184" s="1">
        <v>44943</v>
      </c>
      <c r="C1184" t="s">
        <v>29</v>
      </c>
      <c r="D1184" t="s">
        <v>15</v>
      </c>
      <c r="E1184">
        <v>92971.72</v>
      </c>
      <c r="F1184">
        <v>31</v>
      </c>
      <c r="G1184" t="s">
        <v>31</v>
      </c>
      <c r="H1184">
        <v>2719</v>
      </c>
      <c r="I1184">
        <v>3133.55</v>
      </c>
      <c r="J1184" t="s">
        <v>17</v>
      </c>
      <c r="K1184">
        <v>0.04</v>
      </c>
      <c r="L1184" t="s">
        <v>25</v>
      </c>
      <c r="M1184" t="s">
        <v>21</v>
      </c>
    </row>
    <row r="1185" spans="1:13" x14ac:dyDescent="0.35">
      <c r="A1185">
        <v>1080</v>
      </c>
      <c r="B1185" s="1">
        <v>44944</v>
      </c>
      <c r="C1185" t="s">
        <v>29</v>
      </c>
      <c r="D1185" t="s">
        <v>30</v>
      </c>
      <c r="E1185">
        <v>84816.88</v>
      </c>
      <c r="F1185">
        <v>44</v>
      </c>
      <c r="G1185" t="s">
        <v>31</v>
      </c>
      <c r="H1185">
        <v>1763.67</v>
      </c>
      <c r="I1185">
        <v>1983.82</v>
      </c>
      <c r="J1185" t="s">
        <v>27</v>
      </c>
      <c r="K1185">
        <v>0.03</v>
      </c>
      <c r="L1185" t="s">
        <v>28</v>
      </c>
      <c r="M1185" t="s">
        <v>19</v>
      </c>
    </row>
    <row r="1186" spans="1:13" x14ac:dyDescent="0.35">
      <c r="A1186">
        <v>1048</v>
      </c>
      <c r="B1186" s="1">
        <v>44945</v>
      </c>
      <c r="C1186" t="s">
        <v>14</v>
      </c>
      <c r="D1186" t="s">
        <v>20</v>
      </c>
      <c r="E1186">
        <v>31409.279999999999</v>
      </c>
      <c r="F1186">
        <v>7</v>
      </c>
      <c r="G1186" t="s">
        <v>26</v>
      </c>
      <c r="H1186">
        <v>4310.95</v>
      </c>
      <c r="I1186">
        <v>4723.2</v>
      </c>
      <c r="J1186" t="s">
        <v>17</v>
      </c>
      <c r="K1186">
        <v>0.05</v>
      </c>
      <c r="L1186" t="s">
        <v>28</v>
      </c>
      <c r="M1186" t="s">
        <v>21</v>
      </c>
    </row>
    <row r="1187" spans="1:13" x14ac:dyDescent="0.35">
      <c r="A1187">
        <v>1017</v>
      </c>
      <c r="B1187" s="1">
        <v>44946</v>
      </c>
      <c r="C1187" t="s">
        <v>14</v>
      </c>
      <c r="D1187" t="s">
        <v>30</v>
      </c>
      <c r="E1187">
        <v>100389.71</v>
      </c>
      <c r="F1187">
        <v>29</v>
      </c>
      <c r="G1187" t="s">
        <v>26</v>
      </c>
      <c r="H1187">
        <v>3410.49</v>
      </c>
      <c r="I1187">
        <v>3481.72</v>
      </c>
      <c r="J1187" t="s">
        <v>27</v>
      </c>
      <c r="K1187">
        <v>0.01</v>
      </c>
      <c r="L1187" t="s">
        <v>25</v>
      </c>
      <c r="M1187" t="s">
        <v>21</v>
      </c>
    </row>
    <row r="1188" spans="1:13" x14ac:dyDescent="0.35">
      <c r="A1188">
        <v>1046</v>
      </c>
      <c r="B1188" s="1">
        <v>44946</v>
      </c>
      <c r="C1188" t="s">
        <v>32</v>
      </c>
      <c r="D1188" t="s">
        <v>30</v>
      </c>
      <c r="E1188">
        <v>176514.6</v>
      </c>
      <c r="F1188">
        <v>43</v>
      </c>
      <c r="G1188" t="s">
        <v>26</v>
      </c>
      <c r="H1188">
        <v>4052.42</v>
      </c>
      <c r="I1188">
        <v>4199.3</v>
      </c>
      <c r="J1188" t="s">
        <v>27</v>
      </c>
      <c r="K1188">
        <v>0.02</v>
      </c>
      <c r="L1188" t="s">
        <v>25</v>
      </c>
      <c r="M1188" t="s">
        <v>21</v>
      </c>
    </row>
    <row r="1189" spans="1:13" x14ac:dyDescent="0.35">
      <c r="A1189">
        <v>1092</v>
      </c>
      <c r="B1189" s="1">
        <v>44946</v>
      </c>
      <c r="C1189" t="s">
        <v>29</v>
      </c>
      <c r="D1189" t="s">
        <v>30</v>
      </c>
      <c r="E1189">
        <v>187684.31</v>
      </c>
      <c r="F1189">
        <v>40</v>
      </c>
      <c r="G1189" t="s">
        <v>31</v>
      </c>
      <c r="H1189">
        <v>4624.16</v>
      </c>
      <c r="I1189">
        <v>4731.9799999999996</v>
      </c>
      <c r="J1189" t="s">
        <v>27</v>
      </c>
      <c r="K1189">
        <v>0.01</v>
      </c>
      <c r="L1189" t="s">
        <v>25</v>
      </c>
      <c r="M1189" t="s">
        <v>21</v>
      </c>
    </row>
    <row r="1190" spans="1:13" x14ac:dyDescent="0.35">
      <c r="A1190">
        <v>1053</v>
      </c>
      <c r="B1190" s="1">
        <v>44946</v>
      </c>
      <c r="C1190" t="s">
        <v>22</v>
      </c>
      <c r="D1190" t="s">
        <v>20</v>
      </c>
      <c r="E1190">
        <v>119020.38</v>
      </c>
      <c r="F1190">
        <v>42</v>
      </c>
      <c r="G1190" t="s">
        <v>16</v>
      </c>
      <c r="H1190">
        <v>2443.5700000000002</v>
      </c>
      <c r="I1190">
        <v>2943.31</v>
      </c>
      <c r="J1190" t="s">
        <v>27</v>
      </c>
      <c r="K1190">
        <v>0.04</v>
      </c>
      <c r="L1190" t="s">
        <v>18</v>
      </c>
      <c r="M1190" t="s">
        <v>19</v>
      </c>
    </row>
    <row r="1191" spans="1:13" x14ac:dyDescent="0.35">
      <c r="A1191">
        <v>1003</v>
      </c>
      <c r="B1191" s="1">
        <v>44947</v>
      </c>
      <c r="C1191" t="s">
        <v>29</v>
      </c>
      <c r="D1191" t="s">
        <v>15</v>
      </c>
      <c r="E1191">
        <v>5709.06</v>
      </c>
      <c r="F1191">
        <v>3</v>
      </c>
      <c r="G1191" t="s">
        <v>16</v>
      </c>
      <c r="H1191">
        <v>1792.05</v>
      </c>
      <c r="I1191">
        <v>2091.23</v>
      </c>
      <c r="J1191" t="s">
        <v>17</v>
      </c>
      <c r="K1191">
        <v>0.09</v>
      </c>
      <c r="L1191" t="s">
        <v>18</v>
      </c>
      <c r="M1191" t="s">
        <v>21</v>
      </c>
    </row>
    <row r="1192" spans="1:13" x14ac:dyDescent="0.35">
      <c r="A1192">
        <v>1006</v>
      </c>
      <c r="B1192" s="1">
        <v>44948</v>
      </c>
      <c r="C1192" t="s">
        <v>33</v>
      </c>
      <c r="D1192" t="s">
        <v>23</v>
      </c>
      <c r="E1192">
        <v>127232.05</v>
      </c>
      <c r="F1192">
        <v>29</v>
      </c>
      <c r="G1192" t="s">
        <v>31</v>
      </c>
      <c r="H1192">
        <v>4353.29</v>
      </c>
      <c r="I1192">
        <v>4405.8</v>
      </c>
      <c r="J1192" t="s">
        <v>27</v>
      </c>
      <c r="K1192">
        <v>0</v>
      </c>
      <c r="L1192" t="s">
        <v>25</v>
      </c>
      <c r="M1192" t="s">
        <v>19</v>
      </c>
    </row>
    <row r="1193" spans="1:13" x14ac:dyDescent="0.35">
      <c r="A1193">
        <v>1045</v>
      </c>
      <c r="B1193" s="1">
        <v>44948</v>
      </c>
      <c r="C1193" t="s">
        <v>14</v>
      </c>
      <c r="D1193" t="s">
        <v>30</v>
      </c>
      <c r="E1193">
        <v>122608.58</v>
      </c>
      <c r="F1193">
        <v>46</v>
      </c>
      <c r="G1193" t="s">
        <v>24</v>
      </c>
      <c r="H1193">
        <v>2577.08</v>
      </c>
      <c r="I1193">
        <v>2961.56</v>
      </c>
      <c r="J1193" t="s">
        <v>17</v>
      </c>
      <c r="K1193">
        <v>0.1</v>
      </c>
      <c r="L1193" t="s">
        <v>18</v>
      </c>
      <c r="M1193" t="s">
        <v>19</v>
      </c>
    </row>
    <row r="1194" spans="1:13" x14ac:dyDescent="0.35">
      <c r="A1194">
        <v>1035</v>
      </c>
      <c r="B1194" s="1">
        <v>44948</v>
      </c>
      <c r="C1194" t="s">
        <v>33</v>
      </c>
      <c r="D1194" t="s">
        <v>15</v>
      </c>
      <c r="E1194">
        <v>116985.67</v>
      </c>
      <c r="F1194">
        <v>28</v>
      </c>
      <c r="G1194" t="s">
        <v>16</v>
      </c>
      <c r="H1194">
        <v>3771.38</v>
      </c>
      <c r="I1194">
        <v>4234.92</v>
      </c>
      <c r="J1194" t="s">
        <v>27</v>
      </c>
      <c r="K1194">
        <v>0.01</v>
      </c>
      <c r="L1194" t="s">
        <v>28</v>
      </c>
      <c r="M1194" t="s">
        <v>21</v>
      </c>
    </row>
    <row r="1195" spans="1:13" x14ac:dyDescent="0.35">
      <c r="A1195">
        <v>1018</v>
      </c>
      <c r="B1195" s="1">
        <v>44949</v>
      </c>
      <c r="C1195" t="s">
        <v>22</v>
      </c>
      <c r="D1195" t="s">
        <v>15</v>
      </c>
      <c r="E1195">
        <v>24649.03</v>
      </c>
      <c r="F1195">
        <v>20</v>
      </c>
      <c r="G1195" t="s">
        <v>16</v>
      </c>
      <c r="H1195">
        <v>1140.6199999999999</v>
      </c>
      <c r="I1195">
        <v>1258.6300000000001</v>
      </c>
      <c r="J1195" t="s">
        <v>17</v>
      </c>
      <c r="K1195">
        <v>0.02</v>
      </c>
      <c r="L1195" t="s">
        <v>25</v>
      </c>
      <c r="M1195" t="s">
        <v>19</v>
      </c>
    </row>
    <row r="1196" spans="1:13" x14ac:dyDescent="0.35">
      <c r="A1196">
        <v>1037</v>
      </c>
      <c r="B1196" s="1">
        <v>44949</v>
      </c>
      <c r="C1196" t="s">
        <v>29</v>
      </c>
      <c r="D1196" t="s">
        <v>30</v>
      </c>
      <c r="E1196">
        <v>34498.589999999997</v>
      </c>
      <c r="F1196">
        <v>25</v>
      </c>
      <c r="G1196" t="s">
        <v>24</v>
      </c>
      <c r="H1196">
        <v>1074.6199999999999</v>
      </c>
      <c r="I1196">
        <v>1382.43</v>
      </c>
      <c r="J1196" t="s">
        <v>17</v>
      </c>
      <c r="K1196">
        <v>0</v>
      </c>
      <c r="L1196" t="s">
        <v>28</v>
      </c>
      <c r="M1196" t="s">
        <v>21</v>
      </c>
    </row>
    <row r="1197" spans="1:13" x14ac:dyDescent="0.35">
      <c r="A1197">
        <v>1037</v>
      </c>
      <c r="B1197" s="1">
        <v>44949</v>
      </c>
      <c r="C1197" t="s">
        <v>14</v>
      </c>
      <c r="D1197" t="s">
        <v>15</v>
      </c>
      <c r="E1197">
        <v>126717.29</v>
      </c>
      <c r="F1197">
        <v>40</v>
      </c>
      <c r="G1197" t="s">
        <v>26</v>
      </c>
      <c r="H1197">
        <v>2790.11</v>
      </c>
      <c r="I1197">
        <v>3192.37</v>
      </c>
      <c r="J1197" t="s">
        <v>17</v>
      </c>
      <c r="K1197">
        <v>0.01</v>
      </c>
      <c r="L1197" t="s">
        <v>25</v>
      </c>
      <c r="M1197" t="s">
        <v>19</v>
      </c>
    </row>
    <row r="1198" spans="1:13" x14ac:dyDescent="0.35">
      <c r="A1198">
        <v>1017</v>
      </c>
      <c r="B1198" s="1">
        <v>44950</v>
      </c>
      <c r="C1198" t="s">
        <v>32</v>
      </c>
      <c r="D1198" t="s">
        <v>15</v>
      </c>
      <c r="E1198">
        <v>27576.06</v>
      </c>
      <c r="F1198">
        <v>27</v>
      </c>
      <c r="G1198" t="s">
        <v>31</v>
      </c>
      <c r="H1198">
        <v>927.89</v>
      </c>
      <c r="I1198">
        <v>1399.09</v>
      </c>
      <c r="J1198" t="s">
        <v>17</v>
      </c>
      <c r="K1198">
        <v>0.27</v>
      </c>
      <c r="L1198" t="s">
        <v>28</v>
      </c>
      <c r="M1198" t="s">
        <v>19</v>
      </c>
    </row>
    <row r="1199" spans="1:13" x14ac:dyDescent="0.35">
      <c r="A1199">
        <v>1054</v>
      </c>
      <c r="B1199" s="1">
        <v>44950</v>
      </c>
      <c r="C1199" t="s">
        <v>14</v>
      </c>
      <c r="D1199" t="s">
        <v>30</v>
      </c>
      <c r="E1199">
        <v>98773.1</v>
      </c>
      <c r="F1199">
        <v>22</v>
      </c>
      <c r="G1199" t="s">
        <v>31</v>
      </c>
      <c r="H1199">
        <v>4200.08</v>
      </c>
      <c r="I1199">
        <v>4647.28</v>
      </c>
      <c r="J1199" t="s">
        <v>17</v>
      </c>
      <c r="K1199">
        <v>0.03</v>
      </c>
      <c r="L1199" t="s">
        <v>18</v>
      </c>
      <c r="M1199" t="s">
        <v>19</v>
      </c>
    </row>
    <row r="1200" spans="1:13" x14ac:dyDescent="0.35">
      <c r="A1200">
        <v>1061</v>
      </c>
      <c r="B1200" s="1">
        <v>44951</v>
      </c>
      <c r="C1200" t="s">
        <v>14</v>
      </c>
      <c r="D1200" t="s">
        <v>30</v>
      </c>
      <c r="E1200">
        <v>170889.01</v>
      </c>
      <c r="F1200">
        <v>38</v>
      </c>
      <c r="G1200" t="s">
        <v>16</v>
      </c>
      <c r="H1200">
        <v>4440.8599999999997</v>
      </c>
      <c r="I1200">
        <v>4506.8100000000004</v>
      </c>
      <c r="J1200" t="s">
        <v>17</v>
      </c>
      <c r="K1200">
        <v>0</v>
      </c>
      <c r="L1200" t="s">
        <v>25</v>
      </c>
      <c r="M1200" t="s">
        <v>19</v>
      </c>
    </row>
    <row r="1201" spans="1:13" x14ac:dyDescent="0.35">
      <c r="A1201">
        <v>1048</v>
      </c>
      <c r="B1201" s="1">
        <v>44951</v>
      </c>
      <c r="C1201" t="s">
        <v>32</v>
      </c>
      <c r="D1201" t="s">
        <v>23</v>
      </c>
      <c r="E1201">
        <v>13902.01</v>
      </c>
      <c r="F1201">
        <v>7</v>
      </c>
      <c r="G1201" t="s">
        <v>31</v>
      </c>
      <c r="H1201">
        <v>1655.43</v>
      </c>
      <c r="I1201">
        <v>2001.08</v>
      </c>
      <c r="J1201" t="s">
        <v>27</v>
      </c>
      <c r="K1201">
        <v>0.01</v>
      </c>
      <c r="L1201" t="s">
        <v>25</v>
      </c>
      <c r="M1201" t="s">
        <v>19</v>
      </c>
    </row>
    <row r="1202" spans="1:13" x14ac:dyDescent="0.35">
      <c r="A1202">
        <v>1096</v>
      </c>
      <c r="B1202" s="1">
        <v>44951</v>
      </c>
      <c r="C1202" t="s">
        <v>29</v>
      </c>
      <c r="D1202" t="s">
        <v>20</v>
      </c>
      <c r="E1202">
        <v>133401.04999999999</v>
      </c>
      <c r="F1202">
        <v>27</v>
      </c>
      <c r="G1202" t="s">
        <v>26</v>
      </c>
      <c r="H1202">
        <v>4809</v>
      </c>
      <c r="I1202">
        <v>4967.4399999999996</v>
      </c>
      <c r="J1202" t="s">
        <v>27</v>
      </c>
      <c r="K1202">
        <v>0.01</v>
      </c>
      <c r="L1202" t="s">
        <v>18</v>
      </c>
      <c r="M1202" t="s">
        <v>19</v>
      </c>
    </row>
    <row r="1203" spans="1:13" x14ac:dyDescent="0.35">
      <c r="A1203">
        <v>1011</v>
      </c>
      <c r="B1203" s="1">
        <v>44951</v>
      </c>
      <c r="C1203" t="s">
        <v>32</v>
      </c>
      <c r="D1203" t="s">
        <v>15</v>
      </c>
      <c r="E1203">
        <v>32952.660000000003</v>
      </c>
      <c r="F1203">
        <v>22</v>
      </c>
      <c r="G1203" t="s">
        <v>31</v>
      </c>
      <c r="H1203">
        <v>1324.52</v>
      </c>
      <c r="I1203">
        <v>1510.3</v>
      </c>
      <c r="J1203" t="s">
        <v>17</v>
      </c>
      <c r="K1203">
        <v>0.01</v>
      </c>
      <c r="L1203" t="s">
        <v>18</v>
      </c>
      <c r="M1203" t="s">
        <v>21</v>
      </c>
    </row>
    <row r="1204" spans="1:13" x14ac:dyDescent="0.35">
      <c r="A1204">
        <v>1090</v>
      </c>
      <c r="B1204" s="1">
        <v>44951</v>
      </c>
      <c r="C1204" t="s">
        <v>29</v>
      </c>
      <c r="D1204" t="s">
        <v>23</v>
      </c>
      <c r="E1204">
        <v>75066</v>
      </c>
      <c r="F1204">
        <v>17</v>
      </c>
      <c r="G1204" t="s">
        <v>26</v>
      </c>
      <c r="H1204">
        <v>4190.26</v>
      </c>
      <c r="I1204">
        <v>4645.3500000000004</v>
      </c>
      <c r="J1204" t="s">
        <v>27</v>
      </c>
      <c r="K1204">
        <v>0.05</v>
      </c>
      <c r="L1204" t="s">
        <v>28</v>
      </c>
      <c r="M1204" t="s">
        <v>21</v>
      </c>
    </row>
    <row r="1205" spans="1:13" x14ac:dyDescent="0.35">
      <c r="A1205">
        <v>1083</v>
      </c>
      <c r="B1205" s="1">
        <v>44951</v>
      </c>
      <c r="C1205" t="s">
        <v>22</v>
      </c>
      <c r="D1205" t="s">
        <v>30</v>
      </c>
      <c r="E1205">
        <v>46820.09</v>
      </c>
      <c r="F1205">
        <v>34</v>
      </c>
      <c r="G1205" t="s">
        <v>26</v>
      </c>
      <c r="H1205">
        <v>1167.9100000000001</v>
      </c>
      <c r="I1205">
        <v>1547.26</v>
      </c>
      <c r="J1205" t="s">
        <v>27</v>
      </c>
      <c r="K1205">
        <v>0.11</v>
      </c>
      <c r="L1205" t="s">
        <v>25</v>
      </c>
      <c r="M1205" t="s">
        <v>19</v>
      </c>
    </row>
    <row r="1206" spans="1:13" x14ac:dyDescent="0.35">
      <c r="A1206">
        <v>1026</v>
      </c>
      <c r="B1206" s="1">
        <v>44952</v>
      </c>
      <c r="C1206" t="s">
        <v>22</v>
      </c>
      <c r="D1206" t="s">
        <v>30</v>
      </c>
      <c r="E1206">
        <v>20475.46</v>
      </c>
      <c r="F1206">
        <v>5</v>
      </c>
      <c r="G1206" t="s">
        <v>24</v>
      </c>
      <c r="H1206">
        <v>4093.61</v>
      </c>
      <c r="I1206">
        <v>4117.88</v>
      </c>
      <c r="J1206" t="s">
        <v>17</v>
      </c>
      <c r="K1206">
        <v>0.01</v>
      </c>
      <c r="L1206" t="s">
        <v>28</v>
      </c>
      <c r="M1206" t="s">
        <v>21</v>
      </c>
    </row>
    <row r="1207" spans="1:13" x14ac:dyDescent="0.35">
      <c r="A1207">
        <v>1018</v>
      </c>
      <c r="B1207" s="1">
        <v>44952</v>
      </c>
      <c r="C1207" t="s">
        <v>33</v>
      </c>
      <c r="D1207" t="s">
        <v>30</v>
      </c>
      <c r="E1207">
        <v>27709.77</v>
      </c>
      <c r="F1207">
        <v>11</v>
      </c>
      <c r="G1207" t="s">
        <v>26</v>
      </c>
      <c r="H1207">
        <v>2414.8200000000002</v>
      </c>
      <c r="I1207">
        <v>2519.0700000000002</v>
      </c>
      <c r="J1207" t="s">
        <v>17</v>
      </c>
      <c r="K1207">
        <v>0</v>
      </c>
      <c r="L1207" t="s">
        <v>18</v>
      </c>
      <c r="M1207" t="s">
        <v>19</v>
      </c>
    </row>
    <row r="1208" spans="1:13" x14ac:dyDescent="0.35">
      <c r="A1208">
        <v>1023</v>
      </c>
      <c r="B1208" s="1">
        <v>44952</v>
      </c>
      <c r="C1208" t="s">
        <v>22</v>
      </c>
      <c r="D1208" t="s">
        <v>15</v>
      </c>
      <c r="E1208">
        <v>80600.62</v>
      </c>
      <c r="F1208">
        <v>36</v>
      </c>
      <c r="G1208" t="s">
        <v>26</v>
      </c>
      <c r="H1208">
        <v>1991.72</v>
      </c>
      <c r="I1208">
        <v>2329.37</v>
      </c>
      <c r="J1208" t="s">
        <v>27</v>
      </c>
      <c r="K1208">
        <v>0.04</v>
      </c>
      <c r="L1208" t="s">
        <v>28</v>
      </c>
      <c r="M1208" t="s">
        <v>21</v>
      </c>
    </row>
    <row r="1209" spans="1:13" x14ac:dyDescent="0.35">
      <c r="A1209">
        <v>1065</v>
      </c>
      <c r="B1209" s="1">
        <v>44953</v>
      </c>
      <c r="C1209" t="s">
        <v>14</v>
      </c>
      <c r="D1209" t="s">
        <v>23</v>
      </c>
      <c r="E1209">
        <v>24711.33</v>
      </c>
      <c r="F1209">
        <v>12</v>
      </c>
      <c r="G1209" t="s">
        <v>31</v>
      </c>
      <c r="H1209">
        <v>2035.68</v>
      </c>
      <c r="I1209">
        <v>2079.64</v>
      </c>
      <c r="J1209" t="s">
        <v>17</v>
      </c>
      <c r="K1209">
        <v>0.01</v>
      </c>
      <c r="L1209" t="s">
        <v>18</v>
      </c>
      <c r="M1209" t="s">
        <v>19</v>
      </c>
    </row>
    <row r="1210" spans="1:13" x14ac:dyDescent="0.35">
      <c r="A1210">
        <v>1016</v>
      </c>
      <c r="B1210" s="1">
        <v>44953</v>
      </c>
      <c r="C1210" t="s">
        <v>32</v>
      </c>
      <c r="D1210" t="s">
        <v>15</v>
      </c>
      <c r="E1210">
        <v>140303.25</v>
      </c>
      <c r="F1210">
        <v>41</v>
      </c>
      <c r="G1210" t="s">
        <v>24</v>
      </c>
      <c r="H1210">
        <v>3386.49</v>
      </c>
      <c r="I1210">
        <v>3430.99</v>
      </c>
      <c r="J1210" t="s">
        <v>27</v>
      </c>
      <c r="K1210">
        <v>0</v>
      </c>
      <c r="L1210" t="s">
        <v>25</v>
      </c>
      <c r="M1210" t="s">
        <v>21</v>
      </c>
    </row>
    <row r="1211" spans="1:13" x14ac:dyDescent="0.35">
      <c r="A1211">
        <v>1092</v>
      </c>
      <c r="B1211" s="1">
        <v>44953</v>
      </c>
      <c r="C1211" t="s">
        <v>22</v>
      </c>
      <c r="D1211" t="s">
        <v>20</v>
      </c>
      <c r="E1211">
        <v>100579.63</v>
      </c>
      <c r="F1211">
        <v>26</v>
      </c>
      <c r="G1211" t="s">
        <v>16</v>
      </c>
      <c r="H1211">
        <v>3697.29</v>
      </c>
      <c r="I1211">
        <v>4003.96</v>
      </c>
      <c r="J1211" t="s">
        <v>27</v>
      </c>
      <c r="K1211">
        <v>0.03</v>
      </c>
      <c r="L1211" t="s">
        <v>18</v>
      </c>
      <c r="M1211" t="s">
        <v>19</v>
      </c>
    </row>
    <row r="1212" spans="1:13" x14ac:dyDescent="0.35">
      <c r="A1212">
        <v>1034</v>
      </c>
      <c r="B1212" s="1">
        <v>44953</v>
      </c>
      <c r="C1212" t="s">
        <v>14</v>
      </c>
      <c r="D1212" t="s">
        <v>30</v>
      </c>
      <c r="E1212">
        <v>115926.03</v>
      </c>
      <c r="F1212">
        <v>38</v>
      </c>
      <c r="G1212" t="s">
        <v>24</v>
      </c>
      <c r="H1212">
        <v>2729.75</v>
      </c>
      <c r="I1212">
        <v>3081.5</v>
      </c>
      <c r="J1212" t="s">
        <v>27</v>
      </c>
      <c r="K1212">
        <v>0.01</v>
      </c>
      <c r="L1212" t="s">
        <v>25</v>
      </c>
      <c r="M1212" t="s">
        <v>19</v>
      </c>
    </row>
    <row r="1213" spans="1:13" x14ac:dyDescent="0.35">
      <c r="A1213">
        <v>1007</v>
      </c>
      <c r="B1213" s="1">
        <v>44955</v>
      </c>
      <c r="C1213" t="s">
        <v>29</v>
      </c>
      <c r="D1213" t="s">
        <v>20</v>
      </c>
      <c r="E1213">
        <v>49758.53</v>
      </c>
      <c r="F1213">
        <v>13</v>
      </c>
      <c r="G1213" t="s">
        <v>16</v>
      </c>
      <c r="H1213">
        <v>3765.46</v>
      </c>
      <c r="I1213">
        <v>3860.56</v>
      </c>
      <c r="J1213" t="s">
        <v>17</v>
      </c>
      <c r="K1213">
        <v>0.01</v>
      </c>
      <c r="L1213" t="s">
        <v>18</v>
      </c>
      <c r="M1213" t="s">
        <v>21</v>
      </c>
    </row>
    <row r="1214" spans="1:13" x14ac:dyDescent="0.35">
      <c r="A1214">
        <v>1009</v>
      </c>
      <c r="B1214" s="1">
        <v>44955</v>
      </c>
      <c r="C1214" t="s">
        <v>32</v>
      </c>
      <c r="D1214" t="s">
        <v>20</v>
      </c>
      <c r="E1214">
        <v>61574.34</v>
      </c>
      <c r="F1214">
        <v>16</v>
      </c>
      <c r="G1214" t="s">
        <v>26</v>
      </c>
      <c r="H1214">
        <v>3745.69</v>
      </c>
      <c r="I1214">
        <v>3883.77</v>
      </c>
      <c r="J1214" t="s">
        <v>17</v>
      </c>
      <c r="K1214">
        <v>0.01</v>
      </c>
      <c r="L1214" t="s">
        <v>25</v>
      </c>
      <c r="M1214" t="s">
        <v>21</v>
      </c>
    </row>
    <row r="1215" spans="1:13" x14ac:dyDescent="0.35">
      <c r="A1215">
        <v>1042</v>
      </c>
      <c r="B1215" s="1">
        <v>44955</v>
      </c>
      <c r="C1215" t="s">
        <v>32</v>
      </c>
      <c r="D1215" t="s">
        <v>15</v>
      </c>
      <c r="E1215">
        <v>61999.68</v>
      </c>
      <c r="F1215">
        <v>25</v>
      </c>
      <c r="G1215" t="s">
        <v>24</v>
      </c>
      <c r="H1215">
        <v>2403.54</v>
      </c>
      <c r="I1215">
        <v>2850.56</v>
      </c>
      <c r="J1215" t="s">
        <v>27</v>
      </c>
      <c r="K1215">
        <v>0.13</v>
      </c>
      <c r="L1215" t="s">
        <v>25</v>
      </c>
      <c r="M1215" t="s">
        <v>19</v>
      </c>
    </row>
    <row r="1216" spans="1:13" x14ac:dyDescent="0.35">
      <c r="A1216">
        <v>1092</v>
      </c>
      <c r="B1216" s="1">
        <v>44955</v>
      </c>
      <c r="C1216" t="s">
        <v>14</v>
      </c>
      <c r="D1216" t="s">
        <v>23</v>
      </c>
      <c r="E1216">
        <v>37448.43</v>
      </c>
      <c r="F1216">
        <v>13</v>
      </c>
      <c r="G1216" t="s">
        <v>26</v>
      </c>
      <c r="H1216">
        <v>2684.5</v>
      </c>
      <c r="I1216">
        <v>2913.78</v>
      </c>
      <c r="J1216" t="s">
        <v>27</v>
      </c>
      <c r="K1216">
        <v>0.01</v>
      </c>
      <c r="L1216" t="s">
        <v>28</v>
      </c>
      <c r="M1216" t="s">
        <v>21</v>
      </c>
    </row>
    <row r="1217" spans="1:13" x14ac:dyDescent="0.35">
      <c r="A1217">
        <v>1018</v>
      </c>
      <c r="B1217" s="1">
        <v>44955</v>
      </c>
      <c r="C1217" t="s">
        <v>22</v>
      </c>
      <c r="D1217" t="s">
        <v>20</v>
      </c>
      <c r="E1217">
        <v>119454.3</v>
      </c>
      <c r="F1217">
        <v>25</v>
      </c>
      <c r="G1217" t="s">
        <v>24</v>
      </c>
      <c r="H1217">
        <v>4660.82</v>
      </c>
      <c r="I1217">
        <v>5011.43</v>
      </c>
      <c r="J1217" t="s">
        <v>27</v>
      </c>
      <c r="K1217">
        <v>0.05</v>
      </c>
      <c r="L1217" t="s">
        <v>25</v>
      </c>
      <c r="M1217" t="s">
        <v>19</v>
      </c>
    </row>
    <row r="1218" spans="1:13" x14ac:dyDescent="0.35">
      <c r="A1218">
        <v>1017</v>
      </c>
      <c r="B1218" s="1">
        <v>44955</v>
      </c>
      <c r="C1218" t="s">
        <v>29</v>
      </c>
      <c r="D1218" t="s">
        <v>23</v>
      </c>
      <c r="E1218">
        <v>29021.95</v>
      </c>
      <c r="F1218">
        <v>19</v>
      </c>
      <c r="G1218" t="s">
        <v>31</v>
      </c>
      <c r="H1218">
        <v>1233.1199999999999</v>
      </c>
      <c r="I1218">
        <v>1697.19</v>
      </c>
      <c r="J1218" t="s">
        <v>27</v>
      </c>
      <c r="K1218">
        <v>0.1</v>
      </c>
      <c r="L1218" t="s">
        <v>28</v>
      </c>
      <c r="M1218" t="s">
        <v>19</v>
      </c>
    </row>
    <row r="1219" spans="1:13" x14ac:dyDescent="0.35">
      <c r="A1219">
        <v>1042</v>
      </c>
      <c r="B1219" s="1">
        <v>44957</v>
      </c>
      <c r="C1219" t="s">
        <v>33</v>
      </c>
      <c r="D1219" t="s">
        <v>15</v>
      </c>
      <c r="E1219">
        <v>8776.43</v>
      </c>
      <c r="F1219">
        <v>11</v>
      </c>
      <c r="G1219" t="s">
        <v>24</v>
      </c>
      <c r="H1219">
        <v>635.20000000000005</v>
      </c>
      <c r="I1219">
        <v>814.14</v>
      </c>
      <c r="J1219" t="s">
        <v>17</v>
      </c>
      <c r="K1219">
        <v>0.02</v>
      </c>
      <c r="L1219" t="s">
        <v>18</v>
      </c>
      <c r="M1219" t="s">
        <v>19</v>
      </c>
    </row>
    <row r="1220" spans="1:13" x14ac:dyDescent="0.35">
      <c r="A1220">
        <v>1057</v>
      </c>
      <c r="B1220" s="1">
        <v>44957</v>
      </c>
      <c r="C1220" t="s">
        <v>29</v>
      </c>
      <c r="D1220" t="s">
        <v>15</v>
      </c>
      <c r="E1220">
        <v>184844.56</v>
      </c>
      <c r="F1220">
        <v>36</v>
      </c>
      <c r="G1220" t="s">
        <v>24</v>
      </c>
      <c r="H1220">
        <v>4995.3</v>
      </c>
      <c r="I1220">
        <v>5165.09</v>
      </c>
      <c r="J1220" t="s">
        <v>17</v>
      </c>
      <c r="K1220">
        <v>0.01</v>
      </c>
      <c r="L1220" t="s">
        <v>18</v>
      </c>
      <c r="M1220" t="s">
        <v>19</v>
      </c>
    </row>
    <row r="1221" spans="1:13" x14ac:dyDescent="0.35">
      <c r="A1221">
        <v>1069</v>
      </c>
      <c r="B1221" s="1">
        <v>44958</v>
      </c>
      <c r="C1221" t="s">
        <v>32</v>
      </c>
      <c r="D1221" t="s">
        <v>15</v>
      </c>
      <c r="E1221">
        <v>55910.11</v>
      </c>
      <c r="F1221">
        <v>18</v>
      </c>
      <c r="G1221" t="s">
        <v>16</v>
      </c>
      <c r="H1221">
        <v>2760.21</v>
      </c>
      <c r="I1221">
        <v>3219.58</v>
      </c>
      <c r="J1221" t="s">
        <v>27</v>
      </c>
      <c r="K1221">
        <v>0.04</v>
      </c>
      <c r="L1221" t="s">
        <v>25</v>
      </c>
      <c r="M1221" t="s">
        <v>21</v>
      </c>
    </row>
    <row r="1222" spans="1:13" x14ac:dyDescent="0.35">
      <c r="A1222">
        <v>1097</v>
      </c>
      <c r="B1222" s="1">
        <v>44958</v>
      </c>
      <c r="C1222" t="s">
        <v>33</v>
      </c>
      <c r="D1222" t="s">
        <v>20</v>
      </c>
      <c r="E1222">
        <v>113884.19</v>
      </c>
      <c r="F1222">
        <v>27</v>
      </c>
      <c r="G1222" t="s">
        <v>31</v>
      </c>
      <c r="H1222">
        <v>3955.19</v>
      </c>
      <c r="I1222">
        <v>4393.68</v>
      </c>
      <c r="J1222" t="s">
        <v>17</v>
      </c>
      <c r="K1222">
        <v>0.04</v>
      </c>
      <c r="L1222" t="s">
        <v>28</v>
      </c>
      <c r="M1222" t="s">
        <v>19</v>
      </c>
    </row>
    <row r="1223" spans="1:13" x14ac:dyDescent="0.35">
      <c r="A1223">
        <v>1096</v>
      </c>
      <c r="B1223" s="1">
        <v>44959</v>
      </c>
      <c r="C1223" t="s">
        <v>33</v>
      </c>
      <c r="D1223" t="s">
        <v>30</v>
      </c>
      <c r="E1223">
        <v>61813.599999999999</v>
      </c>
      <c r="F1223">
        <v>31</v>
      </c>
      <c r="G1223" t="s">
        <v>31</v>
      </c>
      <c r="H1223">
        <v>1724.24</v>
      </c>
      <c r="I1223">
        <v>2036.2</v>
      </c>
      <c r="J1223" t="s">
        <v>27</v>
      </c>
      <c r="K1223">
        <v>0.02</v>
      </c>
      <c r="L1223" t="s">
        <v>18</v>
      </c>
      <c r="M1223" t="s">
        <v>19</v>
      </c>
    </row>
    <row r="1224" spans="1:13" x14ac:dyDescent="0.35">
      <c r="A1224">
        <v>1013</v>
      </c>
      <c r="B1224" s="1">
        <v>44960</v>
      </c>
      <c r="C1224" t="s">
        <v>14</v>
      </c>
      <c r="D1224" t="s">
        <v>15</v>
      </c>
      <c r="E1224">
        <v>194721.41</v>
      </c>
      <c r="F1224">
        <v>42</v>
      </c>
      <c r="G1224" t="s">
        <v>26</v>
      </c>
      <c r="H1224">
        <v>4625.33</v>
      </c>
      <c r="I1224">
        <v>4642.83</v>
      </c>
      <c r="J1224" t="s">
        <v>27</v>
      </c>
      <c r="K1224">
        <v>0</v>
      </c>
      <c r="L1224" t="s">
        <v>28</v>
      </c>
      <c r="M1224" t="s">
        <v>19</v>
      </c>
    </row>
    <row r="1225" spans="1:13" x14ac:dyDescent="0.35">
      <c r="A1225">
        <v>1035</v>
      </c>
      <c r="B1225" s="1">
        <v>44960</v>
      </c>
      <c r="C1225" t="s">
        <v>29</v>
      </c>
      <c r="D1225" t="s">
        <v>15</v>
      </c>
      <c r="E1225">
        <v>23377.42</v>
      </c>
      <c r="F1225">
        <v>5</v>
      </c>
      <c r="G1225" t="s">
        <v>24</v>
      </c>
      <c r="H1225">
        <v>4483.8500000000004</v>
      </c>
      <c r="I1225">
        <v>4795.42</v>
      </c>
      <c r="J1225" t="s">
        <v>17</v>
      </c>
      <c r="K1225">
        <v>0.03</v>
      </c>
      <c r="L1225" t="s">
        <v>18</v>
      </c>
      <c r="M1225" t="s">
        <v>19</v>
      </c>
    </row>
    <row r="1226" spans="1:13" x14ac:dyDescent="0.35">
      <c r="A1226">
        <v>1052</v>
      </c>
      <c r="B1226" s="1">
        <v>44960</v>
      </c>
      <c r="C1226" t="s">
        <v>14</v>
      </c>
      <c r="D1226" t="s">
        <v>15</v>
      </c>
      <c r="E1226">
        <v>4377.0600000000004</v>
      </c>
      <c r="F1226">
        <v>18</v>
      </c>
      <c r="G1226" t="s">
        <v>16</v>
      </c>
      <c r="H1226">
        <v>152.75</v>
      </c>
      <c r="I1226">
        <v>267.22000000000003</v>
      </c>
      <c r="J1226" t="s">
        <v>17</v>
      </c>
      <c r="K1226">
        <v>0.09</v>
      </c>
      <c r="L1226" t="s">
        <v>18</v>
      </c>
      <c r="M1226" t="s">
        <v>19</v>
      </c>
    </row>
    <row r="1227" spans="1:13" x14ac:dyDescent="0.35">
      <c r="A1227">
        <v>1038</v>
      </c>
      <c r="B1227" s="1">
        <v>44961</v>
      </c>
      <c r="C1227" t="s">
        <v>29</v>
      </c>
      <c r="D1227" t="s">
        <v>15</v>
      </c>
      <c r="E1227">
        <v>4611.6000000000004</v>
      </c>
      <c r="F1227">
        <v>7</v>
      </c>
      <c r="G1227" t="s">
        <v>16</v>
      </c>
      <c r="H1227">
        <v>523.02</v>
      </c>
      <c r="I1227">
        <v>686.25</v>
      </c>
      <c r="J1227" t="s">
        <v>17</v>
      </c>
      <c r="K1227">
        <v>0.04</v>
      </c>
      <c r="L1227" t="s">
        <v>18</v>
      </c>
      <c r="M1227" t="s">
        <v>19</v>
      </c>
    </row>
    <row r="1228" spans="1:13" x14ac:dyDescent="0.35">
      <c r="A1228">
        <v>1026</v>
      </c>
      <c r="B1228" s="1">
        <v>44961</v>
      </c>
      <c r="C1228" t="s">
        <v>33</v>
      </c>
      <c r="D1228" t="s">
        <v>20</v>
      </c>
      <c r="E1228">
        <v>30970.73</v>
      </c>
      <c r="F1228">
        <v>19</v>
      </c>
      <c r="G1228" t="s">
        <v>31</v>
      </c>
      <c r="H1228">
        <v>1265.48</v>
      </c>
      <c r="I1228">
        <v>1715.83</v>
      </c>
      <c r="J1228" t="s">
        <v>27</v>
      </c>
      <c r="K1228">
        <v>0.05</v>
      </c>
      <c r="L1228" t="s">
        <v>28</v>
      </c>
      <c r="M1228" t="s">
        <v>21</v>
      </c>
    </row>
    <row r="1229" spans="1:13" x14ac:dyDescent="0.35">
      <c r="A1229">
        <v>1080</v>
      </c>
      <c r="B1229" s="1">
        <v>44962</v>
      </c>
      <c r="C1229" t="s">
        <v>29</v>
      </c>
      <c r="D1229" t="s">
        <v>23</v>
      </c>
      <c r="E1229">
        <v>13607.36</v>
      </c>
      <c r="F1229">
        <v>9</v>
      </c>
      <c r="G1229" t="s">
        <v>31</v>
      </c>
      <c r="H1229">
        <v>1141.52</v>
      </c>
      <c r="I1229">
        <v>1550.19</v>
      </c>
      <c r="J1229" t="s">
        <v>27</v>
      </c>
      <c r="K1229">
        <v>0.02</v>
      </c>
      <c r="L1229" t="s">
        <v>28</v>
      </c>
      <c r="M1229" t="s">
        <v>21</v>
      </c>
    </row>
    <row r="1230" spans="1:13" x14ac:dyDescent="0.35">
      <c r="A1230">
        <v>1030</v>
      </c>
      <c r="B1230" s="1">
        <v>44962</v>
      </c>
      <c r="C1230" t="s">
        <v>22</v>
      </c>
      <c r="D1230" t="s">
        <v>30</v>
      </c>
      <c r="E1230">
        <v>138078.14000000001</v>
      </c>
      <c r="F1230">
        <v>49</v>
      </c>
      <c r="G1230" t="s">
        <v>16</v>
      </c>
      <c r="H1230">
        <v>2590.29</v>
      </c>
      <c r="I1230">
        <v>2925.86</v>
      </c>
      <c r="J1230" t="s">
        <v>17</v>
      </c>
      <c r="K1230">
        <v>0.04</v>
      </c>
      <c r="L1230" t="s">
        <v>18</v>
      </c>
      <c r="M1230" t="s">
        <v>21</v>
      </c>
    </row>
    <row r="1231" spans="1:13" x14ac:dyDescent="0.35">
      <c r="A1231">
        <v>1048</v>
      </c>
      <c r="B1231" s="1">
        <v>44962</v>
      </c>
      <c r="C1231" t="s">
        <v>22</v>
      </c>
      <c r="D1231" t="s">
        <v>15</v>
      </c>
      <c r="E1231">
        <v>211769.18</v>
      </c>
      <c r="F1231">
        <v>42</v>
      </c>
      <c r="G1231" t="s">
        <v>31</v>
      </c>
      <c r="H1231">
        <v>4723.83</v>
      </c>
      <c r="I1231">
        <v>5186.1899999999996</v>
      </c>
      <c r="J1231" t="s">
        <v>17</v>
      </c>
      <c r="K1231">
        <v>0.03</v>
      </c>
      <c r="L1231" t="s">
        <v>28</v>
      </c>
      <c r="M1231" t="s">
        <v>19</v>
      </c>
    </row>
    <row r="1232" spans="1:13" x14ac:dyDescent="0.35">
      <c r="A1232">
        <v>1036</v>
      </c>
      <c r="B1232" s="1">
        <v>44963</v>
      </c>
      <c r="C1232" t="s">
        <v>29</v>
      </c>
      <c r="D1232" t="s">
        <v>30</v>
      </c>
      <c r="E1232">
        <v>111690.76</v>
      </c>
      <c r="F1232">
        <v>26</v>
      </c>
      <c r="G1232" t="s">
        <v>31</v>
      </c>
      <c r="H1232">
        <v>4266.3599999999997</v>
      </c>
      <c r="I1232">
        <v>4331.43</v>
      </c>
      <c r="J1232" t="s">
        <v>17</v>
      </c>
      <c r="K1232">
        <v>0.01</v>
      </c>
      <c r="L1232" t="s">
        <v>28</v>
      </c>
      <c r="M1232" t="s">
        <v>21</v>
      </c>
    </row>
    <row r="1233" spans="1:13" x14ac:dyDescent="0.35">
      <c r="A1233">
        <v>1026</v>
      </c>
      <c r="B1233" s="1">
        <v>44963</v>
      </c>
      <c r="C1233" t="s">
        <v>14</v>
      </c>
      <c r="D1233" t="s">
        <v>20</v>
      </c>
      <c r="E1233">
        <v>7299.75</v>
      </c>
      <c r="F1233">
        <v>34</v>
      </c>
      <c r="G1233" t="s">
        <v>31</v>
      </c>
      <c r="H1233">
        <v>68.33</v>
      </c>
      <c r="I1233">
        <v>219.08</v>
      </c>
      <c r="J1233" t="s">
        <v>27</v>
      </c>
      <c r="K1233">
        <v>0.02</v>
      </c>
      <c r="L1233" t="s">
        <v>28</v>
      </c>
      <c r="M1233" t="s">
        <v>19</v>
      </c>
    </row>
    <row r="1234" spans="1:13" x14ac:dyDescent="0.35">
      <c r="A1234">
        <v>1027</v>
      </c>
      <c r="B1234" s="1">
        <v>44963</v>
      </c>
      <c r="C1234" t="s">
        <v>32</v>
      </c>
      <c r="D1234" t="s">
        <v>20</v>
      </c>
      <c r="E1234">
        <v>65583.86</v>
      </c>
      <c r="F1234">
        <v>45</v>
      </c>
      <c r="G1234" t="s">
        <v>24</v>
      </c>
      <c r="H1234">
        <v>1153.9000000000001</v>
      </c>
      <c r="I1234">
        <v>1485.34</v>
      </c>
      <c r="J1234" t="s">
        <v>27</v>
      </c>
      <c r="K1234">
        <v>0.02</v>
      </c>
      <c r="L1234" t="s">
        <v>28</v>
      </c>
      <c r="M1234" t="s">
        <v>21</v>
      </c>
    </row>
    <row r="1235" spans="1:13" x14ac:dyDescent="0.35">
      <c r="A1235">
        <v>1017</v>
      </c>
      <c r="B1235" s="1">
        <v>44964</v>
      </c>
      <c r="C1235" t="s">
        <v>29</v>
      </c>
      <c r="D1235" t="s">
        <v>20</v>
      </c>
      <c r="E1235">
        <v>1664.28</v>
      </c>
      <c r="F1235">
        <v>2</v>
      </c>
      <c r="G1235" t="s">
        <v>24</v>
      </c>
      <c r="H1235">
        <v>728.41</v>
      </c>
      <c r="I1235">
        <v>1094.92</v>
      </c>
      <c r="J1235" t="s">
        <v>27</v>
      </c>
      <c r="K1235">
        <v>0.24</v>
      </c>
      <c r="L1235" t="s">
        <v>18</v>
      </c>
      <c r="M1235" t="s">
        <v>21</v>
      </c>
    </row>
    <row r="1236" spans="1:13" x14ac:dyDescent="0.35">
      <c r="A1236">
        <v>1027</v>
      </c>
      <c r="B1236" s="1">
        <v>44964</v>
      </c>
      <c r="C1236" t="s">
        <v>14</v>
      </c>
      <c r="D1236" t="s">
        <v>20</v>
      </c>
      <c r="E1236">
        <v>3243.57</v>
      </c>
      <c r="F1236">
        <v>3</v>
      </c>
      <c r="G1236" t="s">
        <v>24</v>
      </c>
      <c r="H1236">
        <v>999.09</v>
      </c>
      <c r="I1236">
        <v>1271.99</v>
      </c>
      <c r="J1236" t="s">
        <v>27</v>
      </c>
      <c r="K1236">
        <v>0.15</v>
      </c>
      <c r="L1236" t="s">
        <v>28</v>
      </c>
      <c r="M1236" t="s">
        <v>19</v>
      </c>
    </row>
    <row r="1237" spans="1:13" x14ac:dyDescent="0.35">
      <c r="A1237">
        <v>1081</v>
      </c>
      <c r="B1237" s="1">
        <v>44964</v>
      </c>
      <c r="C1237" t="s">
        <v>22</v>
      </c>
      <c r="D1237" t="s">
        <v>30</v>
      </c>
      <c r="E1237">
        <v>114661.2</v>
      </c>
      <c r="F1237">
        <v>41</v>
      </c>
      <c r="G1237" t="s">
        <v>16</v>
      </c>
      <c r="H1237">
        <v>2782.08</v>
      </c>
      <c r="I1237">
        <v>2879.24</v>
      </c>
      <c r="J1237" t="s">
        <v>27</v>
      </c>
      <c r="K1237">
        <v>0.03</v>
      </c>
      <c r="L1237" t="s">
        <v>25</v>
      </c>
      <c r="M1237" t="s">
        <v>19</v>
      </c>
    </row>
    <row r="1238" spans="1:13" x14ac:dyDescent="0.35">
      <c r="A1238">
        <v>1077</v>
      </c>
      <c r="B1238" s="1">
        <v>44964</v>
      </c>
      <c r="C1238" t="s">
        <v>32</v>
      </c>
      <c r="D1238" t="s">
        <v>20</v>
      </c>
      <c r="E1238">
        <v>31577.57</v>
      </c>
      <c r="F1238">
        <v>12</v>
      </c>
      <c r="G1238" t="s">
        <v>26</v>
      </c>
      <c r="H1238">
        <v>2427.46</v>
      </c>
      <c r="I1238">
        <v>2743.09</v>
      </c>
      <c r="J1238" t="s">
        <v>27</v>
      </c>
      <c r="K1238">
        <v>0.04</v>
      </c>
      <c r="L1238" t="s">
        <v>28</v>
      </c>
      <c r="M1238" t="s">
        <v>21</v>
      </c>
    </row>
    <row r="1239" spans="1:13" x14ac:dyDescent="0.35">
      <c r="A1239">
        <v>1072</v>
      </c>
      <c r="B1239" s="1">
        <v>44964</v>
      </c>
      <c r="C1239" t="s">
        <v>14</v>
      </c>
      <c r="D1239" t="s">
        <v>30</v>
      </c>
      <c r="E1239">
        <v>98864.960000000006</v>
      </c>
      <c r="F1239">
        <v>26</v>
      </c>
      <c r="G1239" t="s">
        <v>24</v>
      </c>
      <c r="H1239">
        <v>3640.17</v>
      </c>
      <c r="I1239">
        <v>4002.63</v>
      </c>
      <c r="J1239" t="s">
        <v>27</v>
      </c>
      <c r="K1239">
        <v>0.05</v>
      </c>
      <c r="L1239" t="s">
        <v>28</v>
      </c>
      <c r="M1239" t="s">
        <v>21</v>
      </c>
    </row>
    <row r="1240" spans="1:13" x14ac:dyDescent="0.35">
      <c r="A1240">
        <v>1015</v>
      </c>
      <c r="B1240" s="1">
        <v>44965</v>
      </c>
      <c r="C1240" t="s">
        <v>29</v>
      </c>
      <c r="D1240" t="s">
        <v>30</v>
      </c>
      <c r="E1240">
        <v>61395</v>
      </c>
      <c r="F1240">
        <v>23</v>
      </c>
      <c r="G1240" t="s">
        <v>31</v>
      </c>
      <c r="H1240">
        <v>2644.77</v>
      </c>
      <c r="I1240">
        <v>2684.83</v>
      </c>
      <c r="J1240" t="s">
        <v>27</v>
      </c>
      <c r="K1240">
        <v>0.01</v>
      </c>
      <c r="L1240" t="s">
        <v>18</v>
      </c>
      <c r="M1240" t="s">
        <v>19</v>
      </c>
    </row>
    <row r="1241" spans="1:13" x14ac:dyDescent="0.35">
      <c r="A1241">
        <v>1090</v>
      </c>
      <c r="B1241" s="1">
        <v>44965</v>
      </c>
      <c r="C1241" t="s">
        <v>29</v>
      </c>
      <c r="D1241" t="s">
        <v>15</v>
      </c>
      <c r="E1241">
        <v>157065.85</v>
      </c>
      <c r="F1241">
        <v>44</v>
      </c>
      <c r="G1241" t="s">
        <v>26</v>
      </c>
      <c r="H1241">
        <v>3542.18</v>
      </c>
      <c r="I1241">
        <v>3578.49</v>
      </c>
      <c r="J1241" t="s">
        <v>17</v>
      </c>
      <c r="K1241">
        <v>0</v>
      </c>
      <c r="L1241" t="s">
        <v>18</v>
      </c>
      <c r="M1241" t="s">
        <v>19</v>
      </c>
    </row>
    <row r="1242" spans="1:13" x14ac:dyDescent="0.35">
      <c r="A1242">
        <v>1048</v>
      </c>
      <c r="B1242" s="1">
        <v>44965</v>
      </c>
      <c r="C1242" t="s">
        <v>29</v>
      </c>
      <c r="D1242" t="s">
        <v>20</v>
      </c>
      <c r="E1242">
        <v>88743.63</v>
      </c>
      <c r="F1242">
        <v>27</v>
      </c>
      <c r="G1242" t="s">
        <v>26</v>
      </c>
      <c r="H1242">
        <v>3197.76</v>
      </c>
      <c r="I1242">
        <v>3572.61</v>
      </c>
      <c r="J1242" t="s">
        <v>17</v>
      </c>
      <c r="K1242">
        <v>0.08</v>
      </c>
      <c r="L1242" t="s">
        <v>28</v>
      </c>
      <c r="M1242" t="s">
        <v>19</v>
      </c>
    </row>
    <row r="1243" spans="1:13" x14ac:dyDescent="0.35">
      <c r="A1243">
        <v>1033</v>
      </c>
      <c r="B1243" s="1">
        <v>44965</v>
      </c>
      <c r="C1243" t="s">
        <v>32</v>
      </c>
      <c r="D1243" t="s">
        <v>15</v>
      </c>
      <c r="E1243">
        <v>168969.77</v>
      </c>
      <c r="F1243">
        <v>39</v>
      </c>
      <c r="G1243" t="s">
        <v>31</v>
      </c>
      <c r="H1243">
        <v>4232.8100000000004</v>
      </c>
      <c r="I1243">
        <v>4345.25</v>
      </c>
      <c r="J1243" t="s">
        <v>17</v>
      </c>
      <c r="K1243">
        <v>0</v>
      </c>
      <c r="L1243" t="s">
        <v>25</v>
      </c>
      <c r="M1243" t="s">
        <v>19</v>
      </c>
    </row>
    <row r="1244" spans="1:13" x14ac:dyDescent="0.35">
      <c r="A1244">
        <v>1078</v>
      </c>
      <c r="B1244" s="1">
        <v>44965</v>
      </c>
      <c r="C1244" t="s">
        <v>33</v>
      </c>
      <c r="D1244" t="s">
        <v>23</v>
      </c>
      <c r="E1244">
        <v>152454.35999999999</v>
      </c>
      <c r="F1244">
        <v>49</v>
      </c>
      <c r="G1244" t="s">
        <v>16</v>
      </c>
      <c r="H1244">
        <v>3026.85</v>
      </c>
      <c r="I1244">
        <v>3183.58</v>
      </c>
      <c r="J1244" t="s">
        <v>17</v>
      </c>
      <c r="K1244">
        <v>0.02</v>
      </c>
      <c r="L1244" t="s">
        <v>18</v>
      </c>
      <c r="M1244" t="s">
        <v>21</v>
      </c>
    </row>
    <row r="1245" spans="1:13" x14ac:dyDescent="0.35">
      <c r="A1245">
        <v>1027</v>
      </c>
      <c r="B1245" s="1">
        <v>44965</v>
      </c>
      <c r="C1245" t="s">
        <v>33</v>
      </c>
      <c r="D1245" t="s">
        <v>20</v>
      </c>
      <c r="E1245">
        <v>44380.54</v>
      </c>
      <c r="F1245">
        <v>20</v>
      </c>
      <c r="G1245" t="s">
        <v>31</v>
      </c>
      <c r="H1245">
        <v>1748.11</v>
      </c>
      <c r="I1245">
        <v>2220.9</v>
      </c>
      <c r="J1245" t="s">
        <v>27</v>
      </c>
      <c r="K1245">
        <v>0</v>
      </c>
      <c r="L1245" t="s">
        <v>28</v>
      </c>
      <c r="M1245" t="s">
        <v>21</v>
      </c>
    </row>
    <row r="1246" spans="1:13" x14ac:dyDescent="0.35">
      <c r="A1246">
        <v>1046</v>
      </c>
      <c r="B1246" s="1">
        <v>44966</v>
      </c>
      <c r="C1246" t="s">
        <v>29</v>
      </c>
      <c r="D1246" t="s">
        <v>30</v>
      </c>
      <c r="E1246">
        <v>3768.51</v>
      </c>
      <c r="F1246">
        <v>3</v>
      </c>
      <c r="G1246" t="s">
        <v>16</v>
      </c>
      <c r="H1246">
        <v>1216.1600000000001</v>
      </c>
      <c r="I1246">
        <v>1295.3699999999999</v>
      </c>
      <c r="J1246" t="s">
        <v>27</v>
      </c>
      <c r="K1246">
        <v>0.03</v>
      </c>
      <c r="L1246" t="s">
        <v>18</v>
      </c>
      <c r="M1246" t="s">
        <v>21</v>
      </c>
    </row>
    <row r="1247" spans="1:13" x14ac:dyDescent="0.35">
      <c r="A1247">
        <v>1039</v>
      </c>
      <c r="B1247" s="1">
        <v>44966</v>
      </c>
      <c r="C1247" t="s">
        <v>22</v>
      </c>
      <c r="D1247" t="s">
        <v>23</v>
      </c>
      <c r="E1247">
        <v>40718.879999999997</v>
      </c>
      <c r="F1247">
        <v>20</v>
      </c>
      <c r="G1247" t="s">
        <v>24</v>
      </c>
      <c r="H1247">
        <v>2014.11</v>
      </c>
      <c r="I1247">
        <v>2056.35</v>
      </c>
      <c r="J1247" t="s">
        <v>17</v>
      </c>
      <c r="K1247">
        <v>0.01</v>
      </c>
      <c r="L1247" t="s">
        <v>25</v>
      </c>
      <c r="M1247" t="s">
        <v>21</v>
      </c>
    </row>
    <row r="1248" spans="1:13" x14ac:dyDescent="0.35">
      <c r="A1248">
        <v>1038</v>
      </c>
      <c r="B1248" s="1">
        <v>44966</v>
      </c>
      <c r="C1248" t="s">
        <v>33</v>
      </c>
      <c r="D1248" t="s">
        <v>30</v>
      </c>
      <c r="E1248">
        <v>65955.59</v>
      </c>
      <c r="F1248">
        <v>16</v>
      </c>
      <c r="G1248" t="s">
        <v>16</v>
      </c>
      <c r="H1248">
        <v>3899.7</v>
      </c>
      <c r="I1248">
        <v>4228.18</v>
      </c>
      <c r="J1248" t="s">
        <v>27</v>
      </c>
      <c r="K1248">
        <v>0.03</v>
      </c>
      <c r="L1248" t="s">
        <v>18</v>
      </c>
      <c r="M1248" t="s">
        <v>21</v>
      </c>
    </row>
    <row r="1249" spans="1:13" x14ac:dyDescent="0.35">
      <c r="A1249">
        <v>1092</v>
      </c>
      <c r="B1249" s="1">
        <v>44966</v>
      </c>
      <c r="C1249" t="s">
        <v>33</v>
      </c>
      <c r="D1249" t="s">
        <v>23</v>
      </c>
      <c r="E1249">
        <v>54537.58</v>
      </c>
      <c r="F1249">
        <v>14</v>
      </c>
      <c r="G1249" t="s">
        <v>26</v>
      </c>
      <c r="H1249">
        <v>3586.58</v>
      </c>
      <c r="I1249">
        <v>4068.43</v>
      </c>
      <c r="J1249" t="s">
        <v>27</v>
      </c>
      <c r="K1249">
        <v>0.04</v>
      </c>
      <c r="L1249" t="s">
        <v>28</v>
      </c>
      <c r="M1249" t="s">
        <v>19</v>
      </c>
    </row>
    <row r="1250" spans="1:13" x14ac:dyDescent="0.35">
      <c r="A1250">
        <v>1092</v>
      </c>
      <c r="B1250" s="1">
        <v>44966</v>
      </c>
      <c r="C1250" t="s">
        <v>22</v>
      </c>
      <c r="D1250" t="s">
        <v>20</v>
      </c>
      <c r="E1250">
        <v>75473.31</v>
      </c>
      <c r="F1250">
        <v>34</v>
      </c>
      <c r="G1250" t="s">
        <v>16</v>
      </c>
      <c r="H1250">
        <v>2037.41</v>
      </c>
      <c r="I1250">
        <v>2238.65</v>
      </c>
      <c r="J1250" t="s">
        <v>27</v>
      </c>
      <c r="K1250">
        <v>0.01</v>
      </c>
      <c r="L1250" t="s">
        <v>28</v>
      </c>
      <c r="M1250" t="s">
        <v>19</v>
      </c>
    </row>
    <row r="1251" spans="1:13" x14ac:dyDescent="0.35">
      <c r="A1251">
        <v>1020</v>
      </c>
      <c r="B1251" s="1">
        <v>44966</v>
      </c>
      <c r="C1251" t="s">
        <v>29</v>
      </c>
      <c r="D1251" t="s">
        <v>30</v>
      </c>
      <c r="E1251">
        <v>17641.25</v>
      </c>
      <c r="F1251">
        <v>29</v>
      </c>
      <c r="G1251" t="s">
        <v>31</v>
      </c>
      <c r="H1251">
        <v>184.05</v>
      </c>
      <c r="I1251">
        <v>675.91</v>
      </c>
      <c r="J1251" t="s">
        <v>17</v>
      </c>
      <c r="K1251">
        <v>0.1</v>
      </c>
      <c r="L1251" t="s">
        <v>18</v>
      </c>
      <c r="M1251" t="s">
        <v>21</v>
      </c>
    </row>
    <row r="1252" spans="1:13" x14ac:dyDescent="0.35">
      <c r="A1252">
        <v>1024</v>
      </c>
      <c r="B1252" s="1">
        <v>44967</v>
      </c>
      <c r="C1252" t="s">
        <v>22</v>
      </c>
      <c r="D1252" t="s">
        <v>30</v>
      </c>
      <c r="E1252">
        <v>22228</v>
      </c>
      <c r="F1252">
        <v>13</v>
      </c>
      <c r="G1252" t="s">
        <v>26</v>
      </c>
      <c r="H1252">
        <v>1493.88</v>
      </c>
      <c r="I1252">
        <v>1781.09</v>
      </c>
      <c r="J1252" t="s">
        <v>27</v>
      </c>
      <c r="K1252">
        <v>0.04</v>
      </c>
      <c r="L1252" t="s">
        <v>18</v>
      </c>
      <c r="M1252" t="s">
        <v>21</v>
      </c>
    </row>
    <row r="1253" spans="1:13" x14ac:dyDescent="0.35">
      <c r="A1253">
        <v>1056</v>
      </c>
      <c r="B1253" s="1">
        <v>44967</v>
      </c>
      <c r="C1253" t="s">
        <v>14</v>
      </c>
      <c r="D1253" t="s">
        <v>20</v>
      </c>
      <c r="E1253">
        <v>53833.63</v>
      </c>
      <c r="F1253">
        <v>42</v>
      </c>
      <c r="G1253" t="s">
        <v>16</v>
      </c>
      <c r="H1253">
        <v>1080.1199999999999</v>
      </c>
      <c r="I1253">
        <v>1424.17</v>
      </c>
      <c r="J1253" t="s">
        <v>27</v>
      </c>
      <c r="K1253">
        <v>0.1</v>
      </c>
      <c r="L1253" t="s">
        <v>18</v>
      </c>
      <c r="M1253" t="s">
        <v>19</v>
      </c>
    </row>
    <row r="1254" spans="1:13" x14ac:dyDescent="0.35">
      <c r="A1254">
        <v>1092</v>
      </c>
      <c r="B1254" s="1">
        <v>44967</v>
      </c>
      <c r="C1254" t="s">
        <v>14</v>
      </c>
      <c r="D1254" t="s">
        <v>30</v>
      </c>
      <c r="E1254">
        <v>186936.42</v>
      </c>
      <c r="F1254">
        <v>47</v>
      </c>
      <c r="G1254" t="s">
        <v>16</v>
      </c>
      <c r="H1254">
        <v>3681.53</v>
      </c>
      <c r="I1254">
        <v>4076.96</v>
      </c>
      <c r="J1254" t="s">
        <v>17</v>
      </c>
      <c r="K1254">
        <v>0.02</v>
      </c>
      <c r="L1254" t="s">
        <v>18</v>
      </c>
      <c r="M1254" t="s">
        <v>21</v>
      </c>
    </row>
    <row r="1255" spans="1:13" x14ac:dyDescent="0.35">
      <c r="A1255">
        <v>1034</v>
      </c>
      <c r="B1255" s="1">
        <v>44968</v>
      </c>
      <c r="C1255" t="s">
        <v>32</v>
      </c>
      <c r="D1255" t="s">
        <v>23</v>
      </c>
      <c r="E1255">
        <v>17879.03</v>
      </c>
      <c r="F1255">
        <v>26</v>
      </c>
      <c r="G1255" t="s">
        <v>31</v>
      </c>
      <c r="H1255">
        <v>667</v>
      </c>
      <c r="I1255">
        <v>718.72</v>
      </c>
      <c r="J1255" t="s">
        <v>27</v>
      </c>
      <c r="K1255">
        <v>0.04</v>
      </c>
      <c r="L1255" t="s">
        <v>18</v>
      </c>
      <c r="M1255" t="s">
        <v>21</v>
      </c>
    </row>
    <row r="1256" spans="1:13" x14ac:dyDescent="0.35">
      <c r="A1256">
        <v>1028</v>
      </c>
      <c r="B1256" s="1">
        <v>44968</v>
      </c>
      <c r="C1256" t="s">
        <v>33</v>
      </c>
      <c r="D1256" t="s">
        <v>30</v>
      </c>
      <c r="E1256">
        <v>63702.87</v>
      </c>
      <c r="F1256">
        <v>24</v>
      </c>
      <c r="G1256" t="s">
        <v>26</v>
      </c>
      <c r="H1256">
        <v>2521.0300000000002</v>
      </c>
      <c r="I1256">
        <v>2766.05</v>
      </c>
      <c r="J1256" t="s">
        <v>17</v>
      </c>
      <c r="K1256">
        <v>0.04</v>
      </c>
      <c r="L1256" t="s">
        <v>25</v>
      </c>
      <c r="M1256" t="s">
        <v>21</v>
      </c>
    </row>
    <row r="1257" spans="1:13" x14ac:dyDescent="0.35">
      <c r="A1257">
        <v>1050</v>
      </c>
      <c r="B1257" s="1">
        <v>44968</v>
      </c>
      <c r="C1257" t="s">
        <v>29</v>
      </c>
      <c r="D1257" t="s">
        <v>20</v>
      </c>
      <c r="E1257">
        <v>39230.21</v>
      </c>
      <c r="F1257">
        <v>48</v>
      </c>
      <c r="G1257" t="s">
        <v>16</v>
      </c>
      <c r="H1257">
        <v>710.06</v>
      </c>
      <c r="I1257">
        <v>851.35</v>
      </c>
      <c r="J1257" t="s">
        <v>17</v>
      </c>
      <c r="K1257">
        <v>0.04</v>
      </c>
      <c r="L1257" t="s">
        <v>25</v>
      </c>
      <c r="M1257" t="s">
        <v>19</v>
      </c>
    </row>
    <row r="1258" spans="1:13" x14ac:dyDescent="0.35">
      <c r="A1258">
        <v>1021</v>
      </c>
      <c r="B1258" s="1">
        <v>44968</v>
      </c>
      <c r="C1258" t="s">
        <v>29</v>
      </c>
      <c r="D1258" t="s">
        <v>20</v>
      </c>
      <c r="E1258">
        <v>35348.67</v>
      </c>
      <c r="F1258">
        <v>32</v>
      </c>
      <c r="G1258" t="s">
        <v>24</v>
      </c>
      <c r="H1258">
        <v>900.79</v>
      </c>
      <c r="I1258">
        <v>1106.51</v>
      </c>
      <c r="J1258" t="s">
        <v>27</v>
      </c>
      <c r="K1258">
        <v>0</v>
      </c>
      <c r="L1258" t="s">
        <v>18</v>
      </c>
      <c r="M1258" t="s">
        <v>19</v>
      </c>
    </row>
    <row r="1259" spans="1:13" x14ac:dyDescent="0.35">
      <c r="A1259">
        <v>1014</v>
      </c>
      <c r="B1259" s="1">
        <v>44968</v>
      </c>
      <c r="C1259" t="s">
        <v>22</v>
      </c>
      <c r="D1259" t="s">
        <v>20</v>
      </c>
      <c r="E1259">
        <v>118547.41</v>
      </c>
      <c r="F1259">
        <v>44</v>
      </c>
      <c r="G1259" t="s">
        <v>24</v>
      </c>
      <c r="H1259">
        <v>2257.48</v>
      </c>
      <c r="I1259">
        <v>2747.81</v>
      </c>
      <c r="J1259" t="s">
        <v>17</v>
      </c>
      <c r="K1259">
        <v>0.02</v>
      </c>
      <c r="L1259" t="s">
        <v>18</v>
      </c>
      <c r="M1259" t="s">
        <v>19</v>
      </c>
    </row>
    <row r="1260" spans="1:13" x14ac:dyDescent="0.35">
      <c r="A1260">
        <v>1076</v>
      </c>
      <c r="B1260" s="1">
        <v>44970</v>
      </c>
      <c r="C1260" t="s">
        <v>32</v>
      </c>
      <c r="D1260" t="s">
        <v>15</v>
      </c>
      <c r="E1260">
        <v>10386.76</v>
      </c>
      <c r="F1260">
        <v>17</v>
      </c>
      <c r="G1260" t="s">
        <v>26</v>
      </c>
      <c r="H1260">
        <v>604.08000000000004</v>
      </c>
      <c r="I1260">
        <v>624.71</v>
      </c>
      <c r="J1260" t="s">
        <v>27</v>
      </c>
      <c r="K1260">
        <v>0.02</v>
      </c>
      <c r="L1260" t="s">
        <v>25</v>
      </c>
      <c r="M1260" t="s">
        <v>21</v>
      </c>
    </row>
    <row r="1261" spans="1:13" x14ac:dyDescent="0.35">
      <c r="A1261">
        <v>1044</v>
      </c>
      <c r="B1261" s="1">
        <v>44971</v>
      </c>
      <c r="C1261" t="s">
        <v>22</v>
      </c>
      <c r="D1261" t="s">
        <v>20</v>
      </c>
      <c r="E1261">
        <v>29550.12</v>
      </c>
      <c r="F1261">
        <v>12</v>
      </c>
      <c r="G1261" t="s">
        <v>31</v>
      </c>
      <c r="H1261">
        <v>2221.31</v>
      </c>
      <c r="I1261">
        <v>2494.48</v>
      </c>
      <c r="J1261" t="s">
        <v>17</v>
      </c>
      <c r="K1261">
        <v>0.01</v>
      </c>
      <c r="L1261" t="s">
        <v>25</v>
      </c>
      <c r="M1261" t="s">
        <v>19</v>
      </c>
    </row>
    <row r="1262" spans="1:13" x14ac:dyDescent="0.35">
      <c r="A1262">
        <v>1099</v>
      </c>
      <c r="B1262" s="1">
        <v>44971</v>
      </c>
      <c r="C1262" t="s">
        <v>22</v>
      </c>
      <c r="D1262" t="s">
        <v>23</v>
      </c>
      <c r="E1262">
        <v>61103.71</v>
      </c>
      <c r="F1262">
        <v>32</v>
      </c>
      <c r="G1262" t="s">
        <v>26</v>
      </c>
      <c r="H1262">
        <v>1517.86</v>
      </c>
      <c r="I1262">
        <v>1948.46</v>
      </c>
      <c r="J1262" t="s">
        <v>27</v>
      </c>
      <c r="K1262">
        <v>0.02</v>
      </c>
      <c r="L1262" t="s">
        <v>28</v>
      </c>
      <c r="M1262" t="s">
        <v>19</v>
      </c>
    </row>
    <row r="1263" spans="1:13" x14ac:dyDescent="0.35">
      <c r="A1263">
        <v>1074</v>
      </c>
      <c r="B1263" s="1">
        <v>44972</v>
      </c>
      <c r="C1263" t="s">
        <v>14</v>
      </c>
      <c r="D1263" t="s">
        <v>20</v>
      </c>
      <c r="E1263">
        <v>1688.65</v>
      </c>
      <c r="F1263">
        <v>1</v>
      </c>
      <c r="G1263" t="s">
        <v>16</v>
      </c>
      <c r="H1263">
        <v>1304.23</v>
      </c>
      <c r="I1263">
        <v>1705.71</v>
      </c>
      <c r="J1263" t="s">
        <v>17</v>
      </c>
      <c r="K1263">
        <v>0.01</v>
      </c>
      <c r="L1263" t="s">
        <v>18</v>
      </c>
      <c r="M1263" t="s">
        <v>21</v>
      </c>
    </row>
    <row r="1264" spans="1:13" x14ac:dyDescent="0.35">
      <c r="A1264">
        <v>1025</v>
      </c>
      <c r="B1264" s="1">
        <v>44972</v>
      </c>
      <c r="C1264" t="s">
        <v>22</v>
      </c>
      <c r="D1264" t="s">
        <v>23</v>
      </c>
      <c r="E1264">
        <v>73175.149999999994</v>
      </c>
      <c r="F1264">
        <v>45</v>
      </c>
      <c r="G1264" t="s">
        <v>26</v>
      </c>
      <c r="H1264">
        <v>1588.04</v>
      </c>
      <c r="I1264">
        <v>1703.64</v>
      </c>
      <c r="J1264" t="s">
        <v>27</v>
      </c>
      <c r="K1264">
        <v>0.05</v>
      </c>
      <c r="L1264" t="s">
        <v>25</v>
      </c>
      <c r="M1264" t="s">
        <v>21</v>
      </c>
    </row>
    <row r="1265" spans="1:13" x14ac:dyDescent="0.35">
      <c r="A1265">
        <v>1094</v>
      </c>
      <c r="B1265" s="1">
        <v>44972</v>
      </c>
      <c r="C1265" t="s">
        <v>29</v>
      </c>
      <c r="D1265" t="s">
        <v>23</v>
      </c>
      <c r="E1265">
        <v>165678.26999999999</v>
      </c>
      <c r="F1265">
        <v>47</v>
      </c>
      <c r="G1265" t="s">
        <v>24</v>
      </c>
      <c r="H1265">
        <v>3450.36</v>
      </c>
      <c r="I1265">
        <v>3557.38</v>
      </c>
      <c r="J1265" t="s">
        <v>27</v>
      </c>
      <c r="K1265">
        <v>0.01</v>
      </c>
      <c r="L1265" t="s">
        <v>28</v>
      </c>
      <c r="M1265" t="s">
        <v>19</v>
      </c>
    </row>
    <row r="1266" spans="1:13" x14ac:dyDescent="0.35">
      <c r="A1266">
        <v>1074</v>
      </c>
      <c r="B1266" s="1">
        <v>44972</v>
      </c>
      <c r="C1266" t="s">
        <v>33</v>
      </c>
      <c r="D1266" t="s">
        <v>23</v>
      </c>
      <c r="E1266">
        <v>39224.19</v>
      </c>
      <c r="F1266">
        <v>31</v>
      </c>
      <c r="G1266" t="s">
        <v>16</v>
      </c>
      <c r="H1266">
        <v>1138.32</v>
      </c>
      <c r="I1266">
        <v>1266.25</v>
      </c>
      <c r="J1266" t="s">
        <v>17</v>
      </c>
      <c r="K1266">
        <v>0</v>
      </c>
      <c r="L1266" t="s">
        <v>18</v>
      </c>
      <c r="M1266" t="s">
        <v>21</v>
      </c>
    </row>
    <row r="1267" spans="1:13" x14ac:dyDescent="0.35">
      <c r="A1267">
        <v>1053</v>
      </c>
      <c r="B1267" s="1">
        <v>44973</v>
      </c>
      <c r="C1267" t="s">
        <v>32</v>
      </c>
      <c r="D1267" t="s">
        <v>20</v>
      </c>
      <c r="E1267">
        <v>17735.48</v>
      </c>
      <c r="F1267">
        <v>11</v>
      </c>
      <c r="G1267" t="s">
        <v>16</v>
      </c>
      <c r="H1267">
        <v>1582.86</v>
      </c>
      <c r="I1267">
        <v>1942.55</v>
      </c>
      <c r="J1267" t="s">
        <v>27</v>
      </c>
      <c r="K1267">
        <v>0.17</v>
      </c>
      <c r="L1267" t="s">
        <v>28</v>
      </c>
      <c r="M1267" t="s">
        <v>21</v>
      </c>
    </row>
    <row r="1268" spans="1:13" x14ac:dyDescent="0.35">
      <c r="A1268">
        <v>1010</v>
      </c>
      <c r="B1268" s="1">
        <v>44973</v>
      </c>
      <c r="C1268" t="s">
        <v>22</v>
      </c>
      <c r="D1268" t="s">
        <v>30</v>
      </c>
      <c r="E1268">
        <v>107354.31</v>
      </c>
      <c r="F1268">
        <v>47</v>
      </c>
      <c r="G1268" t="s">
        <v>16</v>
      </c>
      <c r="H1268">
        <v>2265.38</v>
      </c>
      <c r="I1268">
        <v>2429.9299999999998</v>
      </c>
      <c r="J1268" t="s">
        <v>17</v>
      </c>
      <c r="K1268">
        <v>0.06</v>
      </c>
      <c r="L1268" t="s">
        <v>25</v>
      </c>
      <c r="M1268" t="s">
        <v>19</v>
      </c>
    </row>
    <row r="1269" spans="1:13" x14ac:dyDescent="0.35">
      <c r="A1269">
        <v>1044</v>
      </c>
      <c r="B1269" s="1">
        <v>44973</v>
      </c>
      <c r="C1269" t="s">
        <v>22</v>
      </c>
      <c r="D1269" t="s">
        <v>23</v>
      </c>
      <c r="E1269">
        <v>75289.649999999994</v>
      </c>
      <c r="F1269">
        <v>22</v>
      </c>
      <c r="G1269" t="s">
        <v>24</v>
      </c>
      <c r="H1269">
        <v>3373.46</v>
      </c>
      <c r="I1269">
        <v>3454.76</v>
      </c>
      <c r="J1269" t="s">
        <v>17</v>
      </c>
      <c r="K1269">
        <v>0.01</v>
      </c>
      <c r="L1269" t="s">
        <v>25</v>
      </c>
      <c r="M1269" t="s">
        <v>21</v>
      </c>
    </row>
    <row r="1270" spans="1:13" x14ac:dyDescent="0.35">
      <c r="A1270">
        <v>1028</v>
      </c>
      <c r="B1270" s="1">
        <v>44973</v>
      </c>
      <c r="C1270" t="s">
        <v>14</v>
      </c>
      <c r="D1270" t="s">
        <v>30</v>
      </c>
      <c r="E1270">
        <v>52730.9</v>
      </c>
      <c r="F1270">
        <v>24</v>
      </c>
      <c r="G1270" t="s">
        <v>31</v>
      </c>
      <c r="H1270">
        <v>1969.09</v>
      </c>
      <c r="I1270">
        <v>2241.96</v>
      </c>
      <c r="J1270" t="s">
        <v>17</v>
      </c>
      <c r="K1270">
        <v>0.02</v>
      </c>
      <c r="L1270" t="s">
        <v>28</v>
      </c>
      <c r="M1270" t="s">
        <v>19</v>
      </c>
    </row>
    <row r="1271" spans="1:13" x14ac:dyDescent="0.35">
      <c r="A1271">
        <v>1001</v>
      </c>
      <c r="B1271" s="1">
        <v>44975</v>
      </c>
      <c r="C1271" t="s">
        <v>22</v>
      </c>
      <c r="D1271" t="s">
        <v>20</v>
      </c>
      <c r="E1271">
        <v>32314.560000000001</v>
      </c>
      <c r="F1271">
        <v>27</v>
      </c>
      <c r="G1271" t="s">
        <v>26</v>
      </c>
      <c r="H1271">
        <v>939.02</v>
      </c>
      <c r="I1271">
        <v>1286.92</v>
      </c>
      <c r="J1271" t="s">
        <v>17</v>
      </c>
      <c r="K1271">
        <v>7.0000000000000007E-2</v>
      </c>
      <c r="L1271" t="s">
        <v>28</v>
      </c>
      <c r="M1271" t="s">
        <v>21</v>
      </c>
    </row>
    <row r="1272" spans="1:13" x14ac:dyDescent="0.35">
      <c r="A1272">
        <v>1007</v>
      </c>
      <c r="B1272" s="1">
        <v>44975</v>
      </c>
      <c r="C1272" t="s">
        <v>33</v>
      </c>
      <c r="D1272" t="s">
        <v>23</v>
      </c>
      <c r="E1272">
        <v>72386.720000000001</v>
      </c>
      <c r="F1272">
        <v>34</v>
      </c>
      <c r="G1272" t="s">
        <v>26</v>
      </c>
      <c r="H1272">
        <v>1921.07</v>
      </c>
      <c r="I1272">
        <v>2289.27</v>
      </c>
      <c r="J1272" t="s">
        <v>17</v>
      </c>
      <c r="K1272">
        <v>7.0000000000000007E-2</v>
      </c>
      <c r="L1272" t="s">
        <v>25</v>
      </c>
      <c r="M1272" t="s">
        <v>21</v>
      </c>
    </row>
    <row r="1273" spans="1:13" x14ac:dyDescent="0.35">
      <c r="A1273">
        <v>1084</v>
      </c>
      <c r="B1273" s="1">
        <v>44976</v>
      </c>
      <c r="C1273" t="s">
        <v>22</v>
      </c>
      <c r="D1273" t="s">
        <v>20</v>
      </c>
      <c r="E1273">
        <v>23899.55</v>
      </c>
      <c r="F1273">
        <v>35</v>
      </c>
      <c r="G1273" t="s">
        <v>24</v>
      </c>
      <c r="H1273">
        <v>465.61</v>
      </c>
      <c r="I1273">
        <v>812.91</v>
      </c>
      <c r="J1273" t="s">
        <v>27</v>
      </c>
      <c r="K1273">
        <v>0.16</v>
      </c>
      <c r="L1273" t="s">
        <v>25</v>
      </c>
      <c r="M1273" t="s">
        <v>19</v>
      </c>
    </row>
    <row r="1274" spans="1:13" x14ac:dyDescent="0.35">
      <c r="A1274">
        <v>1003</v>
      </c>
      <c r="B1274" s="1">
        <v>44976</v>
      </c>
      <c r="C1274" t="s">
        <v>33</v>
      </c>
      <c r="D1274" t="s">
        <v>30</v>
      </c>
      <c r="E1274">
        <v>234820.17</v>
      </c>
      <c r="F1274">
        <v>45</v>
      </c>
      <c r="G1274" t="s">
        <v>31</v>
      </c>
      <c r="H1274">
        <v>4974.1400000000003</v>
      </c>
      <c r="I1274">
        <v>5227.93</v>
      </c>
      <c r="J1274" t="s">
        <v>27</v>
      </c>
      <c r="K1274">
        <v>0</v>
      </c>
      <c r="L1274" t="s">
        <v>25</v>
      </c>
      <c r="M1274" t="s">
        <v>19</v>
      </c>
    </row>
    <row r="1275" spans="1:13" x14ac:dyDescent="0.35">
      <c r="A1275">
        <v>1017</v>
      </c>
      <c r="B1275" s="1">
        <v>44977</v>
      </c>
      <c r="C1275" t="s">
        <v>29</v>
      </c>
      <c r="D1275" t="s">
        <v>15</v>
      </c>
      <c r="E1275">
        <v>2566.96</v>
      </c>
      <c r="F1275">
        <v>16</v>
      </c>
      <c r="G1275" t="s">
        <v>16</v>
      </c>
      <c r="H1275">
        <v>102.23</v>
      </c>
      <c r="I1275">
        <v>167.12</v>
      </c>
      <c r="J1275" t="s">
        <v>27</v>
      </c>
      <c r="K1275">
        <v>0.04</v>
      </c>
      <c r="L1275" t="s">
        <v>28</v>
      </c>
      <c r="M1275" t="s">
        <v>21</v>
      </c>
    </row>
    <row r="1276" spans="1:13" x14ac:dyDescent="0.35">
      <c r="A1276">
        <v>1002</v>
      </c>
      <c r="B1276" s="1">
        <v>44977</v>
      </c>
      <c r="C1276" t="s">
        <v>29</v>
      </c>
      <c r="D1276" t="s">
        <v>20</v>
      </c>
      <c r="E1276">
        <v>14277.69</v>
      </c>
      <c r="F1276">
        <v>26</v>
      </c>
      <c r="G1276" t="s">
        <v>24</v>
      </c>
      <c r="H1276">
        <v>508.94</v>
      </c>
      <c r="I1276">
        <v>557.69000000000005</v>
      </c>
      <c r="J1276" t="s">
        <v>27</v>
      </c>
      <c r="K1276">
        <v>0.02</v>
      </c>
      <c r="L1276" t="s">
        <v>28</v>
      </c>
      <c r="M1276" t="s">
        <v>21</v>
      </c>
    </row>
    <row r="1277" spans="1:13" x14ac:dyDescent="0.35">
      <c r="A1277">
        <v>1049</v>
      </c>
      <c r="B1277" s="1">
        <v>44978</v>
      </c>
      <c r="C1277" t="s">
        <v>33</v>
      </c>
      <c r="D1277" t="s">
        <v>30</v>
      </c>
      <c r="E1277">
        <v>111627.36</v>
      </c>
      <c r="F1277">
        <v>31</v>
      </c>
      <c r="G1277" t="s">
        <v>31</v>
      </c>
      <c r="H1277">
        <v>3570.24</v>
      </c>
      <c r="I1277">
        <v>3712.25</v>
      </c>
      <c r="J1277" t="s">
        <v>27</v>
      </c>
      <c r="K1277">
        <v>0.03</v>
      </c>
      <c r="L1277" t="s">
        <v>28</v>
      </c>
      <c r="M1277" t="s">
        <v>19</v>
      </c>
    </row>
    <row r="1278" spans="1:13" x14ac:dyDescent="0.35">
      <c r="A1278">
        <v>1046</v>
      </c>
      <c r="B1278" s="1">
        <v>44979</v>
      </c>
      <c r="C1278" t="s">
        <v>33</v>
      </c>
      <c r="D1278" t="s">
        <v>23</v>
      </c>
      <c r="E1278">
        <v>118952.72</v>
      </c>
      <c r="F1278">
        <v>46</v>
      </c>
      <c r="G1278" t="s">
        <v>26</v>
      </c>
      <c r="H1278">
        <v>2551.56</v>
      </c>
      <c r="I1278">
        <v>2841.68</v>
      </c>
      <c r="J1278" t="s">
        <v>27</v>
      </c>
      <c r="K1278">
        <v>0.09</v>
      </c>
      <c r="L1278" t="s">
        <v>25</v>
      </c>
      <c r="M1278" t="s">
        <v>21</v>
      </c>
    </row>
    <row r="1279" spans="1:13" x14ac:dyDescent="0.35">
      <c r="A1279">
        <v>1048</v>
      </c>
      <c r="B1279" s="1">
        <v>44980</v>
      </c>
      <c r="C1279" t="s">
        <v>14</v>
      </c>
      <c r="D1279" t="s">
        <v>20</v>
      </c>
      <c r="E1279">
        <v>216577.21</v>
      </c>
      <c r="F1279">
        <v>47</v>
      </c>
      <c r="G1279" t="s">
        <v>24</v>
      </c>
      <c r="H1279">
        <v>4535.8599999999997</v>
      </c>
      <c r="I1279">
        <v>4641.41</v>
      </c>
      <c r="J1279" t="s">
        <v>27</v>
      </c>
      <c r="K1279">
        <v>0.01</v>
      </c>
      <c r="L1279" t="s">
        <v>28</v>
      </c>
      <c r="M1279" t="s">
        <v>21</v>
      </c>
    </row>
    <row r="1280" spans="1:13" x14ac:dyDescent="0.35">
      <c r="A1280">
        <v>1100</v>
      </c>
      <c r="B1280" s="1">
        <v>44980</v>
      </c>
      <c r="C1280" t="s">
        <v>32</v>
      </c>
      <c r="D1280" t="s">
        <v>15</v>
      </c>
      <c r="E1280">
        <v>105274.76</v>
      </c>
      <c r="F1280">
        <v>43</v>
      </c>
      <c r="G1280" t="s">
        <v>16</v>
      </c>
      <c r="H1280">
        <v>2116.09</v>
      </c>
      <c r="I1280">
        <v>2472.98</v>
      </c>
      <c r="J1280" t="s">
        <v>27</v>
      </c>
      <c r="K1280">
        <v>0.01</v>
      </c>
      <c r="L1280" t="s">
        <v>28</v>
      </c>
      <c r="M1280" t="s">
        <v>21</v>
      </c>
    </row>
    <row r="1281" spans="1:13" x14ac:dyDescent="0.35">
      <c r="A1281">
        <v>1094</v>
      </c>
      <c r="B1281" s="1">
        <v>44981</v>
      </c>
      <c r="C1281" t="s">
        <v>14</v>
      </c>
      <c r="D1281" t="s">
        <v>20</v>
      </c>
      <c r="E1281">
        <v>29285.9</v>
      </c>
      <c r="F1281">
        <v>7</v>
      </c>
      <c r="G1281" t="s">
        <v>16</v>
      </c>
      <c r="H1281">
        <v>4122.38</v>
      </c>
      <c r="I1281">
        <v>4358.78</v>
      </c>
      <c r="J1281" t="s">
        <v>17</v>
      </c>
      <c r="K1281">
        <v>0.04</v>
      </c>
      <c r="L1281" t="s">
        <v>25</v>
      </c>
      <c r="M1281" t="s">
        <v>21</v>
      </c>
    </row>
    <row r="1282" spans="1:13" x14ac:dyDescent="0.35">
      <c r="A1282">
        <v>1008</v>
      </c>
      <c r="B1282" s="1">
        <v>44981</v>
      </c>
      <c r="C1282" t="s">
        <v>32</v>
      </c>
      <c r="D1282" t="s">
        <v>20</v>
      </c>
      <c r="E1282">
        <v>50476.57</v>
      </c>
      <c r="F1282">
        <v>22</v>
      </c>
      <c r="G1282" t="s">
        <v>31</v>
      </c>
      <c r="H1282">
        <v>2269.3200000000002</v>
      </c>
      <c r="I1282">
        <v>2365.35</v>
      </c>
      <c r="J1282" t="s">
        <v>27</v>
      </c>
      <c r="K1282">
        <v>0.03</v>
      </c>
      <c r="L1282" t="s">
        <v>18</v>
      </c>
      <c r="M1282" t="s">
        <v>21</v>
      </c>
    </row>
    <row r="1283" spans="1:13" x14ac:dyDescent="0.35">
      <c r="A1283">
        <v>1068</v>
      </c>
      <c r="B1283" s="1">
        <v>44981</v>
      </c>
      <c r="C1283" t="s">
        <v>14</v>
      </c>
      <c r="D1283" t="s">
        <v>15</v>
      </c>
      <c r="E1283">
        <v>80285.63</v>
      </c>
      <c r="F1283">
        <v>22</v>
      </c>
      <c r="G1283" t="s">
        <v>26</v>
      </c>
      <c r="H1283">
        <v>3619.61</v>
      </c>
      <c r="I1283">
        <v>3651.42</v>
      </c>
      <c r="J1283" t="s">
        <v>17</v>
      </c>
      <c r="K1283">
        <v>0</v>
      </c>
      <c r="L1283" t="s">
        <v>25</v>
      </c>
      <c r="M1283" t="s">
        <v>19</v>
      </c>
    </row>
    <row r="1284" spans="1:13" x14ac:dyDescent="0.35">
      <c r="A1284">
        <v>1099</v>
      </c>
      <c r="B1284" s="1">
        <v>44981</v>
      </c>
      <c r="C1284" t="s">
        <v>22</v>
      </c>
      <c r="D1284" t="s">
        <v>30</v>
      </c>
      <c r="E1284">
        <v>92450.73</v>
      </c>
      <c r="F1284">
        <v>35</v>
      </c>
      <c r="G1284" t="s">
        <v>26</v>
      </c>
      <c r="H1284">
        <v>2610.19</v>
      </c>
      <c r="I1284">
        <v>2682.53</v>
      </c>
      <c r="J1284" t="s">
        <v>27</v>
      </c>
      <c r="K1284">
        <v>0.02</v>
      </c>
      <c r="L1284" t="s">
        <v>18</v>
      </c>
      <c r="M1284" t="s">
        <v>21</v>
      </c>
    </row>
    <row r="1285" spans="1:13" x14ac:dyDescent="0.35">
      <c r="A1285">
        <v>1054</v>
      </c>
      <c r="B1285" s="1">
        <v>44981</v>
      </c>
      <c r="C1285" t="s">
        <v>33</v>
      </c>
      <c r="D1285" t="s">
        <v>15</v>
      </c>
      <c r="E1285">
        <v>94103.25</v>
      </c>
      <c r="F1285">
        <v>43</v>
      </c>
      <c r="G1285" t="s">
        <v>24</v>
      </c>
      <c r="H1285">
        <v>2124.7199999999998</v>
      </c>
      <c r="I1285">
        <v>2188.66</v>
      </c>
      <c r="J1285" t="s">
        <v>17</v>
      </c>
      <c r="K1285">
        <v>0</v>
      </c>
      <c r="L1285" t="s">
        <v>28</v>
      </c>
      <c r="M1285" t="s">
        <v>21</v>
      </c>
    </row>
    <row r="1286" spans="1:13" x14ac:dyDescent="0.35">
      <c r="A1286">
        <v>1013</v>
      </c>
      <c r="B1286" s="1">
        <v>44982</v>
      </c>
      <c r="C1286" t="s">
        <v>32</v>
      </c>
      <c r="D1286" t="s">
        <v>30</v>
      </c>
      <c r="E1286">
        <v>91043.41</v>
      </c>
      <c r="F1286">
        <v>31</v>
      </c>
      <c r="G1286" t="s">
        <v>24</v>
      </c>
      <c r="H1286">
        <v>2757.06</v>
      </c>
      <c r="I1286">
        <v>3023.97</v>
      </c>
      <c r="J1286" t="s">
        <v>17</v>
      </c>
      <c r="K1286">
        <v>0.03</v>
      </c>
      <c r="L1286" t="s">
        <v>18</v>
      </c>
      <c r="M1286" t="s">
        <v>19</v>
      </c>
    </row>
    <row r="1287" spans="1:13" x14ac:dyDescent="0.35">
      <c r="A1287">
        <v>1086</v>
      </c>
      <c r="B1287" s="1">
        <v>44983</v>
      </c>
      <c r="C1287" t="s">
        <v>14</v>
      </c>
      <c r="D1287" t="s">
        <v>20</v>
      </c>
      <c r="E1287">
        <v>25307.7</v>
      </c>
      <c r="F1287">
        <v>5</v>
      </c>
      <c r="G1287" t="s">
        <v>31</v>
      </c>
      <c r="H1287">
        <v>4934.1000000000004</v>
      </c>
      <c r="I1287">
        <v>5191.0200000000004</v>
      </c>
      <c r="J1287" t="s">
        <v>27</v>
      </c>
      <c r="K1287">
        <v>0.02</v>
      </c>
      <c r="L1287" t="s">
        <v>25</v>
      </c>
      <c r="M1287" t="s">
        <v>19</v>
      </c>
    </row>
    <row r="1288" spans="1:13" x14ac:dyDescent="0.35">
      <c r="A1288">
        <v>1083</v>
      </c>
      <c r="B1288" s="1">
        <v>44984</v>
      </c>
      <c r="C1288" t="s">
        <v>33</v>
      </c>
      <c r="D1288" t="s">
        <v>20</v>
      </c>
      <c r="E1288">
        <v>79269.3</v>
      </c>
      <c r="F1288">
        <v>20</v>
      </c>
      <c r="G1288" t="s">
        <v>26</v>
      </c>
      <c r="H1288">
        <v>3617.59</v>
      </c>
      <c r="I1288">
        <v>4003.5</v>
      </c>
      <c r="J1288" t="s">
        <v>27</v>
      </c>
      <c r="K1288">
        <v>0.01</v>
      </c>
      <c r="L1288" t="s">
        <v>28</v>
      </c>
      <c r="M1288" t="s">
        <v>21</v>
      </c>
    </row>
    <row r="1289" spans="1:13" x14ac:dyDescent="0.35">
      <c r="A1289">
        <v>1085</v>
      </c>
      <c r="B1289" s="1">
        <v>44984</v>
      </c>
      <c r="C1289" t="s">
        <v>32</v>
      </c>
      <c r="D1289" t="s">
        <v>20</v>
      </c>
      <c r="E1289">
        <v>168348.45</v>
      </c>
      <c r="F1289">
        <v>45</v>
      </c>
      <c r="G1289" t="s">
        <v>16</v>
      </c>
      <c r="H1289">
        <v>3325.96</v>
      </c>
      <c r="I1289">
        <v>3781.4</v>
      </c>
      <c r="J1289" t="s">
        <v>17</v>
      </c>
      <c r="K1289">
        <v>0.01</v>
      </c>
      <c r="L1289" t="s">
        <v>28</v>
      </c>
      <c r="M1289" t="s">
        <v>19</v>
      </c>
    </row>
    <row r="1290" spans="1:13" x14ac:dyDescent="0.35">
      <c r="A1290">
        <v>1025</v>
      </c>
      <c r="B1290" s="1">
        <v>44985</v>
      </c>
      <c r="C1290" t="s">
        <v>14</v>
      </c>
      <c r="D1290" t="s">
        <v>30</v>
      </c>
      <c r="E1290">
        <v>12341.37</v>
      </c>
      <c r="F1290">
        <v>14</v>
      </c>
      <c r="G1290" t="s">
        <v>31</v>
      </c>
      <c r="H1290">
        <v>859.59</v>
      </c>
      <c r="I1290">
        <v>884.51</v>
      </c>
      <c r="J1290" t="s">
        <v>27</v>
      </c>
      <c r="K1290">
        <v>0</v>
      </c>
      <c r="L1290" t="s">
        <v>25</v>
      </c>
      <c r="M1290" t="s">
        <v>19</v>
      </c>
    </row>
    <row r="1291" spans="1:13" x14ac:dyDescent="0.35">
      <c r="A1291">
        <v>1033</v>
      </c>
      <c r="B1291" s="1">
        <v>44985</v>
      </c>
      <c r="C1291" t="s">
        <v>22</v>
      </c>
      <c r="D1291" t="s">
        <v>20</v>
      </c>
      <c r="E1291">
        <v>9255.0300000000007</v>
      </c>
      <c r="F1291">
        <v>3</v>
      </c>
      <c r="G1291" t="s">
        <v>26</v>
      </c>
      <c r="H1291">
        <v>2958.75</v>
      </c>
      <c r="I1291">
        <v>3177.64</v>
      </c>
      <c r="J1291" t="s">
        <v>17</v>
      </c>
      <c r="K1291">
        <v>0.03</v>
      </c>
      <c r="L1291" t="s">
        <v>18</v>
      </c>
      <c r="M1291" t="s">
        <v>19</v>
      </c>
    </row>
    <row r="1292" spans="1:13" x14ac:dyDescent="0.35">
      <c r="A1292">
        <v>1087</v>
      </c>
      <c r="B1292" s="1">
        <v>44985</v>
      </c>
      <c r="C1292" t="s">
        <v>33</v>
      </c>
      <c r="D1292" t="s">
        <v>20</v>
      </c>
      <c r="E1292">
        <v>61560.51</v>
      </c>
      <c r="F1292">
        <v>15</v>
      </c>
      <c r="G1292" t="s">
        <v>16</v>
      </c>
      <c r="H1292">
        <v>4074.66</v>
      </c>
      <c r="I1292">
        <v>4261.1099999999997</v>
      </c>
      <c r="J1292" t="s">
        <v>17</v>
      </c>
      <c r="K1292">
        <v>0.04</v>
      </c>
      <c r="L1292" t="s">
        <v>28</v>
      </c>
      <c r="M1292" t="s">
        <v>21</v>
      </c>
    </row>
    <row r="1293" spans="1:13" x14ac:dyDescent="0.35">
      <c r="A1293">
        <v>1056</v>
      </c>
      <c r="B1293" s="1">
        <v>44985</v>
      </c>
      <c r="C1293" t="s">
        <v>32</v>
      </c>
      <c r="D1293" t="s">
        <v>15</v>
      </c>
      <c r="E1293">
        <v>59272.58</v>
      </c>
      <c r="F1293">
        <v>37</v>
      </c>
      <c r="G1293" t="s">
        <v>31</v>
      </c>
      <c r="H1293">
        <v>1555.41</v>
      </c>
      <c r="I1293">
        <v>1609.94</v>
      </c>
      <c r="J1293" t="s">
        <v>17</v>
      </c>
      <c r="K1293">
        <v>0</v>
      </c>
      <c r="L1293" t="s">
        <v>28</v>
      </c>
      <c r="M1293" t="s">
        <v>19</v>
      </c>
    </row>
    <row r="1294" spans="1:13" x14ac:dyDescent="0.35">
      <c r="A1294">
        <v>1012</v>
      </c>
      <c r="B1294" s="1">
        <v>44985</v>
      </c>
      <c r="C1294" t="s">
        <v>22</v>
      </c>
      <c r="D1294" t="s">
        <v>30</v>
      </c>
      <c r="E1294">
        <v>128804.33</v>
      </c>
      <c r="F1294">
        <v>33</v>
      </c>
      <c r="G1294" t="s">
        <v>24</v>
      </c>
      <c r="H1294">
        <v>3831.09</v>
      </c>
      <c r="I1294">
        <v>3908.37</v>
      </c>
      <c r="J1294" t="s">
        <v>27</v>
      </c>
      <c r="K1294">
        <v>0</v>
      </c>
      <c r="L1294" t="s">
        <v>18</v>
      </c>
      <c r="M1294" t="s">
        <v>21</v>
      </c>
    </row>
    <row r="1295" spans="1:13" x14ac:dyDescent="0.35">
      <c r="A1295">
        <v>1007</v>
      </c>
      <c r="B1295" s="1">
        <v>44985</v>
      </c>
      <c r="C1295" t="s">
        <v>29</v>
      </c>
      <c r="D1295" t="s">
        <v>30</v>
      </c>
      <c r="E1295">
        <v>176518.12</v>
      </c>
      <c r="F1295">
        <v>43</v>
      </c>
      <c r="G1295" t="s">
        <v>16</v>
      </c>
      <c r="H1295">
        <v>3967.25</v>
      </c>
      <c r="I1295">
        <v>4272.92</v>
      </c>
      <c r="J1295" t="s">
        <v>27</v>
      </c>
      <c r="K1295">
        <v>0.04</v>
      </c>
      <c r="L1295" t="s">
        <v>28</v>
      </c>
      <c r="M1295" t="s">
        <v>19</v>
      </c>
    </row>
    <row r="1296" spans="1:13" x14ac:dyDescent="0.35">
      <c r="A1296">
        <v>1029</v>
      </c>
      <c r="B1296" s="1">
        <v>44986</v>
      </c>
      <c r="C1296" t="s">
        <v>22</v>
      </c>
      <c r="D1296" t="s">
        <v>30</v>
      </c>
      <c r="E1296">
        <v>83043.81</v>
      </c>
      <c r="F1296">
        <v>28</v>
      </c>
      <c r="G1296" t="s">
        <v>26</v>
      </c>
      <c r="H1296">
        <v>2873.53</v>
      </c>
      <c r="I1296">
        <v>3108.3</v>
      </c>
      <c r="J1296" t="s">
        <v>27</v>
      </c>
      <c r="K1296">
        <v>0.05</v>
      </c>
      <c r="L1296" t="s">
        <v>28</v>
      </c>
      <c r="M1296" t="s">
        <v>21</v>
      </c>
    </row>
    <row r="1297" spans="1:13" x14ac:dyDescent="0.35">
      <c r="A1297">
        <v>1041</v>
      </c>
      <c r="B1297" s="1">
        <v>44986</v>
      </c>
      <c r="C1297" t="s">
        <v>29</v>
      </c>
      <c r="D1297" t="s">
        <v>30</v>
      </c>
      <c r="E1297">
        <v>148011.04999999999</v>
      </c>
      <c r="F1297">
        <v>44</v>
      </c>
      <c r="G1297" t="s">
        <v>31</v>
      </c>
      <c r="H1297">
        <v>3288.39</v>
      </c>
      <c r="I1297">
        <v>3391.46</v>
      </c>
      <c r="J1297" t="s">
        <v>27</v>
      </c>
      <c r="K1297">
        <v>0.01</v>
      </c>
      <c r="L1297" t="s">
        <v>28</v>
      </c>
      <c r="M1297" t="s">
        <v>21</v>
      </c>
    </row>
    <row r="1298" spans="1:13" x14ac:dyDescent="0.35">
      <c r="A1298">
        <v>1034</v>
      </c>
      <c r="B1298" s="1">
        <v>44986</v>
      </c>
      <c r="C1298" t="s">
        <v>29</v>
      </c>
      <c r="D1298" t="s">
        <v>20</v>
      </c>
      <c r="E1298">
        <v>103114.87</v>
      </c>
      <c r="F1298">
        <v>45</v>
      </c>
      <c r="G1298" t="s">
        <v>24</v>
      </c>
      <c r="H1298">
        <v>2013.12</v>
      </c>
      <c r="I1298">
        <v>2321.87</v>
      </c>
      <c r="J1298" t="s">
        <v>27</v>
      </c>
      <c r="K1298">
        <v>0.01</v>
      </c>
      <c r="L1298" t="s">
        <v>25</v>
      </c>
      <c r="M1298" t="s">
        <v>21</v>
      </c>
    </row>
    <row r="1299" spans="1:13" x14ac:dyDescent="0.35">
      <c r="A1299">
        <v>1058</v>
      </c>
      <c r="B1299" s="1">
        <v>44987</v>
      </c>
      <c r="C1299" t="s">
        <v>32</v>
      </c>
      <c r="D1299" t="s">
        <v>20</v>
      </c>
      <c r="E1299">
        <v>139117.06</v>
      </c>
      <c r="F1299">
        <v>39</v>
      </c>
      <c r="G1299" t="s">
        <v>24</v>
      </c>
      <c r="H1299">
        <v>3542.8</v>
      </c>
      <c r="I1299">
        <v>3603.02</v>
      </c>
      <c r="J1299" t="s">
        <v>17</v>
      </c>
      <c r="K1299">
        <v>0.01</v>
      </c>
      <c r="L1299" t="s">
        <v>18</v>
      </c>
      <c r="M1299" t="s">
        <v>19</v>
      </c>
    </row>
    <row r="1300" spans="1:13" x14ac:dyDescent="0.35">
      <c r="A1300">
        <v>1023</v>
      </c>
      <c r="B1300" s="1">
        <v>44987</v>
      </c>
      <c r="C1300" t="s">
        <v>22</v>
      </c>
      <c r="D1300" t="s">
        <v>20</v>
      </c>
      <c r="E1300">
        <v>180254.46</v>
      </c>
      <c r="F1300">
        <v>39</v>
      </c>
      <c r="G1300" t="s">
        <v>24</v>
      </c>
      <c r="H1300">
        <v>4450.6099999999997</v>
      </c>
      <c r="I1300">
        <v>4663.34</v>
      </c>
      <c r="J1300" t="s">
        <v>27</v>
      </c>
      <c r="K1300">
        <v>0.01</v>
      </c>
      <c r="L1300" t="s">
        <v>18</v>
      </c>
      <c r="M1300" t="s">
        <v>21</v>
      </c>
    </row>
    <row r="1301" spans="1:13" x14ac:dyDescent="0.35">
      <c r="A1301">
        <v>1058</v>
      </c>
      <c r="B1301" s="1">
        <v>44987</v>
      </c>
      <c r="C1301" t="s">
        <v>32</v>
      </c>
      <c r="D1301" t="s">
        <v>30</v>
      </c>
      <c r="E1301">
        <v>73540.62</v>
      </c>
      <c r="F1301">
        <v>49</v>
      </c>
      <c r="G1301" t="s">
        <v>16</v>
      </c>
      <c r="H1301">
        <v>1307.22</v>
      </c>
      <c r="I1301">
        <v>1528.4</v>
      </c>
      <c r="J1301" t="s">
        <v>17</v>
      </c>
      <c r="K1301">
        <v>0.02</v>
      </c>
      <c r="L1301" t="s">
        <v>18</v>
      </c>
      <c r="M1301" t="s">
        <v>21</v>
      </c>
    </row>
    <row r="1302" spans="1:13" x14ac:dyDescent="0.35">
      <c r="A1302">
        <v>1007</v>
      </c>
      <c r="B1302" s="1">
        <v>44988</v>
      </c>
      <c r="C1302" t="s">
        <v>32</v>
      </c>
      <c r="D1302" t="s">
        <v>20</v>
      </c>
      <c r="E1302">
        <v>2610.52</v>
      </c>
      <c r="F1302">
        <v>1</v>
      </c>
      <c r="G1302" t="s">
        <v>24</v>
      </c>
      <c r="H1302">
        <v>2543.2600000000002</v>
      </c>
      <c r="I1302">
        <v>2637.91</v>
      </c>
      <c r="J1302" t="s">
        <v>17</v>
      </c>
      <c r="K1302">
        <v>0.01</v>
      </c>
      <c r="L1302" t="s">
        <v>28</v>
      </c>
      <c r="M1302" t="s">
        <v>19</v>
      </c>
    </row>
    <row r="1303" spans="1:13" x14ac:dyDescent="0.35">
      <c r="A1303">
        <v>1089</v>
      </c>
      <c r="B1303" s="1">
        <v>44988</v>
      </c>
      <c r="C1303" t="s">
        <v>29</v>
      </c>
      <c r="D1303" t="s">
        <v>15</v>
      </c>
      <c r="E1303">
        <v>16859.98</v>
      </c>
      <c r="F1303">
        <v>4</v>
      </c>
      <c r="G1303" t="s">
        <v>16</v>
      </c>
      <c r="H1303">
        <v>4117.67</v>
      </c>
      <c r="I1303">
        <v>4280.0600000000004</v>
      </c>
      <c r="J1303" t="s">
        <v>17</v>
      </c>
      <c r="K1303">
        <v>0.02</v>
      </c>
      <c r="L1303" t="s">
        <v>25</v>
      </c>
      <c r="M1303" t="s">
        <v>19</v>
      </c>
    </row>
    <row r="1304" spans="1:13" x14ac:dyDescent="0.35">
      <c r="A1304">
        <v>1095</v>
      </c>
      <c r="B1304" s="1">
        <v>44988</v>
      </c>
      <c r="C1304" t="s">
        <v>32</v>
      </c>
      <c r="D1304" t="s">
        <v>30</v>
      </c>
      <c r="E1304">
        <v>57861.95</v>
      </c>
      <c r="F1304">
        <v>16</v>
      </c>
      <c r="G1304" t="s">
        <v>31</v>
      </c>
      <c r="H1304">
        <v>3591.05</v>
      </c>
      <c r="I1304">
        <v>3625.35</v>
      </c>
      <c r="J1304" t="s">
        <v>17</v>
      </c>
      <c r="K1304">
        <v>0</v>
      </c>
      <c r="L1304" t="s">
        <v>28</v>
      </c>
      <c r="M1304" t="s">
        <v>21</v>
      </c>
    </row>
    <row r="1305" spans="1:13" x14ac:dyDescent="0.35">
      <c r="A1305">
        <v>1035</v>
      </c>
      <c r="B1305" s="1">
        <v>44988</v>
      </c>
      <c r="C1305" t="s">
        <v>14</v>
      </c>
      <c r="D1305" t="s">
        <v>20</v>
      </c>
      <c r="E1305">
        <v>140212.91</v>
      </c>
      <c r="F1305">
        <v>47</v>
      </c>
      <c r="G1305" t="s">
        <v>31</v>
      </c>
      <c r="H1305">
        <v>2936.48</v>
      </c>
      <c r="I1305">
        <v>3096.64</v>
      </c>
      <c r="J1305" t="s">
        <v>27</v>
      </c>
      <c r="K1305">
        <v>0.04</v>
      </c>
      <c r="L1305" t="s">
        <v>25</v>
      </c>
      <c r="M1305" t="s">
        <v>19</v>
      </c>
    </row>
    <row r="1306" spans="1:13" x14ac:dyDescent="0.35">
      <c r="A1306">
        <v>1009</v>
      </c>
      <c r="B1306" s="1">
        <v>44989</v>
      </c>
      <c r="C1306" t="s">
        <v>22</v>
      </c>
      <c r="D1306" t="s">
        <v>30</v>
      </c>
      <c r="E1306">
        <v>3515.4</v>
      </c>
      <c r="F1306">
        <v>1</v>
      </c>
      <c r="G1306" t="s">
        <v>26</v>
      </c>
      <c r="H1306">
        <v>3223.07</v>
      </c>
      <c r="I1306">
        <v>3590.83</v>
      </c>
      <c r="J1306" t="s">
        <v>27</v>
      </c>
      <c r="K1306">
        <v>0.02</v>
      </c>
      <c r="L1306" t="s">
        <v>25</v>
      </c>
      <c r="M1306" t="s">
        <v>21</v>
      </c>
    </row>
    <row r="1307" spans="1:13" x14ac:dyDescent="0.35">
      <c r="A1307">
        <v>1070</v>
      </c>
      <c r="B1307" s="1">
        <v>44989</v>
      </c>
      <c r="C1307" t="s">
        <v>14</v>
      </c>
      <c r="D1307" t="s">
        <v>23</v>
      </c>
      <c r="E1307">
        <v>56689.56</v>
      </c>
      <c r="F1307">
        <v>15</v>
      </c>
      <c r="G1307" t="s">
        <v>31</v>
      </c>
      <c r="H1307">
        <v>3653.66</v>
      </c>
      <c r="I1307">
        <v>3896.19</v>
      </c>
      <c r="J1307" t="s">
        <v>27</v>
      </c>
      <c r="K1307">
        <v>0.03</v>
      </c>
      <c r="L1307" t="s">
        <v>28</v>
      </c>
      <c r="M1307" t="s">
        <v>21</v>
      </c>
    </row>
    <row r="1308" spans="1:13" x14ac:dyDescent="0.35">
      <c r="A1308">
        <v>1033</v>
      </c>
      <c r="B1308" s="1">
        <v>44989</v>
      </c>
      <c r="C1308" t="s">
        <v>14</v>
      </c>
      <c r="D1308" t="s">
        <v>20</v>
      </c>
      <c r="E1308">
        <v>8548.2099999999991</v>
      </c>
      <c r="F1308">
        <v>14</v>
      </c>
      <c r="G1308" t="s">
        <v>26</v>
      </c>
      <c r="H1308">
        <v>362.38</v>
      </c>
      <c r="I1308">
        <v>753.81</v>
      </c>
      <c r="J1308" t="s">
        <v>17</v>
      </c>
      <c r="K1308">
        <v>0.19</v>
      </c>
      <c r="L1308" t="s">
        <v>18</v>
      </c>
      <c r="M1308" t="s">
        <v>21</v>
      </c>
    </row>
    <row r="1309" spans="1:13" x14ac:dyDescent="0.35">
      <c r="A1309">
        <v>1094</v>
      </c>
      <c r="B1309" s="1">
        <v>44989</v>
      </c>
      <c r="C1309" t="s">
        <v>14</v>
      </c>
      <c r="D1309" t="s">
        <v>15</v>
      </c>
      <c r="E1309">
        <v>34034.589999999997</v>
      </c>
      <c r="F1309">
        <v>49</v>
      </c>
      <c r="G1309" t="s">
        <v>24</v>
      </c>
      <c r="H1309">
        <v>615.47</v>
      </c>
      <c r="I1309">
        <v>715.84</v>
      </c>
      <c r="J1309" t="s">
        <v>17</v>
      </c>
      <c r="K1309">
        <v>0.03</v>
      </c>
      <c r="L1309" t="s">
        <v>28</v>
      </c>
      <c r="M1309" t="s">
        <v>21</v>
      </c>
    </row>
    <row r="1310" spans="1:13" x14ac:dyDescent="0.35">
      <c r="A1310">
        <v>1099</v>
      </c>
      <c r="B1310" s="1">
        <v>44989</v>
      </c>
      <c r="C1310" t="s">
        <v>22</v>
      </c>
      <c r="D1310" t="s">
        <v>30</v>
      </c>
      <c r="E1310">
        <v>19555.599999999999</v>
      </c>
      <c r="F1310">
        <v>10</v>
      </c>
      <c r="G1310" t="s">
        <v>16</v>
      </c>
      <c r="H1310">
        <v>1531.2</v>
      </c>
      <c r="I1310">
        <v>1955.56</v>
      </c>
      <c r="J1310" t="s">
        <v>27</v>
      </c>
      <c r="K1310">
        <v>0</v>
      </c>
      <c r="L1310" t="s">
        <v>28</v>
      </c>
      <c r="M1310" t="s">
        <v>19</v>
      </c>
    </row>
    <row r="1311" spans="1:13" x14ac:dyDescent="0.35">
      <c r="A1311">
        <v>1058</v>
      </c>
      <c r="B1311" s="1">
        <v>44990</v>
      </c>
      <c r="C1311" t="s">
        <v>32</v>
      </c>
      <c r="D1311" t="s">
        <v>15</v>
      </c>
      <c r="E1311">
        <v>125109.5</v>
      </c>
      <c r="F1311">
        <v>48</v>
      </c>
      <c r="G1311" t="s">
        <v>16</v>
      </c>
      <c r="H1311">
        <v>2596.7199999999998</v>
      </c>
      <c r="I1311">
        <v>2715.05</v>
      </c>
      <c r="J1311" t="s">
        <v>17</v>
      </c>
      <c r="K1311">
        <v>0.04</v>
      </c>
      <c r="L1311" t="s">
        <v>18</v>
      </c>
      <c r="M1311" t="s">
        <v>19</v>
      </c>
    </row>
    <row r="1312" spans="1:13" x14ac:dyDescent="0.35">
      <c r="A1312">
        <v>1050</v>
      </c>
      <c r="B1312" s="1">
        <v>44990</v>
      </c>
      <c r="C1312" t="s">
        <v>14</v>
      </c>
      <c r="D1312" t="s">
        <v>15</v>
      </c>
      <c r="E1312">
        <v>72157.990000000005</v>
      </c>
      <c r="F1312">
        <v>20</v>
      </c>
      <c r="G1312" t="s">
        <v>31</v>
      </c>
      <c r="H1312">
        <v>3318.92</v>
      </c>
      <c r="I1312">
        <v>3785.91</v>
      </c>
      <c r="J1312" t="s">
        <v>27</v>
      </c>
      <c r="K1312">
        <v>0.05</v>
      </c>
      <c r="L1312" t="s">
        <v>25</v>
      </c>
      <c r="M1312" t="s">
        <v>19</v>
      </c>
    </row>
    <row r="1313" spans="1:13" x14ac:dyDescent="0.35">
      <c r="A1313">
        <v>1024</v>
      </c>
      <c r="B1313" s="1">
        <v>44991</v>
      </c>
      <c r="C1313" t="s">
        <v>33</v>
      </c>
      <c r="D1313" t="s">
        <v>23</v>
      </c>
      <c r="E1313">
        <v>52321.46</v>
      </c>
      <c r="F1313">
        <v>35</v>
      </c>
      <c r="G1313" t="s">
        <v>31</v>
      </c>
      <c r="H1313">
        <v>1258.53</v>
      </c>
      <c r="I1313">
        <v>1624.89</v>
      </c>
      <c r="J1313" t="s">
        <v>27</v>
      </c>
      <c r="K1313">
        <v>0.08</v>
      </c>
      <c r="L1313" t="s">
        <v>28</v>
      </c>
      <c r="M1313" t="s">
        <v>19</v>
      </c>
    </row>
    <row r="1314" spans="1:13" x14ac:dyDescent="0.35">
      <c r="A1314">
        <v>1005</v>
      </c>
      <c r="B1314" s="1">
        <v>44993</v>
      </c>
      <c r="C1314" t="s">
        <v>33</v>
      </c>
      <c r="D1314" t="s">
        <v>15</v>
      </c>
      <c r="E1314">
        <v>6154.02</v>
      </c>
      <c r="F1314">
        <v>12</v>
      </c>
      <c r="G1314" t="s">
        <v>26</v>
      </c>
      <c r="H1314">
        <v>253.29</v>
      </c>
      <c r="I1314">
        <v>683.78</v>
      </c>
      <c r="J1314" t="s">
        <v>27</v>
      </c>
      <c r="K1314">
        <v>0.25</v>
      </c>
      <c r="L1314" t="s">
        <v>28</v>
      </c>
      <c r="M1314" t="s">
        <v>19</v>
      </c>
    </row>
    <row r="1315" spans="1:13" x14ac:dyDescent="0.35">
      <c r="A1315">
        <v>1067</v>
      </c>
      <c r="B1315" s="1">
        <v>44993</v>
      </c>
      <c r="C1315" t="s">
        <v>14</v>
      </c>
      <c r="D1315" t="s">
        <v>30</v>
      </c>
      <c r="E1315">
        <v>104363.66</v>
      </c>
      <c r="F1315">
        <v>28</v>
      </c>
      <c r="G1315" t="s">
        <v>31</v>
      </c>
      <c r="H1315">
        <v>3489.85</v>
      </c>
      <c r="I1315">
        <v>3842.55</v>
      </c>
      <c r="J1315" t="s">
        <v>27</v>
      </c>
      <c r="K1315">
        <v>0.03</v>
      </c>
      <c r="L1315" t="s">
        <v>25</v>
      </c>
      <c r="M1315" t="s">
        <v>19</v>
      </c>
    </row>
    <row r="1316" spans="1:13" x14ac:dyDescent="0.35">
      <c r="A1316">
        <v>1058</v>
      </c>
      <c r="B1316" s="1">
        <v>44994</v>
      </c>
      <c r="C1316" t="s">
        <v>32</v>
      </c>
      <c r="D1316" t="s">
        <v>23</v>
      </c>
      <c r="E1316">
        <v>100273.95</v>
      </c>
      <c r="F1316">
        <v>40</v>
      </c>
      <c r="G1316" t="s">
        <v>16</v>
      </c>
      <c r="H1316">
        <v>2249.7600000000002</v>
      </c>
      <c r="I1316">
        <v>2598.4</v>
      </c>
      <c r="J1316" t="s">
        <v>17</v>
      </c>
      <c r="K1316">
        <v>0.04</v>
      </c>
      <c r="L1316" t="s">
        <v>28</v>
      </c>
      <c r="M1316" t="s">
        <v>21</v>
      </c>
    </row>
    <row r="1317" spans="1:13" x14ac:dyDescent="0.35">
      <c r="A1317">
        <v>1040</v>
      </c>
      <c r="B1317" s="1">
        <v>44995</v>
      </c>
      <c r="C1317" t="s">
        <v>29</v>
      </c>
      <c r="D1317" t="s">
        <v>30</v>
      </c>
      <c r="E1317">
        <v>36024.639999999999</v>
      </c>
      <c r="F1317">
        <v>13</v>
      </c>
      <c r="G1317" t="s">
        <v>26</v>
      </c>
      <c r="H1317">
        <v>2750.18</v>
      </c>
      <c r="I1317">
        <v>2882.85</v>
      </c>
      <c r="J1317" t="s">
        <v>17</v>
      </c>
      <c r="K1317">
        <v>0.04</v>
      </c>
      <c r="L1317" t="s">
        <v>28</v>
      </c>
      <c r="M1317" t="s">
        <v>19</v>
      </c>
    </row>
    <row r="1318" spans="1:13" x14ac:dyDescent="0.35">
      <c r="A1318">
        <v>1027</v>
      </c>
      <c r="B1318" s="1">
        <v>44995</v>
      </c>
      <c r="C1318" t="s">
        <v>32</v>
      </c>
      <c r="D1318" t="s">
        <v>23</v>
      </c>
      <c r="E1318">
        <v>56227.42</v>
      </c>
      <c r="F1318">
        <v>21</v>
      </c>
      <c r="G1318" t="s">
        <v>24</v>
      </c>
      <c r="H1318">
        <v>2511.41</v>
      </c>
      <c r="I1318">
        <v>2848.4</v>
      </c>
      <c r="J1318" t="s">
        <v>17</v>
      </c>
      <c r="K1318">
        <v>0.06</v>
      </c>
      <c r="L1318" t="s">
        <v>25</v>
      </c>
      <c r="M1318" t="s">
        <v>19</v>
      </c>
    </row>
    <row r="1319" spans="1:13" x14ac:dyDescent="0.35">
      <c r="A1319">
        <v>1040</v>
      </c>
      <c r="B1319" s="1">
        <v>44995</v>
      </c>
      <c r="C1319" t="s">
        <v>33</v>
      </c>
      <c r="D1319" t="s">
        <v>30</v>
      </c>
      <c r="E1319">
        <v>181879.67999999999</v>
      </c>
      <c r="F1319">
        <v>42</v>
      </c>
      <c r="G1319" t="s">
        <v>31</v>
      </c>
      <c r="H1319">
        <v>4205.29</v>
      </c>
      <c r="I1319">
        <v>4382.3500000000004</v>
      </c>
      <c r="J1319" t="s">
        <v>27</v>
      </c>
      <c r="K1319">
        <v>0.01</v>
      </c>
      <c r="L1319" t="s">
        <v>18</v>
      </c>
      <c r="M1319" t="s">
        <v>21</v>
      </c>
    </row>
    <row r="1320" spans="1:13" x14ac:dyDescent="0.35">
      <c r="A1320">
        <v>1038</v>
      </c>
      <c r="B1320" s="1">
        <v>44996</v>
      </c>
      <c r="C1320" t="s">
        <v>14</v>
      </c>
      <c r="D1320" t="s">
        <v>23</v>
      </c>
      <c r="E1320">
        <v>38921.9</v>
      </c>
      <c r="F1320">
        <v>15</v>
      </c>
      <c r="G1320" t="s">
        <v>26</v>
      </c>
      <c r="H1320">
        <v>2543.36</v>
      </c>
      <c r="I1320">
        <v>2790.1</v>
      </c>
      <c r="J1320" t="s">
        <v>17</v>
      </c>
      <c r="K1320">
        <v>7.0000000000000007E-2</v>
      </c>
      <c r="L1320" t="s">
        <v>18</v>
      </c>
      <c r="M1320" t="s">
        <v>19</v>
      </c>
    </row>
    <row r="1321" spans="1:13" x14ac:dyDescent="0.35">
      <c r="A1321">
        <v>1038</v>
      </c>
      <c r="B1321" s="1">
        <v>44998</v>
      </c>
      <c r="C1321" t="s">
        <v>22</v>
      </c>
      <c r="D1321" t="s">
        <v>15</v>
      </c>
      <c r="E1321">
        <v>3974.84</v>
      </c>
      <c r="F1321">
        <v>9</v>
      </c>
      <c r="G1321" t="s">
        <v>26</v>
      </c>
      <c r="H1321">
        <v>400.42</v>
      </c>
      <c r="I1321">
        <v>446.11</v>
      </c>
      <c r="J1321" t="s">
        <v>27</v>
      </c>
      <c r="K1321">
        <v>0.01</v>
      </c>
      <c r="L1321" t="s">
        <v>25</v>
      </c>
      <c r="M1321" t="s">
        <v>21</v>
      </c>
    </row>
    <row r="1322" spans="1:13" x14ac:dyDescent="0.35">
      <c r="A1322">
        <v>1030</v>
      </c>
      <c r="B1322" s="1">
        <v>44998</v>
      </c>
      <c r="C1322" t="s">
        <v>33</v>
      </c>
      <c r="D1322" t="s">
        <v>15</v>
      </c>
      <c r="E1322">
        <v>99370.51</v>
      </c>
      <c r="F1322">
        <v>39</v>
      </c>
      <c r="G1322" t="s">
        <v>24</v>
      </c>
      <c r="H1322">
        <v>2511.2800000000002</v>
      </c>
      <c r="I1322">
        <v>2658.06</v>
      </c>
      <c r="J1322" t="s">
        <v>27</v>
      </c>
      <c r="K1322">
        <v>0.04</v>
      </c>
      <c r="L1322" t="s">
        <v>28</v>
      </c>
      <c r="M1322" t="s">
        <v>21</v>
      </c>
    </row>
    <row r="1323" spans="1:13" x14ac:dyDescent="0.35">
      <c r="A1323">
        <v>1061</v>
      </c>
      <c r="B1323" s="1">
        <v>44998</v>
      </c>
      <c r="C1323" t="s">
        <v>14</v>
      </c>
      <c r="D1323" t="s">
        <v>23</v>
      </c>
      <c r="E1323">
        <v>30160.07</v>
      </c>
      <c r="F1323">
        <v>11</v>
      </c>
      <c r="G1323" t="s">
        <v>26</v>
      </c>
      <c r="H1323">
        <v>2594.71</v>
      </c>
      <c r="I1323">
        <v>2769.52</v>
      </c>
      <c r="J1323" t="s">
        <v>17</v>
      </c>
      <c r="K1323">
        <v>0.01</v>
      </c>
      <c r="L1323" t="s">
        <v>25</v>
      </c>
      <c r="M1323" t="s">
        <v>21</v>
      </c>
    </row>
    <row r="1324" spans="1:13" x14ac:dyDescent="0.35">
      <c r="A1324">
        <v>1032</v>
      </c>
      <c r="B1324" s="1">
        <v>44998</v>
      </c>
      <c r="C1324" t="s">
        <v>33</v>
      </c>
      <c r="D1324" t="s">
        <v>15</v>
      </c>
      <c r="E1324">
        <v>98191.02</v>
      </c>
      <c r="F1324">
        <v>20</v>
      </c>
      <c r="G1324" t="s">
        <v>31</v>
      </c>
      <c r="H1324">
        <v>4741.59</v>
      </c>
      <c r="I1324">
        <v>4975.2299999999996</v>
      </c>
      <c r="J1324" t="s">
        <v>27</v>
      </c>
      <c r="K1324">
        <v>0.01</v>
      </c>
      <c r="L1324" t="s">
        <v>28</v>
      </c>
      <c r="M1324" t="s">
        <v>19</v>
      </c>
    </row>
    <row r="1325" spans="1:13" x14ac:dyDescent="0.35">
      <c r="A1325">
        <v>1062</v>
      </c>
      <c r="B1325" s="1">
        <v>44999</v>
      </c>
      <c r="C1325" t="s">
        <v>33</v>
      </c>
      <c r="D1325" t="s">
        <v>30</v>
      </c>
      <c r="E1325">
        <v>78004.69</v>
      </c>
      <c r="F1325">
        <v>24</v>
      </c>
      <c r="G1325" t="s">
        <v>24</v>
      </c>
      <c r="H1325">
        <v>3018.01</v>
      </c>
      <c r="I1325">
        <v>3418.19</v>
      </c>
      <c r="J1325" t="s">
        <v>17</v>
      </c>
      <c r="K1325">
        <v>0.05</v>
      </c>
      <c r="L1325" t="s">
        <v>25</v>
      </c>
      <c r="M1325" t="s">
        <v>21</v>
      </c>
    </row>
    <row r="1326" spans="1:13" x14ac:dyDescent="0.35">
      <c r="A1326">
        <v>1021</v>
      </c>
      <c r="B1326" s="1">
        <v>44999</v>
      </c>
      <c r="C1326" t="s">
        <v>22</v>
      </c>
      <c r="D1326" t="s">
        <v>23</v>
      </c>
      <c r="E1326">
        <v>20452.259999999998</v>
      </c>
      <c r="F1326">
        <v>23</v>
      </c>
      <c r="G1326" t="s">
        <v>24</v>
      </c>
      <c r="H1326">
        <v>580.75</v>
      </c>
      <c r="I1326">
        <v>956.16</v>
      </c>
      <c r="J1326" t="s">
        <v>17</v>
      </c>
      <c r="K1326">
        <v>7.0000000000000007E-2</v>
      </c>
      <c r="L1326" t="s">
        <v>18</v>
      </c>
      <c r="M1326" t="s">
        <v>21</v>
      </c>
    </row>
    <row r="1327" spans="1:13" x14ac:dyDescent="0.35">
      <c r="A1327">
        <v>1090</v>
      </c>
      <c r="B1327" s="1">
        <v>44999</v>
      </c>
      <c r="C1327" t="s">
        <v>22</v>
      </c>
      <c r="D1327" t="s">
        <v>30</v>
      </c>
      <c r="E1327">
        <v>124135.67</v>
      </c>
      <c r="F1327">
        <v>47</v>
      </c>
      <c r="G1327" t="s">
        <v>16</v>
      </c>
      <c r="H1327">
        <v>2310.8200000000002</v>
      </c>
      <c r="I1327">
        <v>2714.71</v>
      </c>
      <c r="J1327" t="s">
        <v>27</v>
      </c>
      <c r="K1327">
        <v>0.03</v>
      </c>
      <c r="L1327" t="s">
        <v>18</v>
      </c>
      <c r="M1327" t="s">
        <v>21</v>
      </c>
    </row>
    <row r="1328" spans="1:13" x14ac:dyDescent="0.35">
      <c r="A1328">
        <v>1060</v>
      </c>
      <c r="B1328" s="1">
        <v>45000</v>
      </c>
      <c r="C1328" t="s">
        <v>22</v>
      </c>
      <c r="D1328" t="s">
        <v>23</v>
      </c>
      <c r="E1328">
        <v>106142.36</v>
      </c>
      <c r="F1328">
        <v>44</v>
      </c>
      <c r="G1328" t="s">
        <v>26</v>
      </c>
      <c r="H1328">
        <v>2211.9499999999998</v>
      </c>
      <c r="I1328">
        <v>2512.84</v>
      </c>
      <c r="J1328" t="s">
        <v>17</v>
      </c>
      <c r="K1328">
        <v>0.04</v>
      </c>
      <c r="L1328" t="s">
        <v>18</v>
      </c>
      <c r="M1328" t="s">
        <v>19</v>
      </c>
    </row>
    <row r="1329" spans="1:13" x14ac:dyDescent="0.35">
      <c r="A1329">
        <v>1098</v>
      </c>
      <c r="B1329" s="1">
        <v>45001</v>
      </c>
      <c r="C1329" t="s">
        <v>22</v>
      </c>
      <c r="D1329" t="s">
        <v>23</v>
      </c>
      <c r="E1329">
        <v>9330.76</v>
      </c>
      <c r="F1329">
        <v>11</v>
      </c>
      <c r="G1329" t="s">
        <v>16</v>
      </c>
      <c r="H1329">
        <v>741.48</v>
      </c>
      <c r="I1329">
        <v>878.09</v>
      </c>
      <c r="J1329" t="s">
        <v>27</v>
      </c>
      <c r="K1329">
        <v>0.03</v>
      </c>
      <c r="L1329" t="s">
        <v>18</v>
      </c>
      <c r="M1329" t="s">
        <v>21</v>
      </c>
    </row>
    <row r="1330" spans="1:13" x14ac:dyDescent="0.35">
      <c r="A1330">
        <v>1039</v>
      </c>
      <c r="B1330" s="1">
        <v>45001</v>
      </c>
      <c r="C1330" t="s">
        <v>32</v>
      </c>
      <c r="D1330" t="s">
        <v>15</v>
      </c>
      <c r="E1330">
        <v>100208.75</v>
      </c>
      <c r="F1330">
        <v>35</v>
      </c>
      <c r="G1330" t="s">
        <v>16</v>
      </c>
      <c r="H1330">
        <v>2735.74</v>
      </c>
      <c r="I1330">
        <v>3181.23</v>
      </c>
      <c r="J1330" t="s">
        <v>27</v>
      </c>
      <c r="K1330">
        <v>0.1</v>
      </c>
      <c r="L1330" t="s">
        <v>28</v>
      </c>
      <c r="M1330" t="s">
        <v>21</v>
      </c>
    </row>
    <row r="1331" spans="1:13" x14ac:dyDescent="0.35">
      <c r="A1331">
        <v>1062</v>
      </c>
      <c r="B1331" s="1">
        <v>45001</v>
      </c>
      <c r="C1331" t="s">
        <v>22</v>
      </c>
      <c r="D1331" t="s">
        <v>20</v>
      </c>
      <c r="E1331">
        <v>228136.03</v>
      </c>
      <c r="F1331">
        <v>45</v>
      </c>
      <c r="G1331" t="s">
        <v>16</v>
      </c>
      <c r="H1331">
        <v>4849.6000000000004</v>
      </c>
      <c r="I1331">
        <v>5166.72</v>
      </c>
      <c r="J1331" t="s">
        <v>17</v>
      </c>
      <c r="K1331">
        <v>0.02</v>
      </c>
      <c r="L1331" t="s">
        <v>28</v>
      </c>
      <c r="M1331" t="s">
        <v>19</v>
      </c>
    </row>
    <row r="1332" spans="1:13" x14ac:dyDescent="0.35">
      <c r="A1332">
        <v>1097</v>
      </c>
      <c r="B1332" s="1">
        <v>45001</v>
      </c>
      <c r="C1332" t="s">
        <v>22</v>
      </c>
      <c r="D1332" t="s">
        <v>23</v>
      </c>
      <c r="E1332">
        <v>78698.66</v>
      </c>
      <c r="F1332">
        <v>35</v>
      </c>
      <c r="G1332" t="s">
        <v>24</v>
      </c>
      <c r="H1332">
        <v>1958.49</v>
      </c>
      <c r="I1332">
        <v>2254.84</v>
      </c>
      <c r="J1332" t="s">
        <v>27</v>
      </c>
      <c r="K1332">
        <v>0</v>
      </c>
      <c r="L1332" t="s">
        <v>28</v>
      </c>
      <c r="M1332" t="s">
        <v>19</v>
      </c>
    </row>
    <row r="1333" spans="1:13" x14ac:dyDescent="0.35">
      <c r="A1333">
        <v>1017</v>
      </c>
      <c r="B1333" s="1">
        <v>45002</v>
      </c>
      <c r="C1333" t="s">
        <v>14</v>
      </c>
      <c r="D1333" t="s">
        <v>15</v>
      </c>
      <c r="E1333">
        <v>106289.44</v>
      </c>
      <c r="F1333">
        <v>28</v>
      </c>
      <c r="G1333" t="s">
        <v>26</v>
      </c>
      <c r="H1333">
        <v>3780.91</v>
      </c>
      <c r="I1333">
        <v>3892.73</v>
      </c>
      <c r="J1333" t="s">
        <v>17</v>
      </c>
      <c r="K1333">
        <v>0.02</v>
      </c>
      <c r="L1333" t="s">
        <v>18</v>
      </c>
      <c r="M1333" t="s">
        <v>21</v>
      </c>
    </row>
    <row r="1334" spans="1:13" x14ac:dyDescent="0.35">
      <c r="A1334">
        <v>1036</v>
      </c>
      <c r="B1334" s="1">
        <v>45002</v>
      </c>
      <c r="C1334" t="s">
        <v>33</v>
      </c>
      <c r="D1334" t="s">
        <v>30</v>
      </c>
      <c r="E1334">
        <v>83486.7</v>
      </c>
      <c r="F1334">
        <v>23</v>
      </c>
      <c r="G1334" t="s">
        <v>24</v>
      </c>
      <c r="H1334">
        <v>3335.53</v>
      </c>
      <c r="I1334">
        <v>3742.12</v>
      </c>
      <c r="J1334" t="s">
        <v>27</v>
      </c>
      <c r="K1334">
        <v>0.03</v>
      </c>
      <c r="L1334" t="s">
        <v>25</v>
      </c>
      <c r="M1334" t="s">
        <v>21</v>
      </c>
    </row>
    <row r="1335" spans="1:13" x14ac:dyDescent="0.35">
      <c r="A1335">
        <v>1024</v>
      </c>
      <c r="B1335" s="1">
        <v>45002</v>
      </c>
      <c r="C1335" t="s">
        <v>32</v>
      </c>
      <c r="D1335" t="s">
        <v>23</v>
      </c>
      <c r="E1335">
        <v>106501.88</v>
      </c>
      <c r="F1335">
        <v>46</v>
      </c>
      <c r="G1335" t="s">
        <v>31</v>
      </c>
      <c r="H1335">
        <v>2016.49</v>
      </c>
      <c r="I1335">
        <v>2338.66</v>
      </c>
      <c r="J1335" t="s">
        <v>17</v>
      </c>
      <c r="K1335">
        <v>0.01</v>
      </c>
      <c r="L1335" t="s">
        <v>25</v>
      </c>
      <c r="M1335" t="s">
        <v>21</v>
      </c>
    </row>
    <row r="1336" spans="1:13" x14ac:dyDescent="0.35">
      <c r="A1336">
        <v>1016</v>
      </c>
      <c r="B1336" s="1">
        <v>45003</v>
      </c>
      <c r="C1336" t="s">
        <v>22</v>
      </c>
      <c r="D1336" t="s">
        <v>23</v>
      </c>
      <c r="E1336">
        <v>3379.12</v>
      </c>
      <c r="F1336">
        <v>4</v>
      </c>
      <c r="G1336" t="s">
        <v>24</v>
      </c>
      <c r="H1336">
        <v>688.98</v>
      </c>
      <c r="I1336">
        <v>863.81</v>
      </c>
      <c r="J1336" t="s">
        <v>27</v>
      </c>
      <c r="K1336">
        <v>0.02</v>
      </c>
      <c r="L1336" t="s">
        <v>28</v>
      </c>
      <c r="M1336" t="s">
        <v>21</v>
      </c>
    </row>
    <row r="1337" spans="1:13" x14ac:dyDescent="0.35">
      <c r="A1337">
        <v>1095</v>
      </c>
      <c r="B1337" s="1">
        <v>45003</v>
      </c>
      <c r="C1337" t="s">
        <v>32</v>
      </c>
      <c r="D1337" t="s">
        <v>23</v>
      </c>
      <c r="E1337">
        <v>58239.83</v>
      </c>
      <c r="F1337">
        <v>43</v>
      </c>
      <c r="G1337" t="s">
        <v>16</v>
      </c>
      <c r="H1337">
        <v>1331.86</v>
      </c>
      <c r="I1337">
        <v>1758.98</v>
      </c>
      <c r="J1337" t="s">
        <v>17</v>
      </c>
      <c r="K1337">
        <v>0.23</v>
      </c>
      <c r="L1337" t="s">
        <v>25</v>
      </c>
      <c r="M1337" t="s">
        <v>21</v>
      </c>
    </row>
    <row r="1338" spans="1:13" x14ac:dyDescent="0.35">
      <c r="A1338">
        <v>1030</v>
      </c>
      <c r="B1338" s="1">
        <v>45004</v>
      </c>
      <c r="C1338" t="s">
        <v>22</v>
      </c>
      <c r="D1338" t="s">
        <v>30</v>
      </c>
      <c r="E1338">
        <v>1887.49</v>
      </c>
      <c r="F1338">
        <v>2</v>
      </c>
      <c r="G1338" t="s">
        <v>26</v>
      </c>
      <c r="H1338">
        <v>844.94</v>
      </c>
      <c r="I1338">
        <v>1225.6400000000001</v>
      </c>
      <c r="J1338" t="s">
        <v>17</v>
      </c>
      <c r="K1338">
        <v>0.23</v>
      </c>
      <c r="L1338" t="s">
        <v>28</v>
      </c>
      <c r="M1338" t="s">
        <v>19</v>
      </c>
    </row>
    <row r="1339" spans="1:13" x14ac:dyDescent="0.35">
      <c r="A1339">
        <v>1035</v>
      </c>
      <c r="B1339" s="1">
        <v>45004</v>
      </c>
      <c r="C1339" t="s">
        <v>14</v>
      </c>
      <c r="D1339" t="s">
        <v>23</v>
      </c>
      <c r="E1339">
        <v>24370.3</v>
      </c>
      <c r="F1339">
        <v>9</v>
      </c>
      <c r="G1339" t="s">
        <v>26</v>
      </c>
      <c r="H1339">
        <v>2534.94</v>
      </c>
      <c r="I1339">
        <v>2755.56</v>
      </c>
      <c r="J1339" t="s">
        <v>17</v>
      </c>
      <c r="K1339">
        <v>0.02</v>
      </c>
      <c r="L1339" t="s">
        <v>28</v>
      </c>
      <c r="M1339" t="s">
        <v>21</v>
      </c>
    </row>
    <row r="1340" spans="1:13" x14ac:dyDescent="0.35">
      <c r="A1340">
        <v>1020</v>
      </c>
      <c r="B1340" s="1">
        <v>45004</v>
      </c>
      <c r="C1340" t="s">
        <v>32</v>
      </c>
      <c r="D1340" t="s">
        <v>20</v>
      </c>
      <c r="E1340">
        <v>35509.589999999997</v>
      </c>
      <c r="F1340">
        <v>19</v>
      </c>
      <c r="G1340" t="s">
        <v>24</v>
      </c>
      <c r="H1340">
        <v>1783.48</v>
      </c>
      <c r="I1340">
        <v>1931.56</v>
      </c>
      <c r="J1340" t="s">
        <v>17</v>
      </c>
      <c r="K1340">
        <v>0.03</v>
      </c>
      <c r="L1340" t="s">
        <v>25</v>
      </c>
      <c r="M1340" t="s">
        <v>21</v>
      </c>
    </row>
    <row r="1341" spans="1:13" x14ac:dyDescent="0.35">
      <c r="A1341">
        <v>1011</v>
      </c>
      <c r="B1341" s="1">
        <v>45005</v>
      </c>
      <c r="C1341" t="s">
        <v>14</v>
      </c>
      <c r="D1341" t="s">
        <v>30</v>
      </c>
      <c r="E1341">
        <v>10185.969999999999</v>
      </c>
      <c r="F1341">
        <v>2</v>
      </c>
      <c r="G1341" t="s">
        <v>16</v>
      </c>
      <c r="H1341">
        <v>4906.17</v>
      </c>
      <c r="I1341">
        <v>5107.43</v>
      </c>
      <c r="J1341" t="s">
        <v>17</v>
      </c>
      <c r="K1341">
        <v>0</v>
      </c>
      <c r="L1341" t="s">
        <v>18</v>
      </c>
      <c r="M1341" t="s">
        <v>19</v>
      </c>
    </row>
    <row r="1342" spans="1:13" x14ac:dyDescent="0.35">
      <c r="A1342">
        <v>1026</v>
      </c>
      <c r="B1342" s="1">
        <v>45005</v>
      </c>
      <c r="C1342" t="s">
        <v>14</v>
      </c>
      <c r="D1342" t="s">
        <v>30</v>
      </c>
      <c r="E1342">
        <v>99060.81</v>
      </c>
      <c r="F1342">
        <v>19</v>
      </c>
      <c r="G1342" t="s">
        <v>31</v>
      </c>
      <c r="H1342">
        <v>4991.68</v>
      </c>
      <c r="I1342">
        <v>5296.65</v>
      </c>
      <c r="J1342" t="s">
        <v>27</v>
      </c>
      <c r="K1342">
        <v>0.02</v>
      </c>
      <c r="L1342" t="s">
        <v>25</v>
      </c>
      <c r="M1342" t="s">
        <v>19</v>
      </c>
    </row>
    <row r="1343" spans="1:13" x14ac:dyDescent="0.35">
      <c r="A1343">
        <v>1069</v>
      </c>
      <c r="B1343" s="1">
        <v>45006</v>
      </c>
      <c r="C1343" t="s">
        <v>14</v>
      </c>
      <c r="D1343" t="s">
        <v>30</v>
      </c>
      <c r="E1343">
        <v>74214.460000000006</v>
      </c>
      <c r="F1343">
        <v>29</v>
      </c>
      <c r="G1343" t="s">
        <v>16</v>
      </c>
      <c r="H1343">
        <v>2462.66</v>
      </c>
      <c r="I1343">
        <v>2908.09</v>
      </c>
      <c r="J1343" t="s">
        <v>27</v>
      </c>
      <c r="K1343">
        <v>0.12</v>
      </c>
      <c r="L1343" t="s">
        <v>28</v>
      </c>
      <c r="M1343" t="s">
        <v>19</v>
      </c>
    </row>
    <row r="1344" spans="1:13" x14ac:dyDescent="0.35">
      <c r="A1344">
        <v>1084</v>
      </c>
      <c r="B1344" s="1">
        <v>45006</v>
      </c>
      <c r="C1344" t="s">
        <v>32</v>
      </c>
      <c r="D1344" t="s">
        <v>23</v>
      </c>
      <c r="E1344">
        <v>119053.12</v>
      </c>
      <c r="F1344">
        <v>40</v>
      </c>
      <c r="G1344" t="s">
        <v>24</v>
      </c>
      <c r="H1344">
        <v>2890.95</v>
      </c>
      <c r="I1344">
        <v>3104.43</v>
      </c>
      <c r="J1344" t="s">
        <v>27</v>
      </c>
      <c r="K1344">
        <v>0.04</v>
      </c>
      <c r="L1344" t="s">
        <v>25</v>
      </c>
      <c r="M1344" t="s">
        <v>19</v>
      </c>
    </row>
    <row r="1345" spans="1:13" x14ac:dyDescent="0.35">
      <c r="A1345">
        <v>1097</v>
      </c>
      <c r="B1345" s="1">
        <v>45007</v>
      </c>
      <c r="C1345" t="s">
        <v>32</v>
      </c>
      <c r="D1345" t="s">
        <v>15</v>
      </c>
      <c r="E1345">
        <v>29526.54</v>
      </c>
      <c r="F1345">
        <v>6</v>
      </c>
      <c r="G1345" t="s">
        <v>31</v>
      </c>
      <c r="H1345">
        <v>4885.9799999999996</v>
      </c>
      <c r="I1345">
        <v>4949.95</v>
      </c>
      <c r="J1345" t="s">
        <v>17</v>
      </c>
      <c r="K1345">
        <v>0.01</v>
      </c>
      <c r="L1345" t="s">
        <v>25</v>
      </c>
      <c r="M1345" t="s">
        <v>19</v>
      </c>
    </row>
    <row r="1346" spans="1:13" x14ac:dyDescent="0.35">
      <c r="A1346">
        <v>1076</v>
      </c>
      <c r="B1346" s="1">
        <v>45007</v>
      </c>
      <c r="C1346" t="s">
        <v>29</v>
      </c>
      <c r="D1346" t="s">
        <v>23</v>
      </c>
      <c r="E1346">
        <v>65498.65</v>
      </c>
      <c r="F1346">
        <v>23</v>
      </c>
      <c r="G1346" t="s">
        <v>24</v>
      </c>
      <c r="H1346">
        <v>2759.16</v>
      </c>
      <c r="I1346">
        <v>2864.45</v>
      </c>
      <c r="J1346" t="s">
        <v>17</v>
      </c>
      <c r="K1346">
        <v>0.01</v>
      </c>
      <c r="L1346" t="s">
        <v>28</v>
      </c>
      <c r="M1346" t="s">
        <v>21</v>
      </c>
    </row>
    <row r="1347" spans="1:13" x14ac:dyDescent="0.35">
      <c r="A1347">
        <v>1061</v>
      </c>
      <c r="B1347" s="1">
        <v>45007</v>
      </c>
      <c r="C1347" t="s">
        <v>33</v>
      </c>
      <c r="D1347" t="s">
        <v>30</v>
      </c>
      <c r="E1347">
        <v>94181</v>
      </c>
      <c r="F1347">
        <v>34</v>
      </c>
      <c r="G1347" t="s">
        <v>26</v>
      </c>
      <c r="H1347">
        <v>2680.82</v>
      </c>
      <c r="I1347">
        <v>2771.02</v>
      </c>
      <c r="J1347" t="s">
        <v>27</v>
      </c>
      <c r="K1347">
        <v>0</v>
      </c>
      <c r="L1347" t="s">
        <v>25</v>
      </c>
      <c r="M1347" t="s">
        <v>19</v>
      </c>
    </row>
    <row r="1348" spans="1:13" x14ac:dyDescent="0.35">
      <c r="A1348">
        <v>1092</v>
      </c>
      <c r="B1348" s="1">
        <v>45008</v>
      </c>
      <c r="C1348" t="s">
        <v>14</v>
      </c>
      <c r="D1348" t="s">
        <v>23</v>
      </c>
      <c r="E1348">
        <v>60738.559999999998</v>
      </c>
      <c r="F1348">
        <v>18</v>
      </c>
      <c r="G1348" t="s">
        <v>24</v>
      </c>
      <c r="H1348">
        <v>3070.47</v>
      </c>
      <c r="I1348">
        <v>3475.29</v>
      </c>
      <c r="J1348" t="s">
        <v>17</v>
      </c>
      <c r="K1348">
        <v>0.03</v>
      </c>
      <c r="L1348" t="s">
        <v>25</v>
      </c>
      <c r="M1348" t="s">
        <v>19</v>
      </c>
    </row>
    <row r="1349" spans="1:13" x14ac:dyDescent="0.35">
      <c r="A1349">
        <v>1031</v>
      </c>
      <c r="B1349" s="1">
        <v>45008</v>
      </c>
      <c r="C1349" t="s">
        <v>32</v>
      </c>
      <c r="D1349" t="s">
        <v>30</v>
      </c>
      <c r="E1349">
        <v>113529.13</v>
      </c>
      <c r="F1349">
        <v>32</v>
      </c>
      <c r="G1349" t="s">
        <v>26</v>
      </c>
      <c r="H1349">
        <v>3351.33</v>
      </c>
      <c r="I1349">
        <v>3711.47</v>
      </c>
      <c r="J1349" t="s">
        <v>27</v>
      </c>
      <c r="K1349">
        <v>0.04</v>
      </c>
      <c r="L1349" t="s">
        <v>18</v>
      </c>
      <c r="M1349" t="s">
        <v>21</v>
      </c>
    </row>
    <row r="1350" spans="1:13" x14ac:dyDescent="0.35">
      <c r="A1350">
        <v>1078</v>
      </c>
      <c r="B1350" s="1">
        <v>45008</v>
      </c>
      <c r="C1350" t="s">
        <v>32</v>
      </c>
      <c r="D1350" t="s">
        <v>20</v>
      </c>
      <c r="E1350">
        <v>87122.39</v>
      </c>
      <c r="F1350">
        <v>33</v>
      </c>
      <c r="G1350" t="s">
        <v>26</v>
      </c>
      <c r="H1350">
        <v>2396.6799999999998</v>
      </c>
      <c r="I1350">
        <v>2661.54</v>
      </c>
      <c r="J1350" t="s">
        <v>27</v>
      </c>
      <c r="K1350">
        <v>0.01</v>
      </c>
      <c r="L1350" t="s">
        <v>25</v>
      </c>
      <c r="M1350" t="s">
        <v>19</v>
      </c>
    </row>
    <row r="1351" spans="1:13" x14ac:dyDescent="0.35">
      <c r="A1351">
        <v>1035</v>
      </c>
      <c r="B1351" s="1">
        <v>45008</v>
      </c>
      <c r="C1351" t="s">
        <v>22</v>
      </c>
      <c r="D1351" t="s">
        <v>30</v>
      </c>
      <c r="E1351">
        <v>47652.7</v>
      </c>
      <c r="F1351">
        <v>30</v>
      </c>
      <c r="G1351" t="s">
        <v>26</v>
      </c>
      <c r="H1351">
        <v>1300.03</v>
      </c>
      <c r="I1351">
        <v>1745.52</v>
      </c>
      <c r="J1351" t="s">
        <v>27</v>
      </c>
      <c r="K1351">
        <v>0.09</v>
      </c>
      <c r="L1351" t="s">
        <v>18</v>
      </c>
      <c r="M1351" t="s">
        <v>21</v>
      </c>
    </row>
    <row r="1352" spans="1:13" x14ac:dyDescent="0.35">
      <c r="A1352">
        <v>1061</v>
      </c>
      <c r="B1352" s="1">
        <v>45009</v>
      </c>
      <c r="C1352" t="s">
        <v>29</v>
      </c>
      <c r="D1352" t="s">
        <v>30</v>
      </c>
      <c r="E1352">
        <v>8603.1</v>
      </c>
      <c r="F1352">
        <v>13</v>
      </c>
      <c r="G1352" t="s">
        <v>31</v>
      </c>
      <c r="H1352">
        <v>637.37</v>
      </c>
      <c r="I1352">
        <v>692.71</v>
      </c>
      <c r="J1352" t="s">
        <v>27</v>
      </c>
      <c r="K1352">
        <v>0.04</v>
      </c>
      <c r="L1352" t="s">
        <v>28</v>
      </c>
      <c r="M1352" t="s">
        <v>19</v>
      </c>
    </row>
    <row r="1353" spans="1:13" x14ac:dyDescent="0.35">
      <c r="A1353">
        <v>1005</v>
      </c>
      <c r="B1353" s="1">
        <v>45010</v>
      </c>
      <c r="C1353" t="s">
        <v>14</v>
      </c>
      <c r="D1353" t="s">
        <v>20</v>
      </c>
      <c r="E1353">
        <v>26149.41</v>
      </c>
      <c r="F1353">
        <v>14</v>
      </c>
      <c r="G1353" t="s">
        <v>26</v>
      </c>
      <c r="H1353">
        <v>1861.2</v>
      </c>
      <c r="I1353">
        <v>2075.35</v>
      </c>
      <c r="J1353" t="s">
        <v>17</v>
      </c>
      <c r="K1353">
        <v>0.1</v>
      </c>
      <c r="L1353" t="s">
        <v>28</v>
      </c>
      <c r="M1353" t="s">
        <v>21</v>
      </c>
    </row>
    <row r="1354" spans="1:13" x14ac:dyDescent="0.35">
      <c r="A1354">
        <v>1053</v>
      </c>
      <c r="B1354" s="1">
        <v>45010</v>
      </c>
      <c r="C1354" t="s">
        <v>14</v>
      </c>
      <c r="D1354" t="s">
        <v>30</v>
      </c>
      <c r="E1354">
        <v>1851.34</v>
      </c>
      <c r="F1354">
        <v>1</v>
      </c>
      <c r="G1354" t="s">
        <v>26</v>
      </c>
      <c r="H1354">
        <v>1702.82</v>
      </c>
      <c r="I1354">
        <v>1862.61</v>
      </c>
      <c r="J1354" t="s">
        <v>17</v>
      </c>
      <c r="K1354">
        <v>0.01</v>
      </c>
      <c r="L1354" t="s">
        <v>18</v>
      </c>
      <c r="M1354" t="s">
        <v>21</v>
      </c>
    </row>
    <row r="1355" spans="1:13" x14ac:dyDescent="0.35">
      <c r="A1355">
        <v>1055</v>
      </c>
      <c r="B1355" s="1">
        <v>45010</v>
      </c>
      <c r="C1355" t="s">
        <v>22</v>
      </c>
      <c r="D1355" t="s">
        <v>30</v>
      </c>
      <c r="E1355">
        <v>27639.38</v>
      </c>
      <c r="F1355">
        <v>11</v>
      </c>
      <c r="G1355" t="s">
        <v>31</v>
      </c>
      <c r="H1355">
        <v>2495.1999999999998</v>
      </c>
      <c r="I1355">
        <v>2600.9299999999998</v>
      </c>
      <c r="J1355" t="s">
        <v>27</v>
      </c>
      <c r="K1355">
        <v>0.03</v>
      </c>
      <c r="L1355" t="s">
        <v>25</v>
      </c>
      <c r="M1355" t="s">
        <v>21</v>
      </c>
    </row>
    <row r="1356" spans="1:13" x14ac:dyDescent="0.35">
      <c r="A1356">
        <v>1092</v>
      </c>
      <c r="B1356" s="1">
        <v>45010</v>
      </c>
      <c r="C1356" t="s">
        <v>33</v>
      </c>
      <c r="D1356" t="s">
        <v>20</v>
      </c>
      <c r="E1356">
        <v>115787.91</v>
      </c>
      <c r="F1356">
        <v>49</v>
      </c>
      <c r="G1356" t="s">
        <v>16</v>
      </c>
      <c r="H1356">
        <v>2315</v>
      </c>
      <c r="I1356">
        <v>2467.2800000000002</v>
      </c>
      <c r="J1356" t="s">
        <v>27</v>
      </c>
      <c r="K1356">
        <v>0.04</v>
      </c>
      <c r="L1356" t="s">
        <v>25</v>
      </c>
      <c r="M1356" t="s">
        <v>21</v>
      </c>
    </row>
    <row r="1357" spans="1:13" x14ac:dyDescent="0.35">
      <c r="A1357">
        <v>1074</v>
      </c>
      <c r="B1357" s="1">
        <v>45010</v>
      </c>
      <c r="C1357" t="s">
        <v>32</v>
      </c>
      <c r="D1357" t="s">
        <v>20</v>
      </c>
      <c r="E1357">
        <v>102878.86</v>
      </c>
      <c r="F1357">
        <v>38</v>
      </c>
      <c r="G1357" t="s">
        <v>24</v>
      </c>
      <c r="H1357">
        <v>2610.6</v>
      </c>
      <c r="I1357">
        <v>2836.94</v>
      </c>
      <c r="J1357" t="s">
        <v>17</v>
      </c>
      <c r="K1357">
        <v>0.05</v>
      </c>
      <c r="L1357" t="s">
        <v>28</v>
      </c>
      <c r="M1357" t="s">
        <v>19</v>
      </c>
    </row>
    <row r="1358" spans="1:13" x14ac:dyDescent="0.35">
      <c r="A1358">
        <v>1049</v>
      </c>
      <c r="B1358" s="1">
        <v>45010</v>
      </c>
      <c r="C1358" t="s">
        <v>32</v>
      </c>
      <c r="D1358" t="s">
        <v>30</v>
      </c>
      <c r="E1358">
        <v>16557.28</v>
      </c>
      <c r="F1358">
        <v>17</v>
      </c>
      <c r="G1358" t="s">
        <v>31</v>
      </c>
      <c r="H1358">
        <v>558.70000000000005</v>
      </c>
      <c r="I1358">
        <v>1004.08</v>
      </c>
      <c r="J1358" t="s">
        <v>17</v>
      </c>
      <c r="K1358">
        <v>0.03</v>
      </c>
      <c r="L1358" t="s">
        <v>28</v>
      </c>
      <c r="M1358" t="s">
        <v>19</v>
      </c>
    </row>
    <row r="1359" spans="1:13" x14ac:dyDescent="0.35">
      <c r="A1359">
        <v>1097</v>
      </c>
      <c r="B1359" s="1">
        <v>45011</v>
      </c>
      <c r="C1359" t="s">
        <v>22</v>
      </c>
      <c r="D1359" t="s">
        <v>30</v>
      </c>
      <c r="E1359">
        <v>16107.29</v>
      </c>
      <c r="F1359">
        <v>7</v>
      </c>
      <c r="G1359" t="s">
        <v>26</v>
      </c>
      <c r="H1359">
        <v>1896.35</v>
      </c>
      <c r="I1359">
        <v>2394.1999999999998</v>
      </c>
      <c r="J1359" t="s">
        <v>27</v>
      </c>
      <c r="K1359">
        <v>0.04</v>
      </c>
      <c r="L1359" t="s">
        <v>25</v>
      </c>
      <c r="M1359" t="s">
        <v>19</v>
      </c>
    </row>
    <row r="1360" spans="1:13" x14ac:dyDescent="0.35">
      <c r="A1360">
        <v>1010</v>
      </c>
      <c r="B1360" s="1">
        <v>45012</v>
      </c>
      <c r="C1360" t="s">
        <v>32</v>
      </c>
      <c r="D1360" t="s">
        <v>23</v>
      </c>
      <c r="E1360">
        <v>164684.07999999999</v>
      </c>
      <c r="F1360">
        <v>37</v>
      </c>
      <c r="G1360" t="s">
        <v>26</v>
      </c>
      <c r="H1360">
        <v>4354.92</v>
      </c>
      <c r="I1360">
        <v>4495.88</v>
      </c>
      <c r="J1360" t="s">
        <v>17</v>
      </c>
      <c r="K1360">
        <v>0.01</v>
      </c>
      <c r="L1360" t="s">
        <v>25</v>
      </c>
      <c r="M1360" t="s">
        <v>19</v>
      </c>
    </row>
    <row r="1361" spans="1:13" x14ac:dyDescent="0.35">
      <c r="A1361">
        <v>1069</v>
      </c>
      <c r="B1361" s="1">
        <v>45012</v>
      </c>
      <c r="C1361" t="s">
        <v>22</v>
      </c>
      <c r="D1361" t="s">
        <v>30</v>
      </c>
      <c r="E1361">
        <v>202933.18</v>
      </c>
      <c r="F1361">
        <v>47</v>
      </c>
      <c r="G1361" t="s">
        <v>31</v>
      </c>
      <c r="H1361">
        <v>4171.83</v>
      </c>
      <c r="I1361">
        <v>4320.93</v>
      </c>
      <c r="J1361" t="s">
        <v>27</v>
      </c>
      <c r="K1361">
        <v>0</v>
      </c>
      <c r="L1361" t="s">
        <v>18</v>
      </c>
      <c r="M1361" t="s">
        <v>19</v>
      </c>
    </row>
    <row r="1362" spans="1:13" x14ac:dyDescent="0.35">
      <c r="A1362">
        <v>1096</v>
      </c>
      <c r="B1362" s="1">
        <v>45012</v>
      </c>
      <c r="C1362" t="s">
        <v>33</v>
      </c>
      <c r="D1362" t="s">
        <v>15</v>
      </c>
      <c r="E1362">
        <v>128974.98</v>
      </c>
      <c r="F1362">
        <v>48</v>
      </c>
      <c r="G1362" t="s">
        <v>26</v>
      </c>
      <c r="H1362">
        <v>2449.21</v>
      </c>
      <c r="I1362">
        <v>2714.12</v>
      </c>
      <c r="J1362" t="s">
        <v>27</v>
      </c>
      <c r="K1362">
        <v>0.01</v>
      </c>
      <c r="L1362" t="s">
        <v>28</v>
      </c>
      <c r="M1362" t="s">
        <v>19</v>
      </c>
    </row>
    <row r="1363" spans="1:13" x14ac:dyDescent="0.35">
      <c r="A1363">
        <v>1066</v>
      </c>
      <c r="B1363" s="1">
        <v>45013</v>
      </c>
      <c r="C1363" t="s">
        <v>29</v>
      </c>
      <c r="D1363" t="s">
        <v>15</v>
      </c>
      <c r="E1363">
        <v>4291.3500000000004</v>
      </c>
      <c r="F1363">
        <v>7</v>
      </c>
      <c r="G1363" t="s">
        <v>26</v>
      </c>
      <c r="H1363">
        <v>523.41999999999996</v>
      </c>
      <c r="I1363">
        <v>632.44000000000005</v>
      </c>
      <c r="J1363" t="s">
        <v>27</v>
      </c>
      <c r="K1363">
        <v>0.03</v>
      </c>
      <c r="L1363" t="s">
        <v>25</v>
      </c>
      <c r="M1363" t="s">
        <v>19</v>
      </c>
    </row>
    <row r="1364" spans="1:13" x14ac:dyDescent="0.35">
      <c r="A1364">
        <v>1045</v>
      </c>
      <c r="B1364" s="1">
        <v>45013</v>
      </c>
      <c r="C1364" t="s">
        <v>32</v>
      </c>
      <c r="D1364" t="s">
        <v>20</v>
      </c>
      <c r="E1364">
        <v>9657.73</v>
      </c>
      <c r="F1364">
        <v>14</v>
      </c>
      <c r="G1364" t="s">
        <v>26</v>
      </c>
      <c r="H1364">
        <v>635.28</v>
      </c>
      <c r="I1364">
        <v>831.13</v>
      </c>
      <c r="J1364" t="s">
        <v>17</v>
      </c>
      <c r="K1364">
        <v>0.17</v>
      </c>
      <c r="L1364" t="s">
        <v>25</v>
      </c>
      <c r="M1364" t="s">
        <v>21</v>
      </c>
    </row>
    <row r="1365" spans="1:13" x14ac:dyDescent="0.35">
      <c r="A1365">
        <v>1063</v>
      </c>
      <c r="B1365" s="1">
        <v>45013</v>
      </c>
      <c r="C1365" t="s">
        <v>29</v>
      </c>
      <c r="D1365" t="s">
        <v>23</v>
      </c>
      <c r="E1365">
        <v>61721.35</v>
      </c>
      <c r="F1365">
        <v>42</v>
      </c>
      <c r="G1365" t="s">
        <v>24</v>
      </c>
      <c r="H1365">
        <v>1170.07</v>
      </c>
      <c r="I1365">
        <v>1669.95</v>
      </c>
      <c r="J1365" t="s">
        <v>17</v>
      </c>
      <c r="K1365">
        <v>0.12</v>
      </c>
      <c r="L1365" t="s">
        <v>25</v>
      </c>
      <c r="M1365" t="s">
        <v>21</v>
      </c>
    </row>
    <row r="1366" spans="1:13" x14ac:dyDescent="0.35">
      <c r="A1366">
        <v>1022</v>
      </c>
      <c r="B1366" s="1">
        <v>45014</v>
      </c>
      <c r="C1366" t="s">
        <v>14</v>
      </c>
      <c r="D1366" t="s">
        <v>20</v>
      </c>
      <c r="E1366">
        <v>182098.57</v>
      </c>
      <c r="F1366">
        <v>45</v>
      </c>
      <c r="G1366" t="s">
        <v>16</v>
      </c>
      <c r="H1366">
        <v>4020.09</v>
      </c>
      <c r="I1366">
        <v>4087.91</v>
      </c>
      <c r="J1366" t="s">
        <v>17</v>
      </c>
      <c r="K1366">
        <v>0.01</v>
      </c>
      <c r="L1366" t="s">
        <v>25</v>
      </c>
      <c r="M1366" t="s">
        <v>19</v>
      </c>
    </row>
    <row r="1367" spans="1:13" x14ac:dyDescent="0.35">
      <c r="A1367">
        <v>1010</v>
      </c>
      <c r="B1367" s="1">
        <v>45014</v>
      </c>
      <c r="C1367" t="s">
        <v>33</v>
      </c>
      <c r="D1367" t="s">
        <v>23</v>
      </c>
      <c r="E1367">
        <v>60155.28</v>
      </c>
      <c r="F1367">
        <v>49</v>
      </c>
      <c r="G1367" t="s">
        <v>24</v>
      </c>
      <c r="H1367">
        <v>1150.3</v>
      </c>
      <c r="I1367">
        <v>1306.02</v>
      </c>
      <c r="J1367" t="s">
        <v>27</v>
      </c>
      <c r="K1367">
        <v>0.06</v>
      </c>
      <c r="L1367" t="s">
        <v>28</v>
      </c>
      <c r="M1367" t="s">
        <v>21</v>
      </c>
    </row>
    <row r="1368" spans="1:13" x14ac:dyDescent="0.35">
      <c r="A1368">
        <v>1009</v>
      </c>
      <c r="B1368" s="1">
        <v>45015</v>
      </c>
      <c r="C1368" t="s">
        <v>29</v>
      </c>
      <c r="D1368" t="s">
        <v>23</v>
      </c>
      <c r="E1368">
        <v>43803.93</v>
      </c>
      <c r="F1368">
        <v>10</v>
      </c>
      <c r="G1368" t="s">
        <v>26</v>
      </c>
      <c r="H1368">
        <v>4364.3500000000004</v>
      </c>
      <c r="I1368">
        <v>4710.1000000000004</v>
      </c>
      <c r="J1368" t="s">
        <v>27</v>
      </c>
      <c r="K1368">
        <v>7.0000000000000007E-2</v>
      </c>
      <c r="L1368" t="s">
        <v>28</v>
      </c>
      <c r="M1368" t="s">
        <v>19</v>
      </c>
    </row>
    <row r="1369" spans="1:13" x14ac:dyDescent="0.35">
      <c r="A1369">
        <v>1007</v>
      </c>
      <c r="B1369" s="1">
        <v>45015</v>
      </c>
      <c r="C1369" t="s">
        <v>22</v>
      </c>
      <c r="D1369" t="s">
        <v>30</v>
      </c>
      <c r="E1369">
        <v>17567.66</v>
      </c>
      <c r="F1369">
        <v>14</v>
      </c>
      <c r="G1369" t="s">
        <v>16</v>
      </c>
      <c r="H1369">
        <v>1122.07</v>
      </c>
      <c r="I1369">
        <v>1608.76</v>
      </c>
      <c r="J1369" t="s">
        <v>27</v>
      </c>
      <c r="K1369">
        <v>0.22</v>
      </c>
      <c r="L1369" t="s">
        <v>18</v>
      </c>
      <c r="M1369" t="s">
        <v>21</v>
      </c>
    </row>
    <row r="1370" spans="1:13" x14ac:dyDescent="0.35">
      <c r="A1370">
        <v>1005</v>
      </c>
      <c r="B1370" s="1">
        <v>45015</v>
      </c>
      <c r="C1370" t="s">
        <v>33</v>
      </c>
      <c r="D1370" t="s">
        <v>30</v>
      </c>
      <c r="E1370">
        <v>9243.99</v>
      </c>
      <c r="F1370">
        <v>12</v>
      </c>
      <c r="G1370" t="s">
        <v>31</v>
      </c>
      <c r="H1370">
        <v>319.83</v>
      </c>
      <c r="I1370">
        <v>802.43</v>
      </c>
      <c r="J1370" t="s">
        <v>27</v>
      </c>
      <c r="K1370">
        <v>0.04</v>
      </c>
      <c r="L1370" t="s">
        <v>28</v>
      </c>
      <c r="M1370" t="s">
        <v>21</v>
      </c>
    </row>
    <row r="1371" spans="1:13" x14ac:dyDescent="0.35">
      <c r="A1371">
        <v>1085</v>
      </c>
      <c r="B1371" s="1">
        <v>45015</v>
      </c>
      <c r="C1371" t="s">
        <v>22</v>
      </c>
      <c r="D1371" t="s">
        <v>20</v>
      </c>
      <c r="E1371">
        <v>223476.51</v>
      </c>
      <c r="F1371">
        <v>45</v>
      </c>
      <c r="G1371" t="s">
        <v>26</v>
      </c>
      <c r="H1371">
        <v>4763.1099999999997</v>
      </c>
      <c r="I1371">
        <v>5119.91</v>
      </c>
      <c r="J1371" t="s">
        <v>17</v>
      </c>
      <c r="K1371">
        <v>0.03</v>
      </c>
      <c r="L1371" t="s">
        <v>18</v>
      </c>
      <c r="M1371" t="s">
        <v>21</v>
      </c>
    </row>
    <row r="1372" spans="1:13" x14ac:dyDescent="0.35">
      <c r="A1372">
        <v>1025</v>
      </c>
      <c r="B1372" s="1">
        <v>45016</v>
      </c>
      <c r="C1372" t="s">
        <v>22</v>
      </c>
      <c r="D1372" t="s">
        <v>20</v>
      </c>
      <c r="E1372">
        <v>11336.67</v>
      </c>
      <c r="F1372">
        <v>4</v>
      </c>
      <c r="G1372" t="s">
        <v>16</v>
      </c>
      <c r="H1372">
        <v>2751.06</v>
      </c>
      <c r="I1372">
        <v>2976.01</v>
      </c>
      <c r="J1372" t="s">
        <v>17</v>
      </c>
      <c r="K1372">
        <v>0.05</v>
      </c>
      <c r="L1372" t="s">
        <v>28</v>
      </c>
      <c r="M1372" t="s">
        <v>19</v>
      </c>
    </row>
    <row r="1373" spans="1:13" x14ac:dyDescent="0.35">
      <c r="A1373">
        <v>1004</v>
      </c>
      <c r="B1373" s="1">
        <v>45016</v>
      </c>
      <c r="C1373" t="s">
        <v>29</v>
      </c>
      <c r="D1373" t="s">
        <v>30</v>
      </c>
      <c r="E1373">
        <v>55023.040000000001</v>
      </c>
      <c r="F1373">
        <v>12</v>
      </c>
      <c r="G1373" t="s">
        <v>26</v>
      </c>
      <c r="H1373">
        <v>4553.2299999999996</v>
      </c>
      <c r="I1373">
        <v>5038.74</v>
      </c>
      <c r="J1373" t="s">
        <v>27</v>
      </c>
      <c r="K1373">
        <v>0.09</v>
      </c>
      <c r="L1373" t="s">
        <v>28</v>
      </c>
      <c r="M1373" t="s">
        <v>21</v>
      </c>
    </row>
    <row r="1374" spans="1:13" x14ac:dyDescent="0.35">
      <c r="A1374">
        <v>1047</v>
      </c>
      <c r="B1374" s="1">
        <v>45016</v>
      </c>
      <c r="C1374" t="s">
        <v>33</v>
      </c>
      <c r="D1374" t="s">
        <v>30</v>
      </c>
      <c r="E1374">
        <v>116257.65</v>
      </c>
      <c r="F1374">
        <v>37</v>
      </c>
      <c r="G1374" t="s">
        <v>31</v>
      </c>
      <c r="H1374">
        <v>3114.88</v>
      </c>
      <c r="I1374">
        <v>3256.78</v>
      </c>
      <c r="J1374" t="s">
        <v>17</v>
      </c>
      <c r="K1374">
        <v>0.04</v>
      </c>
      <c r="L1374" t="s">
        <v>28</v>
      </c>
      <c r="M1374" t="s">
        <v>19</v>
      </c>
    </row>
    <row r="1375" spans="1:13" x14ac:dyDescent="0.35">
      <c r="A1375">
        <v>1016</v>
      </c>
      <c r="B1375" s="1">
        <v>45016</v>
      </c>
      <c r="C1375" t="s">
        <v>32</v>
      </c>
      <c r="D1375" t="s">
        <v>30</v>
      </c>
      <c r="E1375">
        <v>152886.96</v>
      </c>
      <c r="F1375">
        <v>38</v>
      </c>
      <c r="G1375" t="s">
        <v>31</v>
      </c>
      <c r="H1375">
        <v>3883.38</v>
      </c>
      <c r="I1375">
        <v>4152.72</v>
      </c>
      <c r="J1375" t="s">
        <v>17</v>
      </c>
      <c r="K1375">
        <v>0.03</v>
      </c>
      <c r="L1375" t="s">
        <v>18</v>
      </c>
      <c r="M1375" t="s">
        <v>19</v>
      </c>
    </row>
    <row r="1376" spans="1:13" x14ac:dyDescent="0.35">
      <c r="A1376">
        <v>1062</v>
      </c>
      <c r="B1376" s="1">
        <v>45018</v>
      </c>
      <c r="C1376" t="s">
        <v>14</v>
      </c>
      <c r="D1376" t="s">
        <v>30</v>
      </c>
      <c r="E1376">
        <v>15605.3</v>
      </c>
      <c r="F1376">
        <v>10</v>
      </c>
      <c r="G1376" t="s">
        <v>26</v>
      </c>
      <c r="H1376">
        <v>1524.88</v>
      </c>
      <c r="I1376">
        <v>1636.14</v>
      </c>
      <c r="J1376" t="s">
        <v>27</v>
      </c>
      <c r="K1376">
        <v>0.05</v>
      </c>
      <c r="L1376" t="s">
        <v>25</v>
      </c>
      <c r="M1376" t="s">
        <v>19</v>
      </c>
    </row>
    <row r="1377" spans="1:13" x14ac:dyDescent="0.35">
      <c r="A1377">
        <v>1034</v>
      </c>
      <c r="B1377" s="1">
        <v>45018</v>
      </c>
      <c r="C1377" t="s">
        <v>29</v>
      </c>
      <c r="D1377" t="s">
        <v>20</v>
      </c>
      <c r="E1377">
        <v>18715.11</v>
      </c>
      <c r="F1377">
        <v>7</v>
      </c>
      <c r="G1377" t="s">
        <v>31</v>
      </c>
      <c r="H1377">
        <v>2492.36</v>
      </c>
      <c r="I1377">
        <v>2738.68</v>
      </c>
      <c r="J1377" t="s">
        <v>17</v>
      </c>
      <c r="K1377">
        <v>0.02</v>
      </c>
      <c r="L1377" t="s">
        <v>18</v>
      </c>
      <c r="M1377" t="s">
        <v>19</v>
      </c>
    </row>
    <row r="1378" spans="1:13" x14ac:dyDescent="0.35">
      <c r="A1378">
        <v>1059</v>
      </c>
      <c r="B1378" s="1">
        <v>45018</v>
      </c>
      <c r="C1378" t="s">
        <v>32</v>
      </c>
      <c r="D1378" t="s">
        <v>20</v>
      </c>
      <c r="E1378">
        <v>45616.11</v>
      </c>
      <c r="F1378">
        <v>12</v>
      </c>
      <c r="G1378" t="s">
        <v>24</v>
      </c>
      <c r="H1378">
        <v>3496.15</v>
      </c>
      <c r="I1378">
        <v>3955.75</v>
      </c>
      <c r="J1378" t="s">
        <v>17</v>
      </c>
      <c r="K1378">
        <v>0.04</v>
      </c>
      <c r="L1378" t="s">
        <v>18</v>
      </c>
      <c r="M1378" t="s">
        <v>21</v>
      </c>
    </row>
    <row r="1379" spans="1:13" x14ac:dyDescent="0.35">
      <c r="A1379">
        <v>1048</v>
      </c>
      <c r="B1379" s="1">
        <v>45018</v>
      </c>
      <c r="C1379" t="s">
        <v>22</v>
      </c>
      <c r="D1379" t="s">
        <v>23</v>
      </c>
      <c r="E1379">
        <v>195527.48</v>
      </c>
      <c r="F1379">
        <v>45</v>
      </c>
      <c r="G1379" t="s">
        <v>31</v>
      </c>
      <c r="H1379">
        <v>4262.21</v>
      </c>
      <c r="I1379">
        <v>4533.3100000000004</v>
      </c>
      <c r="J1379" t="s">
        <v>17</v>
      </c>
      <c r="K1379">
        <v>0.04</v>
      </c>
      <c r="L1379" t="s">
        <v>28</v>
      </c>
      <c r="M1379" t="s">
        <v>19</v>
      </c>
    </row>
    <row r="1380" spans="1:13" x14ac:dyDescent="0.35">
      <c r="A1380">
        <v>1005</v>
      </c>
      <c r="B1380" s="1">
        <v>45018</v>
      </c>
      <c r="C1380" t="s">
        <v>22</v>
      </c>
      <c r="D1380" t="s">
        <v>23</v>
      </c>
      <c r="E1380">
        <v>227715.75</v>
      </c>
      <c r="F1380">
        <v>46</v>
      </c>
      <c r="G1380" t="s">
        <v>16</v>
      </c>
      <c r="H1380">
        <v>4691.42</v>
      </c>
      <c r="I1380">
        <v>5026.1899999999996</v>
      </c>
      <c r="J1380" t="s">
        <v>17</v>
      </c>
      <c r="K1380">
        <v>0.02</v>
      </c>
      <c r="L1380" t="s">
        <v>25</v>
      </c>
      <c r="M1380" t="s">
        <v>21</v>
      </c>
    </row>
    <row r="1381" spans="1:13" x14ac:dyDescent="0.35">
      <c r="A1381">
        <v>1095</v>
      </c>
      <c r="B1381" s="1">
        <v>45019</v>
      </c>
      <c r="C1381" t="s">
        <v>29</v>
      </c>
      <c r="D1381" t="s">
        <v>30</v>
      </c>
      <c r="E1381">
        <v>24518.5</v>
      </c>
      <c r="F1381">
        <v>9</v>
      </c>
      <c r="G1381" t="s">
        <v>24</v>
      </c>
      <c r="H1381">
        <v>2650.95</v>
      </c>
      <c r="I1381">
        <v>2860.42</v>
      </c>
      <c r="J1381" t="s">
        <v>27</v>
      </c>
      <c r="K1381">
        <v>0.05</v>
      </c>
      <c r="L1381" t="s">
        <v>18</v>
      </c>
      <c r="M1381" t="s">
        <v>21</v>
      </c>
    </row>
    <row r="1382" spans="1:13" x14ac:dyDescent="0.35">
      <c r="A1382">
        <v>1099</v>
      </c>
      <c r="B1382" s="1">
        <v>45019</v>
      </c>
      <c r="C1382" t="s">
        <v>33</v>
      </c>
      <c r="D1382" t="s">
        <v>15</v>
      </c>
      <c r="E1382">
        <v>142141.51999999999</v>
      </c>
      <c r="F1382">
        <v>30</v>
      </c>
      <c r="G1382" t="s">
        <v>16</v>
      </c>
      <c r="H1382">
        <v>4495.82</v>
      </c>
      <c r="I1382">
        <v>4794.01</v>
      </c>
      <c r="J1382" t="s">
        <v>27</v>
      </c>
      <c r="K1382">
        <v>0.01</v>
      </c>
      <c r="L1382" t="s">
        <v>25</v>
      </c>
      <c r="M1382" t="s">
        <v>21</v>
      </c>
    </row>
    <row r="1383" spans="1:13" x14ac:dyDescent="0.35">
      <c r="A1383">
        <v>1051</v>
      </c>
      <c r="B1383" s="1">
        <v>45020</v>
      </c>
      <c r="C1383" t="s">
        <v>14</v>
      </c>
      <c r="D1383" t="s">
        <v>30</v>
      </c>
      <c r="E1383">
        <v>43015.79</v>
      </c>
      <c r="F1383">
        <v>12</v>
      </c>
      <c r="G1383" t="s">
        <v>31</v>
      </c>
      <c r="H1383">
        <v>3544.48</v>
      </c>
      <c r="I1383">
        <v>3723.66</v>
      </c>
      <c r="J1383" t="s">
        <v>17</v>
      </c>
      <c r="K1383">
        <v>0.04</v>
      </c>
      <c r="L1383" t="s">
        <v>18</v>
      </c>
      <c r="M1383" t="s">
        <v>19</v>
      </c>
    </row>
    <row r="1384" spans="1:13" x14ac:dyDescent="0.35">
      <c r="A1384">
        <v>1078</v>
      </c>
      <c r="B1384" s="1">
        <v>45020</v>
      </c>
      <c r="C1384" t="s">
        <v>22</v>
      </c>
      <c r="D1384" t="s">
        <v>30</v>
      </c>
      <c r="E1384">
        <v>100275.42</v>
      </c>
      <c r="F1384">
        <v>49</v>
      </c>
      <c r="G1384" t="s">
        <v>16</v>
      </c>
      <c r="H1384">
        <v>1833.95</v>
      </c>
      <c r="I1384">
        <v>2147.14</v>
      </c>
      <c r="J1384" t="s">
        <v>17</v>
      </c>
      <c r="K1384">
        <v>0.05</v>
      </c>
      <c r="L1384" t="s">
        <v>28</v>
      </c>
      <c r="M1384" t="s">
        <v>21</v>
      </c>
    </row>
    <row r="1385" spans="1:13" x14ac:dyDescent="0.35">
      <c r="A1385">
        <v>1062</v>
      </c>
      <c r="B1385" s="1">
        <v>45021</v>
      </c>
      <c r="C1385" t="s">
        <v>14</v>
      </c>
      <c r="D1385" t="s">
        <v>15</v>
      </c>
      <c r="E1385">
        <v>120467.54</v>
      </c>
      <c r="F1385">
        <v>48</v>
      </c>
      <c r="G1385" t="s">
        <v>24</v>
      </c>
      <c r="H1385">
        <v>2487.19</v>
      </c>
      <c r="I1385">
        <v>2521.4499999999998</v>
      </c>
      <c r="J1385" t="s">
        <v>27</v>
      </c>
      <c r="K1385">
        <v>0</v>
      </c>
      <c r="L1385" t="s">
        <v>18</v>
      </c>
      <c r="M1385" t="s">
        <v>19</v>
      </c>
    </row>
    <row r="1386" spans="1:13" x14ac:dyDescent="0.35">
      <c r="A1386">
        <v>1058</v>
      </c>
      <c r="B1386" s="1">
        <v>45021</v>
      </c>
      <c r="C1386" t="s">
        <v>33</v>
      </c>
      <c r="D1386" t="s">
        <v>15</v>
      </c>
      <c r="E1386">
        <v>34846.370000000003</v>
      </c>
      <c r="F1386">
        <v>33</v>
      </c>
      <c r="G1386" t="s">
        <v>16</v>
      </c>
      <c r="H1386">
        <v>1011.65</v>
      </c>
      <c r="I1386">
        <v>1084.28</v>
      </c>
      <c r="J1386" t="s">
        <v>17</v>
      </c>
      <c r="K1386">
        <v>0.03</v>
      </c>
      <c r="L1386" t="s">
        <v>25</v>
      </c>
      <c r="M1386" t="s">
        <v>21</v>
      </c>
    </row>
    <row r="1387" spans="1:13" x14ac:dyDescent="0.35">
      <c r="A1387">
        <v>1087</v>
      </c>
      <c r="B1387" s="1">
        <v>45021</v>
      </c>
      <c r="C1387" t="s">
        <v>32</v>
      </c>
      <c r="D1387" t="s">
        <v>30</v>
      </c>
      <c r="E1387">
        <v>22399.15</v>
      </c>
      <c r="F1387">
        <v>43</v>
      </c>
      <c r="G1387" t="s">
        <v>16</v>
      </c>
      <c r="H1387">
        <v>481</v>
      </c>
      <c r="I1387">
        <v>531.02</v>
      </c>
      <c r="J1387" t="s">
        <v>27</v>
      </c>
      <c r="K1387">
        <v>0.02</v>
      </c>
      <c r="L1387" t="s">
        <v>18</v>
      </c>
      <c r="M1387" t="s">
        <v>19</v>
      </c>
    </row>
    <row r="1388" spans="1:13" x14ac:dyDescent="0.35">
      <c r="A1388">
        <v>1052</v>
      </c>
      <c r="B1388" s="1">
        <v>45021</v>
      </c>
      <c r="C1388" t="s">
        <v>29</v>
      </c>
      <c r="D1388" t="s">
        <v>23</v>
      </c>
      <c r="E1388">
        <v>129734.01</v>
      </c>
      <c r="F1388">
        <v>26</v>
      </c>
      <c r="G1388" t="s">
        <v>26</v>
      </c>
      <c r="H1388">
        <v>4771.99</v>
      </c>
      <c r="I1388">
        <v>5079.6499999999996</v>
      </c>
      <c r="J1388" t="s">
        <v>27</v>
      </c>
      <c r="K1388">
        <v>0.02</v>
      </c>
      <c r="L1388" t="s">
        <v>28</v>
      </c>
      <c r="M1388" t="s">
        <v>19</v>
      </c>
    </row>
    <row r="1389" spans="1:13" x14ac:dyDescent="0.35">
      <c r="A1389">
        <v>1026</v>
      </c>
      <c r="B1389" s="1">
        <v>45022</v>
      </c>
      <c r="C1389" t="s">
        <v>14</v>
      </c>
      <c r="D1389" t="s">
        <v>23</v>
      </c>
      <c r="E1389">
        <v>17146.8</v>
      </c>
      <c r="F1389">
        <v>4</v>
      </c>
      <c r="G1389" t="s">
        <v>31</v>
      </c>
      <c r="H1389">
        <v>3993.39</v>
      </c>
      <c r="I1389">
        <v>4288.3</v>
      </c>
      <c r="J1389" t="s">
        <v>27</v>
      </c>
      <c r="K1389">
        <v>0</v>
      </c>
      <c r="L1389" t="s">
        <v>28</v>
      </c>
      <c r="M1389" t="s">
        <v>19</v>
      </c>
    </row>
    <row r="1390" spans="1:13" x14ac:dyDescent="0.35">
      <c r="A1390">
        <v>1068</v>
      </c>
      <c r="B1390" s="1">
        <v>45022</v>
      </c>
      <c r="C1390" t="s">
        <v>33</v>
      </c>
      <c r="D1390" t="s">
        <v>23</v>
      </c>
      <c r="E1390">
        <v>102355.01</v>
      </c>
      <c r="F1390">
        <v>31</v>
      </c>
      <c r="G1390" t="s">
        <v>26</v>
      </c>
      <c r="H1390">
        <v>3169.37</v>
      </c>
      <c r="I1390">
        <v>3304.15</v>
      </c>
      <c r="J1390" t="s">
        <v>17</v>
      </c>
      <c r="K1390">
        <v>0</v>
      </c>
      <c r="L1390" t="s">
        <v>28</v>
      </c>
      <c r="M1390" t="s">
        <v>21</v>
      </c>
    </row>
    <row r="1391" spans="1:13" x14ac:dyDescent="0.35">
      <c r="A1391">
        <v>1086</v>
      </c>
      <c r="B1391" s="1">
        <v>45022</v>
      </c>
      <c r="C1391" t="s">
        <v>29</v>
      </c>
      <c r="D1391" t="s">
        <v>20</v>
      </c>
      <c r="E1391">
        <v>125519.67</v>
      </c>
      <c r="F1391">
        <v>32</v>
      </c>
      <c r="G1391" t="s">
        <v>31</v>
      </c>
      <c r="H1391">
        <v>3743.59</v>
      </c>
      <c r="I1391">
        <v>4116.38</v>
      </c>
      <c r="J1391" t="s">
        <v>17</v>
      </c>
      <c r="K1391">
        <v>0.05</v>
      </c>
      <c r="L1391" t="s">
        <v>18</v>
      </c>
      <c r="M1391" t="s">
        <v>19</v>
      </c>
    </row>
    <row r="1392" spans="1:13" x14ac:dyDescent="0.35">
      <c r="A1392">
        <v>1033</v>
      </c>
      <c r="B1392" s="1">
        <v>45023</v>
      </c>
      <c r="C1392" t="s">
        <v>14</v>
      </c>
      <c r="D1392" t="s">
        <v>30</v>
      </c>
      <c r="E1392">
        <v>8057.61</v>
      </c>
      <c r="F1392">
        <v>4</v>
      </c>
      <c r="G1392" t="s">
        <v>24</v>
      </c>
      <c r="H1392">
        <v>2000.75</v>
      </c>
      <c r="I1392">
        <v>2426.9899999999998</v>
      </c>
      <c r="J1392" t="s">
        <v>17</v>
      </c>
      <c r="K1392">
        <v>0.17</v>
      </c>
      <c r="L1392" t="s">
        <v>25</v>
      </c>
      <c r="M1392" t="s">
        <v>19</v>
      </c>
    </row>
    <row r="1393" spans="1:13" x14ac:dyDescent="0.35">
      <c r="A1393">
        <v>1051</v>
      </c>
      <c r="B1393" s="1">
        <v>45023</v>
      </c>
      <c r="C1393" t="s">
        <v>33</v>
      </c>
      <c r="D1393" t="s">
        <v>20</v>
      </c>
      <c r="E1393">
        <v>77291.58</v>
      </c>
      <c r="F1393">
        <v>23</v>
      </c>
      <c r="G1393" t="s">
        <v>31</v>
      </c>
      <c r="H1393">
        <v>3325.43</v>
      </c>
      <c r="I1393">
        <v>3401.1</v>
      </c>
      <c r="J1393" t="s">
        <v>27</v>
      </c>
      <c r="K1393">
        <v>0.01</v>
      </c>
      <c r="L1393" t="s">
        <v>18</v>
      </c>
      <c r="M1393" t="s">
        <v>19</v>
      </c>
    </row>
    <row r="1394" spans="1:13" x14ac:dyDescent="0.35">
      <c r="A1394">
        <v>1098</v>
      </c>
      <c r="B1394" s="1">
        <v>45024</v>
      </c>
      <c r="C1394" t="s">
        <v>32</v>
      </c>
      <c r="D1394" t="s">
        <v>15</v>
      </c>
      <c r="E1394">
        <v>15448.88</v>
      </c>
      <c r="F1394">
        <v>5</v>
      </c>
      <c r="G1394" t="s">
        <v>31</v>
      </c>
      <c r="H1394">
        <v>2947.22</v>
      </c>
      <c r="I1394">
        <v>3145.27</v>
      </c>
      <c r="J1394" t="s">
        <v>27</v>
      </c>
      <c r="K1394">
        <v>0.02</v>
      </c>
      <c r="L1394" t="s">
        <v>28</v>
      </c>
      <c r="M1394" t="s">
        <v>21</v>
      </c>
    </row>
    <row r="1395" spans="1:13" x14ac:dyDescent="0.35">
      <c r="A1395">
        <v>1009</v>
      </c>
      <c r="B1395" s="1">
        <v>45024</v>
      </c>
      <c r="C1395" t="s">
        <v>29</v>
      </c>
      <c r="D1395" t="s">
        <v>23</v>
      </c>
      <c r="E1395">
        <v>104612.91</v>
      </c>
      <c r="F1395">
        <v>32</v>
      </c>
      <c r="G1395" t="s">
        <v>26</v>
      </c>
      <c r="H1395">
        <v>3219.88</v>
      </c>
      <c r="I1395">
        <v>3384.5</v>
      </c>
      <c r="J1395" t="s">
        <v>17</v>
      </c>
      <c r="K1395">
        <v>0.03</v>
      </c>
      <c r="L1395" t="s">
        <v>18</v>
      </c>
      <c r="M1395" t="s">
        <v>21</v>
      </c>
    </row>
    <row r="1396" spans="1:13" x14ac:dyDescent="0.35">
      <c r="A1396">
        <v>1007</v>
      </c>
      <c r="B1396" s="1">
        <v>45024</v>
      </c>
      <c r="C1396" t="s">
        <v>29</v>
      </c>
      <c r="D1396" t="s">
        <v>30</v>
      </c>
      <c r="E1396">
        <v>50744.49</v>
      </c>
      <c r="F1396">
        <v>13</v>
      </c>
      <c r="G1396" t="s">
        <v>26</v>
      </c>
      <c r="H1396">
        <v>3597.2</v>
      </c>
      <c r="I1396">
        <v>4071.82</v>
      </c>
      <c r="J1396" t="s">
        <v>17</v>
      </c>
      <c r="K1396">
        <v>0.04</v>
      </c>
      <c r="L1396" t="s">
        <v>25</v>
      </c>
      <c r="M1396" t="s">
        <v>19</v>
      </c>
    </row>
    <row r="1397" spans="1:13" x14ac:dyDescent="0.35">
      <c r="A1397">
        <v>1061</v>
      </c>
      <c r="B1397" s="1">
        <v>45024</v>
      </c>
      <c r="C1397" t="s">
        <v>29</v>
      </c>
      <c r="D1397" t="s">
        <v>30</v>
      </c>
      <c r="E1397">
        <v>39733.83</v>
      </c>
      <c r="F1397">
        <v>29</v>
      </c>
      <c r="G1397" t="s">
        <v>26</v>
      </c>
      <c r="H1397">
        <v>1221.74</v>
      </c>
      <c r="I1397">
        <v>1611.92</v>
      </c>
      <c r="J1397" t="s">
        <v>27</v>
      </c>
      <c r="K1397">
        <v>0.15</v>
      </c>
      <c r="L1397" t="s">
        <v>18</v>
      </c>
      <c r="M1397" t="s">
        <v>21</v>
      </c>
    </row>
    <row r="1398" spans="1:13" x14ac:dyDescent="0.35">
      <c r="A1398">
        <v>1096</v>
      </c>
      <c r="B1398" s="1">
        <v>45024</v>
      </c>
      <c r="C1398" t="s">
        <v>29</v>
      </c>
      <c r="D1398" t="s">
        <v>23</v>
      </c>
      <c r="E1398">
        <v>20614.05</v>
      </c>
      <c r="F1398">
        <v>45</v>
      </c>
      <c r="G1398" t="s">
        <v>26</v>
      </c>
      <c r="H1398">
        <v>357.92</v>
      </c>
      <c r="I1398">
        <v>461.3</v>
      </c>
      <c r="J1398" t="s">
        <v>17</v>
      </c>
      <c r="K1398">
        <v>0.01</v>
      </c>
      <c r="L1398" t="s">
        <v>18</v>
      </c>
      <c r="M1398" t="s">
        <v>19</v>
      </c>
    </row>
    <row r="1399" spans="1:13" x14ac:dyDescent="0.35">
      <c r="A1399">
        <v>1059</v>
      </c>
      <c r="B1399" s="1">
        <v>45025</v>
      </c>
      <c r="C1399" t="s">
        <v>29</v>
      </c>
      <c r="D1399" t="s">
        <v>23</v>
      </c>
      <c r="E1399">
        <v>465.47</v>
      </c>
      <c r="F1399">
        <v>1</v>
      </c>
      <c r="G1399" t="s">
        <v>31</v>
      </c>
      <c r="H1399">
        <v>332.62</v>
      </c>
      <c r="I1399">
        <v>612.46</v>
      </c>
      <c r="J1399" t="s">
        <v>17</v>
      </c>
      <c r="K1399">
        <v>0.24</v>
      </c>
      <c r="L1399" t="s">
        <v>18</v>
      </c>
      <c r="M1399" t="s">
        <v>21</v>
      </c>
    </row>
    <row r="1400" spans="1:13" x14ac:dyDescent="0.35">
      <c r="A1400">
        <v>1039</v>
      </c>
      <c r="B1400" s="1">
        <v>45025</v>
      </c>
      <c r="C1400" t="s">
        <v>33</v>
      </c>
      <c r="D1400" t="s">
        <v>15</v>
      </c>
      <c r="E1400">
        <v>1358.33</v>
      </c>
      <c r="F1400">
        <v>3</v>
      </c>
      <c r="G1400" t="s">
        <v>24</v>
      </c>
      <c r="H1400">
        <v>391.19</v>
      </c>
      <c r="I1400">
        <v>471.75</v>
      </c>
      <c r="J1400" t="s">
        <v>17</v>
      </c>
      <c r="K1400">
        <v>0.04</v>
      </c>
      <c r="L1400" t="s">
        <v>18</v>
      </c>
      <c r="M1400" t="s">
        <v>19</v>
      </c>
    </row>
    <row r="1401" spans="1:13" x14ac:dyDescent="0.35">
      <c r="A1401">
        <v>1002</v>
      </c>
      <c r="B1401" s="1">
        <v>45027</v>
      </c>
      <c r="C1401" t="s">
        <v>14</v>
      </c>
      <c r="D1401" t="s">
        <v>15</v>
      </c>
      <c r="E1401">
        <v>20001.39</v>
      </c>
      <c r="F1401">
        <v>21</v>
      </c>
      <c r="G1401" t="s">
        <v>24</v>
      </c>
      <c r="H1401">
        <v>914.22</v>
      </c>
      <c r="I1401">
        <v>971.57</v>
      </c>
      <c r="J1401" t="s">
        <v>17</v>
      </c>
      <c r="K1401">
        <v>0.02</v>
      </c>
      <c r="L1401" t="s">
        <v>18</v>
      </c>
      <c r="M1401" t="s">
        <v>19</v>
      </c>
    </row>
    <row r="1402" spans="1:13" x14ac:dyDescent="0.35">
      <c r="A1402">
        <v>1083</v>
      </c>
      <c r="B1402" s="1">
        <v>45027</v>
      </c>
      <c r="C1402" t="s">
        <v>14</v>
      </c>
      <c r="D1402" t="s">
        <v>20</v>
      </c>
      <c r="E1402">
        <v>72419.179999999993</v>
      </c>
      <c r="F1402">
        <v>29</v>
      </c>
      <c r="G1402" t="s">
        <v>16</v>
      </c>
      <c r="H1402">
        <v>2408.81</v>
      </c>
      <c r="I1402">
        <v>2624.09</v>
      </c>
      <c r="J1402" t="s">
        <v>17</v>
      </c>
      <c r="K1402">
        <v>0.05</v>
      </c>
      <c r="L1402" t="s">
        <v>18</v>
      </c>
      <c r="M1402" t="s">
        <v>19</v>
      </c>
    </row>
    <row r="1403" spans="1:13" x14ac:dyDescent="0.35">
      <c r="A1403">
        <v>1067</v>
      </c>
      <c r="B1403" s="1">
        <v>45027</v>
      </c>
      <c r="C1403" t="s">
        <v>14</v>
      </c>
      <c r="D1403" t="s">
        <v>30</v>
      </c>
      <c r="E1403">
        <v>53403.79</v>
      </c>
      <c r="F1403">
        <v>17</v>
      </c>
      <c r="G1403" t="s">
        <v>24</v>
      </c>
      <c r="H1403">
        <v>2831.58</v>
      </c>
      <c r="I1403">
        <v>3186.15</v>
      </c>
      <c r="J1403" t="s">
        <v>27</v>
      </c>
      <c r="K1403">
        <v>0.01</v>
      </c>
      <c r="L1403" t="s">
        <v>25</v>
      </c>
      <c r="M1403" t="s">
        <v>21</v>
      </c>
    </row>
    <row r="1404" spans="1:13" x14ac:dyDescent="0.35">
      <c r="A1404">
        <v>1014</v>
      </c>
      <c r="B1404" s="1">
        <v>45027</v>
      </c>
      <c r="C1404" t="s">
        <v>33</v>
      </c>
      <c r="D1404" t="s">
        <v>23</v>
      </c>
      <c r="E1404">
        <v>95065.74</v>
      </c>
      <c r="F1404">
        <v>38</v>
      </c>
      <c r="G1404" t="s">
        <v>24</v>
      </c>
      <c r="H1404">
        <v>2091.21</v>
      </c>
      <c r="I1404">
        <v>2527</v>
      </c>
      <c r="J1404" t="s">
        <v>17</v>
      </c>
      <c r="K1404">
        <v>0.01</v>
      </c>
      <c r="L1404" t="s">
        <v>28</v>
      </c>
      <c r="M1404" t="s">
        <v>19</v>
      </c>
    </row>
    <row r="1405" spans="1:13" x14ac:dyDescent="0.35">
      <c r="A1405">
        <v>1081</v>
      </c>
      <c r="B1405" s="1">
        <v>45028</v>
      </c>
      <c r="C1405" t="s">
        <v>14</v>
      </c>
      <c r="D1405" t="s">
        <v>23</v>
      </c>
      <c r="E1405">
        <v>46758.14</v>
      </c>
      <c r="F1405">
        <v>19</v>
      </c>
      <c r="G1405" t="s">
        <v>24</v>
      </c>
      <c r="H1405">
        <v>2443.69</v>
      </c>
      <c r="I1405">
        <v>2462.34</v>
      </c>
      <c r="J1405" t="s">
        <v>27</v>
      </c>
      <c r="K1405">
        <v>0</v>
      </c>
      <c r="L1405" t="s">
        <v>25</v>
      </c>
      <c r="M1405" t="s">
        <v>21</v>
      </c>
    </row>
    <row r="1406" spans="1:13" x14ac:dyDescent="0.35">
      <c r="A1406">
        <v>1063</v>
      </c>
      <c r="B1406" s="1">
        <v>45028</v>
      </c>
      <c r="C1406" t="s">
        <v>29</v>
      </c>
      <c r="D1406" t="s">
        <v>15</v>
      </c>
      <c r="E1406">
        <v>94007.52</v>
      </c>
      <c r="F1406">
        <v>40</v>
      </c>
      <c r="G1406" t="s">
        <v>31</v>
      </c>
      <c r="H1406">
        <v>2101.3200000000002</v>
      </c>
      <c r="I1406">
        <v>2440.63</v>
      </c>
      <c r="J1406" t="s">
        <v>27</v>
      </c>
      <c r="K1406">
        <v>0.04</v>
      </c>
      <c r="L1406" t="s">
        <v>25</v>
      </c>
      <c r="M1406" t="s">
        <v>21</v>
      </c>
    </row>
    <row r="1407" spans="1:13" x14ac:dyDescent="0.35">
      <c r="A1407">
        <v>1008</v>
      </c>
      <c r="B1407" s="1">
        <v>45029</v>
      </c>
      <c r="C1407" t="s">
        <v>29</v>
      </c>
      <c r="D1407" t="s">
        <v>23</v>
      </c>
      <c r="E1407">
        <v>116363.09</v>
      </c>
      <c r="F1407">
        <v>24</v>
      </c>
      <c r="G1407" t="s">
        <v>16</v>
      </c>
      <c r="H1407">
        <v>4739.13</v>
      </c>
      <c r="I1407">
        <v>4868.95</v>
      </c>
      <c r="J1407" t="s">
        <v>27</v>
      </c>
      <c r="K1407">
        <v>0</v>
      </c>
      <c r="L1407" t="s">
        <v>28</v>
      </c>
      <c r="M1407" t="s">
        <v>21</v>
      </c>
    </row>
    <row r="1408" spans="1:13" x14ac:dyDescent="0.35">
      <c r="A1408">
        <v>1091</v>
      </c>
      <c r="B1408" s="1">
        <v>45029</v>
      </c>
      <c r="C1408" t="s">
        <v>32</v>
      </c>
      <c r="D1408" t="s">
        <v>20</v>
      </c>
      <c r="E1408">
        <v>146877.09</v>
      </c>
      <c r="F1408">
        <v>36</v>
      </c>
      <c r="G1408" t="s">
        <v>31</v>
      </c>
      <c r="H1408">
        <v>3951.59</v>
      </c>
      <c r="I1408">
        <v>4387.01</v>
      </c>
      <c r="J1408" t="s">
        <v>27</v>
      </c>
      <c r="K1408">
        <v>7.0000000000000007E-2</v>
      </c>
      <c r="L1408" t="s">
        <v>25</v>
      </c>
      <c r="M1408" t="s">
        <v>21</v>
      </c>
    </row>
    <row r="1409" spans="1:13" x14ac:dyDescent="0.35">
      <c r="A1409">
        <v>1034</v>
      </c>
      <c r="B1409" s="1">
        <v>45030</v>
      </c>
      <c r="C1409" t="s">
        <v>33</v>
      </c>
      <c r="D1409" t="s">
        <v>20</v>
      </c>
      <c r="E1409">
        <v>10524.24</v>
      </c>
      <c r="F1409">
        <v>3</v>
      </c>
      <c r="G1409" t="s">
        <v>26</v>
      </c>
      <c r="H1409">
        <v>3472.51</v>
      </c>
      <c r="I1409">
        <v>3732</v>
      </c>
      <c r="J1409" t="s">
        <v>27</v>
      </c>
      <c r="K1409">
        <v>0.06</v>
      </c>
      <c r="L1409" t="s">
        <v>18</v>
      </c>
      <c r="M1409" t="s">
        <v>19</v>
      </c>
    </row>
    <row r="1410" spans="1:13" x14ac:dyDescent="0.35">
      <c r="A1410">
        <v>1001</v>
      </c>
      <c r="B1410" s="1">
        <v>45030</v>
      </c>
      <c r="C1410" t="s">
        <v>22</v>
      </c>
      <c r="D1410" t="s">
        <v>30</v>
      </c>
      <c r="E1410">
        <v>5564.42</v>
      </c>
      <c r="F1410">
        <v>2</v>
      </c>
      <c r="G1410" t="s">
        <v>31</v>
      </c>
      <c r="H1410">
        <v>2631.68</v>
      </c>
      <c r="I1410">
        <v>2904.06</v>
      </c>
      <c r="J1410" t="s">
        <v>27</v>
      </c>
      <c r="K1410">
        <v>0.04</v>
      </c>
      <c r="L1410" t="s">
        <v>25</v>
      </c>
      <c r="M1410" t="s">
        <v>19</v>
      </c>
    </row>
    <row r="1411" spans="1:13" x14ac:dyDescent="0.35">
      <c r="A1411">
        <v>1052</v>
      </c>
      <c r="B1411" s="1">
        <v>45030</v>
      </c>
      <c r="C1411" t="s">
        <v>22</v>
      </c>
      <c r="D1411" t="s">
        <v>15</v>
      </c>
      <c r="E1411">
        <v>4096.5200000000004</v>
      </c>
      <c r="F1411">
        <v>5</v>
      </c>
      <c r="G1411" t="s">
        <v>16</v>
      </c>
      <c r="H1411">
        <v>745.71</v>
      </c>
      <c r="I1411">
        <v>856.91</v>
      </c>
      <c r="J1411" t="s">
        <v>17</v>
      </c>
      <c r="K1411">
        <v>0.04</v>
      </c>
      <c r="L1411" t="s">
        <v>25</v>
      </c>
      <c r="M1411" t="s">
        <v>21</v>
      </c>
    </row>
    <row r="1412" spans="1:13" x14ac:dyDescent="0.35">
      <c r="A1412">
        <v>1099</v>
      </c>
      <c r="B1412" s="1">
        <v>45030</v>
      </c>
      <c r="C1412" t="s">
        <v>33</v>
      </c>
      <c r="D1412" t="s">
        <v>30</v>
      </c>
      <c r="E1412">
        <v>134504.57</v>
      </c>
      <c r="F1412">
        <v>27</v>
      </c>
      <c r="G1412" t="s">
        <v>24</v>
      </c>
      <c r="H1412">
        <v>4929.55</v>
      </c>
      <c r="I1412">
        <v>4990.33</v>
      </c>
      <c r="J1412" t="s">
        <v>17</v>
      </c>
      <c r="K1412">
        <v>0</v>
      </c>
      <c r="L1412" t="s">
        <v>28</v>
      </c>
      <c r="M1412" t="s">
        <v>19</v>
      </c>
    </row>
    <row r="1413" spans="1:13" x14ac:dyDescent="0.35">
      <c r="A1413">
        <v>1032</v>
      </c>
      <c r="B1413" s="1">
        <v>45030</v>
      </c>
      <c r="C1413" t="s">
        <v>22</v>
      </c>
      <c r="D1413" t="s">
        <v>15</v>
      </c>
      <c r="E1413">
        <v>168791.66</v>
      </c>
      <c r="F1413">
        <v>45</v>
      </c>
      <c r="G1413" t="s">
        <v>26</v>
      </c>
      <c r="H1413">
        <v>3712.35</v>
      </c>
      <c r="I1413">
        <v>3780.88</v>
      </c>
      <c r="J1413" t="s">
        <v>27</v>
      </c>
      <c r="K1413">
        <v>0.01</v>
      </c>
      <c r="L1413" t="s">
        <v>18</v>
      </c>
      <c r="M1413" t="s">
        <v>21</v>
      </c>
    </row>
    <row r="1414" spans="1:13" x14ac:dyDescent="0.35">
      <c r="A1414">
        <v>1047</v>
      </c>
      <c r="B1414" s="1">
        <v>45030</v>
      </c>
      <c r="C1414" t="s">
        <v>32</v>
      </c>
      <c r="D1414" t="s">
        <v>20</v>
      </c>
      <c r="E1414">
        <v>66310.98</v>
      </c>
      <c r="F1414">
        <v>16</v>
      </c>
      <c r="G1414" t="s">
        <v>26</v>
      </c>
      <c r="H1414">
        <v>3966.86</v>
      </c>
      <c r="I1414">
        <v>4321.04</v>
      </c>
      <c r="J1414" t="s">
        <v>17</v>
      </c>
      <c r="K1414">
        <v>0.04</v>
      </c>
      <c r="L1414" t="s">
        <v>28</v>
      </c>
      <c r="M1414" t="s">
        <v>21</v>
      </c>
    </row>
    <row r="1415" spans="1:13" x14ac:dyDescent="0.35">
      <c r="A1415">
        <v>1010</v>
      </c>
      <c r="B1415" s="1">
        <v>45031</v>
      </c>
      <c r="C1415" t="s">
        <v>29</v>
      </c>
      <c r="D1415" t="s">
        <v>15</v>
      </c>
      <c r="E1415">
        <v>21481.19</v>
      </c>
      <c r="F1415">
        <v>4</v>
      </c>
      <c r="G1415" t="s">
        <v>24</v>
      </c>
      <c r="H1415">
        <v>4943.03</v>
      </c>
      <c r="I1415">
        <v>5442.15</v>
      </c>
      <c r="J1415" t="s">
        <v>17</v>
      </c>
      <c r="K1415">
        <v>0.01</v>
      </c>
      <c r="L1415" t="s">
        <v>18</v>
      </c>
      <c r="M1415" t="s">
        <v>19</v>
      </c>
    </row>
    <row r="1416" spans="1:13" x14ac:dyDescent="0.35">
      <c r="A1416">
        <v>1013</v>
      </c>
      <c r="B1416" s="1">
        <v>45031</v>
      </c>
      <c r="C1416" t="s">
        <v>32</v>
      </c>
      <c r="D1416" t="s">
        <v>15</v>
      </c>
      <c r="E1416">
        <v>69741.91</v>
      </c>
      <c r="F1416">
        <v>42</v>
      </c>
      <c r="G1416" t="s">
        <v>16</v>
      </c>
      <c r="H1416">
        <v>1375.57</v>
      </c>
      <c r="I1416">
        <v>1729.71</v>
      </c>
      <c r="J1416" t="s">
        <v>27</v>
      </c>
      <c r="K1416">
        <v>0.04</v>
      </c>
      <c r="L1416" t="s">
        <v>18</v>
      </c>
      <c r="M1416" t="s">
        <v>19</v>
      </c>
    </row>
    <row r="1417" spans="1:13" x14ac:dyDescent="0.35">
      <c r="A1417">
        <v>1027</v>
      </c>
      <c r="B1417" s="1">
        <v>45032</v>
      </c>
      <c r="C1417" t="s">
        <v>33</v>
      </c>
      <c r="D1417" t="s">
        <v>30</v>
      </c>
      <c r="E1417">
        <v>16685</v>
      </c>
      <c r="F1417">
        <v>7</v>
      </c>
      <c r="G1417" t="s">
        <v>24</v>
      </c>
      <c r="H1417">
        <v>2371.85</v>
      </c>
      <c r="I1417">
        <v>2457.29</v>
      </c>
      <c r="J1417" t="s">
        <v>27</v>
      </c>
      <c r="K1417">
        <v>0.03</v>
      </c>
      <c r="L1417" t="s">
        <v>18</v>
      </c>
      <c r="M1417" t="s">
        <v>21</v>
      </c>
    </row>
    <row r="1418" spans="1:13" x14ac:dyDescent="0.35">
      <c r="A1418">
        <v>1081</v>
      </c>
      <c r="B1418" s="1">
        <v>45032</v>
      </c>
      <c r="C1418" t="s">
        <v>29</v>
      </c>
      <c r="D1418" t="s">
        <v>20</v>
      </c>
      <c r="E1418">
        <v>80707.789999999994</v>
      </c>
      <c r="F1418">
        <v>44</v>
      </c>
      <c r="G1418" t="s">
        <v>31</v>
      </c>
      <c r="H1418">
        <v>1362.15</v>
      </c>
      <c r="I1418">
        <v>1844.07</v>
      </c>
      <c r="J1418" t="s">
        <v>27</v>
      </c>
      <c r="K1418">
        <v>0.01</v>
      </c>
      <c r="L1418" t="s">
        <v>28</v>
      </c>
      <c r="M1418" t="s">
        <v>19</v>
      </c>
    </row>
    <row r="1419" spans="1:13" x14ac:dyDescent="0.35">
      <c r="A1419">
        <v>1052</v>
      </c>
      <c r="B1419" s="1">
        <v>45033</v>
      </c>
      <c r="C1419" t="s">
        <v>33</v>
      </c>
      <c r="D1419" t="s">
        <v>23</v>
      </c>
      <c r="E1419">
        <v>4607.71</v>
      </c>
      <c r="F1419">
        <v>2</v>
      </c>
      <c r="G1419" t="s">
        <v>24</v>
      </c>
      <c r="H1419">
        <v>1935.41</v>
      </c>
      <c r="I1419">
        <v>2305.44</v>
      </c>
      <c r="J1419" t="s">
        <v>17</v>
      </c>
      <c r="K1419">
        <v>0</v>
      </c>
      <c r="L1419" t="s">
        <v>28</v>
      </c>
      <c r="M1419" t="s">
        <v>19</v>
      </c>
    </row>
    <row r="1420" spans="1:13" x14ac:dyDescent="0.35">
      <c r="A1420">
        <v>1012</v>
      </c>
      <c r="B1420" s="1">
        <v>45034</v>
      </c>
      <c r="C1420" t="s">
        <v>33</v>
      </c>
      <c r="D1420" t="s">
        <v>23</v>
      </c>
      <c r="E1420">
        <v>8062.63</v>
      </c>
      <c r="F1420">
        <v>9</v>
      </c>
      <c r="G1420" t="s">
        <v>31</v>
      </c>
      <c r="H1420">
        <v>709.97</v>
      </c>
      <c r="I1420">
        <v>1029.71</v>
      </c>
      <c r="J1420" t="s">
        <v>17</v>
      </c>
      <c r="K1420">
        <v>0.13</v>
      </c>
      <c r="L1420" t="s">
        <v>25</v>
      </c>
      <c r="M1420" t="s">
        <v>21</v>
      </c>
    </row>
    <row r="1421" spans="1:13" x14ac:dyDescent="0.35">
      <c r="A1421">
        <v>1035</v>
      </c>
      <c r="B1421" s="1">
        <v>45034</v>
      </c>
      <c r="C1421" t="s">
        <v>22</v>
      </c>
      <c r="D1421" t="s">
        <v>23</v>
      </c>
      <c r="E1421">
        <v>40124.949999999997</v>
      </c>
      <c r="F1421">
        <v>34</v>
      </c>
      <c r="G1421" t="s">
        <v>24</v>
      </c>
      <c r="H1421">
        <v>1105.05</v>
      </c>
      <c r="I1421">
        <v>1200.96</v>
      </c>
      <c r="J1421" t="s">
        <v>17</v>
      </c>
      <c r="K1421">
        <v>0.02</v>
      </c>
      <c r="L1421" t="s">
        <v>18</v>
      </c>
      <c r="M1421" t="s">
        <v>19</v>
      </c>
    </row>
    <row r="1422" spans="1:13" x14ac:dyDescent="0.35">
      <c r="A1422">
        <v>1061</v>
      </c>
      <c r="B1422" s="1">
        <v>45034</v>
      </c>
      <c r="C1422" t="s">
        <v>32</v>
      </c>
      <c r="D1422" t="s">
        <v>15</v>
      </c>
      <c r="E1422">
        <v>22021.96</v>
      </c>
      <c r="F1422">
        <v>47</v>
      </c>
      <c r="G1422" t="s">
        <v>31</v>
      </c>
      <c r="H1422">
        <v>146.27000000000001</v>
      </c>
      <c r="I1422">
        <v>498.46</v>
      </c>
      <c r="J1422" t="s">
        <v>27</v>
      </c>
      <c r="K1422">
        <v>0.06</v>
      </c>
      <c r="L1422" t="s">
        <v>18</v>
      </c>
      <c r="M1422" t="s">
        <v>21</v>
      </c>
    </row>
    <row r="1423" spans="1:13" x14ac:dyDescent="0.35">
      <c r="A1423">
        <v>1033</v>
      </c>
      <c r="B1423" s="1">
        <v>45035</v>
      </c>
      <c r="C1423" t="s">
        <v>14</v>
      </c>
      <c r="D1423" t="s">
        <v>23</v>
      </c>
      <c r="E1423">
        <v>17049.650000000001</v>
      </c>
      <c r="F1423">
        <v>5</v>
      </c>
      <c r="G1423" t="s">
        <v>16</v>
      </c>
      <c r="H1423">
        <v>3162.92</v>
      </c>
      <c r="I1423">
        <v>3409.93</v>
      </c>
      <c r="J1423" t="s">
        <v>27</v>
      </c>
      <c r="K1423">
        <v>0</v>
      </c>
      <c r="L1423" t="s">
        <v>18</v>
      </c>
      <c r="M1423" t="s">
        <v>19</v>
      </c>
    </row>
    <row r="1424" spans="1:13" x14ac:dyDescent="0.35">
      <c r="A1424">
        <v>1044</v>
      </c>
      <c r="B1424" s="1">
        <v>45036</v>
      </c>
      <c r="C1424" t="s">
        <v>29</v>
      </c>
      <c r="D1424" t="s">
        <v>20</v>
      </c>
      <c r="E1424">
        <v>125892.78</v>
      </c>
      <c r="F1424">
        <v>34</v>
      </c>
      <c r="G1424" t="s">
        <v>24</v>
      </c>
      <c r="H1424">
        <v>3573.3</v>
      </c>
      <c r="I1424">
        <v>3740.13</v>
      </c>
      <c r="J1424" t="s">
        <v>17</v>
      </c>
      <c r="K1424">
        <v>0.01</v>
      </c>
      <c r="L1424" t="s">
        <v>28</v>
      </c>
      <c r="M1424" t="s">
        <v>19</v>
      </c>
    </row>
    <row r="1425" spans="1:13" x14ac:dyDescent="0.35">
      <c r="A1425">
        <v>1088</v>
      </c>
      <c r="B1425" s="1">
        <v>45037</v>
      </c>
      <c r="C1425" t="s">
        <v>29</v>
      </c>
      <c r="D1425" t="s">
        <v>30</v>
      </c>
      <c r="E1425">
        <v>22802.400000000001</v>
      </c>
      <c r="F1425">
        <v>29</v>
      </c>
      <c r="G1425" t="s">
        <v>16</v>
      </c>
      <c r="H1425">
        <v>639.58000000000004</v>
      </c>
      <c r="I1425">
        <v>1107.45</v>
      </c>
      <c r="J1425" t="s">
        <v>27</v>
      </c>
      <c r="K1425">
        <v>0.28999999999999998</v>
      </c>
      <c r="L1425" t="s">
        <v>18</v>
      </c>
      <c r="M1425" t="s">
        <v>21</v>
      </c>
    </row>
    <row r="1426" spans="1:13" x14ac:dyDescent="0.35">
      <c r="A1426">
        <v>1090</v>
      </c>
      <c r="B1426" s="1">
        <v>45037</v>
      </c>
      <c r="C1426" t="s">
        <v>22</v>
      </c>
      <c r="D1426" t="s">
        <v>20</v>
      </c>
      <c r="E1426">
        <v>44645.18</v>
      </c>
      <c r="F1426">
        <v>35</v>
      </c>
      <c r="G1426" t="s">
        <v>31</v>
      </c>
      <c r="H1426">
        <v>1130.5999999999999</v>
      </c>
      <c r="I1426">
        <v>1466.18</v>
      </c>
      <c r="J1426" t="s">
        <v>17</v>
      </c>
      <c r="K1426">
        <v>0.13</v>
      </c>
      <c r="L1426" t="s">
        <v>18</v>
      </c>
      <c r="M1426" t="s">
        <v>19</v>
      </c>
    </row>
    <row r="1427" spans="1:13" x14ac:dyDescent="0.35">
      <c r="A1427">
        <v>1093</v>
      </c>
      <c r="B1427" s="1">
        <v>45037</v>
      </c>
      <c r="C1427" t="s">
        <v>14</v>
      </c>
      <c r="D1427" t="s">
        <v>20</v>
      </c>
      <c r="E1427">
        <v>70392.72</v>
      </c>
      <c r="F1427">
        <v>17</v>
      </c>
      <c r="G1427" t="s">
        <v>16</v>
      </c>
      <c r="H1427">
        <v>3816.39</v>
      </c>
      <c r="I1427">
        <v>4209.4399999999996</v>
      </c>
      <c r="J1427" t="s">
        <v>17</v>
      </c>
      <c r="K1427">
        <v>0.02</v>
      </c>
      <c r="L1427" t="s">
        <v>18</v>
      </c>
      <c r="M1427" t="s">
        <v>21</v>
      </c>
    </row>
    <row r="1428" spans="1:13" x14ac:dyDescent="0.35">
      <c r="A1428">
        <v>1047</v>
      </c>
      <c r="B1428" s="1">
        <v>45037</v>
      </c>
      <c r="C1428" t="s">
        <v>32</v>
      </c>
      <c r="D1428" t="s">
        <v>20</v>
      </c>
      <c r="E1428">
        <v>34563.440000000002</v>
      </c>
      <c r="F1428">
        <v>17</v>
      </c>
      <c r="G1428" t="s">
        <v>16</v>
      </c>
      <c r="H1428">
        <v>1591.34</v>
      </c>
      <c r="I1428">
        <v>2043.82</v>
      </c>
      <c r="J1428" t="s">
        <v>27</v>
      </c>
      <c r="K1428">
        <v>0.01</v>
      </c>
      <c r="L1428" t="s">
        <v>18</v>
      </c>
      <c r="M1428" t="s">
        <v>21</v>
      </c>
    </row>
    <row r="1429" spans="1:13" x14ac:dyDescent="0.35">
      <c r="A1429">
        <v>1009</v>
      </c>
      <c r="B1429" s="1">
        <v>45037</v>
      </c>
      <c r="C1429" t="s">
        <v>32</v>
      </c>
      <c r="D1429" t="s">
        <v>15</v>
      </c>
      <c r="E1429">
        <v>27560.799999999999</v>
      </c>
      <c r="F1429">
        <v>47</v>
      </c>
      <c r="G1429" t="s">
        <v>26</v>
      </c>
      <c r="H1429">
        <v>359.41</v>
      </c>
      <c r="I1429">
        <v>733</v>
      </c>
      <c r="J1429" t="s">
        <v>17</v>
      </c>
      <c r="K1429">
        <v>0.2</v>
      </c>
      <c r="L1429" t="s">
        <v>25</v>
      </c>
      <c r="M1429" t="s">
        <v>21</v>
      </c>
    </row>
    <row r="1430" spans="1:13" x14ac:dyDescent="0.35">
      <c r="A1430">
        <v>1002</v>
      </c>
      <c r="B1430" s="1">
        <v>45038</v>
      </c>
      <c r="C1430" t="s">
        <v>32</v>
      </c>
      <c r="D1430" t="s">
        <v>15</v>
      </c>
      <c r="E1430">
        <v>39611.53</v>
      </c>
      <c r="F1430">
        <v>9</v>
      </c>
      <c r="G1430" t="s">
        <v>31</v>
      </c>
      <c r="H1430">
        <v>4398.16</v>
      </c>
      <c r="I1430">
        <v>4439.12</v>
      </c>
      <c r="J1430" t="s">
        <v>27</v>
      </c>
      <c r="K1430">
        <v>0.01</v>
      </c>
      <c r="L1430" t="s">
        <v>25</v>
      </c>
      <c r="M1430" t="s">
        <v>19</v>
      </c>
    </row>
    <row r="1431" spans="1:13" x14ac:dyDescent="0.35">
      <c r="A1431">
        <v>1061</v>
      </c>
      <c r="B1431" s="1">
        <v>45038</v>
      </c>
      <c r="C1431" t="s">
        <v>32</v>
      </c>
      <c r="D1431" t="s">
        <v>23</v>
      </c>
      <c r="E1431">
        <v>138943.94</v>
      </c>
      <c r="F1431">
        <v>39</v>
      </c>
      <c r="G1431" t="s">
        <v>31</v>
      </c>
      <c r="H1431">
        <v>3494.19</v>
      </c>
      <c r="I1431">
        <v>3746</v>
      </c>
      <c r="J1431" t="s">
        <v>17</v>
      </c>
      <c r="K1431">
        <v>0.05</v>
      </c>
      <c r="L1431" t="s">
        <v>25</v>
      </c>
      <c r="M1431" t="s">
        <v>21</v>
      </c>
    </row>
    <row r="1432" spans="1:13" x14ac:dyDescent="0.35">
      <c r="A1432">
        <v>1016</v>
      </c>
      <c r="B1432" s="1">
        <v>45039</v>
      </c>
      <c r="C1432" t="s">
        <v>22</v>
      </c>
      <c r="D1432" t="s">
        <v>23</v>
      </c>
      <c r="E1432">
        <v>29271.94</v>
      </c>
      <c r="F1432">
        <v>6</v>
      </c>
      <c r="G1432" t="s">
        <v>16</v>
      </c>
      <c r="H1432">
        <v>4502.09</v>
      </c>
      <c r="I1432">
        <v>4879.72</v>
      </c>
      <c r="J1432" t="s">
        <v>27</v>
      </c>
      <c r="K1432">
        <v>0</v>
      </c>
      <c r="L1432" t="s">
        <v>28</v>
      </c>
      <c r="M1432" t="s">
        <v>19</v>
      </c>
    </row>
    <row r="1433" spans="1:13" x14ac:dyDescent="0.35">
      <c r="A1433">
        <v>1060</v>
      </c>
      <c r="B1433" s="1">
        <v>45039</v>
      </c>
      <c r="C1433" t="s">
        <v>32</v>
      </c>
      <c r="D1433" t="s">
        <v>30</v>
      </c>
      <c r="E1433">
        <v>98542.79</v>
      </c>
      <c r="F1433">
        <v>23</v>
      </c>
      <c r="G1433" t="s">
        <v>26</v>
      </c>
      <c r="H1433">
        <v>4110.6000000000004</v>
      </c>
      <c r="I1433">
        <v>4488.37</v>
      </c>
      <c r="J1433" t="s">
        <v>27</v>
      </c>
      <c r="K1433">
        <v>0.05</v>
      </c>
      <c r="L1433" t="s">
        <v>28</v>
      </c>
      <c r="M1433" t="s">
        <v>19</v>
      </c>
    </row>
    <row r="1434" spans="1:13" x14ac:dyDescent="0.35">
      <c r="A1434">
        <v>1033</v>
      </c>
      <c r="B1434" s="1">
        <v>45039</v>
      </c>
      <c r="C1434" t="s">
        <v>29</v>
      </c>
      <c r="D1434" t="s">
        <v>30</v>
      </c>
      <c r="E1434">
        <v>57181.53</v>
      </c>
      <c r="F1434">
        <v>44</v>
      </c>
      <c r="G1434" t="s">
        <v>31</v>
      </c>
      <c r="H1434">
        <v>1195.22</v>
      </c>
      <c r="I1434">
        <v>1320.06</v>
      </c>
      <c r="J1434" t="s">
        <v>17</v>
      </c>
      <c r="K1434">
        <v>0.02</v>
      </c>
      <c r="L1434" t="s">
        <v>25</v>
      </c>
      <c r="M1434" t="s">
        <v>21</v>
      </c>
    </row>
    <row r="1435" spans="1:13" x14ac:dyDescent="0.35">
      <c r="A1435">
        <v>1008</v>
      </c>
      <c r="B1435" s="1">
        <v>45039</v>
      </c>
      <c r="C1435" t="s">
        <v>32</v>
      </c>
      <c r="D1435" t="s">
        <v>15</v>
      </c>
      <c r="E1435">
        <v>26336.53</v>
      </c>
      <c r="F1435">
        <v>35</v>
      </c>
      <c r="G1435" t="s">
        <v>26</v>
      </c>
      <c r="H1435">
        <v>600.20000000000005</v>
      </c>
      <c r="I1435">
        <v>1059.82</v>
      </c>
      <c r="J1435" t="s">
        <v>17</v>
      </c>
      <c r="K1435">
        <v>0.28999999999999998</v>
      </c>
      <c r="L1435" t="s">
        <v>25</v>
      </c>
      <c r="M1435" t="s">
        <v>21</v>
      </c>
    </row>
    <row r="1436" spans="1:13" x14ac:dyDescent="0.35">
      <c r="A1436">
        <v>1024</v>
      </c>
      <c r="B1436" s="1">
        <v>45040</v>
      </c>
      <c r="C1436" t="s">
        <v>22</v>
      </c>
      <c r="D1436" t="s">
        <v>15</v>
      </c>
      <c r="E1436">
        <v>72614.17</v>
      </c>
      <c r="F1436">
        <v>35</v>
      </c>
      <c r="G1436" t="s">
        <v>16</v>
      </c>
      <c r="H1436">
        <v>2051</v>
      </c>
      <c r="I1436">
        <v>2121.5500000000002</v>
      </c>
      <c r="J1436" t="s">
        <v>17</v>
      </c>
      <c r="K1436">
        <v>0.02</v>
      </c>
      <c r="L1436" t="s">
        <v>18</v>
      </c>
      <c r="M1436" t="s">
        <v>21</v>
      </c>
    </row>
    <row r="1437" spans="1:13" x14ac:dyDescent="0.35">
      <c r="A1437">
        <v>1054</v>
      </c>
      <c r="B1437" s="1">
        <v>45040</v>
      </c>
      <c r="C1437" t="s">
        <v>22</v>
      </c>
      <c r="D1437" t="s">
        <v>15</v>
      </c>
      <c r="E1437">
        <v>113477.99</v>
      </c>
      <c r="F1437">
        <v>48</v>
      </c>
      <c r="G1437" t="s">
        <v>24</v>
      </c>
      <c r="H1437">
        <v>2316.92</v>
      </c>
      <c r="I1437">
        <v>2462.63</v>
      </c>
      <c r="J1437" t="s">
        <v>27</v>
      </c>
      <c r="K1437">
        <v>0.04</v>
      </c>
      <c r="L1437" t="s">
        <v>28</v>
      </c>
      <c r="M1437" t="s">
        <v>19</v>
      </c>
    </row>
    <row r="1438" spans="1:13" x14ac:dyDescent="0.35">
      <c r="A1438">
        <v>1095</v>
      </c>
      <c r="B1438" s="1">
        <v>45041</v>
      </c>
      <c r="C1438" t="s">
        <v>14</v>
      </c>
      <c r="D1438" t="s">
        <v>23</v>
      </c>
      <c r="E1438">
        <v>32271.62</v>
      </c>
      <c r="F1438">
        <v>10</v>
      </c>
      <c r="G1438" t="s">
        <v>31</v>
      </c>
      <c r="H1438">
        <v>3155.97</v>
      </c>
      <c r="I1438">
        <v>3263.49</v>
      </c>
      <c r="J1438" t="s">
        <v>17</v>
      </c>
      <c r="K1438">
        <v>0.01</v>
      </c>
      <c r="L1438" t="s">
        <v>28</v>
      </c>
      <c r="M1438" t="s">
        <v>19</v>
      </c>
    </row>
    <row r="1439" spans="1:13" x14ac:dyDescent="0.35">
      <c r="A1439">
        <v>1039</v>
      </c>
      <c r="B1439" s="1">
        <v>45041</v>
      </c>
      <c r="C1439" t="s">
        <v>33</v>
      </c>
      <c r="D1439" t="s">
        <v>30</v>
      </c>
      <c r="E1439">
        <v>73422.509999999995</v>
      </c>
      <c r="F1439">
        <v>24</v>
      </c>
      <c r="G1439" t="s">
        <v>26</v>
      </c>
      <c r="H1439">
        <v>2615.48</v>
      </c>
      <c r="I1439">
        <v>3062.22</v>
      </c>
      <c r="J1439" t="s">
        <v>27</v>
      </c>
      <c r="K1439">
        <v>0</v>
      </c>
      <c r="L1439" t="s">
        <v>25</v>
      </c>
      <c r="M1439" t="s">
        <v>21</v>
      </c>
    </row>
    <row r="1440" spans="1:13" x14ac:dyDescent="0.35">
      <c r="A1440">
        <v>1075</v>
      </c>
      <c r="B1440" s="1">
        <v>45041</v>
      </c>
      <c r="C1440" t="s">
        <v>22</v>
      </c>
      <c r="D1440" t="s">
        <v>20</v>
      </c>
      <c r="E1440">
        <v>167709.46</v>
      </c>
      <c r="F1440">
        <v>44</v>
      </c>
      <c r="G1440" t="s">
        <v>16</v>
      </c>
      <c r="H1440">
        <v>3519.29</v>
      </c>
      <c r="I1440">
        <v>3822.98</v>
      </c>
      <c r="J1440" t="s">
        <v>17</v>
      </c>
      <c r="K1440">
        <v>0</v>
      </c>
      <c r="L1440" t="s">
        <v>25</v>
      </c>
      <c r="M1440" t="s">
        <v>19</v>
      </c>
    </row>
    <row r="1441" spans="1:13" x14ac:dyDescent="0.35">
      <c r="A1441">
        <v>1075</v>
      </c>
      <c r="B1441" s="1">
        <v>45042</v>
      </c>
      <c r="C1441" t="s">
        <v>22</v>
      </c>
      <c r="D1441" t="s">
        <v>23</v>
      </c>
      <c r="E1441">
        <v>171345</v>
      </c>
      <c r="F1441">
        <v>37</v>
      </c>
      <c r="G1441" t="s">
        <v>31</v>
      </c>
      <c r="H1441">
        <v>4399.8</v>
      </c>
      <c r="I1441">
        <v>4801.0600000000004</v>
      </c>
      <c r="J1441" t="s">
        <v>27</v>
      </c>
      <c r="K1441">
        <v>0.04</v>
      </c>
      <c r="L1441" t="s">
        <v>25</v>
      </c>
      <c r="M1441" t="s">
        <v>21</v>
      </c>
    </row>
    <row r="1442" spans="1:13" x14ac:dyDescent="0.35">
      <c r="A1442">
        <v>1020</v>
      </c>
      <c r="B1442" s="1">
        <v>45043</v>
      </c>
      <c r="C1442" t="s">
        <v>33</v>
      </c>
      <c r="D1442" t="s">
        <v>23</v>
      </c>
      <c r="E1442">
        <v>157840.78</v>
      </c>
      <c r="F1442">
        <v>33</v>
      </c>
      <c r="G1442" t="s">
        <v>16</v>
      </c>
      <c r="H1442">
        <v>4772.03</v>
      </c>
      <c r="I1442">
        <v>4805.17</v>
      </c>
      <c r="J1442" t="s">
        <v>17</v>
      </c>
      <c r="K1442">
        <v>0</v>
      </c>
      <c r="L1442" t="s">
        <v>25</v>
      </c>
      <c r="M1442" t="s">
        <v>19</v>
      </c>
    </row>
    <row r="1443" spans="1:13" x14ac:dyDescent="0.35">
      <c r="A1443">
        <v>1018</v>
      </c>
      <c r="B1443" s="1">
        <v>45043</v>
      </c>
      <c r="C1443" t="s">
        <v>22</v>
      </c>
      <c r="D1443" t="s">
        <v>23</v>
      </c>
      <c r="E1443">
        <v>7003.55</v>
      </c>
      <c r="F1443">
        <v>17</v>
      </c>
      <c r="G1443" t="s">
        <v>26</v>
      </c>
      <c r="H1443">
        <v>355.72</v>
      </c>
      <c r="I1443">
        <v>438.27</v>
      </c>
      <c r="J1443" t="s">
        <v>17</v>
      </c>
      <c r="K1443">
        <v>0.06</v>
      </c>
      <c r="L1443" t="s">
        <v>25</v>
      </c>
      <c r="M1443" t="s">
        <v>19</v>
      </c>
    </row>
    <row r="1444" spans="1:13" x14ac:dyDescent="0.35">
      <c r="A1444">
        <v>1001</v>
      </c>
      <c r="B1444" s="1">
        <v>45043</v>
      </c>
      <c r="C1444" t="s">
        <v>32</v>
      </c>
      <c r="D1444" t="s">
        <v>30</v>
      </c>
      <c r="E1444">
        <v>37078.9</v>
      </c>
      <c r="F1444">
        <v>25</v>
      </c>
      <c r="G1444" t="s">
        <v>31</v>
      </c>
      <c r="H1444">
        <v>1330.62</v>
      </c>
      <c r="I1444">
        <v>1543.69</v>
      </c>
      <c r="J1444" t="s">
        <v>27</v>
      </c>
      <c r="K1444">
        <v>0.04</v>
      </c>
      <c r="L1444" t="s">
        <v>28</v>
      </c>
      <c r="M1444" t="s">
        <v>19</v>
      </c>
    </row>
    <row r="1445" spans="1:13" x14ac:dyDescent="0.35">
      <c r="A1445">
        <v>1064</v>
      </c>
      <c r="B1445" s="1">
        <v>45043</v>
      </c>
      <c r="C1445" t="s">
        <v>14</v>
      </c>
      <c r="D1445" t="s">
        <v>15</v>
      </c>
      <c r="E1445">
        <v>25815.62</v>
      </c>
      <c r="F1445">
        <v>13</v>
      </c>
      <c r="G1445" t="s">
        <v>26</v>
      </c>
      <c r="H1445">
        <v>1645.51</v>
      </c>
      <c r="I1445">
        <v>2045.53</v>
      </c>
      <c r="J1445" t="s">
        <v>17</v>
      </c>
      <c r="K1445">
        <v>0.03</v>
      </c>
      <c r="L1445" t="s">
        <v>18</v>
      </c>
      <c r="M1445" t="s">
        <v>21</v>
      </c>
    </row>
    <row r="1446" spans="1:13" x14ac:dyDescent="0.35">
      <c r="A1446">
        <v>1024</v>
      </c>
      <c r="B1446" s="1">
        <v>45043</v>
      </c>
      <c r="C1446" t="s">
        <v>33</v>
      </c>
      <c r="D1446" t="s">
        <v>20</v>
      </c>
      <c r="E1446">
        <v>92333.93</v>
      </c>
      <c r="F1446">
        <v>42</v>
      </c>
      <c r="G1446" t="s">
        <v>24</v>
      </c>
      <c r="H1446">
        <v>2069.0500000000002</v>
      </c>
      <c r="I1446">
        <v>2363.9</v>
      </c>
      <c r="J1446" t="s">
        <v>17</v>
      </c>
      <c r="K1446">
        <v>7.0000000000000007E-2</v>
      </c>
      <c r="L1446" t="s">
        <v>18</v>
      </c>
      <c r="M1446" t="s">
        <v>19</v>
      </c>
    </row>
    <row r="1447" spans="1:13" x14ac:dyDescent="0.35">
      <c r="A1447">
        <v>1036</v>
      </c>
      <c r="B1447" s="1">
        <v>45044</v>
      </c>
      <c r="C1447" t="s">
        <v>29</v>
      </c>
      <c r="D1447" t="s">
        <v>20</v>
      </c>
      <c r="E1447">
        <v>101156.74</v>
      </c>
      <c r="F1447">
        <v>25</v>
      </c>
      <c r="G1447" t="s">
        <v>16</v>
      </c>
      <c r="H1447">
        <v>4037.73</v>
      </c>
      <c r="I1447">
        <v>4446.45</v>
      </c>
      <c r="J1447" t="s">
        <v>17</v>
      </c>
      <c r="K1447">
        <v>0.09</v>
      </c>
      <c r="L1447" t="s">
        <v>25</v>
      </c>
      <c r="M1447" t="s">
        <v>19</v>
      </c>
    </row>
    <row r="1448" spans="1:13" x14ac:dyDescent="0.35">
      <c r="A1448">
        <v>1023</v>
      </c>
      <c r="B1448" s="1">
        <v>45044</v>
      </c>
      <c r="C1448" t="s">
        <v>29</v>
      </c>
      <c r="D1448" t="s">
        <v>15</v>
      </c>
      <c r="E1448">
        <v>11816.4</v>
      </c>
      <c r="F1448">
        <v>5</v>
      </c>
      <c r="G1448" t="s">
        <v>31</v>
      </c>
      <c r="H1448">
        <v>2311.25</v>
      </c>
      <c r="I1448">
        <v>2482.34</v>
      </c>
      <c r="J1448" t="s">
        <v>17</v>
      </c>
      <c r="K1448">
        <v>0.05</v>
      </c>
      <c r="L1448" t="s">
        <v>28</v>
      </c>
      <c r="M1448" t="s">
        <v>21</v>
      </c>
    </row>
    <row r="1449" spans="1:13" x14ac:dyDescent="0.35">
      <c r="A1449">
        <v>1003</v>
      </c>
      <c r="B1449" s="1">
        <v>45044</v>
      </c>
      <c r="C1449" t="s">
        <v>29</v>
      </c>
      <c r="D1449" t="s">
        <v>23</v>
      </c>
      <c r="E1449">
        <v>22126.87</v>
      </c>
      <c r="F1449">
        <v>27</v>
      </c>
      <c r="G1449" t="s">
        <v>16</v>
      </c>
      <c r="H1449">
        <v>623.32000000000005</v>
      </c>
      <c r="I1449">
        <v>853.66</v>
      </c>
      <c r="J1449" t="s">
        <v>17</v>
      </c>
      <c r="K1449">
        <v>0.04</v>
      </c>
      <c r="L1449" t="s">
        <v>18</v>
      </c>
      <c r="M1449" t="s">
        <v>19</v>
      </c>
    </row>
    <row r="1450" spans="1:13" x14ac:dyDescent="0.35">
      <c r="A1450">
        <v>1009</v>
      </c>
      <c r="B1450" s="1">
        <v>45044</v>
      </c>
      <c r="C1450" t="s">
        <v>33</v>
      </c>
      <c r="D1450" t="s">
        <v>15</v>
      </c>
      <c r="E1450">
        <v>82353.320000000007</v>
      </c>
      <c r="F1450">
        <v>33</v>
      </c>
      <c r="G1450" t="s">
        <v>26</v>
      </c>
      <c r="H1450">
        <v>2278.9</v>
      </c>
      <c r="I1450">
        <v>2626.9</v>
      </c>
      <c r="J1450" t="s">
        <v>27</v>
      </c>
      <c r="K1450">
        <v>0.05</v>
      </c>
      <c r="L1450" t="s">
        <v>28</v>
      </c>
      <c r="M1450" t="s">
        <v>19</v>
      </c>
    </row>
    <row r="1451" spans="1:13" x14ac:dyDescent="0.35">
      <c r="A1451">
        <v>1093</v>
      </c>
      <c r="B1451" s="1">
        <v>45045</v>
      </c>
      <c r="C1451" t="s">
        <v>33</v>
      </c>
      <c r="D1451" t="s">
        <v>15</v>
      </c>
      <c r="E1451">
        <v>143298.95000000001</v>
      </c>
      <c r="F1451">
        <v>34</v>
      </c>
      <c r="G1451" t="s">
        <v>24</v>
      </c>
      <c r="H1451">
        <v>4201.1099999999997</v>
      </c>
      <c r="I1451">
        <v>4436.5</v>
      </c>
      <c r="J1451" t="s">
        <v>27</v>
      </c>
      <c r="K1451">
        <v>0.05</v>
      </c>
      <c r="L1451" t="s">
        <v>18</v>
      </c>
      <c r="M1451" t="s">
        <v>19</v>
      </c>
    </row>
    <row r="1452" spans="1:13" x14ac:dyDescent="0.35">
      <c r="A1452">
        <v>1056</v>
      </c>
      <c r="B1452" s="1">
        <v>45045</v>
      </c>
      <c r="C1452" t="s">
        <v>29</v>
      </c>
      <c r="D1452" t="s">
        <v>15</v>
      </c>
      <c r="E1452">
        <v>7139.32</v>
      </c>
      <c r="F1452">
        <v>10</v>
      </c>
      <c r="G1452" t="s">
        <v>26</v>
      </c>
      <c r="H1452">
        <v>536.80999999999995</v>
      </c>
      <c r="I1452">
        <v>839.92</v>
      </c>
      <c r="J1452" t="s">
        <v>17</v>
      </c>
      <c r="K1452">
        <v>0.15</v>
      </c>
      <c r="L1452" t="s">
        <v>25</v>
      </c>
      <c r="M1452" t="s">
        <v>19</v>
      </c>
    </row>
    <row r="1453" spans="1:13" x14ac:dyDescent="0.35">
      <c r="A1453">
        <v>1051</v>
      </c>
      <c r="B1453" s="1">
        <v>45046</v>
      </c>
      <c r="C1453" t="s">
        <v>14</v>
      </c>
      <c r="D1453" t="s">
        <v>20</v>
      </c>
      <c r="E1453">
        <v>3066.78</v>
      </c>
      <c r="F1453">
        <v>3</v>
      </c>
      <c r="G1453" t="s">
        <v>24</v>
      </c>
      <c r="H1453">
        <v>1000.18</v>
      </c>
      <c r="I1453">
        <v>1023.64</v>
      </c>
      <c r="J1453" t="s">
        <v>17</v>
      </c>
      <c r="K1453">
        <v>0</v>
      </c>
      <c r="L1453" t="s">
        <v>28</v>
      </c>
      <c r="M1453" t="s">
        <v>19</v>
      </c>
    </row>
    <row r="1454" spans="1:13" x14ac:dyDescent="0.35">
      <c r="A1454">
        <v>1032</v>
      </c>
      <c r="B1454" s="1">
        <v>45046</v>
      </c>
      <c r="C1454" t="s">
        <v>33</v>
      </c>
      <c r="D1454" t="s">
        <v>20</v>
      </c>
      <c r="E1454">
        <v>44670.53</v>
      </c>
      <c r="F1454">
        <v>18</v>
      </c>
      <c r="G1454" t="s">
        <v>31</v>
      </c>
      <c r="H1454">
        <v>2466.1799999999998</v>
      </c>
      <c r="I1454">
        <v>2483.87</v>
      </c>
      <c r="J1454" t="s">
        <v>17</v>
      </c>
      <c r="K1454">
        <v>0</v>
      </c>
      <c r="L1454" t="s">
        <v>18</v>
      </c>
      <c r="M1454" t="s">
        <v>19</v>
      </c>
    </row>
    <row r="1455" spans="1:13" x14ac:dyDescent="0.35">
      <c r="A1455">
        <v>1076</v>
      </c>
      <c r="B1455" s="1">
        <v>45046</v>
      </c>
      <c r="C1455" t="s">
        <v>32</v>
      </c>
      <c r="D1455" t="s">
        <v>20</v>
      </c>
      <c r="E1455">
        <v>141732.22</v>
      </c>
      <c r="F1455">
        <v>32</v>
      </c>
      <c r="G1455" t="s">
        <v>26</v>
      </c>
      <c r="H1455">
        <v>4337.82</v>
      </c>
      <c r="I1455">
        <v>4460.71</v>
      </c>
      <c r="J1455" t="s">
        <v>17</v>
      </c>
      <c r="K1455">
        <v>0.01</v>
      </c>
      <c r="L1455" t="s">
        <v>18</v>
      </c>
      <c r="M1455" t="s">
        <v>21</v>
      </c>
    </row>
    <row r="1456" spans="1:13" x14ac:dyDescent="0.35">
      <c r="A1456">
        <v>1006</v>
      </c>
      <c r="B1456" s="1">
        <v>45046</v>
      </c>
      <c r="C1456" t="s">
        <v>29</v>
      </c>
      <c r="D1456" t="s">
        <v>15</v>
      </c>
      <c r="E1456">
        <v>59401.47</v>
      </c>
      <c r="F1456">
        <v>19</v>
      </c>
      <c r="G1456" t="s">
        <v>26</v>
      </c>
      <c r="H1456">
        <v>2962.41</v>
      </c>
      <c r="I1456">
        <v>3218.9</v>
      </c>
      <c r="J1456" t="s">
        <v>27</v>
      </c>
      <c r="K1456">
        <v>0.03</v>
      </c>
      <c r="L1456" t="s">
        <v>18</v>
      </c>
      <c r="M1456" t="s">
        <v>21</v>
      </c>
    </row>
    <row r="1457" spans="1:13" x14ac:dyDescent="0.35">
      <c r="A1457">
        <v>1096</v>
      </c>
      <c r="B1457" s="1">
        <v>45048</v>
      </c>
      <c r="C1457" t="s">
        <v>33</v>
      </c>
      <c r="D1457" t="s">
        <v>30</v>
      </c>
      <c r="E1457">
        <v>33526.949999999997</v>
      </c>
      <c r="F1457">
        <v>32</v>
      </c>
      <c r="G1457" t="s">
        <v>16</v>
      </c>
      <c r="H1457">
        <v>991.63</v>
      </c>
      <c r="I1457">
        <v>1065.55</v>
      </c>
      <c r="J1457" t="s">
        <v>17</v>
      </c>
      <c r="K1457">
        <v>0.02</v>
      </c>
      <c r="L1457" t="s">
        <v>25</v>
      </c>
      <c r="M1457" t="s">
        <v>21</v>
      </c>
    </row>
    <row r="1458" spans="1:13" x14ac:dyDescent="0.35">
      <c r="A1458">
        <v>1036</v>
      </c>
      <c r="B1458" s="1">
        <v>45048</v>
      </c>
      <c r="C1458" t="s">
        <v>22</v>
      </c>
      <c r="D1458" t="s">
        <v>15</v>
      </c>
      <c r="E1458">
        <v>182284.42</v>
      </c>
      <c r="F1458">
        <v>42</v>
      </c>
      <c r="G1458" t="s">
        <v>16</v>
      </c>
      <c r="H1458">
        <v>4292.63</v>
      </c>
      <c r="I1458">
        <v>4387.99</v>
      </c>
      <c r="J1458" t="s">
        <v>27</v>
      </c>
      <c r="K1458">
        <v>0.01</v>
      </c>
      <c r="L1458" t="s">
        <v>28</v>
      </c>
      <c r="M1458" t="s">
        <v>21</v>
      </c>
    </row>
    <row r="1459" spans="1:13" x14ac:dyDescent="0.35">
      <c r="A1459">
        <v>1051</v>
      </c>
      <c r="B1459" s="1">
        <v>45048</v>
      </c>
      <c r="C1459" t="s">
        <v>33</v>
      </c>
      <c r="D1459" t="s">
        <v>15</v>
      </c>
      <c r="E1459">
        <v>132442.92000000001</v>
      </c>
      <c r="F1459">
        <v>34</v>
      </c>
      <c r="G1459" t="s">
        <v>16</v>
      </c>
      <c r="H1459">
        <v>3764.14</v>
      </c>
      <c r="I1459">
        <v>4100.3999999999996</v>
      </c>
      <c r="J1459" t="s">
        <v>17</v>
      </c>
      <c r="K1459">
        <v>0.05</v>
      </c>
      <c r="L1459" t="s">
        <v>25</v>
      </c>
      <c r="M1459" t="s">
        <v>21</v>
      </c>
    </row>
    <row r="1460" spans="1:13" x14ac:dyDescent="0.35">
      <c r="A1460">
        <v>1042</v>
      </c>
      <c r="B1460" s="1">
        <v>45049</v>
      </c>
      <c r="C1460" t="s">
        <v>33</v>
      </c>
      <c r="D1460" t="s">
        <v>20</v>
      </c>
      <c r="E1460">
        <v>20098.55</v>
      </c>
      <c r="F1460">
        <v>37</v>
      </c>
      <c r="G1460" t="s">
        <v>16</v>
      </c>
      <c r="H1460">
        <v>502.86</v>
      </c>
      <c r="I1460">
        <v>687.6</v>
      </c>
      <c r="J1460" t="s">
        <v>17</v>
      </c>
      <c r="K1460">
        <v>0.21</v>
      </c>
      <c r="L1460" t="s">
        <v>18</v>
      </c>
      <c r="M1460" t="s">
        <v>19</v>
      </c>
    </row>
    <row r="1461" spans="1:13" x14ac:dyDescent="0.35">
      <c r="A1461">
        <v>1015</v>
      </c>
      <c r="B1461" s="1">
        <v>45049</v>
      </c>
      <c r="C1461" t="s">
        <v>22</v>
      </c>
      <c r="D1461" t="s">
        <v>23</v>
      </c>
      <c r="E1461">
        <v>87497.86</v>
      </c>
      <c r="F1461">
        <v>30</v>
      </c>
      <c r="G1461" t="s">
        <v>24</v>
      </c>
      <c r="H1461">
        <v>2680.22</v>
      </c>
      <c r="I1461">
        <v>3027.92</v>
      </c>
      <c r="J1461" t="s">
        <v>17</v>
      </c>
      <c r="K1461">
        <v>0.04</v>
      </c>
      <c r="L1461" t="s">
        <v>25</v>
      </c>
      <c r="M1461" t="s">
        <v>19</v>
      </c>
    </row>
    <row r="1462" spans="1:13" x14ac:dyDescent="0.35">
      <c r="A1462">
        <v>1061</v>
      </c>
      <c r="B1462" s="1">
        <v>45049</v>
      </c>
      <c r="C1462" t="s">
        <v>14</v>
      </c>
      <c r="D1462" t="s">
        <v>23</v>
      </c>
      <c r="E1462">
        <v>126336.95</v>
      </c>
      <c r="F1462">
        <v>41</v>
      </c>
      <c r="G1462" t="s">
        <v>16</v>
      </c>
      <c r="H1462">
        <v>2894.18</v>
      </c>
      <c r="I1462">
        <v>3193.92</v>
      </c>
      <c r="J1462" t="s">
        <v>27</v>
      </c>
      <c r="K1462">
        <v>0.04</v>
      </c>
      <c r="L1462" t="s">
        <v>25</v>
      </c>
      <c r="M1462" t="s">
        <v>21</v>
      </c>
    </row>
    <row r="1463" spans="1:13" x14ac:dyDescent="0.35">
      <c r="A1463">
        <v>1086</v>
      </c>
      <c r="B1463" s="1">
        <v>45050</v>
      </c>
      <c r="C1463" t="s">
        <v>14</v>
      </c>
      <c r="D1463" t="s">
        <v>20</v>
      </c>
      <c r="E1463">
        <v>60398.46</v>
      </c>
      <c r="F1463">
        <v>25</v>
      </c>
      <c r="G1463" t="s">
        <v>24</v>
      </c>
      <c r="H1463">
        <v>2248.71</v>
      </c>
      <c r="I1463">
        <v>2626.02</v>
      </c>
      <c r="J1463" t="s">
        <v>27</v>
      </c>
      <c r="K1463">
        <v>0.08</v>
      </c>
      <c r="L1463" t="s">
        <v>25</v>
      </c>
      <c r="M1463" t="s">
        <v>19</v>
      </c>
    </row>
    <row r="1464" spans="1:13" x14ac:dyDescent="0.35">
      <c r="A1464">
        <v>1062</v>
      </c>
      <c r="B1464" s="1">
        <v>45051</v>
      </c>
      <c r="C1464" t="s">
        <v>32</v>
      </c>
      <c r="D1464" t="s">
        <v>23</v>
      </c>
      <c r="E1464">
        <v>31846.33</v>
      </c>
      <c r="F1464">
        <v>26</v>
      </c>
      <c r="G1464" t="s">
        <v>26</v>
      </c>
      <c r="H1464">
        <v>992.17</v>
      </c>
      <c r="I1464">
        <v>1263.49</v>
      </c>
      <c r="J1464" t="s">
        <v>17</v>
      </c>
      <c r="K1464">
        <v>0.03</v>
      </c>
      <c r="L1464" t="s">
        <v>25</v>
      </c>
      <c r="M1464" t="s">
        <v>21</v>
      </c>
    </row>
    <row r="1465" spans="1:13" x14ac:dyDescent="0.35">
      <c r="A1465">
        <v>1056</v>
      </c>
      <c r="B1465" s="1">
        <v>45053</v>
      </c>
      <c r="C1465" t="s">
        <v>22</v>
      </c>
      <c r="D1465" t="s">
        <v>30</v>
      </c>
      <c r="E1465">
        <v>44046.15</v>
      </c>
      <c r="F1465">
        <v>28</v>
      </c>
      <c r="G1465" t="s">
        <v>26</v>
      </c>
      <c r="H1465">
        <v>1566.03</v>
      </c>
      <c r="I1465">
        <v>1576.34</v>
      </c>
      <c r="J1465" t="s">
        <v>17</v>
      </c>
      <c r="K1465">
        <v>0</v>
      </c>
      <c r="L1465" t="s">
        <v>25</v>
      </c>
      <c r="M1465" t="s">
        <v>19</v>
      </c>
    </row>
    <row r="1466" spans="1:13" x14ac:dyDescent="0.35">
      <c r="A1466">
        <v>1073</v>
      </c>
      <c r="B1466" s="1">
        <v>45053</v>
      </c>
      <c r="C1466" t="s">
        <v>22</v>
      </c>
      <c r="D1466" t="s">
        <v>15</v>
      </c>
      <c r="E1466">
        <v>69210.850000000006</v>
      </c>
      <c r="F1466">
        <v>29</v>
      </c>
      <c r="G1466" t="s">
        <v>26</v>
      </c>
      <c r="H1466">
        <v>2152.6799999999998</v>
      </c>
      <c r="I1466">
        <v>2475.9299999999998</v>
      </c>
      <c r="J1466" t="s">
        <v>17</v>
      </c>
      <c r="K1466">
        <v>0.04</v>
      </c>
      <c r="L1466" t="s">
        <v>25</v>
      </c>
      <c r="M1466" t="s">
        <v>19</v>
      </c>
    </row>
    <row r="1467" spans="1:13" x14ac:dyDescent="0.35">
      <c r="A1467">
        <v>1093</v>
      </c>
      <c r="B1467" s="1">
        <v>45054</v>
      </c>
      <c r="C1467" t="s">
        <v>14</v>
      </c>
      <c r="D1467" t="s">
        <v>30</v>
      </c>
      <c r="E1467">
        <v>12592.12</v>
      </c>
      <c r="F1467">
        <v>17</v>
      </c>
      <c r="G1467" t="s">
        <v>16</v>
      </c>
      <c r="H1467">
        <v>727.38</v>
      </c>
      <c r="I1467">
        <v>764.54</v>
      </c>
      <c r="J1467" t="s">
        <v>17</v>
      </c>
      <c r="K1467">
        <v>0.03</v>
      </c>
      <c r="L1467" t="s">
        <v>28</v>
      </c>
      <c r="M1467" t="s">
        <v>21</v>
      </c>
    </row>
    <row r="1468" spans="1:13" x14ac:dyDescent="0.35">
      <c r="A1468">
        <v>1067</v>
      </c>
      <c r="B1468" s="1">
        <v>45054</v>
      </c>
      <c r="C1468" t="s">
        <v>29</v>
      </c>
      <c r="D1468" t="s">
        <v>15</v>
      </c>
      <c r="E1468">
        <v>72134.09</v>
      </c>
      <c r="F1468">
        <v>32</v>
      </c>
      <c r="G1468" t="s">
        <v>24</v>
      </c>
      <c r="H1468">
        <v>2171.79</v>
      </c>
      <c r="I1468">
        <v>2307.64</v>
      </c>
      <c r="J1468" t="s">
        <v>17</v>
      </c>
      <c r="K1468">
        <v>0.02</v>
      </c>
      <c r="L1468" t="s">
        <v>25</v>
      </c>
      <c r="M1468" t="s">
        <v>19</v>
      </c>
    </row>
    <row r="1469" spans="1:13" x14ac:dyDescent="0.35">
      <c r="A1469">
        <v>1026</v>
      </c>
      <c r="B1469" s="1">
        <v>45054</v>
      </c>
      <c r="C1469" t="s">
        <v>29</v>
      </c>
      <c r="D1469" t="s">
        <v>20</v>
      </c>
      <c r="E1469">
        <v>68637.210000000006</v>
      </c>
      <c r="F1469">
        <v>20</v>
      </c>
      <c r="G1469" t="s">
        <v>26</v>
      </c>
      <c r="H1469">
        <v>2985.63</v>
      </c>
      <c r="I1469">
        <v>3452.14</v>
      </c>
      <c r="J1469" t="s">
        <v>27</v>
      </c>
      <c r="K1469">
        <v>0.01</v>
      </c>
      <c r="L1469" t="s">
        <v>28</v>
      </c>
      <c r="M1469" t="s">
        <v>21</v>
      </c>
    </row>
    <row r="1470" spans="1:13" x14ac:dyDescent="0.35">
      <c r="A1470">
        <v>1012</v>
      </c>
      <c r="B1470" s="1">
        <v>45055</v>
      </c>
      <c r="C1470" t="s">
        <v>22</v>
      </c>
      <c r="D1470" t="s">
        <v>20</v>
      </c>
      <c r="E1470">
        <v>18203.89</v>
      </c>
      <c r="F1470">
        <v>13</v>
      </c>
      <c r="G1470" t="s">
        <v>24</v>
      </c>
      <c r="H1470">
        <v>1311.01</v>
      </c>
      <c r="I1470">
        <v>1538.79</v>
      </c>
      <c r="J1470" t="s">
        <v>17</v>
      </c>
      <c r="K1470">
        <v>0.09</v>
      </c>
      <c r="L1470" t="s">
        <v>25</v>
      </c>
      <c r="M1470" t="s">
        <v>21</v>
      </c>
    </row>
    <row r="1471" spans="1:13" x14ac:dyDescent="0.35">
      <c r="A1471">
        <v>1030</v>
      </c>
      <c r="B1471" s="1">
        <v>45056</v>
      </c>
      <c r="C1471" t="s">
        <v>14</v>
      </c>
      <c r="D1471" t="s">
        <v>23</v>
      </c>
      <c r="E1471">
        <v>202688.24</v>
      </c>
      <c r="F1471">
        <v>43</v>
      </c>
      <c r="G1471" t="s">
        <v>26</v>
      </c>
      <c r="H1471">
        <v>4696.6400000000003</v>
      </c>
      <c r="I1471">
        <v>4713.68</v>
      </c>
      <c r="J1471" t="s">
        <v>17</v>
      </c>
      <c r="K1471">
        <v>0</v>
      </c>
      <c r="L1471" t="s">
        <v>25</v>
      </c>
      <c r="M1471" t="s">
        <v>19</v>
      </c>
    </row>
    <row r="1472" spans="1:13" x14ac:dyDescent="0.35">
      <c r="A1472">
        <v>1034</v>
      </c>
      <c r="B1472" s="1">
        <v>45056</v>
      </c>
      <c r="C1472" t="s">
        <v>32</v>
      </c>
      <c r="D1472" t="s">
        <v>30</v>
      </c>
      <c r="E1472">
        <v>40491.46</v>
      </c>
      <c r="F1472">
        <v>19</v>
      </c>
      <c r="G1472" t="s">
        <v>26</v>
      </c>
      <c r="H1472">
        <v>1922.21</v>
      </c>
      <c r="I1472">
        <v>2180.83</v>
      </c>
      <c r="J1472" t="s">
        <v>17</v>
      </c>
      <c r="K1472">
        <v>0.02</v>
      </c>
      <c r="L1472" t="s">
        <v>28</v>
      </c>
      <c r="M1472" t="s">
        <v>21</v>
      </c>
    </row>
    <row r="1473" spans="1:13" x14ac:dyDescent="0.35">
      <c r="A1473">
        <v>1001</v>
      </c>
      <c r="B1473" s="1">
        <v>45056</v>
      </c>
      <c r="C1473" t="s">
        <v>22</v>
      </c>
      <c r="D1473" t="s">
        <v>30</v>
      </c>
      <c r="E1473">
        <v>234866.62</v>
      </c>
      <c r="F1473">
        <v>47</v>
      </c>
      <c r="G1473" t="s">
        <v>24</v>
      </c>
      <c r="H1473">
        <v>4865.33</v>
      </c>
      <c r="I1473">
        <v>5316.13</v>
      </c>
      <c r="J1473" t="s">
        <v>27</v>
      </c>
      <c r="K1473">
        <v>0.06</v>
      </c>
      <c r="L1473" t="s">
        <v>25</v>
      </c>
      <c r="M1473" t="s">
        <v>19</v>
      </c>
    </row>
    <row r="1474" spans="1:13" x14ac:dyDescent="0.35">
      <c r="A1474">
        <v>1063</v>
      </c>
      <c r="B1474" s="1">
        <v>45056</v>
      </c>
      <c r="C1474" t="s">
        <v>22</v>
      </c>
      <c r="D1474" t="s">
        <v>30</v>
      </c>
      <c r="E1474">
        <v>213740.85</v>
      </c>
      <c r="F1474">
        <v>47</v>
      </c>
      <c r="G1474" t="s">
        <v>31</v>
      </c>
      <c r="H1474">
        <v>4291.33</v>
      </c>
      <c r="I1474">
        <v>4658.6400000000003</v>
      </c>
      <c r="J1474" t="s">
        <v>27</v>
      </c>
      <c r="K1474">
        <v>0.02</v>
      </c>
      <c r="L1474" t="s">
        <v>28</v>
      </c>
      <c r="M1474" t="s">
        <v>21</v>
      </c>
    </row>
    <row r="1475" spans="1:13" x14ac:dyDescent="0.35">
      <c r="A1475">
        <v>1051</v>
      </c>
      <c r="B1475" s="1">
        <v>45057</v>
      </c>
      <c r="C1475" t="s">
        <v>14</v>
      </c>
      <c r="D1475" t="s">
        <v>15</v>
      </c>
      <c r="E1475">
        <v>160630.39000000001</v>
      </c>
      <c r="F1475">
        <v>36</v>
      </c>
      <c r="G1475" t="s">
        <v>24</v>
      </c>
      <c r="H1475">
        <v>4418.95</v>
      </c>
      <c r="I1475">
        <v>4647.87</v>
      </c>
      <c r="J1475" t="s">
        <v>27</v>
      </c>
      <c r="K1475">
        <v>0.04</v>
      </c>
      <c r="L1475" t="s">
        <v>25</v>
      </c>
      <c r="M1475" t="s">
        <v>19</v>
      </c>
    </row>
    <row r="1476" spans="1:13" x14ac:dyDescent="0.35">
      <c r="A1476">
        <v>1001</v>
      </c>
      <c r="B1476" s="1">
        <v>45057</v>
      </c>
      <c r="C1476" t="s">
        <v>32</v>
      </c>
      <c r="D1476" t="s">
        <v>30</v>
      </c>
      <c r="E1476">
        <v>5273.39</v>
      </c>
      <c r="F1476">
        <v>8</v>
      </c>
      <c r="G1476" t="s">
        <v>26</v>
      </c>
      <c r="H1476">
        <v>442.11</v>
      </c>
      <c r="I1476">
        <v>803.87</v>
      </c>
      <c r="J1476" t="s">
        <v>27</v>
      </c>
      <c r="K1476">
        <v>0.18</v>
      </c>
      <c r="L1476" t="s">
        <v>18</v>
      </c>
      <c r="M1476" t="s">
        <v>21</v>
      </c>
    </row>
    <row r="1477" spans="1:13" x14ac:dyDescent="0.35">
      <c r="A1477">
        <v>1003</v>
      </c>
      <c r="B1477" s="1">
        <v>45057</v>
      </c>
      <c r="C1477" t="s">
        <v>29</v>
      </c>
      <c r="D1477" t="s">
        <v>15</v>
      </c>
      <c r="E1477">
        <v>99060.61</v>
      </c>
      <c r="F1477">
        <v>26</v>
      </c>
      <c r="G1477" t="s">
        <v>31</v>
      </c>
      <c r="H1477">
        <v>3418.78</v>
      </c>
      <c r="I1477">
        <v>3824.1</v>
      </c>
      <c r="J1477" t="s">
        <v>27</v>
      </c>
      <c r="K1477">
        <v>0</v>
      </c>
      <c r="L1477" t="s">
        <v>28</v>
      </c>
      <c r="M1477" t="s">
        <v>19</v>
      </c>
    </row>
    <row r="1478" spans="1:13" x14ac:dyDescent="0.35">
      <c r="A1478">
        <v>1099</v>
      </c>
      <c r="B1478" s="1">
        <v>45057</v>
      </c>
      <c r="C1478" t="s">
        <v>33</v>
      </c>
      <c r="D1478" t="s">
        <v>23</v>
      </c>
      <c r="E1478">
        <v>176429.44</v>
      </c>
      <c r="F1478">
        <v>48</v>
      </c>
      <c r="G1478" t="s">
        <v>24</v>
      </c>
      <c r="H1478">
        <v>3441.61</v>
      </c>
      <c r="I1478">
        <v>3693.45</v>
      </c>
      <c r="J1478" t="s">
        <v>17</v>
      </c>
      <c r="K1478">
        <v>0</v>
      </c>
      <c r="L1478" t="s">
        <v>25</v>
      </c>
      <c r="M1478" t="s">
        <v>19</v>
      </c>
    </row>
    <row r="1479" spans="1:13" x14ac:dyDescent="0.35">
      <c r="A1479">
        <v>1038</v>
      </c>
      <c r="B1479" s="1">
        <v>45058</v>
      </c>
      <c r="C1479" t="s">
        <v>14</v>
      </c>
      <c r="D1479" t="s">
        <v>23</v>
      </c>
      <c r="E1479">
        <v>55240.09</v>
      </c>
      <c r="F1479">
        <v>20</v>
      </c>
      <c r="G1479" t="s">
        <v>26</v>
      </c>
      <c r="H1479">
        <v>2607.31</v>
      </c>
      <c r="I1479">
        <v>2774.86</v>
      </c>
      <c r="J1479" t="s">
        <v>27</v>
      </c>
      <c r="K1479">
        <v>0</v>
      </c>
      <c r="L1479" t="s">
        <v>28</v>
      </c>
      <c r="M1479" t="s">
        <v>21</v>
      </c>
    </row>
    <row r="1480" spans="1:13" x14ac:dyDescent="0.35">
      <c r="A1480">
        <v>1033</v>
      </c>
      <c r="B1480" s="1">
        <v>45058</v>
      </c>
      <c r="C1480" t="s">
        <v>14</v>
      </c>
      <c r="D1480" t="s">
        <v>15</v>
      </c>
      <c r="E1480">
        <v>53856.36</v>
      </c>
      <c r="F1480">
        <v>16</v>
      </c>
      <c r="G1480" t="s">
        <v>16</v>
      </c>
      <c r="H1480">
        <v>2915.88</v>
      </c>
      <c r="I1480">
        <v>3397.36</v>
      </c>
      <c r="J1480" t="s">
        <v>27</v>
      </c>
      <c r="K1480">
        <v>0.01</v>
      </c>
      <c r="L1480" t="s">
        <v>25</v>
      </c>
      <c r="M1480" t="s">
        <v>21</v>
      </c>
    </row>
    <row r="1481" spans="1:13" x14ac:dyDescent="0.35">
      <c r="A1481">
        <v>1075</v>
      </c>
      <c r="B1481" s="1">
        <v>45059</v>
      </c>
      <c r="C1481" t="s">
        <v>14</v>
      </c>
      <c r="D1481" t="s">
        <v>30</v>
      </c>
      <c r="E1481">
        <v>157097.78</v>
      </c>
      <c r="F1481">
        <v>36</v>
      </c>
      <c r="G1481" t="s">
        <v>26</v>
      </c>
      <c r="H1481">
        <v>4337.6099999999997</v>
      </c>
      <c r="I1481">
        <v>4386.82</v>
      </c>
      <c r="J1481" t="s">
        <v>17</v>
      </c>
      <c r="K1481">
        <v>0.01</v>
      </c>
      <c r="L1481" t="s">
        <v>28</v>
      </c>
      <c r="M1481" t="s">
        <v>19</v>
      </c>
    </row>
    <row r="1482" spans="1:13" x14ac:dyDescent="0.35">
      <c r="A1482">
        <v>1060</v>
      </c>
      <c r="B1482" s="1">
        <v>45059</v>
      </c>
      <c r="C1482" t="s">
        <v>29</v>
      </c>
      <c r="D1482" t="s">
        <v>20</v>
      </c>
      <c r="E1482">
        <v>101458.87</v>
      </c>
      <c r="F1482">
        <v>31</v>
      </c>
      <c r="G1482" t="s">
        <v>31</v>
      </c>
      <c r="H1482">
        <v>3161.4</v>
      </c>
      <c r="I1482">
        <v>3339.66</v>
      </c>
      <c r="J1482" t="s">
        <v>17</v>
      </c>
      <c r="K1482">
        <v>0.02</v>
      </c>
      <c r="L1482" t="s">
        <v>25</v>
      </c>
      <c r="M1482" t="s">
        <v>19</v>
      </c>
    </row>
    <row r="1483" spans="1:13" x14ac:dyDescent="0.35">
      <c r="A1483">
        <v>1039</v>
      </c>
      <c r="B1483" s="1">
        <v>45059</v>
      </c>
      <c r="C1483" t="s">
        <v>32</v>
      </c>
      <c r="D1483" t="s">
        <v>20</v>
      </c>
      <c r="E1483">
        <v>155943.73000000001</v>
      </c>
      <c r="F1483">
        <v>40</v>
      </c>
      <c r="G1483" t="s">
        <v>16</v>
      </c>
      <c r="H1483">
        <v>3536.46</v>
      </c>
      <c r="I1483">
        <v>3945.82</v>
      </c>
      <c r="J1483" t="s">
        <v>27</v>
      </c>
      <c r="K1483">
        <v>0.01</v>
      </c>
      <c r="L1483" t="s">
        <v>25</v>
      </c>
      <c r="M1483" t="s">
        <v>19</v>
      </c>
    </row>
    <row r="1484" spans="1:13" x14ac:dyDescent="0.35">
      <c r="A1484">
        <v>1087</v>
      </c>
      <c r="B1484" s="1">
        <v>45060</v>
      </c>
      <c r="C1484" t="s">
        <v>29</v>
      </c>
      <c r="D1484" t="s">
        <v>20</v>
      </c>
      <c r="E1484">
        <v>40282.19</v>
      </c>
      <c r="F1484">
        <v>10</v>
      </c>
      <c r="G1484" t="s">
        <v>31</v>
      </c>
      <c r="H1484">
        <v>3988.52</v>
      </c>
      <c r="I1484">
        <v>4240.2299999999996</v>
      </c>
      <c r="J1484" t="s">
        <v>27</v>
      </c>
      <c r="K1484">
        <v>0.05</v>
      </c>
      <c r="L1484" t="s">
        <v>28</v>
      </c>
      <c r="M1484" t="s">
        <v>19</v>
      </c>
    </row>
    <row r="1485" spans="1:13" x14ac:dyDescent="0.35">
      <c r="A1485">
        <v>1064</v>
      </c>
      <c r="B1485" s="1">
        <v>45060</v>
      </c>
      <c r="C1485" t="s">
        <v>14</v>
      </c>
      <c r="D1485" t="s">
        <v>23</v>
      </c>
      <c r="E1485">
        <v>34857.19</v>
      </c>
      <c r="F1485">
        <v>8</v>
      </c>
      <c r="G1485" t="s">
        <v>31</v>
      </c>
      <c r="H1485">
        <v>4271.99</v>
      </c>
      <c r="I1485">
        <v>4417.79</v>
      </c>
      <c r="J1485" t="s">
        <v>17</v>
      </c>
      <c r="K1485">
        <v>0.01</v>
      </c>
      <c r="L1485" t="s">
        <v>18</v>
      </c>
      <c r="M1485" t="s">
        <v>19</v>
      </c>
    </row>
    <row r="1486" spans="1:13" x14ac:dyDescent="0.35">
      <c r="A1486">
        <v>1049</v>
      </c>
      <c r="B1486" s="1">
        <v>45060</v>
      </c>
      <c r="C1486" t="s">
        <v>32</v>
      </c>
      <c r="D1486" t="s">
        <v>23</v>
      </c>
      <c r="E1486">
        <v>101804.74</v>
      </c>
      <c r="F1486">
        <v>22</v>
      </c>
      <c r="G1486" t="s">
        <v>31</v>
      </c>
      <c r="H1486">
        <v>4573.6899999999996</v>
      </c>
      <c r="I1486">
        <v>4820.3</v>
      </c>
      <c r="J1486" t="s">
        <v>27</v>
      </c>
      <c r="K1486">
        <v>0.04</v>
      </c>
      <c r="L1486" t="s">
        <v>18</v>
      </c>
      <c r="M1486" t="s">
        <v>19</v>
      </c>
    </row>
    <row r="1487" spans="1:13" x14ac:dyDescent="0.35">
      <c r="A1487">
        <v>1009</v>
      </c>
      <c r="B1487" s="1">
        <v>45060</v>
      </c>
      <c r="C1487" t="s">
        <v>22</v>
      </c>
      <c r="D1487" t="s">
        <v>20</v>
      </c>
      <c r="E1487">
        <v>123704.94</v>
      </c>
      <c r="F1487">
        <v>40</v>
      </c>
      <c r="G1487" t="s">
        <v>16</v>
      </c>
      <c r="H1487">
        <v>2799.71</v>
      </c>
      <c r="I1487">
        <v>3231.08</v>
      </c>
      <c r="J1487" t="s">
        <v>17</v>
      </c>
      <c r="K1487">
        <v>0.04</v>
      </c>
      <c r="L1487" t="s">
        <v>28</v>
      </c>
      <c r="M1487" t="s">
        <v>21</v>
      </c>
    </row>
    <row r="1488" spans="1:13" x14ac:dyDescent="0.35">
      <c r="A1488">
        <v>1001</v>
      </c>
      <c r="B1488" s="1">
        <v>45060</v>
      </c>
      <c r="C1488" t="s">
        <v>32</v>
      </c>
      <c r="D1488" t="s">
        <v>23</v>
      </c>
      <c r="E1488">
        <v>107888.27</v>
      </c>
      <c r="F1488">
        <v>35</v>
      </c>
      <c r="G1488" t="s">
        <v>31</v>
      </c>
      <c r="H1488">
        <v>2745.75</v>
      </c>
      <c r="I1488">
        <v>3244.76</v>
      </c>
      <c r="J1488" t="s">
        <v>27</v>
      </c>
      <c r="K1488">
        <v>0.05</v>
      </c>
      <c r="L1488" t="s">
        <v>25</v>
      </c>
      <c r="M1488" t="s">
        <v>19</v>
      </c>
    </row>
    <row r="1489" spans="1:13" x14ac:dyDescent="0.35">
      <c r="A1489">
        <v>1062</v>
      </c>
      <c r="B1489" s="1">
        <v>45062</v>
      </c>
      <c r="C1489" t="s">
        <v>29</v>
      </c>
      <c r="D1489" t="s">
        <v>15</v>
      </c>
      <c r="E1489">
        <v>13535.92</v>
      </c>
      <c r="F1489">
        <v>46</v>
      </c>
      <c r="G1489" t="s">
        <v>16</v>
      </c>
      <c r="H1489">
        <v>159.32</v>
      </c>
      <c r="I1489">
        <v>303.36</v>
      </c>
      <c r="J1489" t="s">
        <v>27</v>
      </c>
      <c r="K1489">
        <v>0.03</v>
      </c>
      <c r="L1489" t="s">
        <v>18</v>
      </c>
      <c r="M1489" t="s">
        <v>21</v>
      </c>
    </row>
    <row r="1490" spans="1:13" x14ac:dyDescent="0.35">
      <c r="A1490">
        <v>1049</v>
      </c>
      <c r="B1490" s="1">
        <v>45063</v>
      </c>
      <c r="C1490" t="s">
        <v>33</v>
      </c>
      <c r="D1490" t="s">
        <v>20</v>
      </c>
      <c r="E1490">
        <v>3299.77</v>
      </c>
      <c r="F1490">
        <v>1</v>
      </c>
      <c r="G1490" t="s">
        <v>16</v>
      </c>
      <c r="H1490">
        <v>3290.89</v>
      </c>
      <c r="I1490">
        <v>3317.75</v>
      </c>
      <c r="J1490" t="s">
        <v>17</v>
      </c>
      <c r="K1490">
        <v>0.01</v>
      </c>
      <c r="L1490" t="s">
        <v>25</v>
      </c>
      <c r="M1490" t="s">
        <v>19</v>
      </c>
    </row>
    <row r="1491" spans="1:13" x14ac:dyDescent="0.35">
      <c r="A1491">
        <v>1053</v>
      </c>
      <c r="B1491" s="1">
        <v>45063</v>
      </c>
      <c r="C1491" t="s">
        <v>14</v>
      </c>
      <c r="D1491" t="s">
        <v>23</v>
      </c>
      <c r="E1491">
        <v>154636.04999999999</v>
      </c>
      <c r="F1491">
        <v>36</v>
      </c>
      <c r="G1491" t="s">
        <v>26</v>
      </c>
      <c r="H1491">
        <v>4252.17</v>
      </c>
      <c r="I1491">
        <v>4720.2700000000004</v>
      </c>
      <c r="J1491" t="s">
        <v>27</v>
      </c>
      <c r="K1491">
        <v>0.09</v>
      </c>
      <c r="L1491" t="s">
        <v>18</v>
      </c>
      <c r="M1491" t="s">
        <v>21</v>
      </c>
    </row>
    <row r="1492" spans="1:13" x14ac:dyDescent="0.35">
      <c r="A1492">
        <v>1056</v>
      </c>
      <c r="B1492" s="1">
        <v>45063</v>
      </c>
      <c r="C1492" t="s">
        <v>22</v>
      </c>
      <c r="D1492" t="s">
        <v>20</v>
      </c>
      <c r="E1492">
        <v>118601.55</v>
      </c>
      <c r="F1492">
        <v>47</v>
      </c>
      <c r="G1492" t="s">
        <v>16</v>
      </c>
      <c r="H1492">
        <v>2461.6999999999998</v>
      </c>
      <c r="I1492">
        <v>2529.02</v>
      </c>
      <c r="J1492" t="s">
        <v>17</v>
      </c>
      <c r="K1492">
        <v>0</v>
      </c>
      <c r="L1492" t="s">
        <v>18</v>
      </c>
      <c r="M1492" t="s">
        <v>21</v>
      </c>
    </row>
    <row r="1493" spans="1:13" x14ac:dyDescent="0.35">
      <c r="A1493">
        <v>1004</v>
      </c>
      <c r="B1493" s="1">
        <v>45063</v>
      </c>
      <c r="C1493" t="s">
        <v>33</v>
      </c>
      <c r="D1493" t="s">
        <v>15</v>
      </c>
      <c r="E1493">
        <v>151834.26999999999</v>
      </c>
      <c r="F1493">
        <v>36</v>
      </c>
      <c r="G1493" t="s">
        <v>24</v>
      </c>
      <c r="H1493">
        <v>3981.2</v>
      </c>
      <c r="I1493">
        <v>4432.3500000000004</v>
      </c>
      <c r="J1493" t="s">
        <v>27</v>
      </c>
      <c r="K1493">
        <v>0.05</v>
      </c>
      <c r="L1493" t="s">
        <v>18</v>
      </c>
      <c r="M1493" t="s">
        <v>19</v>
      </c>
    </row>
    <row r="1494" spans="1:13" x14ac:dyDescent="0.35">
      <c r="A1494">
        <v>1050</v>
      </c>
      <c r="B1494" s="1">
        <v>45063</v>
      </c>
      <c r="C1494" t="s">
        <v>14</v>
      </c>
      <c r="D1494" t="s">
        <v>15</v>
      </c>
      <c r="E1494">
        <v>18992.23</v>
      </c>
      <c r="F1494">
        <v>45</v>
      </c>
      <c r="G1494" t="s">
        <v>16</v>
      </c>
      <c r="H1494">
        <v>112.35</v>
      </c>
      <c r="I1494">
        <v>586.17999999999995</v>
      </c>
      <c r="J1494" t="s">
        <v>17</v>
      </c>
      <c r="K1494">
        <v>0.28000000000000003</v>
      </c>
      <c r="L1494" t="s">
        <v>28</v>
      </c>
      <c r="M1494" t="s">
        <v>21</v>
      </c>
    </row>
    <row r="1495" spans="1:13" x14ac:dyDescent="0.35">
      <c r="A1495">
        <v>1063</v>
      </c>
      <c r="B1495" s="1">
        <v>45064</v>
      </c>
      <c r="C1495" t="s">
        <v>14</v>
      </c>
      <c r="D1495" t="s">
        <v>20</v>
      </c>
      <c r="E1495">
        <v>146436.43</v>
      </c>
      <c r="F1495">
        <v>39</v>
      </c>
      <c r="G1495" t="s">
        <v>24</v>
      </c>
      <c r="H1495">
        <v>3577.69</v>
      </c>
      <c r="I1495">
        <v>3931.25</v>
      </c>
      <c r="J1495" t="s">
        <v>17</v>
      </c>
      <c r="K1495">
        <v>0.04</v>
      </c>
      <c r="L1495" t="s">
        <v>18</v>
      </c>
      <c r="M1495" t="s">
        <v>21</v>
      </c>
    </row>
    <row r="1496" spans="1:13" x14ac:dyDescent="0.35">
      <c r="A1496">
        <v>1050</v>
      </c>
      <c r="B1496" s="1">
        <v>45065</v>
      </c>
      <c r="C1496" t="s">
        <v>29</v>
      </c>
      <c r="D1496" t="s">
        <v>30</v>
      </c>
      <c r="E1496">
        <v>75942.5</v>
      </c>
      <c r="F1496">
        <v>35</v>
      </c>
      <c r="G1496" t="s">
        <v>26</v>
      </c>
      <c r="H1496">
        <v>2158.69</v>
      </c>
      <c r="I1496">
        <v>2384.38</v>
      </c>
      <c r="J1496" t="s">
        <v>17</v>
      </c>
      <c r="K1496">
        <v>0.09</v>
      </c>
      <c r="L1496" t="s">
        <v>25</v>
      </c>
      <c r="M1496" t="s">
        <v>21</v>
      </c>
    </row>
    <row r="1497" spans="1:13" x14ac:dyDescent="0.35">
      <c r="A1497">
        <v>1071</v>
      </c>
      <c r="B1497" s="1">
        <v>45066</v>
      </c>
      <c r="C1497" t="s">
        <v>32</v>
      </c>
      <c r="D1497" t="s">
        <v>20</v>
      </c>
      <c r="E1497">
        <v>18087.37</v>
      </c>
      <c r="F1497">
        <v>6</v>
      </c>
      <c r="G1497" t="s">
        <v>16</v>
      </c>
      <c r="H1497">
        <v>2831.23</v>
      </c>
      <c r="I1497">
        <v>3206.98</v>
      </c>
      <c r="J1497" t="s">
        <v>17</v>
      </c>
      <c r="K1497">
        <v>0.06</v>
      </c>
      <c r="L1497" t="s">
        <v>25</v>
      </c>
      <c r="M1497" t="s">
        <v>21</v>
      </c>
    </row>
    <row r="1498" spans="1:13" x14ac:dyDescent="0.35">
      <c r="A1498">
        <v>1012</v>
      </c>
      <c r="B1498" s="1">
        <v>45066</v>
      </c>
      <c r="C1498" t="s">
        <v>14</v>
      </c>
      <c r="D1498" t="s">
        <v>15</v>
      </c>
      <c r="E1498">
        <v>60186.77</v>
      </c>
      <c r="F1498">
        <v>16</v>
      </c>
      <c r="G1498" t="s">
        <v>24</v>
      </c>
      <c r="H1498">
        <v>3466.11</v>
      </c>
      <c r="I1498">
        <v>3799.67</v>
      </c>
      <c r="J1498" t="s">
        <v>17</v>
      </c>
      <c r="K1498">
        <v>0.01</v>
      </c>
      <c r="L1498" t="s">
        <v>18</v>
      </c>
      <c r="M1498" t="s">
        <v>21</v>
      </c>
    </row>
    <row r="1499" spans="1:13" x14ac:dyDescent="0.35">
      <c r="A1499">
        <v>1059</v>
      </c>
      <c r="B1499" s="1">
        <v>45067</v>
      </c>
      <c r="C1499" t="s">
        <v>33</v>
      </c>
      <c r="D1499" t="s">
        <v>15</v>
      </c>
      <c r="E1499">
        <v>154196.47</v>
      </c>
      <c r="F1499">
        <v>37</v>
      </c>
      <c r="G1499" t="s">
        <v>31</v>
      </c>
      <c r="H1499">
        <v>4146.99</v>
      </c>
      <c r="I1499">
        <v>4172.3500000000004</v>
      </c>
      <c r="J1499" t="s">
        <v>17</v>
      </c>
      <c r="K1499">
        <v>0</v>
      </c>
      <c r="L1499" t="s">
        <v>18</v>
      </c>
      <c r="M1499" t="s">
        <v>21</v>
      </c>
    </row>
    <row r="1500" spans="1:13" x14ac:dyDescent="0.35">
      <c r="A1500">
        <v>1002</v>
      </c>
      <c r="B1500" s="1">
        <v>45067</v>
      </c>
      <c r="C1500" t="s">
        <v>29</v>
      </c>
      <c r="D1500" t="s">
        <v>20</v>
      </c>
      <c r="E1500">
        <v>57889.73</v>
      </c>
      <c r="F1500">
        <v>26</v>
      </c>
      <c r="G1500" t="s">
        <v>26</v>
      </c>
      <c r="H1500">
        <v>2041.42</v>
      </c>
      <c r="I1500">
        <v>2291.17</v>
      </c>
      <c r="J1500" t="s">
        <v>17</v>
      </c>
      <c r="K1500">
        <v>0.03</v>
      </c>
      <c r="L1500" t="s">
        <v>18</v>
      </c>
      <c r="M1500" t="s">
        <v>19</v>
      </c>
    </row>
    <row r="1501" spans="1:13" x14ac:dyDescent="0.35">
      <c r="A1501">
        <v>1008</v>
      </c>
      <c r="B1501" s="1">
        <v>45067</v>
      </c>
      <c r="C1501" t="s">
        <v>22</v>
      </c>
      <c r="D1501" t="s">
        <v>30</v>
      </c>
      <c r="E1501">
        <v>71700.429999999993</v>
      </c>
      <c r="F1501">
        <v>37</v>
      </c>
      <c r="G1501" t="s">
        <v>16</v>
      </c>
      <c r="H1501">
        <v>1712.43</v>
      </c>
      <c r="I1501">
        <v>1980.06</v>
      </c>
      <c r="J1501" t="s">
        <v>27</v>
      </c>
      <c r="K1501">
        <v>0.02</v>
      </c>
      <c r="L1501" t="s">
        <v>18</v>
      </c>
      <c r="M1501" t="s">
        <v>19</v>
      </c>
    </row>
    <row r="1502" spans="1:13" x14ac:dyDescent="0.35">
      <c r="A1502">
        <v>1049</v>
      </c>
      <c r="B1502" s="1">
        <v>45068</v>
      </c>
      <c r="C1502" t="s">
        <v>14</v>
      </c>
      <c r="D1502" t="s">
        <v>30</v>
      </c>
      <c r="E1502">
        <v>65216.67</v>
      </c>
      <c r="F1502">
        <v>19</v>
      </c>
      <c r="G1502" t="s">
        <v>26</v>
      </c>
      <c r="H1502">
        <v>3316.97</v>
      </c>
      <c r="I1502">
        <v>3544.02</v>
      </c>
      <c r="J1502" t="s">
        <v>17</v>
      </c>
      <c r="K1502">
        <v>0.03</v>
      </c>
      <c r="L1502" t="s">
        <v>18</v>
      </c>
      <c r="M1502" t="s">
        <v>19</v>
      </c>
    </row>
    <row r="1503" spans="1:13" x14ac:dyDescent="0.35">
      <c r="A1503">
        <v>1035</v>
      </c>
      <c r="B1503" s="1">
        <v>45068</v>
      </c>
      <c r="C1503" t="s">
        <v>33</v>
      </c>
      <c r="D1503" t="s">
        <v>23</v>
      </c>
      <c r="E1503">
        <v>202178.66</v>
      </c>
      <c r="F1503">
        <v>45</v>
      </c>
      <c r="G1503" t="s">
        <v>24</v>
      </c>
      <c r="H1503">
        <v>4132.79</v>
      </c>
      <c r="I1503">
        <v>4624.1000000000004</v>
      </c>
      <c r="J1503" t="s">
        <v>27</v>
      </c>
      <c r="K1503">
        <v>0.03</v>
      </c>
      <c r="L1503" t="s">
        <v>28</v>
      </c>
      <c r="M1503" t="s">
        <v>21</v>
      </c>
    </row>
    <row r="1504" spans="1:13" x14ac:dyDescent="0.35">
      <c r="A1504">
        <v>1100</v>
      </c>
      <c r="B1504" s="1">
        <v>45069</v>
      </c>
      <c r="C1504" t="s">
        <v>14</v>
      </c>
      <c r="D1504" t="s">
        <v>20</v>
      </c>
      <c r="E1504">
        <v>103610.58</v>
      </c>
      <c r="F1504">
        <v>29</v>
      </c>
      <c r="G1504" t="s">
        <v>24</v>
      </c>
      <c r="H1504">
        <v>3559.56</v>
      </c>
      <c r="I1504">
        <v>3607.15</v>
      </c>
      <c r="J1504" t="s">
        <v>17</v>
      </c>
      <c r="K1504">
        <v>0.01</v>
      </c>
      <c r="L1504" t="s">
        <v>18</v>
      </c>
      <c r="M1504" t="s">
        <v>21</v>
      </c>
    </row>
    <row r="1505" spans="1:13" x14ac:dyDescent="0.35">
      <c r="A1505">
        <v>1067</v>
      </c>
      <c r="B1505" s="1">
        <v>45069</v>
      </c>
      <c r="C1505" t="s">
        <v>14</v>
      </c>
      <c r="D1505" t="s">
        <v>15</v>
      </c>
      <c r="E1505">
        <v>129312.06</v>
      </c>
      <c r="F1505">
        <v>49</v>
      </c>
      <c r="G1505" t="s">
        <v>16</v>
      </c>
      <c r="H1505">
        <v>2628.38</v>
      </c>
      <c r="I1505">
        <v>2644.54</v>
      </c>
      <c r="J1505" t="s">
        <v>17</v>
      </c>
      <c r="K1505">
        <v>0</v>
      </c>
      <c r="L1505" t="s">
        <v>18</v>
      </c>
      <c r="M1505" t="s">
        <v>19</v>
      </c>
    </row>
    <row r="1506" spans="1:13" x14ac:dyDescent="0.35">
      <c r="A1506">
        <v>1044</v>
      </c>
      <c r="B1506" s="1">
        <v>45069</v>
      </c>
      <c r="C1506" t="s">
        <v>14</v>
      </c>
      <c r="D1506" t="s">
        <v>20</v>
      </c>
      <c r="E1506">
        <v>47100.800000000003</v>
      </c>
      <c r="F1506">
        <v>19</v>
      </c>
      <c r="G1506" t="s">
        <v>24</v>
      </c>
      <c r="H1506">
        <v>2182.75</v>
      </c>
      <c r="I1506">
        <v>2504.0300000000002</v>
      </c>
      <c r="J1506" t="s">
        <v>27</v>
      </c>
      <c r="K1506">
        <v>0.01</v>
      </c>
      <c r="L1506" t="s">
        <v>25</v>
      </c>
      <c r="M1506" t="s">
        <v>19</v>
      </c>
    </row>
    <row r="1507" spans="1:13" x14ac:dyDescent="0.35">
      <c r="A1507">
        <v>1019</v>
      </c>
      <c r="B1507" s="1">
        <v>45070</v>
      </c>
      <c r="C1507" t="s">
        <v>32</v>
      </c>
      <c r="D1507" t="s">
        <v>23</v>
      </c>
      <c r="E1507">
        <v>40942.78</v>
      </c>
      <c r="F1507">
        <v>13</v>
      </c>
      <c r="G1507" t="s">
        <v>24</v>
      </c>
      <c r="H1507">
        <v>3102.73</v>
      </c>
      <c r="I1507">
        <v>3202.68</v>
      </c>
      <c r="J1507" t="s">
        <v>27</v>
      </c>
      <c r="K1507">
        <v>0.02</v>
      </c>
      <c r="L1507" t="s">
        <v>18</v>
      </c>
      <c r="M1507" t="s">
        <v>19</v>
      </c>
    </row>
    <row r="1508" spans="1:13" x14ac:dyDescent="0.35">
      <c r="A1508">
        <v>1005</v>
      </c>
      <c r="B1508" s="1">
        <v>45071</v>
      </c>
      <c r="C1508" t="s">
        <v>32</v>
      </c>
      <c r="D1508" t="s">
        <v>15</v>
      </c>
      <c r="E1508">
        <v>2839.14</v>
      </c>
      <c r="F1508">
        <v>2</v>
      </c>
      <c r="G1508" t="s">
        <v>26</v>
      </c>
      <c r="H1508">
        <v>1392.15</v>
      </c>
      <c r="I1508">
        <v>1448.54</v>
      </c>
      <c r="J1508" t="s">
        <v>17</v>
      </c>
      <c r="K1508">
        <v>0.02</v>
      </c>
      <c r="L1508" t="s">
        <v>25</v>
      </c>
      <c r="M1508" t="s">
        <v>21</v>
      </c>
    </row>
    <row r="1509" spans="1:13" x14ac:dyDescent="0.35">
      <c r="A1509">
        <v>1091</v>
      </c>
      <c r="B1509" s="1">
        <v>45071</v>
      </c>
      <c r="C1509" t="s">
        <v>33</v>
      </c>
      <c r="D1509" t="s">
        <v>15</v>
      </c>
      <c r="E1509">
        <v>88800.24</v>
      </c>
      <c r="F1509">
        <v>24</v>
      </c>
      <c r="G1509" t="s">
        <v>26</v>
      </c>
      <c r="H1509">
        <v>3639.3</v>
      </c>
      <c r="I1509">
        <v>3750.63</v>
      </c>
      <c r="J1509" t="s">
        <v>27</v>
      </c>
      <c r="K1509">
        <v>0.01</v>
      </c>
      <c r="L1509" t="s">
        <v>25</v>
      </c>
      <c r="M1509" t="s">
        <v>21</v>
      </c>
    </row>
    <row r="1510" spans="1:13" x14ac:dyDescent="0.35">
      <c r="A1510">
        <v>1092</v>
      </c>
      <c r="B1510" s="1">
        <v>45071</v>
      </c>
      <c r="C1510" t="s">
        <v>14</v>
      </c>
      <c r="D1510" t="s">
        <v>30</v>
      </c>
      <c r="E1510">
        <v>15707.37</v>
      </c>
      <c r="F1510">
        <v>20</v>
      </c>
      <c r="G1510" t="s">
        <v>24</v>
      </c>
      <c r="H1510">
        <v>668.11</v>
      </c>
      <c r="I1510">
        <v>803.49</v>
      </c>
      <c r="J1510" t="s">
        <v>27</v>
      </c>
      <c r="K1510">
        <v>0.02</v>
      </c>
      <c r="L1510" t="s">
        <v>25</v>
      </c>
      <c r="M1510" t="s">
        <v>19</v>
      </c>
    </row>
    <row r="1511" spans="1:13" x14ac:dyDescent="0.35">
      <c r="A1511">
        <v>1042</v>
      </c>
      <c r="B1511" s="1">
        <v>45072</v>
      </c>
      <c r="C1511" t="s">
        <v>14</v>
      </c>
      <c r="D1511" t="s">
        <v>30</v>
      </c>
      <c r="E1511">
        <v>1412.72</v>
      </c>
      <c r="F1511">
        <v>1</v>
      </c>
      <c r="G1511" t="s">
        <v>31</v>
      </c>
      <c r="H1511">
        <v>1406.24</v>
      </c>
      <c r="I1511">
        <v>1535.57</v>
      </c>
      <c r="J1511" t="s">
        <v>27</v>
      </c>
      <c r="K1511">
        <v>0.08</v>
      </c>
      <c r="L1511" t="s">
        <v>28</v>
      </c>
      <c r="M1511" t="s">
        <v>21</v>
      </c>
    </row>
    <row r="1512" spans="1:13" x14ac:dyDescent="0.35">
      <c r="A1512">
        <v>1082</v>
      </c>
      <c r="B1512" s="1">
        <v>45072</v>
      </c>
      <c r="C1512" t="s">
        <v>22</v>
      </c>
      <c r="D1512" t="s">
        <v>23</v>
      </c>
      <c r="E1512">
        <v>2774.97</v>
      </c>
      <c r="F1512">
        <v>2</v>
      </c>
      <c r="G1512" t="s">
        <v>16</v>
      </c>
      <c r="H1512">
        <v>1349.3</v>
      </c>
      <c r="I1512">
        <v>1576.69</v>
      </c>
      <c r="J1512" t="s">
        <v>17</v>
      </c>
      <c r="K1512">
        <v>0.12</v>
      </c>
      <c r="L1512" t="s">
        <v>28</v>
      </c>
      <c r="M1512" t="s">
        <v>19</v>
      </c>
    </row>
    <row r="1513" spans="1:13" x14ac:dyDescent="0.35">
      <c r="A1513">
        <v>1074</v>
      </c>
      <c r="B1513" s="1">
        <v>45073</v>
      </c>
      <c r="C1513" t="s">
        <v>32</v>
      </c>
      <c r="D1513" t="s">
        <v>20</v>
      </c>
      <c r="E1513">
        <v>6928.76</v>
      </c>
      <c r="F1513">
        <v>2</v>
      </c>
      <c r="G1513" t="s">
        <v>24</v>
      </c>
      <c r="H1513">
        <v>3173.69</v>
      </c>
      <c r="I1513">
        <v>3503.11</v>
      </c>
      <c r="J1513" t="s">
        <v>27</v>
      </c>
      <c r="K1513">
        <v>0.01</v>
      </c>
      <c r="L1513" t="s">
        <v>25</v>
      </c>
      <c r="M1513" t="s">
        <v>21</v>
      </c>
    </row>
    <row r="1514" spans="1:13" x14ac:dyDescent="0.35">
      <c r="A1514">
        <v>1001</v>
      </c>
      <c r="B1514" s="1">
        <v>45073</v>
      </c>
      <c r="C1514" t="s">
        <v>33</v>
      </c>
      <c r="D1514" t="s">
        <v>23</v>
      </c>
      <c r="E1514">
        <v>31809.599999999999</v>
      </c>
      <c r="F1514">
        <v>7</v>
      </c>
      <c r="G1514" t="s">
        <v>31</v>
      </c>
      <c r="H1514">
        <v>4094.68</v>
      </c>
      <c r="I1514">
        <v>4576.5</v>
      </c>
      <c r="J1514" t="s">
        <v>27</v>
      </c>
      <c r="K1514">
        <v>0.01</v>
      </c>
      <c r="L1514" t="s">
        <v>18</v>
      </c>
      <c r="M1514" t="s">
        <v>21</v>
      </c>
    </row>
    <row r="1515" spans="1:13" x14ac:dyDescent="0.35">
      <c r="A1515">
        <v>1003</v>
      </c>
      <c r="B1515" s="1">
        <v>45073</v>
      </c>
      <c r="C1515" t="s">
        <v>32</v>
      </c>
      <c r="D1515" t="s">
        <v>30</v>
      </c>
      <c r="E1515">
        <v>17320.09</v>
      </c>
      <c r="F1515">
        <v>39</v>
      </c>
      <c r="G1515" t="s">
        <v>26</v>
      </c>
      <c r="H1515">
        <v>310.95999999999998</v>
      </c>
      <c r="I1515">
        <v>457.84</v>
      </c>
      <c r="J1515" t="s">
        <v>27</v>
      </c>
      <c r="K1515">
        <v>0.03</v>
      </c>
      <c r="L1515" t="s">
        <v>28</v>
      </c>
      <c r="M1515" t="s">
        <v>19</v>
      </c>
    </row>
    <row r="1516" spans="1:13" x14ac:dyDescent="0.35">
      <c r="A1516">
        <v>1069</v>
      </c>
      <c r="B1516" s="1">
        <v>45073</v>
      </c>
      <c r="C1516" t="s">
        <v>29</v>
      </c>
      <c r="D1516" t="s">
        <v>20</v>
      </c>
      <c r="E1516">
        <v>59393.62</v>
      </c>
      <c r="F1516">
        <v>44</v>
      </c>
      <c r="G1516" t="s">
        <v>31</v>
      </c>
      <c r="H1516">
        <v>1084.73</v>
      </c>
      <c r="I1516">
        <v>1420.9</v>
      </c>
      <c r="J1516" t="s">
        <v>17</v>
      </c>
      <c r="K1516">
        <v>0.05</v>
      </c>
      <c r="L1516" t="s">
        <v>28</v>
      </c>
      <c r="M1516" t="s">
        <v>19</v>
      </c>
    </row>
    <row r="1517" spans="1:13" x14ac:dyDescent="0.35">
      <c r="A1517">
        <v>1062</v>
      </c>
      <c r="B1517" s="1">
        <v>45074</v>
      </c>
      <c r="C1517" t="s">
        <v>14</v>
      </c>
      <c r="D1517" t="s">
        <v>23</v>
      </c>
      <c r="E1517">
        <v>26935.88</v>
      </c>
      <c r="F1517">
        <v>28</v>
      </c>
      <c r="G1517" t="s">
        <v>31</v>
      </c>
      <c r="H1517">
        <v>933.16</v>
      </c>
      <c r="I1517">
        <v>1004.7</v>
      </c>
      <c r="J1517" t="s">
        <v>17</v>
      </c>
      <c r="K1517">
        <v>0.04</v>
      </c>
      <c r="L1517" t="s">
        <v>25</v>
      </c>
      <c r="M1517" t="s">
        <v>19</v>
      </c>
    </row>
    <row r="1518" spans="1:13" x14ac:dyDescent="0.35">
      <c r="A1518">
        <v>1050</v>
      </c>
      <c r="B1518" s="1">
        <v>45074</v>
      </c>
      <c r="C1518" t="s">
        <v>33</v>
      </c>
      <c r="D1518" t="s">
        <v>15</v>
      </c>
      <c r="E1518">
        <v>24442.46</v>
      </c>
      <c r="F1518">
        <v>6</v>
      </c>
      <c r="G1518" t="s">
        <v>16</v>
      </c>
      <c r="H1518">
        <v>3763.26</v>
      </c>
      <c r="I1518">
        <v>4102.72</v>
      </c>
      <c r="J1518" t="s">
        <v>27</v>
      </c>
      <c r="K1518">
        <v>0.01</v>
      </c>
      <c r="L1518" t="s">
        <v>28</v>
      </c>
      <c r="M1518" t="s">
        <v>21</v>
      </c>
    </row>
    <row r="1519" spans="1:13" x14ac:dyDescent="0.35">
      <c r="A1519">
        <v>1006</v>
      </c>
      <c r="B1519" s="1">
        <v>45074</v>
      </c>
      <c r="C1519" t="s">
        <v>14</v>
      </c>
      <c r="D1519" t="s">
        <v>15</v>
      </c>
      <c r="E1519">
        <v>52473.29</v>
      </c>
      <c r="F1519">
        <v>11</v>
      </c>
      <c r="G1519" t="s">
        <v>24</v>
      </c>
      <c r="H1519">
        <v>4562.58</v>
      </c>
      <c r="I1519">
        <v>4925.17</v>
      </c>
      <c r="J1519" t="s">
        <v>27</v>
      </c>
      <c r="K1519">
        <v>0.03</v>
      </c>
      <c r="L1519" t="s">
        <v>18</v>
      </c>
      <c r="M1519" t="s">
        <v>21</v>
      </c>
    </row>
    <row r="1520" spans="1:13" x14ac:dyDescent="0.35">
      <c r="A1520">
        <v>1019</v>
      </c>
      <c r="B1520" s="1">
        <v>45074</v>
      </c>
      <c r="C1520" t="s">
        <v>33</v>
      </c>
      <c r="D1520" t="s">
        <v>30</v>
      </c>
      <c r="E1520">
        <v>114680.16</v>
      </c>
      <c r="F1520">
        <v>28</v>
      </c>
      <c r="G1520" t="s">
        <v>16</v>
      </c>
      <c r="H1520">
        <v>3907.86</v>
      </c>
      <c r="I1520">
        <v>4205.37</v>
      </c>
      <c r="J1520" t="s">
        <v>27</v>
      </c>
      <c r="K1520">
        <v>0.03</v>
      </c>
      <c r="L1520" t="s">
        <v>28</v>
      </c>
      <c r="M1520" t="s">
        <v>19</v>
      </c>
    </row>
    <row r="1521" spans="1:13" x14ac:dyDescent="0.35">
      <c r="A1521">
        <v>1017</v>
      </c>
      <c r="B1521" s="1">
        <v>45074</v>
      </c>
      <c r="C1521" t="s">
        <v>22</v>
      </c>
      <c r="D1521" t="s">
        <v>30</v>
      </c>
      <c r="E1521">
        <v>180339.37</v>
      </c>
      <c r="F1521">
        <v>35</v>
      </c>
      <c r="G1521" t="s">
        <v>31</v>
      </c>
      <c r="H1521">
        <v>4867.6400000000003</v>
      </c>
      <c r="I1521">
        <v>5287.05</v>
      </c>
      <c r="J1521" t="s">
        <v>17</v>
      </c>
      <c r="K1521">
        <v>0.03</v>
      </c>
      <c r="L1521" t="s">
        <v>28</v>
      </c>
      <c r="M1521" t="s">
        <v>19</v>
      </c>
    </row>
    <row r="1522" spans="1:13" x14ac:dyDescent="0.35">
      <c r="A1522">
        <v>1070</v>
      </c>
      <c r="B1522" s="1">
        <v>45075</v>
      </c>
      <c r="C1522" t="s">
        <v>29</v>
      </c>
      <c r="D1522" t="s">
        <v>23</v>
      </c>
      <c r="E1522">
        <v>54625.93</v>
      </c>
      <c r="F1522">
        <v>14</v>
      </c>
      <c r="G1522" t="s">
        <v>16</v>
      </c>
      <c r="H1522">
        <v>3796.79</v>
      </c>
      <c r="I1522">
        <v>3947.5</v>
      </c>
      <c r="J1522" t="s">
        <v>17</v>
      </c>
      <c r="K1522">
        <v>0.01</v>
      </c>
      <c r="L1522" t="s">
        <v>25</v>
      </c>
      <c r="M1522" t="s">
        <v>19</v>
      </c>
    </row>
    <row r="1523" spans="1:13" x14ac:dyDescent="0.35">
      <c r="A1523">
        <v>1069</v>
      </c>
      <c r="B1523" s="1">
        <v>45075</v>
      </c>
      <c r="C1523" t="s">
        <v>33</v>
      </c>
      <c r="D1523" t="s">
        <v>15</v>
      </c>
      <c r="E1523">
        <v>12754.06</v>
      </c>
      <c r="F1523">
        <v>30</v>
      </c>
      <c r="G1523" t="s">
        <v>31</v>
      </c>
      <c r="H1523">
        <v>300.01</v>
      </c>
      <c r="I1523">
        <v>477.68</v>
      </c>
      <c r="J1523" t="s">
        <v>27</v>
      </c>
      <c r="K1523">
        <v>0.11</v>
      </c>
      <c r="L1523" t="s">
        <v>25</v>
      </c>
      <c r="M1523" t="s">
        <v>21</v>
      </c>
    </row>
    <row r="1524" spans="1:13" x14ac:dyDescent="0.35">
      <c r="A1524">
        <v>1055</v>
      </c>
      <c r="B1524" s="1">
        <v>45075</v>
      </c>
      <c r="C1524" t="s">
        <v>32</v>
      </c>
      <c r="D1524" t="s">
        <v>15</v>
      </c>
      <c r="E1524">
        <v>43510.52</v>
      </c>
      <c r="F1524">
        <v>40</v>
      </c>
      <c r="G1524" t="s">
        <v>16</v>
      </c>
      <c r="H1524">
        <v>959.73</v>
      </c>
      <c r="I1524">
        <v>1111.4100000000001</v>
      </c>
      <c r="J1524" t="s">
        <v>27</v>
      </c>
      <c r="K1524">
        <v>0.02</v>
      </c>
      <c r="L1524" t="s">
        <v>25</v>
      </c>
      <c r="M1524" t="s">
        <v>19</v>
      </c>
    </row>
    <row r="1525" spans="1:13" x14ac:dyDescent="0.35">
      <c r="A1525">
        <v>1040</v>
      </c>
      <c r="B1525" s="1">
        <v>45076</v>
      </c>
      <c r="C1525" t="s">
        <v>33</v>
      </c>
      <c r="D1525" t="s">
        <v>23</v>
      </c>
      <c r="E1525">
        <v>81095.31</v>
      </c>
      <c r="F1525">
        <v>47</v>
      </c>
      <c r="G1525" t="s">
        <v>26</v>
      </c>
      <c r="H1525">
        <v>1656.82</v>
      </c>
      <c r="I1525">
        <v>1750.38</v>
      </c>
      <c r="J1525" t="s">
        <v>27</v>
      </c>
      <c r="K1525">
        <v>0.01</v>
      </c>
      <c r="L1525" t="s">
        <v>28</v>
      </c>
      <c r="M1525" t="s">
        <v>19</v>
      </c>
    </row>
    <row r="1526" spans="1:13" x14ac:dyDescent="0.35">
      <c r="A1526">
        <v>1002</v>
      </c>
      <c r="B1526" s="1">
        <v>45076</v>
      </c>
      <c r="C1526" t="s">
        <v>22</v>
      </c>
      <c r="D1526" t="s">
        <v>15</v>
      </c>
      <c r="E1526">
        <v>72136.850000000006</v>
      </c>
      <c r="F1526">
        <v>17</v>
      </c>
      <c r="G1526" t="s">
        <v>16</v>
      </c>
      <c r="H1526">
        <v>4024.76</v>
      </c>
      <c r="I1526">
        <v>4420.1499999999996</v>
      </c>
      <c r="J1526" t="s">
        <v>17</v>
      </c>
      <c r="K1526">
        <v>0.04</v>
      </c>
      <c r="L1526" t="s">
        <v>18</v>
      </c>
      <c r="M1526" t="s">
        <v>19</v>
      </c>
    </row>
    <row r="1527" spans="1:13" x14ac:dyDescent="0.35">
      <c r="A1527">
        <v>1002</v>
      </c>
      <c r="B1527" s="1">
        <v>45076</v>
      </c>
      <c r="C1527" t="s">
        <v>32</v>
      </c>
      <c r="D1527" t="s">
        <v>15</v>
      </c>
      <c r="E1527">
        <v>66538.97</v>
      </c>
      <c r="F1527">
        <v>44</v>
      </c>
      <c r="G1527" t="s">
        <v>16</v>
      </c>
      <c r="H1527">
        <v>1393.58</v>
      </c>
      <c r="I1527">
        <v>1533.09</v>
      </c>
      <c r="J1527" t="s">
        <v>17</v>
      </c>
      <c r="K1527">
        <v>0.01</v>
      </c>
      <c r="L1527" t="s">
        <v>28</v>
      </c>
      <c r="M1527" t="s">
        <v>21</v>
      </c>
    </row>
    <row r="1528" spans="1:13" x14ac:dyDescent="0.35">
      <c r="A1528">
        <v>1064</v>
      </c>
      <c r="B1528" s="1">
        <v>45077</v>
      </c>
      <c r="C1528" t="s">
        <v>22</v>
      </c>
      <c r="D1528" t="s">
        <v>23</v>
      </c>
      <c r="E1528">
        <v>9249.14</v>
      </c>
      <c r="F1528">
        <v>8</v>
      </c>
      <c r="G1528" t="s">
        <v>26</v>
      </c>
      <c r="H1528">
        <v>816.54</v>
      </c>
      <c r="I1528">
        <v>1191.9000000000001</v>
      </c>
      <c r="J1528" t="s">
        <v>27</v>
      </c>
      <c r="K1528">
        <v>0.03</v>
      </c>
      <c r="L1528" t="s">
        <v>18</v>
      </c>
      <c r="M1528" t="s">
        <v>21</v>
      </c>
    </row>
    <row r="1529" spans="1:13" x14ac:dyDescent="0.35">
      <c r="A1529">
        <v>1099</v>
      </c>
      <c r="B1529" s="1">
        <v>45078</v>
      </c>
      <c r="C1529" t="s">
        <v>33</v>
      </c>
      <c r="D1529" t="s">
        <v>23</v>
      </c>
      <c r="E1529">
        <v>4129.28</v>
      </c>
      <c r="F1529">
        <v>2</v>
      </c>
      <c r="G1529" t="s">
        <v>31</v>
      </c>
      <c r="H1529">
        <v>2038.4</v>
      </c>
      <c r="I1529">
        <v>2073.3200000000002</v>
      </c>
      <c r="J1529" t="s">
        <v>27</v>
      </c>
      <c r="K1529">
        <v>0</v>
      </c>
      <c r="L1529" t="s">
        <v>18</v>
      </c>
      <c r="M1529" t="s">
        <v>21</v>
      </c>
    </row>
    <row r="1530" spans="1:13" x14ac:dyDescent="0.35">
      <c r="A1530">
        <v>1013</v>
      </c>
      <c r="B1530" s="1">
        <v>45078</v>
      </c>
      <c r="C1530" t="s">
        <v>29</v>
      </c>
      <c r="D1530" t="s">
        <v>30</v>
      </c>
      <c r="E1530">
        <v>19933.27</v>
      </c>
      <c r="F1530">
        <v>16</v>
      </c>
      <c r="G1530" t="s">
        <v>16</v>
      </c>
      <c r="H1530">
        <v>1222.1500000000001</v>
      </c>
      <c r="I1530">
        <v>1284.3599999999999</v>
      </c>
      <c r="J1530" t="s">
        <v>17</v>
      </c>
      <c r="K1530">
        <v>0.03</v>
      </c>
      <c r="L1530" t="s">
        <v>28</v>
      </c>
      <c r="M1530" t="s">
        <v>21</v>
      </c>
    </row>
    <row r="1531" spans="1:13" x14ac:dyDescent="0.35">
      <c r="A1531">
        <v>1022</v>
      </c>
      <c r="B1531" s="1">
        <v>45078</v>
      </c>
      <c r="C1531" t="s">
        <v>22</v>
      </c>
      <c r="D1531" t="s">
        <v>30</v>
      </c>
      <c r="E1531">
        <v>22339.63</v>
      </c>
      <c r="F1531">
        <v>9</v>
      </c>
      <c r="G1531" t="s">
        <v>31</v>
      </c>
      <c r="H1531">
        <v>2263.65</v>
      </c>
      <c r="I1531">
        <v>2558.9499999999998</v>
      </c>
      <c r="J1531" t="s">
        <v>27</v>
      </c>
      <c r="K1531">
        <v>0.03</v>
      </c>
      <c r="L1531" t="s">
        <v>18</v>
      </c>
      <c r="M1531" t="s">
        <v>19</v>
      </c>
    </row>
    <row r="1532" spans="1:13" x14ac:dyDescent="0.35">
      <c r="A1532">
        <v>1019</v>
      </c>
      <c r="B1532" s="1">
        <v>45078</v>
      </c>
      <c r="C1532" t="s">
        <v>14</v>
      </c>
      <c r="D1532" t="s">
        <v>30</v>
      </c>
      <c r="E1532">
        <v>141672.88</v>
      </c>
      <c r="F1532">
        <v>38</v>
      </c>
      <c r="G1532" t="s">
        <v>26</v>
      </c>
      <c r="H1532">
        <v>3637.25</v>
      </c>
      <c r="I1532">
        <v>4096.96</v>
      </c>
      <c r="J1532" t="s">
        <v>17</v>
      </c>
      <c r="K1532">
        <v>0.09</v>
      </c>
      <c r="L1532" t="s">
        <v>25</v>
      </c>
      <c r="M1532" t="s">
        <v>19</v>
      </c>
    </row>
    <row r="1533" spans="1:13" x14ac:dyDescent="0.35">
      <c r="A1533">
        <v>1050</v>
      </c>
      <c r="B1533" s="1">
        <v>45078</v>
      </c>
      <c r="C1533" t="s">
        <v>14</v>
      </c>
      <c r="D1533" t="s">
        <v>23</v>
      </c>
      <c r="E1533">
        <v>93966.52</v>
      </c>
      <c r="F1533">
        <v>23</v>
      </c>
      <c r="G1533" t="s">
        <v>16</v>
      </c>
      <c r="H1533">
        <v>3756.06</v>
      </c>
      <c r="I1533">
        <v>4255.7299999999996</v>
      </c>
      <c r="J1533" t="s">
        <v>17</v>
      </c>
      <c r="K1533">
        <v>0.04</v>
      </c>
      <c r="L1533" t="s">
        <v>18</v>
      </c>
      <c r="M1533" t="s">
        <v>19</v>
      </c>
    </row>
    <row r="1534" spans="1:13" x14ac:dyDescent="0.35">
      <c r="A1534">
        <v>1086</v>
      </c>
      <c r="B1534" s="1">
        <v>45079</v>
      </c>
      <c r="C1534" t="s">
        <v>14</v>
      </c>
      <c r="D1534" t="s">
        <v>30</v>
      </c>
      <c r="E1534">
        <v>4868.3500000000004</v>
      </c>
      <c r="F1534">
        <v>3</v>
      </c>
      <c r="G1534" t="s">
        <v>31</v>
      </c>
      <c r="H1534">
        <v>1595.35</v>
      </c>
      <c r="I1534">
        <v>1625.71</v>
      </c>
      <c r="J1534" t="s">
        <v>27</v>
      </c>
      <c r="K1534">
        <v>0</v>
      </c>
      <c r="L1534" t="s">
        <v>18</v>
      </c>
      <c r="M1534" t="s">
        <v>19</v>
      </c>
    </row>
    <row r="1535" spans="1:13" x14ac:dyDescent="0.35">
      <c r="A1535">
        <v>1024</v>
      </c>
      <c r="B1535" s="1">
        <v>45079</v>
      </c>
      <c r="C1535" t="s">
        <v>33</v>
      </c>
      <c r="D1535" t="s">
        <v>20</v>
      </c>
      <c r="E1535">
        <v>7555.17</v>
      </c>
      <c r="F1535">
        <v>2</v>
      </c>
      <c r="G1535" t="s">
        <v>16</v>
      </c>
      <c r="H1535">
        <v>3604.93</v>
      </c>
      <c r="I1535">
        <v>3830.71</v>
      </c>
      <c r="J1535" t="s">
        <v>17</v>
      </c>
      <c r="K1535">
        <v>0.01</v>
      </c>
      <c r="L1535" t="s">
        <v>28</v>
      </c>
      <c r="M1535" t="s">
        <v>19</v>
      </c>
    </row>
    <row r="1536" spans="1:13" x14ac:dyDescent="0.35">
      <c r="A1536">
        <v>1057</v>
      </c>
      <c r="B1536" s="1">
        <v>45079</v>
      </c>
      <c r="C1536" t="s">
        <v>32</v>
      </c>
      <c r="D1536" t="s">
        <v>30</v>
      </c>
      <c r="E1536">
        <v>77155.97</v>
      </c>
      <c r="F1536">
        <v>22</v>
      </c>
      <c r="G1536" t="s">
        <v>24</v>
      </c>
      <c r="H1536">
        <v>3462.61</v>
      </c>
      <c r="I1536">
        <v>3672.89</v>
      </c>
      <c r="J1536" t="s">
        <v>17</v>
      </c>
      <c r="K1536">
        <v>0.05</v>
      </c>
      <c r="L1536" t="s">
        <v>28</v>
      </c>
      <c r="M1536" t="s">
        <v>19</v>
      </c>
    </row>
    <row r="1537" spans="1:13" x14ac:dyDescent="0.35">
      <c r="A1537">
        <v>1057</v>
      </c>
      <c r="B1537" s="1">
        <v>45079</v>
      </c>
      <c r="C1537" t="s">
        <v>14</v>
      </c>
      <c r="D1537" t="s">
        <v>23</v>
      </c>
      <c r="E1537">
        <v>23796.93</v>
      </c>
      <c r="F1537">
        <v>12</v>
      </c>
      <c r="G1537" t="s">
        <v>31</v>
      </c>
      <c r="H1537">
        <v>1878.3</v>
      </c>
      <c r="I1537">
        <v>2087.4499999999998</v>
      </c>
      <c r="J1537" t="s">
        <v>27</v>
      </c>
      <c r="K1537">
        <v>0.05</v>
      </c>
      <c r="L1537" t="s">
        <v>25</v>
      </c>
      <c r="M1537" t="s">
        <v>21</v>
      </c>
    </row>
    <row r="1538" spans="1:13" x14ac:dyDescent="0.35">
      <c r="A1538">
        <v>1059</v>
      </c>
      <c r="B1538" s="1">
        <v>45079</v>
      </c>
      <c r="C1538" t="s">
        <v>14</v>
      </c>
      <c r="D1538" t="s">
        <v>20</v>
      </c>
      <c r="E1538">
        <v>26573.72</v>
      </c>
      <c r="F1538">
        <v>47</v>
      </c>
      <c r="G1538" t="s">
        <v>16</v>
      </c>
      <c r="H1538">
        <v>287.17</v>
      </c>
      <c r="I1538">
        <v>657.44</v>
      </c>
      <c r="J1538" t="s">
        <v>17</v>
      </c>
      <c r="K1538">
        <v>0.14000000000000001</v>
      </c>
      <c r="L1538" t="s">
        <v>28</v>
      </c>
      <c r="M1538" t="s">
        <v>21</v>
      </c>
    </row>
    <row r="1539" spans="1:13" x14ac:dyDescent="0.35">
      <c r="A1539">
        <v>1039</v>
      </c>
      <c r="B1539" s="1">
        <v>45080</v>
      </c>
      <c r="C1539" t="s">
        <v>14</v>
      </c>
      <c r="D1539" t="s">
        <v>23</v>
      </c>
      <c r="E1539">
        <v>28520.38</v>
      </c>
      <c r="F1539">
        <v>8</v>
      </c>
      <c r="G1539" t="s">
        <v>26</v>
      </c>
      <c r="H1539">
        <v>3380.14</v>
      </c>
      <c r="I1539">
        <v>3609.34</v>
      </c>
      <c r="J1539" t="s">
        <v>17</v>
      </c>
      <c r="K1539">
        <v>0.01</v>
      </c>
      <c r="L1539" t="s">
        <v>28</v>
      </c>
      <c r="M1539" t="s">
        <v>19</v>
      </c>
    </row>
    <row r="1540" spans="1:13" x14ac:dyDescent="0.35">
      <c r="A1540">
        <v>1069</v>
      </c>
      <c r="B1540" s="1">
        <v>45080</v>
      </c>
      <c r="C1540" t="s">
        <v>22</v>
      </c>
      <c r="D1540" t="s">
        <v>20</v>
      </c>
      <c r="E1540">
        <v>62020.02</v>
      </c>
      <c r="F1540">
        <v>42</v>
      </c>
      <c r="G1540" t="s">
        <v>26</v>
      </c>
      <c r="H1540">
        <v>1434.2</v>
      </c>
      <c r="I1540">
        <v>1482.88</v>
      </c>
      <c r="J1540" t="s">
        <v>27</v>
      </c>
      <c r="K1540">
        <v>0</v>
      </c>
      <c r="L1540" t="s">
        <v>28</v>
      </c>
      <c r="M1540" t="s">
        <v>21</v>
      </c>
    </row>
    <row r="1541" spans="1:13" x14ac:dyDescent="0.35">
      <c r="A1541">
        <v>1016</v>
      </c>
      <c r="B1541" s="1">
        <v>45080</v>
      </c>
      <c r="C1541" t="s">
        <v>22</v>
      </c>
      <c r="D1541" t="s">
        <v>20</v>
      </c>
      <c r="E1541">
        <v>51185.15</v>
      </c>
      <c r="F1541">
        <v>46</v>
      </c>
      <c r="G1541" t="s">
        <v>26</v>
      </c>
      <c r="H1541">
        <v>1023.5</v>
      </c>
      <c r="I1541">
        <v>1164.4100000000001</v>
      </c>
      <c r="J1541" t="s">
        <v>17</v>
      </c>
      <c r="K1541">
        <v>0.04</v>
      </c>
      <c r="L1541" t="s">
        <v>28</v>
      </c>
      <c r="M1541" t="s">
        <v>21</v>
      </c>
    </row>
    <row r="1542" spans="1:13" x14ac:dyDescent="0.35">
      <c r="A1542">
        <v>1090</v>
      </c>
      <c r="B1542" s="1">
        <v>45080</v>
      </c>
      <c r="C1542" t="s">
        <v>22</v>
      </c>
      <c r="D1542" t="s">
        <v>23</v>
      </c>
      <c r="E1542">
        <v>12200.67</v>
      </c>
      <c r="F1542">
        <v>47</v>
      </c>
      <c r="G1542" t="s">
        <v>16</v>
      </c>
      <c r="H1542">
        <v>85.35</v>
      </c>
      <c r="I1542">
        <v>360.54</v>
      </c>
      <c r="J1542" t="s">
        <v>27</v>
      </c>
      <c r="K1542">
        <v>0.28000000000000003</v>
      </c>
      <c r="L1542" t="s">
        <v>18</v>
      </c>
      <c r="M1542" t="s">
        <v>19</v>
      </c>
    </row>
    <row r="1543" spans="1:13" x14ac:dyDescent="0.35">
      <c r="A1543">
        <v>1090</v>
      </c>
      <c r="B1543" s="1">
        <v>45080</v>
      </c>
      <c r="C1543" t="s">
        <v>32</v>
      </c>
      <c r="D1543" t="s">
        <v>15</v>
      </c>
      <c r="E1543">
        <v>99151.14</v>
      </c>
      <c r="F1543">
        <v>41</v>
      </c>
      <c r="G1543" t="s">
        <v>16</v>
      </c>
      <c r="H1543">
        <v>2055.4899999999998</v>
      </c>
      <c r="I1543">
        <v>2441.46</v>
      </c>
      <c r="J1543" t="s">
        <v>27</v>
      </c>
      <c r="K1543">
        <v>0.01</v>
      </c>
      <c r="L1543" t="s">
        <v>28</v>
      </c>
      <c r="M1543" t="s">
        <v>19</v>
      </c>
    </row>
    <row r="1544" spans="1:13" x14ac:dyDescent="0.35">
      <c r="A1544">
        <v>1021</v>
      </c>
      <c r="B1544" s="1">
        <v>45081</v>
      </c>
      <c r="C1544" t="s">
        <v>32</v>
      </c>
      <c r="D1544" t="s">
        <v>15</v>
      </c>
      <c r="E1544">
        <v>30051.279999999999</v>
      </c>
      <c r="F1544">
        <v>22</v>
      </c>
      <c r="G1544" t="s">
        <v>31</v>
      </c>
      <c r="H1544">
        <v>1296.44</v>
      </c>
      <c r="I1544">
        <v>1751.24</v>
      </c>
      <c r="J1544" t="s">
        <v>27</v>
      </c>
      <c r="K1544">
        <v>0.22</v>
      </c>
      <c r="L1544" t="s">
        <v>18</v>
      </c>
      <c r="M1544" t="s">
        <v>19</v>
      </c>
    </row>
    <row r="1545" spans="1:13" x14ac:dyDescent="0.35">
      <c r="A1545">
        <v>1096</v>
      </c>
      <c r="B1545" s="1">
        <v>45081</v>
      </c>
      <c r="C1545" t="s">
        <v>14</v>
      </c>
      <c r="D1545" t="s">
        <v>23</v>
      </c>
      <c r="E1545">
        <v>34953.19</v>
      </c>
      <c r="F1545">
        <v>14</v>
      </c>
      <c r="G1545" t="s">
        <v>16</v>
      </c>
      <c r="H1545">
        <v>2251.9499999999998</v>
      </c>
      <c r="I1545">
        <v>2626.32</v>
      </c>
      <c r="J1545" t="s">
        <v>17</v>
      </c>
      <c r="K1545">
        <v>0.05</v>
      </c>
      <c r="L1545" t="s">
        <v>28</v>
      </c>
      <c r="M1545" t="s">
        <v>19</v>
      </c>
    </row>
    <row r="1546" spans="1:13" x14ac:dyDescent="0.35">
      <c r="A1546">
        <v>1082</v>
      </c>
      <c r="B1546" s="1">
        <v>45082</v>
      </c>
      <c r="C1546" t="s">
        <v>29</v>
      </c>
      <c r="D1546" t="s">
        <v>30</v>
      </c>
      <c r="E1546">
        <v>26668.93</v>
      </c>
      <c r="F1546">
        <v>15</v>
      </c>
      <c r="G1546" t="s">
        <v>26</v>
      </c>
      <c r="H1546">
        <v>1719.47</v>
      </c>
      <c r="I1546">
        <v>1832.6</v>
      </c>
      <c r="J1546" t="s">
        <v>17</v>
      </c>
      <c r="K1546">
        <v>0.03</v>
      </c>
      <c r="L1546" t="s">
        <v>28</v>
      </c>
      <c r="M1546" t="s">
        <v>19</v>
      </c>
    </row>
    <row r="1547" spans="1:13" x14ac:dyDescent="0.35">
      <c r="A1547">
        <v>1006</v>
      </c>
      <c r="B1547" s="1">
        <v>45083</v>
      </c>
      <c r="C1547" t="s">
        <v>14</v>
      </c>
      <c r="D1547" t="s">
        <v>30</v>
      </c>
      <c r="E1547">
        <v>35924.94</v>
      </c>
      <c r="F1547">
        <v>21</v>
      </c>
      <c r="G1547" t="s">
        <v>31</v>
      </c>
      <c r="H1547">
        <v>1701.62</v>
      </c>
      <c r="I1547">
        <v>2193.2199999999998</v>
      </c>
      <c r="J1547" t="s">
        <v>27</v>
      </c>
      <c r="K1547">
        <v>0.22</v>
      </c>
      <c r="L1547" t="s">
        <v>25</v>
      </c>
      <c r="M1547" t="s">
        <v>21</v>
      </c>
    </row>
    <row r="1548" spans="1:13" x14ac:dyDescent="0.35">
      <c r="A1548">
        <v>1079</v>
      </c>
      <c r="B1548" s="1">
        <v>45083</v>
      </c>
      <c r="C1548" t="s">
        <v>22</v>
      </c>
      <c r="D1548" t="s">
        <v>23</v>
      </c>
      <c r="E1548">
        <v>67435.03</v>
      </c>
      <c r="F1548">
        <v>34</v>
      </c>
      <c r="G1548" t="s">
        <v>16</v>
      </c>
      <c r="H1548">
        <v>1967.96</v>
      </c>
      <c r="I1548">
        <v>1993.4</v>
      </c>
      <c r="J1548" t="s">
        <v>17</v>
      </c>
      <c r="K1548">
        <v>0.01</v>
      </c>
      <c r="L1548" t="s">
        <v>28</v>
      </c>
      <c r="M1548" t="s">
        <v>19</v>
      </c>
    </row>
    <row r="1549" spans="1:13" x14ac:dyDescent="0.35">
      <c r="A1549">
        <v>1033</v>
      </c>
      <c r="B1549" s="1">
        <v>45083</v>
      </c>
      <c r="C1549" t="s">
        <v>33</v>
      </c>
      <c r="D1549" t="s">
        <v>30</v>
      </c>
      <c r="E1549">
        <v>8213.3799999999992</v>
      </c>
      <c r="F1549">
        <v>32</v>
      </c>
      <c r="G1549" t="s">
        <v>24</v>
      </c>
      <c r="H1549">
        <v>108.99</v>
      </c>
      <c r="I1549">
        <v>351.6</v>
      </c>
      <c r="J1549" t="s">
        <v>17</v>
      </c>
      <c r="K1549">
        <v>0.27</v>
      </c>
      <c r="L1549" t="s">
        <v>28</v>
      </c>
      <c r="M1549" t="s">
        <v>21</v>
      </c>
    </row>
    <row r="1550" spans="1:13" x14ac:dyDescent="0.35">
      <c r="A1550">
        <v>1042</v>
      </c>
      <c r="B1550" s="1">
        <v>45083</v>
      </c>
      <c r="C1550" t="s">
        <v>14</v>
      </c>
      <c r="D1550" t="s">
        <v>15</v>
      </c>
      <c r="E1550">
        <v>68491.55</v>
      </c>
      <c r="F1550">
        <v>20</v>
      </c>
      <c r="G1550" t="s">
        <v>24</v>
      </c>
      <c r="H1550">
        <v>3115.06</v>
      </c>
      <c r="I1550">
        <v>3565.58</v>
      </c>
      <c r="J1550" t="s">
        <v>17</v>
      </c>
      <c r="K1550">
        <v>0.04</v>
      </c>
      <c r="L1550" t="s">
        <v>28</v>
      </c>
      <c r="M1550" t="s">
        <v>21</v>
      </c>
    </row>
    <row r="1551" spans="1:13" x14ac:dyDescent="0.35">
      <c r="A1551">
        <v>1045</v>
      </c>
      <c r="B1551" s="1">
        <v>45083</v>
      </c>
      <c r="C1551" t="s">
        <v>14</v>
      </c>
      <c r="D1551" t="s">
        <v>23</v>
      </c>
      <c r="E1551">
        <v>11985.6</v>
      </c>
      <c r="F1551">
        <v>15</v>
      </c>
      <c r="G1551" t="s">
        <v>31</v>
      </c>
      <c r="H1551">
        <v>316.22000000000003</v>
      </c>
      <c r="I1551">
        <v>799.04</v>
      </c>
      <c r="J1551" t="s">
        <v>27</v>
      </c>
      <c r="K1551">
        <v>0</v>
      </c>
      <c r="L1551" t="s">
        <v>25</v>
      </c>
      <c r="M1551" t="s">
        <v>19</v>
      </c>
    </row>
    <row r="1552" spans="1:13" x14ac:dyDescent="0.35">
      <c r="A1552">
        <v>1014</v>
      </c>
      <c r="B1552" s="1">
        <v>45084</v>
      </c>
      <c r="C1552" t="s">
        <v>33</v>
      </c>
      <c r="D1552" t="s">
        <v>15</v>
      </c>
      <c r="E1552">
        <v>7515.84</v>
      </c>
      <c r="F1552">
        <v>3</v>
      </c>
      <c r="G1552" t="s">
        <v>31</v>
      </c>
      <c r="H1552">
        <v>2468.29</v>
      </c>
      <c r="I1552">
        <v>2723.13</v>
      </c>
      <c r="J1552" t="s">
        <v>17</v>
      </c>
      <c r="K1552">
        <v>0.08</v>
      </c>
      <c r="L1552" t="s">
        <v>18</v>
      </c>
      <c r="M1552" t="s">
        <v>21</v>
      </c>
    </row>
    <row r="1553" spans="1:13" x14ac:dyDescent="0.35">
      <c r="A1553">
        <v>1037</v>
      </c>
      <c r="B1553" s="1">
        <v>45084</v>
      </c>
      <c r="C1553" t="s">
        <v>33</v>
      </c>
      <c r="D1553" t="s">
        <v>23</v>
      </c>
      <c r="E1553">
        <v>19903.82</v>
      </c>
      <c r="F1553">
        <v>4</v>
      </c>
      <c r="G1553" t="s">
        <v>24</v>
      </c>
      <c r="H1553">
        <v>4721.7</v>
      </c>
      <c r="I1553">
        <v>5017.58</v>
      </c>
      <c r="J1553" t="s">
        <v>27</v>
      </c>
      <c r="K1553">
        <v>0.01</v>
      </c>
      <c r="L1553" t="s">
        <v>18</v>
      </c>
      <c r="M1553" t="s">
        <v>21</v>
      </c>
    </row>
    <row r="1554" spans="1:13" x14ac:dyDescent="0.35">
      <c r="A1554">
        <v>1085</v>
      </c>
      <c r="B1554" s="1">
        <v>45084</v>
      </c>
      <c r="C1554" t="s">
        <v>29</v>
      </c>
      <c r="D1554" t="s">
        <v>30</v>
      </c>
      <c r="E1554">
        <v>99026.11</v>
      </c>
      <c r="F1554">
        <v>42</v>
      </c>
      <c r="G1554" t="s">
        <v>26</v>
      </c>
      <c r="H1554">
        <v>2254.11</v>
      </c>
      <c r="I1554">
        <v>2382.23</v>
      </c>
      <c r="J1554" t="s">
        <v>17</v>
      </c>
      <c r="K1554">
        <v>0.01</v>
      </c>
      <c r="L1554" t="s">
        <v>28</v>
      </c>
      <c r="M1554" t="s">
        <v>21</v>
      </c>
    </row>
    <row r="1555" spans="1:13" x14ac:dyDescent="0.35">
      <c r="A1555">
        <v>1099</v>
      </c>
      <c r="B1555" s="1">
        <v>45084</v>
      </c>
      <c r="C1555" t="s">
        <v>29</v>
      </c>
      <c r="D1555" t="s">
        <v>30</v>
      </c>
      <c r="E1555">
        <v>69066.240000000005</v>
      </c>
      <c r="F1555">
        <v>31</v>
      </c>
      <c r="G1555" t="s">
        <v>24</v>
      </c>
      <c r="H1555">
        <v>1974.4</v>
      </c>
      <c r="I1555">
        <v>2259.5</v>
      </c>
      <c r="J1555" t="s">
        <v>27</v>
      </c>
      <c r="K1555">
        <v>0.01</v>
      </c>
      <c r="L1555" t="s">
        <v>18</v>
      </c>
      <c r="M1555" t="s">
        <v>21</v>
      </c>
    </row>
    <row r="1556" spans="1:13" x14ac:dyDescent="0.35">
      <c r="A1556">
        <v>1012</v>
      </c>
      <c r="B1556" s="1">
        <v>45085</v>
      </c>
      <c r="C1556" t="s">
        <v>14</v>
      </c>
      <c r="D1556" t="s">
        <v>30</v>
      </c>
      <c r="E1556">
        <v>68173.39</v>
      </c>
      <c r="F1556">
        <v>19</v>
      </c>
      <c r="G1556" t="s">
        <v>16</v>
      </c>
      <c r="H1556">
        <v>3457.28</v>
      </c>
      <c r="I1556">
        <v>3598.72</v>
      </c>
      <c r="J1556" t="s">
        <v>27</v>
      </c>
      <c r="K1556">
        <v>0</v>
      </c>
      <c r="L1556" t="s">
        <v>25</v>
      </c>
      <c r="M1556" t="s">
        <v>19</v>
      </c>
    </row>
    <row r="1557" spans="1:13" x14ac:dyDescent="0.35">
      <c r="A1557">
        <v>1032</v>
      </c>
      <c r="B1557" s="1">
        <v>45085</v>
      </c>
      <c r="C1557" t="s">
        <v>32</v>
      </c>
      <c r="D1557" t="s">
        <v>20</v>
      </c>
      <c r="E1557">
        <v>239161.59</v>
      </c>
      <c r="F1557">
        <v>49</v>
      </c>
      <c r="G1557" t="s">
        <v>31</v>
      </c>
      <c r="H1557">
        <v>4812.41</v>
      </c>
      <c r="I1557">
        <v>5088</v>
      </c>
      <c r="J1557" t="s">
        <v>17</v>
      </c>
      <c r="K1557">
        <v>0.04</v>
      </c>
      <c r="L1557" t="s">
        <v>28</v>
      </c>
      <c r="M1557" t="s">
        <v>19</v>
      </c>
    </row>
    <row r="1558" spans="1:13" x14ac:dyDescent="0.35">
      <c r="A1558">
        <v>1057</v>
      </c>
      <c r="B1558" s="1">
        <v>45085</v>
      </c>
      <c r="C1558" t="s">
        <v>29</v>
      </c>
      <c r="D1558" t="s">
        <v>30</v>
      </c>
      <c r="E1558">
        <v>204698.44</v>
      </c>
      <c r="F1558">
        <v>43</v>
      </c>
      <c r="G1558" t="s">
        <v>16</v>
      </c>
      <c r="H1558">
        <v>4567.3900000000003</v>
      </c>
      <c r="I1558">
        <v>4958.78</v>
      </c>
      <c r="J1558" t="s">
        <v>27</v>
      </c>
      <c r="K1558">
        <v>0.04</v>
      </c>
      <c r="L1558" t="s">
        <v>18</v>
      </c>
      <c r="M1558" t="s">
        <v>21</v>
      </c>
    </row>
    <row r="1559" spans="1:13" x14ac:dyDescent="0.35">
      <c r="A1559">
        <v>1047</v>
      </c>
      <c r="B1559" s="1">
        <v>45086</v>
      </c>
      <c r="C1559" t="s">
        <v>22</v>
      </c>
      <c r="D1559" t="s">
        <v>30</v>
      </c>
      <c r="E1559">
        <v>13643.81</v>
      </c>
      <c r="F1559">
        <v>18</v>
      </c>
      <c r="G1559" t="s">
        <v>26</v>
      </c>
      <c r="H1559">
        <v>560.91999999999996</v>
      </c>
      <c r="I1559">
        <v>1024.31</v>
      </c>
      <c r="J1559" t="s">
        <v>17</v>
      </c>
      <c r="K1559">
        <v>0.26</v>
      </c>
      <c r="L1559" t="s">
        <v>18</v>
      </c>
      <c r="M1559" t="s">
        <v>19</v>
      </c>
    </row>
    <row r="1560" spans="1:13" x14ac:dyDescent="0.35">
      <c r="A1560">
        <v>1017</v>
      </c>
      <c r="B1560" s="1">
        <v>45086</v>
      </c>
      <c r="C1560" t="s">
        <v>29</v>
      </c>
      <c r="D1560" t="s">
        <v>30</v>
      </c>
      <c r="E1560">
        <v>164106.43</v>
      </c>
      <c r="F1560">
        <v>35</v>
      </c>
      <c r="G1560" t="s">
        <v>16</v>
      </c>
      <c r="H1560">
        <v>4480.63</v>
      </c>
      <c r="I1560">
        <v>4884.12</v>
      </c>
      <c r="J1560" t="s">
        <v>27</v>
      </c>
      <c r="K1560">
        <v>0.04</v>
      </c>
      <c r="L1560" t="s">
        <v>18</v>
      </c>
      <c r="M1560" t="s">
        <v>19</v>
      </c>
    </row>
    <row r="1561" spans="1:13" x14ac:dyDescent="0.35">
      <c r="A1561">
        <v>1093</v>
      </c>
      <c r="B1561" s="1">
        <v>45086</v>
      </c>
      <c r="C1561" t="s">
        <v>14</v>
      </c>
      <c r="D1561" t="s">
        <v>23</v>
      </c>
      <c r="E1561">
        <v>11140.37</v>
      </c>
      <c r="F1561">
        <v>38</v>
      </c>
      <c r="G1561" t="s">
        <v>24</v>
      </c>
      <c r="H1561">
        <v>86.59</v>
      </c>
      <c r="I1561">
        <v>390.89</v>
      </c>
      <c r="J1561" t="s">
        <v>17</v>
      </c>
      <c r="K1561">
        <v>0.25</v>
      </c>
      <c r="L1561" t="s">
        <v>28</v>
      </c>
      <c r="M1561" t="s">
        <v>19</v>
      </c>
    </row>
    <row r="1562" spans="1:13" x14ac:dyDescent="0.35">
      <c r="A1562">
        <v>1028</v>
      </c>
      <c r="B1562" s="1">
        <v>45087</v>
      </c>
      <c r="C1562" t="s">
        <v>33</v>
      </c>
      <c r="D1562" t="s">
        <v>15</v>
      </c>
      <c r="E1562">
        <v>6482.82</v>
      </c>
      <c r="F1562">
        <v>2</v>
      </c>
      <c r="G1562" t="s">
        <v>16</v>
      </c>
      <c r="H1562">
        <v>3146.12</v>
      </c>
      <c r="I1562">
        <v>3255.53</v>
      </c>
      <c r="J1562" t="s">
        <v>17</v>
      </c>
      <c r="K1562">
        <v>0</v>
      </c>
      <c r="L1562" t="s">
        <v>25</v>
      </c>
      <c r="M1562" t="s">
        <v>19</v>
      </c>
    </row>
    <row r="1563" spans="1:13" x14ac:dyDescent="0.35">
      <c r="A1563">
        <v>1029</v>
      </c>
      <c r="B1563" s="1">
        <v>45087</v>
      </c>
      <c r="C1563" t="s">
        <v>32</v>
      </c>
      <c r="D1563" t="s">
        <v>30</v>
      </c>
      <c r="E1563">
        <v>8466.0400000000009</v>
      </c>
      <c r="F1563">
        <v>15</v>
      </c>
      <c r="G1563" t="s">
        <v>26</v>
      </c>
      <c r="H1563">
        <v>498.27</v>
      </c>
      <c r="I1563">
        <v>634.16</v>
      </c>
      <c r="J1563" t="s">
        <v>17</v>
      </c>
      <c r="K1563">
        <v>0.11</v>
      </c>
      <c r="L1563" t="s">
        <v>28</v>
      </c>
      <c r="M1563" t="s">
        <v>21</v>
      </c>
    </row>
    <row r="1564" spans="1:13" x14ac:dyDescent="0.35">
      <c r="A1564">
        <v>1053</v>
      </c>
      <c r="B1564" s="1">
        <v>45087</v>
      </c>
      <c r="C1564" t="s">
        <v>29</v>
      </c>
      <c r="D1564" t="s">
        <v>30</v>
      </c>
      <c r="E1564">
        <v>183044.21</v>
      </c>
      <c r="F1564">
        <v>39</v>
      </c>
      <c r="G1564" t="s">
        <v>16</v>
      </c>
      <c r="H1564">
        <v>4643.67</v>
      </c>
      <c r="I1564">
        <v>4829.5200000000004</v>
      </c>
      <c r="J1564" t="s">
        <v>17</v>
      </c>
      <c r="K1564">
        <v>0.03</v>
      </c>
      <c r="L1564" t="s">
        <v>25</v>
      </c>
      <c r="M1564" t="s">
        <v>19</v>
      </c>
    </row>
    <row r="1565" spans="1:13" x14ac:dyDescent="0.35">
      <c r="A1565">
        <v>1096</v>
      </c>
      <c r="B1565" s="1">
        <v>45087</v>
      </c>
      <c r="C1565" t="s">
        <v>29</v>
      </c>
      <c r="D1565" t="s">
        <v>23</v>
      </c>
      <c r="E1565">
        <v>3472.56</v>
      </c>
      <c r="F1565">
        <v>6</v>
      </c>
      <c r="G1565" t="s">
        <v>16</v>
      </c>
      <c r="H1565">
        <v>252.62</v>
      </c>
      <c r="I1565">
        <v>742</v>
      </c>
      <c r="J1565" t="s">
        <v>27</v>
      </c>
      <c r="K1565">
        <v>0.22</v>
      </c>
      <c r="L1565" t="s">
        <v>28</v>
      </c>
      <c r="M1565" t="s">
        <v>21</v>
      </c>
    </row>
    <row r="1566" spans="1:13" x14ac:dyDescent="0.35">
      <c r="A1566">
        <v>1054</v>
      </c>
      <c r="B1566" s="1">
        <v>45087</v>
      </c>
      <c r="C1566" t="s">
        <v>14</v>
      </c>
      <c r="D1566" t="s">
        <v>23</v>
      </c>
      <c r="E1566">
        <v>100552.39</v>
      </c>
      <c r="F1566">
        <v>21</v>
      </c>
      <c r="G1566" t="s">
        <v>16</v>
      </c>
      <c r="H1566">
        <v>4668.1400000000003</v>
      </c>
      <c r="I1566">
        <v>5040.22</v>
      </c>
      <c r="J1566" t="s">
        <v>27</v>
      </c>
      <c r="K1566">
        <v>0.05</v>
      </c>
      <c r="L1566" t="s">
        <v>25</v>
      </c>
      <c r="M1566" t="s">
        <v>19</v>
      </c>
    </row>
    <row r="1567" spans="1:13" x14ac:dyDescent="0.35">
      <c r="A1567">
        <v>1085</v>
      </c>
      <c r="B1567" s="1">
        <v>45088</v>
      </c>
      <c r="C1567" t="s">
        <v>22</v>
      </c>
      <c r="D1567" t="s">
        <v>30</v>
      </c>
      <c r="E1567">
        <v>24820.67</v>
      </c>
      <c r="F1567">
        <v>8</v>
      </c>
      <c r="G1567" t="s">
        <v>24</v>
      </c>
      <c r="H1567">
        <v>3048.48</v>
      </c>
      <c r="I1567">
        <v>3198.54</v>
      </c>
      <c r="J1567" t="s">
        <v>17</v>
      </c>
      <c r="K1567">
        <v>0.03</v>
      </c>
      <c r="L1567" t="s">
        <v>25</v>
      </c>
      <c r="M1567" t="s">
        <v>19</v>
      </c>
    </row>
    <row r="1568" spans="1:13" x14ac:dyDescent="0.35">
      <c r="A1568">
        <v>1082</v>
      </c>
      <c r="B1568" s="1">
        <v>45088</v>
      </c>
      <c r="C1568" t="s">
        <v>33</v>
      </c>
      <c r="D1568" t="s">
        <v>15</v>
      </c>
      <c r="E1568">
        <v>18521.78</v>
      </c>
      <c r="F1568">
        <v>17</v>
      </c>
      <c r="G1568" t="s">
        <v>16</v>
      </c>
      <c r="H1568">
        <v>890.31</v>
      </c>
      <c r="I1568">
        <v>1159.06</v>
      </c>
      <c r="J1568" t="s">
        <v>17</v>
      </c>
      <c r="K1568">
        <v>0.06</v>
      </c>
      <c r="L1568" t="s">
        <v>18</v>
      </c>
      <c r="M1568" t="s">
        <v>21</v>
      </c>
    </row>
    <row r="1569" spans="1:13" x14ac:dyDescent="0.35">
      <c r="A1569">
        <v>1078</v>
      </c>
      <c r="B1569" s="1">
        <v>45089</v>
      </c>
      <c r="C1569" t="s">
        <v>29</v>
      </c>
      <c r="D1569" t="s">
        <v>23</v>
      </c>
      <c r="E1569">
        <v>92529.44</v>
      </c>
      <c r="F1569">
        <v>29</v>
      </c>
      <c r="G1569" t="s">
        <v>31</v>
      </c>
      <c r="H1569">
        <v>3177.81</v>
      </c>
      <c r="I1569">
        <v>3222.65</v>
      </c>
      <c r="J1569" t="s">
        <v>17</v>
      </c>
      <c r="K1569">
        <v>0.01</v>
      </c>
      <c r="L1569" t="s">
        <v>28</v>
      </c>
      <c r="M1569" t="s">
        <v>21</v>
      </c>
    </row>
    <row r="1570" spans="1:13" x14ac:dyDescent="0.35">
      <c r="A1570">
        <v>1008</v>
      </c>
      <c r="B1570" s="1">
        <v>45089</v>
      </c>
      <c r="C1570" t="s">
        <v>33</v>
      </c>
      <c r="D1570" t="s">
        <v>30</v>
      </c>
      <c r="E1570">
        <v>140035.84</v>
      </c>
      <c r="F1570">
        <v>32</v>
      </c>
      <c r="G1570" t="s">
        <v>24</v>
      </c>
      <c r="H1570">
        <v>4298.12</v>
      </c>
      <c r="I1570">
        <v>4446.8999999999996</v>
      </c>
      <c r="J1570" t="s">
        <v>27</v>
      </c>
      <c r="K1570">
        <v>0.02</v>
      </c>
      <c r="L1570" t="s">
        <v>25</v>
      </c>
      <c r="M1570" t="s">
        <v>19</v>
      </c>
    </row>
    <row r="1571" spans="1:13" x14ac:dyDescent="0.35">
      <c r="A1571">
        <v>1097</v>
      </c>
      <c r="B1571" s="1">
        <v>45090</v>
      </c>
      <c r="C1571" t="s">
        <v>29</v>
      </c>
      <c r="D1571" t="s">
        <v>30</v>
      </c>
      <c r="E1571">
        <v>21661.919999999998</v>
      </c>
      <c r="F1571">
        <v>10</v>
      </c>
      <c r="G1571" t="s">
        <v>16</v>
      </c>
      <c r="H1571">
        <v>2162.9499999999998</v>
      </c>
      <c r="I1571">
        <v>2191.19</v>
      </c>
      <c r="J1571" t="s">
        <v>17</v>
      </c>
      <c r="K1571">
        <v>0.01</v>
      </c>
      <c r="L1571" t="s">
        <v>28</v>
      </c>
      <c r="M1571" t="s">
        <v>19</v>
      </c>
    </row>
    <row r="1572" spans="1:13" x14ac:dyDescent="0.35">
      <c r="A1572">
        <v>1030</v>
      </c>
      <c r="B1572" s="1">
        <v>45090</v>
      </c>
      <c r="C1572" t="s">
        <v>29</v>
      </c>
      <c r="D1572" t="s">
        <v>20</v>
      </c>
      <c r="E1572">
        <v>20241.32</v>
      </c>
      <c r="F1572">
        <v>5</v>
      </c>
      <c r="G1572" t="s">
        <v>26</v>
      </c>
      <c r="H1572">
        <v>3932.14</v>
      </c>
      <c r="I1572">
        <v>4082.76</v>
      </c>
      <c r="J1572" t="s">
        <v>27</v>
      </c>
      <c r="K1572">
        <v>0.01</v>
      </c>
      <c r="L1572" t="s">
        <v>28</v>
      </c>
      <c r="M1572" t="s">
        <v>19</v>
      </c>
    </row>
    <row r="1573" spans="1:13" x14ac:dyDescent="0.35">
      <c r="A1573">
        <v>1007</v>
      </c>
      <c r="B1573" s="1">
        <v>45091</v>
      </c>
      <c r="C1573" t="s">
        <v>33</v>
      </c>
      <c r="D1573" t="s">
        <v>15</v>
      </c>
      <c r="E1573">
        <v>14329.94</v>
      </c>
      <c r="F1573">
        <v>9</v>
      </c>
      <c r="G1573" t="s">
        <v>26</v>
      </c>
      <c r="H1573">
        <v>1481.76</v>
      </c>
      <c r="I1573">
        <v>1668.95</v>
      </c>
      <c r="J1573" t="s">
        <v>17</v>
      </c>
      <c r="K1573">
        <v>0.05</v>
      </c>
      <c r="L1573" t="s">
        <v>28</v>
      </c>
      <c r="M1573" t="s">
        <v>21</v>
      </c>
    </row>
    <row r="1574" spans="1:13" x14ac:dyDescent="0.35">
      <c r="A1574">
        <v>1011</v>
      </c>
      <c r="B1574" s="1">
        <v>45091</v>
      </c>
      <c r="C1574" t="s">
        <v>33</v>
      </c>
      <c r="D1574" t="s">
        <v>23</v>
      </c>
      <c r="E1574">
        <v>171635.76</v>
      </c>
      <c r="F1574">
        <v>38</v>
      </c>
      <c r="G1574" t="s">
        <v>16</v>
      </c>
      <c r="H1574">
        <v>4456.67</v>
      </c>
      <c r="I1574">
        <v>4642.46</v>
      </c>
      <c r="J1574" t="s">
        <v>27</v>
      </c>
      <c r="K1574">
        <v>0.03</v>
      </c>
      <c r="L1574" t="s">
        <v>25</v>
      </c>
      <c r="M1574" t="s">
        <v>19</v>
      </c>
    </row>
    <row r="1575" spans="1:13" x14ac:dyDescent="0.35">
      <c r="A1575">
        <v>1008</v>
      </c>
      <c r="B1575" s="1">
        <v>45091</v>
      </c>
      <c r="C1575" t="s">
        <v>32</v>
      </c>
      <c r="D1575" t="s">
        <v>15</v>
      </c>
      <c r="E1575">
        <v>35853.74</v>
      </c>
      <c r="F1575">
        <v>24</v>
      </c>
      <c r="G1575" t="s">
        <v>26</v>
      </c>
      <c r="H1575">
        <v>1394.17</v>
      </c>
      <c r="I1575">
        <v>1891.02</v>
      </c>
      <c r="J1575" t="s">
        <v>27</v>
      </c>
      <c r="K1575">
        <v>0.21</v>
      </c>
      <c r="L1575" t="s">
        <v>28</v>
      </c>
      <c r="M1575" t="s">
        <v>19</v>
      </c>
    </row>
    <row r="1576" spans="1:13" x14ac:dyDescent="0.35">
      <c r="A1576">
        <v>1004</v>
      </c>
      <c r="B1576" s="1">
        <v>45092</v>
      </c>
      <c r="C1576" t="s">
        <v>33</v>
      </c>
      <c r="D1576" t="s">
        <v>30</v>
      </c>
      <c r="E1576">
        <v>41659.29</v>
      </c>
      <c r="F1576">
        <v>13</v>
      </c>
      <c r="G1576" t="s">
        <v>16</v>
      </c>
      <c r="H1576">
        <v>3087.73</v>
      </c>
      <c r="I1576">
        <v>3263.96</v>
      </c>
      <c r="J1576" t="s">
        <v>27</v>
      </c>
      <c r="K1576">
        <v>0.02</v>
      </c>
      <c r="L1576" t="s">
        <v>18</v>
      </c>
      <c r="M1576" t="s">
        <v>21</v>
      </c>
    </row>
    <row r="1577" spans="1:13" x14ac:dyDescent="0.35">
      <c r="A1577">
        <v>1075</v>
      </c>
      <c r="B1577" s="1">
        <v>45092</v>
      </c>
      <c r="C1577" t="s">
        <v>32</v>
      </c>
      <c r="D1577" t="s">
        <v>15</v>
      </c>
      <c r="E1577">
        <v>48468.25</v>
      </c>
      <c r="F1577">
        <v>26</v>
      </c>
      <c r="G1577" t="s">
        <v>16</v>
      </c>
      <c r="H1577">
        <v>1749.34</v>
      </c>
      <c r="I1577">
        <v>1935.25</v>
      </c>
      <c r="J1577" t="s">
        <v>27</v>
      </c>
      <c r="K1577">
        <v>0.04</v>
      </c>
      <c r="L1577" t="s">
        <v>28</v>
      </c>
      <c r="M1577" t="s">
        <v>19</v>
      </c>
    </row>
    <row r="1578" spans="1:13" x14ac:dyDescent="0.35">
      <c r="A1578">
        <v>1072</v>
      </c>
      <c r="B1578" s="1">
        <v>45092</v>
      </c>
      <c r="C1578" t="s">
        <v>22</v>
      </c>
      <c r="D1578" t="s">
        <v>15</v>
      </c>
      <c r="E1578">
        <v>158515.54</v>
      </c>
      <c r="F1578">
        <v>35</v>
      </c>
      <c r="G1578" t="s">
        <v>31</v>
      </c>
      <c r="H1578">
        <v>4349.3599999999997</v>
      </c>
      <c r="I1578">
        <v>4645.17</v>
      </c>
      <c r="J1578" t="s">
        <v>17</v>
      </c>
      <c r="K1578">
        <v>0.03</v>
      </c>
      <c r="L1578" t="s">
        <v>28</v>
      </c>
      <c r="M1578" t="s">
        <v>21</v>
      </c>
    </row>
    <row r="1579" spans="1:13" x14ac:dyDescent="0.35">
      <c r="A1579">
        <v>1038</v>
      </c>
      <c r="B1579" s="1">
        <v>45092</v>
      </c>
      <c r="C1579" t="s">
        <v>33</v>
      </c>
      <c r="D1579" t="s">
        <v>20</v>
      </c>
      <c r="E1579">
        <v>53512.77</v>
      </c>
      <c r="F1579">
        <v>42</v>
      </c>
      <c r="G1579" t="s">
        <v>24</v>
      </c>
      <c r="H1579">
        <v>1089.0899999999999</v>
      </c>
      <c r="I1579">
        <v>1355.44</v>
      </c>
      <c r="J1579" t="s">
        <v>27</v>
      </c>
      <c r="K1579">
        <v>0.06</v>
      </c>
      <c r="L1579" t="s">
        <v>18</v>
      </c>
      <c r="M1579" t="s">
        <v>21</v>
      </c>
    </row>
    <row r="1580" spans="1:13" x14ac:dyDescent="0.35">
      <c r="A1580">
        <v>1044</v>
      </c>
      <c r="B1580" s="1">
        <v>45094</v>
      </c>
      <c r="C1580" t="s">
        <v>29</v>
      </c>
      <c r="D1580" t="s">
        <v>15</v>
      </c>
      <c r="E1580">
        <v>15710.27</v>
      </c>
      <c r="F1580">
        <v>6</v>
      </c>
      <c r="G1580" t="s">
        <v>16</v>
      </c>
      <c r="H1580">
        <v>2388.9499999999998</v>
      </c>
      <c r="I1580">
        <v>2742.97</v>
      </c>
      <c r="J1580" t="s">
        <v>17</v>
      </c>
      <c r="K1580">
        <v>0.05</v>
      </c>
      <c r="L1580" t="s">
        <v>28</v>
      </c>
      <c r="M1580" t="s">
        <v>21</v>
      </c>
    </row>
    <row r="1581" spans="1:13" x14ac:dyDescent="0.35">
      <c r="A1581">
        <v>1092</v>
      </c>
      <c r="B1581" s="1">
        <v>45094</v>
      </c>
      <c r="C1581" t="s">
        <v>33</v>
      </c>
      <c r="D1581" t="s">
        <v>30</v>
      </c>
      <c r="E1581">
        <v>70436.91</v>
      </c>
      <c r="F1581">
        <v>47</v>
      </c>
      <c r="G1581" t="s">
        <v>16</v>
      </c>
      <c r="H1581">
        <v>1447.45</v>
      </c>
      <c r="I1581">
        <v>1703.02</v>
      </c>
      <c r="J1581" t="s">
        <v>17</v>
      </c>
      <c r="K1581">
        <v>0.12</v>
      </c>
      <c r="L1581" t="s">
        <v>25</v>
      </c>
      <c r="M1581" t="s">
        <v>21</v>
      </c>
    </row>
    <row r="1582" spans="1:13" x14ac:dyDescent="0.35">
      <c r="A1582">
        <v>1092</v>
      </c>
      <c r="B1582" s="1">
        <v>45094</v>
      </c>
      <c r="C1582" t="s">
        <v>22</v>
      </c>
      <c r="D1582" t="s">
        <v>30</v>
      </c>
      <c r="E1582">
        <v>66978.64</v>
      </c>
      <c r="F1582">
        <v>21</v>
      </c>
      <c r="G1582" t="s">
        <v>26</v>
      </c>
      <c r="H1582">
        <v>2792.2</v>
      </c>
      <c r="I1582">
        <v>3254.55</v>
      </c>
      <c r="J1582" t="s">
        <v>27</v>
      </c>
      <c r="K1582">
        <v>0.02</v>
      </c>
      <c r="L1582" t="s">
        <v>28</v>
      </c>
      <c r="M1582" t="s">
        <v>21</v>
      </c>
    </row>
    <row r="1583" spans="1:13" x14ac:dyDescent="0.35">
      <c r="A1583">
        <v>1038</v>
      </c>
      <c r="B1583" s="1">
        <v>45095</v>
      </c>
      <c r="C1583" t="s">
        <v>32</v>
      </c>
      <c r="D1583" t="s">
        <v>20</v>
      </c>
      <c r="E1583">
        <v>40685.300000000003</v>
      </c>
      <c r="F1583">
        <v>24</v>
      </c>
      <c r="G1583" t="s">
        <v>26</v>
      </c>
      <c r="H1583">
        <v>1543.91</v>
      </c>
      <c r="I1583">
        <v>1862.88</v>
      </c>
      <c r="J1583" t="s">
        <v>27</v>
      </c>
      <c r="K1583">
        <v>0.09</v>
      </c>
      <c r="L1583" t="s">
        <v>25</v>
      </c>
      <c r="M1583" t="s">
        <v>19</v>
      </c>
    </row>
    <row r="1584" spans="1:13" x14ac:dyDescent="0.35">
      <c r="A1584">
        <v>1002</v>
      </c>
      <c r="B1584" s="1">
        <v>45096</v>
      </c>
      <c r="C1584" t="s">
        <v>32</v>
      </c>
      <c r="D1584" t="s">
        <v>20</v>
      </c>
      <c r="E1584">
        <v>8508.25</v>
      </c>
      <c r="F1584">
        <v>18</v>
      </c>
      <c r="G1584" t="s">
        <v>24</v>
      </c>
      <c r="H1584">
        <v>117.63</v>
      </c>
      <c r="I1584">
        <v>576.44000000000005</v>
      </c>
      <c r="J1584" t="s">
        <v>27</v>
      </c>
      <c r="K1584">
        <v>0.18</v>
      </c>
      <c r="L1584" t="s">
        <v>28</v>
      </c>
      <c r="M1584" t="s">
        <v>21</v>
      </c>
    </row>
    <row r="1585" spans="1:13" x14ac:dyDescent="0.35">
      <c r="A1585">
        <v>1045</v>
      </c>
      <c r="B1585" s="1">
        <v>45096</v>
      </c>
      <c r="C1585" t="s">
        <v>22</v>
      </c>
      <c r="D1585" t="s">
        <v>15</v>
      </c>
      <c r="E1585">
        <v>144742.18</v>
      </c>
      <c r="F1585">
        <v>36</v>
      </c>
      <c r="G1585" t="s">
        <v>31</v>
      </c>
      <c r="H1585">
        <v>3835.64</v>
      </c>
      <c r="I1585">
        <v>4076.77</v>
      </c>
      <c r="J1585" t="s">
        <v>17</v>
      </c>
      <c r="K1585">
        <v>0.01</v>
      </c>
      <c r="L1585" t="s">
        <v>28</v>
      </c>
      <c r="M1585" t="s">
        <v>21</v>
      </c>
    </row>
    <row r="1586" spans="1:13" x14ac:dyDescent="0.35">
      <c r="A1586">
        <v>1029</v>
      </c>
      <c r="B1586" s="1">
        <v>45096</v>
      </c>
      <c r="C1586" t="s">
        <v>32</v>
      </c>
      <c r="D1586" t="s">
        <v>23</v>
      </c>
      <c r="E1586">
        <v>96138.19</v>
      </c>
      <c r="F1586">
        <v>27</v>
      </c>
      <c r="G1586" t="s">
        <v>24</v>
      </c>
      <c r="H1586">
        <v>3196.38</v>
      </c>
      <c r="I1586">
        <v>3596.64</v>
      </c>
      <c r="J1586" t="s">
        <v>27</v>
      </c>
      <c r="K1586">
        <v>0.01</v>
      </c>
      <c r="L1586" t="s">
        <v>18</v>
      </c>
      <c r="M1586" t="s">
        <v>21</v>
      </c>
    </row>
    <row r="1587" spans="1:13" x14ac:dyDescent="0.35">
      <c r="A1587">
        <v>1058</v>
      </c>
      <c r="B1587" s="1">
        <v>45097</v>
      </c>
      <c r="C1587" t="s">
        <v>32</v>
      </c>
      <c r="D1587" t="s">
        <v>20</v>
      </c>
      <c r="E1587">
        <v>131718.53</v>
      </c>
      <c r="F1587">
        <v>48</v>
      </c>
      <c r="G1587" t="s">
        <v>26</v>
      </c>
      <c r="H1587">
        <v>2614.48</v>
      </c>
      <c r="I1587">
        <v>3049.04</v>
      </c>
      <c r="J1587" t="s">
        <v>27</v>
      </c>
      <c r="K1587">
        <v>0.1</v>
      </c>
      <c r="L1587" t="s">
        <v>28</v>
      </c>
      <c r="M1587" t="s">
        <v>21</v>
      </c>
    </row>
    <row r="1588" spans="1:13" x14ac:dyDescent="0.35">
      <c r="A1588">
        <v>1012</v>
      </c>
      <c r="B1588" s="1">
        <v>45097</v>
      </c>
      <c r="C1588" t="s">
        <v>33</v>
      </c>
      <c r="D1588" t="s">
        <v>23</v>
      </c>
      <c r="E1588">
        <v>33241.449999999997</v>
      </c>
      <c r="F1588">
        <v>47</v>
      </c>
      <c r="G1588" t="s">
        <v>26</v>
      </c>
      <c r="H1588">
        <v>325.75</v>
      </c>
      <c r="I1588">
        <v>803.71</v>
      </c>
      <c r="J1588" t="s">
        <v>27</v>
      </c>
      <c r="K1588">
        <v>0.12</v>
      </c>
      <c r="L1588" t="s">
        <v>25</v>
      </c>
      <c r="M1588" t="s">
        <v>21</v>
      </c>
    </row>
    <row r="1589" spans="1:13" x14ac:dyDescent="0.35">
      <c r="A1589">
        <v>1018</v>
      </c>
      <c r="B1589" s="1">
        <v>45098</v>
      </c>
      <c r="C1589" t="s">
        <v>32</v>
      </c>
      <c r="D1589" t="s">
        <v>15</v>
      </c>
      <c r="E1589">
        <v>28970.99</v>
      </c>
      <c r="F1589">
        <v>28</v>
      </c>
      <c r="G1589" t="s">
        <v>26</v>
      </c>
      <c r="H1589">
        <v>1006.14</v>
      </c>
      <c r="I1589">
        <v>1043.45</v>
      </c>
      <c r="J1589" t="s">
        <v>27</v>
      </c>
      <c r="K1589">
        <v>0.01</v>
      </c>
      <c r="L1589" t="s">
        <v>25</v>
      </c>
      <c r="M1589" t="s">
        <v>21</v>
      </c>
    </row>
    <row r="1590" spans="1:13" x14ac:dyDescent="0.35">
      <c r="A1590">
        <v>1064</v>
      </c>
      <c r="B1590" s="1">
        <v>45098</v>
      </c>
      <c r="C1590" t="s">
        <v>14</v>
      </c>
      <c r="D1590" t="s">
        <v>20</v>
      </c>
      <c r="E1590">
        <v>50275.72</v>
      </c>
      <c r="F1590">
        <v>46</v>
      </c>
      <c r="G1590" t="s">
        <v>31</v>
      </c>
      <c r="H1590">
        <v>984.53</v>
      </c>
      <c r="I1590">
        <v>1138.49</v>
      </c>
      <c r="J1590" t="s">
        <v>27</v>
      </c>
      <c r="K1590">
        <v>0.04</v>
      </c>
      <c r="L1590" t="s">
        <v>25</v>
      </c>
      <c r="M1590" t="s">
        <v>19</v>
      </c>
    </row>
    <row r="1591" spans="1:13" x14ac:dyDescent="0.35">
      <c r="A1591">
        <v>1063</v>
      </c>
      <c r="B1591" s="1">
        <v>45099</v>
      </c>
      <c r="C1591" t="s">
        <v>14</v>
      </c>
      <c r="D1591" t="s">
        <v>23</v>
      </c>
      <c r="E1591">
        <v>104570.18</v>
      </c>
      <c r="F1591">
        <v>25</v>
      </c>
      <c r="G1591" t="s">
        <v>31</v>
      </c>
      <c r="H1591">
        <v>3997.1</v>
      </c>
      <c r="I1591">
        <v>4212.6499999999996</v>
      </c>
      <c r="J1591" t="s">
        <v>27</v>
      </c>
      <c r="K1591">
        <v>0.01</v>
      </c>
      <c r="L1591" t="s">
        <v>18</v>
      </c>
      <c r="M1591" t="s">
        <v>19</v>
      </c>
    </row>
    <row r="1592" spans="1:13" x14ac:dyDescent="0.35">
      <c r="A1592">
        <v>1079</v>
      </c>
      <c r="B1592" s="1">
        <v>45099</v>
      </c>
      <c r="C1592" t="s">
        <v>32</v>
      </c>
      <c r="D1592" t="s">
        <v>30</v>
      </c>
      <c r="E1592">
        <v>29791.31</v>
      </c>
      <c r="F1592">
        <v>49</v>
      </c>
      <c r="G1592" t="s">
        <v>26</v>
      </c>
      <c r="H1592">
        <v>437.59</v>
      </c>
      <c r="I1592">
        <v>675.54</v>
      </c>
      <c r="J1592" t="s">
        <v>17</v>
      </c>
      <c r="K1592">
        <v>0.1</v>
      </c>
      <c r="L1592" t="s">
        <v>18</v>
      </c>
      <c r="M1592" t="s">
        <v>19</v>
      </c>
    </row>
    <row r="1593" spans="1:13" x14ac:dyDescent="0.35">
      <c r="A1593">
        <v>1004</v>
      </c>
      <c r="B1593" s="1">
        <v>45099</v>
      </c>
      <c r="C1593" t="s">
        <v>32</v>
      </c>
      <c r="D1593" t="s">
        <v>23</v>
      </c>
      <c r="E1593">
        <v>102939.72</v>
      </c>
      <c r="F1593">
        <v>39</v>
      </c>
      <c r="G1593" t="s">
        <v>31</v>
      </c>
      <c r="H1593">
        <v>2416.89</v>
      </c>
      <c r="I1593">
        <v>2778.4</v>
      </c>
      <c r="J1593" t="s">
        <v>17</v>
      </c>
      <c r="K1593">
        <v>0.05</v>
      </c>
      <c r="L1593" t="s">
        <v>18</v>
      </c>
      <c r="M1593" t="s">
        <v>19</v>
      </c>
    </row>
    <row r="1594" spans="1:13" x14ac:dyDescent="0.35">
      <c r="A1594">
        <v>1084</v>
      </c>
      <c r="B1594" s="1">
        <v>45099</v>
      </c>
      <c r="C1594" t="s">
        <v>32</v>
      </c>
      <c r="D1594" t="s">
        <v>15</v>
      </c>
      <c r="E1594">
        <v>223101.03</v>
      </c>
      <c r="F1594">
        <v>49</v>
      </c>
      <c r="G1594" t="s">
        <v>16</v>
      </c>
      <c r="H1594">
        <v>4291.97</v>
      </c>
      <c r="I1594">
        <v>4645.6400000000003</v>
      </c>
      <c r="J1594" t="s">
        <v>17</v>
      </c>
      <c r="K1594">
        <v>0.02</v>
      </c>
      <c r="L1594" t="s">
        <v>28</v>
      </c>
      <c r="M1594" t="s">
        <v>19</v>
      </c>
    </row>
    <row r="1595" spans="1:13" x14ac:dyDescent="0.35">
      <c r="A1595">
        <v>1054</v>
      </c>
      <c r="B1595" s="1">
        <v>45100</v>
      </c>
      <c r="C1595" t="s">
        <v>22</v>
      </c>
      <c r="D1595" t="s">
        <v>20</v>
      </c>
      <c r="E1595">
        <v>39405.019999999997</v>
      </c>
      <c r="F1595">
        <v>27</v>
      </c>
      <c r="G1595" t="s">
        <v>31</v>
      </c>
      <c r="H1595">
        <v>1456.09</v>
      </c>
      <c r="I1595">
        <v>1510.43</v>
      </c>
      <c r="J1595" t="s">
        <v>17</v>
      </c>
      <c r="K1595">
        <v>0.03</v>
      </c>
      <c r="L1595" t="s">
        <v>18</v>
      </c>
      <c r="M1595" t="s">
        <v>21</v>
      </c>
    </row>
    <row r="1596" spans="1:13" x14ac:dyDescent="0.35">
      <c r="A1596">
        <v>1067</v>
      </c>
      <c r="B1596" s="1">
        <v>45100</v>
      </c>
      <c r="C1596" t="s">
        <v>14</v>
      </c>
      <c r="D1596" t="s">
        <v>15</v>
      </c>
      <c r="E1596">
        <v>38641.629999999997</v>
      </c>
      <c r="F1596">
        <v>11</v>
      </c>
      <c r="G1596" t="s">
        <v>16</v>
      </c>
      <c r="H1596">
        <v>3435.68</v>
      </c>
      <c r="I1596">
        <v>3552.63</v>
      </c>
      <c r="J1596" t="s">
        <v>27</v>
      </c>
      <c r="K1596">
        <v>0.01</v>
      </c>
      <c r="L1596" t="s">
        <v>18</v>
      </c>
      <c r="M1596" t="s">
        <v>21</v>
      </c>
    </row>
    <row r="1597" spans="1:13" x14ac:dyDescent="0.35">
      <c r="A1597">
        <v>1066</v>
      </c>
      <c r="B1597" s="1">
        <v>45101</v>
      </c>
      <c r="C1597" t="s">
        <v>14</v>
      </c>
      <c r="D1597" t="s">
        <v>20</v>
      </c>
      <c r="E1597">
        <v>54434.89</v>
      </c>
      <c r="F1597">
        <v>13</v>
      </c>
      <c r="G1597" t="s">
        <v>16</v>
      </c>
      <c r="H1597">
        <v>4133.92</v>
      </c>
      <c r="I1597">
        <v>4358.37</v>
      </c>
      <c r="J1597" t="s">
        <v>27</v>
      </c>
      <c r="K1597">
        <v>0.04</v>
      </c>
      <c r="L1597" t="s">
        <v>18</v>
      </c>
      <c r="M1597" t="s">
        <v>21</v>
      </c>
    </row>
    <row r="1598" spans="1:13" x14ac:dyDescent="0.35">
      <c r="A1598">
        <v>1021</v>
      </c>
      <c r="B1598" s="1">
        <v>45101</v>
      </c>
      <c r="C1598" t="s">
        <v>33</v>
      </c>
      <c r="D1598" t="s">
        <v>20</v>
      </c>
      <c r="E1598">
        <v>121862.1</v>
      </c>
      <c r="F1598">
        <v>24</v>
      </c>
      <c r="G1598" t="s">
        <v>31</v>
      </c>
      <c r="H1598">
        <v>4916.17</v>
      </c>
      <c r="I1598">
        <v>5309.32</v>
      </c>
      <c r="J1598" t="s">
        <v>17</v>
      </c>
      <c r="K1598">
        <v>0.04</v>
      </c>
      <c r="L1598" t="s">
        <v>28</v>
      </c>
      <c r="M1598" t="s">
        <v>19</v>
      </c>
    </row>
    <row r="1599" spans="1:13" x14ac:dyDescent="0.35">
      <c r="A1599">
        <v>1024</v>
      </c>
      <c r="B1599" s="1">
        <v>45101</v>
      </c>
      <c r="C1599" t="s">
        <v>33</v>
      </c>
      <c r="D1599" t="s">
        <v>15</v>
      </c>
      <c r="E1599">
        <v>139368.82</v>
      </c>
      <c r="F1599">
        <v>43</v>
      </c>
      <c r="G1599" t="s">
        <v>26</v>
      </c>
      <c r="H1599">
        <v>3105.24</v>
      </c>
      <c r="I1599">
        <v>3246.33</v>
      </c>
      <c r="J1599" t="s">
        <v>27</v>
      </c>
      <c r="K1599">
        <v>0</v>
      </c>
      <c r="L1599" t="s">
        <v>18</v>
      </c>
      <c r="M1599" t="s">
        <v>19</v>
      </c>
    </row>
    <row r="1600" spans="1:13" x14ac:dyDescent="0.35">
      <c r="A1600">
        <v>1045</v>
      </c>
      <c r="B1600" s="1">
        <v>45102</v>
      </c>
      <c r="C1600" t="s">
        <v>32</v>
      </c>
      <c r="D1600" t="s">
        <v>23</v>
      </c>
      <c r="E1600">
        <v>44529.23</v>
      </c>
      <c r="F1600">
        <v>9</v>
      </c>
      <c r="G1600" t="s">
        <v>26</v>
      </c>
      <c r="H1600">
        <v>4920.34</v>
      </c>
      <c r="I1600">
        <v>5129.1899999999996</v>
      </c>
      <c r="J1600" t="s">
        <v>17</v>
      </c>
      <c r="K1600">
        <v>0.04</v>
      </c>
      <c r="L1600" t="s">
        <v>28</v>
      </c>
      <c r="M1600" t="s">
        <v>19</v>
      </c>
    </row>
    <row r="1601" spans="1:13" x14ac:dyDescent="0.35">
      <c r="A1601">
        <v>1016</v>
      </c>
      <c r="B1601" s="1">
        <v>45102</v>
      </c>
      <c r="C1601" t="s">
        <v>33</v>
      </c>
      <c r="D1601" t="s">
        <v>20</v>
      </c>
      <c r="E1601">
        <v>6707.8</v>
      </c>
      <c r="F1601">
        <v>2</v>
      </c>
      <c r="G1601" t="s">
        <v>31</v>
      </c>
      <c r="H1601">
        <v>3144.82</v>
      </c>
      <c r="I1601">
        <v>3480.58</v>
      </c>
      <c r="J1601" t="s">
        <v>17</v>
      </c>
      <c r="K1601">
        <v>0.04</v>
      </c>
      <c r="L1601" t="s">
        <v>18</v>
      </c>
      <c r="M1601" t="s">
        <v>21</v>
      </c>
    </row>
    <row r="1602" spans="1:13" x14ac:dyDescent="0.35">
      <c r="A1602">
        <v>1031</v>
      </c>
      <c r="B1602" s="1">
        <v>45102</v>
      </c>
      <c r="C1602" t="s">
        <v>33</v>
      </c>
      <c r="D1602" t="s">
        <v>20</v>
      </c>
      <c r="E1602">
        <v>6136.05</v>
      </c>
      <c r="F1602">
        <v>10</v>
      </c>
      <c r="G1602" t="s">
        <v>31</v>
      </c>
      <c r="H1602">
        <v>566.86</v>
      </c>
      <c r="I1602">
        <v>818.14</v>
      </c>
      <c r="J1602" t="s">
        <v>17</v>
      </c>
      <c r="K1602">
        <v>0.25</v>
      </c>
      <c r="L1602" t="s">
        <v>28</v>
      </c>
      <c r="M1602" t="s">
        <v>21</v>
      </c>
    </row>
    <row r="1603" spans="1:13" x14ac:dyDescent="0.35">
      <c r="A1603">
        <v>1016</v>
      </c>
      <c r="B1603" s="1">
        <v>45103</v>
      </c>
      <c r="C1603" t="s">
        <v>29</v>
      </c>
      <c r="D1603" t="s">
        <v>15</v>
      </c>
      <c r="E1603">
        <v>10529.06</v>
      </c>
      <c r="F1603">
        <v>3</v>
      </c>
      <c r="G1603" t="s">
        <v>31</v>
      </c>
      <c r="H1603">
        <v>3401.87</v>
      </c>
      <c r="I1603">
        <v>3733.71</v>
      </c>
      <c r="J1603" t="s">
        <v>17</v>
      </c>
      <c r="K1603">
        <v>0.06</v>
      </c>
      <c r="L1603" t="s">
        <v>25</v>
      </c>
      <c r="M1603" t="s">
        <v>21</v>
      </c>
    </row>
    <row r="1604" spans="1:13" x14ac:dyDescent="0.35">
      <c r="A1604">
        <v>1089</v>
      </c>
      <c r="B1604" s="1">
        <v>45103</v>
      </c>
      <c r="C1604" t="s">
        <v>32</v>
      </c>
      <c r="D1604" t="s">
        <v>15</v>
      </c>
      <c r="E1604">
        <v>141571.57999999999</v>
      </c>
      <c r="F1604">
        <v>35</v>
      </c>
      <c r="G1604" t="s">
        <v>16</v>
      </c>
      <c r="H1604">
        <v>3925.85</v>
      </c>
      <c r="I1604">
        <v>4082.11</v>
      </c>
      <c r="J1604" t="s">
        <v>27</v>
      </c>
      <c r="K1604">
        <v>0.01</v>
      </c>
      <c r="L1604" t="s">
        <v>18</v>
      </c>
      <c r="M1604" t="s">
        <v>19</v>
      </c>
    </row>
    <row r="1605" spans="1:13" x14ac:dyDescent="0.35">
      <c r="A1605">
        <v>1064</v>
      </c>
      <c r="B1605" s="1">
        <v>45103</v>
      </c>
      <c r="C1605" t="s">
        <v>33</v>
      </c>
      <c r="D1605" t="s">
        <v>15</v>
      </c>
      <c r="E1605">
        <v>53478.78</v>
      </c>
      <c r="F1605">
        <v>21</v>
      </c>
      <c r="G1605" t="s">
        <v>26</v>
      </c>
      <c r="H1605">
        <v>2278.04</v>
      </c>
      <c r="I1605">
        <v>2598.58</v>
      </c>
      <c r="J1605" t="s">
        <v>17</v>
      </c>
      <c r="K1605">
        <v>0.02</v>
      </c>
      <c r="L1605" t="s">
        <v>28</v>
      </c>
      <c r="M1605" t="s">
        <v>21</v>
      </c>
    </row>
    <row r="1606" spans="1:13" x14ac:dyDescent="0.35">
      <c r="A1606">
        <v>1025</v>
      </c>
      <c r="B1606" s="1">
        <v>45103</v>
      </c>
      <c r="C1606" t="s">
        <v>22</v>
      </c>
      <c r="D1606" t="s">
        <v>15</v>
      </c>
      <c r="E1606">
        <v>187683.04</v>
      </c>
      <c r="F1606">
        <v>47</v>
      </c>
      <c r="G1606" t="s">
        <v>16</v>
      </c>
      <c r="H1606">
        <v>3861.61</v>
      </c>
      <c r="I1606">
        <v>3998.91</v>
      </c>
      <c r="J1606" t="s">
        <v>27</v>
      </c>
      <c r="K1606">
        <v>0</v>
      </c>
      <c r="L1606" t="s">
        <v>28</v>
      </c>
      <c r="M1606" t="s">
        <v>19</v>
      </c>
    </row>
    <row r="1607" spans="1:13" x14ac:dyDescent="0.35">
      <c r="A1607">
        <v>1071</v>
      </c>
      <c r="B1607" s="1">
        <v>45103</v>
      </c>
      <c r="C1607" t="s">
        <v>22</v>
      </c>
      <c r="D1607" t="s">
        <v>15</v>
      </c>
      <c r="E1607">
        <v>23244.55</v>
      </c>
      <c r="F1607">
        <v>35</v>
      </c>
      <c r="G1607" t="s">
        <v>26</v>
      </c>
      <c r="H1607">
        <v>295.82</v>
      </c>
      <c r="I1607">
        <v>684.67</v>
      </c>
      <c r="J1607" t="s">
        <v>27</v>
      </c>
      <c r="K1607">
        <v>0.03</v>
      </c>
      <c r="L1607" t="s">
        <v>28</v>
      </c>
      <c r="M1607" t="s">
        <v>19</v>
      </c>
    </row>
    <row r="1608" spans="1:13" x14ac:dyDescent="0.35">
      <c r="A1608">
        <v>1004</v>
      </c>
      <c r="B1608" s="1">
        <v>45104</v>
      </c>
      <c r="C1608" t="s">
        <v>33</v>
      </c>
      <c r="D1608" t="s">
        <v>20</v>
      </c>
      <c r="E1608">
        <v>5955.04</v>
      </c>
      <c r="F1608">
        <v>2</v>
      </c>
      <c r="G1608" t="s">
        <v>31</v>
      </c>
      <c r="H1608">
        <v>2953.23</v>
      </c>
      <c r="I1608">
        <v>2977.52</v>
      </c>
      <c r="J1608" t="s">
        <v>17</v>
      </c>
      <c r="K1608">
        <v>0</v>
      </c>
      <c r="L1608" t="s">
        <v>28</v>
      </c>
      <c r="M1608" t="s">
        <v>21</v>
      </c>
    </row>
    <row r="1609" spans="1:13" x14ac:dyDescent="0.35">
      <c r="A1609">
        <v>1039</v>
      </c>
      <c r="B1609" s="1">
        <v>45104</v>
      </c>
      <c r="C1609" t="s">
        <v>14</v>
      </c>
      <c r="D1609" t="s">
        <v>30</v>
      </c>
      <c r="E1609">
        <v>8983.48</v>
      </c>
      <c r="F1609">
        <v>2</v>
      </c>
      <c r="G1609" t="s">
        <v>31</v>
      </c>
      <c r="H1609">
        <v>4394.58</v>
      </c>
      <c r="I1609">
        <v>4545.78</v>
      </c>
      <c r="J1609" t="s">
        <v>17</v>
      </c>
      <c r="K1609">
        <v>0.01</v>
      </c>
      <c r="L1609" t="s">
        <v>28</v>
      </c>
      <c r="M1609" t="s">
        <v>21</v>
      </c>
    </row>
    <row r="1610" spans="1:13" x14ac:dyDescent="0.35">
      <c r="A1610">
        <v>1021</v>
      </c>
      <c r="B1610" s="1">
        <v>45104</v>
      </c>
      <c r="C1610" t="s">
        <v>29</v>
      </c>
      <c r="D1610" t="s">
        <v>15</v>
      </c>
      <c r="E1610">
        <v>27829.49</v>
      </c>
      <c r="F1610">
        <v>19</v>
      </c>
      <c r="G1610" t="s">
        <v>31</v>
      </c>
      <c r="H1610">
        <v>1222.4000000000001</v>
      </c>
      <c r="I1610">
        <v>1464.71</v>
      </c>
      <c r="J1610" t="s">
        <v>27</v>
      </c>
      <c r="K1610">
        <v>0</v>
      </c>
      <c r="L1610" t="s">
        <v>28</v>
      </c>
      <c r="M1610" t="s">
        <v>21</v>
      </c>
    </row>
    <row r="1611" spans="1:13" x14ac:dyDescent="0.35">
      <c r="A1611">
        <v>1080</v>
      </c>
      <c r="B1611" s="1">
        <v>45104</v>
      </c>
      <c r="C1611" t="s">
        <v>32</v>
      </c>
      <c r="D1611" t="s">
        <v>20</v>
      </c>
      <c r="E1611">
        <v>41617.17</v>
      </c>
      <c r="F1611">
        <v>35</v>
      </c>
      <c r="G1611" t="s">
        <v>16</v>
      </c>
      <c r="H1611">
        <v>900.97</v>
      </c>
      <c r="I1611">
        <v>1321.18</v>
      </c>
      <c r="J1611" t="s">
        <v>17</v>
      </c>
      <c r="K1611">
        <v>0.1</v>
      </c>
      <c r="L1611" t="s">
        <v>18</v>
      </c>
      <c r="M1611" t="s">
        <v>19</v>
      </c>
    </row>
    <row r="1612" spans="1:13" x14ac:dyDescent="0.35">
      <c r="A1612">
        <v>1059</v>
      </c>
      <c r="B1612" s="1">
        <v>45105</v>
      </c>
      <c r="C1612" t="s">
        <v>14</v>
      </c>
      <c r="D1612" t="s">
        <v>15</v>
      </c>
      <c r="E1612">
        <v>25668.98</v>
      </c>
      <c r="F1612">
        <v>13</v>
      </c>
      <c r="G1612" t="s">
        <v>31</v>
      </c>
      <c r="H1612">
        <v>1969.78</v>
      </c>
      <c r="I1612">
        <v>2437.6999999999998</v>
      </c>
      <c r="J1612" t="s">
        <v>27</v>
      </c>
      <c r="K1612">
        <v>0.19</v>
      </c>
      <c r="L1612" t="s">
        <v>28</v>
      </c>
      <c r="M1612" t="s">
        <v>21</v>
      </c>
    </row>
    <row r="1613" spans="1:13" x14ac:dyDescent="0.35">
      <c r="A1613">
        <v>1023</v>
      </c>
      <c r="B1613" s="1">
        <v>45105</v>
      </c>
      <c r="C1613" t="s">
        <v>32</v>
      </c>
      <c r="D1613" t="s">
        <v>30</v>
      </c>
      <c r="E1613">
        <v>38207.910000000003</v>
      </c>
      <c r="F1613">
        <v>9</v>
      </c>
      <c r="G1613" t="s">
        <v>26</v>
      </c>
      <c r="H1613">
        <v>4155.46</v>
      </c>
      <c r="I1613">
        <v>4273.6000000000004</v>
      </c>
      <c r="J1613" t="s">
        <v>17</v>
      </c>
      <c r="K1613">
        <v>0.01</v>
      </c>
      <c r="L1613" t="s">
        <v>18</v>
      </c>
      <c r="M1613" t="s">
        <v>21</v>
      </c>
    </row>
    <row r="1614" spans="1:13" x14ac:dyDescent="0.35">
      <c r="A1614">
        <v>1090</v>
      </c>
      <c r="B1614" s="1">
        <v>45105</v>
      </c>
      <c r="C1614" t="s">
        <v>29</v>
      </c>
      <c r="D1614" t="s">
        <v>15</v>
      </c>
      <c r="E1614">
        <v>160606.85999999999</v>
      </c>
      <c r="F1614">
        <v>41</v>
      </c>
      <c r="G1614" t="s">
        <v>26</v>
      </c>
      <c r="H1614">
        <v>3736.88</v>
      </c>
      <c r="I1614">
        <v>3946.77</v>
      </c>
      <c r="J1614" t="s">
        <v>17</v>
      </c>
      <c r="K1614">
        <v>0.01</v>
      </c>
      <c r="L1614" t="s">
        <v>28</v>
      </c>
      <c r="M1614" t="s">
        <v>19</v>
      </c>
    </row>
    <row r="1615" spans="1:13" x14ac:dyDescent="0.35">
      <c r="A1615">
        <v>1004</v>
      </c>
      <c r="B1615" s="1">
        <v>45105</v>
      </c>
      <c r="C1615" t="s">
        <v>14</v>
      </c>
      <c r="D1615" t="s">
        <v>20</v>
      </c>
      <c r="E1615">
        <v>193091.15</v>
      </c>
      <c r="F1615">
        <v>38</v>
      </c>
      <c r="G1615" t="s">
        <v>16</v>
      </c>
      <c r="H1615">
        <v>4881.63</v>
      </c>
      <c r="I1615">
        <v>5088.0600000000004</v>
      </c>
      <c r="J1615" t="s">
        <v>17</v>
      </c>
      <c r="K1615">
        <v>0</v>
      </c>
      <c r="L1615" t="s">
        <v>28</v>
      </c>
      <c r="M1615" t="s">
        <v>21</v>
      </c>
    </row>
    <row r="1616" spans="1:13" x14ac:dyDescent="0.35">
      <c r="A1616">
        <v>1075</v>
      </c>
      <c r="B1616" s="1">
        <v>45106</v>
      </c>
      <c r="C1616" t="s">
        <v>22</v>
      </c>
      <c r="D1616" t="s">
        <v>23</v>
      </c>
      <c r="E1616">
        <v>31220.33</v>
      </c>
      <c r="F1616">
        <v>30</v>
      </c>
      <c r="G1616" t="s">
        <v>16</v>
      </c>
      <c r="H1616">
        <v>738.06</v>
      </c>
      <c r="I1616">
        <v>1095.45</v>
      </c>
      <c r="J1616" t="s">
        <v>27</v>
      </c>
      <c r="K1616">
        <v>0.05</v>
      </c>
      <c r="L1616" t="s">
        <v>25</v>
      </c>
      <c r="M1616" t="s">
        <v>19</v>
      </c>
    </row>
    <row r="1617" spans="1:13" x14ac:dyDescent="0.35">
      <c r="A1617">
        <v>1067</v>
      </c>
      <c r="B1617" s="1">
        <v>45106</v>
      </c>
      <c r="C1617" t="s">
        <v>32</v>
      </c>
      <c r="D1617" t="s">
        <v>23</v>
      </c>
      <c r="E1617">
        <v>220632.97</v>
      </c>
      <c r="F1617">
        <v>48</v>
      </c>
      <c r="G1617" t="s">
        <v>24</v>
      </c>
      <c r="H1617">
        <v>4319.32</v>
      </c>
      <c r="I1617">
        <v>4625.5600000000004</v>
      </c>
      <c r="J1617" t="s">
        <v>17</v>
      </c>
      <c r="K1617">
        <v>0.01</v>
      </c>
      <c r="L1617" t="s">
        <v>25</v>
      </c>
      <c r="M1617" t="s">
        <v>19</v>
      </c>
    </row>
    <row r="1618" spans="1:13" x14ac:dyDescent="0.35">
      <c r="A1618">
        <v>1086</v>
      </c>
      <c r="B1618" s="1">
        <v>45107</v>
      </c>
      <c r="C1618" t="s">
        <v>14</v>
      </c>
      <c r="D1618" t="s">
        <v>15</v>
      </c>
      <c r="E1618">
        <v>103997.26</v>
      </c>
      <c r="F1618">
        <v>46</v>
      </c>
      <c r="G1618" t="s">
        <v>26</v>
      </c>
      <c r="H1618">
        <v>2245.64</v>
      </c>
      <c r="I1618">
        <v>2260.81</v>
      </c>
      <c r="J1618" t="s">
        <v>27</v>
      </c>
      <c r="K1618">
        <v>0</v>
      </c>
      <c r="L1618" t="s">
        <v>18</v>
      </c>
      <c r="M1618" t="s">
        <v>21</v>
      </c>
    </row>
    <row r="1619" spans="1:13" x14ac:dyDescent="0.35">
      <c r="A1619">
        <v>1032</v>
      </c>
      <c r="B1619" s="1">
        <v>45107</v>
      </c>
      <c r="C1619" t="s">
        <v>32</v>
      </c>
      <c r="D1619" t="s">
        <v>15</v>
      </c>
      <c r="E1619">
        <v>15847.98</v>
      </c>
      <c r="F1619">
        <v>6</v>
      </c>
      <c r="G1619" t="s">
        <v>26</v>
      </c>
      <c r="H1619">
        <v>2522.7600000000002</v>
      </c>
      <c r="I1619">
        <v>2840.14</v>
      </c>
      <c r="J1619" t="s">
        <v>17</v>
      </c>
      <c r="K1619">
        <v>7.0000000000000007E-2</v>
      </c>
      <c r="L1619" t="s">
        <v>28</v>
      </c>
      <c r="M1619" t="s">
        <v>21</v>
      </c>
    </row>
    <row r="1620" spans="1:13" x14ac:dyDescent="0.35">
      <c r="A1620">
        <v>1065</v>
      </c>
      <c r="B1620" s="1">
        <v>45107</v>
      </c>
      <c r="C1620" t="s">
        <v>32</v>
      </c>
      <c r="D1620" t="s">
        <v>23</v>
      </c>
      <c r="E1620">
        <v>18728.439999999999</v>
      </c>
      <c r="F1620">
        <v>13</v>
      </c>
      <c r="G1620" t="s">
        <v>16</v>
      </c>
      <c r="H1620">
        <v>1339</v>
      </c>
      <c r="I1620">
        <v>1441.88</v>
      </c>
      <c r="J1620" t="s">
        <v>17</v>
      </c>
      <c r="K1620">
        <v>0</v>
      </c>
      <c r="L1620" t="s">
        <v>28</v>
      </c>
      <c r="M1620" t="s">
        <v>21</v>
      </c>
    </row>
    <row r="1621" spans="1:13" x14ac:dyDescent="0.35">
      <c r="A1621">
        <v>1027</v>
      </c>
      <c r="B1621" s="1">
        <v>45108</v>
      </c>
      <c r="C1621" t="s">
        <v>32</v>
      </c>
      <c r="D1621" t="s">
        <v>15</v>
      </c>
      <c r="E1621">
        <v>25106.6</v>
      </c>
      <c r="F1621">
        <v>15</v>
      </c>
      <c r="G1621" t="s">
        <v>26</v>
      </c>
      <c r="H1621">
        <v>1615.26</v>
      </c>
      <c r="I1621">
        <v>1710.95</v>
      </c>
      <c r="J1621" t="s">
        <v>27</v>
      </c>
      <c r="K1621">
        <v>0.02</v>
      </c>
      <c r="L1621" t="s">
        <v>28</v>
      </c>
      <c r="M1621" t="s">
        <v>21</v>
      </c>
    </row>
    <row r="1622" spans="1:13" x14ac:dyDescent="0.35">
      <c r="A1622">
        <v>1090</v>
      </c>
      <c r="B1622" s="1">
        <v>45108</v>
      </c>
      <c r="C1622" t="s">
        <v>22</v>
      </c>
      <c r="D1622" t="s">
        <v>15</v>
      </c>
      <c r="E1622">
        <v>142226.51</v>
      </c>
      <c r="F1622">
        <v>31</v>
      </c>
      <c r="G1622" t="s">
        <v>16</v>
      </c>
      <c r="H1622">
        <v>4496.8599999999997</v>
      </c>
      <c r="I1622">
        <v>4880.8</v>
      </c>
      <c r="J1622" t="s">
        <v>27</v>
      </c>
      <c r="K1622">
        <v>0.06</v>
      </c>
      <c r="L1622" t="s">
        <v>18</v>
      </c>
      <c r="M1622" t="s">
        <v>21</v>
      </c>
    </row>
    <row r="1623" spans="1:13" x14ac:dyDescent="0.35">
      <c r="A1623">
        <v>1036</v>
      </c>
      <c r="B1623" s="1">
        <v>45108</v>
      </c>
      <c r="C1623" t="s">
        <v>33</v>
      </c>
      <c r="D1623" t="s">
        <v>20</v>
      </c>
      <c r="E1623">
        <v>28163.78</v>
      </c>
      <c r="F1623">
        <v>17</v>
      </c>
      <c r="G1623" t="s">
        <v>16</v>
      </c>
      <c r="H1623">
        <v>1475</v>
      </c>
      <c r="I1623">
        <v>1840.77</v>
      </c>
      <c r="J1623" t="s">
        <v>17</v>
      </c>
      <c r="K1623">
        <v>0.1</v>
      </c>
      <c r="L1623" t="s">
        <v>28</v>
      </c>
      <c r="M1623" t="s">
        <v>19</v>
      </c>
    </row>
    <row r="1624" spans="1:13" x14ac:dyDescent="0.35">
      <c r="A1624">
        <v>1014</v>
      </c>
      <c r="B1624" s="1">
        <v>45109</v>
      </c>
      <c r="C1624" t="s">
        <v>22</v>
      </c>
      <c r="D1624" t="s">
        <v>30</v>
      </c>
      <c r="E1624">
        <v>33212.61</v>
      </c>
      <c r="F1624">
        <v>7</v>
      </c>
      <c r="G1624" t="s">
        <v>26</v>
      </c>
      <c r="H1624">
        <v>4705.46</v>
      </c>
      <c r="I1624">
        <v>4747.07</v>
      </c>
      <c r="J1624" t="s">
        <v>27</v>
      </c>
      <c r="K1624">
        <v>0</v>
      </c>
      <c r="L1624" t="s">
        <v>25</v>
      </c>
      <c r="M1624" t="s">
        <v>21</v>
      </c>
    </row>
    <row r="1625" spans="1:13" x14ac:dyDescent="0.35">
      <c r="A1625">
        <v>1067</v>
      </c>
      <c r="B1625" s="1">
        <v>45109</v>
      </c>
      <c r="C1625" t="s">
        <v>33</v>
      </c>
      <c r="D1625" t="s">
        <v>15</v>
      </c>
      <c r="E1625">
        <v>33128.06</v>
      </c>
      <c r="F1625">
        <v>36</v>
      </c>
      <c r="G1625" t="s">
        <v>31</v>
      </c>
      <c r="H1625">
        <v>689.66</v>
      </c>
      <c r="I1625">
        <v>1150.28</v>
      </c>
      <c r="J1625" t="s">
        <v>27</v>
      </c>
      <c r="K1625">
        <v>0.2</v>
      </c>
      <c r="L1625" t="s">
        <v>25</v>
      </c>
      <c r="M1625" t="s">
        <v>19</v>
      </c>
    </row>
    <row r="1626" spans="1:13" x14ac:dyDescent="0.35">
      <c r="A1626">
        <v>1066</v>
      </c>
      <c r="B1626" s="1">
        <v>45110</v>
      </c>
      <c r="C1626" t="s">
        <v>29</v>
      </c>
      <c r="D1626" t="s">
        <v>15</v>
      </c>
      <c r="E1626">
        <v>41289.980000000003</v>
      </c>
      <c r="F1626">
        <v>15</v>
      </c>
      <c r="G1626" t="s">
        <v>16</v>
      </c>
      <c r="H1626">
        <v>2579.31</v>
      </c>
      <c r="I1626">
        <v>2867.36</v>
      </c>
      <c r="J1626" t="s">
        <v>17</v>
      </c>
      <c r="K1626">
        <v>0.04</v>
      </c>
      <c r="L1626" t="s">
        <v>25</v>
      </c>
      <c r="M1626" t="s">
        <v>21</v>
      </c>
    </row>
    <row r="1627" spans="1:13" x14ac:dyDescent="0.35">
      <c r="A1627">
        <v>1029</v>
      </c>
      <c r="B1627" s="1">
        <v>45111</v>
      </c>
      <c r="C1627" t="s">
        <v>29</v>
      </c>
      <c r="D1627" t="s">
        <v>15</v>
      </c>
      <c r="E1627">
        <v>34790.43</v>
      </c>
      <c r="F1627">
        <v>31</v>
      </c>
      <c r="G1627" t="s">
        <v>16</v>
      </c>
      <c r="H1627">
        <v>951.21</v>
      </c>
      <c r="I1627">
        <v>1320.32</v>
      </c>
      <c r="J1627" t="s">
        <v>27</v>
      </c>
      <c r="K1627">
        <v>0.15</v>
      </c>
      <c r="L1627" t="s">
        <v>18</v>
      </c>
      <c r="M1627" t="s">
        <v>19</v>
      </c>
    </row>
    <row r="1628" spans="1:13" x14ac:dyDescent="0.35">
      <c r="A1628">
        <v>1067</v>
      </c>
      <c r="B1628" s="1">
        <v>45112</v>
      </c>
      <c r="C1628" t="s">
        <v>33</v>
      </c>
      <c r="D1628" t="s">
        <v>20</v>
      </c>
      <c r="E1628">
        <v>102593.19</v>
      </c>
      <c r="F1628">
        <v>27</v>
      </c>
      <c r="G1628" t="s">
        <v>16</v>
      </c>
      <c r="H1628">
        <v>3624.97</v>
      </c>
      <c r="I1628">
        <v>3836.52</v>
      </c>
      <c r="J1628" t="s">
        <v>27</v>
      </c>
      <c r="K1628">
        <v>0.01</v>
      </c>
      <c r="L1628" t="s">
        <v>18</v>
      </c>
      <c r="M1628" t="s">
        <v>19</v>
      </c>
    </row>
    <row r="1629" spans="1:13" x14ac:dyDescent="0.35">
      <c r="A1629">
        <v>1055</v>
      </c>
      <c r="B1629" s="1">
        <v>45113</v>
      </c>
      <c r="C1629" t="s">
        <v>32</v>
      </c>
      <c r="D1629" t="s">
        <v>23</v>
      </c>
      <c r="E1629">
        <v>68181.42</v>
      </c>
      <c r="F1629">
        <v>16</v>
      </c>
      <c r="G1629" t="s">
        <v>26</v>
      </c>
      <c r="H1629">
        <v>4195.38</v>
      </c>
      <c r="I1629">
        <v>4461.51</v>
      </c>
      <c r="J1629" t="s">
        <v>17</v>
      </c>
      <c r="K1629">
        <v>0.04</v>
      </c>
      <c r="L1629" t="s">
        <v>25</v>
      </c>
      <c r="M1629" t="s">
        <v>19</v>
      </c>
    </row>
    <row r="1630" spans="1:13" x14ac:dyDescent="0.35">
      <c r="A1630">
        <v>1053</v>
      </c>
      <c r="B1630" s="1">
        <v>45113</v>
      </c>
      <c r="C1630" t="s">
        <v>29</v>
      </c>
      <c r="D1630" t="s">
        <v>30</v>
      </c>
      <c r="E1630">
        <v>4874.2299999999996</v>
      </c>
      <c r="F1630">
        <v>11</v>
      </c>
      <c r="G1630" t="s">
        <v>31</v>
      </c>
      <c r="H1630">
        <v>200.56</v>
      </c>
      <c r="I1630">
        <v>540.38</v>
      </c>
      <c r="J1630" t="s">
        <v>27</v>
      </c>
      <c r="K1630">
        <v>0.18</v>
      </c>
      <c r="L1630" t="s">
        <v>25</v>
      </c>
      <c r="M1630" t="s">
        <v>19</v>
      </c>
    </row>
    <row r="1631" spans="1:13" x14ac:dyDescent="0.35">
      <c r="A1631">
        <v>1033</v>
      </c>
      <c r="B1631" s="1">
        <v>45114</v>
      </c>
      <c r="C1631" t="s">
        <v>32</v>
      </c>
      <c r="D1631" t="s">
        <v>30</v>
      </c>
      <c r="E1631">
        <v>56647.37</v>
      </c>
      <c r="F1631">
        <v>13</v>
      </c>
      <c r="G1631" t="s">
        <v>24</v>
      </c>
      <c r="H1631">
        <v>4342.53</v>
      </c>
      <c r="I1631">
        <v>4357.49</v>
      </c>
      <c r="J1631" t="s">
        <v>27</v>
      </c>
      <c r="K1631">
        <v>0</v>
      </c>
      <c r="L1631" t="s">
        <v>25</v>
      </c>
      <c r="M1631" t="s">
        <v>19</v>
      </c>
    </row>
    <row r="1632" spans="1:13" x14ac:dyDescent="0.35">
      <c r="A1632">
        <v>1092</v>
      </c>
      <c r="B1632" s="1">
        <v>45114</v>
      </c>
      <c r="C1632" t="s">
        <v>33</v>
      </c>
      <c r="D1632" t="s">
        <v>23</v>
      </c>
      <c r="E1632">
        <v>36365.14</v>
      </c>
      <c r="F1632">
        <v>14</v>
      </c>
      <c r="G1632" t="s">
        <v>16</v>
      </c>
      <c r="H1632">
        <v>2559.65</v>
      </c>
      <c r="I1632">
        <v>2709.4</v>
      </c>
      <c r="J1632" t="s">
        <v>17</v>
      </c>
      <c r="K1632">
        <v>0.04</v>
      </c>
      <c r="L1632" t="s">
        <v>28</v>
      </c>
      <c r="M1632" t="s">
        <v>21</v>
      </c>
    </row>
    <row r="1633" spans="1:13" x14ac:dyDescent="0.35">
      <c r="A1633">
        <v>1080</v>
      </c>
      <c r="B1633" s="1">
        <v>45114</v>
      </c>
      <c r="C1633" t="s">
        <v>29</v>
      </c>
      <c r="D1633" t="s">
        <v>20</v>
      </c>
      <c r="E1633">
        <v>59155.91</v>
      </c>
      <c r="F1633">
        <v>14</v>
      </c>
      <c r="G1633" t="s">
        <v>24</v>
      </c>
      <c r="H1633">
        <v>4127.54</v>
      </c>
      <c r="I1633">
        <v>4495.13</v>
      </c>
      <c r="J1633" t="s">
        <v>27</v>
      </c>
      <c r="K1633">
        <v>0.06</v>
      </c>
      <c r="L1633" t="s">
        <v>25</v>
      </c>
      <c r="M1633" t="s">
        <v>21</v>
      </c>
    </row>
    <row r="1634" spans="1:13" x14ac:dyDescent="0.35">
      <c r="A1634">
        <v>1047</v>
      </c>
      <c r="B1634" s="1">
        <v>45114</v>
      </c>
      <c r="C1634" t="s">
        <v>22</v>
      </c>
      <c r="D1634" t="s">
        <v>23</v>
      </c>
      <c r="E1634">
        <v>15751.73</v>
      </c>
      <c r="F1634">
        <v>15</v>
      </c>
      <c r="G1634" t="s">
        <v>26</v>
      </c>
      <c r="H1634">
        <v>957.95</v>
      </c>
      <c r="I1634">
        <v>1329.26</v>
      </c>
      <c r="J1634" t="s">
        <v>27</v>
      </c>
      <c r="K1634">
        <v>0.21</v>
      </c>
      <c r="L1634" t="s">
        <v>18</v>
      </c>
      <c r="M1634" t="s">
        <v>19</v>
      </c>
    </row>
    <row r="1635" spans="1:13" x14ac:dyDescent="0.35">
      <c r="A1635">
        <v>1004</v>
      </c>
      <c r="B1635" s="1">
        <v>45114</v>
      </c>
      <c r="C1635" t="s">
        <v>32</v>
      </c>
      <c r="D1635" t="s">
        <v>15</v>
      </c>
      <c r="E1635">
        <v>84291.98</v>
      </c>
      <c r="F1635">
        <v>35</v>
      </c>
      <c r="G1635" t="s">
        <v>26</v>
      </c>
      <c r="H1635">
        <v>2278.87</v>
      </c>
      <c r="I1635">
        <v>2646.53</v>
      </c>
      <c r="J1635" t="s">
        <v>17</v>
      </c>
      <c r="K1635">
        <v>0.09</v>
      </c>
      <c r="L1635" t="s">
        <v>25</v>
      </c>
      <c r="M1635" t="s">
        <v>19</v>
      </c>
    </row>
    <row r="1636" spans="1:13" x14ac:dyDescent="0.35">
      <c r="A1636">
        <v>1042</v>
      </c>
      <c r="B1636" s="1">
        <v>45115</v>
      </c>
      <c r="C1636" t="s">
        <v>33</v>
      </c>
      <c r="D1636" t="s">
        <v>30</v>
      </c>
      <c r="E1636">
        <v>30650.1</v>
      </c>
      <c r="F1636">
        <v>23</v>
      </c>
      <c r="G1636" t="s">
        <v>31</v>
      </c>
      <c r="H1636">
        <v>1314</v>
      </c>
      <c r="I1636">
        <v>1567.78</v>
      </c>
      <c r="J1636" t="s">
        <v>17</v>
      </c>
      <c r="K1636">
        <v>0.15</v>
      </c>
      <c r="L1636" t="s">
        <v>28</v>
      </c>
      <c r="M1636" t="s">
        <v>21</v>
      </c>
    </row>
    <row r="1637" spans="1:13" x14ac:dyDescent="0.35">
      <c r="A1637">
        <v>1086</v>
      </c>
      <c r="B1637" s="1">
        <v>45116</v>
      </c>
      <c r="C1637" t="s">
        <v>22</v>
      </c>
      <c r="D1637" t="s">
        <v>15</v>
      </c>
      <c r="E1637">
        <v>75034.289999999994</v>
      </c>
      <c r="F1637">
        <v>28</v>
      </c>
      <c r="G1637" t="s">
        <v>24</v>
      </c>
      <c r="H1637">
        <v>2564.35</v>
      </c>
      <c r="I1637">
        <v>2765.79</v>
      </c>
      <c r="J1637" t="s">
        <v>17</v>
      </c>
      <c r="K1637">
        <v>0.03</v>
      </c>
      <c r="L1637" t="s">
        <v>28</v>
      </c>
      <c r="M1637" t="s">
        <v>19</v>
      </c>
    </row>
    <row r="1638" spans="1:13" x14ac:dyDescent="0.35">
      <c r="A1638">
        <v>1047</v>
      </c>
      <c r="B1638" s="1">
        <v>45117</v>
      </c>
      <c r="C1638" t="s">
        <v>22</v>
      </c>
      <c r="D1638" t="s">
        <v>15</v>
      </c>
      <c r="E1638">
        <v>151666.82999999999</v>
      </c>
      <c r="F1638">
        <v>36</v>
      </c>
      <c r="G1638" t="s">
        <v>24</v>
      </c>
      <c r="H1638">
        <v>4043.53</v>
      </c>
      <c r="I1638">
        <v>4384.8500000000004</v>
      </c>
      <c r="J1638" t="s">
        <v>27</v>
      </c>
      <c r="K1638">
        <v>0.04</v>
      </c>
      <c r="L1638" t="s">
        <v>18</v>
      </c>
      <c r="M1638" t="s">
        <v>19</v>
      </c>
    </row>
    <row r="1639" spans="1:13" x14ac:dyDescent="0.35">
      <c r="A1639">
        <v>1092</v>
      </c>
      <c r="B1639" s="1">
        <v>45118</v>
      </c>
      <c r="C1639" t="s">
        <v>32</v>
      </c>
      <c r="D1639" t="s">
        <v>30</v>
      </c>
      <c r="E1639">
        <v>93601.7</v>
      </c>
      <c r="F1639">
        <v>33</v>
      </c>
      <c r="G1639" t="s">
        <v>31</v>
      </c>
      <c r="H1639">
        <v>2595.42</v>
      </c>
      <c r="I1639">
        <v>3083.06</v>
      </c>
      <c r="J1639" t="s">
        <v>27</v>
      </c>
      <c r="K1639">
        <v>0.08</v>
      </c>
      <c r="L1639" t="s">
        <v>28</v>
      </c>
      <c r="M1639" t="s">
        <v>19</v>
      </c>
    </row>
    <row r="1640" spans="1:13" x14ac:dyDescent="0.35">
      <c r="A1640">
        <v>1025</v>
      </c>
      <c r="B1640" s="1">
        <v>45118</v>
      </c>
      <c r="C1640" t="s">
        <v>29</v>
      </c>
      <c r="D1640" t="s">
        <v>20</v>
      </c>
      <c r="E1640">
        <v>129388.54</v>
      </c>
      <c r="F1640">
        <v>40</v>
      </c>
      <c r="G1640" t="s">
        <v>31</v>
      </c>
      <c r="H1640">
        <v>2983.85</v>
      </c>
      <c r="I1640">
        <v>3239.74</v>
      </c>
      <c r="J1640" t="s">
        <v>27</v>
      </c>
      <c r="K1640">
        <v>0</v>
      </c>
      <c r="L1640" t="s">
        <v>28</v>
      </c>
      <c r="M1640" t="s">
        <v>19</v>
      </c>
    </row>
    <row r="1641" spans="1:13" x14ac:dyDescent="0.35">
      <c r="A1641">
        <v>1023</v>
      </c>
      <c r="B1641" s="1">
        <v>45119</v>
      </c>
      <c r="C1641" t="s">
        <v>33</v>
      </c>
      <c r="D1641" t="s">
        <v>15</v>
      </c>
      <c r="E1641">
        <v>1700.62</v>
      </c>
      <c r="F1641">
        <v>2</v>
      </c>
      <c r="G1641" t="s">
        <v>24</v>
      </c>
      <c r="H1641">
        <v>665.89</v>
      </c>
      <c r="I1641">
        <v>944.79</v>
      </c>
      <c r="J1641" t="s">
        <v>27</v>
      </c>
      <c r="K1641">
        <v>0.1</v>
      </c>
      <c r="L1641" t="s">
        <v>28</v>
      </c>
      <c r="M1641" t="s">
        <v>21</v>
      </c>
    </row>
    <row r="1642" spans="1:13" x14ac:dyDescent="0.35">
      <c r="A1642">
        <v>1046</v>
      </c>
      <c r="B1642" s="1">
        <v>45119</v>
      </c>
      <c r="C1642" t="s">
        <v>32</v>
      </c>
      <c r="D1642" t="s">
        <v>15</v>
      </c>
      <c r="E1642">
        <v>66426.7</v>
      </c>
      <c r="F1642">
        <v>17</v>
      </c>
      <c r="G1642" t="s">
        <v>16</v>
      </c>
      <c r="H1642">
        <v>3850.99</v>
      </c>
      <c r="I1642">
        <v>4045.34</v>
      </c>
      <c r="J1642" t="s">
        <v>17</v>
      </c>
      <c r="K1642">
        <v>0.03</v>
      </c>
      <c r="L1642" t="s">
        <v>28</v>
      </c>
      <c r="M1642" t="s">
        <v>19</v>
      </c>
    </row>
    <row r="1643" spans="1:13" x14ac:dyDescent="0.35">
      <c r="A1643">
        <v>1058</v>
      </c>
      <c r="B1643" s="1">
        <v>45119</v>
      </c>
      <c r="C1643" t="s">
        <v>32</v>
      </c>
      <c r="D1643" t="s">
        <v>30</v>
      </c>
      <c r="E1643">
        <v>39055.480000000003</v>
      </c>
      <c r="F1643">
        <v>14</v>
      </c>
      <c r="G1643" t="s">
        <v>31</v>
      </c>
      <c r="H1643">
        <v>2703.97</v>
      </c>
      <c r="I1643">
        <v>2796.88</v>
      </c>
      <c r="J1643" t="s">
        <v>27</v>
      </c>
      <c r="K1643">
        <v>0</v>
      </c>
      <c r="L1643" t="s">
        <v>25</v>
      </c>
      <c r="M1643" t="s">
        <v>19</v>
      </c>
    </row>
    <row r="1644" spans="1:13" x14ac:dyDescent="0.35">
      <c r="A1644">
        <v>1004</v>
      </c>
      <c r="B1644" s="1">
        <v>45120</v>
      </c>
      <c r="C1644" t="s">
        <v>32</v>
      </c>
      <c r="D1644" t="s">
        <v>30</v>
      </c>
      <c r="E1644">
        <v>18897.66</v>
      </c>
      <c r="F1644">
        <v>16</v>
      </c>
      <c r="G1644" t="s">
        <v>26</v>
      </c>
      <c r="H1644">
        <v>1067.83</v>
      </c>
      <c r="I1644">
        <v>1189.22</v>
      </c>
      <c r="J1644" t="s">
        <v>17</v>
      </c>
      <c r="K1644">
        <v>0.01</v>
      </c>
      <c r="L1644" t="s">
        <v>28</v>
      </c>
      <c r="M1644" t="s">
        <v>21</v>
      </c>
    </row>
    <row r="1645" spans="1:13" x14ac:dyDescent="0.35">
      <c r="A1645">
        <v>1054</v>
      </c>
      <c r="B1645" s="1">
        <v>45120</v>
      </c>
      <c r="C1645" t="s">
        <v>33</v>
      </c>
      <c r="D1645" t="s">
        <v>23</v>
      </c>
      <c r="E1645">
        <v>211649.23</v>
      </c>
      <c r="F1645">
        <v>47</v>
      </c>
      <c r="G1645" t="s">
        <v>24</v>
      </c>
      <c r="H1645">
        <v>4429.8</v>
      </c>
      <c r="I1645">
        <v>4694.21</v>
      </c>
      <c r="J1645" t="s">
        <v>27</v>
      </c>
      <c r="K1645">
        <v>0.04</v>
      </c>
      <c r="L1645" t="s">
        <v>25</v>
      </c>
      <c r="M1645" t="s">
        <v>19</v>
      </c>
    </row>
    <row r="1646" spans="1:13" x14ac:dyDescent="0.35">
      <c r="A1646">
        <v>1021</v>
      </c>
      <c r="B1646" s="1">
        <v>45120</v>
      </c>
      <c r="C1646" t="s">
        <v>14</v>
      </c>
      <c r="D1646" t="s">
        <v>20</v>
      </c>
      <c r="E1646">
        <v>187725.48</v>
      </c>
      <c r="F1646">
        <v>43</v>
      </c>
      <c r="G1646" t="s">
        <v>16</v>
      </c>
      <c r="H1646">
        <v>4154.3</v>
      </c>
      <c r="I1646">
        <v>4469.07</v>
      </c>
      <c r="J1646" t="s">
        <v>17</v>
      </c>
      <c r="K1646">
        <v>0.02</v>
      </c>
      <c r="L1646" t="s">
        <v>18</v>
      </c>
      <c r="M1646" t="s">
        <v>21</v>
      </c>
    </row>
    <row r="1647" spans="1:13" x14ac:dyDescent="0.35">
      <c r="A1647">
        <v>1081</v>
      </c>
      <c r="B1647" s="1">
        <v>45121</v>
      </c>
      <c r="C1647" t="s">
        <v>32</v>
      </c>
      <c r="D1647" t="s">
        <v>15</v>
      </c>
      <c r="E1647">
        <v>40679.18</v>
      </c>
      <c r="F1647">
        <v>16</v>
      </c>
      <c r="G1647" t="s">
        <v>26</v>
      </c>
      <c r="H1647">
        <v>2530.15</v>
      </c>
      <c r="I1647">
        <v>2568.13</v>
      </c>
      <c r="J1647" t="s">
        <v>27</v>
      </c>
      <c r="K1647">
        <v>0.01</v>
      </c>
      <c r="L1647" t="s">
        <v>28</v>
      </c>
      <c r="M1647" t="s">
        <v>19</v>
      </c>
    </row>
    <row r="1648" spans="1:13" x14ac:dyDescent="0.35">
      <c r="A1648">
        <v>1027</v>
      </c>
      <c r="B1648" s="1">
        <v>45121</v>
      </c>
      <c r="C1648" t="s">
        <v>14</v>
      </c>
      <c r="D1648" t="s">
        <v>23</v>
      </c>
      <c r="E1648">
        <v>73780.600000000006</v>
      </c>
      <c r="F1648">
        <v>22</v>
      </c>
      <c r="G1648" t="s">
        <v>24</v>
      </c>
      <c r="H1648">
        <v>3240.2</v>
      </c>
      <c r="I1648">
        <v>3606.09</v>
      </c>
      <c r="J1648" t="s">
        <v>27</v>
      </c>
      <c r="K1648">
        <v>7.0000000000000007E-2</v>
      </c>
      <c r="L1648" t="s">
        <v>18</v>
      </c>
      <c r="M1648" t="s">
        <v>19</v>
      </c>
    </row>
    <row r="1649" spans="1:13" x14ac:dyDescent="0.35">
      <c r="A1649">
        <v>1030</v>
      </c>
      <c r="B1649" s="1">
        <v>45121</v>
      </c>
      <c r="C1649" t="s">
        <v>14</v>
      </c>
      <c r="D1649" t="s">
        <v>30</v>
      </c>
      <c r="E1649">
        <v>196463.51</v>
      </c>
      <c r="F1649">
        <v>39</v>
      </c>
      <c r="G1649" t="s">
        <v>26</v>
      </c>
      <c r="H1649">
        <v>4929.7299999999996</v>
      </c>
      <c r="I1649">
        <v>5088.0200000000004</v>
      </c>
      <c r="J1649" t="s">
        <v>27</v>
      </c>
      <c r="K1649">
        <v>0.01</v>
      </c>
      <c r="L1649" t="s">
        <v>25</v>
      </c>
      <c r="M1649" t="s">
        <v>21</v>
      </c>
    </row>
    <row r="1650" spans="1:13" x14ac:dyDescent="0.35">
      <c r="A1650">
        <v>1052</v>
      </c>
      <c r="B1650" s="1">
        <v>45122</v>
      </c>
      <c r="C1650" t="s">
        <v>29</v>
      </c>
      <c r="D1650" t="s">
        <v>30</v>
      </c>
      <c r="E1650">
        <v>147221.82</v>
      </c>
      <c r="F1650">
        <v>48</v>
      </c>
      <c r="G1650" t="s">
        <v>24</v>
      </c>
      <c r="H1650">
        <v>3002.35</v>
      </c>
      <c r="I1650">
        <v>3080.61</v>
      </c>
      <c r="J1650" t="s">
        <v>17</v>
      </c>
      <c r="K1650">
        <v>0</v>
      </c>
      <c r="L1650" t="s">
        <v>25</v>
      </c>
      <c r="M1650" t="s">
        <v>21</v>
      </c>
    </row>
    <row r="1651" spans="1:13" x14ac:dyDescent="0.35">
      <c r="A1651">
        <v>1017</v>
      </c>
      <c r="B1651" s="1">
        <v>45122</v>
      </c>
      <c r="C1651" t="s">
        <v>22</v>
      </c>
      <c r="D1651" t="s">
        <v>15</v>
      </c>
      <c r="E1651">
        <v>45941.440000000002</v>
      </c>
      <c r="F1651">
        <v>23</v>
      </c>
      <c r="G1651" t="s">
        <v>31</v>
      </c>
      <c r="H1651">
        <v>1771.52</v>
      </c>
      <c r="I1651">
        <v>2147.8000000000002</v>
      </c>
      <c r="J1651" t="s">
        <v>27</v>
      </c>
      <c r="K1651">
        <v>7.0000000000000007E-2</v>
      </c>
      <c r="L1651" t="s">
        <v>25</v>
      </c>
      <c r="M1651" t="s">
        <v>19</v>
      </c>
    </row>
    <row r="1652" spans="1:13" x14ac:dyDescent="0.35">
      <c r="A1652">
        <v>1017</v>
      </c>
      <c r="B1652" s="1">
        <v>45123</v>
      </c>
      <c r="C1652" t="s">
        <v>33</v>
      </c>
      <c r="D1652" t="s">
        <v>23</v>
      </c>
      <c r="E1652">
        <v>20409.18</v>
      </c>
      <c r="F1652">
        <v>18</v>
      </c>
      <c r="G1652" t="s">
        <v>16</v>
      </c>
      <c r="H1652">
        <v>1069.73</v>
      </c>
      <c r="I1652">
        <v>1180.04</v>
      </c>
      <c r="J1652" t="s">
        <v>17</v>
      </c>
      <c r="K1652">
        <v>0.04</v>
      </c>
      <c r="L1652" t="s">
        <v>25</v>
      </c>
      <c r="M1652" t="s">
        <v>19</v>
      </c>
    </row>
    <row r="1653" spans="1:13" x14ac:dyDescent="0.35">
      <c r="A1653">
        <v>1030</v>
      </c>
      <c r="B1653" s="1">
        <v>45124</v>
      </c>
      <c r="C1653" t="s">
        <v>22</v>
      </c>
      <c r="D1653" t="s">
        <v>20</v>
      </c>
      <c r="E1653">
        <v>58743.8</v>
      </c>
      <c r="F1653">
        <v>19</v>
      </c>
      <c r="G1653" t="s">
        <v>26</v>
      </c>
      <c r="H1653">
        <v>3049.33</v>
      </c>
      <c r="I1653">
        <v>3209.22</v>
      </c>
      <c r="J1653" t="s">
        <v>17</v>
      </c>
      <c r="K1653">
        <v>0.04</v>
      </c>
      <c r="L1653" t="s">
        <v>18</v>
      </c>
      <c r="M1653" t="s">
        <v>19</v>
      </c>
    </row>
    <row r="1654" spans="1:13" x14ac:dyDescent="0.35">
      <c r="A1654">
        <v>1003</v>
      </c>
      <c r="B1654" s="1">
        <v>45124</v>
      </c>
      <c r="C1654" t="s">
        <v>32</v>
      </c>
      <c r="D1654" t="s">
        <v>20</v>
      </c>
      <c r="E1654">
        <v>26807.18</v>
      </c>
      <c r="F1654">
        <v>15</v>
      </c>
      <c r="G1654" t="s">
        <v>31</v>
      </c>
      <c r="H1654">
        <v>1729.14</v>
      </c>
      <c r="I1654">
        <v>1870.88</v>
      </c>
      <c r="J1654" t="s">
        <v>17</v>
      </c>
      <c r="K1654">
        <v>0.04</v>
      </c>
      <c r="L1654" t="s">
        <v>18</v>
      </c>
      <c r="M1654" t="s">
        <v>19</v>
      </c>
    </row>
    <row r="1655" spans="1:13" x14ac:dyDescent="0.35">
      <c r="A1655">
        <v>1090</v>
      </c>
      <c r="B1655" s="1">
        <v>45124</v>
      </c>
      <c r="C1655" t="s">
        <v>22</v>
      </c>
      <c r="D1655" t="s">
        <v>15</v>
      </c>
      <c r="E1655">
        <v>20644.93</v>
      </c>
      <c r="F1655">
        <v>14</v>
      </c>
      <c r="G1655" t="s">
        <v>31</v>
      </c>
      <c r="H1655">
        <v>1350.47</v>
      </c>
      <c r="I1655">
        <v>1514.61</v>
      </c>
      <c r="J1655" t="s">
        <v>27</v>
      </c>
      <c r="K1655">
        <v>0.03</v>
      </c>
      <c r="L1655" t="s">
        <v>28</v>
      </c>
      <c r="M1655" t="s">
        <v>21</v>
      </c>
    </row>
    <row r="1656" spans="1:13" x14ac:dyDescent="0.35">
      <c r="A1656">
        <v>1019</v>
      </c>
      <c r="B1656" s="1">
        <v>45124</v>
      </c>
      <c r="C1656" t="s">
        <v>22</v>
      </c>
      <c r="D1656" t="s">
        <v>23</v>
      </c>
      <c r="E1656">
        <v>25383.55</v>
      </c>
      <c r="F1656">
        <v>14</v>
      </c>
      <c r="G1656" t="s">
        <v>26</v>
      </c>
      <c r="H1656">
        <v>1614.19</v>
      </c>
      <c r="I1656">
        <v>1882.79</v>
      </c>
      <c r="J1656" t="s">
        <v>27</v>
      </c>
      <c r="K1656">
        <v>0.04</v>
      </c>
      <c r="L1656" t="s">
        <v>28</v>
      </c>
      <c r="M1656" t="s">
        <v>21</v>
      </c>
    </row>
    <row r="1657" spans="1:13" x14ac:dyDescent="0.35">
      <c r="A1657">
        <v>1089</v>
      </c>
      <c r="B1657" s="1">
        <v>45124</v>
      </c>
      <c r="C1657" t="s">
        <v>29</v>
      </c>
      <c r="D1657" t="s">
        <v>15</v>
      </c>
      <c r="E1657">
        <v>30123.22</v>
      </c>
      <c r="F1657">
        <v>31</v>
      </c>
      <c r="G1657" t="s">
        <v>26</v>
      </c>
      <c r="H1657">
        <v>845.14</v>
      </c>
      <c r="I1657">
        <v>1001.77</v>
      </c>
      <c r="J1657" t="s">
        <v>27</v>
      </c>
      <c r="K1657">
        <v>0.03</v>
      </c>
      <c r="L1657" t="s">
        <v>18</v>
      </c>
      <c r="M1657" t="s">
        <v>19</v>
      </c>
    </row>
    <row r="1658" spans="1:13" x14ac:dyDescent="0.35">
      <c r="A1658">
        <v>1050</v>
      </c>
      <c r="B1658" s="1">
        <v>45125</v>
      </c>
      <c r="C1658" t="s">
        <v>32</v>
      </c>
      <c r="D1658" t="s">
        <v>23</v>
      </c>
      <c r="E1658">
        <v>210526.78</v>
      </c>
      <c r="F1658">
        <v>43</v>
      </c>
      <c r="G1658" t="s">
        <v>16</v>
      </c>
      <c r="H1658">
        <v>4834.47</v>
      </c>
      <c r="I1658">
        <v>4973.38</v>
      </c>
      <c r="J1658" t="s">
        <v>17</v>
      </c>
      <c r="K1658">
        <v>0.02</v>
      </c>
      <c r="L1658" t="s">
        <v>25</v>
      </c>
      <c r="M1658" t="s">
        <v>19</v>
      </c>
    </row>
    <row r="1659" spans="1:13" x14ac:dyDescent="0.35">
      <c r="A1659">
        <v>1019</v>
      </c>
      <c r="B1659" s="1">
        <v>45125</v>
      </c>
      <c r="C1659" t="s">
        <v>33</v>
      </c>
      <c r="D1659" t="s">
        <v>15</v>
      </c>
      <c r="E1659">
        <v>59969.42</v>
      </c>
      <c r="F1659">
        <v>12</v>
      </c>
      <c r="G1659" t="s">
        <v>26</v>
      </c>
      <c r="H1659">
        <v>4745.18</v>
      </c>
      <c r="I1659">
        <v>5145.88</v>
      </c>
      <c r="J1659" t="s">
        <v>17</v>
      </c>
      <c r="K1659">
        <v>0.03</v>
      </c>
      <c r="L1659" t="s">
        <v>28</v>
      </c>
      <c r="M1659" t="s">
        <v>19</v>
      </c>
    </row>
    <row r="1660" spans="1:13" x14ac:dyDescent="0.35">
      <c r="A1660">
        <v>1052</v>
      </c>
      <c r="B1660" s="1">
        <v>45125</v>
      </c>
      <c r="C1660" t="s">
        <v>32</v>
      </c>
      <c r="D1660" t="s">
        <v>23</v>
      </c>
      <c r="E1660">
        <v>36595.64</v>
      </c>
      <c r="F1660">
        <v>42</v>
      </c>
      <c r="G1660" t="s">
        <v>31</v>
      </c>
      <c r="H1660">
        <v>417.96</v>
      </c>
      <c r="I1660">
        <v>907.63</v>
      </c>
      <c r="J1660" t="s">
        <v>27</v>
      </c>
      <c r="K1660">
        <v>0.04</v>
      </c>
      <c r="L1660" t="s">
        <v>18</v>
      </c>
      <c r="M1660" t="s">
        <v>21</v>
      </c>
    </row>
    <row r="1661" spans="1:13" x14ac:dyDescent="0.35">
      <c r="A1661">
        <v>1090</v>
      </c>
      <c r="B1661" s="1">
        <v>45126</v>
      </c>
      <c r="C1661" t="s">
        <v>29</v>
      </c>
      <c r="D1661" t="s">
        <v>20</v>
      </c>
      <c r="E1661">
        <v>23901.91</v>
      </c>
      <c r="F1661">
        <v>10</v>
      </c>
      <c r="G1661" t="s">
        <v>16</v>
      </c>
      <c r="H1661">
        <v>2387.63</v>
      </c>
      <c r="I1661">
        <v>2438.9699999999998</v>
      </c>
      <c r="J1661" t="s">
        <v>17</v>
      </c>
      <c r="K1661">
        <v>0.02</v>
      </c>
      <c r="L1661" t="s">
        <v>25</v>
      </c>
      <c r="M1661" t="s">
        <v>21</v>
      </c>
    </row>
    <row r="1662" spans="1:13" x14ac:dyDescent="0.35">
      <c r="A1662">
        <v>1062</v>
      </c>
      <c r="B1662" s="1">
        <v>45126</v>
      </c>
      <c r="C1662" t="s">
        <v>29</v>
      </c>
      <c r="D1662" t="s">
        <v>15</v>
      </c>
      <c r="E1662">
        <v>29524.68</v>
      </c>
      <c r="F1662">
        <v>10</v>
      </c>
      <c r="G1662" t="s">
        <v>31</v>
      </c>
      <c r="H1662">
        <v>2940.4</v>
      </c>
      <c r="I1662">
        <v>3054.79</v>
      </c>
      <c r="J1662" t="s">
        <v>17</v>
      </c>
      <c r="K1662">
        <v>0.03</v>
      </c>
      <c r="L1662" t="s">
        <v>28</v>
      </c>
      <c r="M1662" t="s">
        <v>19</v>
      </c>
    </row>
    <row r="1663" spans="1:13" x14ac:dyDescent="0.35">
      <c r="A1663">
        <v>1086</v>
      </c>
      <c r="B1663" s="1">
        <v>45127</v>
      </c>
      <c r="C1663" t="s">
        <v>14</v>
      </c>
      <c r="D1663" t="s">
        <v>15</v>
      </c>
      <c r="E1663">
        <v>18353.71</v>
      </c>
      <c r="F1663">
        <v>17</v>
      </c>
      <c r="G1663" t="s">
        <v>24</v>
      </c>
      <c r="H1663">
        <v>1057.27</v>
      </c>
      <c r="I1663">
        <v>1366.62</v>
      </c>
      <c r="J1663" t="s">
        <v>27</v>
      </c>
      <c r="K1663">
        <v>0.21</v>
      </c>
      <c r="L1663" t="s">
        <v>28</v>
      </c>
      <c r="M1663" t="s">
        <v>21</v>
      </c>
    </row>
    <row r="1664" spans="1:13" x14ac:dyDescent="0.35">
      <c r="A1664">
        <v>1062</v>
      </c>
      <c r="B1664" s="1">
        <v>45127</v>
      </c>
      <c r="C1664" t="s">
        <v>32</v>
      </c>
      <c r="D1664" t="s">
        <v>15</v>
      </c>
      <c r="E1664">
        <v>84697.27</v>
      </c>
      <c r="F1664">
        <v>48</v>
      </c>
      <c r="G1664" t="s">
        <v>31</v>
      </c>
      <c r="H1664">
        <v>1679.69</v>
      </c>
      <c r="I1664">
        <v>1939.04</v>
      </c>
      <c r="J1664" t="s">
        <v>27</v>
      </c>
      <c r="K1664">
        <v>0.09</v>
      </c>
      <c r="L1664" t="s">
        <v>28</v>
      </c>
      <c r="M1664" t="s">
        <v>19</v>
      </c>
    </row>
    <row r="1665" spans="1:13" x14ac:dyDescent="0.35">
      <c r="A1665">
        <v>1055</v>
      </c>
      <c r="B1665" s="1">
        <v>45127</v>
      </c>
      <c r="C1665" t="s">
        <v>32</v>
      </c>
      <c r="D1665" t="s">
        <v>20</v>
      </c>
      <c r="E1665">
        <v>192144.89</v>
      </c>
      <c r="F1665">
        <v>43</v>
      </c>
      <c r="G1665" t="s">
        <v>16</v>
      </c>
      <c r="H1665">
        <v>4111.7</v>
      </c>
      <c r="I1665">
        <v>4537.9399999999996</v>
      </c>
      <c r="J1665" t="s">
        <v>17</v>
      </c>
      <c r="K1665">
        <v>0.02</v>
      </c>
      <c r="L1665" t="s">
        <v>25</v>
      </c>
      <c r="M1665" t="s">
        <v>19</v>
      </c>
    </row>
    <row r="1666" spans="1:13" x14ac:dyDescent="0.35">
      <c r="A1666">
        <v>1023</v>
      </c>
      <c r="B1666" s="1">
        <v>45128</v>
      </c>
      <c r="C1666" t="s">
        <v>32</v>
      </c>
      <c r="D1666" t="s">
        <v>15</v>
      </c>
      <c r="E1666">
        <v>6154.82</v>
      </c>
      <c r="F1666">
        <v>4</v>
      </c>
      <c r="G1666" t="s">
        <v>26</v>
      </c>
      <c r="H1666">
        <v>1532.8</v>
      </c>
      <c r="I1666">
        <v>1619.69</v>
      </c>
      <c r="J1666" t="s">
        <v>17</v>
      </c>
      <c r="K1666">
        <v>0.05</v>
      </c>
      <c r="L1666" t="s">
        <v>25</v>
      </c>
      <c r="M1666" t="s">
        <v>21</v>
      </c>
    </row>
    <row r="1667" spans="1:13" x14ac:dyDescent="0.35">
      <c r="A1667">
        <v>1017</v>
      </c>
      <c r="B1667" s="1">
        <v>45128</v>
      </c>
      <c r="C1667" t="s">
        <v>22</v>
      </c>
      <c r="D1667" t="s">
        <v>30</v>
      </c>
      <c r="E1667">
        <v>287.33</v>
      </c>
      <c r="F1667">
        <v>1</v>
      </c>
      <c r="G1667" t="s">
        <v>24</v>
      </c>
      <c r="H1667">
        <v>172.59</v>
      </c>
      <c r="I1667">
        <v>404.69</v>
      </c>
      <c r="J1667" t="s">
        <v>17</v>
      </c>
      <c r="K1667">
        <v>0.28999999999999998</v>
      </c>
      <c r="L1667" t="s">
        <v>25</v>
      </c>
      <c r="M1667" t="s">
        <v>19</v>
      </c>
    </row>
    <row r="1668" spans="1:13" x14ac:dyDescent="0.35">
      <c r="A1668">
        <v>1066</v>
      </c>
      <c r="B1668" s="1">
        <v>45128</v>
      </c>
      <c r="C1668" t="s">
        <v>29</v>
      </c>
      <c r="D1668" t="s">
        <v>30</v>
      </c>
      <c r="E1668">
        <v>3721.69</v>
      </c>
      <c r="F1668">
        <v>4</v>
      </c>
      <c r="G1668" t="s">
        <v>16</v>
      </c>
      <c r="H1668">
        <v>868.83</v>
      </c>
      <c r="I1668">
        <v>1177.75</v>
      </c>
      <c r="J1668" t="s">
        <v>17</v>
      </c>
      <c r="K1668">
        <v>0.21</v>
      </c>
      <c r="L1668" t="s">
        <v>28</v>
      </c>
      <c r="M1668" t="s">
        <v>21</v>
      </c>
    </row>
    <row r="1669" spans="1:13" x14ac:dyDescent="0.35">
      <c r="A1669">
        <v>1063</v>
      </c>
      <c r="B1669" s="1">
        <v>45128</v>
      </c>
      <c r="C1669" t="s">
        <v>14</v>
      </c>
      <c r="D1669" t="s">
        <v>30</v>
      </c>
      <c r="E1669">
        <v>37569.629999999997</v>
      </c>
      <c r="F1669">
        <v>32</v>
      </c>
      <c r="G1669" t="s">
        <v>31</v>
      </c>
      <c r="H1669">
        <v>975.31</v>
      </c>
      <c r="I1669">
        <v>1176.17</v>
      </c>
      <c r="J1669" t="s">
        <v>27</v>
      </c>
      <c r="K1669">
        <v>0</v>
      </c>
      <c r="L1669" t="s">
        <v>25</v>
      </c>
      <c r="M1669" t="s">
        <v>21</v>
      </c>
    </row>
    <row r="1670" spans="1:13" x14ac:dyDescent="0.35">
      <c r="A1670">
        <v>1039</v>
      </c>
      <c r="B1670" s="1">
        <v>45129</v>
      </c>
      <c r="C1670" t="s">
        <v>33</v>
      </c>
      <c r="D1670" t="s">
        <v>30</v>
      </c>
      <c r="E1670">
        <v>149591.14000000001</v>
      </c>
      <c r="F1670">
        <v>42</v>
      </c>
      <c r="G1670" t="s">
        <v>26</v>
      </c>
      <c r="H1670">
        <v>3120.19</v>
      </c>
      <c r="I1670">
        <v>3600.14</v>
      </c>
      <c r="J1670" t="s">
        <v>17</v>
      </c>
      <c r="K1670">
        <v>0.01</v>
      </c>
      <c r="L1670" t="s">
        <v>28</v>
      </c>
      <c r="M1670" t="s">
        <v>21</v>
      </c>
    </row>
    <row r="1671" spans="1:13" x14ac:dyDescent="0.35">
      <c r="A1671">
        <v>1042</v>
      </c>
      <c r="B1671" s="1">
        <v>45130</v>
      </c>
      <c r="C1671" t="s">
        <v>29</v>
      </c>
      <c r="D1671" t="s">
        <v>20</v>
      </c>
      <c r="E1671">
        <v>109890.56</v>
      </c>
      <c r="F1671">
        <v>26</v>
      </c>
      <c r="G1671" t="s">
        <v>31</v>
      </c>
      <c r="H1671">
        <v>4208.09</v>
      </c>
      <c r="I1671">
        <v>4226.5600000000004</v>
      </c>
      <c r="J1671" t="s">
        <v>17</v>
      </c>
      <c r="K1671">
        <v>0</v>
      </c>
      <c r="L1671" t="s">
        <v>18</v>
      </c>
      <c r="M1671" t="s">
        <v>21</v>
      </c>
    </row>
    <row r="1672" spans="1:13" x14ac:dyDescent="0.35">
      <c r="A1672">
        <v>1056</v>
      </c>
      <c r="B1672" s="1">
        <v>45130</v>
      </c>
      <c r="C1672" t="s">
        <v>14</v>
      </c>
      <c r="D1672" t="s">
        <v>20</v>
      </c>
      <c r="E1672">
        <v>83383.3</v>
      </c>
      <c r="F1672">
        <v>35</v>
      </c>
      <c r="G1672" t="s">
        <v>16</v>
      </c>
      <c r="H1672">
        <v>2344.9299999999998</v>
      </c>
      <c r="I1672">
        <v>2707.25</v>
      </c>
      <c r="J1672" t="s">
        <v>27</v>
      </c>
      <c r="K1672">
        <v>0.12</v>
      </c>
      <c r="L1672" t="s">
        <v>28</v>
      </c>
      <c r="M1672" t="s">
        <v>21</v>
      </c>
    </row>
    <row r="1673" spans="1:13" x14ac:dyDescent="0.35">
      <c r="A1673">
        <v>1098</v>
      </c>
      <c r="B1673" s="1">
        <v>45131</v>
      </c>
      <c r="C1673" t="s">
        <v>33</v>
      </c>
      <c r="D1673" t="s">
        <v>23</v>
      </c>
      <c r="E1673">
        <v>78490.42</v>
      </c>
      <c r="F1673">
        <v>19</v>
      </c>
      <c r="G1673" t="s">
        <v>31</v>
      </c>
      <c r="H1673">
        <v>4055.51</v>
      </c>
      <c r="I1673">
        <v>4258.84</v>
      </c>
      <c r="J1673" t="s">
        <v>17</v>
      </c>
      <c r="K1673">
        <v>0.03</v>
      </c>
      <c r="L1673" t="s">
        <v>28</v>
      </c>
      <c r="M1673" t="s">
        <v>19</v>
      </c>
    </row>
    <row r="1674" spans="1:13" x14ac:dyDescent="0.35">
      <c r="A1674">
        <v>1003</v>
      </c>
      <c r="B1674" s="1">
        <v>45132</v>
      </c>
      <c r="C1674" t="s">
        <v>32</v>
      </c>
      <c r="D1674" t="s">
        <v>20</v>
      </c>
      <c r="E1674">
        <v>12072.93</v>
      </c>
      <c r="F1674">
        <v>5</v>
      </c>
      <c r="G1674" t="s">
        <v>24</v>
      </c>
      <c r="H1674">
        <v>2206.58</v>
      </c>
      <c r="I1674">
        <v>2490.4699999999998</v>
      </c>
      <c r="J1674" t="s">
        <v>27</v>
      </c>
      <c r="K1674">
        <v>0.03</v>
      </c>
      <c r="L1674" t="s">
        <v>18</v>
      </c>
      <c r="M1674" t="s">
        <v>19</v>
      </c>
    </row>
    <row r="1675" spans="1:13" x14ac:dyDescent="0.35">
      <c r="A1675">
        <v>1047</v>
      </c>
      <c r="B1675" s="1">
        <v>45132</v>
      </c>
      <c r="C1675" t="s">
        <v>29</v>
      </c>
      <c r="D1675" t="s">
        <v>30</v>
      </c>
      <c r="E1675">
        <v>70773.3</v>
      </c>
      <c r="F1675">
        <v>19</v>
      </c>
      <c r="G1675" t="s">
        <v>16</v>
      </c>
      <c r="H1675">
        <v>3484.62</v>
      </c>
      <c r="I1675">
        <v>3781.55</v>
      </c>
      <c r="J1675" t="s">
        <v>17</v>
      </c>
      <c r="K1675">
        <v>0.01</v>
      </c>
      <c r="L1675" t="s">
        <v>28</v>
      </c>
      <c r="M1675" t="s">
        <v>21</v>
      </c>
    </row>
    <row r="1676" spans="1:13" x14ac:dyDescent="0.35">
      <c r="A1676">
        <v>1015</v>
      </c>
      <c r="B1676" s="1">
        <v>45133</v>
      </c>
      <c r="C1676" t="s">
        <v>22</v>
      </c>
      <c r="D1676" t="s">
        <v>15</v>
      </c>
      <c r="E1676">
        <v>42151.03</v>
      </c>
      <c r="F1676">
        <v>9</v>
      </c>
      <c r="G1676" t="s">
        <v>31</v>
      </c>
      <c r="H1676">
        <v>4680.3500000000004</v>
      </c>
      <c r="I1676">
        <v>4758.1099999999997</v>
      </c>
      <c r="J1676" t="s">
        <v>17</v>
      </c>
      <c r="K1676">
        <v>0.02</v>
      </c>
      <c r="L1676" t="s">
        <v>25</v>
      </c>
      <c r="M1676" t="s">
        <v>19</v>
      </c>
    </row>
    <row r="1677" spans="1:13" x14ac:dyDescent="0.35">
      <c r="A1677">
        <v>1078</v>
      </c>
      <c r="B1677" s="1">
        <v>45134</v>
      </c>
      <c r="C1677" t="s">
        <v>32</v>
      </c>
      <c r="D1677" t="s">
        <v>15</v>
      </c>
      <c r="E1677">
        <v>3352.86</v>
      </c>
      <c r="F1677">
        <v>3</v>
      </c>
      <c r="G1677" t="s">
        <v>26</v>
      </c>
      <c r="H1677">
        <v>902.38</v>
      </c>
      <c r="I1677">
        <v>1128.9100000000001</v>
      </c>
      <c r="J1677" t="s">
        <v>27</v>
      </c>
      <c r="K1677">
        <v>0.01</v>
      </c>
      <c r="L1677" t="s">
        <v>25</v>
      </c>
      <c r="M1677" t="s">
        <v>21</v>
      </c>
    </row>
    <row r="1678" spans="1:13" x14ac:dyDescent="0.35">
      <c r="A1678">
        <v>1062</v>
      </c>
      <c r="B1678" s="1">
        <v>45134</v>
      </c>
      <c r="C1678" t="s">
        <v>22</v>
      </c>
      <c r="D1678" t="s">
        <v>23</v>
      </c>
      <c r="E1678">
        <v>48895.63</v>
      </c>
      <c r="F1678">
        <v>44</v>
      </c>
      <c r="G1678" t="s">
        <v>31</v>
      </c>
      <c r="H1678">
        <v>987.74</v>
      </c>
      <c r="I1678">
        <v>1462.19</v>
      </c>
      <c r="J1678" t="s">
        <v>27</v>
      </c>
      <c r="K1678">
        <v>0.24</v>
      </c>
      <c r="L1678" t="s">
        <v>25</v>
      </c>
      <c r="M1678" t="s">
        <v>19</v>
      </c>
    </row>
    <row r="1679" spans="1:13" x14ac:dyDescent="0.35">
      <c r="A1679">
        <v>1025</v>
      </c>
      <c r="B1679" s="1">
        <v>45135</v>
      </c>
      <c r="C1679" t="s">
        <v>22</v>
      </c>
      <c r="D1679" t="s">
        <v>20</v>
      </c>
      <c r="E1679">
        <v>41785.760000000002</v>
      </c>
      <c r="F1679">
        <v>37</v>
      </c>
      <c r="G1679" t="s">
        <v>31</v>
      </c>
      <c r="H1679">
        <v>1115.02</v>
      </c>
      <c r="I1679">
        <v>1174.48</v>
      </c>
      <c r="J1679" t="s">
        <v>27</v>
      </c>
      <c r="K1679">
        <v>0.04</v>
      </c>
      <c r="L1679" t="s">
        <v>28</v>
      </c>
      <c r="M1679" t="s">
        <v>19</v>
      </c>
    </row>
    <row r="1680" spans="1:13" x14ac:dyDescent="0.35">
      <c r="A1680">
        <v>1054</v>
      </c>
      <c r="B1680" s="1">
        <v>45135</v>
      </c>
      <c r="C1680" t="s">
        <v>22</v>
      </c>
      <c r="D1680" t="s">
        <v>30</v>
      </c>
      <c r="E1680">
        <v>99178.27</v>
      </c>
      <c r="F1680">
        <v>20</v>
      </c>
      <c r="G1680" t="s">
        <v>26</v>
      </c>
      <c r="H1680">
        <v>4622.1400000000003</v>
      </c>
      <c r="I1680">
        <v>5122.07</v>
      </c>
      <c r="J1680" t="s">
        <v>27</v>
      </c>
      <c r="K1680">
        <v>0.03</v>
      </c>
      <c r="L1680" t="s">
        <v>18</v>
      </c>
      <c r="M1680" t="s">
        <v>21</v>
      </c>
    </row>
    <row r="1681" spans="1:13" x14ac:dyDescent="0.35">
      <c r="A1681">
        <v>1082</v>
      </c>
      <c r="B1681" s="1">
        <v>45135</v>
      </c>
      <c r="C1681" t="s">
        <v>33</v>
      </c>
      <c r="D1681" t="s">
        <v>30</v>
      </c>
      <c r="E1681">
        <v>176812.06</v>
      </c>
      <c r="F1681">
        <v>48</v>
      </c>
      <c r="G1681" t="s">
        <v>24</v>
      </c>
      <c r="H1681">
        <v>3380.52</v>
      </c>
      <c r="I1681">
        <v>3778.94</v>
      </c>
      <c r="J1681" t="s">
        <v>17</v>
      </c>
      <c r="K1681">
        <v>0.03</v>
      </c>
      <c r="L1681" t="s">
        <v>25</v>
      </c>
      <c r="M1681" t="s">
        <v>19</v>
      </c>
    </row>
    <row r="1682" spans="1:13" x14ac:dyDescent="0.35">
      <c r="A1682">
        <v>1059</v>
      </c>
      <c r="B1682" s="1">
        <v>45136</v>
      </c>
      <c r="C1682" t="s">
        <v>14</v>
      </c>
      <c r="D1682" t="s">
        <v>23</v>
      </c>
      <c r="E1682">
        <v>70011.75</v>
      </c>
      <c r="F1682">
        <v>16</v>
      </c>
      <c r="G1682" t="s">
        <v>16</v>
      </c>
      <c r="H1682">
        <v>4287.21</v>
      </c>
      <c r="I1682">
        <v>4464.28</v>
      </c>
      <c r="J1682" t="s">
        <v>17</v>
      </c>
      <c r="K1682">
        <v>0.02</v>
      </c>
      <c r="L1682" t="s">
        <v>28</v>
      </c>
      <c r="M1682" t="s">
        <v>21</v>
      </c>
    </row>
    <row r="1683" spans="1:13" x14ac:dyDescent="0.35">
      <c r="A1683">
        <v>1044</v>
      </c>
      <c r="B1683" s="1">
        <v>45136</v>
      </c>
      <c r="C1683" t="s">
        <v>33</v>
      </c>
      <c r="D1683" t="s">
        <v>15</v>
      </c>
      <c r="E1683">
        <v>75720.23</v>
      </c>
      <c r="F1683">
        <v>47</v>
      </c>
      <c r="G1683" t="s">
        <v>31</v>
      </c>
      <c r="H1683">
        <v>1512.34</v>
      </c>
      <c r="I1683">
        <v>1830.76</v>
      </c>
      <c r="J1683" t="s">
        <v>27</v>
      </c>
      <c r="K1683">
        <v>0.12</v>
      </c>
      <c r="L1683" t="s">
        <v>25</v>
      </c>
      <c r="M1683" t="s">
        <v>19</v>
      </c>
    </row>
    <row r="1684" spans="1:13" x14ac:dyDescent="0.35">
      <c r="A1684">
        <v>1096</v>
      </c>
      <c r="B1684" s="1">
        <v>45136</v>
      </c>
      <c r="C1684" t="s">
        <v>29</v>
      </c>
      <c r="D1684" t="s">
        <v>20</v>
      </c>
      <c r="E1684">
        <v>156442.46</v>
      </c>
      <c r="F1684">
        <v>38</v>
      </c>
      <c r="G1684" t="s">
        <v>31</v>
      </c>
      <c r="H1684">
        <v>3955.66</v>
      </c>
      <c r="I1684">
        <v>4270.59</v>
      </c>
      <c r="J1684" t="s">
        <v>17</v>
      </c>
      <c r="K1684">
        <v>0.04</v>
      </c>
      <c r="L1684" t="s">
        <v>28</v>
      </c>
      <c r="M1684" t="s">
        <v>19</v>
      </c>
    </row>
    <row r="1685" spans="1:13" x14ac:dyDescent="0.35">
      <c r="A1685">
        <v>1082</v>
      </c>
      <c r="B1685" s="1">
        <v>45136</v>
      </c>
      <c r="C1685" t="s">
        <v>32</v>
      </c>
      <c r="D1685" t="s">
        <v>30</v>
      </c>
      <c r="E1685">
        <v>58835.69</v>
      </c>
      <c r="F1685">
        <v>46</v>
      </c>
      <c r="G1685" t="s">
        <v>24</v>
      </c>
      <c r="H1685">
        <v>1102.69</v>
      </c>
      <c r="I1685">
        <v>1437.12</v>
      </c>
      <c r="J1685" t="s">
        <v>27</v>
      </c>
      <c r="K1685">
        <v>0.11</v>
      </c>
      <c r="L1685" t="s">
        <v>28</v>
      </c>
      <c r="M1685" t="s">
        <v>19</v>
      </c>
    </row>
    <row r="1686" spans="1:13" x14ac:dyDescent="0.35">
      <c r="A1686">
        <v>1088</v>
      </c>
      <c r="B1686" s="1">
        <v>45137</v>
      </c>
      <c r="C1686" t="s">
        <v>32</v>
      </c>
      <c r="D1686" t="s">
        <v>30</v>
      </c>
      <c r="E1686">
        <v>4597.74</v>
      </c>
      <c r="F1686">
        <v>1</v>
      </c>
      <c r="G1686" t="s">
        <v>16</v>
      </c>
      <c r="H1686">
        <v>4384.6400000000003</v>
      </c>
      <c r="I1686">
        <v>4693.8999999999996</v>
      </c>
      <c r="J1686" t="s">
        <v>27</v>
      </c>
      <c r="K1686">
        <v>0.02</v>
      </c>
      <c r="L1686" t="s">
        <v>18</v>
      </c>
      <c r="M1686" t="s">
        <v>21</v>
      </c>
    </row>
    <row r="1687" spans="1:13" x14ac:dyDescent="0.35">
      <c r="A1687">
        <v>1048</v>
      </c>
      <c r="B1687" s="1">
        <v>45137</v>
      </c>
      <c r="C1687" t="s">
        <v>33</v>
      </c>
      <c r="D1687" t="s">
        <v>15</v>
      </c>
      <c r="E1687">
        <v>13428.78</v>
      </c>
      <c r="F1687">
        <v>6</v>
      </c>
      <c r="G1687" t="s">
        <v>16</v>
      </c>
      <c r="H1687">
        <v>1945.27</v>
      </c>
      <c r="I1687">
        <v>2309.4299999999998</v>
      </c>
      <c r="J1687" t="s">
        <v>27</v>
      </c>
      <c r="K1687">
        <v>0.03</v>
      </c>
      <c r="L1687" t="s">
        <v>28</v>
      </c>
      <c r="M1687" t="s">
        <v>19</v>
      </c>
    </row>
    <row r="1688" spans="1:13" x14ac:dyDescent="0.35">
      <c r="A1688">
        <v>1002</v>
      </c>
      <c r="B1688" s="1">
        <v>45138</v>
      </c>
      <c r="C1688" t="s">
        <v>22</v>
      </c>
      <c r="D1688" t="s">
        <v>30</v>
      </c>
      <c r="E1688">
        <v>88203.43</v>
      </c>
      <c r="F1688">
        <v>21</v>
      </c>
      <c r="G1688" t="s">
        <v>26</v>
      </c>
      <c r="H1688">
        <v>4138.41</v>
      </c>
      <c r="I1688">
        <v>4361.7</v>
      </c>
      <c r="J1688" t="s">
        <v>17</v>
      </c>
      <c r="K1688">
        <v>0.04</v>
      </c>
      <c r="L1688" t="s">
        <v>28</v>
      </c>
      <c r="M1688" t="s">
        <v>21</v>
      </c>
    </row>
    <row r="1689" spans="1:13" x14ac:dyDescent="0.35">
      <c r="A1689">
        <v>1063</v>
      </c>
      <c r="B1689" s="1">
        <v>45139</v>
      </c>
      <c r="C1689" t="s">
        <v>14</v>
      </c>
      <c r="D1689" t="s">
        <v>23</v>
      </c>
      <c r="E1689">
        <v>5370.06</v>
      </c>
      <c r="F1689">
        <v>4</v>
      </c>
      <c r="G1689" t="s">
        <v>31</v>
      </c>
      <c r="H1689">
        <v>1046.26</v>
      </c>
      <c r="I1689">
        <v>1475.29</v>
      </c>
      <c r="J1689" t="s">
        <v>17</v>
      </c>
      <c r="K1689">
        <v>0.09</v>
      </c>
      <c r="L1689" t="s">
        <v>25</v>
      </c>
      <c r="M1689" t="s">
        <v>21</v>
      </c>
    </row>
    <row r="1690" spans="1:13" x14ac:dyDescent="0.35">
      <c r="A1690">
        <v>1039</v>
      </c>
      <c r="B1690" s="1">
        <v>45139</v>
      </c>
      <c r="C1690" t="s">
        <v>32</v>
      </c>
      <c r="D1690" t="s">
        <v>20</v>
      </c>
      <c r="E1690">
        <v>107464.9</v>
      </c>
      <c r="F1690">
        <v>36</v>
      </c>
      <c r="G1690" t="s">
        <v>26</v>
      </c>
      <c r="H1690">
        <v>2919</v>
      </c>
      <c r="I1690">
        <v>3125.01</v>
      </c>
      <c r="J1690" t="s">
        <v>27</v>
      </c>
      <c r="K1690">
        <v>0.04</v>
      </c>
      <c r="L1690" t="s">
        <v>18</v>
      </c>
      <c r="M1690" t="s">
        <v>19</v>
      </c>
    </row>
    <row r="1691" spans="1:13" x14ac:dyDescent="0.35">
      <c r="A1691">
        <v>1038</v>
      </c>
      <c r="B1691" s="1">
        <v>45140</v>
      </c>
      <c r="C1691" t="s">
        <v>33</v>
      </c>
      <c r="D1691" t="s">
        <v>30</v>
      </c>
      <c r="E1691">
        <v>133195.91</v>
      </c>
      <c r="F1691">
        <v>43</v>
      </c>
      <c r="G1691" t="s">
        <v>16</v>
      </c>
      <c r="H1691">
        <v>3031.17</v>
      </c>
      <c r="I1691">
        <v>3231.32</v>
      </c>
      <c r="J1691" t="s">
        <v>17</v>
      </c>
      <c r="K1691">
        <v>0.04</v>
      </c>
      <c r="L1691" t="s">
        <v>18</v>
      </c>
      <c r="M1691" t="s">
        <v>21</v>
      </c>
    </row>
    <row r="1692" spans="1:13" x14ac:dyDescent="0.35">
      <c r="A1692">
        <v>1096</v>
      </c>
      <c r="B1692" s="1">
        <v>45140</v>
      </c>
      <c r="C1692" t="s">
        <v>14</v>
      </c>
      <c r="D1692" t="s">
        <v>15</v>
      </c>
      <c r="E1692">
        <v>123007.26</v>
      </c>
      <c r="F1692">
        <v>30</v>
      </c>
      <c r="G1692" t="s">
        <v>31</v>
      </c>
      <c r="H1692">
        <v>3969.86</v>
      </c>
      <c r="I1692">
        <v>4281.79</v>
      </c>
      <c r="J1692" t="s">
        <v>17</v>
      </c>
      <c r="K1692">
        <v>0.04</v>
      </c>
      <c r="L1692" t="s">
        <v>25</v>
      </c>
      <c r="M1692" t="s">
        <v>21</v>
      </c>
    </row>
    <row r="1693" spans="1:13" x14ac:dyDescent="0.35">
      <c r="A1693">
        <v>1029</v>
      </c>
      <c r="B1693" s="1">
        <v>45140</v>
      </c>
      <c r="C1693" t="s">
        <v>32</v>
      </c>
      <c r="D1693" t="s">
        <v>23</v>
      </c>
      <c r="E1693">
        <v>219347.48</v>
      </c>
      <c r="F1693">
        <v>46</v>
      </c>
      <c r="G1693" t="s">
        <v>16</v>
      </c>
      <c r="H1693">
        <v>4609.66</v>
      </c>
      <c r="I1693">
        <v>4879.1499999999996</v>
      </c>
      <c r="J1693" t="s">
        <v>17</v>
      </c>
      <c r="K1693">
        <v>0.02</v>
      </c>
      <c r="L1693" t="s">
        <v>18</v>
      </c>
      <c r="M1693" t="s">
        <v>21</v>
      </c>
    </row>
    <row r="1694" spans="1:13" x14ac:dyDescent="0.35">
      <c r="A1694">
        <v>1023</v>
      </c>
      <c r="B1694" s="1">
        <v>45141</v>
      </c>
      <c r="C1694" t="s">
        <v>22</v>
      </c>
      <c r="D1694" t="s">
        <v>20</v>
      </c>
      <c r="E1694">
        <v>212257.77</v>
      </c>
      <c r="F1694">
        <v>45</v>
      </c>
      <c r="G1694" t="s">
        <v>24</v>
      </c>
      <c r="H1694">
        <v>4692.24</v>
      </c>
      <c r="I1694">
        <v>4825.92</v>
      </c>
      <c r="J1694" t="s">
        <v>17</v>
      </c>
      <c r="K1694">
        <v>0.02</v>
      </c>
      <c r="L1694" t="s">
        <v>25</v>
      </c>
      <c r="M1694" t="s">
        <v>21</v>
      </c>
    </row>
    <row r="1695" spans="1:13" x14ac:dyDescent="0.35">
      <c r="A1695">
        <v>1016</v>
      </c>
      <c r="B1695" s="1">
        <v>45141</v>
      </c>
      <c r="C1695" t="s">
        <v>33</v>
      </c>
      <c r="D1695" t="s">
        <v>20</v>
      </c>
      <c r="E1695">
        <v>72921.27</v>
      </c>
      <c r="F1695">
        <v>16</v>
      </c>
      <c r="G1695" t="s">
        <v>16</v>
      </c>
      <c r="H1695">
        <v>4457.68</v>
      </c>
      <c r="I1695">
        <v>4743.03</v>
      </c>
      <c r="J1695" t="s">
        <v>17</v>
      </c>
      <c r="K1695">
        <v>0.04</v>
      </c>
      <c r="L1695" t="s">
        <v>18</v>
      </c>
      <c r="M1695" t="s">
        <v>19</v>
      </c>
    </row>
    <row r="1696" spans="1:13" x14ac:dyDescent="0.35">
      <c r="A1696">
        <v>1033</v>
      </c>
      <c r="B1696" s="1">
        <v>45141</v>
      </c>
      <c r="C1696" t="s">
        <v>33</v>
      </c>
      <c r="D1696" t="s">
        <v>20</v>
      </c>
      <c r="E1696">
        <v>23410.91</v>
      </c>
      <c r="F1696">
        <v>40</v>
      </c>
      <c r="G1696" t="s">
        <v>24</v>
      </c>
      <c r="H1696">
        <v>541.19000000000005</v>
      </c>
      <c r="I1696">
        <v>595.20000000000005</v>
      </c>
      <c r="J1696" t="s">
        <v>17</v>
      </c>
      <c r="K1696">
        <v>0.02</v>
      </c>
      <c r="L1696" t="s">
        <v>28</v>
      </c>
      <c r="M1696" t="s">
        <v>19</v>
      </c>
    </row>
    <row r="1697" spans="1:13" x14ac:dyDescent="0.35">
      <c r="A1697">
        <v>1001</v>
      </c>
      <c r="B1697" s="1">
        <v>45141</v>
      </c>
      <c r="C1697" t="s">
        <v>14</v>
      </c>
      <c r="D1697" t="s">
        <v>20</v>
      </c>
      <c r="E1697">
        <v>45613.26</v>
      </c>
      <c r="F1697">
        <v>20</v>
      </c>
      <c r="G1697" t="s">
        <v>24</v>
      </c>
      <c r="H1697">
        <v>2153.52</v>
      </c>
      <c r="I1697">
        <v>2303.6999999999998</v>
      </c>
      <c r="J1697" t="s">
        <v>17</v>
      </c>
      <c r="K1697">
        <v>0.01</v>
      </c>
      <c r="L1697" t="s">
        <v>18</v>
      </c>
      <c r="M1697" t="s">
        <v>21</v>
      </c>
    </row>
    <row r="1698" spans="1:13" x14ac:dyDescent="0.35">
      <c r="A1698">
        <v>1002</v>
      </c>
      <c r="B1698" s="1">
        <v>45141</v>
      </c>
      <c r="C1698" t="s">
        <v>33</v>
      </c>
      <c r="D1698" t="s">
        <v>23</v>
      </c>
      <c r="E1698">
        <v>49056.15</v>
      </c>
      <c r="F1698">
        <v>16</v>
      </c>
      <c r="G1698" t="s">
        <v>16</v>
      </c>
      <c r="H1698">
        <v>2872.4</v>
      </c>
      <c r="I1698">
        <v>3193.76</v>
      </c>
      <c r="J1698" t="s">
        <v>17</v>
      </c>
      <c r="K1698">
        <v>0.04</v>
      </c>
      <c r="L1698" t="s">
        <v>28</v>
      </c>
      <c r="M1698" t="s">
        <v>19</v>
      </c>
    </row>
    <row r="1699" spans="1:13" x14ac:dyDescent="0.35">
      <c r="A1699">
        <v>1043</v>
      </c>
      <c r="B1699" s="1">
        <v>45141</v>
      </c>
      <c r="C1699" t="s">
        <v>22</v>
      </c>
      <c r="D1699" t="s">
        <v>30</v>
      </c>
      <c r="E1699">
        <v>102444.76</v>
      </c>
      <c r="F1699">
        <v>22</v>
      </c>
      <c r="G1699" t="s">
        <v>31</v>
      </c>
      <c r="H1699">
        <v>4260</v>
      </c>
      <c r="I1699">
        <v>4656.58</v>
      </c>
      <c r="J1699" t="s">
        <v>27</v>
      </c>
      <c r="K1699">
        <v>0</v>
      </c>
      <c r="L1699" t="s">
        <v>25</v>
      </c>
      <c r="M1699" t="s">
        <v>19</v>
      </c>
    </row>
    <row r="1700" spans="1:13" x14ac:dyDescent="0.35">
      <c r="A1700">
        <v>1035</v>
      </c>
      <c r="B1700" s="1">
        <v>45142</v>
      </c>
      <c r="C1700" t="s">
        <v>22</v>
      </c>
      <c r="D1700" t="s">
        <v>23</v>
      </c>
      <c r="E1700">
        <v>114778.97</v>
      </c>
      <c r="F1700">
        <v>30</v>
      </c>
      <c r="G1700" t="s">
        <v>31</v>
      </c>
      <c r="H1700">
        <v>3813.62</v>
      </c>
      <c r="I1700">
        <v>3839.72</v>
      </c>
      <c r="J1700" t="s">
        <v>27</v>
      </c>
      <c r="K1700">
        <v>0</v>
      </c>
      <c r="L1700" t="s">
        <v>28</v>
      </c>
      <c r="M1700" t="s">
        <v>19</v>
      </c>
    </row>
    <row r="1701" spans="1:13" x14ac:dyDescent="0.35">
      <c r="A1701">
        <v>1028</v>
      </c>
      <c r="B1701" s="1">
        <v>45142</v>
      </c>
      <c r="C1701" t="s">
        <v>33</v>
      </c>
      <c r="D1701" t="s">
        <v>15</v>
      </c>
      <c r="E1701">
        <v>130260.66</v>
      </c>
      <c r="F1701">
        <v>38</v>
      </c>
      <c r="G1701" t="s">
        <v>26</v>
      </c>
      <c r="H1701">
        <v>3350.32</v>
      </c>
      <c r="I1701">
        <v>3449.94</v>
      </c>
      <c r="J1701" t="s">
        <v>27</v>
      </c>
      <c r="K1701">
        <v>0.01</v>
      </c>
      <c r="L1701" t="s">
        <v>18</v>
      </c>
      <c r="M1701" t="s">
        <v>19</v>
      </c>
    </row>
    <row r="1702" spans="1:13" x14ac:dyDescent="0.35">
      <c r="A1702">
        <v>1047</v>
      </c>
      <c r="B1702" s="1">
        <v>45142</v>
      </c>
      <c r="C1702" t="s">
        <v>32</v>
      </c>
      <c r="D1702" t="s">
        <v>23</v>
      </c>
      <c r="E1702">
        <v>225957.19</v>
      </c>
      <c r="F1702">
        <v>47</v>
      </c>
      <c r="G1702" t="s">
        <v>26</v>
      </c>
      <c r="H1702">
        <v>4729.59</v>
      </c>
      <c r="I1702">
        <v>4976.68</v>
      </c>
      <c r="J1702" t="s">
        <v>17</v>
      </c>
      <c r="K1702">
        <v>0.03</v>
      </c>
      <c r="L1702" t="s">
        <v>28</v>
      </c>
      <c r="M1702" t="s">
        <v>21</v>
      </c>
    </row>
    <row r="1703" spans="1:13" x14ac:dyDescent="0.35">
      <c r="A1703">
        <v>1001</v>
      </c>
      <c r="B1703" s="1">
        <v>45142</v>
      </c>
      <c r="C1703" t="s">
        <v>22</v>
      </c>
      <c r="D1703" t="s">
        <v>20</v>
      </c>
      <c r="E1703">
        <v>70513.81</v>
      </c>
      <c r="F1703">
        <v>20</v>
      </c>
      <c r="G1703" t="s">
        <v>24</v>
      </c>
      <c r="H1703">
        <v>3279.76</v>
      </c>
      <c r="I1703">
        <v>3563.97</v>
      </c>
      <c r="J1703" t="s">
        <v>17</v>
      </c>
      <c r="K1703">
        <v>0.01</v>
      </c>
      <c r="L1703" t="s">
        <v>18</v>
      </c>
      <c r="M1703" t="s">
        <v>21</v>
      </c>
    </row>
    <row r="1704" spans="1:13" x14ac:dyDescent="0.35">
      <c r="A1704">
        <v>1001</v>
      </c>
      <c r="B1704" s="1">
        <v>45143</v>
      </c>
      <c r="C1704" t="s">
        <v>14</v>
      </c>
      <c r="D1704" t="s">
        <v>15</v>
      </c>
      <c r="E1704">
        <v>7452.81</v>
      </c>
      <c r="F1704">
        <v>4</v>
      </c>
      <c r="G1704" t="s">
        <v>24</v>
      </c>
      <c r="H1704">
        <v>1791.83</v>
      </c>
      <c r="I1704">
        <v>1871.22</v>
      </c>
      <c r="J1704" t="s">
        <v>17</v>
      </c>
      <c r="K1704">
        <v>0</v>
      </c>
      <c r="L1704" t="s">
        <v>25</v>
      </c>
      <c r="M1704" t="s">
        <v>19</v>
      </c>
    </row>
    <row r="1705" spans="1:13" x14ac:dyDescent="0.35">
      <c r="A1705">
        <v>1030</v>
      </c>
      <c r="B1705" s="1">
        <v>45143</v>
      </c>
      <c r="C1705" t="s">
        <v>14</v>
      </c>
      <c r="D1705" t="s">
        <v>20</v>
      </c>
      <c r="E1705">
        <v>110276.04</v>
      </c>
      <c r="F1705">
        <v>34</v>
      </c>
      <c r="G1705" t="s">
        <v>31</v>
      </c>
      <c r="H1705">
        <v>3125.07</v>
      </c>
      <c r="I1705">
        <v>3564.19</v>
      </c>
      <c r="J1705" t="s">
        <v>17</v>
      </c>
      <c r="K1705">
        <v>0.09</v>
      </c>
      <c r="L1705" t="s">
        <v>18</v>
      </c>
      <c r="M1705" t="s">
        <v>19</v>
      </c>
    </row>
    <row r="1706" spans="1:13" x14ac:dyDescent="0.35">
      <c r="A1706">
        <v>1069</v>
      </c>
      <c r="B1706" s="1">
        <v>45144</v>
      </c>
      <c r="C1706" t="s">
        <v>14</v>
      </c>
      <c r="D1706" t="s">
        <v>15</v>
      </c>
      <c r="E1706">
        <v>10030.17</v>
      </c>
      <c r="F1706">
        <v>4</v>
      </c>
      <c r="G1706" t="s">
        <v>31</v>
      </c>
      <c r="H1706">
        <v>2485.86</v>
      </c>
      <c r="I1706">
        <v>2532.87</v>
      </c>
      <c r="J1706" t="s">
        <v>27</v>
      </c>
      <c r="K1706">
        <v>0.01</v>
      </c>
      <c r="L1706" t="s">
        <v>28</v>
      </c>
      <c r="M1706" t="s">
        <v>19</v>
      </c>
    </row>
    <row r="1707" spans="1:13" x14ac:dyDescent="0.35">
      <c r="A1707">
        <v>1079</v>
      </c>
      <c r="B1707" s="1">
        <v>45144</v>
      </c>
      <c r="C1707" t="s">
        <v>22</v>
      </c>
      <c r="D1707" t="s">
        <v>15</v>
      </c>
      <c r="E1707">
        <v>66979.41</v>
      </c>
      <c r="F1707">
        <v>45</v>
      </c>
      <c r="G1707" t="s">
        <v>26</v>
      </c>
      <c r="H1707">
        <v>1406.9</v>
      </c>
      <c r="I1707">
        <v>1547.35</v>
      </c>
      <c r="J1707" t="s">
        <v>27</v>
      </c>
      <c r="K1707">
        <v>0.04</v>
      </c>
      <c r="L1707" t="s">
        <v>18</v>
      </c>
      <c r="M1707" t="s">
        <v>21</v>
      </c>
    </row>
    <row r="1708" spans="1:13" x14ac:dyDescent="0.35">
      <c r="A1708">
        <v>1015</v>
      </c>
      <c r="B1708" s="1">
        <v>45145</v>
      </c>
      <c r="C1708" t="s">
        <v>33</v>
      </c>
      <c r="D1708" t="s">
        <v>30</v>
      </c>
      <c r="E1708">
        <v>8446.15</v>
      </c>
      <c r="F1708">
        <v>19</v>
      </c>
      <c r="G1708" t="s">
        <v>26</v>
      </c>
      <c r="H1708">
        <v>433.54</v>
      </c>
      <c r="I1708">
        <v>445.48</v>
      </c>
      <c r="J1708" t="s">
        <v>27</v>
      </c>
      <c r="K1708">
        <v>0</v>
      </c>
      <c r="L1708" t="s">
        <v>25</v>
      </c>
      <c r="M1708" t="s">
        <v>21</v>
      </c>
    </row>
    <row r="1709" spans="1:13" x14ac:dyDescent="0.35">
      <c r="A1709">
        <v>1077</v>
      </c>
      <c r="B1709" s="1">
        <v>45145</v>
      </c>
      <c r="C1709" t="s">
        <v>29</v>
      </c>
      <c r="D1709" t="s">
        <v>30</v>
      </c>
      <c r="E1709">
        <v>195974.88</v>
      </c>
      <c r="F1709">
        <v>43</v>
      </c>
      <c r="G1709" t="s">
        <v>24</v>
      </c>
      <c r="H1709">
        <v>4402.66</v>
      </c>
      <c r="I1709">
        <v>4724.7</v>
      </c>
      <c r="J1709" t="s">
        <v>27</v>
      </c>
      <c r="K1709">
        <v>0.04</v>
      </c>
      <c r="L1709" t="s">
        <v>25</v>
      </c>
      <c r="M1709" t="s">
        <v>21</v>
      </c>
    </row>
    <row r="1710" spans="1:13" x14ac:dyDescent="0.35">
      <c r="A1710">
        <v>1044</v>
      </c>
      <c r="B1710" s="1">
        <v>45146</v>
      </c>
      <c r="C1710" t="s">
        <v>33</v>
      </c>
      <c r="D1710" t="s">
        <v>15</v>
      </c>
      <c r="E1710">
        <v>10040.879999999999</v>
      </c>
      <c r="F1710">
        <v>18</v>
      </c>
      <c r="G1710" t="s">
        <v>26</v>
      </c>
      <c r="H1710">
        <v>430.14</v>
      </c>
      <c r="I1710">
        <v>641.17999999999995</v>
      </c>
      <c r="J1710" t="s">
        <v>27</v>
      </c>
      <c r="K1710">
        <v>0.13</v>
      </c>
      <c r="L1710" t="s">
        <v>18</v>
      </c>
      <c r="M1710" t="s">
        <v>19</v>
      </c>
    </row>
    <row r="1711" spans="1:13" x14ac:dyDescent="0.35">
      <c r="A1711">
        <v>1047</v>
      </c>
      <c r="B1711" s="1">
        <v>45146</v>
      </c>
      <c r="C1711" t="s">
        <v>22</v>
      </c>
      <c r="D1711" t="s">
        <v>15</v>
      </c>
      <c r="E1711">
        <v>47040.84</v>
      </c>
      <c r="F1711">
        <v>33</v>
      </c>
      <c r="G1711" t="s">
        <v>31</v>
      </c>
      <c r="H1711">
        <v>1341.55</v>
      </c>
      <c r="I1711">
        <v>1427.21</v>
      </c>
      <c r="J1711" t="s">
        <v>17</v>
      </c>
      <c r="K1711">
        <v>0</v>
      </c>
      <c r="L1711" t="s">
        <v>28</v>
      </c>
      <c r="M1711" t="s">
        <v>19</v>
      </c>
    </row>
    <row r="1712" spans="1:13" x14ac:dyDescent="0.35">
      <c r="A1712">
        <v>1047</v>
      </c>
      <c r="B1712" s="1">
        <v>45147</v>
      </c>
      <c r="C1712" t="s">
        <v>22</v>
      </c>
      <c r="D1712" t="s">
        <v>15</v>
      </c>
      <c r="E1712">
        <v>119532.14</v>
      </c>
      <c r="F1712">
        <v>41</v>
      </c>
      <c r="G1712" t="s">
        <v>26</v>
      </c>
      <c r="H1712">
        <v>2888.49</v>
      </c>
      <c r="I1712">
        <v>2929.45</v>
      </c>
      <c r="J1712" t="s">
        <v>27</v>
      </c>
      <c r="K1712">
        <v>0</v>
      </c>
      <c r="L1712" t="s">
        <v>18</v>
      </c>
      <c r="M1712" t="s">
        <v>21</v>
      </c>
    </row>
    <row r="1713" spans="1:13" x14ac:dyDescent="0.35">
      <c r="A1713">
        <v>1064</v>
      </c>
      <c r="B1713" s="1">
        <v>45148</v>
      </c>
      <c r="C1713" t="s">
        <v>14</v>
      </c>
      <c r="D1713" t="s">
        <v>23</v>
      </c>
      <c r="E1713">
        <v>2270.27</v>
      </c>
      <c r="F1713">
        <v>5</v>
      </c>
      <c r="G1713" t="s">
        <v>24</v>
      </c>
      <c r="H1713">
        <v>421.05</v>
      </c>
      <c r="I1713">
        <v>488.23</v>
      </c>
      <c r="J1713" t="s">
        <v>17</v>
      </c>
      <c r="K1713">
        <v>7.0000000000000007E-2</v>
      </c>
      <c r="L1713" t="s">
        <v>28</v>
      </c>
      <c r="M1713" t="s">
        <v>21</v>
      </c>
    </row>
    <row r="1714" spans="1:13" x14ac:dyDescent="0.35">
      <c r="A1714">
        <v>1024</v>
      </c>
      <c r="B1714" s="1">
        <v>45148</v>
      </c>
      <c r="C1714" t="s">
        <v>32</v>
      </c>
      <c r="D1714" t="s">
        <v>23</v>
      </c>
      <c r="E1714">
        <v>46535.22</v>
      </c>
      <c r="F1714">
        <v>30</v>
      </c>
      <c r="G1714" t="s">
        <v>24</v>
      </c>
      <c r="H1714">
        <v>1543.96</v>
      </c>
      <c r="I1714">
        <v>1558.87</v>
      </c>
      <c r="J1714" t="s">
        <v>17</v>
      </c>
      <c r="K1714">
        <v>0</v>
      </c>
      <c r="L1714" t="s">
        <v>28</v>
      </c>
      <c r="M1714" t="s">
        <v>19</v>
      </c>
    </row>
    <row r="1715" spans="1:13" x14ac:dyDescent="0.35">
      <c r="A1715">
        <v>1075</v>
      </c>
      <c r="B1715" s="1">
        <v>45148</v>
      </c>
      <c r="C1715" t="s">
        <v>29</v>
      </c>
      <c r="D1715" t="s">
        <v>15</v>
      </c>
      <c r="E1715">
        <v>84790.83</v>
      </c>
      <c r="F1715">
        <v>17</v>
      </c>
      <c r="G1715" t="s">
        <v>31</v>
      </c>
      <c r="H1715">
        <v>4966.66</v>
      </c>
      <c r="I1715">
        <v>5037.2700000000004</v>
      </c>
      <c r="J1715" t="s">
        <v>17</v>
      </c>
      <c r="K1715">
        <v>0.01</v>
      </c>
      <c r="L1715" t="s">
        <v>25</v>
      </c>
      <c r="M1715" t="s">
        <v>21</v>
      </c>
    </row>
    <row r="1716" spans="1:13" x14ac:dyDescent="0.35">
      <c r="A1716">
        <v>1017</v>
      </c>
      <c r="B1716" s="1">
        <v>45148</v>
      </c>
      <c r="C1716" t="s">
        <v>33</v>
      </c>
      <c r="D1716" t="s">
        <v>15</v>
      </c>
      <c r="E1716">
        <v>69863</v>
      </c>
      <c r="F1716">
        <v>43</v>
      </c>
      <c r="G1716" t="s">
        <v>16</v>
      </c>
      <c r="H1716">
        <v>1454.8</v>
      </c>
      <c r="I1716">
        <v>1674.97</v>
      </c>
      <c r="J1716" t="s">
        <v>27</v>
      </c>
      <c r="K1716">
        <v>0.03</v>
      </c>
      <c r="L1716" t="s">
        <v>28</v>
      </c>
      <c r="M1716" t="s">
        <v>19</v>
      </c>
    </row>
    <row r="1717" spans="1:13" x14ac:dyDescent="0.35">
      <c r="A1717">
        <v>1032</v>
      </c>
      <c r="B1717" s="1">
        <v>45149</v>
      </c>
      <c r="C1717" t="s">
        <v>22</v>
      </c>
      <c r="D1717" t="s">
        <v>30</v>
      </c>
      <c r="E1717">
        <v>24912.14</v>
      </c>
      <c r="F1717">
        <v>5</v>
      </c>
      <c r="G1717" t="s">
        <v>24</v>
      </c>
      <c r="H1717">
        <v>4714.74</v>
      </c>
      <c r="I1717">
        <v>5129.1099999999997</v>
      </c>
      <c r="J1717" t="s">
        <v>27</v>
      </c>
      <c r="K1717">
        <v>0.03</v>
      </c>
      <c r="L1717" t="s">
        <v>25</v>
      </c>
      <c r="M1717" t="s">
        <v>19</v>
      </c>
    </row>
    <row r="1718" spans="1:13" x14ac:dyDescent="0.35">
      <c r="A1718">
        <v>1028</v>
      </c>
      <c r="B1718" s="1">
        <v>45149</v>
      </c>
      <c r="C1718" t="s">
        <v>29</v>
      </c>
      <c r="D1718" t="s">
        <v>20</v>
      </c>
      <c r="E1718">
        <v>220216.01</v>
      </c>
      <c r="F1718">
        <v>45</v>
      </c>
      <c r="G1718" t="s">
        <v>26</v>
      </c>
      <c r="H1718">
        <v>4848.9799999999996</v>
      </c>
      <c r="I1718">
        <v>4985.75</v>
      </c>
      <c r="J1718" t="s">
        <v>17</v>
      </c>
      <c r="K1718">
        <v>0.02</v>
      </c>
      <c r="L1718" t="s">
        <v>25</v>
      </c>
      <c r="M1718" t="s">
        <v>19</v>
      </c>
    </row>
    <row r="1719" spans="1:13" x14ac:dyDescent="0.35">
      <c r="A1719">
        <v>1082</v>
      </c>
      <c r="B1719" s="1">
        <v>45149</v>
      </c>
      <c r="C1719" t="s">
        <v>29</v>
      </c>
      <c r="D1719" t="s">
        <v>15</v>
      </c>
      <c r="E1719">
        <v>105433.85</v>
      </c>
      <c r="F1719">
        <v>43</v>
      </c>
      <c r="G1719" t="s">
        <v>16</v>
      </c>
      <c r="H1719">
        <v>2289.2199999999998</v>
      </c>
      <c r="I1719">
        <v>2581</v>
      </c>
      <c r="J1719" t="s">
        <v>27</v>
      </c>
      <c r="K1719">
        <v>0.05</v>
      </c>
      <c r="L1719" t="s">
        <v>25</v>
      </c>
      <c r="M1719" t="s">
        <v>19</v>
      </c>
    </row>
    <row r="1720" spans="1:13" x14ac:dyDescent="0.35">
      <c r="A1720">
        <v>1015</v>
      </c>
      <c r="B1720" s="1">
        <v>45149</v>
      </c>
      <c r="C1720" t="s">
        <v>32</v>
      </c>
      <c r="D1720" t="s">
        <v>30</v>
      </c>
      <c r="E1720">
        <v>40031.67</v>
      </c>
      <c r="F1720">
        <v>32</v>
      </c>
      <c r="G1720" t="s">
        <v>16</v>
      </c>
      <c r="H1720">
        <v>970.51</v>
      </c>
      <c r="I1720">
        <v>1330.84</v>
      </c>
      <c r="J1720" t="s">
        <v>17</v>
      </c>
      <c r="K1720">
        <v>0.06</v>
      </c>
      <c r="L1720" t="s">
        <v>18</v>
      </c>
      <c r="M1720" t="s">
        <v>21</v>
      </c>
    </row>
    <row r="1721" spans="1:13" x14ac:dyDescent="0.35">
      <c r="A1721">
        <v>1027</v>
      </c>
      <c r="B1721" s="1">
        <v>45149</v>
      </c>
      <c r="C1721" t="s">
        <v>32</v>
      </c>
      <c r="D1721" t="s">
        <v>15</v>
      </c>
      <c r="E1721">
        <v>194638.98</v>
      </c>
      <c r="F1721">
        <v>43</v>
      </c>
      <c r="G1721" t="s">
        <v>26</v>
      </c>
      <c r="H1721">
        <v>4232.6099999999997</v>
      </c>
      <c r="I1721">
        <v>4572.21</v>
      </c>
      <c r="J1721" t="s">
        <v>27</v>
      </c>
      <c r="K1721">
        <v>0.01</v>
      </c>
      <c r="L1721" t="s">
        <v>18</v>
      </c>
      <c r="M1721" t="s">
        <v>21</v>
      </c>
    </row>
    <row r="1722" spans="1:13" x14ac:dyDescent="0.35">
      <c r="A1722">
        <v>1074</v>
      </c>
      <c r="B1722" s="1">
        <v>45150</v>
      </c>
      <c r="C1722" t="s">
        <v>14</v>
      </c>
      <c r="D1722" t="s">
        <v>30</v>
      </c>
      <c r="E1722">
        <v>5912.66</v>
      </c>
      <c r="F1722">
        <v>2</v>
      </c>
      <c r="G1722" t="s">
        <v>24</v>
      </c>
      <c r="H1722">
        <v>2868.02</v>
      </c>
      <c r="I1722">
        <v>2994.74</v>
      </c>
      <c r="J1722" t="s">
        <v>17</v>
      </c>
      <c r="K1722">
        <v>0.01</v>
      </c>
      <c r="L1722" t="s">
        <v>25</v>
      </c>
      <c r="M1722" t="s">
        <v>19</v>
      </c>
    </row>
    <row r="1723" spans="1:13" x14ac:dyDescent="0.35">
      <c r="A1723">
        <v>1018</v>
      </c>
      <c r="B1723" s="1">
        <v>45150</v>
      </c>
      <c r="C1723" t="s">
        <v>29</v>
      </c>
      <c r="D1723" t="s">
        <v>15</v>
      </c>
      <c r="E1723">
        <v>28813.08</v>
      </c>
      <c r="F1723">
        <v>9</v>
      </c>
      <c r="G1723" t="s">
        <v>31</v>
      </c>
      <c r="H1723">
        <v>3161.09</v>
      </c>
      <c r="I1723">
        <v>3216.42</v>
      </c>
      <c r="J1723" t="s">
        <v>27</v>
      </c>
      <c r="K1723">
        <v>0</v>
      </c>
      <c r="L1723" t="s">
        <v>25</v>
      </c>
      <c r="M1723" t="s">
        <v>19</v>
      </c>
    </row>
    <row r="1724" spans="1:13" x14ac:dyDescent="0.35">
      <c r="A1724">
        <v>1060</v>
      </c>
      <c r="B1724" s="1">
        <v>45150</v>
      </c>
      <c r="C1724" t="s">
        <v>22</v>
      </c>
      <c r="D1724" t="s">
        <v>15</v>
      </c>
      <c r="E1724">
        <v>20386.68</v>
      </c>
      <c r="F1724">
        <v>5</v>
      </c>
      <c r="G1724" t="s">
        <v>16</v>
      </c>
      <c r="H1724">
        <v>3970.08</v>
      </c>
      <c r="I1724">
        <v>4096.4799999999996</v>
      </c>
      <c r="J1724" t="s">
        <v>17</v>
      </c>
      <c r="K1724">
        <v>0</v>
      </c>
      <c r="L1724" t="s">
        <v>18</v>
      </c>
      <c r="M1724" t="s">
        <v>21</v>
      </c>
    </row>
    <row r="1725" spans="1:13" x14ac:dyDescent="0.35">
      <c r="A1725">
        <v>1028</v>
      </c>
      <c r="B1725" s="1">
        <v>45150</v>
      </c>
      <c r="C1725" t="s">
        <v>29</v>
      </c>
      <c r="D1725" t="s">
        <v>23</v>
      </c>
      <c r="E1725">
        <v>165721.89000000001</v>
      </c>
      <c r="F1725">
        <v>41</v>
      </c>
      <c r="G1725" t="s">
        <v>26</v>
      </c>
      <c r="H1725">
        <v>3956.03</v>
      </c>
      <c r="I1725">
        <v>4163.68</v>
      </c>
      <c r="J1725" t="s">
        <v>27</v>
      </c>
      <c r="K1725">
        <v>0.03</v>
      </c>
      <c r="L1725" t="s">
        <v>25</v>
      </c>
      <c r="M1725" t="s">
        <v>21</v>
      </c>
    </row>
    <row r="1726" spans="1:13" x14ac:dyDescent="0.35">
      <c r="A1726">
        <v>1075</v>
      </c>
      <c r="B1726" s="1">
        <v>45150</v>
      </c>
      <c r="C1726" t="s">
        <v>22</v>
      </c>
      <c r="D1726" t="s">
        <v>30</v>
      </c>
      <c r="E1726">
        <v>26183.23</v>
      </c>
      <c r="F1726">
        <v>14</v>
      </c>
      <c r="G1726" t="s">
        <v>16</v>
      </c>
      <c r="H1726">
        <v>1612.93</v>
      </c>
      <c r="I1726">
        <v>1964.15</v>
      </c>
      <c r="J1726" t="s">
        <v>17</v>
      </c>
      <c r="K1726">
        <v>0.05</v>
      </c>
      <c r="L1726" t="s">
        <v>25</v>
      </c>
      <c r="M1726" t="s">
        <v>21</v>
      </c>
    </row>
    <row r="1727" spans="1:13" x14ac:dyDescent="0.35">
      <c r="A1727">
        <v>1023</v>
      </c>
      <c r="B1727" s="1">
        <v>45151</v>
      </c>
      <c r="C1727" t="s">
        <v>14</v>
      </c>
      <c r="D1727" t="s">
        <v>30</v>
      </c>
      <c r="E1727">
        <v>12712.62</v>
      </c>
      <c r="F1727">
        <v>38</v>
      </c>
      <c r="G1727" t="s">
        <v>26</v>
      </c>
      <c r="H1727">
        <v>324.45</v>
      </c>
      <c r="I1727">
        <v>336.37</v>
      </c>
      <c r="J1727" t="s">
        <v>27</v>
      </c>
      <c r="K1727">
        <v>0.01</v>
      </c>
      <c r="L1727" t="s">
        <v>28</v>
      </c>
      <c r="M1727" t="s">
        <v>21</v>
      </c>
    </row>
    <row r="1728" spans="1:13" x14ac:dyDescent="0.35">
      <c r="A1728">
        <v>1035</v>
      </c>
      <c r="B1728" s="1">
        <v>45151</v>
      </c>
      <c r="C1728" t="s">
        <v>33</v>
      </c>
      <c r="D1728" t="s">
        <v>20</v>
      </c>
      <c r="E1728">
        <v>21227.08</v>
      </c>
      <c r="F1728">
        <v>5</v>
      </c>
      <c r="G1728" t="s">
        <v>26</v>
      </c>
      <c r="H1728">
        <v>3991.69</v>
      </c>
      <c r="I1728">
        <v>4454.97</v>
      </c>
      <c r="J1728" t="s">
        <v>27</v>
      </c>
      <c r="K1728">
        <v>0.05</v>
      </c>
      <c r="L1728" t="s">
        <v>28</v>
      </c>
      <c r="M1728" t="s">
        <v>21</v>
      </c>
    </row>
    <row r="1729" spans="1:13" x14ac:dyDescent="0.35">
      <c r="A1729">
        <v>1084</v>
      </c>
      <c r="B1729" s="1">
        <v>45151</v>
      </c>
      <c r="C1729" t="s">
        <v>33</v>
      </c>
      <c r="D1729" t="s">
        <v>20</v>
      </c>
      <c r="E1729">
        <v>76265.75</v>
      </c>
      <c r="F1729">
        <v>21</v>
      </c>
      <c r="G1729" t="s">
        <v>16</v>
      </c>
      <c r="H1729">
        <v>3497.98</v>
      </c>
      <c r="I1729">
        <v>3765.31</v>
      </c>
      <c r="J1729" t="s">
        <v>27</v>
      </c>
      <c r="K1729">
        <v>0.04</v>
      </c>
      <c r="L1729" t="s">
        <v>18</v>
      </c>
      <c r="M1729" t="s">
        <v>19</v>
      </c>
    </row>
    <row r="1730" spans="1:13" x14ac:dyDescent="0.35">
      <c r="A1730">
        <v>1100</v>
      </c>
      <c r="B1730" s="1">
        <v>45152</v>
      </c>
      <c r="C1730" t="s">
        <v>14</v>
      </c>
      <c r="D1730" t="s">
        <v>20</v>
      </c>
      <c r="E1730">
        <v>48223.68</v>
      </c>
      <c r="F1730">
        <v>43</v>
      </c>
      <c r="G1730" t="s">
        <v>24</v>
      </c>
      <c r="H1730">
        <v>1100.81</v>
      </c>
      <c r="I1730">
        <v>1137.44</v>
      </c>
      <c r="J1730" t="s">
        <v>17</v>
      </c>
      <c r="K1730">
        <v>0.01</v>
      </c>
      <c r="L1730" t="s">
        <v>25</v>
      </c>
      <c r="M1730" t="s">
        <v>19</v>
      </c>
    </row>
    <row r="1731" spans="1:13" x14ac:dyDescent="0.35">
      <c r="A1731">
        <v>1066</v>
      </c>
      <c r="B1731" s="1">
        <v>45152</v>
      </c>
      <c r="C1731" t="s">
        <v>33</v>
      </c>
      <c r="D1731" t="s">
        <v>23</v>
      </c>
      <c r="E1731">
        <v>20812.71</v>
      </c>
      <c r="F1731">
        <v>20</v>
      </c>
      <c r="G1731" t="s">
        <v>31</v>
      </c>
      <c r="H1731">
        <v>955.18</v>
      </c>
      <c r="I1731">
        <v>1072.82</v>
      </c>
      <c r="J1731" t="s">
        <v>27</v>
      </c>
      <c r="K1731">
        <v>0.03</v>
      </c>
      <c r="L1731" t="s">
        <v>25</v>
      </c>
      <c r="M1731" t="s">
        <v>21</v>
      </c>
    </row>
    <row r="1732" spans="1:13" x14ac:dyDescent="0.35">
      <c r="A1732">
        <v>1093</v>
      </c>
      <c r="B1732" s="1">
        <v>45152</v>
      </c>
      <c r="C1732" t="s">
        <v>22</v>
      </c>
      <c r="D1732" t="s">
        <v>20</v>
      </c>
      <c r="E1732">
        <v>3414.6</v>
      </c>
      <c r="F1732">
        <v>6</v>
      </c>
      <c r="G1732" t="s">
        <v>24</v>
      </c>
      <c r="H1732">
        <v>235.12</v>
      </c>
      <c r="I1732">
        <v>677.5</v>
      </c>
      <c r="J1732" t="s">
        <v>17</v>
      </c>
      <c r="K1732">
        <v>0.16</v>
      </c>
      <c r="L1732" t="s">
        <v>28</v>
      </c>
      <c r="M1732" t="s">
        <v>19</v>
      </c>
    </row>
    <row r="1733" spans="1:13" x14ac:dyDescent="0.35">
      <c r="A1733">
        <v>1083</v>
      </c>
      <c r="B1733" s="1">
        <v>45152</v>
      </c>
      <c r="C1733" t="s">
        <v>32</v>
      </c>
      <c r="D1733" t="s">
        <v>20</v>
      </c>
      <c r="E1733">
        <v>109754.02</v>
      </c>
      <c r="F1733">
        <v>42</v>
      </c>
      <c r="G1733" t="s">
        <v>26</v>
      </c>
      <c r="H1733">
        <v>2505.41</v>
      </c>
      <c r="I1733">
        <v>2638.96</v>
      </c>
      <c r="J1733" t="s">
        <v>27</v>
      </c>
      <c r="K1733">
        <v>0.01</v>
      </c>
      <c r="L1733" t="s">
        <v>25</v>
      </c>
      <c r="M1733" t="s">
        <v>19</v>
      </c>
    </row>
    <row r="1734" spans="1:13" x14ac:dyDescent="0.35">
      <c r="A1734">
        <v>1013</v>
      </c>
      <c r="B1734" s="1">
        <v>45152</v>
      </c>
      <c r="C1734" t="s">
        <v>33</v>
      </c>
      <c r="D1734" t="s">
        <v>30</v>
      </c>
      <c r="E1734">
        <v>103143.39</v>
      </c>
      <c r="F1734">
        <v>26</v>
      </c>
      <c r="G1734" t="s">
        <v>26</v>
      </c>
      <c r="H1734">
        <v>3749.12</v>
      </c>
      <c r="I1734">
        <v>4138.83</v>
      </c>
      <c r="J1734" t="s">
        <v>27</v>
      </c>
      <c r="K1734">
        <v>0.04</v>
      </c>
      <c r="L1734" t="s">
        <v>28</v>
      </c>
      <c r="M1734" t="s">
        <v>19</v>
      </c>
    </row>
    <row r="1735" spans="1:13" x14ac:dyDescent="0.35">
      <c r="A1735">
        <v>1065</v>
      </c>
      <c r="B1735" s="1">
        <v>45152</v>
      </c>
      <c r="C1735" t="s">
        <v>14</v>
      </c>
      <c r="D1735" t="s">
        <v>20</v>
      </c>
      <c r="E1735">
        <v>118725.49</v>
      </c>
      <c r="F1735">
        <v>26</v>
      </c>
      <c r="G1735" t="s">
        <v>26</v>
      </c>
      <c r="H1735">
        <v>4337.8500000000004</v>
      </c>
      <c r="I1735">
        <v>4612.49</v>
      </c>
      <c r="J1735" t="s">
        <v>17</v>
      </c>
      <c r="K1735">
        <v>0.01</v>
      </c>
      <c r="L1735" t="s">
        <v>18</v>
      </c>
      <c r="M1735" t="s">
        <v>21</v>
      </c>
    </row>
    <row r="1736" spans="1:13" x14ac:dyDescent="0.35">
      <c r="A1736">
        <v>1063</v>
      </c>
      <c r="B1736" s="1">
        <v>45152</v>
      </c>
      <c r="C1736" t="s">
        <v>14</v>
      </c>
      <c r="D1736" t="s">
        <v>15</v>
      </c>
      <c r="E1736">
        <v>109704.26</v>
      </c>
      <c r="F1736">
        <v>27</v>
      </c>
      <c r="G1736" t="s">
        <v>26</v>
      </c>
      <c r="H1736">
        <v>3760.25</v>
      </c>
      <c r="I1736">
        <v>4147.1099999999997</v>
      </c>
      <c r="J1736" t="s">
        <v>27</v>
      </c>
      <c r="K1736">
        <v>0.02</v>
      </c>
      <c r="L1736" t="s">
        <v>18</v>
      </c>
      <c r="M1736" t="s">
        <v>19</v>
      </c>
    </row>
    <row r="1737" spans="1:13" x14ac:dyDescent="0.35">
      <c r="A1737">
        <v>1046</v>
      </c>
      <c r="B1737" s="1">
        <v>45153</v>
      </c>
      <c r="C1737" t="s">
        <v>33</v>
      </c>
      <c r="D1737" t="s">
        <v>23</v>
      </c>
      <c r="E1737">
        <v>16498.46</v>
      </c>
      <c r="F1737">
        <v>4</v>
      </c>
      <c r="G1737" t="s">
        <v>16</v>
      </c>
      <c r="H1737">
        <v>4095.1</v>
      </c>
      <c r="I1737">
        <v>4134.55</v>
      </c>
      <c r="J1737" t="s">
        <v>17</v>
      </c>
      <c r="K1737">
        <v>0</v>
      </c>
      <c r="L1737" t="s">
        <v>25</v>
      </c>
      <c r="M1737" t="s">
        <v>21</v>
      </c>
    </row>
    <row r="1738" spans="1:13" x14ac:dyDescent="0.35">
      <c r="A1738">
        <v>1075</v>
      </c>
      <c r="B1738" s="1">
        <v>45153</v>
      </c>
      <c r="C1738" t="s">
        <v>29</v>
      </c>
      <c r="D1738" t="s">
        <v>15</v>
      </c>
      <c r="E1738">
        <v>73063.37</v>
      </c>
      <c r="F1738">
        <v>28</v>
      </c>
      <c r="G1738" t="s">
        <v>26</v>
      </c>
      <c r="H1738">
        <v>2570.2199999999998</v>
      </c>
      <c r="I1738">
        <v>2610.84</v>
      </c>
      <c r="J1738" t="s">
        <v>17</v>
      </c>
      <c r="K1738">
        <v>0</v>
      </c>
      <c r="L1738" t="s">
        <v>25</v>
      </c>
      <c r="M1738" t="s">
        <v>21</v>
      </c>
    </row>
    <row r="1739" spans="1:13" x14ac:dyDescent="0.35">
      <c r="A1739">
        <v>1033</v>
      </c>
      <c r="B1739" s="1">
        <v>45153</v>
      </c>
      <c r="C1739" t="s">
        <v>32</v>
      </c>
      <c r="D1739" t="s">
        <v>30</v>
      </c>
      <c r="E1739">
        <v>43061.65</v>
      </c>
      <c r="F1739">
        <v>29</v>
      </c>
      <c r="G1739" t="s">
        <v>26</v>
      </c>
      <c r="H1739">
        <v>1412.09</v>
      </c>
      <c r="I1739">
        <v>1596.65</v>
      </c>
      <c r="J1739" t="s">
        <v>17</v>
      </c>
      <c r="K1739">
        <v>7.0000000000000007E-2</v>
      </c>
      <c r="L1739" t="s">
        <v>18</v>
      </c>
      <c r="M1739" t="s">
        <v>19</v>
      </c>
    </row>
    <row r="1740" spans="1:13" x14ac:dyDescent="0.35">
      <c r="A1740">
        <v>1068</v>
      </c>
      <c r="B1740" s="1">
        <v>45153</v>
      </c>
      <c r="C1740" t="s">
        <v>33</v>
      </c>
      <c r="D1740" t="s">
        <v>23</v>
      </c>
      <c r="E1740">
        <v>28488.89</v>
      </c>
      <c r="F1740">
        <v>21</v>
      </c>
      <c r="G1740" t="s">
        <v>24</v>
      </c>
      <c r="H1740">
        <v>1142.53</v>
      </c>
      <c r="I1740">
        <v>1384.3</v>
      </c>
      <c r="J1740" t="s">
        <v>17</v>
      </c>
      <c r="K1740">
        <v>0.02</v>
      </c>
      <c r="L1740" t="s">
        <v>28</v>
      </c>
      <c r="M1740" t="s">
        <v>21</v>
      </c>
    </row>
    <row r="1741" spans="1:13" x14ac:dyDescent="0.35">
      <c r="A1741">
        <v>1074</v>
      </c>
      <c r="B1741" s="1">
        <v>45153</v>
      </c>
      <c r="C1741" t="s">
        <v>22</v>
      </c>
      <c r="D1741" t="s">
        <v>20</v>
      </c>
      <c r="E1741">
        <v>59264.42</v>
      </c>
      <c r="F1741">
        <v>29</v>
      </c>
      <c r="G1741" t="s">
        <v>16</v>
      </c>
      <c r="H1741">
        <v>1723.01</v>
      </c>
      <c r="I1741">
        <v>2197.42</v>
      </c>
      <c r="J1741" t="s">
        <v>27</v>
      </c>
      <c r="K1741">
        <v>7.0000000000000007E-2</v>
      </c>
      <c r="L1741" t="s">
        <v>25</v>
      </c>
      <c r="M1741" t="s">
        <v>21</v>
      </c>
    </row>
    <row r="1742" spans="1:13" x14ac:dyDescent="0.35">
      <c r="A1742">
        <v>1063</v>
      </c>
      <c r="B1742" s="1">
        <v>45153</v>
      </c>
      <c r="C1742" t="s">
        <v>33</v>
      </c>
      <c r="D1742" t="s">
        <v>30</v>
      </c>
      <c r="E1742">
        <v>36950.67</v>
      </c>
      <c r="F1742">
        <v>26</v>
      </c>
      <c r="G1742" t="s">
        <v>24</v>
      </c>
      <c r="H1742">
        <v>1046.96</v>
      </c>
      <c r="I1742">
        <v>1528.15</v>
      </c>
      <c r="J1742" t="s">
        <v>27</v>
      </c>
      <c r="K1742">
        <v>7.0000000000000007E-2</v>
      </c>
      <c r="L1742" t="s">
        <v>28</v>
      </c>
      <c r="M1742" t="s">
        <v>21</v>
      </c>
    </row>
    <row r="1743" spans="1:13" x14ac:dyDescent="0.35">
      <c r="A1743">
        <v>1059</v>
      </c>
      <c r="B1743" s="1">
        <v>45154</v>
      </c>
      <c r="C1743" t="s">
        <v>33</v>
      </c>
      <c r="D1743" t="s">
        <v>20</v>
      </c>
      <c r="E1743">
        <v>66919.64</v>
      </c>
      <c r="F1743">
        <v>21</v>
      </c>
      <c r="G1743" t="s">
        <v>26</v>
      </c>
      <c r="H1743">
        <v>3110.54</v>
      </c>
      <c r="I1743">
        <v>3192.99</v>
      </c>
      <c r="J1743" t="s">
        <v>27</v>
      </c>
      <c r="K1743">
        <v>0</v>
      </c>
      <c r="L1743" t="s">
        <v>28</v>
      </c>
      <c r="M1743" t="s">
        <v>19</v>
      </c>
    </row>
    <row r="1744" spans="1:13" x14ac:dyDescent="0.35">
      <c r="A1744">
        <v>1014</v>
      </c>
      <c r="B1744" s="1">
        <v>45154</v>
      </c>
      <c r="C1744" t="s">
        <v>22</v>
      </c>
      <c r="D1744" t="s">
        <v>23</v>
      </c>
      <c r="E1744">
        <v>16652.48</v>
      </c>
      <c r="F1744">
        <v>26</v>
      </c>
      <c r="G1744" t="s">
        <v>16</v>
      </c>
      <c r="H1744">
        <v>433.19</v>
      </c>
      <c r="I1744">
        <v>800.6</v>
      </c>
      <c r="J1744" t="s">
        <v>17</v>
      </c>
      <c r="K1744">
        <v>0.2</v>
      </c>
      <c r="L1744" t="s">
        <v>18</v>
      </c>
      <c r="M1744" t="s">
        <v>19</v>
      </c>
    </row>
    <row r="1745" spans="1:13" x14ac:dyDescent="0.35">
      <c r="A1745">
        <v>1086</v>
      </c>
      <c r="B1745" s="1">
        <v>45154</v>
      </c>
      <c r="C1745" t="s">
        <v>33</v>
      </c>
      <c r="D1745" t="s">
        <v>30</v>
      </c>
      <c r="E1745">
        <v>133926.07999999999</v>
      </c>
      <c r="F1745">
        <v>48</v>
      </c>
      <c r="G1745" t="s">
        <v>24</v>
      </c>
      <c r="H1745">
        <v>2632.58</v>
      </c>
      <c r="I1745">
        <v>2926.68</v>
      </c>
      <c r="J1745" t="s">
        <v>17</v>
      </c>
      <c r="K1745">
        <v>0.05</v>
      </c>
      <c r="L1745" t="s">
        <v>18</v>
      </c>
      <c r="M1745" t="s">
        <v>19</v>
      </c>
    </row>
    <row r="1746" spans="1:13" x14ac:dyDescent="0.35">
      <c r="A1746">
        <v>1016</v>
      </c>
      <c r="B1746" s="1">
        <v>45155</v>
      </c>
      <c r="C1746" t="s">
        <v>32</v>
      </c>
      <c r="D1746" t="s">
        <v>20</v>
      </c>
      <c r="E1746">
        <v>3927.82</v>
      </c>
      <c r="F1746">
        <v>7</v>
      </c>
      <c r="G1746" t="s">
        <v>24</v>
      </c>
      <c r="H1746">
        <v>282.94</v>
      </c>
      <c r="I1746">
        <v>779.33</v>
      </c>
      <c r="J1746" t="s">
        <v>17</v>
      </c>
      <c r="K1746">
        <v>0.28000000000000003</v>
      </c>
      <c r="L1746" t="s">
        <v>28</v>
      </c>
      <c r="M1746" t="s">
        <v>19</v>
      </c>
    </row>
    <row r="1747" spans="1:13" x14ac:dyDescent="0.35">
      <c r="A1747">
        <v>1007</v>
      </c>
      <c r="B1747" s="1">
        <v>45155</v>
      </c>
      <c r="C1747" t="s">
        <v>32</v>
      </c>
      <c r="D1747" t="s">
        <v>30</v>
      </c>
      <c r="E1747">
        <v>72555.149999999994</v>
      </c>
      <c r="F1747">
        <v>16</v>
      </c>
      <c r="G1747" t="s">
        <v>16</v>
      </c>
      <c r="H1747">
        <v>4310.3100000000004</v>
      </c>
      <c r="I1747">
        <v>4633.1000000000004</v>
      </c>
      <c r="J1747" t="s">
        <v>27</v>
      </c>
      <c r="K1747">
        <v>0.02</v>
      </c>
      <c r="L1747" t="s">
        <v>28</v>
      </c>
      <c r="M1747" t="s">
        <v>21</v>
      </c>
    </row>
    <row r="1748" spans="1:13" x14ac:dyDescent="0.35">
      <c r="A1748">
        <v>1060</v>
      </c>
      <c r="B1748" s="1">
        <v>45155</v>
      </c>
      <c r="C1748" t="s">
        <v>14</v>
      </c>
      <c r="D1748" t="s">
        <v>30</v>
      </c>
      <c r="E1748">
        <v>68334.720000000001</v>
      </c>
      <c r="F1748">
        <v>16</v>
      </c>
      <c r="G1748" t="s">
        <v>26</v>
      </c>
      <c r="H1748">
        <v>3975.99</v>
      </c>
      <c r="I1748">
        <v>4422.59</v>
      </c>
      <c r="J1748" t="s">
        <v>27</v>
      </c>
      <c r="K1748">
        <v>0.03</v>
      </c>
      <c r="L1748" t="s">
        <v>18</v>
      </c>
      <c r="M1748" t="s">
        <v>19</v>
      </c>
    </row>
    <row r="1749" spans="1:13" x14ac:dyDescent="0.35">
      <c r="A1749">
        <v>1022</v>
      </c>
      <c r="B1749" s="1">
        <v>45155</v>
      </c>
      <c r="C1749" t="s">
        <v>29</v>
      </c>
      <c r="D1749" t="s">
        <v>23</v>
      </c>
      <c r="E1749">
        <v>59413.89</v>
      </c>
      <c r="F1749">
        <v>21</v>
      </c>
      <c r="G1749" t="s">
        <v>24</v>
      </c>
      <c r="H1749">
        <v>2537.1999999999998</v>
      </c>
      <c r="I1749">
        <v>2869.6</v>
      </c>
      <c r="J1749" t="s">
        <v>27</v>
      </c>
      <c r="K1749">
        <v>0.01</v>
      </c>
      <c r="L1749" t="s">
        <v>25</v>
      </c>
      <c r="M1749" t="s">
        <v>21</v>
      </c>
    </row>
    <row r="1750" spans="1:13" x14ac:dyDescent="0.35">
      <c r="A1750">
        <v>1009</v>
      </c>
      <c r="B1750" s="1">
        <v>45155</v>
      </c>
      <c r="C1750" t="s">
        <v>14</v>
      </c>
      <c r="D1750" t="s">
        <v>20</v>
      </c>
      <c r="E1750">
        <v>26966.65</v>
      </c>
      <c r="F1750">
        <v>33</v>
      </c>
      <c r="G1750" t="s">
        <v>26</v>
      </c>
      <c r="H1750">
        <v>450.72</v>
      </c>
      <c r="I1750">
        <v>918.17</v>
      </c>
      <c r="J1750" t="s">
        <v>17</v>
      </c>
      <c r="K1750">
        <v>0.11</v>
      </c>
      <c r="L1750" t="s">
        <v>18</v>
      </c>
      <c r="M1750" t="s">
        <v>19</v>
      </c>
    </row>
    <row r="1751" spans="1:13" x14ac:dyDescent="0.35">
      <c r="A1751">
        <v>1090</v>
      </c>
      <c r="B1751" s="1">
        <v>45157</v>
      </c>
      <c r="C1751" t="s">
        <v>14</v>
      </c>
      <c r="D1751" t="s">
        <v>20</v>
      </c>
      <c r="E1751">
        <v>75264.84</v>
      </c>
      <c r="F1751">
        <v>31</v>
      </c>
      <c r="G1751" t="s">
        <v>26</v>
      </c>
      <c r="H1751">
        <v>2347.81</v>
      </c>
      <c r="I1751">
        <v>2668.02</v>
      </c>
      <c r="J1751" t="s">
        <v>17</v>
      </c>
      <c r="K1751">
        <v>0.09</v>
      </c>
      <c r="L1751" t="s">
        <v>25</v>
      </c>
      <c r="M1751" t="s">
        <v>21</v>
      </c>
    </row>
    <row r="1752" spans="1:13" x14ac:dyDescent="0.35">
      <c r="A1752">
        <v>1005</v>
      </c>
      <c r="B1752" s="1">
        <v>45158</v>
      </c>
      <c r="C1752" t="s">
        <v>14</v>
      </c>
      <c r="D1752" t="s">
        <v>15</v>
      </c>
      <c r="E1752">
        <v>101197.95</v>
      </c>
      <c r="F1752">
        <v>21</v>
      </c>
      <c r="G1752" t="s">
        <v>24</v>
      </c>
      <c r="H1752">
        <v>4376.37</v>
      </c>
      <c r="I1752">
        <v>4818.95</v>
      </c>
      <c r="J1752" t="s">
        <v>27</v>
      </c>
      <c r="K1752">
        <v>0</v>
      </c>
      <c r="L1752" t="s">
        <v>28</v>
      </c>
      <c r="M1752" t="s">
        <v>21</v>
      </c>
    </row>
    <row r="1753" spans="1:13" x14ac:dyDescent="0.35">
      <c r="A1753">
        <v>1072</v>
      </c>
      <c r="B1753" s="1">
        <v>45159</v>
      </c>
      <c r="C1753" t="s">
        <v>33</v>
      </c>
      <c r="D1753" t="s">
        <v>20</v>
      </c>
      <c r="E1753">
        <v>10201.99</v>
      </c>
      <c r="F1753">
        <v>12</v>
      </c>
      <c r="G1753" t="s">
        <v>26</v>
      </c>
      <c r="H1753">
        <v>710.99</v>
      </c>
      <c r="I1753">
        <v>876.46</v>
      </c>
      <c r="J1753" t="s">
        <v>17</v>
      </c>
      <c r="K1753">
        <v>0.03</v>
      </c>
      <c r="L1753" t="s">
        <v>28</v>
      </c>
      <c r="M1753" t="s">
        <v>19</v>
      </c>
    </row>
    <row r="1754" spans="1:13" x14ac:dyDescent="0.35">
      <c r="A1754">
        <v>1080</v>
      </c>
      <c r="B1754" s="1">
        <v>45159</v>
      </c>
      <c r="C1754" t="s">
        <v>22</v>
      </c>
      <c r="D1754" t="s">
        <v>23</v>
      </c>
      <c r="E1754">
        <v>30111.26</v>
      </c>
      <c r="F1754">
        <v>12</v>
      </c>
      <c r="G1754" t="s">
        <v>31</v>
      </c>
      <c r="H1754">
        <v>2316.13</v>
      </c>
      <c r="I1754">
        <v>2525.27</v>
      </c>
      <c r="J1754" t="s">
        <v>17</v>
      </c>
      <c r="K1754">
        <v>0.01</v>
      </c>
      <c r="L1754" t="s">
        <v>28</v>
      </c>
      <c r="M1754" t="s">
        <v>21</v>
      </c>
    </row>
    <row r="1755" spans="1:13" x14ac:dyDescent="0.35">
      <c r="A1755">
        <v>1050</v>
      </c>
      <c r="B1755" s="1">
        <v>45159</v>
      </c>
      <c r="C1755" t="s">
        <v>22</v>
      </c>
      <c r="D1755" t="s">
        <v>15</v>
      </c>
      <c r="E1755">
        <v>44251.92</v>
      </c>
      <c r="F1755">
        <v>17</v>
      </c>
      <c r="G1755" t="s">
        <v>16</v>
      </c>
      <c r="H1755">
        <v>2346.8000000000002</v>
      </c>
      <c r="I1755">
        <v>2654.65</v>
      </c>
      <c r="J1755" t="s">
        <v>27</v>
      </c>
      <c r="K1755">
        <v>0.02</v>
      </c>
      <c r="L1755" t="s">
        <v>18</v>
      </c>
      <c r="M1755" t="s">
        <v>21</v>
      </c>
    </row>
    <row r="1756" spans="1:13" x14ac:dyDescent="0.35">
      <c r="A1756">
        <v>1092</v>
      </c>
      <c r="B1756" s="1">
        <v>45160</v>
      </c>
      <c r="C1756" t="s">
        <v>22</v>
      </c>
      <c r="D1756" t="s">
        <v>30</v>
      </c>
      <c r="E1756">
        <v>52839.67</v>
      </c>
      <c r="F1756">
        <v>29</v>
      </c>
      <c r="G1756" t="s">
        <v>26</v>
      </c>
      <c r="H1756">
        <v>1742.24</v>
      </c>
      <c r="I1756">
        <v>2070.52</v>
      </c>
      <c r="J1756" t="s">
        <v>27</v>
      </c>
      <c r="K1756">
        <v>0.12</v>
      </c>
      <c r="L1756" t="s">
        <v>18</v>
      </c>
      <c r="M1756" t="s">
        <v>19</v>
      </c>
    </row>
    <row r="1757" spans="1:13" x14ac:dyDescent="0.35">
      <c r="A1757">
        <v>1027</v>
      </c>
      <c r="B1757" s="1">
        <v>45161</v>
      </c>
      <c r="C1757" t="s">
        <v>14</v>
      </c>
      <c r="D1757" t="s">
        <v>30</v>
      </c>
      <c r="E1757">
        <v>1820.19</v>
      </c>
      <c r="F1757">
        <v>4</v>
      </c>
      <c r="G1757" t="s">
        <v>31</v>
      </c>
      <c r="H1757">
        <v>282.61</v>
      </c>
      <c r="I1757">
        <v>548.25</v>
      </c>
      <c r="J1757" t="s">
        <v>27</v>
      </c>
      <c r="K1757">
        <v>0.17</v>
      </c>
      <c r="L1757" t="s">
        <v>28</v>
      </c>
      <c r="M1757" t="s">
        <v>19</v>
      </c>
    </row>
    <row r="1758" spans="1:13" x14ac:dyDescent="0.35">
      <c r="A1758">
        <v>1036</v>
      </c>
      <c r="B1758" s="1">
        <v>45161</v>
      </c>
      <c r="C1758" t="s">
        <v>22</v>
      </c>
      <c r="D1758" t="s">
        <v>30</v>
      </c>
      <c r="E1758">
        <v>65887.12</v>
      </c>
      <c r="F1758">
        <v>25</v>
      </c>
      <c r="G1758" t="s">
        <v>24</v>
      </c>
      <c r="H1758">
        <v>2520.9699999999998</v>
      </c>
      <c r="I1758">
        <v>2707.11</v>
      </c>
      <c r="J1758" t="s">
        <v>27</v>
      </c>
      <c r="K1758">
        <v>0.03</v>
      </c>
      <c r="L1758" t="s">
        <v>18</v>
      </c>
      <c r="M1758" t="s">
        <v>21</v>
      </c>
    </row>
    <row r="1759" spans="1:13" x14ac:dyDescent="0.35">
      <c r="A1759">
        <v>1079</v>
      </c>
      <c r="B1759" s="1">
        <v>45162</v>
      </c>
      <c r="C1759" t="s">
        <v>33</v>
      </c>
      <c r="D1759" t="s">
        <v>15</v>
      </c>
      <c r="E1759">
        <v>31041.45</v>
      </c>
      <c r="F1759">
        <v>8</v>
      </c>
      <c r="G1759" t="s">
        <v>26</v>
      </c>
      <c r="H1759">
        <v>3808.23</v>
      </c>
      <c r="I1759">
        <v>3891.62</v>
      </c>
      <c r="J1759" t="s">
        <v>17</v>
      </c>
      <c r="K1759">
        <v>0</v>
      </c>
      <c r="L1759" t="s">
        <v>25</v>
      </c>
      <c r="M1759" t="s">
        <v>19</v>
      </c>
    </row>
    <row r="1760" spans="1:13" x14ac:dyDescent="0.35">
      <c r="A1760">
        <v>1089</v>
      </c>
      <c r="B1760" s="1">
        <v>45162</v>
      </c>
      <c r="C1760" t="s">
        <v>32</v>
      </c>
      <c r="D1760" t="s">
        <v>15</v>
      </c>
      <c r="E1760">
        <v>18209.810000000001</v>
      </c>
      <c r="F1760">
        <v>4</v>
      </c>
      <c r="G1760" t="s">
        <v>16</v>
      </c>
      <c r="H1760">
        <v>4231.75</v>
      </c>
      <c r="I1760">
        <v>4727.75</v>
      </c>
      <c r="J1760" t="s">
        <v>17</v>
      </c>
      <c r="K1760">
        <v>0.04</v>
      </c>
      <c r="L1760" t="s">
        <v>28</v>
      </c>
      <c r="M1760" t="s">
        <v>21</v>
      </c>
    </row>
    <row r="1761" spans="1:13" x14ac:dyDescent="0.35">
      <c r="A1761">
        <v>1072</v>
      </c>
      <c r="B1761" s="1">
        <v>45162</v>
      </c>
      <c r="C1761" t="s">
        <v>14</v>
      </c>
      <c r="D1761" t="s">
        <v>23</v>
      </c>
      <c r="E1761">
        <v>170757.41</v>
      </c>
      <c r="F1761">
        <v>39</v>
      </c>
      <c r="G1761" t="s">
        <v>26</v>
      </c>
      <c r="H1761">
        <v>4330.03</v>
      </c>
      <c r="I1761">
        <v>4467.75</v>
      </c>
      <c r="J1761" t="s">
        <v>27</v>
      </c>
      <c r="K1761">
        <v>0.02</v>
      </c>
      <c r="L1761" t="s">
        <v>28</v>
      </c>
      <c r="M1761" t="s">
        <v>21</v>
      </c>
    </row>
    <row r="1762" spans="1:13" x14ac:dyDescent="0.35">
      <c r="A1762">
        <v>1095</v>
      </c>
      <c r="B1762" s="1">
        <v>45162</v>
      </c>
      <c r="C1762" t="s">
        <v>14</v>
      </c>
      <c r="D1762" t="s">
        <v>20</v>
      </c>
      <c r="E1762">
        <v>17985.240000000002</v>
      </c>
      <c r="F1762">
        <v>20</v>
      </c>
      <c r="G1762" t="s">
        <v>24</v>
      </c>
      <c r="H1762">
        <v>729.27</v>
      </c>
      <c r="I1762">
        <v>999.18</v>
      </c>
      <c r="J1762" t="s">
        <v>27</v>
      </c>
      <c r="K1762">
        <v>0.1</v>
      </c>
      <c r="L1762" t="s">
        <v>25</v>
      </c>
      <c r="M1762" t="s">
        <v>19</v>
      </c>
    </row>
    <row r="1763" spans="1:13" x14ac:dyDescent="0.35">
      <c r="A1763">
        <v>1080</v>
      </c>
      <c r="B1763" s="1">
        <v>45162</v>
      </c>
      <c r="C1763" t="s">
        <v>14</v>
      </c>
      <c r="D1763" t="s">
        <v>20</v>
      </c>
      <c r="E1763">
        <v>50147.34</v>
      </c>
      <c r="F1763">
        <v>17</v>
      </c>
      <c r="G1763" t="s">
        <v>16</v>
      </c>
      <c r="H1763">
        <v>2742.67</v>
      </c>
      <c r="I1763">
        <v>2979.64</v>
      </c>
      <c r="J1763" t="s">
        <v>17</v>
      </c>
      <c r="K1763">
        <v>0.01</v>
      </c>
      <c r="L1763" t="s">
        <v>18</v>
      </c>
      <c r="M1763" t="s">
        <v>21</v>
      </c>
    </row>
    <row r="1764" spans="1:13" x14ac:dyDescent="0.35">
      <c r="A1764">
        <v>1075</v>
      </c>
      <c r="B1764" s="1">
        <v>45162</v>
      </c>
      <c r="C1764" t="s">
        <v>29</v>
      </c>
      <c r="D1764" t="s">
        <v>20</v>
      </c>
      <c r="E1764">
        <v>49322.720000000001</v>
      </c>
      <c r="F1764">
        <v>42</v>
      </c>
      <c r="G1764" t="s">
        <v>26</v>
      </c>
      <c r="H1764">
        <v>967.77</v>
      </c>
      <c r="I1764">
        <v>1414.88</v>
      </c>
      <c r="J1764" t="s">
        <v>27</v>
      </c>
      <c r="K1764">
        <v>0.17</v>
      </c>
      <c r="L1764" t="s">
        <v>25</v>
      </c>
      <c r="M1764" t="s">
        <v>19</v>
      </c>
    </row>
    <row r="1765" spans="1:13" x14ac:dyDescent="0.35">
      <c r="A1765">
        <v>1072</v>
      </c>
      <c r="B1765" s="1">
        <v>45163</v>
      </c>
      <c r="C1765" t="s">
        <v>29</v>
      </c>
      <c r="D1765" t="s">
        <v>23</v>
      </c>
      <c r="E1765">
        <v>18435.169999999998</v>
      </c>
      <c r="F1765">
        <v>12</v>
      </c>
      <c r="G1765" t="s">
        <v>24</v>
      </c>
      <c r="H1765">
        <v>1517.4</v>
      </c>
      <c r="I1765">
        <v>1545.02</v>
      </c>
      <c r="J1765" t="s">
        <v>27</v>
      </c>
      <c r="K1765">
        <v>0.01</v>
      </c>
      <c r="L1765" t="s">
        <v>25</v>
      </c>
      <c r="M1765" t="s">
        <v>21</v>
      </c>
    </row>
    <row r="1766" spans="1:13" x14ac:dyDescent="0.35">
      <c r="A1766">
        <v>1032</v>
      </c>
      <c r="B1766" s="1">
        <v>45163</v>
      </c>
      <c r="C1766" t="s">
        <v>14</v>
      </c>
      <c r="D1766" t="s">
        <v>15</v>
      </c>
      <c r="E1766">
        <v>107874.75</v>
      </c>
      <c r="F1766">
        <v>23</v>
      </c>
      <c r="G1766" t="s">
        <v>31</v>
      </c>
      <c r="H1766">
        <v>4673.1899999999996</v>
      </c>
      <c r="I1766">
        <v>4761.18</v>
      </c>
      <c r="J1766" t="s">
        <v>17</v>
      </c>
      <c r="K1766">
        <v>0.01</v>
      </c>
      <c r="L1766" t="s">
        <v>28</v>
      </c>
      <c r="M1766" t="s">
        <v>21</v>
      </c>
    </row>
    <row r="1767" spans="1:13" x14ac:dyDescent="0.35">
      <c r="A1767">
        <v>1041</v>
      </c>
      <c r="B1767" s="1">
        <v>45163</v>
      </c>
      <c r="C1767" t="s">
        <v>14</v>
      </c>
      <c r="D1767" t="s">
        <v>23</v>
      </c>
      <c r="E1767">
        <v>52319.35</v>
      </c>
      <c r="F1767">
        <v>31</v>
      </c>
      <c r="G1767" t="s">
        <v>24</v>
      </c>
      <c r="H1767">
        <v>1604.52</v>
      </c>
      <c r="I1767">
        <v>1756.34</v>
      </c>
      <c r="J1767" t="s">
        <v>17</v>
      </c>
      <c r="K1767">
        <v>0.04</v>
      </c>
      <c r="L1767" t="s">
        <v>18</v>
      </c>
      <c r="M1767" t="s">
        <v>21</v>
      </c>
    </row>
    <row r="1768" spans="1:13" x14ac:dyDescent="0.35">
      <c r="A1768">
        <v>1024</v>
      </c>
      <c r="B1768" s="1">
        <v>45163</v>
      </c>
      <c r="C1768" t="s">
        <v>22</v>
      </c>
      <c r="D1768" t="s">
        <v>23</v>
      </c>
      <c r="E1768">
        <v>82340.800000000003</v>
      </c>
      <c r="F1768">
        <v>42</v>
      </c>
      <c r="G1768" t="s">
        <v>31</v>
      </c>
      <c r="H1768">
        <v>1586.02</v>
      </c>
      <c r="I1768">
        <v>2047.13</v>
      </c>
      <c r="J1768" t="s">
        <v>27</v>
      </c>
      <c r="K1768">
        <v>0.04</v>
      </c>
      <c r="L1768" t="s">
        <v>18</v>
      </c>
      <c r="M1768" t="s">
        <v>21</v>
      </c>
    </row>
    <row r="1769" spans="1:13" x14ac:dyDescent="0.35">
      <c r="A1769">
        <v>1099</v>
      </c>
      <c r="B1769" s="1">
        <v>45164</v>
      </c>
      <c r="C1769" t="s">
        <v>22</v>
      </c>
      <c r="D1769" t="s">
        <v>20</v>
      </c>
      <c r="E1769">
        <v>42206.92</v>
      </c>
      <c r="F1769">
        <v>17</v>
      </c>
      <c r="G1769" t="s">
        <v>24</v>
      </c>
      <c r="H1769">
        <v>2471.73</v>
      </c>
      <c r="I1769">
        <v>2568.73</v>
      </c>
      <c r="J1769" t="s">
        <v>27</v>
      </c>
      <c r="K1769">
        <v>0.03</v>
      </c>
      <c r="L1769" t="s">
        <v>18</v>
      </c>
      <c r="M1769" t="s">
        <v>21</v>
      </c>
    </row>
    <row r="1770" spans="1:13" x14ac:dyDescent="0.35">
      <c r="A1770">
        <v>1021</v>
      </c>
      <c r="B1770" s="1">
        <v>45165</v>
      </c>
      <c r="C1770" t="s">
        <v>32</v>
      </c>
      <c r="D1770" t="s">
        <v>15</v>
      </c>
      <c r="E1770">
        <v>10831.29</v>
      </c>
      <c r="F1770">
        <v>19</v>
      </c>
      <c r="G1770" t="s">
        <v>26</v>
      </c>
      <c r="H1770">
        <v>444.05</v>
      </c>
      <c r="I1770">
        <v>584.44000000000005</v>
      </c>
      <c r="J1770" t="s">
        <v>17</v>
      </c>
      <c r="K1770">
        <v>0.02</v>
      </c>
      <c r="L1770" t="s">
        <v>18</v>
      </c>
      <c r="M1770" t="s">
        <v>21</v>
      </c>
    </row>
    <row r="1771" spans="1:13" x14ac:dyDescent="0.35">
      <c r="A1771">
        <v>1019</v>
      </c>
      <c r="B1771" s="1">
        <v>45165</v>
      </c>
      <c r="C1771" t="s">
        <v>29</v>
      </c>
      <c r="D1771" t="s">
        <v>15</v>
      </c>
      <c r="E1771">
        <v>68329.509999999995</v>
      </c>
      <c r="F1771">
        <v>18</v>
      </c>
      <c r="G1771" t="s">
        <v>24</v>
      </c>
      <c r="H1771">
        <v>3591.14</v>
      </c>
      <c r="I1771">
        <v>3822.99</v>
      </c>
      <c r="J1771" t="s">
        <v>17</v>
      </c>
      <c r="K1771">
        <v>0.01</v>
      </c>
      <c r="L1771" t="s">
        <v>28</v>
      </c>
      <c r="M1771" t="s">
        <v>19</v>
      </c>
    </row>
    <row r="1772" spans="1:13" x14ac:dyDescent="0.35">
      <c r="A1772">
        <v>1008</v>
      </c>
      <c r="B1772" s="1">
        <v>45165</v>
      </c>
      <c r="C1772" t="s">
        <v>22</v>
      </c>
      <c r="D1772" t="s">
        <v>23</v>
      </c>
      <c r="E1772">
        <v>117628.67</v>
      </c>
      <c r="F1772">
        <v>40</v>
      </c>
      <c r="G1772" t="s">
        <v>26</v>
      </c>
      <c r="H1772">
        <v>2687.49</v>
      </c>
      <c r="I1772">
        <v>3001.56</v>
      </c>
      <c r="J1772" t="s">
        <v>17</v>
      </c>
      <c r="K1772">
        <v>0.02</v>
      </c>
      <c r="L1772" t="s">
        <v>25</v>
      </c>
      <c r="M1772" t="s">
        <v>19</v>
      </c>
    </row>
    <row r="1773" spans="1:13" x14ac:dyDescent="0.35">
      <c r="A1773">
        <v>1099</v>
      </c>
      <c r="B1773" s="1">
        <v>45167</v>
      </c>
      <c r="C1773" t="s">
        <v>33</v>
      </c>
      <c r="D1773" t="s">
        <v>20</v>
      </c>
      <c r="E1773">
        <v>220426.97</v>
      </c>
      <c r="F1773">
        <v>44</v>
      </c>
      <c r="G1773" t="s">
        <v>26</v>
      </c>
      <c r="H1773">
        <v>4933.1099999999997</v>
      </c>
      <c r="I1773">
        <v>5245.86</v>
      </c>
      <c r="J1773" t="s">
        <v>17</v>
      </c>
      <c r="K1773">
        <v>0.05</v>
      </c>
      <c r="L1773" t="s">
        <v>25</v>
      </c>
      <c r="M1773" t="s">
        <v>21</v>
      </c>
    </row>
    <row r="1774" spans="1:13" x14ac:dyDescent="0.35">
      <c r="A1774">
        <v>1042</v>
      </c>
      <c r="B1774" s="1">
        <v>45167</v>
      </c>
      <c r="C1774" t="s">
        <v>32</v>
      </c>
      <c r="D1774" t="s">
        <v>23</v>
      </c>
      <c r="E1774">
        <v>37840.94</v>
      </c>
      <c r="F1774">
        <v>27</v>
      </c>
      <c r="G1774" t="s">
        <v>26</v>
      </c>
      <c r="H1774">
        <v>1139.45</v>
      </c>
      <c r="I1774">
        <v>1454.41</v>
      </c>
      <c r="J1774" t="s">
        <v>17</v>
      </c>
      <c r="K1774">
        <v>0.04</v>
      </c>
      <c r="L1774" t="s">
        <v>25</v>
      </c>
      <c r="M1774" t="s">
        <v>19</v>
      </c>
    </row>
    <row r="1775" spans="1:13" x14ac:dyDescent="0.35">
      <c r="A1775">
        <v>1033</v>
      </c>
      <c r="B1775" s="1">
        <v>45168</v>
      </c>
      <c r="C1775" t="s">
        <v>14</v>
      </c>
      <c r="D1775" t="s">
        <v>30</v>
      </c>
      <c r="E1775">
        <v>8139.61</v>
      </c>
      <c r="F1775">
        <v>14</v>
      </c>
      <c r="G1775" t="s">
        <v>24</v>
      </c>
      <c r="H1775">
        <v>504.3</v>
      </c>
      <c r="I1775">
        <v>735.95</v>
      </c>
      <c r="J1775" t="s">
        <v>17</v>
      </c>
      <c r="K1775">
        <v>0.21</v>
      </c>
      <c r="L1775" t="s">
        <v>18</v>
      </c>
      <c r="M1775" t="s">
        <v>21</v>
      </c>
    </row>
    <row r="1776" spans="1:13" x14ac:dyDescent="0.35">
      <c r="A1776">
        <v>1077</v>
      </c>
      <c r="B1776" s="1">
        <v>45168</v>
      </c>
      <c r="C1776" t="s">
        <v>33</v>
      </c>
      <c r="D1776" t="s">
        <v>20</v>
      </c>
      <c r="E1776">
        <v>5372.59</v>
      </c>
      <c r="F1776">
        <v>25</v>
      </c>
      <c r="G1776" t="s">
        <v>31</v>
      </c>
      <c r="H1776">
        <v>61.5</v>
      </c>
      <c r="I1776">
        <v>258.92</v>
      </c>
      <c r="J1776" t="s">
        <v>27</v>
      </c>
      <c r="K1776">
        <v>0.17</v>
      </c>
      <c r="L1776" t="s">
        <v>28</v>
      </c>
      <c r="M1776" t="s">
        <v>19</v>
      </c>
    </row>
    <row r="1777" spans="1:13" x14ac:dyDescent="0.35">
      <c r="A1777">
        <v>1018</v>
      </c>
      <c r="B1777" s="1">
        <v>45169</v>
      </c>
      <c r="C1777" t="s">
        <v>33</v>
      </c>
      <c r="D1777" t="s">
        <v>30</v>
      </c>
      <c r="E1777">
        <v>2333.0300000000002</v>
      </c>
      <c r="F1777">
        <v>1</v>
      </c>
      <c r="G1777" t="s">
        <v>31</v>
      </c>
      <c r="H1777">
        <v>2315.83</v>
      </c>
      <c r="I1777">
        <v>2333.19</v>
      </c>
      <c r="J1777" t="s">
        <v>27</v>
      </c>
      <c r="K1777">
        <v>0</v>
      </c>
      <c r="L1777" t="s">
        <v>18</v>
      </c>
      <c r="M1777" t="s">
        <v>21</v>
      </c>
    </row>
    <row r="1778" spans="1:13" x14ac:dyDescent="0.35">
      <c r="A1778">
        <v>1026</v>
      </c>
      <c r="B1778" s="1">
        <v>45169</v>
      </c>
      <c r="C1778" t="s">
        <v>33</v>
      </c>
      <c r="D1778" t="s">
        <v>30</v>
      </c>
      <c r="E1778">
        <v>34184.980000000003</v>
      </c>
      <c r="F1778">
        <v>25</v>
      </c>
      <c r="G1778" t="s">
        <v>31</v>
      </c>
      <c r="H1778">
        <v>1156.8800000000001</v>
      </c>
      <c r="I1778">
        <v>1454.68</v>
      </c>
      <c r="J1778" t="s">
        <v>17</v>
      </c>
      <c r="K1778">
        <v>0.06</v>
      </c>
      <c r="L1778" t="s">
        <v>28</v>
      </c>
      <c r="M1778" t="s">
        <v>19</v>
      </c>
    </row>
    <row r="1779" spans="1:13" x14ac:dyDescent="0.35">
      <c r="A1779">
        <v>1092</v>
      </c>
      <c r="B1779" s="1">
        <v>45169</v>
      </c>
      <c r="C1779" t="s">
        <v>32</v>
      </c>
      <c r="D1779" t="s">
        <v>23</v>
      </c>
      <c r="E1779">
        <v>209420.73</v>
      </c>
      <c r="F1779">
        <v>47</v>
      </c>
      <c r="G1779" t="s">
        <v>24</v>
      </c>
      <c r="H1779">
        <v>4284.9799999999996</v>
      </c>
      <c r="I1779">
        <v>4462.3999999999996</v>
      </c>
      <c r="J1779" t="s">
        <v>27</v>
      </c>
      <c r="K1779">
        <v>0</v>
      </c>
      <c r="L1779" t="s">
        <v>28</v>
      </c>
      <c r="M1779" t="s">
        <v>21</v>
      </c>
    </row>
    <row r="1780" spans="1:13" x14ac:dyDescent="0.35">
      <c r="A1780">
        <v>1028</v>
      </c>
      <c r="B1780" s="1">
        <v>45169</v>
      </c>
      <c r="C1780" t="s">
        <v>32</v>
      </c>
      <c r="D1780" t="s">
        <v>15</v>
      </c>
      <c r="E1780">
        <v>66928.479999999996</v>
      </c>
      <c r="F1780">
        <v>28</v>
      </c>
      <c r="G1780" t="s">
        <v>16</v>
      </c>
      <c r="H1780">
        <v>2055.2800000000002</v>
      </c>
      <c r="I1780">
        <v>2449.64</v>
      </c>
      <c r="J1780" t="s">
        <v>27</v>
      </c>
      <c r="K1780">
        <v>0.02</v>
      </c>
      <c r="L1780" t="s">
        <v>28</v>
      </c>
      <c r="M1780" t="s">
        <v>19</v>
      </c>
    </row>
    <row r="1781" spans="1:13" x14ac:dyDescent="0.35">
      <c r="A1781">
        <v>1059</v>
      </c>
      <c r="B1781" s="1">
        <v>45169</v>
      </c>
      <c r="C1781" t="s">
        <v>33</v>
      </c>
      <c r="D1781" t="s">
        <v>15</v>
      </c>
      <c r="E1781">
        <v>129123.04</v>
      </c>
      <c r="F1781">
        <v>35</v>
      </c>
      <c r="G1781" t="s">
        <v>24</v>
      </c>
      <c r="H1781">
        <v>3333.64</v>
      </c>
      <c r="I1781">
        <v>3764.52</v>
      </c>
      <c r="J1781" t="s">
        <v>17</v>
      </c>
      <c r="K1781">
        <v>0.02</v>
      </c>
      <c r="L1781" t="s">
        <v>28</v>
      </c>
      <c r="M1781" t="s">
        <v>19</v>
      </c>
    </row>
    <row r="1782" spans="1:13" x14ac:dyDescent="0.35">
      <c r="A1782">
        <v>1086</v>
      </c>
      <c r="B1782" s="1">
        <v>45170</v>
      </c>
      <c r="C1782" t="s">
        <v>29</v>
      </c>
      <c r="D1782" t="s">
        <v>20</v>
      </c>
      <c r="E1782">
        <v>70208.039999999994</v>
      </c>
      <c r="F1782">
        <v>17</v>
      </c>
      <c r="G1782" t="s">
        <v>31</v>
      </c>
      <c r="H1782">
        <v>4075.08</v>
      </c>
      <c r="I1782">
        <v>4262.21</v>
      </c>
      <c r="J1782" t="s">
        <v>27</v>
      </c>
      <c r="K1782">
        <v>0.03</v>
      </c>
      <c r="L1782" t="s">
        <v>18</v>
      </c>
      <c r="M1782" t="s">
        <v>19</v>
      </c>
    </row>
    <row r="1783" spans="1:13" x14ac:dyDescent="0.35">
      <c r="A1783">
        <v>1019</v>
      </c>
      <c r="B1783" s="1">
        <v>45170</v>
      </c>
      <c r="C1783" t="s">
        <v>22</v>
      </c>
      <c r="D1783" t="s">
        <v>20</v>
      </c>
      <c r="E1783">
        <v>6078.13</v>
      </c>
      <c r="F1783">
        <v>16</v>
      </c>
      <c r="G1783" t="s">
        <v>26</v>
      </c>
      <c r="H1783">
        <v>97.24</v>
      </c>
      <c r="I1783">
        <v>487.03</v>
      </c>
      <c r="J1783" t="s">
        <v>27</v>
      </c>
      <c r="K1783">
        <v>0.22</v>
      </c>
      <c r="L1783" t="s">
        <v>25</v>
      </c>
      <c r="M1783" t="s">
        <v>21</v>
      </c>
    </row>
    <row r="1784" spans="1:13" x14ac:dyDescent="0.35">
      <c r="A1784">
        <v>1058</v>
      </c>
      <c r="B1784" s="1">
        <v>45171</v>
      </c>
      <c r="C1784" t="s">
        <v>22</v>
      </c>
      <c r="D1784" t="s">
        <v>23</v>
      </c>
      <c r="E1784">
        <v>8314.7099999999991</v>
      </c>
      <c r="F1784">
        <v>9</v>
      </c>
      <c r="G1784" t="s">
        <v>16</v>
      </c>
      <c r="H1784">
        <v>760.55</v>
      </c>
      <c r="I1784">
        <v>1086.8900000000001</v>
      </c>
      <c r="J1784" t="s">
        <v>17</v>
      </c>
      <c r="K1784">
        <v>0.15</v>
      </c>
      <c r="L1784" t="s">
        <v>18</v>
      </c>
      <c r="M1784" t="s">
        <v>21</v>
      </c>
    </row>
    <row r="1785" spans="1:13" x14ac:dyDescent="0.35">
      <c r="A1785">
        <v>1023</v>
      </c>
      <c r="B1785" s="1">
        <v>45172</v>
      </c>
      <c r="C1785" t="s">
        <v>22</v>
      </c>
      <c r="D1785" t="s">
        <v>23</v>
      </c>
      <c r="E1785">
        <v>153141.12</v>
      </c>
      <c r="F1785">
        <v>32</v>
      </c>
      <c r="G1785" t="s">
        <v>31</v>
      </c>
      <c r="H1785">
        <v>4775.04</v>
      </c>
      <c r="I1785">
        <v>4785.66</v>
      </c>
      <c r="J1785" t="s">
        <v>27</v>
      </c>
      <c r="K1785">
        <v>0</v>
      </c>
      <c r="L1785" t="s">
        <v>18</v>
      </c>
      <c r="M1785" t="s">
        <v>19</v>
      </c>
    </row>
    <row r="1786" spans="1:13" x14ac:dyDescent="0.35">
      <c r="A1786">
        <v>1055</v>
      </c>
      <c r="B1786" s="1">
        <v>45172</v>
      </c>
      <c r="C1786" t="s">
        <v>29</v>
      </c>
      <c r="D1786" t="s">
        <v>20</v>
      </c>
      <c r="E1786">
        <v>34297.660000000003</v>
      </c>
      <c r="F1786">
        <v>12</v>
      </c>
      <c r="G1786" t="s">
        <v>31</v>
      </c>
      <c r="H1786">
        <v>2538.61</v>
      </c>
      <c r="I1786">
        <v>2971.75</v>
      </c>
      <c r="J1786" t="s">
        <v>17</v>
      </c>
      <c r="K1786">
        <v>0.04</v>
      </c>
      <c r="L1786" t="s">
        <v>18</v>
      </c>
      <c r="M1786" t="s">
        <v>19</v>
      </c>
    </row>
    <row r="1787" spans="1:13" x14ac:dyDescent="0.35">
      <c r="A1787">
        <v>1081</v>
      </c>
      <c r="B1787" s="1">
        <v>45173</v>
      </c>
      <c r="C1787" t="s">
        <v>33</v>
      </c>
      <c r="D1787" t="s">
        <v>15</v>
      </c>
      <c r="E1787">
        <v>31947.97</v>
      </c>
      <c r="F1787">
        <v>23</v>
      </c>
      <c r="G1787" t="s">
        <v>31</v>
      </c>
      <c r="H1787">
        <v>1236.25</v>
      </c>
      <c r="I1787">
        <v>1543.38</v>
      </c>
      <c r="J1787" t="s">
        <v>27</v>
      </c>
      <c r="K1787">
        <v>0.1</v>
      </c>
      <c r="L1787" t="s">
        <v>25</v>
      </c>
      <c r="M1787" t="s">
        <v>19</v>
      </c>
    </row>
    <row r="1788" spans="1:13" x14ac:dyDescent="0.35">
      <c r="A1788">
        <v>1068</v>
      </c>
      <c r="B1788" s="1">
        <v>45173</v>
      </c>
      <c r="C1788" t="s">
        <v>32</v>
      </c>
      <c r="D1788" t="s">
        <v>30</v>
      </c>
      <c r="E1788">
        <v>19538.36</v>
      </c>
      <c r="F1788">
        <v>14</v>
      </c>
      <c r="G1788" t="s">
        <v>24</v>
      </c>
      <c r="H1788">
        <v>1140.58</v>
      </c>
      <c r="I1788">
        <v>1438.76</v>
      </c>
      <c r="J1788" t="s">
        <v>17</v>
      </c>
      <c r="K1788">
        <v>0.03</v>
      </c>
      <c r="L1788" t="s">
        <v>25</v>
      </c>
      <c r="M1788" t="s">
        <v>19</v>
      </c>
    </row>
    <row r="1789" spans="1:13" x14ac:dyDescent="0.35">
      <c r="A1789">
        <v>1091</v>
      </c>
      <c r="B1789" s="1">
        <v>45173</v>
      </c>
      <c r="C1789" t="s">
        <v>29</v>
      </c>
      <c r="D1789" t="s">
        <v>23</v>
      </c>
      <c r="E1789">
        <v>99536.15</v>
      </c>
      <c r="F1789">
        <v>44</v>
      </c>
      <c r="G1789" t="s">
        <v>24</v>
      </c>
      <c r="H1789">
        <v>2085.46</v>
      </c>
      <c r="I1789">
        <v>2406.58</v>
      </c>
      <c r="J1789" t="s">
        <v>17</v>
      </c>
      <c r="K1789">
        <v>0.06</v>
      </c>
      <c r="L1789" t="s">
        <v>25</v>
      </c>
      <c r="M1789" t="s">
        <v>21</v>
      </c>
    </row>
    <row r="1790" spans="1:13" x14ac:dyDescent="0.35">
      <c r="A1790">
        <v>1020</v>
      </c>
      <c r="B1790" s="1">
        <v>45175</v>
      </c>
      <c r="C1790" t="s">
        <v>29</v>
      </c>
      <c r="D1790" t="s">
        <v>30</v>
      </c>
      <c r="E1790">
        <v>14981.43</v>
      </c>
      <c r="F1790">
        <v>4</v>
      </c>
      <c r="G1790" t="s">
        <v>26</v>
      </c>
      <c r="H1790">
        <v>3730</v>
      </c>
      <c r="I1790">
        <v>3893.6</v>
      </c>
      <c r="J1790" t="s">
        <v>27</v>
      </c>
      <c r="K1790">
        <v>0.04</v>
      </c>
      <c r="L1790" t="s">
        <v>25</v>
      </c>
      <c r="M1790" t="s">
        <v>21</v>
      </c>
    </row>
    <row r="1791" spans="1:13" x14ac:dyDescent="0.35">
      <c r="A1791">
        <v>1020</v>
      </c>
      <c r="B1791" s="1">
        <v>45175</v>
      </c>
      <c r="C1791" t="s">
        <v>14</v>
      </c>
      <c r="D1791" t="s">
        <v>30</v>
      </c>
      <c r="E1791">
        <v>99536.93</v>
      </c>
      <c r="F1791">
        <v>45</v>
      </c>
      <c r="G1791" t="s">
        <v>26</v>
      </c>
      <c r="H1791">
        <v>2188.4499999999998</v>
      </c>
      <c r="I1791">
        <v>2255.0500000000002</v>
      </c>
      <c r="J1791" t="s">
        <v>27</v>
      </c>
      <c r="K1791">
        <v>0.02</v>
      </c>
      <c r="L1791" t="s">
        <v>25</v>
      </c>
      <c r="M1791" t="s">
        <v>21</v>
      </c>
    </row>
    <row r="1792" spans="1:13" x14ac:dyDescent="0.35">
      <c r="A1792">
        <v>1067</v>
      </c>
      <c r="B1792" s="1">
        <v>45176</v>
      </c>
      <c r="C1792" t="s">
        <v>14</v>
      </c>
      <c r="D1792" t="s">
        <v>15</v>
      </c>
      <c r="E1792">
        <v>65570.17</v>
      </c>
      <c r="F1792">
        <v>37</v>
      </c>
      <c r="G1792" t="s">
        <v>26</v>
      </c>
      <c r="H1792">
        <v>1754.32</v>
      </c>
      <c r="I1792">
        <v>1856.4</v>
      </c>
      <c r="J1792" t="s">
        <v>27</v>
      </c>
      <c r="K1792">
        <v>0.05</v>
      </c>
      <c r="L1792" t="s">
        <v>25</v>
      </c>
      <c r="M1792" t="s">
        <v>21</v>
      </c>
    </row>
    <row r="1793" spans="1:13" x14ac:dyDescent="0.35">
      <c r="A1793">
        <v>1013</v>
      </c>
      <c r="B1793" s="1">
        <v>45176</v>
      </c>
      <c r="C1793" t="s">
        <v>33</v>
      </c>
      <c r="D1793" t="s">
        <v>20</v>
      </c>
      <c r="E1793">
        <v>17314.21</v>
      </c>
      <c r="F1793">
        <v>16</v>
      </c>
      <c r="G1793" t="s">
        <v>16</v>
      </c>
      <c r="H1793">
        <v>919.58</v>
      </c>
      <c r="I1793">
        <v>1258.3</v>
      </c>
      <c r="J1793" t="s">
        <v>17</v>
      </c>
      <c r="K1793">
        <v>0.14000000000000001</v>
      </c>
      <c r="L1793" t="s">
        <v>25</v>
      </c>
      <c r="M1793" t="s">
        <v>19</v>
      </c>
    </row>
    <row r="1794" spans="1:13" x14ac:dyDescent="0.35">
      <c r="A1794">
        <v>1019</v>
      </c>
      <c r="B1794" s="1">
        <v>45176</v>
      </c>
      <c r="C1794" t="s">
        <v>14</v>
      </c>
      <c r="D1794" t="s">
        <v>20</v>
      </c>
      <c r="E1794">
        <v>68372.88</v>
      </c>
      <c r="F1794">
        <v>27</v>
      </c>
      <c r="G1794" t="s">
        <v>31</v>
      </c>
      <c r="H1794">
        <v>2387.52</v>
      </c>
      <c r="I1794">
        <v>2604.06</v>
      </c>
      <c r="J1794" t="s">
        <v>17</v>
      </c>
      <c r="K1794">
        <v>0.03</v>
      </c>
      <c r="L1794" t="s">
        <v>18</v>
      </c>
      <c r="M1794" t="s">
        <v>19</v>
      </c>
    </row>
    <row r="1795" spans="1:13" x14ac:dyDescent="0.35">
      <c r="A1795">
        <v>1087</v>
      </c>
      <c r="B1795" s="1">
        <v>45177</v>
      </c>
      <c r="C1795" t="s">
        <v>29</v>
      </c>
      <c r="D1795" t="s">
        <v>15</v>
      </c>
      <c r="E1795">
        <v>4643.96</v>
      </c>
      <c r="F1795">
        <v>20</v>
      </c>
      <c r="G1795" t="s">
        <v>26</v>
      </c>
      <c r="H1795">
        <v>193.27</v>
      </c>
      <c r="I1795">
        <v>297.69</v>
      </c>
      <c r="J1795" t="s">
        <v>27</v>
      </c>
      <c r="K1795">
        <v>0.22</v>
      </c>
      <c r="L1795" t="s">
        <v>18</v>
      </c>
      <c r="M1795" t="s">
        <v>19</v>
      </c>
    </row>
    <row r="1796" spans="1:13" x14ac:dyDescent="0.35">
      <c r="A1796">
        <v>1089</v>
      </c>
      <c r="B1796" s="1">
        <v>45177</v>
      </c>
      <c r="C1796" t="s">
        <v>14</v>
      </c>
      <c r="D1796" t="s">
        <v>20</v>
      </c>
      <c r="E1796">
        <v>164397.32</v>
      </c>
      <c r="F1796">
        <v>40</v>
      </c>
      <c r="G1796" t="s">
        <v>16</v>
      </c>
      <c r="H1796">
        <v>4089.66</v>
      </c>
      <c r="I1796">
        <v>4275.96</v>
      </c>
      <c r="J1796" t="s">
        <v>27</v>
      </c>
      <c r="K1796">
        <v>0.04</v>
      </c>
      <c r="L1796" t="s">
        <v>28</v>
      </c>
      <c r="M1796" t="s">
        <v>19</v>
      </c>
    </row>
    <row r="1797" spans="1:13" x14ac:dyDescent="0.35">
      <c r="A1797">
        <v>1005</v>
      </c>
      <c r="B1797" s="1">
        <v>45177</v>
      </c>
      <c r="C1797" t="s">
        <v>32</v>
      </c>
      <c r="D1797" t="s">
        <v>15</v>
      </c>
      <c r="E1797">
        <v>43609.77</v>
      </c>
      <c r="F1797">
        <v>9</v>
      </c>
      <c r="G1797" t="s">
        <v>31</v>
      </c>
      <c r="H1797">
        <v>4737.0600000000004</v>
      </c>
      <c r="I1797">
        <v>4869.5</v>
      </c>
      <c r="J1797" t="s">
        <v>27</v>
      </c>
      <c r="K1797">
        <v>0</v>
      </c>
      <c r="L1797" t="s">
        <v>18</v>
      </c>
      <c r="M1797" t="s">
        <v>19</v>
      </c>
    </row>
    <row r="1798" spans="1:13" x14ac:dyDescent="0.35">
      <c r="A1798">
        <v>1020</v>
      </c>
      <c r="B1798" s="1">
        <v>45177</v>
      </c>
      <c r="C1798" t="s">
        <v>32</v>
      </c>
      <c r="D1798" t="s">
        <v>15</v>
      </c>
      <c r="E1798">
        <v>122790.61</v>
      </c>
      <c r="F1798">
        <v>26</v>
      </c>
      <c r="G1798" t="s">
        <v>26</v>
      </c>
      <c r="H1798">
        <v>4472.3500000000004</v>
      </c>
      <c r="I1798">
        <v>4770.42</v>
      </c>
      <c r="J1798" t="s">
        <v>27</v>
      </c>
      <c r="K1798">
        <v>0.01</v>
      </c>
      <c r="L1798" t="s">
        <v>28</v>
      </c>
      <c r="M1798" t="s">
        <v>21</v>
      </c>
    </row>
    <row r="1799" spans="1:13" x14ac:dyDescent="0.35">
      <c r="A1799">
        <v>1046</v>
      </c>
      <c r="B1799" s="1">
        <v>45177</v>
      </c>
      <c r="C1799" t="s">
        <v>33</v>
      </c>
      <c r="D1799" t="s">
        <v>15</v>
      </c>
      <c r="E1799">
        <v>18713.900000000001</v>
      </c>
      <c r="F1799">
        <v>30</v>
      </c>
      <c r="G1799" t="s">
        <v>16</v>
      </c>
      <c r="H1799">
        <v>320.73</v>
      </c>
      <c r="I1799">
        <v>678.04</v>
      </c>
      <c r="J1799" t="s">
        <v>17</v>
      </c>
      <c r="K1799">
        <v>0.08</v>
      </c>
      <c r="L1799" t="s">
        <v>18</v>
      </c>
      <c r="M1799" t="s">
        <v>21</v>
      </c>
    </row>
    <row r="1800" spans="1:13" x14ac:dyDescent="0.35">
      <c r="A1800">
        <v>1003</v>
      </c>
      <c r="B1800" s="1">
        <v>45180</v>
      </c>
      <c r="C1800" t="s">
        <v>22</v>
      </c>
      <c r="D1800" t="s">
        <v>30</v>
      </c>
      <c r="E1800">
        <v>94887.69</v>
      </c>
      <c r="F1800">
        <v>22</v>
      </c>
      <c r="G1800" t="s">
        <v>24</v>
      </c>
      <c r="H1800">
        <v>4218.43</v>
      </c>
      <c r="I1800">
        <v>4331.42</v>
      </c>
      <c r="J1800" t="s">
        <v>27</v>
      </c>
      <c r="K1800">
        <v>0</v>
      </c>
      <c r="L1800" t="s">
        <v>25</v>
      </c>
      <c r="M1800" t="s">
        <v>19</v>
      </c>
    </row>
    <row r="1801" spans="1:13" x14ac:dyDescent="0.35">
      <c r="A1801">
        <v>1096</v>
      </c>
      <c r="B1801" s="1">
        <v>45180</v>
      </c>
      <c r="C1801" t="s">
        <v>32</v>
      </c>
      <c r="D1801" t="s">
        <v>23</v>
      </c>
      <c r="E1801">
        <v>17805.8</v>
      </c>
      <c r="F1801">
        <v>23</v>
      </c>
      <c r="G1801" t="s">
        <v>31</v>
      </c>
      <c r="H1801">
        <v>608.57000000000005</v>
      </c>
      <c r="I1801">
        <v>1032.22</v>
      </c>
      <c r="J1801" t="s">
        <v>27</v>
      </c>
      <c r="K1801">
        <v>0.25</v>
      </c>
      <c r="L1801" t="s">
        <v>18</v>
      </c>
      <c r="M1801" t="s">
        <v>21</v>
      </c>
    </row>
    <row r="1802" spans="1:13" x14ac:dyDescent="0.35">
      <c r="A1802">
        <v>1014</v>
      </c>
      <c r="B1802" s="1">
        <v>45181</v>
      </c>
      <c r="C1802" t="s">
        <v>29</v>
      </c>
      <c r="D1802" t="s">
        <v>30</v>
      </c>
      <c r="E1802">
        <v>31604.13</v>
      </c>
      <c r="F1802">
        <v>48</v>
      </c>
      <c r="G1802" t="s">
        <v>16</v>
      </c>
      <c r="H1802">
        <v>556.72</v>
      </c>
      <c r="I1802">
        <v>665.07</v>
      </c>
      <c r="J1802" t="s">
        <v>17</v>
      </c>
      <c r="K1802">
        <v>0.01</v>
      </c>
      <c r="L1802" t="s">
        <v>25</v>
      </c>
      <c r="M1802" t="s">
        <v>21</v>
      </c>
    </row>
    <row r="1803" spans="1:13" x14ac:dyDescent="0.35">
      <c r="A1803">
        <v>1037</v>
      </c>
      <c r="B1803" s="1">
        <v>45182</v>
      </c>
      <c r="C1803" t="s">
        <v>14</v>
      </c>
      <c r="D1803" t="s">
        <v>23</v>
      </c>
      <c r="E1803">
        <v>10138.290000000001</v>
      </c>
      <c r="F1803">
        <v>5</v>
      </c>
      <c r="G1803" t="s">
        <v>16</v>
      </c>
      <c r="H1803">
        <v>1941.56</v>
      </c>
      <c r="I1803">
        <v>2385.48</v>
      </c>
      <c r="J1803" t="s">
        <v>17</v>
      </c>
      <c r="K1803">
        <v>0.15</v>
      </c>
      <c r="L1803" t="s">
        <v>28</v>
      </c>
      <c r="M1803" t="s">
        <v>19</v>
      </c>
    </row>
    <row r="1804" spans="1:13" x14ac:dyDescent="0.35">
      <c r="A1804">
        <v>1003</v>
      </c>
      <c r="B1804" s="1">
        <v>45183</v>
      </c>
      <c r="C1804" t="s">
        <v>14</v>
      </c>
      <c r="D1804" t="s">
        <v>20</v>
      </c>
      <c r="E1804">
        <v>49559.75</v>
      </c>
      <c r="F1804">
        <v>15</v>
      </c>
      <c r="G1804" t="s">
        <v>26</v>
      </c>
      <c r="H1804">
        <v>3286.24</v>
      </c>
      <c r="I1804">
        <v>3388.84</v>
      </c>
      <c r="J1804" t="s">
        <v>17</v>
      </c>
      <c r="K1804">
        <v>0.03</v>
      </c>
      <c r="L1804" t="s">
        <v>28</v>
      </c>
      <c r="M1804" t="s">
        <v>21</v>
      </c>
    </row>
    <row r="1805" spans="1:13" x14ac:dyDescent="0.35">
      <c r="A1805">
        <v>1074</v>
      </c>
      <c r="B1805" s="1">
        <v>45183</v>
      </c>
      <c r="C1805" t="s">
        <v>22</v>
      </c>
      <c r="D1805" t="s">
        <v>23</v>
      </c>
      <c r="E1805">
        <v>11482.09</v>
      </c>
      <c r="F1805">
        <v>29</v>
      </c>
      <c r="G1805" t="s">
        <v>16</v>
      </c>
      <c r="H1805">
        <v>173.67</v>
      </c>
      <c r="I1805">
        <v>565.62</v>
      </c>
      <c r="J1805" t="s">
        <v>17</v>
      </c>
      <c r="K1805">
        <v>0.3</v>
      </c>
      <c r="L1805" t="s">
        <v>18</v>
      </c>
      <c r="M1805" t="s">
        <v>19</v>
      </c>
    </row>
    <row r="1806" spans="1:13" x14ac:dyDescent="0.35">
      <c r="A1806">
        <v>1090</v>
      </c>
      <c r="B1806" s="1">
        <v>45183</v>
      </c>
      <c r="C1806" t="s">
        <v>29</v>
      </c>
      <c r="D1806" t="s">
        <v>20</v>
      </c>
      <c r="E1806">
        <v>120679.67</v>
      </c>
      <c r="F1806">
        <v>47</v>
      </c>
      <c r="G1806" t="s">
        <v>26</v>
      </c>
      <c r="H1806">
        <v>2357.9499999999998</v>
      </c>
      <c r="I1806">
        <v>2693.33</v>
      </c>
      <c r="J1806" t="s">
        <v>27</v>
      </c>
      <c r="K1806">
        <v>0.05</v>
      </c>
      <c r="L1806" t="s">
        <v>25</v>
      </c>
      <c r="M1806" t="s">
        <v>19</v>
      </c>
    </row>
    <row r="1807" spans="1:13" x14ac:dyDescent="0.35">
      <c r="A1807">
        <v>1001</v>
      </c>
      <c r="B1807" s="1">
        <v>45183</v>
      </c>
      <c r="C1807" t="s">
        <v>32</v>
      </c>
      <c r="D1807" t="s">
        <v>23</v>
      </c>
      <c r="E1807">
        <v>110326.02</v>
      </c>
      <c r="F1807">
        <v>39</v>
      </c>
      <c r="G1807" t="s">
        <v>24</v>
      </c>
      <c r="H1807">
        <v>2437.2600000000002</v>
      </c>
      <c r="I1807">
        <v>2889.67</v>
      </c>
      <c r="J1807" t="s">
        <v>17</v>
      </c>
      <c r="K1807">
        <v>0.02</v>
      </c>
      <c r="L1807" t="s">
        <v>18</v>
      </c>
      <c r="M1807" t="s">
        <v>19</v>
      </c>
    </row>
    <row r="1808" spans="1:13" x14ac:dyDescent="0.35">
      <c r="A1808">
        <v>1054</v>
      </c>
      <c r="B1808" s="1">
        <v>45184</v>
      </c>
      <c r="C1808" t="s">
        <v>14</v>
      </c>
      <c r="D1808" t="s">
        <v>23</v>
      </c>
      <c r="E1808">
        <v>76781.009999999995</v>
      </c>
      <c r="F1808">
        <v>16</v>
      </c>
      <c r="G1808" t="s">
        <v>31</v>
      </c>
      <c r="H1808">
        <v>4557.79</v>
      </c>
      <c r="I1808">
        <v>5043.3599999999997</v>
      </c>
      <c r="J1808" t="s">
        <v>17</v>
      </c>
      <c r="K1808">
        <v>0.05</v>
      </c>
      <c r="L1808" t="s">
        <v>28</v>
      </c>
      <c r="M1808" t="s">
        <v>21</v>
      </c>
    </row>
    <row r="1809" spans="1:13" x14ac:dyDescent="0.35">
      <c r="A1809">
        <v>1006</v>
      </c>
      <c r="B1809" s="1">
        <v>45185</v>
      </c>
      <c r="C1809" t="s">
        <v>14</v>
      </c>
      <c r="D1809" t="s">
        <v>15</v>
      </c>
      <c r="E1809">
        <v>141848.73000000001</v>
      </c>
      <c r="F1809">
        <v>49</v>
      </c>
      <c r="G1809" t="s">
        <v>24</v>
      </c>
      <c r="H1809">
        <v>2843.76</v>
      </c>
      <c r="I1809">
        <v>3146.6</v>
      </c>
      <c r="J1809" t="s">
        <v>27</v>
      </c>
      <c r="K1809">
        <v>0.08</v>
      </c>
      <c r="L1809" t="s">
        <v>18</v>
      </c>
      <c r="M1809" t="s">
        <v>21</v>
      </c>
    </row>
    <row r="1810" spans="1:13" x14ac:dyDescent="0.35">
      <c r="A1810">
        <v>1012</v>
      </c>
      <c r="B1810" s="1">
        <v>45185</v>
      </c>
      <c r="C1810" t="s">
        <v>22</v>
      </c>
      <c r="D1810" t="s">
        <v>23</v>
      </c>
      <c r="E1810">
        <v>32504.81</v>
      </c>
      <c r="F1810">
        <v>19</v>
      </c>
      <c r="G1810" t="s">
        <v>31</v>
      </c>
      <c r="H1810">
        <v>1427.42</v>
      </c>
      <c r="I1810">
        <v>1763.69</v>
      </c>
      <c r="J1810" t="s">
        <v>27</v>
      </c>
      <c r="K1810">
        <v>0.03</v>
      </c>
      <c r="L1810" t="s">
        <v>18</v>
      </c>
      <c r="M1810" t="s">
        <v>21</v>
      </c>
    </row>
    <row r="1811" spans="1:13" x14ac:dyDescent="0.35">
      <c r="A1811">
        <v>1100</v>
      </c>
      <c r="B1811" s="1">
        <v>45186</v>
      </c>
      <c r="C1811" t="s">
        <v>29</v>
      </c>
      <c r="D1811" t="s">
        <v>15</v>
      </c>
      <c r="E1811">
        <v>7816.37</v>
      </c>
      <c r="F1811">
        <v>17</v>
      </c>
      <c r="G1811" t="s">
        <v>31</v>
      </c>
      <c r="H1811">
        <v>83.64</v>
      </c>
      <c r="I1811">
        <v>528.49</v>
      </c>
      <c r="J1811" t="s">
        <v>27</v>
      </c>
      <c r="K1811">
        <v>0.13</v>
      </c>
      <c r="L1811" t="s">
        <v>28</v>
      </c>
      <c r="M1811" t="s">
        <v>19</v>
      </c>
    </row>
    <row r="1812" spans="1:13" x14ac:dyDescent="0.35">
      <c r="A1812">
        <v>1093</v>
      </c>
      <c r="B1812" s="1">
        <v>45187</v>
      </c>
      <c r="C1812" t="s">
        <v>22</v>
      </c>
      <c r="D1812" t="s">
        <v>20</v>
      </c>
      <c r="E1812">
        <v>72933.77</v>
      </c>
      <c r="F1812">
        <v>19</v>
      </c>
      <c r="G1812" t="s">
        <v>31</v>
      </c>
      <c r="H1812">
        <v>3808.59</v>
      </c>
      <c r="I1812">
        <v>3844.51</v>
      </c>
      <c r="J1812" t="s">
        <v>27</v>
      </c>
      <c r="K1812">
        <v>0</v>
      </c>
      <c r="L1812" t="s">
        <v>28</v>
      </c>
      <c r="M1812" t="s">
        <v>19</v>
      </c>
    </row>
    <row r="1813" spans="1:13" x14ac:dyDescent="0.35">
      <c r="A1813">
        <v>1057</v>
      </c>
      <c r="B1813" s="1">
        <v>45187</v>
      </c>
      <c r="C1813" t="s">
        <v>29</v>
      </c>
      <c r="D1813" t="s">
        <v>20</v>
      </c>
      <c r="E1813">
        <v>49679.63</v>
      </c>
      <c r="F1813">
        <v>25</v>
      </c>
      <c r="G1813" t="s">
        <v>24</v>
      </c>
      <c r="H1813">
        <v>1821.91</v>
      </c>
      <c r="I1813">
        <v>2027.74</v>
      </c>
      <c r="J1813" t="s">
        <v>27</v>
      </c>
      <c r="K1813">
        <v>0.02</v>
      </c>
      <c r="L1813" t="s">
        <v>25</v>
      </c>
      <c r="M1813" t="s">
        <v>21</v>
      </c>
    </row>
    <row r="1814" spans="1:13" x14ac:dyDescent="0.35">
      <c r="A1814">
        <v>1008</v>
      </c>
      <c r="B1814" s="1">
        <v>45187</v>
      </c>
      <c r="C1814" t="s">
        <v>29</v>
      </c>
      <c r="D1814" t="s">
        <v>23</v>
      </c>
      <c r="E1814">
        <v>34808.58</v>
      </c>
      <c r="F1814">
        <v>32</v>
      </c>
      <c r="G1814" t="s">
        <v>24</v>
      </c>
      <c r="H1814">
        <v>921.32</v>
      </c>
      <c r="I1814">
        <v>1236.0999999999999</v>
      </c>
      <c r="J1814" t="s">
        <v>27</v>
      </c>
      <c r="K1814">
        <v>0.12</v>
      </c>
      <c r="L1814" t="s">
        <v>28</v>
      </c>
      <c r="M1814" t="s">
        <v>19</v>
      </c>
    </row>
    <row r="1815" spans="1:13" x14ac:dyDescent="0.35">
      <c r="A1815">
        <v>1006</v>
      </c>
      <c r="B1815" s="1">
        <v>45187</v>
      </c>
      <c r="C1815" t="s">
        <v>22</v>
      </c>
      <c r="D1815" t="s">
        <v>20</v>
      </c>
      <c r="E1815">
        <v>78577.33</v>
      </c>
      <c r="F1815">
        <v>45</v>
      </c>
      <c r="G1815" t="s">
        <v>16</v>
      </c>
      <c r="H1815">
        <v>1623.63</v>
      </c>
      <c r="I1815">
        <v>1814.63</v>
      </c>
      <c r="J1815" t="s">
        <v>27</v>
      </c>
      <c r="K1815">
        <v>0.04</v>
      </c>
      <c r="L1815" t="s">
        <v>25</v>
      </c>
      <c r="M1815" t="s">
        <v>21</v>
      </c>
    </row>
    <row r="1816" spans="1:13" x14ac:dyDescent="0.35">
      <c r="A1816">
        <v>1085</v>
      </c>
      <c r="B1816" s="1">
        <v>45187</v>
      </c>
      <c r="C1816" t="s">
        <v>32</v>
      </c>
      <c r="D1816" t="s">
        <v>30</v>
      </c>
      <c r="E1816">
        <v>174856.85</v>
      </c>
      <c r="F1816">
        <v>40</v>
      </c>
      <c r="G1816" t="s">
        <v>26</v>
      </c>
      <c r="H1816">
        <v>4083.23</v>
      </c>
      <c r="I1816">
        <v>4521.57</v>
      </c>
      <c r="J1816" t="s">
        <v>27</v>
      </c>
      <c r="K1816">
        <v>0.03</v>
      </c>
      <c r="L1816" t="s">
        <v>25</v>
      </c>
      <c r="M1816" t="s">
        <v>21</v>
      </c>
    </row>
    <row r="1817" spans="1:13" x14ac:dyDescent="0.35">
      <c r="A1817">
        <v>1037</v>
      </c>
      <c r="B1817" s="1">
        <v>45188</v>
      </c>
      <c r="C1817" t="s">
        <v>33</v>
      </c>
      <c r="D1817" t="s">
        <v>23</v>
      </c>
      <c r="E1817">
        <v>25714.7</v>
      </c>
      <c r="F1817">
        <v>17</v>
      </c>
      <c r="G1817" t="s">
        <v>31</v>
      </c>
      <c r="H1817">
        <v>1308.58</v>
      </c>
      <c r="I1817">
        <v>1575.59</v>
      </c>
      <c r="J1817" t="s">
        <v>27</v>
      </c>
      <c r="K1817">
        <v>0.04</v>
      </c>
      <c r="L1817" t="s">
        <v>18</v>
      </c>
      <c r="M1817" t="s">
        <v>19</v>
      </c>
    </row>
    <row r="1818" spans="1:13" x14ac:dyDescent="0.35">
      <c r="A1818">
        <v>1039</v>
      </c>
      <c r="B1818" s="1">
        <v>45188</v>
      </c>
      <c r="C1818" t="s">
        <v>14</v>
      </c>
      <c r="D1818" t="s">
        <v>23</v>
      </c>
      <c r="E1818">
        <v>22428.36</v>
      </c>
      <c r="F1818">
        <v>28</v>
      </c>
      <c r="G1818" t="s">
        <v>26</v>
      </c>
      <c r="H1818">
        <v>666.84</v>
      </c>
      <c r="I1818">
        <v>817.36</v>
      </c>
      <c r="J1818" t="s">
        <v>17</v>
      </c>
      <c r="K1818">
        <v>0.02</v>
      </c>
      <c r="L1818" t="s">
        <v>18</v>
      </c>
      <c r="M1818" t="s">
        <v>21</v>
      </c>
    </row>
    <row r="1819" spans="1:13" x14ac:dyDescent="0.35">
      <c r="A1819">
        <v>1025</v>
      </c>
      <c r="B1819" s="1">
        <v>45188</v>
      </c>
      <c r="C1819" t="s">
        <v>33</v>
      </c>
      <c r="D1819" t="s">
        <v>30</v>
      </c>
      <c r="E1819">
        <v>56611.48</v>
      </c>
      <c r="F1819">
        <v>26</v>
      </c>
      <c r="G1819" t="s">
        <v>31</v>
      </c>
      <c r="H1819">
        <v>2007.32</v>
      </c>
      <c r="I1819">
        <v>2202.87</v>
      </c>
      <c r="J1819" t="s">
        <v>17</v>
      </c>
      <c r="K1819">
        <v>0.01</v>
      </c>
      <c r="L1819" t="s">
        <v>18</v>
      </c>
      <c r="M1819" t="s">
        <v>19</v>
      </c>
    </row>
    <row r="1820" spans="1:13" x14ac:dyDescent="0.35">
      <c r="A1820">
        <v>1019</v>
      </c>
      <c r="B1820" s="1">
        <v>45188</v>
      </c>
      <c r="C1820" t="s">
        <v>29</v>
      </c>
      <c r="D1820" t="s">
        <v>20</v>
      </c>
      <c r="E1820">
        <v>129796.7</v>
      </c>
      <c r="F1820">
        <v>45</v>
      </c>
      <c r="G1820" t="s">
        <v>26</v>
      </c>
      <c r="H1820">
        <v>2590.64</v>
      </c>
      <c r="I1820">
        <v>3036.18</v>
      </c>
      <c r="J1820" t="s">
        <v>27</v>
      </c>
      <c r="K1820">
        <v>0.05</v>
      </c>
      <c r="L1820" t="s">
        <v>25</v>
      </c>
      <c r="M1820" t="s">
        <v>21</v>
      </c>
    </row>
    <row r="1821" spans="1:13" x14ac:dyDescent="0.35">
      <c r="A1821">
        <v>1097</v>
      </c>
      <c r="B1821" s="1">
        <v>45189</v>
      </c>
      <c r="C1821" t="s">
        <v>22</v>
      </c>
      <c r="D1821" t="s">
        <v>15</v>
      </c>
      <c r="E1821">
        <v>80379.97</v>
      </c>
      <c r="F1821">
        <v>45</v>
      </c>
      <c r="G1821" t="s">
        <v>26</v>
      </c>
      <c r="H1821">
        <v>1525.13</v>
      </c>
      <c r="I1821">
        <v>1868.32</v>
      </c>
      <c r="J1821" t="s">
        <v>17</v>
      </c>
      <c r="K1821">
        <v>0.04</v>
      </c>
      <c r="L1821" t="s">
        <v>18</v>
      </c>
      <c r="M1821" t="s">
        <v>21</v>
      </c>
    </row>
    <row r="1822" spans="1:13" x14ac:dyDescent="0.35">
      <c r="A1822">
        <v>1084</v>
      </c>
      <c r="B1822" s="1">
        <v>45190</v>
      </c>
      <c r="C1822" t="s">
        <v>32</v>
      </c>
      <c r="D1822" t="s">
        <v>23</v>
      </c>
      <c r="E1822">
        <v>53415.51</v>
      </c>
      <c r="F1822">
        <v>36</v>
      </c>
      <c r="G1822" t="s">
        <v>16</v>
      </c>
      <c r="H1822">
        <v>1458.77</v>
      </c>
      <c r="I1822">
        <v>1485.75</v>
      </c>
      <c r="J1822" t="s">
        <v>27</v>
      </c>
      <c r="K1822">
        <v>0</v>
      </c>
      <c r="L1822" t="s">
        <v>28</v>
      </c>
      <c r="M1822" t="s">
        <v>19</v>
      </c>
    </row>
    <row r="1823" spans="1:13" x14ac:dyDescent="0.35">
      <c r="A1823">
        <v>1015</v>
      </c>
      <c r="B1823" s="1">
        <v>45190</v>
      </c>
      <c r="C1823" t="s">
        <v>22</v>
      </c>
      <c r="D1823" t="s">
        <v>23</v>
      </c>
      <c r="E1823">
        <v>8913.6</v>
      </c>
      <c r="F1823">
        <v>30</v>
      </c>
      <c r="G1823" t="s">
        <v>24</v>
      </c>
      <c r="H1823">
        <v>261.56</v>
      </c>
      <c r="I1823">
        <v>371.4</v>
      </c>
      <c r="J1823" t="s">
        <v>17</v>
      </c>
      <c r="K1823">
        <v>0.2</v>
      </c>
      <c r="L1823" t="s">
        <v>25</v>
      </c>
      <c r="M1823" t="s">
        <v>21</v>
      </c>
    </row>
    <row r="1824" spans="1:13" x14ac:dyDescent="0.35">
      <c r="A1824">
        <v>1062</v>
      </c>
      <c r="B1824" s="1">
        <v>45190</v>
      </c>
      <c r="C1824" t="s">
        <v>22</v>
      </c>
      <c r="D1824" t="s">
        <v>15</v>
      </c>
      <c r="E1824">
        <v>175256.88</v>
      </c>
      <c r="F1824">
        <v>37</v>
      </c>
      <c r="G1824" t="s">
        <v>31</v>
      </c>
      <c r="H1824">
        <v>4658.4399999999996</v>
      </c>
      <c r="I1824">
        <v>4823.5</v>
      </c>
      <c r="J1824" t="s">
        <v>17</v>
      </c>
      <c r="K1824">
        <v>0.02</v>
      </c>
      <c r="L1824" t="s">
        <v>28</v>
      </c>
      <c r="M1824" t="s">
        <v>19</v>
      </c>
    </row>
    <row r="1825" spans="1:13" x14ac:dyDescent="0.35">
      <c r="A1825">
        <v>1061</v>
      </c>
      <c r="B1825" s="1">
        <v>45190</v>
      </c>
      <c r="C1825" t="s">
        <v>29</v>
      </c>
      <c r="D1825" t="s">
        <v>23</v>
      </c>
      <c r="E1825">
        <v>74749.149999999994</v>
      </c>
      <c r="F1825">
        <v>25</v>
      </c>
      <c r="G1825" t="s">
        <v>24</v>
      </c>
      <c r="H1825">
        <v>2747.66</v>
      </c>
      <c r="I1825">
        <v>3027.01</v>
      </c>
      <c r="J1825" t="s">
        <v>27</v>
      </c>
      <c r="K1825">
        <v>0.01</v>
      </c>
      <c r="L1825" t="s">
        <v>18</v>
      </c>
      <c r="M1825" t="s">
        <v>19</v>
      </c>
    </row>
    <row r="1826" spans="1:13" x14ac:dyDescent="0.35">
      <c r="A1826">
        <v>1076</v>
      </c>
      <c r="B1826" s="1">
        <v>45190</v>
      </c>
      <c r="C1826" t="s">
        <v>14</v>
      </c>
      <c r="D1826" t="s">
        <v>15</v>
      </c>
      <c r="E1826">
        <v>51916.67</v>
      </c>
      <c r="F1826">
        <v>26</v>
      </c>
      <c r="G1826" t="s">
        <v>31</v>
      </c>
      <c r="H1826">
        <v>1762</v>
      </c>
      <c r="I1826">
        <v>2002.95</v>
      </c>
      <c r="J1826" t="s">
        <v>17</v>
      </c>
      <c r="K1826">
        <v>0</v>
      </c>
      <c r="L1826" t="s">
        <v>28</v>
      </c>
      <c r="M1826" t="s">
        <v>21</v>
      </c>
    </row>
    <row r="1827" spans="1:13" x14ac:dyDescent="0.35">
      <c r="A1827">
        <v>1015</v>
      </c>
      <c r="B1827" s="1">
        <v>45191</v>
      </c>
      <c r="C1827" t="s">
        <v>22</v>
      </c>
      <c r="D1827" t="s">
        <v>23</v>
      </c>
      <c r="E1827">
        <v>98674.08</v>
      </c>
      <c r="F1827">
        <v>22</v>
      </c>
      <c r="G1827" t="s">
        <v>31</v>
      </c>
      <c r="H1827">
        <v>4275.59</v>
      </c>
      <c r="I1827">
        <v>4576.72</v>
      </c>
      <c r="J1827" t="s">
        <v>17</v>
      </c>
      <c r="K1827">
        <v>0.02</v>
      </c>
      <c r="L1827" t="s">
        <v>18</v>
      </c>
      <c r="M1827" t="s">
        <v>21</v>
      </c>
    </row>
    <row r="1828" spans="1:13" x14ac:dyDescent="0.35">
      <c r="A1828">
        <v>1093</v>
      </c>
      <c r="B1828" s="1">
        <v>45192</v>
      </c>
      <c r="C1828" t="s">
        <v>29</v>
      </c>
      <c r="D1828" t="s">
        <v>15</v>
      </c>
      <c r="E1828">
        <v>42532.02</v>
      </c>
      <c r="F1828">
        <v>40</v>
      </c>
      <c r="G1828" t="s">
        <v>16</v>
      </c>
      <c r="H1828">
        <v>1047.25</v>
      </c>
      <c r="I1828">
        <v>1075.8900000000001</v>
      </c>
      <c r="J1828" t="s">
        <v>27</v>
      </c>
      <c r="K1828">
        <v>0.01</v>
      </c>
      <c r="L1828" t="s">
        <v>28</v>
      </c>
      <c r="M1828" t="s">
        <v>21</v>
      </c>
    </row>
    <row r="1829" spans="1:13" x14ac:dyDescent="0.35">
      <c r="A1829">
        <v>1100</v>
      </c>
      <c r="B1829" s="1">
        <v>45192</v>
      </c>
      <c r="C1829" t="s">
        <v>29</v>
      </c>
      <c r="D1829" t="s">
        <v>15</v>
      </c>
      <c r="E1829">
        <v>37752.42</v>
      </c>
      <c r="F1829">
        <v>19</v>
      </c>
      <c r="G1829" t="s">
        <v>31</v>
      </c>
      <c r="H1829">
        <v>1820.89</v>
      </c>
      <c r="I1829">
        <v>2257.92</v>
      </c>
      <c r="J1829" t="s">
        <v>27</v>
      </c>
      <c r="K1829">
        <v>0.12</v>
      </c>
      <c r="L1829" t="s">
        <v>18</v>
      </c>
      <c r="M1829" t="s">
        <v>21</v>
      </c>
    </row>
    <row r="1830" spans="1:13" x14ac:dyDescent="0.35">
      <c r="A1830">
        <v>1036</v>
      </c>
      <c r="B1830" s="1">
        <v>45192</v>
      </c>
      <c r="C1830" t="s">
        <v>14</v>
      </c>
      <c r="D1830" t="s">
        <v>15</v>
      </c>
      <c r="E1830">
        <v>166492.97</v>
      </c>
      <c r="F1830">
        <v>42</v>
      </c>
      <c r="G1830" t="s">
        <v>16</v>
      </c>
      <c r="H1830">
        <v>3549.43</v>
      </c>
      <c r="I1830">
        <v>3967.69</v>
      </c>
      <c r="J1830" t="s">
        <v>27</v>
      </c>
      <c r="K1830">
        <v>0</v>
      </c>
      <c r="L1830" t="s">
        <v>25</v>
      </c>
      <c r="M1830" t="s">
        <v>19</v>
      </c>
    </row>
    <row r="1831" spans="1:13" x14ac:dyDescent="0.35">
      <c r="A1831">
        <v>1005</v>
      </c>
      <c r="B1831" s="1">
        <v>45193</v>
      </c>
      <c r="C1831" t="s">
        <v>32</v>
      </c>
      <c r="D1831" t="s">
        <v>23</v>
      </c>
      <c r="E1831">
        <v>2083.48</v>
      </c>
      <c r="F1831">
        <v>6</v>
      </c>
      <c r="G1831" t="s">
        <v>24</v>
      </c>
      <c r="H1831">
        <v>122.5</v>
      </c>
      <c r="I1831">
        <v>385.83</v>
      </c>
      <c r="J1831" t="s">
        <v>17</v>
      </c>
      <c r="K1831">
        <v>0.1</v>
      </c>
      <c r="L1831" t="s">
        <v>18</v>
      </c>
      <c r="M1831" t="s">
        <v>21</v>
      </c>
    </row>
    <row r="1832" spans="1:13" x14ac:dyDescent="0.35">
      <c r="A1832">
        <v>1097</v>
      </c>
      <c r="B1832" s="1">
        <v>45193</v>
      </c>
      <c r="C1832" t="s">
        <v>33</v>
      </c>
      <c r="D1832" t="s">
        <v>30</v>
      </c>
      <c r="E1832">
        <v>39175.279999999999</v>
      </c>
      <c r="F1832">
        <v>9</v>
      </c>
      <c r="G1832" t="s">
        <v>24</v>
      </c>
      <c r="H1832">
        <v>4067.28</v>
      </c>
      <c r="I1832">
        <v>4548.09</v>
      </c>
      <c r="J1832" t="s">
        <v>17</v>
      </c>
      <c r="K1832">
        <v>0.04</v>
      </c>
      <c r="L1832" t="s">
        <v>28</v>
      </c>
      <c r="M1832" t="s">
        <v>21</v>
      </c>
    </row>
    <row r="1833" spans="1:13" x14ac:dyDescent="0.35">
      <c r="A1833">
        <v>1015</v>
      </c>
      <c r="B1833" s="1">
        <v>45193</v>
      </c>
      <c r="C1833" t="s">
        <v>14</v>
      </c>
      <c r="D1833" t="s">
        <v>30</v>
      </c>
      <c r="E1833">
        <v>125809.25</v>
      </c>
      <c r="F1833">
        <v>35</v>
      </c>
      <c r="G1833" t="s">
        <v>26</v>
      </c>
      <c r="H1833">
        <v>3461.15</v>
      </c>
      <c r="I1833">
        <v>3631.75</v>
      </c>
      <c r="J1833" t="s">
        <v>17</v>
      </c>
      <c r="K1833">
        <v>0.01</v>
      </c>
      <c r="L1833" t="s">
        <v>28</v>
      </c>
      <c r="M1833" t="s">
        <v>19</v>
      </c>
    </row>
    <row r="1834" spans="1:13" x14ac:dyDescent="0.35">
      <c r="A1834">
        <v>1046</v>
      </c>
      <c r="B1834" s="1">
        <v>45193</v>
      </c>
      <c r="C1834" t="s">
        <v>29</v>
      </c>
      <c r="D1834" t="s">
        <v>20</v>
      </c>
      <c r="E1834">
        <v>82394.039999999994</v>
      </c>
      <c r="F1834">
        <v>41</v>
      </c>
      <c r="G1834" t="s">
        <v>26</v>
      </c>
      <c r="H1834">
        <v>1825.37</v>
      </c>
      <c r="I1834">
        <v>2073.88</v>
      </c>
      <c r="J1834" t="s">
        <v>17</v>
      </c>
      <c r="K1834">
        <v>0.03</v>
      </c>
      <c r="L1834" t="s">
        <v>18</v>
      </c>
      <c r="M1834" t="s">
        <v>21</v>
      </c>
    </row>
    <row r="1835" spans="1:13" x14ac:dyDescent="0.35">
      <c r="A1835">
        <v>1089</v>
      </c>
      <c r="B1835" s="1">
        <v>45193</v>
      </c>
      <c r="C1835" t="s">
        <v>14</v>
      </c>
      <c r="D1835" t="s">
        <v>23</v>
      </c>
      <c r="E1835">
        <v>115754.68</v>
      </c>
      <c r="F1835">
        <v>48</v>
      </c>
      <c r="G1835" t="s">
        <v>24</v>
      </c>
      <c r="H1835">
        <v>2246.67</v>
      </c>
      <c r="I1835">
        <v>2486.14</v>
      </c>
      <c r="J1835" t="s">
        <v>27</v>
      </c>
      <c r="K1835">
        <v>0.03</v>
      </c>
      <c r="L1835" t="s">
        <v>18</v>
      </c>
      <c r="M1835" t="s">
        <v>21</v>
      </c>
    </row>
    <row r="1836" spans="1:13" x14ac:dyDescent="0.35">
      <c r="A1836">
        <v>1039</v>
      </c>
      <c r="B1836" s="1">
        <v>45194</v>
      </c>
      <c r="C1836" t="s">
        <v>32</v>
      </c>
      <c r="D1836" t="s">
        <v>20</v>
      </c>
      <c r="E1836">
        <v>153307.57</v>
      </c>
      <c r="F1836">
        <v>37</v>
      </c>
      <c r="G1836" t="s">
        <v>31</v>
      </c>
      <c r="H1836">
        <v>4127.05</v>
      </c>
      <c r="I1836">
        <v>4313.45</v>
      </c>
      <c r="J1836" t="s">
        <v>27</v>
      </c>
      <c r="K1836">
        <v>0.04</v>
      </c>
      <c r="L1836" t="s">
        <v>18</v>
      </c>
      <c r="M1836" t="s">
        <v>19</v>
      </c>
    </row>
    <row r="1837" spans="1:13" x14ac:dyDescent="0.35">
      <c r="A1837">
        <v>1066</v>
      </c>
      <c r="B1837" s="1">
        <v>45194</v>
      </c>
      <c r="C1837" t="s">
        <v>32</v>
      </c>
      <c r="D1837" t="s">
        <v>30</v>
      </c>
      <c r="E1837">
        <v>62797.38</v>
      </c>
      <c r="F1837">
        <v>47</v>
      </c>
      <c r="G1837" t="s">
        <v>24</v>
      </c>
      <c r="H1837">
        <v>1319.24</v>
      </c>
      <c r="I1837">
        <v>1805.56</v>
      </c>
      <c r="J1837" t="s">
        <v>27</v>
      </c>
      <c r="K1837">
        <v>0.26</v>
      </c>
      <c r="L1837" t="s">
        <v>28</v>
      </c>
      <c r="M1837" t="s">
        <v>21</v>
      </c>
    </row>
    <row r="1838" spans="1:13" x14ac:dyDescent="0.35">
      <c r="A1838">
        <v>1018</v>
      </c>
      <c r="B1838" s="1">
        <v>45195</v>
      </c>
      <c r="C1838" t="s">
        <v>22</v>
      </c>
      <c r="D1838" t="s">
        <v>30</v>
      </c>
      <c r="E1838">
        <v>20406.060000000001</v>
      </c>
      <c r="F1838">
        <v>25</v>
      </c>
      <c r="G1838" t="s">
        <v>16</v>
      </c>
      <c r="H1838">
        <v>739.63</v>
      </c>
      <c r="I1838">
        <v>1103.03</v>
      </c>
      <c r="J1838" t="s">
        <v>27</v>
      </c>
      <c r="K1838">
        <v>0.26</v>
      </c>
      <c r="L1838" t="s">
        <v>25</v>
      </c>
      <c r="M1838" t="s">
        <v>21</v>
      </c>
    </row>
    <row r="1839" spans="1:13" x14ac:dyDescent="0.35">
      <c r="A1839">
        <v>1090</v>
      </c>
      <c r="B1839" s="1">
        <v>45195</v>
      </c>
      <c r="C1839" t="s">
        <v>32</v>
      </c>
      <c r="D1839" t="s">
        <v>15</v>
      </c>
      <c r="E1839">
        <v>4981.66</v>
      </c>
      <c r="F1839">
        <v>11</v>
      </c>
      <c r="G1839" t="s">
        <v>31</v>
      </c>
      <c r="H1839">
        <v>210.33</v>
      </c>
      <c r="I1839">
        <v>552.29</v>
      </c>
      <c r="J1839" t="s">
        <v>17</v>
      </c>
      <c r="K1839">
        <v>0.18</v>
      </c>
      <c r="L1839" t="s">
        <v>18</v>
      </c>
      <c r="M1839" t="s">
        <v>21</v>
      </c>
    </row>
    <row r="1840" spans="1:13" x14ac:dyDescent="0.35">
      <c r="A1840">
        <v>1006</v>
      </c>
      <c r="B1840" s="1">
        <v>45195</v>
      </c>
      <c r="C1840" t="s">
        <v>14</v>
      </c>
      <c r="D1840" t="s">
        <v>30</v>
      </c>
      <c r="E1840">
        <v>66607.02</v>
      </c>
      <c r="F1840">
        <v>14</v>
      </c>
      <c r="G1840" t="s">
        <v>24</v>
      </c>
      <c r="H1840">
        <v>4503.7299999999996</v>
      </c>
      <c r="I1840">
        <v>4879.88</v>
      </c>
      <c r="J1840" t="s">
        <v>27</v>
      </c>
      <c r="K1840">
        <v>0.03</v>
      </c>
      <c r="L1840" t="s">
        <v>25</v>
      </c>
      <c r="M1840" t="s">
        <v>21</v>
      </c>
    </row>
    <row r="1841" spans="1:13" x14ac:dyDescent="0.35">
      <c r="A1841">
        <v>1058</v>
      </c>
      <c r="B1841" s="1">
        <v>45196</v>
      </c>
      <c r="C1841" t="s">
        <v>32</v>
      </c>
      <c r="D1841" t="s">
        <v>20</v>
      </c>
      <c r="E1841">
        <v>105354.41</v>
      </c>
      <c r="F1841">
        <v>29</v>
      </c>
      <c r="G1841" t="s">
        <v>31</v>
      </c>
      <c r="H1841">
        <v>3578.77</v>
      </c>
      <c r="I1841">
        <v>3635.02</v>
      </c>
      <c r="J1841" t="s">
        <v>27</v>
      </c>
      <c r="K1841">
        <v>0</v>
      </c>
      <c r="L1841" t="s">
        <v>25</v>
      </c>
      <c r="M1841" t="s">
        <v>21</v>
      </c>
    </row>
    <row r="1842" spans="1:13" x14ac:dyDescent="0.35">
      <c r="A1842">
        <v>1088</v>
      </c>
      <c r="B1842" s="1">
        <v>45196</v>
      </c>
      <c r="C1842" t="s">
        <v>32</v>
      </c>
      <c r="D1842" t="s">
        <v>15</v>
      </c>
      <c r="E1842">
        <v>55396.14</v>
      </c>
      <c r="F1842">
        <v>12</v>
      </c>
      <c r="G1842" t="s">
        <v>26</v>
      </c>
      <c r="H1842">
        <v>4389.24</v>
      </c>
      <c r="I1842">
        <v>4856.22</v>
      </c>
      <c r="J1842" t="s">
        <v>17</v>
      </c>
      <c r="K1842">
        <v>0.05</v>
      </c>
      <c r="L1842" t="s">
        <v>18</v>
      </c>
      <c r="M1842" t="s">
        <v>21</v>
      </c>
    </row>
    <row r="1843" spans="1:13" x14ac:dyDescent="0.35">
      <c r="A1843">
        <v>1047</v>
      </c>
      <c r="B1843" s="1">
        <v>45196</v>
      </c>
      <c r="C1843" t="s">
        <v>32</v>
      </c>
      <c r="D1843" t="s">
        <v>15</v>
      </c>
      <c r="E1843">
        <v>20121.25</v>
      </c>
      <c r="F1843">
        <v>32</v>
      </c>
      <c r="G1843" t="s">
        <v>31</v>
      </c>
      <c r="H1843">
        <v>367.98</v>
      </c>
      <c r="I1843">
        <v>806.14</v>
      </c>
      <c r="J1843" t="s">
        <v>17</v>
      </c>
      <c r="K1843">
        <v>0.22</v>
      </c>
      <c r="L1843" t="s">
        <v>28</v>
      </c>
      <c r="M1843" t="s">
        <v>21</v>
      </c>
    </row>
    <row r="1844" spans="1:13" x14ac:dyDescent="0.35">
      <c r="A1844">
        <v>1049</v>
      </c>
      <c r="B1844" s="1">
        <v>45197</v>
      </c>
      <c r="C1844" t="s">
        <v>33</v>
      </c>
      <c r="D1844" t="s">
        <v>20</v>
      </c>
      <c r="E1844">
        <v>152016.18</v>
      </c>
      <c r="F1844">
        <v>44</v>
      </c>
      <c r="G1844" t="s">
        <v>16</v>
      </c>
      <c r="H1844">
        <v>3351.33</v>
      </c>
      <c r="I1844">
        <v>3465.35</v>
      </c>
      <c r="J1844" t="s">
        <v>17</v>
      </c>
      <c r="K1844">
        <v>0</v>
      </c>
      <c r="L1844" t="s">
        <v>25</v>
      </c>
      <c r="M1844" t="s">
        <v>19</v>
      </c>
    </row>
    <row r="1845" spans="1:13" x14ac:dyDescent="0.35">
      <c r="A1845">
        <v>1004</v>
      </c>
      <c r="B1845" s="1">
        <v>45197</v>
      </c>
      <c r="C1845" t="s">
        <v>32</v>
      </c>
      <c r="D1845" t="s">
        <v>23</v>
      </c>
      <c r="E1845">
        <v>124769.28</v>
      </c>
      <c r="F1845">
        <v>27</v>
      </c>
      <c r="G1845" t="s">
        <v>26</v>
      </c>
      <c r="H1845">
        <v>4354.6000000000004</v>
      </c>
      <c r="I1845">
        <v>4820.2</v>
      </c>
      <c r="J1845" t="s">
        <v>27</v>
      </c>
      <c r="K1845">
        <v>0.04</v>
      </c>
      <c r="L1845" t="s">
        <v>28</v>
      </c>
      <c r="M1845" t="s">
        <v>21</v>
      </c>
    </row>
    <row r="1846" spans="1:13" x14ac:dyDescent="0.35">
      <c r="A1846">
        <v>1036</v>
      </c>
      <c r="B1846" s="1">
        <v>45198</v>
      </c>
      <c r="C1846" t="s">
        <v>14</v>
      </c>
      <c r="D1846" t="s">
        <v>15</v>
      </c>
      <c r="E1846">
        <v>19625.509999999998</v>
      </c>
      <c r="F1846">
        <v>7</v>
      </c>
      <c r="G1846" t="s">
        <v>26</v>
      </c>
      <c r="H1846">
        <v>2588.67</v>
      </c>
      <c r="I1846">
        <v>2847.76</v>
      </c>
      <c r="J1846" t="s">
        <v>27</v>
      </c>
      <c r="K1846">
        <v>0.02</v>
      </c>
      <c r="L1846" t="s">
        <v>18</v>
      </c>
      <c r="M1846" t="s">
        <v>21</v>
      </c>
    </row>
    <row r="1847" spans="1:13" x14ac:dyDescent="0.35">
      <c r="A1847">
        <v>1048</v>
      </c>
      <c r="B1847" s="1">
        <v>45199</v>
      </c>
      <c r="C1847" t="s">
        <v>29</v>
      </c>
      <c r="D1847" t="s">
        <v>15</v>
      </c>
      <c r="E1847">
        <v>11642.04</v>
      </c>
      <c r="F1847">
        <v>4</v>
      </c>
      <c r="G1847" t="s">
        <v>16</v>
      </c>
      <c r="H1847">
        <v>2900.14</v>
      </c>
      <c r="I1847">
        <v>2910.51</v>
      </c>
      <c r="J1847" t="s">
        <v>27</v>
      </c>
      <c r="K1847">
        <v>0</v>
      </c>
      <c r="L1847" t="s">
        <v>28</v>
      </c>
      <c r="M1847" t="s">
        <v>21</v>
      </c>
    </row>
    <row r="1848" spans="1:13" x14ac:dyDescent="0.35">
      <c r="A1848">
        <v>1023</v>
      </c>
      <c r="B1848" s="1">
        <v>45199</v>
      </c>
      <c r="C1848" t="s">
        <v>29</v>
      </c>
      <c r="D1848" t="s">
        <v>15</v>
      </c>
      <c r="E1848">
        <v>14370.24</v>
      </c>
      <c r="F1848">
        <v>8</v>
      </c>
      <c r="G1848" t="s">
        <v>16</v>
      </c>
      <c r="H1848">
        <v>1563.78</v>
      </c>
      <c r="I1848">
        <v>1829.16</v>
      </c>
      <c r="J1848" t="s">
        <v>17</v>
      </c>
      <c r="K1848">
        <v>0.02</v>
      </c>
      <c r="L1848" t="s">
        <v>18</v>
      </c>
      <c r="M1848" t="s">
        <v>19</v>
      </c>
    </row>
    <row r="1849" spans="1:13" x14ac:dyDescent="0.35">
      <c r="A1849">
        <v>1084</v>
      </c>
      <c r="B1849" s="1">
        <v>45199</v>
      </c>
      <c r="C1849" t="s">
        <v>33</v>
      </c>
      <c r="D1849" t="s">
        <v>30</v>
      </c>
      <c r="E1849">
        <v>8478.6200000000008</v>
      </c>
      <c r="F1849">
        <v>30</v>
      </c>
      <c r="G1849" t="s">
        <v>24</v>
      </c>
      <c r="H1849">
        <v>169</v>
      </c>
      <c r="I1849">
        <v>381.92</v>
      </c>
      <c r="J1849" t="s">
        <v>17</v>
      </c>
      <c r="K1849">
        <v>0.26</v>
      </c>
      <c r="L1849" t="s">
        <v>18</v>
      </c>
      <c r="M1849" t="s">
        <v>21</v>
      </c>
    </row>
    <row r="1850" spans="1:13" x14ac:dyDescent="0.35">
      <c r="A1850">
        <v>1077</v>
      </c>
      <c r="B1850" s="1">
        <v>45200</v>
      </c>
      <c r="C1850" t="s">
        <v>33</v>
      </c>
      <c r="D1850" t="s">
        <v>20</v>
      </c>
      <c r="E1850">
        <v>19581.32</v>
      </c>
      <c r="F1850">
        <v>5</v>
      </c>
      <c r="G1850" t="s">
        <v>31</v>
      </c>
      <c r="H1850">
        <v>3650.89</v>
      </c>
      <c r="I1850">
        <v>3930.06</v>
      </c>
      <c r="J1850" t="s">
        <v>27</v>
      </c>
      <c r="K1850">
        <v>0</v>
      </c>
      <c r="L1850" t="s">
        <v>25</v>
      </c>
      <c r="M1850" t="s">
        <v>19</v>
      </c>
    </row>
    <row r="1851" spans="1:13" x14ac:dyDescent="0.35">
      <c r="A1851">
        <v>1091</v>
      </c>
      <c r="B1851" s="1">
        <v>45200</v>
      </c>
      <c r="C1851" t="s">
        <v>32</v>
      </c>
      <c r="D1851" t="s">
        <v>30</v>
      </c>
      <c r="E1851">
        <v>27813.94</v>
      </c>
      <c r="F1851">
        <v>15</v>
      </c>
      <c r="G1851" t="s">
        <v>31</v>
      </c>
      <c r="H1851">
        <v>1534.7</v>
      </c>
      <c r="I1851">
        <v>1972.62</v>
      </c>
      <c r="J1851" t="s">
        <v>17</v>
      </c>
      <c r="K1851">
        <v>0.06</v>
      </c>
      <c r="L1851" t="s">
        <v>28</v>
      </c>
      <c r="M1851" t="s">
        <v>21</v>
      </c>
    </row>
    <row r="1852" spans="1:13" x14ac:dyDescent="0.35">
      <c r="A1852">
        <v>1093</v>
      </c>
      <c r="B1852" s="1">
        <v>45200</v>
      </c>
      <c r="C1852" t="s">
        <v>32</v>
      </c>
      <c r="D1852" t="s">
        <v>30</v>
      </c>
      <c r="E1852">
        <v>65021.22</v>
      </c>
      <c r="F1852">
        <v>22</v>
      </c>
      <c r="G1852" t="s">
        <v>31</v>
      </c>
      <c r="H1852">
        <v>2593.64</v>
      </c>
      <c r="I1852">
        <v>2955.51</v>
      </c>
      <c r="J1852" t="s">
        <v>17</v>
      </c>
      <c r="K1852">
        <v>0</v>
      </c>
      <c r="L1852" t="s">
        <v>25</v>
      </c>
      <c r="M1852" t="s">
        <v>21</v>
      </c>
    </row>
    <row r="1853" spans="1:13" x14ac:dyDescent="0.35">
      <c r="A1853">
        <v>1093</v>
      </c>
      <c r="B1853" s="1">
        <v>45201</v>
      </c>
      <c r="C1853" t="s">
        <v>14</v>
      </c>
      <c r="D1853" t="s">
        <v>20</v>
      </c>
      <c r="E1853">
        <v>64645.07</v>
      </c>
      <c r="F1853">
        <v>43</v>
      </c>
      <c r="G1853" t="s">
        <v>31</v>
      </c>
      <c r="H1853">
        <v>1486.76</v>
      </c>
      <c r="I1853">
        <v>1505.44</v>
      </c>
      <c r="J1853" t="s">
        <v>27</v>
      </c>
      <c r="K1853">
        <v>0</v>
      </c>
      <c r="L1853" t="s">
        <v>18</v>
      </c>
      <c r="M1853" t="s">
        <v>21</v>
      </c>
    </row>
    <row r="1854" spans="1:13" x14ac:dyDescent="0.35">
      <c r="A1854">
        <v>1053</v>
      </c>
      <c r="B1854" s="1">
        <v>45201</v>
      </c>
      <c r="C1854" t="s">
        <v>22</v>
      </c>
      <c r="D1854" t="s">
        <v>30</v>
      </c>
      <c r="E1854">
        <v>117132.8</v>
      </c>
      <c r="F1854">
        <v>29</v>
      </c>
      <c r="G1854" t="s">
        <v>31</v>
      </c>
      <c r="H1854">
        <v>3741.3</v>
      </c>
      <c r="I1854">
        <v>4061.04</v>
      </c>
      <c r="J1854" t="s">
        <v>17</v>
      </c>
      <c r="K1854">
        <v>0.01</v>
      </c>
      <c r="L1854" t="s">
        <v>28</v>
      </c>
      <c r="M1854" t="s">
        <v>19</v>
      </c>
    </row>
    <row r="1855" spans="1:13" x14ac:dyDescent="0.35">
      <c r="A1855">
        <v>1079</v>
      </c>
      <c r="B1855" s="1">
        <v>45203</v>
      </c>
      <c r="C1855" t="s">
        <v>32</v>
      </c>
      <c r="D1855" t="s">
        <v>30</v>
      </c>
      <c r="E1855">
        <v>60780.39</v>
      </c>
      <c r="F1855">
        <v>12</v>
      </c>
      <c r="G1855" t="s">
        <v>24</v>
      </c>
      <c r="H1855">
        <v>4754.0200000000004</v>
      </c>
      <c r="I1855">
        <v>5080.74</v>
      </c>
      <c r="J1855" t="s">
        <v>27</v>
      </c>
      <c r="K1855">
        <v>0</v>
      </c>
      <c r="L1855" t="s">
        <v>18</v>
      </c>
      <c r="M1855" t="s">
        <v>19</v>
      </c>
    </row>
    <row r="1856" spans="1:13" x14ac:dyDescent="0.35">
      <c r="A1856">
        <v>1088</v>
      </c>
      <c r="B1856" s="1">
        <v>45203</v>
      </c>
      <c r="C1856" t="s">
        <v>14</v>
      </c>
      <c r="D1856" t="s">
        <v>30</v>
      </c>
      <c r="E1856">
        <v>200785.18</v>
      </c>
      <c r="F1856">
        <v>40</v>
      </c>
      <c r="G1856" t="s">
        <v>31</v>
      </c>
      <c r="H1856">
        <v>4904.93</v>
      </c>
      <c r="I1856">
        <v>5034.3500000000004</v>
      </c>
      <c r="J1856" t="s">
        <v>27</v>
      </c>
      <c r="K1856">
        <v>0</v>
      </c>
      <c r="L1856" t="s">
        <v>28</v>
      </c>
      <c r="M1856" t="s">
        <v>21</v>
      </c>
    </row>
    <row r="1857" spans="1:13" x14ac:dyDescent="0.35">
      <c r="A1857">
        <v>1063</v>
      </c>
      <c r="B1857" s="1">
        <v>45204</v>
      </c>
      <c r="C1857" t="s">
        <v>33</v>
      </c>
      <c r="D1857" t="s">
        <v>23</v>
      </c>
      <c r="E1857">
        <v>57009.57</v>
      </c>
      <c r="F1857">
        <v>27</v>
      </c>
      <c r="G1857" t="s">
        <v>24</v>
      </c>
      <c r="H1857">
        <v>2069.08</v>
      </c>
      <c r="I1857">
        <v>2246.2399999999998</v>
      </c>
      <c r="J1857" t="s">
        <v>27</v>
      </c>
      <c r="K1857">
        <v>0.06</v>
      </c>
      <c r="L1857" t="s">
        <v>25</v>
      </c>
      <c r="M1857" t="s">
        <v>21</v>
      </c>
    </row>
    <row r="1858" spans="1:13" x14ac:dyDescent="0.35">
      <c r="A1858">
        <v>1066</v>
      </c>
      <c r="B1858" s="1">
        <v>45204</v>
      </c>
      <c r="C1858" t="s">
        <v>33</v>
      </c>
      <c r="D1858" t="s">
        <v>23</v>
      </c>
      <c r="E1858">
        <v>19977.169999999998</v>
      </c>
      <c r="F1858">
        <v>4</v>
      </c>
      <c r="G1858" t="s">
        <v>16</v>
      </c>
      <c r="H1858">
        <v>4596.68</v>
      </c>
      <c r="I1858">
        <v>5044.74</v>
      </c>
      <c r="J1858" t="s">
        <v>27</v>
      </c>
      <c r="K1858">
        <v>0.01</v>
      </c>
      <c r="L1858" t="s">
        <v>25</v>
      </c>
      <c r="M1858" t="s">
        <v>19</v>
      </c>
    </row>
    <row r="1859" spans="1:13" x14ac:dyDescent="0.35">
      <c r="A1859">
        <v>1051</v>
      </c>
      <c r="B1859" s="1">
        <v>45206</v>
      </c>
      <c r="C1859" t="s">
        <v>14</v>
      </c>
      <c r="D1859" t="s">
        <v>20</v>
      </c>
      <c r="E1859">
        <v>10675.72</v>
      </c>
      <c r="F1859">
        <v>3</v>
      </c>
      <c r="G1859" t="s">
        <v>16</v>
      </c>
      <c r="H1859">
        <v>3434.75</v>
      </c>
      <c r="I1859">
        <v>3659.42</v>
      </c>
      <c r="J1859" t="s">
        <v>27</v>
      </c>
      <c r="K1859">
        <v>0.03</v>
      </c>
      <c r="L1859" t="s">
        <v>18</v>
      </c>
      <c r="M1859" t="s">
        <v>19</v>
      </c>
    </row>
    <row r="1860" spans="1:13" x14ac:dyDescent="0.35">
      <c r="A1860">
        <v>1060</v>
      </c>
      <c r="B1860" s="1">
        <v>45206</v>
      </c>
      <c r="C1860" t="s">
        <v>33</v>
      </c>
      <c r="D1860" t="s">
        <v>23</v>
      </c>
      <c r="E1860">
        <v>17224.14</v>
      </c>
      <c r="F1860">
        <v>23</v>
      </c>
      <c r="G1860" t="s">
        <v>31</v>
      </c>
      <c r="H1860">
        <v>647.70000000000005</v>
      </c>
      <c r="I1860">
        <v>902.26</v>
      </c>
      <c r="J1860" t="s">
        <v>27</v>
      </c>
      <c r="K1860">
        <v>0.17</v>
      </c>
      <c r="L1860" t="s">
        <v>25</v>
      </c>
      <c r="M1860" t="s">
        <v>19</v>
      </c>
    </row>
    <row r="1861" spans="1:13" x14ac:dyDescent="0.35">
      <c r="A1861">
        <v>1032</v>
      </c>
      <c r="B1861" s="1">
        <v>45207</v>
      </c>
      <c r="C1861" t="s">
        <v>32</v>
      </c>
      <c r="D1861" t="s">
        <v>30</v>
      </c>
      <c r="E1861">
        <v>22658.83</v>
      </c>
      <c r="F1861">
        <v>11</v>
      </c>
      <c r="G1861" t="s">
        <v>24</v>
      </c>
      <c r="H1861">
        <v>2025.67</v>
      </c>
      <c r="I1861">
        <v>2081.5500000000002</v>
      </c>
      <c r="J1861" t="s">
        <v>27</v>
      </c>
      <c r="K1861">
        <v>0.01</v>
      </c>
      <c r="L1861" t="s">
        <v>25</v>
      </c>
      <c r="M1861" t="s">
        <v>19</v>
      </c>
    </row>
    <row r="1862" spans="1:13" x14ac:dyDescent="0.35">
      <c r="A1862">
        <v>1001</v>
      </c>
      <c r="B1862" s="1">
        <v>45207</v>
      </c>
      <c r="C1862" t="s">
        <v>14</v>
      </c>
      <c r="D1862" t="s">
        <v>20</v>
      </c>
      <c r="E1862">
        <v>108064.19</v>
      </c>
      <c r="F1862">
        <v>33</v>
      </c>
      <c r="G1862" t="s">
        <v>16</v>
      </c>
      <c r="H1862">
        <v>2933.54</v>
      </c>
      <c r="I1862">
        <v>3307.75</v>
      </c>
      <c r="J1862" t="s">
        <v>17</v>
      </c>
      <c r="K1862">
        <v>0.01</v>
      </c>
      <c r="L1862" t="s">
        <v>25</v>
      </c>
      <c r="M1862" t="s">
        <v>21</v>
      </c>
    </row>
    <row r="1863" spans="1:13" x14ac:dyDescent="0.35">
      <c r="A1863">
        <v>1095</v>
      </c>
      <c r="B1863" s="1">
        <v>45208</v>
      </c>
      <c r="C1863" t="s">
        <v>22</v>
      </c>
      <c r="D1863" t="s">
        <v>15</v>
      </c>
      <c r="E1863">
        <v>13093.11</v>
      </c>
      <c r="F1863">
        <v>21</v>
      </c>
      <c r="G1863" t="s">
        <v>26</v>
      </c>
      <c r="H1863">
        <v>621.04999999999995</v>
      </c>
      <c r="I1863">
        <v>820.37</v>
      </c>
      <c r="J1863" t="s">
        <v>17</v>
      </c>
      <c r="K1863">
        <v>0.24</v>
      </c>
      <c r="L1863" t="s">
        <v>25</v>
      </c>
      <c r="M1863" t="s">
        <v>19</v>
      </c>
    </row>
    <row r="1864" spans="1:13" x14ac:dyDescent="0.35">
      <c r="A1864">
        <v>1062</v>
      </c>
      <c r="B1864" s="1">
        <v>45208</v>
      </c>
      <c r="C1864" t="s">
        <v>14</v>
      </c>
      <c r="D1864" t="s">
        <v>30</v>
      </c>
      <c r="E1864">
        <v>6427.91</v>
      </c>
      <c r="F1864">
        <v>4</v>
      </c>
      <c r="G1864" t="s">
        <v>31</v>
      </c>
      <c r="H1864">
        <v>1581.59</v>
      </c>
      <c r="I1864">
        <v>2034.15</v>
      </c>
      <c r="J1864" t="s">
        <v>17</v>
      </c>
      <c r="K1864">
        <v>0.21</v>
      </c>
      <c r="L1864" t="s">
        <v>18</v>
      </c>
      <c r="M1864" t="s">
        <v>19</v>
      </c>
    </row>
    <row r="1865" spans="1:13" x14ac:dyDescent="0.35">
      <c r="A1865">
        <v>1075</v>
      </c>
      <c r="B1865" s="1">
        <v>45208</v>
      </c>
      <c r="C1865" t="s">
        <v>29</v>
      </c>
      <c r="D1865" t="s">
        <v>20</v>
      </c>
      <c r="E1865">
        <v>42005.440000000002</v>
      </c>
      <c r="F1865">
        <v>18</v>
      </c>
      <c r="G1865" t="s">
        <v>26</v>
      </c>
      <c r="H1865">
        <v>2228.35</v>
      </c>
      <c r="I1865">
        <v>2682.34</v>
      </c>
      <c r="J1865" t="s">
        <v>27</v>
      </c>
      <c r="K1865">
        <v>0.13</v>
      </c>
      <c r="L1865" t="s">
        <v>25</v>
      </c>
      <c r="M1865" t="s">
        <v>19</v>
      </c>
    </row>
    <row r="1866" spans="1:13" x14ac:dyDescent="0.35">
      <c r="A1866">
        <v>1052</v>
      </c>
      <c r="B1866" s="1">
        <v>45208</v>
      </c>
      <c r="C1866" t="s">
        <v>22</v>
      </c>
      <c r="D1866" t="s">
        <v>20</v>
      </c>
      <c r="E1866">
        <v>70565.789999999994</v>
      </c>
      <c r="F1866">
        <v>41</v>
      </c>
      <c r="G1866" t="s">
        <v>31</v>
      </c>
      <c r="H1866">
        <v>1509.98</v>
      </c>
      <c r="I1866">
        <v>1792.83</v>
      </c>
      <c r="J1866" t="s">
        <v>27</v>
      </c>
      <c r="K1866">
        <v>0.04</v>
      </c>
      <c r="L1866" t="s">
        <v>18</v>
      </c>
      <c r="M1866" t="s">
        <v>21</v>
      </c>
    </row>
    <row r="1867" spans="1:13" x14ac:dyDescent="0.35">
      <c r="A1867">
        <v>1001</v>
      </c>
      <c r="B1867" s="1">
        <v>45209</v>
      </c>
      <c r="C1867" t="s">
        <v>22</v>
      </c>
      <c r="D1867" t="s">
        <v>20</v>
      </c>
      <c r="E1867">
        <v>49903.39</v>
      </c>
      <c r="F1867">
        <v>18</v>
      </c>
      <c r="G1867" t="s">
        <v>16</v>
      </c>
      <c r="H1867">
        <v>2602.6</v>
      </c>
      <c r="I1867">
        <v>3013.49</v>
      </c>
      <c r="J1867" t="s">
        <v>17</v>
      </c>
      <c r="K1867">
        <v>0.08</v>
      </c>
      <c r="L1867" t="s">
        <v>25</v>
      </c>
      <c r="M1867" t="s">
        <v>19</v>
      </c>
    </row>
    <row r="1868" spans="1:13" x14ac:dyDescent="0.35">
      <c r="A1868">
        <v>1019</v>
      </c>
      <c r="B1868" s="1">
        <v>45210</v>
      </c>
      <c r="C1868" t="s">
        <v>32</v>
      </c>
      <c r="D1868" t="s">
        <v>23</v>
      </c>
      <c r="E1868">
        <v>95702.01</v>
      </c>
      <c r="F1868">
        <v>32</v>
      </c>
      <c r="G1868" t="s">
        <v>31</v>
      </c>
      <c r="H1868">
        <v>2866.47</v>
      </c>
      <c r="I1868">
        <v>3286.47</v>
      </c>
      <c r="J1868" t="s">
        <v>27</v>
      </c>
      <c r="K1868">
        <v>0.09</v>
      </c>
      <c r="L1868" t="s">
        <v>28</v>
      </c>
      <c r="M1868" t="s">
        <v>19</v>
      </c>
    </row>
    <row r="1869" spans="1:13" x14ac:dyDescent="0.35">
      <c r="A1869">
        <v>1019</v>
      </c>
      <c r="B1869" s="1">
        <v>45211</v>
      </c>
      <c r="C1869" t="s">
        <v>29</v>
      </c>
      <c r="D1869" t="s">
        <v>20</v>
      </c>
      <c r="E1869">
        <v>79928.800000000003</v>
      </c>
      <c r="F1869">
        <v>16</v>
      </c>
      <c r="G1869" t="s">
        <v>26</v>
      </c>
      <c r="H1869">
        <v>4977.78</v>
      </c>
      <c r="I1869">
        <v>4995.55</v>
      </c>
      <c r="J1869" t="s">
        <v>27</v>
      </c>
      <c r="K1869">
        <v>0</v>
      </c>
      <c r="L1869" t="s">
        <v>28</v>
      </c>
      <c r="M1869" t="s">
        <v>19</v>
      </c>
    </row>
    <row r="1870" spans="1:13" x14ac:dyDescent="0.35">
      <c r="A1870">
        <v>1077</v>
      </c>
      <c r="B1870" s="1">
        <v>45211</v>
      </c>
      <c r="C1870" t="s">
        <v>22</v>
      </c>
      <c r="D1870" t="s">
        <v>23</v>
      </c>
      <c r="E1870">
        <v>13429.63</v>
      </c>
      <c r="F1870">
        <v>23</v>
      </c>
      <c r="G1870" t="s">
        <v>31</v>
      </c>
      <c r="H1870">
        <v>557.52</v>
      </c>
      <c r="I1870">
        <v>822.39</v>
      </c>
      <c r="J1870" t="s">
        <v>17</v>
      </c>
      <c r="K1870">
        <v>0.28999999999999998</v>
      </c>
      <c r="L1870" t="s">
        <v>28</v>
      </c>
      <c r="M1870" t="s">
        <v>19</v>
      </c>
    </row>
    <row r="1871" spans="1:13" x14ac:dyDescent="0.35">
      <c r="A1871">
        <v>1032</v>
      </c>
      <c r="B1871" s="1">
        <v>45211</v>
      </c>
      <c r="C1871" t="s">
        <v>33</v>
      </c>
      <c r="D1871" t="s">
        <v>15</v>
      </c>
      <c r="E1871">
        <v>23127.57</v>
      </c>
      <c r="F1871">
        <v>17</v>
      </c>
      <c r="G1871" t="s">
        <v>26</v>
      </c>
      <c r="H1871">
        <v>1291.9100000000001</v>
      </c>
      <c r="I1871">
        <v>1528.59</v>
      </c>
      <c r="J1871" t="s">
        <v>17</v>
      </c>
      <c r="K1871">
        <v>0.11</v>
      </c>
      <c r="L1871" t="s">
        <v>28</v>
      </c>
      <c r="M1871" t="s">
        <v>21</v>
      </c>
    </row>
    <row r="1872" spans="1:13" x14ac:dyDescent="0.35">
      <c r="A1872">
        <v>1010</v>
      </c>
      <c r="B1872" s="1">
        <v>45211</v>
      </c>
      <c r="C1872" t="s">
        <v>29</v>
      </c>
      <c r="D1872" t="s">
        <v>15</v>
      </c>
      <c r="E1872">
        <v>87743.57</v>
      </c>
      <c r="F1872">
        <v>20</v>
      </c>
      <c r="G1872" t="s">
        <v>16</v>
      </c>
      <c r="H1872">
        <v>4298.74</v>
      </c>
      <c r="I1872">
        <v>4475.1899999999996</v>
      </c>
      <c r="J1872" t="s">
        <v>17</v>
      </c>
      <c r="K1872">
        <v>0.02</v>
      </c>
      <c r="L1872" t="s">
        <v>18</v>
      </c>
      <c r="M1872" t="s">
        <v>19</v>
      </c>
    </row>
    <row r="1873" spans="1:13" x14ac:dyDescent="0.35">
      <c r="A1873">
        <v>1052</v>
      </c>
      <c r="B1873" s="1">
        <v>45211</v>
      </c>
      <c r="C1873" t="s">
        <v>22</v>
      </c>
      <c r="D1873" t="s">
        <v>15</v>
      </c>
      <c r="E1873">
        <v>146339.06</v>
      </c>
      <c r="F1873">
        <v>46</v>
      </c>
      <c r="G1873" t="s">
        <v>31</v>
      </c>
      <c r="H1873">
        <v>3136.42</v>
      </c>
      <c r="I1873">
        <v>3198.49</v>
      </c>
      <c r="J1873" t="s">
        <v>17</v>
      </c>
      <c r="K1873">
        <v>0.01</v>
      </c>
      <c r="L1873" t="s">
        <v>18</v>
      </c>
      <c r="M1873" t="s">
        <v>21</v>
      </c>
    </row>
    <row r="1874" spans="1:13" x14ac:dyDescent="0.35">
      <c r="A1874">
        <v>1089</v>
      </c>
      <c r="B1874" s="1">
        <v>45211</v>
      </c>
      <c r="C1874" t="s">
        <v>22</v>
      </c>
      <c r="D1874" t="s">
        <v>23</v>
      </c>
      <c r="E1874">
        <v>96142.28</v>
      </c>
      <c r="F1874">
        <v>25</v>
      </c>
      <c r="G1874" t="s">
        <v>16</v>
      </c>
      <c r="H1874">
        <v>3512.69</v>
      </c>
      <c r="I1874">
        <v>3964.63</v>
      </c>
      <c r="J1874" t="s">
        <v>17</v>
      </c>
      <c r="K1874">
        <v>0.03</v>
      </c>
      <c r="L1874" t="s">
        <v>28</v>
      </c>
      <c r="M1874" t="s">
        <v>21</v>
      </c>
    </row>
    <row r="1875" spans="1:13" x14ac:dyDescent="0.35">
      <c r="A1875">
        <v>1008</v>
      </c>
      <c r="B1875" s="1">
        <v>45212</v>
      </c>
      <c r="C1875" t="s">
        <v>32</v>
      </c>
      <c r="D1875" t="s">
        <v>20</v>
      </c>
      <c r="E1875">
        <v>40138.18</v>
      </c>
      <c r="F1875">
        <v>24</v>
      </c>
      <c r="G1875" t="s">
        <v>31</v>
      </c>
      <c r="H1875">
        <v>1542.24</v>
      </c>
      <c r="I1875">
        <v>1739.45</v>
      </c>
      <c r="J1875" t="s">
        <v>17</v>
      </c>
      <c r="K1875">
        <v>0.04</v>
      </c>
      <c r="L1875" t="s">
        <v>25</v>
      </c>
      <c r="M1875" t="s">
        <v>21</v>
      </c>
    </row>
    <row r="1876" spans="1:13" x14ac:dyDescent="0.35">
      <c r="A1876">
        <v>1099</v>
      </c>
      <c r="B1876" s="1">
        <v>45212</v>
      </c>
      <c r="C1876" t="s">
        <v>29</v>
      </c>
      <c r="D1876" t="s">
        <v>15</v>
      </c>
      <c r="E1876">
        <v>31838.55</v>
      </c>
      <c r="F1876">
        <v>14</v>
      </c>
      <c r="G1876" t="s">
        <v>24</v>
      </c>
      <c r="H1876">
        <v>1996.64</v>
      </c>
      <c r="I1876">
        <v>2341.4699999999998</v>
      </c>
      <c r="J1876" t="s">
        <v>17</v>
      </c>
      <c r="K1876">
        <v>0.03</v>
      </c>
      <c r="L1876" t="s">
        <v>28</v>
      </c>
      <c r="M1876" t="s">
        <v>19</v>
      </c>
    </row>
    <row r="1877" spans="1:13" x14ac:dyDescent="0.35">
      <c r="A1877">
        <v>1002</v>
      </c>
      <c r="B1877" s="1">
        <v>45213</v>
      </c>
      <c r="C1877" t="s">
        <v>22</v>
      </c>
      <c r="D1877" t="s">
        <v>23</v>
      </c>
      <c r="E1877">
        <v>41180.33</v>
      </c>
      <c r="F1877">
        <v>39</v>
      </c>
      <c r="G1877" t="s">
        <v>26</v>
      </c>
      <c r="H1877">
        <v>1004.71</v>
      </c>
      <c r="I1877">
        <v>1389.35</v>
      </c>
      <c r="J1877" t="s">
        <v>27</v>
      </c>
      <c r="K1877">
        <v>0.24</v>
      </c>
      <c r="L1877" t="s">
        <v>25</v>
      </c>
      <c r="M1877" t="s">
        <v>19</v>
      </c>
    </row>
    <row r="1878" spans="1:13" x14ac:dyDescent="0.35">
      <c r="A1878">
        <v>1076</v>
      </c>
      <c r="B1878" s="1">
        <v>45213</v>
      </c>
      <c r="C1878" t="s">
        <v>29</v>
      </c>
      <c r="D1878" t="s">
        <v>23</v>
      </c>
      <c r="E1878">
        <v>43947.9</v>
      </c>
      <c r="F1878">
        <v>23</v>
      </c>
      <c r="G1878" t="s">
        <v>24</v>
      </c>
      <c r="H1878">
        <v>1727.78</v>
      </c>
      <c r="I1878">
        <v>1984.34</v>
      </c>
      <c r="J1878" t="s">
        <v>17</v>
      </c>
      <c r="K1878">
        <v>0.04</v>
      </c>
      <c r="L1878" t="s">
        <v>25</v>
      </c>
      <c r="M1878" t="s">
        <v>19</v>
      </c>
    </row>
    <row r="1879" spans="1:13" x14ac:dyDescent="0.35">
      <c r="A1879">
        <v>1035</v>
      </c>
      <c r="B1879" s="1">
        <v>45214</v>
      </c>
      <c r="C1879" t="s">
        <v>22</v>
      </c>
      <c r="D1879" t="s">
        <v>15</v>
      </c>
      <c r="E1879">
        <v>630.78</v>
      </c>
      <c r="F1879">
        <v>1</v>
      </c>
      <c r="G1879" t="s">
        <v>16</v>
      </c>
      <c r="H1879">
        <v>610.83000000000004</v>
      </c>
      <c r="I1879">
        <v>808.69</v>
      </c>
      <c r="J1879" t="s">
        <v>27</v>
      </c>
      <c r="K1879">
        <v>0.22</v>
      </c>
      <c r="L1879" t="s">
        <v>28</v>
      </c>
      <c r="M1879" t="s">
        <v>19</v>
      </c>
    </row>
    <row r="1880" spans="1:13" x14ac:dyDescent="0.35">
      <c r="A1880">
        <v>1038</v>
      </c>
      <c r="B1880" s="1">
        <v>45214</v>
      </c>
      <c r="C1880" t="s">
        <v>22</v>
      </c>
      <c r="D1880" t="s">
        <v>20</v>
      </c>
      <c r="E1880">
        <v>85717.95</v>
      </c>
      <c r="F1880">
        <v>31</v>
      </c>
      <c r="G1880" t="s">
        <v>26</v>
      </c>
      <c r="H1880">
        <v>2709.84</v>
      </c>
      <c r="I1880">
        <v>2766.51</v>
      </c>
      <c r="J1880" t="s">
        <v>27</v>
      </c>
      <c r="K1880">
        <v>0</v>
      </c>
      <c r="L1880" t="s">
        <v>18</v>
      </c>
      <c r="M1880" t="s">
        <v>21</v>
      </c>
    </row>
    <row r="1881" spans="1:13" x14ac:dyDescent="0.35">
      <c r="A1881">
        <v>1048</v>
      </c>
      <c r="B1881" s="1">
        <v>45214</v>
      </c>
      <c r="C1881" t="s">
        <v>29</v>
      </c>
      <c r="D1881" t="s">
        <v>15</v>
      </c>
      <c r="E1881">
        <v>135175.57999999999</v>
      </c>
      <c r="F1881">
        <v>42</v>
      </c>
      <c r="G1881" t="s">
        <v>31</v>
      </c>
      <c r="H1881">
        <v>3139.99</v>
      </c>
      <c r="I1881">
        <v>3349.37</v>
      </c>
      <c r="J1881" t="s">
        <v>17</v>
      </c>
      <c r="K1881">
        <v>0.04</v>
      </c>
      <c r="L1881" t="s">
        <v>28</v>
      </c>
      <c r="M1881" t="s">
        <v>21</v>
      </c>
    </row>
    <row r="1882" spans="1:13" x14ac:dyDescent="0.35">
      <c r="A1882">
        <v>1099</v>
      </c>
      <c r="B1882" s="1">
        <v>45214</v>
      </c>
      <c r="C1882" t="s">
        <v>22</v>
      </c>
      <c r="D1882" t="s">
        <v>30</v>
      </c>
      <c r="E1882">
        <v>148580.68</v>
      </c>
      <c r="F1882">
        <v>39</v>
      </c>
      <c r="G1882" t="s">
        <v>31</v>
      </c>
      <c r="H1882">
        <v>3592.89</v>
      </c>
      <c r="I1882">
        <v>4004</v>
      </c>
      <c r="J1882" t="s">
        <v>27</v>
      </c>
      <c r="K1882">
        <v>0.05</v>
      </c>
      <c r="L1882" t="s">
        <v>18</v>
      </c>
      <c r="M1882" t="s">
        <v>19</v>
      </c>
    </row>
    <row r="1883" spans="1:13" x14ac:dyDescent="0.35">
      <c r="A1883">
        <v>1025</v>
      </c>
      <c r="B1883" s="1">
        <v>45214</v>
      </c>
      <c r="C1883" t="s">
        <v>22</v>
      </c>
      <c r="D1883" t="s">
        <v>15</v>
      </c>
      <c r="E1883">
        <v>74078.87</v>
      </c>
      <c r="F1883">
        <v>44</v>
      </c>
      <c r="G1883" t="s">
        <v>24</v>
      </c>
      <c r="H1883">
        <v>1485.72</v>
      </c>
      <c r="I1883">
        <v>1717.97</v>
      </c>
      <c r="J1883" t="s">
        <v>27</v>
      </c>
      <c r="K1883">
        <v>0.02</v>
      </c>
      <c r="L1883" t="s">
        <v>28</v>
      </c>
      <c r="M1883" t="s">
        <v>21</v>
      </c>
    </row>
    <row r="1884" spans="1:13" x14ac:dyDescent="0.35">
      <c r="A1884">
        <v>1069</v>
      </c>
      <c r="B1884" s="1">
        <v>45214</v>
      </c>
      <c r="C1884" t="s">
        <v>14</v>
      </c>
      <c r="D1884" t="s">
        <v>20</v>
      </c>
      <c r="E1884">
        <v>179395.82</v>
      </c>
      <c r="F1884">
        <v>46</v>
      </c>
      <c r="G1884" t="s">
        <v>24</v>
      </c>
      <c r="H1884">
        <v>3663.51</v>
      </c>
      <c r="I1884">
        <v>4007.98</v>
      </c>
      <c r="J1884" t="s">
        <v>27</v>
      </c>
      <c r="K1884">
        <v>0.03</v>
      </c>
      <c r="L1884" t="s">
        <v>18</v>
      </c>
      <c r="M1884" t="s">
        <v>19</v>
      </c>
    </row>
    <row r="1885" spans="1:13" x14ac:dyDescent="0.35">
      <c r="A1885">
        <v>1090</v>
      </c>
      <c r="B1885" s="1">
        <v>45214</v>
      </c>
      <c r="C1885" t="s">
        <v>29</v>
      </c>
      <c r="D1885" t="s">
        <v>23</v>
      </c>
      <c r="E1885">
        <v>249625.89</v>
      </c>
      <c r="F1885">
        <v>48</v>
      </c>
      <c r="G1885" t="s">
        <v>31</v>
      </c>
      <c r="H1885">
        <v>4766.53</v>
      </c>
      <c r="I1885">
        <v>5253.07</v>
      </c>
      <c r="J1885" t="s">
        <v>17</v>
      </c>
      <c r="K1885">
        <v>0.01</v>
      </c>
      <c r="L1885" t="s">
        <v>25</v>
      </c>
      <c r="M1885" t="s">
        <v>19</v>
      </c>
    </row>
    <row r="1886" spans="1:13" x14ac:dyDescent="0.35">
      <c r="A1886">
        <v>1063</v>
      </c>
      <c r="B1886" s="1">
        <v>45215</v>
      </c>
      <c r="C1886" t="s">
        <v>29</v>
      </c>
      <c r="D1886" t="s">
        <v>15</v>
      </c>
      <c r="E1886">
        <v>4758.2700000000004</v>
      </c>
      <c r="F1886">
        <v>4</v>
      </c>
      <c r="G1886" t="s">
        <v>26</v>
      </c>
      <c r="H1886">
        <v>1134.67</v>
      </c>
      <c r="I1886">
        <v>1201.3900000000001</v>
      </c>
      <c r="J1886" t="s">
        <v>27</v>
      </c>
      <c r="K1886">
        <v>0.01</v>
      </c>
      <c r="L1886" t="s">
        <v>25</v>
      </c>
      <c r="M1886" t="s">
        <v>21</v>
      </c>
    </row>
    <row r="1887" spans="1:13" x14ac:dyDescent="0.35">
      <c r="A1887">
        <v>1016</v>
      </c>
      <c r="B1887" s="1">
        <v>45215</v>
      </c>
      <c r="C1887" t="s">
        <v>32</v>
      </c>
      <c r="D1887" t="s">
        <v>20</v>
      </c>
      <c r="E1887">
        <v>35299.440000000002</v>
      </c>
      <c r="F1887">
        <v>11</v>
      </c>
      <c r="G1887" t="s">
        <v>31</v>
      </c>
      <c r="H1887">
        <v>3094.57</v>
      </c>
      <c r="I1887">
        <v>3565.6</v>
      </c>
      <c r="J1887" t="s">
        <v>17</v>
      </c>
      <c r="K1887">
        <v>0.1</v>
      </c>
      <c r="L1887" t="s">
        <v>28</v>
      </c>
      <c r="M1887" t="s">
        <v>21</v>
      </c>
    </row>
    <row r="1888" spans="1:13" x14ac:dyDescent="0.35">
      <c r="A1888">
        <v>1015</v>
      </c>
      <c r="B1888" s="1">
        <v>45215</v>
      </c>
      <c r="C1888" t="s">
        <v>29</v>
      </c>
      <c r="D1888" t="s">
        <v>15</v>
      </c>
      <c r="E1888">
        <v>68915.59</v>
      </c>
      <c r="F1888">
        <v>23</v>
      </c>
      <c r="G1888" t="s">
        <v>24</v>
      </c>
      <c r="H1888">
        <v>2937.94</v>
      </c>
      <c r="I1888">
        <v>3007.53</v>
      </c>
      <c r="J1888" t="s">
        <v>17</v>
      </c>
      <c r="K1888">
        <v>0</v>
      </c>
      <c r="L1888" t="s">
        <v>18</v>
      </c>
      <c r="M1888" t="s">
        <v>21</v>
      </c>
    </row>
    <row r="1889" spans="1:13" x14ac:dyDescent="0.35">
      <c r="A1889">
        <v>1061</v>
      </c>
      <c r="B1889" s="1">
        <v>45215</v>
      </c>
      <c r="C1889" t="s">
        <v>32</v>
      </c>
      <c r="D1889" t="s">
        <v>30</v>
      </c>
      <c r="E1889">
        <v>175653.47</v>
      </c>
      <c r="F1889">
        <v>37</v>
      </c>
      <c r="G1889" t="s">
        <v>16</v>
      </c>
      <c r="H1889">
        <v>4651.7700000000004</v>
      </c>
      <c r="I1889">
        <v>4984.3900000000003</v>
      </c>
      <c r="J1889" t="s">
        <v>17</v>
      </c>
      <c r="K1889">
        <v>0.05</v>
      </c>
      <c r="L1889" t="s">
        <v>18</v>
      </c>
      <c r="M1889" t="s">
        <v>21</v>
      </c>
    </row>
    <row r="1890" spans="1:13" x14ac:dyDescent="0.35">
      <c r="A1890">
        <v>1055</v>
      </c>
      <c r="B1890" s="1">
        <v>45215</v>
      </c>
      <c r="C1890" t="s">
        <v>22</v>
      </c>
      <c r="D1890" t="s">
        <v>30</v>
      </c>
      <c r="E1890">
        <v>195694.63</v>
      </c>
      <c r="F1890">
        <v>46</v>
      </c>
      <c r="G1890" t="s">
        <v>26</v>
      </c>
      <c r="H1890">
        <v>4173.5200000000004</v>
      </c>
      <c r="I1890">
        <v>4294.8500000000004</v>
      </c>
      <c r="J1890" t="s">
        <v>17</v>
      </c>
      <c r="K1890">
        <v>0.01</v>
      </c>
      <c r="L1890" t="s">
        <v>25</v>
      </c>
      <c r="M1890" t="s">
        <v>21</v>
      </c>
    </row>
    <row r="1891" spans="1:13" x14ac:dyDescent="0.35">
      <c r="A1891">
        <v>1053</v>
      </c>
      <c r="B1891" s="1">
        <v>45215</v>
      </c>
      <c r="C1891" t="s">
        <v>14</v>
      </c>
      <c r="D1891" t="s">
        <v>15</v>
      </c>
      <c r="E1891">
        <v>19193.900000000001</v>
      </c>
      <c r="F1891">
        <v>48</v>
      </c>
      <c r="G1891" t="s">
        <v>16</v>
      </c>
      <c r="H1891">
        <v>121.19</v>
      </c>
      <c r="I1891">
        <v>487.65</v>
      </c>
      <c r="J1891" t="s">
        <v>27</v>
      </c>
      <c r="K1891">
        <v>0.18</v>
      </c>
      <c r="L1891" t="s">
        <v>18</v>
      </c>
      <c r="M1891" t="s">
        <v>21</v>
      </c>
    </row>
    <row r="1892" spans="1:13" x14ac:dyDescent="0.35">
      <c r="A1892">
        <v>1051</v>
      </c>
      <c r="B1892" s="1">
        <v>45215</v>
      </c>
      <c r="C1892" t="s">
        <v>33</v>
      </c>
      <c r="D1892" t="s">
        <v>20</v>
      </c>
      <c r="E1892">
        <v>28665.52</v>
      </c>
      <c r="F1892">
        <v>43</v>
      </c>
      <c r="G1892" t="s">
        <v>26</v>
      </c>
      <c r="H1892">
        <v>287.99</v>
      </c>
      <c r="I1892">
        <v>666.64</v>
      </c>
      <c r="J1892" t="s">
        <v>17</v>
      </c>
      <c r="K1892">
        <v>0</v>
      </c>
      <c r="L1892" t="s">
        <v>25</v>
      </c>
      <c r="M1892" t="s">
        <v>19</v>
      </c>
    </row>
    <row r="1893" spans="1:13" x14ac:dyDescent="0.35">
      <c r="A1893">
        <v>1088</v>
      </c>
      <c r="B1893" s="1">
        <v>45217</v>
      </c>
      <c r="C1893" t="s">
        <v>32</v>
      </c>
      <c r="D1893" t="s">
        <v>20</v>
      </c>
      <c r="E1893">
        <v>48439.37</v>
      </c>
      <c r="F1893">
        <v>16</v>
      </c>
      <c r="G1893" t="s">
        <v>16</v>
      </c>
      <c r="H1893">
        <v>3016.9</v>
      </c>
      <c r="I1893">
        <v>3040.73</v>
      </c>
      <c r="J1893" t="s">
        <v>27</v>
      </c>
      <c r="K1893">
        <v>0</v>
      </c>
      <c r="L1893" t="s">
        <v>25</v>
      </c>
      <c r="M1893" t="s">
        <v>21</v>
      </c>
    </row>
    <row r="1894" spans="1:13" x14ac:dyDescent="0.35">
      <c r="A1894">
        <v>1098</v>
      </c>
      <c r="B1894" s="1">
        <v>45217</v>
      </c>
      <c r="C1894" t="s">
        <v>32</v>
      </c>
      <c r="D1894" t="s">
        <v>20</v>
      </c>
      <c r="E1894">
        <v>17351.939999999999</v>
      </c>
      <c r="F1894">
        <v>21</v>
      </c>
      <c r="G1894" t="s">
        <v>16</v>
      </c>
      <c r="H1894">
        <v>725.03</v>
      </c>
      <c r="I1894">
        <v>828.95</v>
      </c>
      <c r="J1894" t="s">
        <v>27</v>
      </c>
      <c r="K1894">
        <v>0</v>
      </c>
      <c r="L1894" t="s">
        <v>25</v>
      </c>
      <c r="M1894" t="s">
        <v>19</v>
      </c>
    </row>
    <row r="1895" spans="1:13" x14ac:dyDescent="0.35">
      <c r="A1895">
        <v>1089</v>
      </c>
      <c r="B1895" s="1">
        <v>45217</v>
      </c>
      <c r="C1895" t="s">
        <v>22</v>
      </c>
      <c r="D1895" t="s">
        <v>15</v>
      </c>
      <c r="E1895">
        <v>63057.75</v>
      </c>
      <c r="F1895">
        <v>15</v>
      </c>
      <c r="G1895" t="s">
        <v>24</v>
      </c>
      <c r="H1895">
        <v>3841.05</v>
      </c>
      <c r="I1895">
        <v>4323.62</v>
      </c>
      <c r="J1895" t="s">
        <v>17</v>
      </c>
      <c r="K1895">
        <v>0.03</v>
      </c>
      <c r="L1895" t="s">
        <v>28</v>
      </c>
      <c r="M1895" t="s">
        <v>21</v>
      </c>
    </row>
    <row r="1896" spans="1:13" x14ac:dyDescent="0.35">
      <c r="A1896">
        <v>1059</v>
      </c>
      <c r="B1896" s="1">
        <v>45217</v>
      </c>
      <c r="C1896" t="s">
        <v>33</v>
      </c>
      <c r="D1896" t="s">
        <v>15</v>
      </c>
      <c r="E1896">
        <v>19821.46</v>
      </c>
      <c r="F1896">
        <v>28</v>
      </c>
      <c r="G1896" t="s">
        <v>31</v>
      </c>
      <c r="H1896">
        <v>224.32</v>
      </c>
      <c r="I1896">
        <v>715.06</v>
      </c>
      <c r="J1896" t="s">
        <v>17</v>
      </c>
      <c r="K1896">
        <v>0.01</v>
      </c>
      <c r="L1896" t="s">
        <v>28</v>
      </c>
      <c r="M1896" t="s">
        <v>19</v>
      </c>
    </row>
    <row r="1897" spans="1:13" x14ac:dyDescent="0.35">
      <c r="A1897">
        <v>1049</v>
      </c>
      <c r="B1897" s="1">
        <v>45218</v>
      </c>
      <c r="C1897" t="s">
        <v>32</v>
      </c>
      <c r="D1897" t="s">
        <v>23</v>
      </c>
      <c r="E1897">
        <v>141352.95999999999</v>
      </c>
      <c r="F1897">
        <v>30</v>
      </c>
      <c r="G1897" t="s">
        <v>26</v>
      </c>
      <c r="H1897">
        <v>4697.4399999999996</v>
      </c>
      <c r="I1897">
        <v>4752.24</v>
      </c>
      <c r="J1897" t="s">
        <v>27</v>
      </c>
      <c r="K1897">
        <v>0.01</v>
      </c>
      <c r="L1897" t="s">
        <v>28</v>
      </c>
      <c r="M1897" t="s">
        <v>19</v>
      </c>
    </row>
    <row r="1898" spans="1:13" x14ac:dyDescent="0.35">
      <c r="A1898">
        <v>1089</v>
      </c>
      <c r="B1898" s="1">
        <v>45218</v>
      </c>
      <c r="C1898" t="s">
        <v>32</v>
      </c>
      <c r="D1898" t="s">
        <v>20</v>
      </c>
      <c r="E1898">
        <v>59571.9</v>
      </c>
      <c r="F1898">
        <v>23</v>
      </c>
      <c r="G1898" t="s">
        <v>24</v>
      </c>
      <c r="H1898">
        <v>2120.54</v>
      </c>
      <c r="I1898">
        <v>2597.67</v>
      </c>
      <c r="J1898" t="s">
        <v>17</v>
      </c>
      <c r="K1898">
        <v>0</v>
      </c>
      <c r="L1898" t="s">
        <v>28</v>
      </c>
      <c r="M1898" t="s">
        <v>21</v>
      </c>
    </row>
    <row r="1899" spans="1:13" x14ac:dyDescent="0.35">
      <c r="A1899">
        <v>1096</v>
      </c>
      <c r="B1899" s="1">
        <v>45219</v>
      </c>
      <c r="C1899" t="s">
        <v>22</v>
      </c>
      <c r="D1899" t="s">
        <v>23</v>
      </c>
      <c r="E1899">
        <v>29807.45</v>
      </c>
      <c r="F1899">
        <v>10</v>
      </c>
      <c r="G1899" t="s">
        <v>26</v>
      </c>
      <c r="H1899">
        <v>2927.02</v>
      </c>
      <c r="I1899">
        <v>3387.21</v>
      </c>
      <c r="J1899" t="s">
        <v>17</v>
      </c>
      <c r="K1899">
        <v>0.12</v>
      </c>
      <c r="L1899" t="s">
        <v>18</v>
      </c>
      <c r="M1899" t="s">
        <v>21</v>
      </c>
    </row>
    <row r="1900" spans="1:13" x14ac:dyDescent="0.35">
      <c r="A1900">
        <v>1099</v>
      </c>
      <c r="B1900" s="1">
        <v>45219</v>
      </c>
      <c r="C1900" t="s">
        <v>22</v>
      </c>
      <c r="D1900" t="s">
        <v>23</v>
      </c>
      <c r="E1900">
        <v>2924.08</v>
      </c>
      <c r="F1900">
        <v>23</v>
      </c>
      <c r="G1900" t="s">
        <v>26</v>
      </c>
      <c r="H1900">
        <v>93.45</v>
      </c>
      <c r="I1900">
        <v>181.62</v>
      </c>
      <c r="J1900" t="s">
        <v>17</v>
      </c>
      <c r="K1900">
        <v>0.3</v>
      </c>
      <c r="L1900" t="s">
        <v>25</v>
      </c>
      <c r="M1900" t="s">
        <v>21</v>
      </c>
    </row>
    <row r="1901" spans="1:13" x14ac:dyDescent="0.35">
      <c r="A1901">
        <v>1013</v>
      </c>
      <c r="B1901" s="1">
        <v>45219</v>
      </c>
      <c r="C1901" t="s">
        <v>22</v>
      </c>
      <c r="D1901" t="s">
        <v>30</v>
      </c>
      <c r="E1901">
        <v>76739.929999999993</v>
      </c>
      <c r="F1901">
        <v>46</v>
      </c>
      <c r="G1901" t="s">
        <v>31</v>
      </c>
      <c r="H1901">
        <v>1648.8</v>
      </c>
      <c r="I1901">
        <v>1670.36</v>
      </c>
      <c r="J1901" t="s">
        <v>17</v>
      </c>
      <c r="K1901">
        <v>0</v>
      </c>
      <c r="L1901" t="s">
        <v>28</v>
      </c>
      <c r="M1901" t="s">
        <v>21</v>
      </c>
    </row>
    <row r="1902" spans="1:13" x14ac:dyDescent="0.35">
      <c r="A1902">
        <v>1048</v>
      </c>
      <c r="B1902" s="1">
        <v>45219</v>
      </c>
      <c r="C1902" t="s">
        <v>33</v>
      </c>
      <c r="D1902" t="s">
        <v>23</v>
      </c>
      <c r="E1902">
        <v>23637.17</v>
      </c>
      <c r="F1902">
        <v>6</v>
      </c>
      <c r="G1902" t="s">
        <v>31</v>
      </c>
      <c r="H1902">
        <v>3717.3</v>
      </c>
      <c r="I1902">
        <v>4061.37</v>
      </c>
      <c r="J1902" t="s">
        <v>27</v>
      </c>
      <c r="K1902">
        <v>0.03</v>
      </c>
      <c r="L1902" t="s">
        <v>25</v>
      </c>
      <c r="M1902" t="s">
        <v>21</v>
      </c>
    </row>
    <row r="1903" spans="1:13" x14ac:dyDescent="0.35">
      <c r="A1903">
        <v>1002</v>
      </c>
      <c r="B1903" s="1">
        <v>45219</v>
      </c>
      <c r="C1903" t="s">
        <v>22</v>
      </c>
      <c r="D1903" t="s">
        <v>15</v>
      </c>
      <c r="E1903">
        <v>140971.18</v>
      </c>
      <c r="F1903">
        <v>30</v>
      </c>
      <c r="G1903" t="s">
        <v>26</v>
      </c>
      <c r="H1903">
        <v>4646.55</v>
      </c>
      <c r="I1903">
        <v>4784.28</v>
      </c>
      <c r="J1903" t="s">
        <v>17</v>
      </c>
      <c r="K1903">
        <v>0.02</v>
      </c>
      <c r="L1903" t="s">
        <v>28</v>
      </c>
      <c r="M1903" t="s">
        <v>21</v>
      </c>
    </row>
    <row r="1904" spans="1:13" x14ac:dyDescent="0.35">
      <c r="A1904">
        <v>1043</v>
      </c>
      <c r="B1904" s="1">
        <v>45219</v>
      </c>
      <c r="C1904" t="s">
        <v>29</v>
      </c>
      <c r="D1904" t="s">
        <v>23</v>
      </c>
      <c r="E1904">
        <v>13865.18</v>
      </c>
      <c r="F1904">
        <v>22</v>
      </c>
      <c r="G1904" t="s">
        <v>24</v>
      </c>
      <c r="H1904">
        <v>530.04</v>
      </c>
      <c r="I1904">
        <v>759.32</v>
      </c>
      <c r="J1904" t="s">
        <v>17</v>
      </c>
      <c r="K1904">
        <v>0.17</v>
      </c>
      <c r="L1904" t="s">
        <v>25</v>
      </c>
      <c r="M1904" t="s">
        <v>21</v>
      </c>
    </row>
    <row r="1905" spans="1:13" x14ac:dyDescent="0.35">
      <c r="A1905">
        <v>1036</v>
      </c>
      <c r="B1905" s="1">
        <v>45219</v>
      </c>
      <c r="C1905" t="s">
        <v>22</v>
      </c>
      <c r="D1905" t="s">
        <v>15</v>
      </c>
      <c r="E1905">
        <v>69678.740000000005</v>
      </c>
      <c r="F1905">
        <v>49</v>
      </c>
      <c r="G1905" t="s">
        <v>26</v>
      </c>
      <c r="H1905">
        <v>1247.0999999999999</v>
      </c>
      <c r="I1905">
        <v>1429.44</v>
      </c>
      <c r="J1905" t="s">
        <v>27</v>
      </c>
      <c r="K1905">
        <v>0.01</v>
      </c>
      <c r="L1905" t="s">
        <v>18</v>
      </c>
      <c r="M1905" t="s">
        <v>19</v>
      </c>
    </row>
    <row r="1906" spans="1:13" x14ac:dyDescent="0.35">
      <c r="A1906">
        <v>1086</v>
      </c>
      <c r="B1906" s="1">
        <v>45219</v>
      </c>
      <c r="C1906" t="s">
        <v>22</v>
      </c>
      <c r="D1906" t="s">
        <v>23</v>
      </c>
      <c r="E1906">
        <v>13239.81</v>
      </c>
      <c r="F1906">
        <v>32</v>
      </c>
      <c r="G1906" t="s">
        <v>16</v>
      </c>
      <c r="H1906">
        <v>84.86</v>
      </c>
      <c r="I1906">
        <v>517.17999999999995</v>
      </c>
      <c r="J1906" t="s">
        <v>17</v>
      </c>
      <c r="K1906">
        <v>0.2</v>
      </c>
      <c r="L1906" t="s">
        <v>28</v>
      </c>
      <c r="M1906" t="s">
        <v>21</v>
      </c>
    </row>
    <row r="1907" spans="1:13" x14ac:dyDescent="0.35">
      <c r="A1907">
        <v>1013</v>
      </c>
      <c r="B1907" s="1">
        <v>45220</v>
      </c>
      <c r="C1907" t="s">
        <v>22</v>
      </c>
      <c r="D1907" t="s">
        <v>30</v>
      </c>
      <c r="E1907">
        <v>32227.599999999999</v>
      </c>
      <c r="F1907">
        <v>20</v>
      </c>
      <c r="G1907" t="s">
        <v>31</v>
      </c>
      <c r="H1907">
        <v>1533.36</v>
      </c>
      <c r="I1907">
        <v>1649.74</v>
      </c>
      <c r="J1907" t="s">
        <v>17</v>
      </c>
      <c r="K1907">
        <v>0.02</v>
      </c>
      <c r="L1907" t="s">
        <v>25</v>
      </c>
      <c r="M1907" t="s">
        <v>19</v>
      </c>
    </row>
    <row r="1908" spans="1:13" x14ac:dyDescent="0.35">
      <c r="A1908">
        <v>1073</v>
      </c>
      <c r="B1908" s="1">
        <v>45220</v>
      </c>
      <c r="C1908" t="s">
        <v>33</v>
      </c>
      <c r="D1908" t="s">
        <v>20</v>
      </c>
      <c r="E1908">
        <v>122483.97</v>
      </c>
      <c r="F1908">
        <v>45</v>
      </c>
      <c r="G1908" t="s">
        <v>16</v>
      </c>
      <c r="H1908">
        <v>2558.09</v>
      </c>
      <c r="I1908">
        <v>2958.55</v>
      </c>
      <c r="J1908" t="s">
        <v>27</v>
      </c>
      <c r="K1908">
        <v>0.08</v>
      </c>
      <c r="L1908" t="s">
        <v>18</v>
      </c>
      <c r="M1908" t="s">
        <v>19</v>
      </c>
    </row>
    <row r="1909" spans="1:13" x14ac:dyDescent="0.35">
      <c r="A1909">
        <v>1012</v>
      </c>
      <c r="B1909" s="1">
        <v>45221</v>
      </c>
      <c r="C1909" t="s">
        <v>22</v>
      </c>
      <c r="D1909" t="s">
        <v>15</v>
      </c>
      <c r="E1909">
        <v>84682.6</v>
      </c>
      <c r="F1909">
        <v>34</v>
      </c>
      <c r="G1909" t="s">
        <v>16</v>
      </c>
      <c r="H1909">
        <v>2462.5500000000002</v>
      </c>
      <c r="I1909">
        <v>2521.77</v>
      </c>
      <c r="J1909" t="s">
        <v>27</v>
      </c>
      <c r="K1909">
        <v>0.01</v>
      </c>
      <c r="L1909" t="s">
        <v>25</v>
      </c>
      <c r="M1909" t="s">
        <v>21</v>
      </c>
    </row>
    <row r="1910" spans="1:13" x14ac:dyDescent="0.35">
      <c r="A1910">
        <v>1099</v>
      </c>
      <c r="B1910" s="1">
        <v>45221</v>
      </c>
      <c r="C1910" t="s">
        <v>14</v>
      </c>
      <c r="D1910" t="s">
        <v>20</v>
      </c>
      <c r="E1910">
        <v>41929.75</v>
      </c>
      <c r="F1910">
        <v>43</v>
      </c>
      <c r="G1910" t="s">
        <v>26</v>
      </c>
      <c r="H1910">
        <v>906.47</v>
      </c>
      <c r="I1910">
        <v>1283.04</v>
      </c>
      <c r="J1910" t="s">
        <v>27</v>
      </c>
      <c r="K1910">
        <v>0.24</v>
      </c>
      <c r="L1910" t="s">
        <v>18</v>
      </c>
      <c r="M1910" t="s">
        <v>19</v>
      </c>
    </row>
    <row r="1911" spans="1:13" x14ac:dyDescent="0.35">
      <c r="A1911">
        <v>1060</v>
      </c>
      <c r="B1911" s="1">
        <v>45221</v>
      </c>
      <c r="C1911" t="s">
        <v>14</v>
      </c>
      <c r="D1911" t="s">
        <v>15</v>
      </c>
      <c r="E1911">
        <v>43949.88</v>
      </c>
      <c r="F1911">
        <v>11</v>
      </c>
      <c r="G1911" t="s">
        <v>16</v>
      </c>
      <c r="H1911">
        <v>3648.04</v>
      </c>
      <c r="I1911">
        <v>4143.51</v>
      </c>
      <c r="J1911" t="s">
        <v>17</v>
      </c>
      <c r="K1911">
        <v>0.04</v>
      </c>
      <c r="L1911" t="s">
        <v>28</v>
      </c>
      <c r="M1911" t="s">
        <v>21</v>
      </c>
    </row>
    <row r="1912" spans="1:13" x14ac:dyDescent="0.35">
      <c r="A1912">
        <v>1057</v>
      </c>
      <c r="B1912" s="1">
        <v>45221</v>
      </c>
      <c r="C1912" t="s">
        <v>32</v>
      </c>
      <c r="D1912" t="s">
        <v>23</v>
      </c>
      <c r="E1912">
        <v>145703</v>
      </c>
      <c r="F1912">
        <v>40</v>
      </c>
      <c r="G1912" t="s">
        <v>26</v>
      </c>
      <c r="H1912">
        <v>3233.37</v>
      </c>
      <c r="I1912">
        <v>3723.21</v>
      </c>
      <c r="J1912" t="s">
        <v>27</v>
      </c>
      <c r="K1912">
        <v>0.02</v>
      </c>
      <c r="L1912" t="s">
        <v>25</v>
      </c>
      <c r="M1912" t="s">
        <v>21</v>
      </c>
    </row>
    <row r="1913" spans="1:13" x14ac:dyDescent="0.35">
      <c r="A1913">
        <v>1073</v>
      </c>
      <c r="B1913" s="1">
        <v>45222</v>
      </c>
      <c r="C1913" t="s">
        <v>29</v>
      </c>
      <c r="D1913" t="s">
        <v>23</v>
      </c>
      <c r="E1913">
        <v>196768.19</v>
      </c>
      <c r="F1913">
        <v>45</v>
      </c>
      <c r="G1913" t="s">
        <v>26</v>
      </c>
      <c r="H1913">
        <v>4369.5</v>
      </c>
      <c r="I1913">
        <v>4381.8900000000003</v>
      </c>
      <c r="J1913" t="s">
        <v>17</v>
      </c>
      <c r="K1913">
        <v>0</v>
      </c>
      <c r="L1913" t="s">
        <v>28</v>
      </c>
      <c r="M1913" t="s">
        <v>21</v>
      </c>
    </row>
    <row r="1914" spans="1:13" x14ac:dyDescent="0.35">
      <c r="A1914">
        <v>1054</v>
      </c>
      <c r="B1914" s="1">
        <v>45222</v>
      </c>
      <c r="C1914" t="s">
        <v>22</v>
      </c>
      <c r="D1914" t="s">
        <v>30</v>
      </c>
      <c r="E1914">
        <v>33144.32</v>
      </c>
      <c r="F1914">
        <v>8</v>
      </c>
      <c r="G1914" t="s">
        <v>24</v>
      </c>
      <c r="H1914">
        <v>4117.13</v>
      </c>
      <c r="I1914">
        <v>4177.0600000000004</v>
      </c>
      <c r="J1914" t="s">
        <v>17</v>
      </c>
      <c r="K1914">
        <v>0.01</v>
      </c>
      <c r="L1914" t="s">
        <v>25</v>
      </c>
      <c r="M1914" t="s">
        <v>21</v>
      </c>
    </row>
    <row r="1915" spans="1:13" x14ac:dyDescent="0.35">
      <c r="A1915">
        <v>1023</v>
      </c>
      <c r="B1915" s="1">
        <v>45222</v>
      </c>
      <c r="C1915" t="s">
        <v>22</v>
      </c>
      <c r="D1915" t="s">
        <v>23</v>
      </c>
      <c r="E1915">
        <v>14602.85</v>
      </c>
      <c r="F1915">
        <v>42</v>
      </c>
      <c r="G1915" t="s">
        <v>24</v>
      </c>
      <c r="H1915">
        <v>309.77999999999997</v>
      </c>
      <c r="I1915">
        <v>350.38</v>
      </c>
      <c r="J1915" t="s">
        <v>17</v>
      </c>
      <c r="K1915">
        <v>0.01</v>
      </c>
      <c r="L1915" t="s">
        <v>28</v>
      </c>
      <c r="M1915" t="s">
        <v>21</v>
      </c>
    </row>
    <row r="1916" spans="1:13" x14ac:dyDescent="0.35">
      <c r="A1916">
        <v>1054</v>
      </c>
      <c r="B1916" s="1">
        <v>45222</v>
      </c>
      <c r="C1916" t="s">
        <v>22</v>
      </c>
      <c r="D1916" t="s">
        <v>23</v>
      </c>
      <c r="E1916">
        <v>210206.6</v>
      </c>
      <c r="F1916">
        <v>48</v>
      </c>
      <c r="G1916" t="s">
        <v>31</v>
      </c>
      <c r="H1916">
        <v>4325.0200000000004</v>
      </c>
      <c r="I1916">
        <v>4391.67</v>
      </c>
      <c r="J1916" t="s">
        <v>17</v>
      </c>
      <c r="K1916">
        <v>0</v>
      </c>
      <c r="L1916" t="s">
        <v>28</v>
      </c>
      <c r="M1916" t="s">
        <v>21</v>
      </c>
    </row>
    <row r="1917" spans="1:13" x14ac:dyDescent="0.35">
      <c r="A1917">
        <v>1060</v>
      </c>
      <c r="B1917" s="1">
        <v>45222</v>
      </c>
      <c r="C1917" t="s">
        <v>14</v>
      </c>
      <c r="D1917" t="s">
        <v>20</v>
      </c>
      <c r="E1917">
        <v>84087.22</v>
      </c>
      <c r="F1917">
        <v>46</v>
      </c>
      <c r="G1917" t="s">
        <v>26</v>
      </c>
      <c r="H1917">
        <v>1747.05</v>
      </c>
      <c r="I1917">
        <v>1830.27</v>
      </c>
      <c r="J1917" t="s">
        <v>27</v>
      </c>
      <c r="K1917">
        <v>0</v>
      </c>
      <c r="L1917" t="s">
        <v>25</v>
      </c>
      <c r="M1917" t="s">
        <v>21</v>
      </c>
    </row>
    <row r="1918" spans="1:13" x14ac:dyDescent="0.35">
      <c r="A1918">
        <v>1087</v>
      </c>
      <c r="B1918" s="1">
        <v>45223</v>
      </c>
      <c r="C1918" t="s">
        <v>14</v>
      </c>
      <c r="D1918" t="s">
        <v>30</v>
      </c>
      <c r="E1918">
        <v>15652.63</v>
      </c>
      <c r="F1918">
        <v>28</v>
      </c>
      <c r="G1918" t="s">
        <v>26</v>
      </c>
      <c r="H1918">
        <v>551.83000000000004</v>
      </c>
      <c r="I1918">
        <v>569.63</v>
      </c>
      <c r="J1918" t="s">
        <v>27</v>
      </c>
      <c r="K1918">
        <v>0.02</v>
      </c>
      <c r="L1918" t="s">
        <v>28</v>
      </c>
      <c r="M1918" t="s">
        <v>21</v>
      </c>
    </row>
    <row r="1919" spans="1:13" x14ac:dyDescent="0.35">
      <c r="A1919">
        <v>1026</v>
      </c>
      <c r="B1919" s="1">
        <v>45223</v>
      </c>
      <c r="C1919" t="s">
        <v>22</v>
      </c>
      <c r="D1919" t="s">
        <v>30</v>
      </c>
      <c r="E1919">
        <v>83973.58</v>
      </c>
      <c r="F1919">
        <v>45</v>
      </c>
      <c r="G1919" t="s">
        <v>24</v>
      </c>
      <c r="H1919">
        <v>1741.66</v>
      </c>
      <c r="I1919">
        <v>2169.86</v>
      </c>
      <c r="J1919" t="s">
        <v>17</v>
      </c>
      <c r="K1919">
        <v>0.14000000000000001</v>
      </c>
      <c r="L1919" t="s">
        <v>28</v>
      </c>
      <c r="M1919" t="s">
        <v>19</v>
      </c>
    </row>
    <row r="1920" spans="1:13" x14ac:dyDescent="0.35">
      <c r="A1920">
        <v>1097</v>
      </c>
      <c r="B1920" s="1">
        <v>45225</v>
      </c>
      <c r="C1920" t="s">
        <v>33</v>
      </c>
      <c r="D1920" t="s">
        <v>30</v>
      </c>
      <c r="E1920">
        <v>129442.98</v>
      </c>
      <c r="F1920">
        <v>27</v>
      </c>
      <c r="G1920" t="s">
        <v>31</v>
      </c>
      <c r="H1920">
        <v>4686.79</v>
      </c>
      <c r="I1920">
        <v>5046.51</v>
      </c>
      <c r="J1920" t="s">
        <v>17</v>
      </c>
      <c r="K1920">
        <v>0.05</v>
      </c>
      <c r="L1920" t="s">
        <v>28</v>
      </c>
      <c r="M1920" t="s">
        <v>21</v>
      </c>
    </row>
    <row r="1921" spans="1:13" x14ac:dyDescent="0.35">
      <c r="A1921">
        <v>1087</v>
      </c>
      <c r="B1921" s="1">
        <v>45226</v>
      </c>
      <c r="C1921" t="s">
        <v>32</v>
      </c>
      <c r="D1921" t="s">
        <v>15</v>
      </c>
      <c r="E1921">
        <v>90669.27</v>
      </c>
      <c r="F1921">
        <v>27</v>
      </c>
      <c r="G1921" t="s">
        <v>24</v>
      </c>
      <c r="H1921">
        <v>3139.36</v>
      </c>
      <c r="I1921">
        <v>3423.66</v>
      </c>
      <c r="J1921" t="s">
        <v>27</v>
      </c>
      <c r="K1921">
        <v>0.02</v>
      </c>
      <c r="L1921" t="s">
        <v>28</v>
      </c>
      <c r="M1921" t="s">
        <v>19</v>
      </c>
    </row>
    <row r="1922" spans="1:13" x14ac:dyDescent="0.35">
      <c r="A1922">
        <v>1089</v>
      </c>
      <c r="B1922" s="1">
        <v>45226</v>
      </c>
      <c r="C1922" t="s">
        <v>22</v>
      </c>
      <c r="D1922" t="s">
        <v>15</v>
      </c>
      <c r="E1922">
        <v>173900.51</v>
      </c>
      <c r="F1922">
        <v>43</v>
      </c>
      <c r="G1922" t="s">
        <v>16</v>
      </c>
      <c r="H1922">
        <v>3851.45</v>
      </c>
      <c r="I1922">
        <v>4186.9799999999996</v>
      </c>
      <c r="J1922" t="s">
        <v>17</v>
      </c>
      <c r="K1922">
        <v>0.03</v>
      </c>
      <c r="L1922" t="s">
        <v>28</v>
      </c>
      <c r="M1922" t="s">
        <v>19</v>
      </c>
    </row>
    <row r="1923" spans="1:13" x14ac:dyDescent="0.35">
      <c r="A1923">
        <v>1033</v>
      </c>
      <c r="B1923" s="1">
        <v>45227</v>
      </c>
      <c r="C1923" t="s">
        <v>22</v>
      </c>
      <c r="D1923" t="s">
        <v>15</v>
      </c>
      <c r="E1923">
        <v>205620.74</v>
      </c>
      <c r="F1923">
        <v>43</v>
      </c>
      <c r="G1923" t="s">
        <v>26</v>
      </c>
      <c r="H1923">
        <v>4781.42</v>
      </c>
      <c r="I1923">
        <v>4864.34</v>
      </c>
      <c r="J1923" t="s">
        <v>17</v>
      </c>
      <c r="K1923">
        <v>0.02</v>
      </c>
      <c r="L1923" t="s">
        <v>25</v>
      </c>
      <c r="M1923" t="s">
        <v>19</v>
      </c>
    </row>
    <row r="1924" spans="1:13" x14ac:dyDescent="0.35">
      <c r="A1924">
        <v>1079</v>
      </c>
      <c r="B1924" s="1">
        <v>45227</v>
      </c>
      <c r="C1924" t="s">
        <v>14</v>
      </c>
      <c r="D1924" t="s">
        <v>20</v>
      </c>
      <c r="E1924">
        <v>46476.93</v>
      </c>
      <c r="F1924">
        <v>38</v>
      </c>
      <c r="G1924" t="s">
        <v>16</v>
      </c>
      <c r="H1924">
        <v>1127.76</v>
      </c>
      <c r="I1924">
        <v>1265.6600000000001</v>
      </c>
      <c r="J1924" t="s">
        <v>17</v>
      </c>
      <c r="K1924">
        <v>0.03</v>
      </c>
      <c r="L1924" t="s">
        <v>25</v>
      </c>
      <c r="M1924" t="s">
        <v>21</v>
      </c>
    </row>
    <row r="1925" spans="1:13" x14ac:dyDescent="0.35">
      <c r="A1925">
        <v>1081</v>
      </c>
      <c r="B1925" s="1">
        <v>45227</v>
      </c>
      <c r="C1925" t="s">
        <v>29</v>
      </c>
      <c r="D1925" t="s">
        <v>15</v>
      </c>
      <c r="E1925">
        <v>38353.06</v>
      </c>
      <c r="F1925">
        <v>23</v>
      </c>
      <c r="G1925" t="s">
        <v>24</v>
      </c>
      <c r="H1925">
        <v>1411.37</v>
      </c>
      <c r="I1925">
        <v>1675.35</v>
      </c>
      <c r="J1925" t="s">
        <v>27</v>
      </c>
      <c r="K1925">
        <v>0</v>
      </c>
      <c r="L1925" t="s">
        <v>18</v>
      </c>
      <c r="M1925" t="s">
        <v>21</v>
      </c>
    </row>
    <row r="1926" spans="1:13" x14ac:dyDescent="0.35">
      <c r="A1926">
        <v>1091</v>
      </c>
      <c r="B1926" s="1">
        <v>45227</v>
      </c>
      <c r="C1926" t="s">
        <v>14</v>
      </c>
      <c r="D1926" t="s">
        <v>20</v>
      </c>
      <c r="E1926">
        <v>95541.32</v>
      </c>
      <c r="F1926">
        <v>39</v>
      </c>
      <c r="G1926" t="s">
        <v>16</v>
      </c>
      <c r="H1926">
        <v>2184.4899999999998</v>
      </c>
      <c r="I1926">
        <v>2540.42</v>
      </c>
      <c r="J1926" t="s">
        <v>17</v>
      </c>
      <c r="K1926">
        <v>0.04</v>
      </c>
      <c r="L1926" t="s">
        <v>25</v>
      </c>
      <c r="M1926" t="s">
        <v>19</v>
      </c>
    </row>
    <row r="1927" spans="1:13" x14ac:dyDescent="0.35">
      <c r="A1927">
        <v>1017</v>
      </c>
      <c r="B1927" s="1">
        <v>45228</v>
      </c>
      <c r="C1927" t="s">
        <v>32</v>
      </c>
      <c r="D1927" t="s">
        <v>30</v>
      </c>
      <c r="E1927">
        <v>740.43</v>
      </c>
      <c r="F1927">
        <v>1</v>
      </c>
      <c r="G1927" t="s">
        <v>16</v>
      </c>
      <c r="H1927">
        <v>641.67999999999995</v>
      </c>
      <c r="I1927">
        <v>752.24</v>
      </c>
      <c r="J1927" t="s">
        <v>27</v>
      </c>
      <c r="K1927">
        <v>0.02</v>
      </c>
      <c r="L1927" t="s">
        <v>25</v>
      </c>
      <c r="M1927" t="s">
        <v>19</v>
      </c>
    </row>
    <row r="1928" spans="1:13" x14ac:dyDescent="0.35">
      <c r="A1928">
        <v>1054</v>
      </c>
      <c r="B1928" s="1">
        <v>45228</v>
      </c>
      <c r="C1928" t="s">
        <v>22</v>
      </c>
      <c r="D1928" t="s">
        <v>20</v>
      </c>
      <c r="E1928">
        <v>29407.43</v>
      </c>
      <c r="F1928">
        <v>8</v>
      </c>
      <c r="G1928" t="s">
        <v>26</v>
      </c>
      <c r="H1928">
        <v>3610.21</v>
      </c>
      <c r="I1928">
        <v>3817.99</v>
      </c>
      <c r="J1928" t="s">
        <v>17</v>
      </c>
      <c r="K1928">
        <v>0.04</v>
      </c>
      <c r="L1928" t="s">
        <v>18</v>
      </c>
      <c r="M1928" t="s">
        <v>21</v>
      </c>
    </row>
    <row r="1929" spans="1:13" x14ac:dyDescent="0.35">
      <c r="A1929">
        <v>1034</v>
      </c>
      <c r="B1929" s="1">
        <v>45228</v>
      </c>
      <c r="C1929" t="s">
        <v>22</v>
      </c>
      <c r="D1929" t="s">
        <v>15</v>
      </c>
      <c r="E1929">
        <v>34699.93</v>
      </c>
      <c r="F1929">
        <v>34</v>
      </c>
      <c r="G1929" t="s">
        <v>24</v>
      </c>
      <c r="H1929">
        <v>978.15</v>
      </c>
      <c r="I1929">
        <v>1040.21</v>
      </c>
      <c r="J1929" t="s">
        <v>27</v>
      </c>
      <c r="K1929">
        <v>0.02</v>
      </c>
      <c r="L1929" t="s">
        <v>28</v>
      </c>
      <c r="M1929" t="s">
        <v>21</v>
      </c>
    </row>
    <row r="1930" spans="1:13" x14ac:dyDescent="0.35">
      <c r="A1930">
        <v>1044</v>
      </c>
      <c r="B1930" s="1">
        <v>45228</v>
      </c>
      <c r="C1930" t="s">
        <v>29</v>
      </c>
      <c r="D1930" t="s">
        <v>15</v>
      </c>
      <c r="E1930">
        <v>22226.560000000001</v>
      </c>
      <c r="F1930">
        <v>11</v>
      </c>
      <c r="G1930" t="s">
        <v>26</v>
      </c>
      <c r="H1930">
        <v>1812.66</v>
      </c>
      <c r="I1930">
        <v>2196.3000000000002</v>
      </c>
      <c r="J1930" t="s">
        <v>27</v>
      </c>
      <c r="K1930">
        <v>0.08</v>
      </c>
      <c r="L1930" t="s">
        <v>18</v>
      </c>
      <c r="M1930" t="s">
        <v>19</v>
      </c>
    </row>
    <row r="1931" spans="1:13" x14ac:dyDescent="0.35">
      <c r="A1931">
        <v>1019</v>
      </c>
      <c r="B1931" s="1">
        <v>45228</v>
      </c>
      <c r="C1931" t="s">
        <v>22</v>
      </c>
      <c r="D1931" t="s">
        <v>20</v>
      </c>
      <c r="E1931">
        <v>20388.580000000002</v>
      </c>
      <c r="F1931">
        <v>31</v>
      </c>
      <c r="G1931" t="s">
        <v>24</v>
      </c>
      <c r="H1931">
        <v>333.69</v>
      </c>
      <c r="I1931">
        <v>685.1</v>
      </c>
      <c r="J1931" t="s">
        <v>27</v>
      </c>
      <c r="K1931">
        <v>0.04</v>
      </c>
      <c r="L1931" t="s">
        <v>25</v>
      </c>
      <c r="M1931" t="s">
        <v>19</v>
      </c>
    </row>
    <row r="1932" spans="1:13" x14ac:dyDescent="0.35">
      <c r="A1932">
        <v>1053</v>
      </c>
      <c r="B1932" s="1">
        <v>45229</v>
      </c>
      <c r="C1932" t="s">
        <v>22</v>
      </c>
      <c r="D1932" t="s">
        <v>15</v>
      </c>
      <c r="E1932">
        <v>2461.3000000000002</v>
      </c>
      <c r="F1932">
        <v>1</v>
      </c>
      <c r="G1932" t="s">
        <v>24</v>
      </c>
      <c r="H1932">
        <v>2258.44</v>
      </c>
      <c r="I1932">
        <v>2475.56</v>
      </c>
      <c r="J1932" t="s">
        <v>27</v>
      </c>
      <c r="K1932">
        <v>0.01</v>
      </c>
      <c r="L1932" t="s">
        <v>18</v>
      </c>
      <c r="M1932" t="s">
        <v>19</v>
      </c>
    </row>
    <row r="1933" spans="1:13" x14ac:dyDescent="0.35">
      <c r="A1933">
        <v>1029</v>
      </c>
      <c r="B1933" s="1">
        <v>45229</v>
      </c>
      <c r="C1933" t="s">
        <v>32</v>
      </c>
      <c r="D1933" t="s">
        <v>30</v>
      </c>
      <c r="E1933">
        <v>42923.86</v>
      </c>
      <c r="F1933">
        <v>16</v>
      </c>
      <c r="G1933" t="s">
        <v>31</v>
      </c>
      <c r="H1933">
        <v>2572.8000000000002</v>
      </c>
      <c r="I1933">
        <v>2760.6</v>
      </c>
      <c r="J1933" t="s">
        <v>17</v>
      </c>
      <c r="K1933">
        <v>0.03</v>
      </c>
      <c r="L1933" t="s">
        <v>28</v>
      </c>
      <c r="M1933" t="s">
        <v>21</v>
      </c>
    </row>
    <row r="1934" spans="1:13" x14ac:dyDescent="0.35">
      <c r="A1934">
        <v>1097</v>
      </c>
      <c r="B1934" s="1">
        <v>45229</v>
      </c>
      <c r="C1934" t="s">
        <v>32</v>
      </c>
      <c r="D1934" t="s">
        <v>20</v>
      </c>
      <c r="E1934">
        <v>211111.14</v>
      </c>
      <c r="F1934">
        <v>49</v>
      </c>
      <c r="G1934" t="s">
        <v>31</v>
      </c>
      <c r="H1934">
        <v>4264.46</v>
      </c>
      <c r="I1934">
        <v>4315.5200000000004</v>
      </c>
      <c r="J1934" t="s">
        <v>27</v>
      </c>
      <c r="K1934">
        <v>0</v>
      </c>
      <c r="L1934" t="s">
        <v>18</v>
      </c>
      <c r="M1934" t="s">
        <v>21</v>
      </c>
    </row>
    <row r="1935" spans="1:13" x14ac:dyDescent="0.35">
      <c r="A1935">
        <v>1049</v>
      </c>
      <c r="B1935" s="1">
        <v>45229</v>
      </c>
      <c r="C1935" t="s">
        <v>33</v>
      </c>
      <c r="D1935" t="s">
        <v>30</v>
      </c>
      <c r="E1935">
        <v>168331.07</v>
      </c>
      <c r="F1935">
        <v>38</v>
      </c>
      <c r="G1935" t="s">
        <v>24</v>
      </c>
      <c r="H1935">
        <v>4243.9799999999996</v>
      </c>
      <c r="I1935">
        <v>4474.51</v>
      </c>
      <c r="J1935" t="s">
        <v>27</v>
      </c>
      <c r="K1935">
        <v>0.01</v>
      </c>
      <c r="L1935" t="s">
        <v>28</v>
      </c>
      <c r="M1935" t="s">
        <v>19</v>
      </c>
    </row>
    <row r="1936" spans="1:13" x14ac:dyDescent="0.35">
      <c r="A1936">
        <v>1071</v>
      </c>
      <c r="B1936" s="1">
        <v>45229</v>
      </c>
      <c r="C1936" t="s">
        <v>33</v>
      </c>
      <c r="D1936" t="s">
        <v>20</v>
      </c>
      <c r="E1936">
        <v>69386.94</v>
      </c>
      <c r="F1936">
        <v>22</v>
      </c>
      <c r="G1936" t="s">
        <v>31</v>
      </c>
      <c r="H1936">
        <v>2701.39</v>
      </c>
      <c r="I1936">
        <v>3185.81</v>
      </c>
      <c r="J1936" t="s">
        <v>27</v>
      </c>
      <c r="K1936">
        <v>0.01</v>
      </c>
      <c r="L1936" t="s">
        <v>25</v>
      </c>
      <c r="M1936" t="s">
        <v>19</v>
      </c>
    </row>
    <row r="1937" spans="1:13" x14ac:dyDescent="0.35">
      <c r="A1937">
        <v>1033</v>
      </c>
      <c r="B1937" s="1">
        <v>45230</v>
      </c>
      <c r="C1937" t="s">
        <v>32</v>
      </c>
      <c r="D1937" t="s">
        <v>30</v>
      </c>
      <c r="E1937">
        <v>56283.8</v>
      </c>
      <c r="F1937">
        <v>18</v>
      </c>
      <c r="G1937" t="s">
        <v>16</v>
      </c>
      <c r="H1937">
        <v>3124.48</v>
      </c>
      <c r="I1937">
        <v>3553.27</v>
      </c>
      <c r="J1937" t="s">
        <v>17</v>
      </c>
      <c r="K1937">
        <v>0.12</v>
      </c>
      <c r="L1937" t="s">
        <v>18</v>
      </c>
      <c r="M1937" t="s">
        <v>21</v>
      </c>
    </row>
    <row r="1938" spans="1:13" x14ac:dyDescent="0.35">
      <c r="A1938">
        <v>1028</v>
      </c>
      <c r="B1938" s="1">
        <v>45231</v>
      </c>
      <c r="C1938" t="s">
        <v>14</v>
      </c>
      <c r="D1938" t="s">
        <v>30</v>
      </c>
      <c r="E1938">
        <v>22736.560000000001</v>
      </c>
      <c r="F1938">
        <v>24</v>
      </c>
      <c r="G1938" t="s">
        <v>24</v>
      </c>
      <c r="H1938">
        <v>911.11</v>
      </c>
      <c r="I1938">
        <v>1214.56</v>
      </c>
      <c r="J1938" t="s">
        <v>27</v>
      </c>
      <c r="K1938">
        <v>0.22</v>
      </c>
      <c r="L1938" t="s">
        <v>25</v>
      </c>
      <c r="M1938" t="s">
        <v>19</v>
      </c>
    </row>
    <row r="1939" spans="1:13" x14ac:dyDescent="0.35">
      <c r="A1939">
        <v>1096</v>
      </c>
      <c r="B1939" s="1">
        <v>45231</v>
      </c>
      <c r="C1939" t="s">
        <v>14</v>
      </c>
      <c r="D1939" t="s">
        <v>23</v>
      </c>
      <c r="E1939">
        <v>49903.63</v>
      </c>
      <c r="F1939">
        <v>17</v>
      </c>
      <c r="G1939" t="s">
        <v>24</v>
      </c>
      <c r="H1939">
        <v>2774.24</v>
      </c>
      <c r="I1939">
        <v>3069.94</v>
      </c>
      <c r="J1939" t="s">
        <v>17</v>
      </c>
      <c r="K1939">
        <v>0.04</v>
      </c>
      <c r="L1939" t="s">
        <v>25</v>
      </c>
      <c r="M1939" t="s">
        <v>21</v>
      </c>
    </row>
    <row r="1940" spans="1:13" x14ac:dyDescent="0.35">
      <c r="A1940">
        <v>1062</v>
      </c>
      <c r="B1940" s="1">
        <v>45231</v>
      </c>
      <c r="C1940" t="s">
        <v>14</v>
      </c>
      <c r="D1940" t="s">
        <v>30</v>
      </c>
      <c r="E1940">
        <v>41831.5</v>
      </c>
      <c r="F1940">
        <v>36</v>
      </c>
      <c r="G1940" t="s">
        <v>24</v>
      </c>
      <c r="H1940">
        <v>1050.6400000000001</v>
      </c>
      <c r="I1940">
        <v>1167.33</v>
      </c>
      <c r="J1940" t="s">
        <v>27</v>
      </c>
      <c r="K1940">
        <v>0</v>
      </c>
      <c r="L1940" t="s">
        <v>18</v>
      </c>
      <c r="M1940" t="s">
        <v>19</v>
      </c>
    </row>
    <row r="1941" spans="1:13" x14ac:dyDescent="0.35">
      <c r="A1941">
        <v>1009</v>
      </c>
      <c r="B1941" s="1">
        <v>45231</v>
      </c>
      <c r="C1941" t="s">
        <v>14</v>
      </c>
      <c r="D1941" t="s">
        <v>23</v>
      </c>
      <c r="E1941">
        <v>12483.06</v>
      </c>
      <c r="F1941">
        <v>14</v>
      </c>
      <c r="G1941" t="s">
        <v>24</v>
      </c>
      <c r="H1941">
        <v>547.79</v>
      </c>
      <c r="I1941">
        <v>958.76</v>
      </c>
      <c r="J1941" t="s">
        <v>17</v>
      </c>
      <c r="K1941">
        <v>7.0000000000000007E-2</v>
      </c>
      <c r="L1941" t="s">
        <v>28</v>
      </c>
      <c r="M1941" t="s">
        <v>21</v>
      </c>
    </row>
    <row r="1942" spans="1:13" x14ac:dyDescent="0.35">
      <c r="A1942">
        <v>1093</v>
      </c>
      <c r="B1942" s="1">
        <v>45231</v>
      </c>
      <c r="C1942" t="s">
        <v>29</v>
      </c>
      <c r="D1942" t="s">
        <v>15</v>
      </c>
      <c r="E1942">
        <v>27518.83</v>
      </c>
      <c r="F1942">
        <v>46</v>
      </c>
      <c r="G1942" t="s">
        <v>26</v>
      </c>
      <c r="H1942">
        <v>401.64</v>
      </c>
      <c r="I1942">
        <v>757.26</v>
      </c>
      <c r="J1942" t="s">
        <v>27</v>
      </c>
      <c r="K1942">
        <v>0.21</v>
      </c>
      <c r="L1942" t="s">
        <v>28</v>
      </c>
      <c r="M1942" t="s">
        <v>21</v>
      </c>
    </row>
    <row r="1943" spans="1:13" x14ac:dyDescent="0.35">
      <c r="A1943">
        <v>1026</v>
      </c>
      <c r="B1943" s="1">
        <v>45231</v>
      </c>
      <c r="C1943" t="s">
        <v>33</v>
      </c>
      <c r="D1943" t="s">
        <v>23</v>
      </c>
      <c r="E1943">
        <v>119982.56</v>
      </c>
      <c r="F1943">
        <v>36</v>
      </c>
      <c r="G1943" t="s">
        <v>26</v>
      </c>
      <c r="H1943">
        <v>3067.05</v>
      </c>
      <c r="I1943">
        <v>3386.33</v>
      </c>
      <c r="J1943" t="s">
        <v>27</v>
      </c>
      <c r="K1943">
        <v>0.02</v>
      </c>
      <c r="L1943" t="s">
        <v>25</v>
      </c>
      <c r="M1943" t="s">
        <v>19</v>
      </c>
    </row>
    <row r="1944" spans="1:13" x14ac:dyDescent="0.35">
      <c r="A1944">
        <v>1069</v>
      </c>
      <c r="B1944" s="1">
        <v>45232</v>
      </c>
      <c r="C1944" t="s">
        <v>29</v>
      </c>
      <c r="D1944" t="s">
        <v>15</v>
      </c>
      <c r="E1944">
        <v>17487.03</v>
      </c>
      <c r="F1944">
        <v>23</v>
      </c>
      <c r="G1944" t="s">
        <v>16</v>
      </c>
      <c r="H1944">
        <v>530.24</v>
      </c>
      <c r="I1944">
        <v>987.41</v>
      </c>
      <c r="J1944" t="s">
        <v>17</v>
      </c>
      <c r="K1944">
        <v>0.23</v>
      </c>
      <c r="L1944" t="s">
        <v>28</v>
      </c>
      <c r="M1944" t="s">
        <v>19</v>
      </c>
    </row>
    <row r="1945" spans="1:13" x14ac:dyDescent="0.35">
      <c r="A1945">
        <v>1058</v>
      </c>
      <c r="B1945" s="1">
        <v>45233</v>
      </c>
      <c r="C1945" t="s">
        <v>22</v>
      </c>
      <c r="D1945" t="s">
        <v>20</v>
      </c>
      <c r="E1945">
        <v>153964.09</v>
      </c>
      <c r="F1945">
        <v>42</v>
      </c>
      <c r="G1945" t="s">
        <v>26</v>
      </c>
      <c r="H1945">
        <v>3600.95</v>
      </c>
      <c r="I1945">
        <v>3702.84</v>
      </c>
      <c r="J1945" t="s">
        <v>17</v>
      </c>
      <c r="K1945">
        <v>0.01</v>
      </c>
      <c r="L1945" t="s">
        <v>18</v>
      </c>
      <c r="M1945" t="s">
        <v>21</v>
      </c>
    </row>
    <row r="1946" spans="1:13" x14ac:dyDescent="0.35">
      <c r="A1946">
        <v>1028</v>
      </c>
      <c r="B1946" s="1">
        <v>45233</v>
      </c>
      <c r="C1946" t="s">
        <v>33</v>
      </c>
      <c r="D1946" t="s">
        <v>15</v>
      </c>
      <c r="E1946">
        <v>51685.09</v>
      </c>
      <c r="F1946">
        <v>38</v>
      </c>
      <c r="G1946" t="s">
        <v>26</v>
      </c>
      <c r="H1946">
        <v>1234.69</v>
      </c>
      <c r="I1946">
        <v>1511.26</v>
      </c>
      <c r="J1946" t="s">
        <v>27</v>
      </c>
      <c r="K1946">
        <v>0.1</v>
      </c>
      <c r="L1946" t="s">
        <v>25</v>
      </c>
      <c r="M1946" t="s">
        <v>19</v>
      </c>
    </row>
    <row r="1947" spans="1:13" x14ac:dyDescent="0.35">
      <c r="A1947">
        <v>1065</v>
      </c>
      <c r="B1947" s="1">
        <v>45235</v>
      </c>
      <c r="C1947" t="s">
        <v>33</v>
      </c>
      <c r="D1947" t="s">
        <v>30</v>
      </c>
      <c r="E1947">
        <v>12921.77</v>
      </c>
      <c r="F1947">
        <v>3</v>
      </c>
      <c r="G1947" t="s">
        <v>16</v>
      </c>
      <c r="H1947">
        <v>4173.04</v>
      </c>
      <c r="I1947">
        <v>4362.4399999999996</v>
      </c>
      <c r="J1947" t="s">
        <v>27</v>
      </c>
      <c r="K1947">
        <v>0.01</v>
      </c>
      <c r="L1947" t="s">
        <v>25</v>
      </c>
      <c r="M1947" t="s">
        <v>21</v>
      </c>
    </row>
    <row r="1948" spans="1:13" x14ac:dyDescent="0.35">
      <c r="A1948">
        <v>1087</v>
      </c>
      <c r="B1948" s="1">
        <v>45235</v>
      </c>
      <c r="C1948" t="s">
        <v>32</v>
      </c>
      <c r="D1948" t="s">
        <v>30</v>
      </c>
      <c r="E1948">
        <v>22498.14</v>
      </c>
      <c r="F1948">
        <v>30</v>
      </c>
      <c r="G1948" t="s">
        <v>31</v>
      </c>
      <c r="H1948">
        <v>698.74</v>
      </c>
      <c r="I1948">
        <v>882.28</v>
      </c>
      <c r="J1948" t="s">
        <v>17</v>
      </c>
      <c r="K1948">
        <v>0.15</v>
      </c>
      <c r="L1948" t="s">
        <v>28</v>
      </c>
      <c r="M1948" t="s">
        <v>19</v>
      </c>
    </row>
    <row r="1949" spans="1:13" x14ac:dyDescent="0.35">
      <c r="A1949">
        <v>1086</v>
      </c>
      <c r="B1949" s="1">
        <v>45235</v>
      </c>
      <c r="C1949" t="s">
        <v>33</v>
      </c>
      <c r="D1949" t="s">
        <v>23</v>
      </c>
      <c r="E1949">
        <v>24794.639999999999</v>
      </c>
      <c r="F1949">
        <v>10</v>
      </c>
      <c r="G1949" t="s">
        <v>16</v>
      </c>
      <c r="H1949">
        <v>2273.91</v>
      </c>
      <c r="I1949">
        <v>2578.8000000000002</v>
      </c>
      <c r="J1949" t="s">
        <v>27</v>
      </c>
      <c r="K1949">
        <v>0.04</v>
      </c>
      <c r="L1949" t="s">
        <v>18</v>
      </c>
      <c r="M1949" t="s">
        <v>19</v>
      </c>
    </row>
    <row r="1950" spans="1:13" x14ac:dyDescent="0.35">
      <c r="A1950">
        <v>1072</v>
      </c>
      <c r="B1950" s="1">
        <v>45235</v>
      </c>
      <c r="C1950" t="s">
        <v>22</v>
      </c>
      <c r="D1950" t="s">
        <v>20</v>
      </c>
      <c r="E1950">
        <v>26956.39</v>
      </c>
      <c r="F1950">
        <v>39</v>
      </c>
      <c r="G1950" t="s">
        <v>26</v>
      </c>
      <c r="H1950">
        <v>591.98</v>
      </c>
      <c r="I1950">
        <v>934.04</v>
      </c>
      <c r="J1950" t="s">
        <v>27</v>
      </c>
      <c r="K1950">
        <v>0.26</v>
      </c>
      <c r="L1950" t="s">
        <v>25</v>
      </c>
      <c r="M1950" t="s">
        <v>21</v>
      </c>
    </row>
    <row r="1951" spans="1:13" x14ac:dyDescent="0.35">
      <c r="A1951">
        <v>1075</v>
      </c>
      <c r="B1951" s="1">
        <v>45235</v>
      </c>
      <c r="C1951" t="s">
        <v>14</v>
      </c>
      <c r="D1951" t="s">
        <v>30</v>
      </c>
      <c r="E1951">
        <v>69825.440000000002</v>
      </c>
      <c r="F1951">
        <v>37</v>
      </c>
      <c r="G1951" t="s">
        <v>24</v>
      </c>
      <c r="H1951">
        <v>1675.51</v>
      </c>
      <c r="I1951">
        <v>1906.64</v>
      </c>
      <c r="J1951" t="s">
        <v>27</v>
      </c>
      <c r="K1951">
        <v>0.01</v>
      </c>
      <c r="L1951" t="s">
        <v>25</v>
      </c>
      <c r="M1951" t="s">
        <v>19</v>
      </c>
    </row>
    <row r="1952" spans="1:13" x14ac:dyDescent="0.35">
      <c r="A1952">
        <v>1088</v>
      </c>
      <c r="B1952" s="1">
        <v>45236</v>
      </c>
      <c r="C1952" t="s">
        <v>22</v>
      </c>
      <c r="D1952" t="s">
        <v>23</v>
      </c>
      <c r="E1952">
        <v>14863.03</v>
      </c>
      <c r="F1952">
        <v>8</v>
      </c>
      <c r="G1952" t="s">
        <v>24</v>
      </c>
      <c r="H1952">
        <v>1786.35</v>
      </c>
      <c r="I1952">
        <v>1935.29</v>
      </c>
      <c r="J1952" t="s">
        <v>27</v>
      </c>
      <c r="K1952">
        <v>0.04</v>
      </c>
      <c r="L1952" t="s">
        <v>18</v>
      </c>
      <c r="M1952" t="s">
        <v>19</v>
      </c>
    </row>
    <row r="1953" spans="1:13" x14ac:dyDescent="0.35">
      <c r="A1953">
        <v>1006</v>
      </c>
      <c r="B1953" s="1">
        <v>45236</v>
      </c>
      <c r="C1953" t="s">
        <v>14</v>
      </c>
      <c r="D1953" t="s">
        <v>23</v>
      </c>
      <c r="E1953">
        <v>20067.189999999999</v>
      </c>
      <c r="F1953">
        <v>22</v>
      </c>
      <c r="G1953" t="s">
        <v>24</v>
      </c>
      <c r="H1953">
        <v>834.32</v>
      </c>
      <c r="I1953">
        <v>1098.97</v>
      </c>
      <c r="J1953" t="s">
        <v>17</v>
      </c>
      <c r="K1953">
        <v>0.17</v>
      </c>
      <c r="L1953" t="s">
        <v>18</v>
      </c>
      <c r="M1953" t="s">
        <v>19</v>
      </c>
    </row>
    <row r="1954" spans="1:13" x14ac:dyDescent="0.35">
      <c r="A1954">
        <v>1071</v>
      </c>
      <c r="B1954" s="1">
        <v>45236</v>
      </c>
      <c r="C1954" t="s">
        <v>22</v>
      </c>
      <c r="D1954" t="s">
        <v>15</v>
      </c>
      <c r="E1954">
        <v>188837.88</v>
      </c>
      <c r="F1954">
        <v>47</v>
      </c>
      <c r="G1954" t="s">
        <v>24</v>
      </c>
      <c r="H1954">
        <v>3942.34</v>
      </c>
      <c r="I1954">
        <v>4142.09</v>
      </c>
      <c r="J1954" t="s">
        <v>17</v>
      </c>
      <c r="K1954">
        <v>0.03</v>
      </c>
      <c r="L1954" t="s">
        <v>28</v>
      </c>
      <c r="M1954" t="s">
        <v>21</v>
      </c>
    </row>
    <row r="1955" spans="1:13" x14ac:dyDescent="0.35">
      <c r="A1955">
        <v>1062</v>
      </c>
      <c r="B1955" s="1">
        <v>45236</v>
      </c>
      <c r="C1955" t="s">
        <v>22</v>
      </c>
      <c r="D1955" t="s">
        <v>30</v>
      </c>
      <c r="E1955">
        <v>65015.38</v>
      </c>
      <c r="F1955">
        <v>25</v>
      </c>
      <c r="G1955" t="s">
        <v>24</v>
      </c>
      <c r="H1955">
        <v>2361.0500000000002</v>
      </c>
      <c r="I1955">
        <v>2616.19</v>
      </c>
      <c r="J1955" t="s">
        <v>27</v>
      </c>
      <c r="K1955">
        <v>0.01</v>
      </c>
      <c r="L1955" t="s">
        <v>25</v>
      </c>
      <c r="M1955" t="s">
        <v>21</v>
      </c>
    </row>
    <row r="1956" spans="1:13" x14ac:dyDescent="0.35">
      <c r="A1956">
        <v>1057</v>
      </c>
      <c r="B1956" s="1">
        <v>45237</v>
      </c>
      <c r="C1956" t="s">
        <v>14</v>
      </c>
      <c r="D1956" t="s">
        <v>30</v>
      </c>
      <c r="E1956">
        <v>33691.56</v>
      </c>
      <c r="F1956">
        <v>26</v>
      </c>
      <c r="G1956" t="s">
        <v>26</v>
      </c>
      <c r="H1956">
        <v>1291.82</v>
      </c>
      <c r="I1956">
        <v>1308.44</v>
      </c>
      <c r="J1956" t="s">
        <v>17</v>
      </c>
      <c r="K1956">
        <v>0.01</v>
      </c>
      <c r="L1956" t="s">
        <v>28</v>
      </c>
      <c r="M1956" t="s">
        <v>19</v>
      </c>
    </row>
    <row r="1957" spans="1:13" x14ac:dyDescent="0.35">
      <c r="A1957">
        <v>1098</v>
      </c>
      <c r="B1957" s="1">
        <v>45237</v>
      </c>
      <c r="C1957" t="s">
        <v>33</v>
      </c>
      <c r="D1957" t="s">
        <v>20</v>
      </c>
      <c r="E1957">
        <v>74822.210000000006</v>
      </c>
      <c r="F1957">
        <v>31</v>
      </c>
      <c r="G1957" t="s">
        <v>24</v>
      </c>
      <c r="H1957">
        <v>2407.8000000000002</v>
      </c>
      <c r="I1957">
        <v>2502.7600000000002</v>
      </c>
      <c r="J1957" t="s">
        <v>17</v>
      </c>
      <c r="K1957">
        <v>0.04</v>
      </c>
      <c r="L1957" t="s">
        <v>18</v>
      </c>
      <c r="M1957" t="s">
        <v>21</v>
      </c>
    </row>
    <row r="1958" spans="1:13" x14ac:dyDescent="0.35">
      <c r="A1958">
        <v>1095</v>
      </c>
      <c r="B1958" s="1">
        <v>45237</v>
      </c>
      <c r="C1958" t="s">
        <v>29</v>
      </c>
      <c r="D1958" t="s">
        <v>20</v>
      </c>
      <c r="E1958">
        <v>142863.44</v>
      </c>
      <c r="F1958">
        <v>32</v>
      </c>
      <c r="G1958" t="s">
        <v>26</v>
      </c>
      <c r="H1958">
        <v>4266.6400000000003</v>
      </c>
      <c r="I1958">
        <v>4523.3599999999997</v>
      </c>
      <c r="J1958" t="s">
        <v>27</v>
      </c>
      <c r="K1958">
        <v>0.01</v>
      </c>
      <c r="L1958" t="s">
        <v>25</v>
      </c>
      <c r="M1958" t="s">
        <v>21</v>
      </c>
    </row>
    <row r="1959" spans="1:13" x14ac:dyDescent="0.35">
      <c r="A1959">
        <v>1089</v>
      </c>
      <c r="B1959" s="1">
        <v>45237</v>
      </c>
      <c r="C1959" t="s">
        <v>14</v>
      </c>
      <c r="D1959" t="s">
        <v>20</v>
      </c>
      <c r="E1959">
        <v>202182.36</v>
      </c>
      <c r="F1959">
        <v>47</v>
      </c>
      <c r="G1959" t="s">
        <v>16</v>
      </c>
      <c r="H1959">
        <v>4157.62</v>
      </c>
      <c r="I1959">
        <v>4314.5600000000004</v>
      </c>
      <c r="J1959" t="s">
        <v>27</v>
      </c>
      <c r="K1959">
        <v>0</v>
      </c>
      <c r="L1959" t="s">
        <v>25</v>
      </c>
      <c r="M1959" t="s">
        <v>21</v>
      </c>
    </row>
    <row r="1960" spans="1:13" x14ac:dyDescent="0.35">
      <c r="A1960">
        <v>1059</v>
      </c>
      <c r="B1960" s="1">
        <v>45238</v>
      </c>
      <c r="C1960" t="s">
        <v>22</v>
      </c>
      <c r="D1960" t="s">
        <v>23</v>
      </c>
      <c r="E1960">
        <v>31579.32</v>
      </c>
      <c r="F1960">
        <v>17</v>
      </c>
      <c r="G1960" t="s">
        <v>26</v>
      </c>
      <c r="H1960">
        <v>1780.14</v>
      </c>
      <c r="I1960">
        <v>2185.42</v>
      </c>
      <c r="J1960" t="s">
        <v>17</v>
      </c>
      <c r="K1960">
        <v>0.15</v>
      </c>
      <c r="L1960" t="s">
        <v>28</v>
      </c>
      <c r="M1960" t="s">
        <v>21</v>
      </c>
    </row>
    <row r="1961" spans="1:13" x14ac:dyDescent="0.35">
      <c r="A1961">
        <v>1052</v>
      </c>
      <c r="B1961" s="1">
        <v>45238</v>
      </c>
      <c r="C1961" t="s">
        <v>29</v>
      </c>
      <c r="D1961" t="s">
        <v>30</v>
      </c>
      <c r="E1961">
        <v>66168.990000000005</v>
      </c>
      <c r="F1961">
        <v>18</v>
      </c>
      <c r="G1961" t="s">
        <v>16</v>
      </c>
      <c r="H1961">
        <v>3271.62</v>
      </c>
      <c r="I1961">
        <v>3722.38</v>
      </c>
      <c r="J1961" t="s">
        <v>17</v>
      </c>
      <c r="K1961">
        <v>0.01</v>
      </c>
      <c r="L1961" t="s">
        <v>25</v>
      </c>
      <c r="M1961" t="s">
        <v>21</v>
      </c>
    </row>
    <row r="1962" spans="1:13" x14ac:dyDescent="0.35">
      <c r="A1962">
        <v>1038</v>
      </c>
      <c r="B1962" s="1">
        <v>45239</v>
      </c>
      <c r="C1962" t="s">
        <v>22</v>
      </c>
      <c r="D1962" t="s">
        <v>30</v>
      </c>
      <c r="E1962">
        <v>1470.35</v>
      </c>
      <c r="F1962">
        <v>1</v>
      </c>
      <c r="G1962" t="s">
        <v>24</v>
      </c>
      <c r="H1962">
        <v>1281.6500000000001</v>
      </c>
      <c r="I1962">
        <v>1709.71</v>
      </c>
      <c r="J1962" t="s">
        <v>17</v>
      </c>
      <c r="K1962">
        <v>0.14000000000000001</v>
      </c>
      <c r="L1962" t="s">
        <v>28</v>
      </c>
      <c r="M1962" t="s">
        <v>19</v>
      </c>
    </row>
    <row r="1963" spans="1:13" x14ac:dyDescent="0.35">
      <c r="A1963">
        <v>1033</v>
      </c>
      <c r="B1963" s="1">
        <v>45239</v>
      </c>
      <c r="C1963" t="s">
        <v>22</v>
      </c>
      <c r="D1963" t="s">
        <v>30</v>
      </c>
      <c r="E1963">
        <v>10003.9</v>
      </c>
      <c r="F1963">
        <v>6</v>
      </c>
      <c r="G1963" t="s">
        <v>26</v>
      </c>
      <c r="H1963">
        <v>1621.07</v>
      </c>
      <c r="I1963">
        <v>1687.5</v>
      </c>
      <c r="J1963" t="s">
        <v>17</v>
      </c>
      <c r="K1963">
        <v>0.01</v>
      </c>
      <c r="L1963" t="s">
        <v>28</v>
      </c>
      <c r="M1963" t="s">
        <v>19</v>
      </c>
    </row>
    <row r="1964" spans="1:13" x14ac:dyDescent="0.35">
      <c r="A1964">
        <v>1014</v>
      </c>
      <c r="B1964" s="1">
        <v>45239</v>
      </c>
      <c r="C1964" t="s">
        <v>22</v>
      </c>
      <c r="D1964" t="s">
        <v>15</v>
      </c>
      <c r="E1964">
        <v>2448.86</v>
      </c>
      <c r="F1964">
        <v>9</v>
      </c>
      <c r="G1964" t="s">
        <v>31</v>
      </c>
      <c r="H1964">
        <v>132.47</v>
      </c>
      <c r="I1964">
        <v>316.39</v>
      </c>
      <c r="J1964" t="s">
        <v>27</v>
      </c>
      <c r="K1964">
        <v>0.14000000000000001</v>
      </c>
      <c r="L1964" t="s">
        <v>28</v>
      </c>
      <c r="M1964" t="s">
        <v>19</v>
      </c>
    </row>
    <row r="1965" spans="1:13" x14ac:dyDescent="0.35">
      <c r="A1965">
        <v>1016</v>
      </c>
      <c r="B1965" s="1">
        <v>45239</v>
      </c>
      <c r="C1965" t="s">
        <v>29</v>
      </c>
      <c r="D1965" t="s">
        <v>23</v>
      </c>
      <c r="E1965">
        <v>5775.54</v>
      </c>
      <c r="F1965">
        <v>24</v>
      </c>
      <c r="G1965" t="s">
        <v>16</v>
      </c>
      <c r="H1965">
        <v>88.44</v>
      </c>
      <c r="I1965">
        <v>338.94</v>
      </c>
      <c r="J1965" t="s">
        <v>27</v>
      </c>
      <c r="K1965">
        <v>0.28999999999999998</v>
      </c>
      <c r="L1965" t="s">
        <v>18</v>
      </c>
      <c r="M1965" t="s">
        <v>19</v>
      </c>
    </row>
    <row r="1966" spans="1:13" x14ac:dyDescent="0.35">
      <c r="A1966">
        <v>1032</v>
      </c>
      <c r="B1966" s="1">
        <v>45239</v>
      </c>
      <c r="C1966" t="s">
        <v>14</v>
      </c>
      <c r="D1966" t="s">
        <v>30</v>
      </c>
      <c r="E1966">
        <v>83293.98</v>
      </c>
      <c r="F1966">
        <v>25</v>
      </c>
      <c r="G1966" t="s">
        <v>31</v>
      </c>
      <c r="H1966">
        <v>2934.3</v>
      </c>
      <c r="I1966">
        <v>3337.4</v>
      </c>
      <c r="J1966" t="s">
        <v>17</v>
      </c>
      <c r="K1966">
        <v>0</v>
      </c>
      <c r="L1966" t="s">
        <v>28</v>
      </c>
      <c r="M1966" t="s">
        <v>21</v>
      </c>
    </row>
    <row r="1967" spans="1:13" x14ac:dyDescent="0.35">
      <c r="A1967">
        <v>1090</v>
      </c>
      <c r="B1967" s="1">
        <v>45240</v>
      </c>
      <c r="C1967" t="s">
        <v>33</v>
      </c>
      <c r="D1967" t="s">
        <v>15</v>
      </c>
      <c r="E1967">
        <v>36213.760000000002</v>
      </c>
      <c r="F1967">
        <v>16</v>
      </c>
      <c r="G1967" t="s">
        <v>26</v>
      </c>
      <c r="H1967">
        <v>2183.37</v>
      </c>
      <c r="I1967">
        <v>2263.36</v>
      </c>
      <c r="J1967" t="s">
        <v>17</v>
      </c>
      <c r="K1967">
        <v>0</v>
      </c>
      <c r="L1967" t="s">
        <v>25</v>
      </c>
      <c r="M1967" t="s">
        <v>21</v>
      </c>
    </row>
    <row r="1968" spans="1:13" x14ac:dyDescent="0.35">
      <c r="A1968">
        <v>1019</v>
      </c>
      <c r="B1968" s="1">
        <v>45240</v>
      </c>
      <c r="C1968" t="s">
        <v>14</v>
      </c>
      <c r="D1968" t="s">
        <v>30</v>
      </c>
      <c r="E1968">
        <v>47870.75</v>
      </c>
      <c r="F1968">
        <v>33</v>
      </c>
      <c r="G1968" t="s">
        <v>16</v>
      </c>
      <c r="H1968">
        <v>1362.31</v>
      </c>
      <c r="I1968">
        <v>1486.29</v>
      </c>
      <c r="J1968" t="s">
        <v>17</v>
      </c>
      <c r="K1968">
        <v>0.02</v>
      </c>
      <c r="L1968" t="s">
        <v>28</v>
      </c>
      <c r="M1968" t="s">
        <v>21</v>
      </c>
    </row>
    <row r="1969" spans="1:13" x14ac:dyDescent="0.35">
      <c r="A1969">
        <v>1024</v>
      </c>
      <c r="B1969" s="1">
        <v>45241</v>
      </c>
      <c r="C1969" t="s">
        <v>32</v>
      </c>
      <c r="D1969" t="s">
        <v>20</v>
      </c>
      <c r="E1969">
        <v>13462.89</v>
      </c>
      <c r="F1969">
        <v>21</v>
      </c>
      <c r="G1969" t="s">
        <v>24</v>
      </c>
      <c r="H1969">
        <v>622.01</v>
      </c>
      <c r="I1969">
        <v>641.09</v>
      </c>
      <c r="J1969" t="s">
        <v>17</v>
      </c>
      <c r="K1969">
        <v>0</v>
      </c>
      <c r="L1969" t="s">
        <v>25</v>
      </c>
      <c r="M1969" t="s">
        <v>21</v>
      </c>
    </row>
    <row r="1970" spans="1:13" x14ac:dyDescent="0.35">
      <c r="A1970">
        <v>1080</v>
      </c>
      <c r="B1970" s="1">
        <v>45241</v>
      </c>
      <c r="C1970" t="s">
        <v>33</v>
      </c>
      <c r="D1970" t="s">
        <v>30</v>
      </c>
      <c r="E1970">
        <v>119877.85</v>
      </c>
      <c r="F1970">
        <v>32</v>
      </c>
      <c r="G1970" t="s">
        <v>31</v>
      </c>
      <c r="H1970">
        <v>3414.54</v>
      </c>
      <c r="I1970">
        <v>3753.83</v>
      </c>
      <c r="J1970" t="s">
        <v>27</v>
      </c>
      <c r="K1970">
        <v>0</v>
      </c>
      <c r="L1970" t="s">
        <v>18</v>
      </c>
      <c r="M1970" t="s">
        <v>21</v>
      </c>
    </row>
    <row r="1971" spans="1:13" x14ac:dyDescent="0.35">
      <c r="A1971">
        <v>1001</v>
      </c>
      <c r="B1971" s="1">
        <v>45242</v>
      </c>
      <c r="C1971" t="s">
        <v>33</v>
      </c>
      <c r="D1971" t="s">
        <v>15</v>
      </c>
      <c r="E1971">
        <v>29726.9</v>
      </c>
      <c r="F1971">
        <v>8</v>
      </c>
      <c r="G1971" t="s">
        <v>31</v>
      </c>
      <c r="H1971">
        <v>3657.91</v>
      </c>
      <c r="I1971">
        <v>3729.27</v>
      </c>
      <c r="J1971" t="s">
        <v>27</v>
      </c>
      <c r="K1971">
        <v>0</v>
      </c>
      <c r="L1971" t="s">
        <v>25</v>
      </c>
      <c r="M1971" t="s">
        <v>21</v>
      </c>
    </row>
    <row r="1972" spans="1:13" x14ac:dyDescent="0.35">
      <c r="A1972">
        <v>1062</v>
      </c>
      <c r="B1972" s="1">
        <v>45242</v>
      </c>
      <c r="C1972" t="s">
        <v>32</v>
      </c>
      <c r="D1972" t="s">
        <v>23</v>
      </c>
      <c r="E1972">
        <v>14062.31</v>
      </c>
      <c r="F1972">
        <v>9</v>
      </c>
      <c r="G1972" t="s">
        <v>31</v>
      </c>
      <c r="H1972">
        <v>1468.05</v>
      </c>
      <c r="I1972">
        <v>1838.21</v>
      </c>
      <c r="J1972" t="s">
        <v>27</v>
      </c>
      <c r="K1972">
        <v>0.15</v>
      </c>
      <c r="L1972" t="s">
        <v>25</v>
      </c>
      <c r="M1972" t="s">
        <v>21</v>
      </c>
    </row>
    <row r="1973" spans="1:13" x14ac:dyDescent="0.35">
      <c r="A1973">
        <v>1070</v>
      </c>
      <c r="B1973" s="1">
        <v>45242</v>
      </c>
      <c r="C1973" t="s">
        <v>14</v>
      </c>
      <c r="D1973" t="s">
        <v>23</v>
      </c>
      <c r="E1973">
        <v>3659.66</v>
      </c>
      <c r="F1973">
        <v>9</v>
      </c>
      <c r="G1973" t="s">
        <v>31</v>
      </c>
      <c r="H1973">
        <v>310.24</v>
      </c>
      <c r="I1973">
        <v>451.81</v>
      </c>
      <c r="J1973" t="s">
        <v>17</v>
      </c>
      <c r="K1973">
        <v>0.1</v>
      </c>
      <c r="L1973" t="s">
        <v>18</v>
      </c>
      <c r="M1973" t="s">
        <v>21</v>
      </c>
    </row>
    <row r="1974" spans="1:13" x14ac:dyDescent="0.35">
      <c r="A1974">
        <v>1005</v>
      </c>
      <c r="B1974" s="1">
        <v>45242</v>
      </c>
      <c r="C1974" t="s">
        <v>32</v>
      </c>
      <c r="D1974" t="s">
        <v>30</v>
      </c>
      <c r="E1974">
        <v>102286.08</v>
      </c>
      <c r="F1974">
        <v>28</v>
      </c>
      <c r="G1974" t="s">
        <v>26</v>
      </c>
      <c r="H1974">
        <v>3592.32</v>
      </c>
      <c r="I1974">
        <v>3813.48</v>
      </c>
      <c r="J1974" t="s">
        <v>27</v>
      </c>
      <c r="K1974">
        <v>0.04</v>
      </c>
      <c r="L1974" t="s">
        <v>28</v>
      </c>
      <c r="M1974" t="s">
        <v>21</v>
      </c>
    </row>
    <row r="1975" spans="1:13" x14ac:dyDescent="0.35">
      <c r="A1975">
        <v>1050</v>
      </c>
      <c r="B1975" s="1">
        <v>45243</v>
      </c>
      <c r="C1975" t="s">
        <v>33</v>
      </c>
      <c r="D1975" t="s">
        <v>15</v>
      </c>
      <c r="E1975">
        <v>52358.85</v>
      </c>
      <c r="F1975">
        <v>28</v>
      </c>
      <c r="G1975" t="s">
        <v>24</v>
      </c>
      <c r="H1975">
        <v>1711.63</v>
      </c>
      <c r="I1975">
        <v>1951.24</v>
      </c>
      <c r="J1975" t="s">
        <v>27</v>
      </c>
      <c r="K1975">
        <v>0.04</v>
      </c>
      <c r="L1975" t="s">
        <v>18</v>
      </c>
      <c r="M1975" t="s">
        <v>19</v>
      </c>
    </row>
    <row r="1976" spans="1:13" x14ac:dyDescent="0.35">
      <c r="A1976">
        <v>1090</v>
      </c>
      <c r="B1976" s="1">
        <v>45244</v>
      </c>
      <c r="C1976" t="s">
        <v>14</v>
      </c>
      <c r="D1976" t="s">
        <v>30</v>
      </c>
      <c r="E1976">
        <v>216.41</v>
      </c>
      <c r="F1976">
        <v>1</v>
      </c>
      <c r="G1976" t="s">
        <v>26</v>
      </c>
      <c r="H1976">
        <v>60.28</v>
      </c>
      <c r="I1976">
        <v>260.73</v>
      </c>
      <c r="J1976" t="s">
        <v>17</v>
      </c>
      <c r="K1976">
        <v>0.17</v>
      </c>
      <c r="L1976" t="s">
        <v>18</v>
      </c>
      <c r="M1976" t="s">
        <v>19</v>
      </c>
    </row>
    <row r="1977" spans="1:13" x14ac:dyDescent="0.35">
      <c r="A1977">
        <v>1001</v>
      </c>
      <c r="B1977" s="1">
        <v>45244</v>
      </c>
      <c r="C1977" t="s">
        <v>22</v>
      </c>
      <c r="D1977" t="s">
        <v>15</v>
      </c>
      <c r="E1977">
        <v>24401.97</v>
      </c>
      <c r="F1977">
        <v>36</v>
      </c>
      <c r="G1977" t="s">
        <v>16</v>
      </c>
      <c r="H1977">
        <v>666.84</v>
      </c>
      <c r="I1977">
        <v>682.24</v>
      </c>
      <c r="J1977" t="s">
        <v>27</v>
      </c>
      <c r="K1977">
        <v>0.01</v>
      </c>
      <c r="L1977" t="s">
        <v>25</v>
      </c>
      <c r="M1977" t="s">
        <v>21</v>
      </c>
    </row>
    <row r="1978" spans="1:13" x14ac:dyDescent="0.35">
      <c r="A1978">
        <v>1012</v>
      </c>
      <c r="B1978" s="1">
        <v>45244</v>
      </c>
      <c r="C1978" t="s">
        <v>22</v>
      </c>
      <c r="D1978" t="s">
        <v>15</v>
      </c>
      <c r="E1978">
        <v>17266.29</v>
      </c>
      <c r="F1978">
        <v>14</v>
      </c>
      <c r="G1978" t="s">
        <v>31</v>
      </c>
      <c r="H1978">
        <v>1185.5</v>
      </c>
      <c r="I1978">
        <v>1271.45</v>
      </c>
      <c r="J1978" t="s">
        <v>17</v>
      </c>
      <c r="K1978">
        <v>0.03</v>
      </c>
      <c r="L1978" t="s">
        <v>25</v>
      </c>
      <c r="M1978" t="s">
        <v>21</v>
      </c>
    </row>
    <row r="1979" spans="1:13" x14ac:dyDescent="0.35">
      <c r="A1979">
        <v>1012</v>
      </c>
      <c r="B1979" s="1">
        <v>45244</v>
      </c>
      <c r="C1979" t="s">
        <v>32</v>
      </c>
      <c r="D1979" t="s">
        <v>15</v>
      </c>
      <c r="E1979">
        <v>23953.31</v>
      </c>
      <c r="F1979">
        <v>6</v>
      </c>
      <c r="G1979" t="s">
        <v>26</v>
      </c>
      <c r="H1979">
        <v>3609.42</v>
      </c>
      <c r="I1979">
        <v>4082.62</v>
      </c>
      <c r="J1979" t="s">
        <v>17</v>
      </c>
      <c r="K1979">
        <v>0.02</v>
      </c>
      <c r="L1979" t="s">
        <v>25</v>
      </c>
      <c r="M1979" t="s">
        <v>21</v>
      </c>
    </row>
    <row r="1980" spans="1:13" x14ac:dyDescent="0.35">
      <c r="A1980">
        <v>1092</v>
      </c>
      <c r="B1980" s="1">
        <v>45244</v>
      </c>
      <c r="C1980" t="s">
        <v>32</v>
      </c>
      <c r="D1980" t="s">
        <v>30</v>
      </c>
      <c r="E1980">
        <v>113599.76</v>
      </c>
      <c r="F1980">
        <v>28</v>
      </c>
      <c r="G1980" t="s">
        <v>26</v>
      </c>
      <c r="H1980">
        <v>3936.69</v>
      </c>
      <c r="I1980">
        <v>4362.51</v>
      </c>
      <c r="J1980" t="s">
        <v>17</v>
      </c>
      <c r="K1980">
        <v>7.0000000000000007E-2</v>
      </c>
      <c r="L1980" t="s">
        <v>28</v>
      </c>
      <c r="M1980" t="s">
        <v>21</v>
      </c>
    </row>
    <row r="1981" spans="1:13" x14ac:dyDescent="0.35">
      <c r="A1981">
        <v>1033</v>
      </c>
      <c r="B1981" s="1">
        <v>45244</v>
      </c>
      <c r="C1981" t="s">
        <v>22</v>
      </c>
      <c r="D1981" t="s">
        <v>23</v>
      </c>
      <c r="E1981">
        <v>76974.58</v>
      </c>
      <c r="F1981">
        <v>23</v>
      </c>
      <c r="G1981" t="s">
        <v>16</v>
      </c>
      <c r="H1981">
        <v>2981.5</v>
      </c>
      <c r="I1981">
        <v>3360.4</v>
      </c>
      <c r="J1981" t="s">
        <v>17</v>
      </c>
      <c r="K1981">
        <v>0</v>
      </c>
      <c r="L1981" t="s">
        <v>25</v>
      </c>
      <c r="M1981" t="s">
        <v>21</v>
      </c>
    </row>
    <row r="1982" spans="1:13" x14ac:dyDescent="0.35">
      <c r="A1982">
        <v>1085</v>
      </c>
      <c r="B1982" s="1">
        <v>45244</v>
      </c>
      <c r="C1982" t="s">
        <v>29</v>
      </c>
      <c r="D1982" t="s">
        <v>23</v>
      </c>
      <c r="E1982">
        <v>45848.99</v>
      </c>
      <c r="F1982">
        <v>32</v>
      </c>
      <c r="G1982" t="s">
        <v>16</v>
      </c>
      <c r="H1982">
        <v>1074.93</v>
      </c>
      <c r="I1982">
        <v>1492.48</v>
      </c>
      <c r="J1982" t="s">
        <v>17</v>
      </c>
      <c r="K1982">
        <v>0.04</v>
      </c>
      <c r="L1982" t="s">
        <v>28</v>
      </c>
      <c r="M1982" t="s">
        <v>21</v>
      </c>
    </row>
    <row r="1983" spans="1:13" x14ac:dyDescent="0.35">
      <c r="A1983">
        <v>1068</v>
      </c>
      <c r="B1983" s="1">
        <v>45244</v>
      </c>
      <c r="C1983" t="s">
        <v>29</v>
      </c>
      <c r="D1983" t="s">
        <v>20</v>
      </c>
      <c r="E1983">
        <v>63813.51</v>
      </c>
      <c r="F1983">
        <v>42</v>
      </c>
      <c r="G1983" t="s">
        <v>26</v>
      </c>
      <c r="H1983">
        <v>1218.18</v>
      </c>
      <c r="I1983">
        <v>1566.36</v>
      </c>
      <c r="J1983" t="s">
        <v>17</v>
      </c>
      <c r="K1983">
        <v>0.03</v>
      </c>
      <c r="L1983" t="s">
        <v>28</v>
      </c>
      <c r="M1983" t="s">
        <v>21</v>
      </c>
    </row>
    <row r="1984" spans="1:13" x14ac:dyDescent="0.35">
      <c r="A1984">
        <v>1032</v>
      </c>
      <c r="B1984" s="1">
        <v>45245</v>
      </c>
      <c r="C1984" t="s">
        <v>33</v>
      </c>
      <c r="D1984" t="s">
        <v>20</v>
      </c>
      <c r="E1984">
        <v>787.84</v>
      </c>
      <c r="F1984">
        <v>1</v>
      </c>
      <c r="G1984" t="s">
        <v>24</v>
      </c>
      <c r="H1984">
        <v>651</v>
      </c>
      <c r="I1984">
        <v>865.76</v>
      </c>
      <c r="J1984" t="s">
        <v>17</v>
      </c>
      <c r="K1984">
        <v>0.09</v>
      </c>
      <c r="L1984" t="s">
        <v>25</v>
      </c>
      <c r="M1984" t="s">
        <v>21</v>
      </c>
    </row>
    <row r="1985" spans="1:13" x14ac:dyDescent="0.35">
      <c r="A1985">
        <v>1100</v>
      </c>
      <c r="B1985" s="1">
        <v>45245</v>
      </c>
      <c r="C1985" t="s">
        <v>32</v>
      </c>
      <c r="D1985" t="s">
        <v>30</v>
      </c>
      <c r="E1985">
        <v>2295.14</v>
      </c>
      <c r="F1985">
        <v>2</v>
      </c>
      <c r="G1985" t="s">
        <v>16</v>
      </c>
      <c r="H1985">
        <v>1036.76</v>
      </c>
      <c r="I1985">
        <v>1189.3499999999999</v>
      </c>
      <c r="J1985" t="s">
        <v>27</v>
      </c>
      <c r="K1985">
        <v>0.04</v>
      </c>
      <c r="L1985" t="s">
        <v>25</v>
      </c>
      <c r="M1985" t="s">
        <v>19</v>
      </c>
    </row>
    <row r="1986" spans="1:13" x14ac:dyDescent="0.35">
      <c r="A1986">
        <v>1030</v>
      </c>
      <c r="B1986" s="1">
        <v>45245</v>
      </c>
      <c r="C1986" t="s">
        <v>32</v>
      </c>
      <c r="D1986" t="s">
        <v>30</v>
      </c>
      <c r="E1986">
        <v>34400.26</v>
      </c>
      <c r="F1986">
        <v>24</v>
      </c>
      <c r="G1986" t="s">
        <v>26</v>
      </c>
      <c r="H1986">
        <v>1370.52</v>
      </c>
      <c r="I1986">
        <v>1482.58</v>
      </c>
      <c r="J1986" t="s">
        <v>17</v>
      </c>
      <c r="K1986">
        <v>0.03</v>
      </c>
      <c r="L1986" t="s">
        <v>28</v>
      </c>
      <c r="M1986" t="s">
        <v>21</v>
      </c>
    </row>
    <row r="1987" spans="1:13" x14ac:dyDescent="0.35">
      <c r="A1987">
        <v>1036</v>
      </c>
      <c r="B1987" s="1">
        <v>45245</v>
      </c>
      <c r="C1987" t="s">
        <v>14</v>
      </c>
      <c r="D1987" t="s">
        <v>20</v>
      </c>
      <c r="E1987">
        <v>55587.35</v>
      </c>
      <c r="F1987">
        <v>19</v>
      </c>
      <c r="G1987" t="s">
        <v>16</v>
      </c>
      <c r="H1987">
        <v>2844.97</v>
      </c>
      <c r="I1987">
        <v>3215</v>
      </c>
      <c r="J1987" t="s">
        <v>17</v>
      </c>
      <c r="K1987">
        <v>0.09</v>
      </c>
      <c r="L1987" t="s">
        <v>28</v>
      </c>
      <c r="M1987" t="s">
        <v>21</v>
      </c>
    </row>
    <row r="1988" spans="1:13" x14ac:dyDescent="0.35">
      <c r="A1988">
        <v>1051</v>
      </c>
      <c r="B1988" s="1">
        <v>45245</v>
      </c>
      <c r="C1988" t="s">
        <v>33</v>
      </c>
      <c r="D1988" t="s">
        <v>15</v>
      </c>
      <c r="E1988">
        <v>40713.269999999997</v>
      </c>
      <c r="F1988">
        <v>23</v>
      </c>
      <c r="G1988" t="s">
        <v>31</v>
      </c>
      <c r="H1988">
        <v>1676.42</v>
      </c>
      <c r="I1988">
        <v>2082.52</v>
      </c>
      <c r="J1988" t="s">
        <v>27</v>
      </c>
      <c r="K1988">
        <v>0.15</v>
      </c>
      <c r="L1988" t="s">
        <v>25</v>
      </c>
      <c r="M1988" t="s">
        <v>21</v>
      </c>
    </row>
    <row r="1989" spans="1:13" x14ac:dyDescent="0.35">
      <c r="A1989">
        <v>1092</v>
      </c>
      <c r="B1989" s="1">
        <v>45245</v>
      </c>
      <c r="C1989" t="s">
        <v>22</v>
      </c>
      <c r="D1989" t="s">
        <v>30</v>
      </c>
      <c r="E1989">
        <v>158494.23000000001</v>
      </c>
      <c r="F1989">
        <v>47</v>
      </c>
      <c r="G1989" t="s">
        <v>31</v>
      </c>
      <c r="H1989">
        <v>3034.32</v>
      </c>
      <c r="I1989">
        <v>3375.79</v>
      </c>
      <c r="J1989" t="s">
        <v>27</v>
      </c>
      <c r="K1989">
        <v>0</v>
      </c>
      <c r="L1989" t="s">
        <v>28</v>
      </c>
      <c r="M1989" t="s">
        <v>19</v>
      </c>
    </row>
    <row r="1990" spans="1:13" x14ac:dyDescent="0.35">
      <c r="A1990">
        <v>1015</v>
      </c>
      <c r="B1990" s="1">
        <v>45246</v>
      </c>
      <c r="C1990" t="s">
        <v>32</v>
      </c>
      <c r="D1990" t="s">
        <v>30</v>
      </c>
      <c r="E1990">
        <v>2973.66</v>
      </c>
      <c r="F1990">
        <v>1</v>
      </c>
      <c r="G1990" t="s">
        <v>16</v>
      </c>
      <c r="H1990">
        <v>2928.74</v>
      </c>
      <c r="I1990">
        <v>3027.74</v>
      </c>
      <c r="J1990" t="s">
        <v>27</v>
      </c>
      <c r="K1990">
        <v>0.02</v>
      </c>
      <c r="L1990" t="s">
        <v>25</v>
      </c>
      <c r="M1990" t="s">
        <v>21</v>
      </c>
    </row>
    <row r="1991" spans="1:13" x14ac:dyDescent="0.35">
      <c r="A1991">
        <v>1051</v>
      </c>
      <c r="B1991" s="1">
        <v>45246</v>
      </c>
      <c r="C1991" t="s">
        <v>14</v>
      </c>
      <c r="D1991" t="s">
        <v>20</v>
      </c>
      <c r="E1991">
        <v>5053.6099999999997</v>
      </c>
      <c r="F1991">
        <v>31</v>
      </c>
      <c r="G1991" t="s">
        <v>16</v>
      </c>
      <c r="H1991">
        <v>144.88</v>
      </c>
      <c r="I1991">
        <v>175.29</v>
      </c>
      <c r="J1991" t="s">
        <v>27</v>
      </c>
      <c r="K1991">
        <v>7.0000000000000007E-2</v>
      </c>
      <c r="L1991" t="s">
        <v>25</v>
      </c>
      <c r="M1991" t="s">
        <v>19</v>
      </c>
    </row>
    <row r="1992" spans="1:13" x14ac:dyDescent="0.35">
      <c r="A1992">
        <v>1078</v>
      </c>
      <c r="B1992" s="1">
        <v>45246</v>
      </c>
      <c r="C1992" t="s">
        <v>22</v>
      </c>
      <c r="D1992" t="s">
        <v>30</v>
      </c>
      <c r="E1992">
        <v>28380.1</v>
      </c>
      <c r="F1992">
        <v>8</v>
      </c>
      <c r="G1992" t="s">
        <v>16</v>
      </c>
      <c r="H1992">
        <v>3459.61</v>
      </c>
      <c r="I1992">
        <v>3657.23</v>
      </c>
      <c r="J1992" t="s">
        <v>17</v>
      </c>
      <c r="K1992">
        <v>0.03</v>
      </c>
      <c r="L1992" t="s">
        <v>25</v>
      </c>
      <c r="M1992" t="s">
        <v>19</v>
      </c>
    </row>
    <row r="1993" spans="1:13" x14ac:dyDescent="0.35">
      <c r="A1993">
        <v>1088</v>
      </c>
      <c r="B1993" s="1">
        <v>45246</v>
      </c>
      <c r="C1993" t="s">
        <v>32</v>
      </c>
      <c r="D1993" t="s">
        <v>15</v>
      </c>
      <c r="E1993">
        <v>32645.56</v>
      </c>
      <c r="F1993">
        <v>13</v>
      </c>
      <c r="G1993" t="s">
        <v>16</v>
      </c>
      <c r="H1993">
        <v>2440.11</v>
      </c>
      <c r="I1993">
        <v>2517.6</v>
      </c>
      <c r="J1993" t="s">
        <v>27</v>
      </c>
      <c r="K1993">
        <v>0</v>
      </c>
      <c r="L1993" t="s">
        <v>25</v>
      </c>
      <c r="M1993" t="s">
        <v>21</v>
      </c>
    </row>
    <row r="1994" spans="1:13" x14ac:dyDescent="0.35">
      <c r="A1994">
        <v>1073</v>
      </c>
      <c r="B1994" s="1">
        <v>45246</v>
      </c>
      <c r="C1994" t="s">
        <v>22</v>
      </c>
      <c r="D1994" t="s">
        <v>23</v>
      </c>
      <c r="E1994">
        <v>130694.07</v>
      </c>
      <c r="F1994">
        <v>48</v>
      </c>
      <c r="G1994" t="s">
        <v>26</v>
      </c>
      <c r="H1994">
        <v>2658.9</v>
      </c>
      <c r="I1994">
        <v>2838.27</v>
      </c>
      <c r="J1994" t="s">
        <v>27</v>
      </c>
      <c r="K1994">
        <v>0.04</v>
      </c>
      <c r="L1994" t="s">
        <v>28</v>
      </c>
      <c r="M1994" t="s">
        <v>19</v>
      </c>
    </row>
    <row r="1995" spans="1:13" x14ac:dyDescent="0.35">
      <c r="A1995">
        <v>1041</v>
      </c>
      <c r="B1995" s="1">
        <v>45246</v>
      </c>
      <c r="C1995" t="s">
        <v>22</v>
      </c>
      <c r="D1995" t="s">
        <v>23</v>
      </c>
      <c r="E1995">
        <v>35014.980000000003</v>
      </c>
      <c r="F1995">
        <v>40</v>
      </c>
      <c r="G1995" t="s">
        <v>24</v>
      </c>
      <c r="H1995">
        <v>601.86</v>
      </c>
      <c r="I1995">
        <v>1067.53</v>
      </c>
      <c r="J1995" t="s">
        <v>27</v>
      </c>
      <c r="K1995">
        <v>0.18</v>
      </c>
      <c r="L1995" t="s">
        <v>18</v>
      </c>
      <c r="M1995" t="s">
        <v>19</v>
      </c>
    </row>
    <row r="1996" spans="1:13" x14ac:dyDescent="0.35">
      <c r="A1996">
        <v>1062</v>
      </c>
      <c r="B1996" s="1">
        <v>45247</v>
      </c>
      <c r="C1996" t="s">
        <v>29</v>
      </c>
      <c r="D1996" t="s">
        <v>15</v>
      </c>
      <c r="E1996">
        <v>60412.43</v>
      </c>
      <c r="F1996">
        <v>28</v>
      </c>
      <c r="G1996" t="s">
        <v>26</v>
      </c>
      <c r="H1996">
        <v>2094.88</v>
      </c>
      <c r="I1996">
        <v>2168.91</v>
      </c>
      <c r="J1996" t="s">
        <v>17</v>
      </c>
      <c r="K1996">
        <v>0.01</v>
      </c>
      <c r="L1996" t="s">
        <v>18</v>
      </c>
      <c r="M1996" t="s">
        <v>21</v>
      </c>
    </row>
    <row r="1997" spans="1:13" x14ac:dyDescent="0.35">
      <c r="A1997">
        <v>1100</v>
      </c>
      <c r="B1997" s="1">
        <v>45247</v>
      </c>
      <c r="C1997" t="s">
        <v>14</v>
      </c>
      <c r="D1997" t="s">
        <v>30</v>
      </c>
      <c r="E1997">
        <v>9143.9699999999993</v>
      </c>
      <c r="F1997">
        <v>13</v>
      </c>
      <c r="G1997" t="s">
        <v>24</v>
      </c>
      <c r="H1997">
        <v>366.2</v>
      </c>
      <c r="I1997">
        <v>732.69</v>
      </c>
      <c r="J1997" t="s">
        <v>27</v>
      </c>
      <c r="K1997">
        <v>0.04</v>
      </c>
      <c r="L1997" t="s">
        <v>18</v>
      </c>
      <c r="M1997" t="s">
        <v>21</v>
      </c>
    </row>
    <row r="1998" spans="1:13" x14ac:dyDescent="0.35">
      <c r="A1998">
        <v>1004</v>
      </c>
      <c r="B1998" s="1">
        <v>45248</v>
      </c>
      <c r="C1998" t="s">
        <v>33</v>
      </c>
      <c r="D1998" t="s">
        <v>30</v>
      </c>
      <c r="E1998">
        <v>208.55</v>
      </c>
      <c r="F1998">
        <v>1</v>
      </c>
      <c r="G1998" t="s">
        <v>24</v>
      </c>
      <c r="H1998">
        <v>182.99</v>
      </c>
      <c r="I1998">
        <v>211.18</v>
      </c>
      <c r="J1998" t="s">
        <v>17</v>
      </c>
      <c r="K1998">
        <v>0.01</v>
      </c>
      <c r="L1998" t="s">
        <v>25</v>
      </c>
      <c r="M1998" t="s">
        <v>21</v>
      </c>
    </row>
    <row r="1999" spans="1:13" x14ac:dyDescent="0.35">
      <c r="A1999">
        <v>1062</v>
      </c>
      <c r="B1999" s="1">
        <v>45248</v>
      </c>
      <c r="C1999" t="s">
        <v>33</v>
      </c>
      <c r="D1999" t="s">
        <v>30</v>
      </c>
      <c r="E1999">
        <v>17798.400000000001</v>
      </c>
      <c r="F1999">
        <v>12</v>
      </c>
      <c r="G1999" t="s">
        <v>16</v>
      </c>
      <c r="H1999">
        <v>1088.99</v>
      </c>
      <c r="I1999">
        <v>1545</v>
      </c>
      <c r="J1999" t="s">
        <v>17</v>
      </c>
      <c r="K1999">
        <v>0.04</v>
      </c>
      <c r="L1999" t="s">
        <v>25</v>
      </c>
      <c r="M1999" t="s">
        <v>21</v>
      </c>
    </row>
    <row r="2000" spans="1:13" x14ac:dyDescent="0.35">
      <c r="A2000">
        <v>1045</v>
      </c>
      <c r="B2000" s="1">
        <v>45249</v>
      </c>
      <c r="C2000" t="s">
        <v>14</v>
      </c>
      <c r="D2000" t="s">
        <v>15</v>
      </c>
      <c r="E2000">
        <v>1940.2</v>
      </c>
      <c r="F2000">
        <v>2</v>
      </c>
      <c r="G2000" t="s">
        <v>31</v>
      </c>
      <c r="H2000">
        <v>912.08</v>
      </c>
      <c r="I2000">
        <v>993.24</v>
      </c>
      <c r="J2000" t="s">
        <v>17</v>
      </c>
      <c r="K2000">
        <v>0.02</v>
      </c>
      <c r="L2000" t="s">
        <v>28</v>
      </c>
      <c r="M2000" t="s">
        <v>19</v>
      </c>
    </row>
    <row r="2001" spans="1:13" x14ac:dyDescent="0.35">
      <c r="A2001">
        <v>1033</v>
      </c>
      <c r="B2001" s="1">
        <v>45249</v>
      </c>
      <c r="C2001" t="s">
        <v>22</v>
      </c>
      <c r="D2001" t="s">
        <v>15</v>
      </c>
      <c r="E2001">
        <v>108554.45</v>
      </c>
      <c r="F2001">
        <v>37</v>
      </c>
      <c r="G2001" t="s">
        <v>31</v>
      </c>
      <c r="H2001">
        <v>2600.7600000000002</v>
      </c>
      <c r="I2001">
        <v>2937.57</v>
      </c>
      <c r="J2001" t="s">
        <v>27</v>
      </c>
      <c r="K2001">
        <v>0</v>
      </c>
      <c r="L2001" t="s">
        <v>28</v>
      </c>
      <c r="M2001" t="s">
        <v>21</v>
      </c>
    </row>
    <row r="2002" spans="1:13" x14ac:dyDescent="0.35">
      <c r="A2002">
        <v>1040</v>
      </c>
      <c r="B2002" s="1">
        <v>45249</v>
      </c>
      <c r="C2002" t="s">
        <v>22</v>
      </c>
      <c r="D2002" t="s">
        <v>15</v>
      </c>
      <c r="E2002">
        <v>121769.01</v>
      </c>
      <c r="F2002">
        <v>47</v>
      </c>
      <c r="G2002" t="s">
        <v>31</v>
      </c>
      <c r="H2002">
        <v>2189.54</v>
      </c>
      <c r="I2002">
        <v>2617</v>
      </c>
      <c r="J2002" t="s">
        <v>27</v>
      </c>
      <c r="K2002">
        <v>0.01</v>
      </c>
      <c r="L2002" t="s">
        <v>25</v>
      </c>
      <c r="M2002" t="s">
        <v>19</v>
      </c>
    </row>
    <row r="2003" spans="1:13" x14ac:dyDescent="0.35">
      <c r="A2003">
        <v>1028</v>
      </c>
      <c r="B2003" s="1">
        <v>45250</v>
      </c>
      <c r="C2003" t="s">
        <v>33</v>
      </c>
      <c r="D2003" t="s">
        <v>30</v>
      </c>
      <c r="E2003">
        <v>3915.28</v>
      </c>
      <c r="F2003">
        <v>5</v>
      </c>
      <c r="G2003" t="s">
        <v>24</v>
      </c>
      <c r="H2003">
        <v>734.92</v>
      </c>
      <c r="I2003">
        <v>991.21</v>
      </c>
      <c r="J2003" t="s">
        <v>17</v>
      </c>
      <c r="K2003">
        <v>0.21</v>
      </c>
      <c r="L2003" t="s">
        <v>28</v>
      </c>
      <c r="M2003" t="s">
        <v>19</v>
      </c>
    </row>
    <row r="2004" spans="1:13" x14ac:dyDescent="0.35">
      <c r="A2004">
        <v>1012</v>
      </c>
      <c r="B2004" s="1">
        <v>45250</v>
      </c>
      <c r="C2004" t="s">
        <v>14</v>
      </c>
      <c r="D2004" t="s">
        <v>15</v>
      </c>
      <c r="E2004">
        <v>4504.21</v>
      </c>
      <c r="F2004">
        <v>1</v>
      </c>
      <c r="G2004" t="s">
        <v>24</v>
      </c>
      <c r="H2004">
        <v>4190.83</v>
      </c>
      <c r="I2004">
        <v>4528.7700000000004</v>
      </c>
      <c r="J2004" t="s">
        <v>17</v>
      </c>
      <c r="K2004">
        <v>0.01</v>
      </c>
      <c r="L2004" t="s">
        <v>25</v>
      </c>
      <c r="M2004" t="s">
        <v>19</v>
      </c>
    </row>
    <row r="2005" spans="1:13" x14ac:dyDescent="0.35">
      <c r="A2005">
        <v>1084</v>
      </c>
      <c r="B2005" s="1">
        <v>45250</v>
      </c>
      <c r="C2005" t="s">
        <v>14</v>
      </c>
      <c r="D2005" t="s">
        <v>23</v>
      </c>
      <c r="E2005">
        <v>51651.98</v>
      </c>
      <c r="F2005">
        <v>15</v>
      </c>
      <c r="G2005" t="s">
        <v>16</v>
      </c>
      <c r="H2005">
        <v>3420.72</v>
      </c>
      <c r="I2005">
        <v>3513.74</v>
      </c>
      <c r="J2005" t="s">
        <v>27</v>
      </c>
      <c r="K2005">
        <v>0.02</v>
      </c>
      <c r="L2005" t="s">
        <v>18</v>
      </c>
      <c r="M2005" t="s">
        <v>19</v>
      </c>
    </row>
    <row r="2006" spans="1:13" x14ac:dyDescent="0.35">
      <c r="A2006">
        <v>1036</v>
      </c>
      <c r="B2006" s="1">
        <v>45250</v>
      </c>
      <c r="C2006" t="s">
        <v>33</v>
      </c>
      <c r="D2006" t="s">
        <v>30</v>
      </c>
      <c r="E2006">
        <v>25594.53</v>
      </c>
      <c r="F2006">
        <v>32</v>
      </c>
      <c r="G2006" t="s">
        <v>26</v>
      </c>
      <c r="H2006">
        <v>700.49</v>
      </c>
      <c r="I2006">
        <v>1126.52</v>
      </c>
      <c r="J2006" t="s">
        <v>27</v>
      </c>
      <c r="K2006">
        <v>0.28999999999999998</v>
      </c>
      <c r="L2006" t="s">
        <v>28</v>
      </c>
      <c r="M2006" t="s">
        <v>21</v>
      </c>
    </row>
    <row r="2007" spans="1:13" x14ac:dyDescent="0.35">
      <c r="A2007">
        <v>1090</v>
      </c>
      <c r="B2007" s="1">
        <v>45250</v>
      </c>
      <c r="C2007" t="s">
        <v>33</v>
      </c>
      <c r="D2007" t="s">
        <v>20</v>
      </c>
      <c r="E2007">
        <v>97508.69</v>
      </c>
      <c r="F2007">
        <v>32</v>
      </c>
      <c r="G2007" t="s">
        <v>31</v>
      </c>
      <c r="H2007">
        <v>2678.99</v>
      </c>
      <c r="I2007">
        <v>3152.28</v>
      </c>
      <c r="J2007" t="s">
        <v>17</v>
      </c>
      <c r="K2007">
        <v>0.03</v>
      </c>
      <c r="L2007" t="s">
        <v>18</v>
      </c>
      <c r="M2007" t="s">
        <v>21</v>
      </c>
    </row>
    <row r="2008" spans="1:13" x14ac:dyDescent="0.35">
      <c r="A2008">
        <v>1014</v>
      </c>
      <c r="B2008" s="1">
        <v>45252</v>
      </c>
      <c r="C2008" t="s">
        <v>22</v>
      </c>
      <c r="D2008" t="s">
        <v>20</v>
      </c>
      <c r="E2008">
        <v>54246.31</v>
      </c>
      <c r="F2008">
        <v>17</v>
      </c>
      <c r="G2008" t="s">
        <v>24</v>
      </c>
      <c r="H2008">
        <v>3184.65</v>
      </c>
      <c r="I2008">
        <v>3204.01</v>
      </c>
      <c r="J2008" t="s">
        <v>27</v>
      </c>
      <c r="K2008">
        <v>0</v>
      </c>
      <c r="L2008" t="s">
        <v>25</v>
      </c>
      <c r="M2008" t="s">
        <v>19</v>
      </c>
    </row>
    <row r="2009" spans="1:13" x14ac:dyDescent="0.35">
      <c r="A2009">
        <v>1058</v>
      </c>
      <c r="B2009" s="1">
        <v>45252</v>
      </c>
      <c r="C2009" t="s">
        <v>33</v>
      </c>
      <c r="D2009" t="s">
        <v>20</v>
      </c>
      <c r="E2009">
        <v>14833.71</v>
      </c>
      <c r="F2009">
        <v>15</v>
      </c>
      <c r="G2009" t="s">
        <v>26</v>
      </c>
      <c r="H2009">
        <v>894.48</v>
      </c>
      <c r="I2009">
        <v>1336.37</v>
      </c>
      <c r="J2009" t="s">
        <v>17</v>
      </c>
      <c r="K2009">
        <v>0.26</v>
      </c>
      <c r="L2009" t="s">
        <v>18</v>
      </c>
      <c r="M2009" t="s">
        <v>21</v>
      </c>
    </row>
    <row r="2010" spans="1:13" x14ac:dyDescent="0.35">
      <c r="A2010">
        <v>1093</v>
      </c>
      <c r="B2010" s="1">
        <v>45252</v>
      </c>
      <c r="C2010" t="s">
        <v>29</v>
      </c>
      <c r="D2010" t="s">
        <v>15</v>
      </c>
      <c r="E2010">
        <v>77023.990000000005</v>
      </c>
      <c r="F2010">
        <v>22</v>
      </c>
      <c r="G2010" t="s">
        <v>16</v>
      </c>
      <c r="H2010">
        <v>3285.25</v>
      </c>
      <c r="I2010">
        <v>3634.58</v>
      </c>
      <c r="J2010" t="s">
        <v>27</v>
      </c>
      <c r="K2010">
        <v>0.04</v>
      </c>
      <c r="L2010" t="s">
        <v>25</v>
      </c>
      <c r="M2010" t="s">
        <v>19</v>
      </c>
    </row>
    <row r="2011" spans="1:13" x14ac:dyDescent="0.35">
      <c r="A2011">
        <v>1016</v>
      </c>
      <c r="B2011" s="1">
        <v>45253</v>
      </c>
      <c r="C2011" t="s">
        <v>32</v>
      </c>
      <c r="D2011" t="s">
        <v>30</v>
      </c>
      <c r="E2011">
        <v>128247.92</v>
      </c>
      <c r="F2011">
        <v>26</v>
      </c>
      <c r="G2011" t="s">
        <v>26</v>
      </c>
      <c r="H2011">
        <v>4906.8500000000004</v>
      </c>
      <c r="I2011">
        <v>4954.3900000000003</v>
      </c>
      <c r="J2011" t="s">
        <v>27</v>
      </c>
      <c r="K2011">
        <v>0</v>
      </c>
      <c r="L2011" t="s">
        <v>25</v>
      </c>
      <c r="M2011" t="s">
        <v>19</v>
      </c>
    </row>
    <row r="2012" spans="1:13" x14ac:dyDescent="0.35">
      <c r="A2012">
        <v>1065</v>
      </c>
      <c r="B2012" s="1">
        <v>45254</v>
      </c>
      <c r="C2012" t="s">
        <v>14</v>
      </c>
      <c r="D2012" t="s">
        <v>30</v>
      </c>
      <c r="E2012">
        <v>22473.01</v>
      </c>
      <c r="F2012">
        <v>18</v>
      </c>
      <c r="G2012" t="s">
        <v>24</v>
      </c>
      <c r="H2012">
        <v>1239.0899999999999</v>
      </c>
      <c r="I2012">
        <v>1273.98</v>
      </c>
      <c r="J2012" t="s">
        <v>27</v>
      </c>
      <c r="K2012">
        <v>0.02</v>
      </c>
      <c r="L2012" t="s">
        <v>25</v>
      </c>
      <c r="M2012" t="s">
        <v>21</v>
      </c>
    </row>
    <row r="2013" spans="1:13" x14ac:dyDescent="0.35">
      <c r="A2013">
        <v>1024</v>
      </c>
      <c r="B2013" s="1">
        <v>45254</v>
      </c>
      <c r="C2013" t="s">
        <v>33</v>
      </c>
      <c r="D2013" t="s">
        <v>23</v>
      </c>
      <c r="E2013">
        <v>103558.6</v>
      </c>
      <c r="F2013">
        <v>22</v>
      </c>
      <c r="G2013" t="s">
        <v>24</v>
      </c>
      <c r="H2013">
        <v>4691.32</v>
      </c>
      <c r="I2013">
        <v>4752.88</v>
      </c>
      <c r="J2013" t="s">
        <v>17</v>
      </c>
      <c r="K2013">
        <v>0.01</v>
      </c>
      <c r="L2013" t="s">
        <v>25</v>
      </c>
      <c r="M2013" t="s">
        <v>21</v>
      </c>
    </row>
    <row r="2014" spans="1:13" x14ac:dyDescent="0.35">
      <c r="A2014">
        <v>1003</v>
      </c>
      <c r="B2014" s="1">
        <v>45254</v>
      </c>
      <c r="C2014" t="s">
        <v>32</v>
      </c>
      <c r="D2014" t="s">
        <v>30</v>
      </c>
      <c r="E2014">
        <v>41136.06</v>
      </c>
      <c r="F2014">
        <v>11</v>
      </c>
      <c r="G2014" t="s">
        <v>24</v>
      </c>
      <c r="H2014">
        <v>3706.78</v>
      </c>
      <c r="I2014">
        <v>3862.26</v>
      </c>
      <c r="J2014" t="s">
        <v>27</v>
      </c>
      <c r="K2014">
        <v>0.03</v>
      </c>
      <c r="L2014" t="s">
        <v>28</v>
      </c>
      <c r="M2014" t="s">
        <v>21</v>
      </c>
    </row>
    <row r="2015" spans="1:13" x14ac:dyDescent="0.35">
      <c r="A2015">
        <v>1072</v>
      </c>
      <c r="B2015" s="1">
        <v>45254</v>
      </c>
      <c r="C2015" t="s">
        <v>33</v>
      </c>
      <c r="D2015" t="s">
        <v>30</v>
      </c>
      <c r="E2015">
        <v>12654.55</v>
      </c>
      <c r="F2015">
        <v>25</v>
      </c>
      <c r="G2015" t="s">
        <v>26</v>
      </c>
      <c r="H2015">
        <v>481.19</v>
      </c>
      <c r="I2015">
        <v>693.4</v>
      </c>
      <c r="J2015" t="s">
        <v>27</v>
      </c>
      <c r="K2015">
        <v>0.27</v>
      </c>
      <c r="L2015" t="s">
        <v>28</v>
      </c>
      <c r="M2015" t="s">
        <v>21</v>
      </c>
    </row>
    <row r="2016" spans="1:13" x14ac:dyDescent="0.35">
      <c r="A2016">
        <v>1071</v>
      </c>
      <c r="B2016" s="1">
        <v>45254</v>
      </c>
      <c r="C2016" t="s">
        <v>33</v>
      </c>
      <c r="D2016" t="s">
        <v>20</v>
      </c>
      <c r="E2016">
        <v>53402.97</v>
      </c>
      <c r="F2016">
        <v>12</v>
      </c>
      <c r="G2016" t="s">
        <v>24</v>
      </c>
      <c r="H2016">
        <v>4317.95</v>
      </c>
      <c r="I2016">
        <v>4636.59</v>
      </c>
      <c r="J2016" t="s">
        <v>27</v>
      </c>
      <c r="K2016">
        <v>0.04</v>
      </c>
      <c r="L2016" t="s">
        <v>28</v>
      </c>
      <c r="M2016" t="s">
        <v>21</v>
      </c>
    </row>
    <row r="2017" spans="1:13" x14ac:dyDescent="0.35">
      <c r="A2017">
        <v>1021</v>
      </c>
      <c r="B2017" s="1">
        <v>45254</v>
      </c>
      <c r="C2017" t="s">
        <v>32</v>
      </c>
      <c r="D2017" t="s">
        <v>15</v>
      </c>
      <c r="E2017">
        <v>62686.96</v>
      </c>
      <c r="F2017">
        <v>15</v>
      </c>
      <c r="G2017" t="s">
        <v>24</v>
      </c>
      <c r="H2017">
        <v>3771.27</v>
      </c>
      <c r="I2017">
        <v>4212.55</v>
      </c>
      <c r="J2017" t="s">
        <v>17</v>
      </c>
      <c r="K2017">
        <v>0.01</v>
      </c>
      <c r="L2017" t="s">
        <v>28</v>
      </c>
      <c r="M2017" t="s">
        <v>21</v>
      </c>
    </row>
    <row r="2018" spans="1:13" x14ac:dyDescent="0.35">
      <c r="A2018">
        <v>1022</v>
      </c>
      <c r="B2018" s="1">
        <v>45254</v>
      </c>
      <c r="C2018" t="s">
        <v>32</v>
      </c>
      <c r="D2018" t="s">
        <v>20</v>
      </c>
      <c r="E2018">
        <v>22956.27</v>
      </c>
      <c r="F2018">
        <v>29</v>
      </c>
      <c r="G2018" t="s">
        <v>16</v>
      </c>
      <c r="H2018">
        <v>479.58</v>
      </c>
      <c r="I2018">
        <v>909.88</v>
      </c>
      <c r="J2018" t="s">
        <v>17</v>
      </c>
      <c r="K2018">
        <v>0.13</v>
      </c>
      <c r="L2018" t="s">
        <v>28</v>
      </c>
      <c r="M2018" t="s">
        <v>21</v>
      </c>
    </row>
    <row r="2019" spans="1:13" x14ac:dyDescent="0.35">
      <c r="A2019">
        <v>1095</v>
      </c>
      <c r="B2019" s="1">
        <v>45255</v>
      </c>
      <c r="C2019" t="s">
        <v>33</v>
      </c>
      <c r="D2019" t="s">
        <v>30</v>
      </c>
      <c r="E2019">
        <v>28669.64</v>
      </c>
      <c r="F2019">
        <v>37</v>
      </c>
      <c r="G2019" t="s">
        <v>31</v>
      </c>
      <c r="H2019">
        <v>407.77</v>
      </c>
      <c r="I2019">
        <v>860.95</v>
      </c>
      <c r="J2019" t="s">
        <v>27</v>
      </c>
      <c r="K2019">
        <v>0.1</v>
      </c>
      <c r="L2019" t="s">
        <v>28</v>
      </c>
      <c r="M2019" t="s">
        <v>21</v>
      </c>
    </row>
    <row r="2020" spans="1:13" x14ac:dyDescent="0.35">
      <c r="A2020">
        <v>1074</v>
      </c>
      <c r="B2020" s="1">
        <v>45255</v>
      </c>
      <c r="C2020" t="s">
        <v>32</v>
      </c>
      <c r="D2020" t="s">
        <v>15</v>
      </c>
      <c r="E2020">
        <v>107333.82</v>
      </c>
      <c r="F2020">
        <v>42</v>
      </c>
      <c r="G2020" t="s">
        <v>16</v>
      </c>
      <c r="H2020">
        <v>2120.81</v>
      </c>
      <c r="I2020">
        <v>2611.94</v>
      </c>
      <c r="J2020" t="s">
        <v>17</v>
      </c>
      <c r="K2020">
        <v>0.02</v>
      </c>
      <c r="L2020" t="s">
        <v>18</v>
      </c>
      <c r="M2020" t="s">
        <v>19</v>
      </c>
    </row>
    <row r="2021" spans="1:13" x14ac:dyDescent="0.35">
      <c r="A2021">
        <v>1043</v>
      </c>
      <c r="B2021" s="1">
        <v>45256</v>
      </c>
      <c r="C2021" t="s">
        <v>14</v>
      </c>
      <c r="D2021" t="s">
        <v>23</v>
      </c>
      <c r="E2021">
        <v>6468.79</v>
      </c>
      <c r="F2021">
        <v>3</v>
      </c>
      <c r="G2021" t="s">
        <v>31</v>
      </c>
      <c r="H2021">
        <v>2009.1</v>
      </c>
      <c r="I2021">
        <v>2186.42</v>
      </c>
      <c r="J2021" t="s">
        <v>27</v>
      </c>
      <c r="K2021">
        <v>0.01</v>
      </c>
      <c r="L2021" t="s">
        <v>25</v>
      </c>
      <c r="M2021" t="s">
        <v>19</v>
      </c>
    </row>
    <row r="2022" spans="1:13" x14ac:dyDescent="0.35">
      <c r="A2022">
        <v>1095</v>
      </c>
      <c r="B2022" s="1">
        <v>45256</v>
      </c>
      <c r="C2022" t="s">
        <v>29</v>
      </c>
      <c r="D2022" t="s">
        <v>20</v>
      </c>
      <c r="E2022">
        <v>30337.49</v>
      </c>
      <c r="F2022">
        <v>7</v>
      </c>
      <c r="G2022" t="s">
        <v>24</v>
      </c>
      <c r="H2022">
        <v>4257.24</v>
      </c>
      <c r="I2022">
        <v>4355.87</v>
      </c>
      <c r="J2022" t="s">
        <v>17</v>
      </c>
      <c r="K2022">
        <v>0.01</v>
      </c>
      <c r="L2022" t="s">
        <v>25</v>
      </c>
      <c r="M2022" t="s">
        <v>19</v>
      </c>
    </row>
    <row r="2023" spans="1:13" x14ac:dyDescent="0.35">
      <c r="A2023">
        <v>1051</v>
      </c>
      <c r="B2023" s="1">
        <v>45256</v>
      </c>
      <c r="C2023" t="s">
        <v>32</v>
      </c>
      <c r="D2023" t="s">
        <v>23</v>
      </c>
      <c r="E2023">
        <v>33629.65</v>
      </c>
      <c r="F2023">
        <v>8</v>
      </c>
      <c r="G2023" t="s">
        <v>24</v>
      </c>
      <c r="H2023">
        <v>3970.37</v>
      </c>
      <c r="I2023">
        <v>4257.5200000000004</v>
      </c>
      <c r="J2023" t="s">
        <v>27</v>
      </c>
      <c r="K2023">
        <v>0.01</v>
      </c>
      <c r="L2023" t="s">
        <v>18</v>
      </c>
      <c r="M2023" t="s">
        <v>21</v>
      </c>
    </row>
    <row r="2024" spans="1:13" x14ac:dyDescent="0.35">
      <c r="A2024">
        <v>1070</v>
      </c>
      <c r="B2024" s="1">
        <v>45256</v>
      </c>
      <c r="C2024" t="s">
        <v>22</v>
      </c>
      <c r="D2024" t="s">
        <v>15</v>
      </c>
      <c r="E2024">
        <v>128614.39999999999</v>
      </c>
      <c r="F2024">
        <v>40</v>
      </c>
      <c r="G2024" t="s">
        <v>16</v>
      </c>
      <c r="H2024">
        <v>3089.96</v>
      </c>
      <c r="I2024">
        <v>3258.45</v>
      </c>
      <c r="J2024" t="s">
        <v>27</v>
      </c>
      <c r="K2024">
        <v>0.01</v>
      </c>
      <c r="L2024" t="s">
        <v>18</v>
      </c>
      <c r="M2024" t="s">
        <v>19</v>
      </c>
    </row>
    <row r="2025" spans="1:13" x14ac:dyDescent="0.35">
      <c r="A2025">
        <v>1030</v>
      </c>
      <c r="B2025" s="1">
        <v>45256</v>
      </c>
      <c r="C2025" t="s">
        <v>33</v>
      </c>
      <c r="D2025" t="s">
        <v>20</v>
      </c>
      <c r="E2025">
        <v>88712.44</v>
      </c>
      <c r="F2025">
        <v>39</v>
      </c>
      <c r="G2025" t="s">
        <v>31</v>
      </c>
      <c r="H2025">
        <v>2041.75</v>
      </c>
      <c r="I2025">
        <v>2299.37</v>
      </c>
      <c r="J2025" t="s">
        <v>17</v>
      </c>
      <c r="K2025">
        <v>0.01</v>
      </c>
      <c r="L2025" t="s">
        <v>25</v>
      </c>
      <c r="M2025" t="s">
        <v>21</v>
      </c>
    </row>
    <row r="2026" spans="1:13" x14ac:dyDescent="0.35">
      <c r="A2026">
        <v>1021</v>
      </c>
      <c r="B2026" s="1">
        <v>45257</v>
      </c>
      <c r="C2026" t="s">
        <v>33</v>
      </c>
      <c r="D2026" t="s">
        <v>23</v>
      </c>
      <c r="E2026">
        <v>74511.490000000005</v>
      </c>
      <c r="F2026">
        <v>31</v>
      </c>
      <c r="G2026" t="s">
        <v>16</v>
      </c>
      <c r="H2026">
        <v>2254.9899999999998</v>
      </c>
      <c r="I2026">
        <v>2441.79</v>
      </c>
      <c r="J2026" t="s">
        <v>17</v>
      </c>
      <c r="K2026">
        <v>0.02</v>
      </c>
      <c r="L2026" t="s">
        <v>25</v>
      </c>
      <c r="M2026" t="s">
        <v>19</v>
      </c>
    </row>
    <row r="2027" spans="1:13" x14ac:dyDescent="0.35">
      <c r="A2027">
        <v>1044</v>
      </c>
      <c r="B2027" s="1">
        <v>45258</v>
      </c>
      <c r="C2027" t="s">
        <v>29</v>
      </c>
      <c r="D2027" t="s">
        <v>20</v>
      </c>
      <c r="E2027">
        <v>22989.96</v>
      </c>
      <c r="F2027">
        <v>6</v>
      </c>
      <c r="G2027" t="s">
        <v>31</v>
      </c>
      <c r="H2027">
        <v>3703.93</v>
      </c>
      <c r="I2027">
        <v>3840.24</v>
      </c>
      <c r="J2027" t="s">
        <v>27</v>
      </c>
      <c r="K2027">
        <v>0</v>
      </c>
      <c r="L2027" t="s">
        <v>28</v>
      </c>
      <c r="M2027" t="s">
        <v>19</v>
      </c>
    </row>
    <row r="2028" spans="1:13" x14ac:dyDescent="0.35">
      <c r="A2028">
        <v>1089</v>
      </c>
      <c r="B2028" s="1">
        <v>45258</v>
      </c>
      <c r="C2028" t="s">
        <v>22</v>
      </c>
      <c r="D2028" t="s">
        <v>20</v>
      </c>
      <c r="E2028">
        <v>36669.440000000002</v>
      </c>
      <c r="F2028">
        <v>8</v>
      </c>
      <c r="G2028" t="s">
        <v>16</v>
      </c>
      <c r="H2028">
        <v>4349.34</v>
      </c>
      <c r="I2028">
        <v>4629.9799999999996</v>
      </c>
      <c r="J2028" t="s">
        <v>17</v>
      </c>
      <c r="K2028">
        <v>0.01</v>
      </c>
      <c r="L2028" t="s">
        <v>28</v>
      </c>
      <c r="M2028" t="s">
        <v>19</v>
      </c>
    </row>
    <row r="2029" spans="1:13" x14ac:dyDescent="0.35">
      <c r="A2029">
        <v>1005</v>
      </c>
      <c r="B2029" s="1">
        <v>45258</v>
      </c>
      <c r="C2029" t="s">
        <v>22</v>
      </c>
      <c r="D2029" t="s">
        <v>20</v>
      </c>
      <c r="E2029">
        <v>56588.6</v>
      </c>
      <c r="F2029">
        <v>43</v>
      </c>
      <c r="G2029" t="s">
        <v>16</v>
      </c>
      <c r="H2029">
        <v>1200.4000000000001</v>
      </c>
      <c r="I2029">
        <v>1430.45</v>
      </c>
      <c r="J2029" t="s">
        <v>27</v>
      </c>
      <c r="K2029">
        <v>0.08</v>
      </c>
      <c r="L2029" t="s">
        <v>25</v>
      </c>
      <c r="M2029" t="s">
        <v>21</v>
      </c>
    </row>
    <row r="2030" spans="1:13" x14ac:dyDescent="0.35">
      <c r="A2030">
        <v>1086</v>
      </c>
      <c r="B2030" s="1">
        <v>45259</v>
      </c>
      <c r="C2030" t="s">
        <v>14</v>
      </c>
      <c r="D2030" t="s">
        <v>20</v>
      </c>
      <c r="E2030">
        <v>6370.98</v>
      </c>
      <c r="F2030">
        <v>7</v>
      </c>
      <c r="G2030" t="s">
        <v>24</v>
      </c>
      <c r="H2030">
        <v>737.9</v>
      </c>
      <c r="I2030">
        <v>1182</v>
      </c>
      <c r="J2030" t="s">
        <v>27</v>
      </c>
      <c r="K2030">
        <v>0.23</v>
      </c>
      <c r="L2030" t="s">
        <v>28</v>
      </c>
      <c r="M2030" t="s">
        <v>21</v>
      </c>
    </row>
    <row r="2031" spans="1:13" x14ac:dyDescent="0.35">
      <c r="A2031">
        <v>1002</v>
      </c>
      <c r="B2031" s="1">
        <v>45259</v>
      </c>
      <c r="C2031" t="s">
        <v>22</v>
      </c>
      <c r="D2031" t="s">
        <v>15</v>
      </c>
      <c r="E2031">
        <v>83427.240000000005</v>
      </c>
      <c r="F2031">
        <v>24</v>
      </c>
      <c r="G2031" t="s">
        <v>16</v>
      </c>
      <c r="H2031">
        <v>3305.94</v>
      </c>
      <c r="I2031">
        <v>3599.27</v>
      </c>
      <c r="J2031" t="s">
        <v>27</v>
      </c>
      <c r="K2031">
        <v>0.03</v>
      </c>
      <c r="L2031" t="s">
        <v>28</v>
      </c>
      <c r="M2031" t="s">
        <v>21</v>
      </c>
    </row>
    <row r="2032" spans="1:13" x14ac:dyDescent="0.35">
      <c r="A2032">
        <v>1082</v>
      </c>
      <c r="B2032" s="1">
        <v>45260</v>
      </c>
      <c r="C2032" t="s">
        <v>33</v>
      </c>
      <c r="D2032" t="s">
        <v>23</v>
      </c>
      <c r="E2032">
        <v>57027.73</v>
      </c>
      <c r="F2032">
        <v>41</v>
      </c>
      <c r="G2032" t="s">
        <v>31</v>
      </c>
      <c r="H2032">
        <v>1196.42</v>
      </c>
      <c r="I2032">
        <v>1444.97</v>
      </c>
      <c r="J2032" t="s">
        <v>17</v>
      </c>
      <c r="K2032">
        <v>0.04</v>
      </c>
      <c r="L2032" t="s">
        <v>25</v>
      </c>
      <c r="M2032" t="s">
        <v>19</v>
      </c>
    </row>
    <row r="2033" spans="1:13" x14ac:dyDescent="0.35">
      <c r="A2033">
        <v>1096</v>
      </c>
      <c r="B2033" s="1">
        <v>45261</v>
      </c>
      <c r="C2033" t="s">
        <v>14</v>
      </c>
      <c r="D2033" t="s">
        <v>30</v>
      </c>
      <c r="E2033">
        <v>41209.64</v>
      </c>
      <c r="F2033">
        <v>20</v>
      </c>
      <c r="G2033" t="s">
        <v>16</v>
      </c>
      <c r="H2033">
        <v>1994.9</v>
      </c>
      <c r="I2033">
        <v>2066.5</v>
      </c>
      <c r="J2033" t="s">
        <v>17</v>
      </c>
      <c r="K2033">
        <v>0</v>
      </c>
      <c r="L2033" t="s">
        <v>25</v>
      </c>
      <c r="M2033" t="s">
        <v>19</v>
      </c>
    </row>
    <row r="2034" spans="1:13" x14ac:dyDescent="0.35">
      <c r="A2034">
        <v>1055</v>
      </c>
      <c r="B2034" s="1">
        <v>45261</v>
      </c>
      <c r="C2034" t="s">
        <v>29</v>
      </c>
      <c r="D2034" t="s">
        <v>20</v>
      </c>
      <c r="E2034">
        <v>30467.83</v>
      </c>
      <c r="F2034">
        <v>8</v>
      </c>
      <c r="G2034" t="s">
        <v>16</v>
      </c>
      <c r="H2034">
        <v>3513</v>
      </c>
      <c r="I2034">
        <v>3838.42</v>
      </c>
      <c r="J2034" t="s">
        <v>17</v>
      </c>
      <c r="K2034">
        <v>0.01</v>
      </c>
      <c r="L2034" t="s">
        <v>25</v>
      </c>
      <c r="M2034" t="s">
        <v>19</v>
      </c>
    </row>
    <row r="2035" spans="1:13" x14ac:dyDescent="0.35">
      <c r="A2035">
        <v>1100</v>
      </c>
      <c r="B2035" s="1">
        <v>45261</v>
      </c>
      <c r="C2035" t="s">
        <v>33</v>
      </c>
      <c r="D2035" t="s">
        <v>30</v>
      </c>
      <c r="E2035">
        <v>183677.52</v>
      </c>
      <c r="F2035">
        <v>34</v>
      </c>
      <c r="G2035" t="s">
        <v>16</v>
      </c>
      <c r="H2035">
        <v>4991.09</v>
      </c>
      <c r="I2035">
        <v>5402.28</v>
      </c>
      <c r="J2035" t="s">
        <v>17</v>
      </c>
      <c r="K2035">
        <v>0</v>
      </c>
      <c r="L2035" t="s">
        <v>18</v>
      </c>
      <c r="M2035" t="s">
        <v>21</v>
      </c>
    </row>
    <row r="2036" spans="1:13" x14ac:dyDescent="0.35">
      <c r="A2036">
        <v>1073</v>
      </c>
      <c r="B2036" s="1">
        <v>45261</v>
      </c>
      <c r="C2036" t="s">
        <v>22</v>
      </c>
      <c r="D2036" t="s">
        <v>20</v>
      </c>
      <c r="E2036">
        <v>117646.53</v>
      </c>
      <c r="F2036">
        <v>40</v>
      </c>
      <c r="G2036" t="s">
        <v>16</v>
      </c>
      <c r="H2036">
        <v>2565.3000000000002</v>
      </c>
      <c r="I2036">
        <v>3007.47</v>
      </c>
      <c r="J2036" t="s">
        <v>17</v>
      </c>
      <c r="K2036">
        <v>0.02</v>
      </c>
      <c r="L2036" t="s">
        <v>28</v>
      </c>
      <c r="M2036" t="s">
        <v>21</v>
      </c>
    </row>
    <row r="2037" spans="1:13" x14ac:dyDescent="0.35">
      <c r="A2037">
        <v>1077</v>
      </c>
      <c r="B2037" s="1">
        <v>45262</v>
      </c>
      <c r="C2037" t="s">
        <v>22</v>
      </c>
      <c r="D2037" t="s">
        <v>30</v>
      </c>
      <c r="E2037">
        <v>56186.400000000001</v>
      </c>
      <c r="F2037">
        <v>24</v>
      </c>
      <c r="G2037" t="s">
        <v>31</v>
      </c>
      <c r="H2037">
        <v>2258.54</v>
      </c>
      <c r="I2037">
        <v>2439.4899999999998</v>
      </c>
      <c r="J2037" t="s">
        <v>17</v>
      </c>
      <c r="K2037">
        <v>0.04</v>
      </c>
      <c r="L2037" t="s">
        <v>28</v>
      </c>
      <c r="M2037" t="s">
        <v>21</v>
      </c>
    </row>
    <row r="2038" spans="1:13" x14ac:dyDescent="0.35">
      <c r="A2038">
        <v>1092</v>
      </c>
      <c r="B2038" s="1">
        <v>45263</v>
      </c>
      <c r="C2038" t="s">
        <v>22</v>
      </c>
      <c r="D2038" t="s">
        <v>30</v>
      </c>
      <c r="E2038">
        <v>3584.2</v>
      </c>
      <c r="F2038">
        <v>6</v>
      </c>
      <c r="G2038" t="s">
        <v>26</v>
      </c>
      <c r="H2038">
        <v>422.74</v>
      </c>
      <c r="I2038">
        <v>737.49</v>
      </c>
      <c r="J2038" t="s">
        <v>17</v>
      </c>
      <c r="K2038">
        <v>0.19</v>
      </c>
      <c r="L2038" t="s">
        <v>28</v>
      </c>
      <c r="M2038" t="s">
        <v>21</v>
      </c>
    </row>
    <row r="2039" spans="1:13" x14ac:dyDescent="0.35">
      <c r="A2039">
        <v>1011</v>
      </c>
      <c r="B2039" s="1">
        <v>45263</v>
      </c>
      <c r="C2039" t="s">
        <v>14</v>
      </c>
      <c r="D2039" t="s">
        <v>30</v>
      </c>
      <c r="E2039">
        <v>23620.81</v>
      </c>
      <c r="F2039">
        <v>13</v>
      </c>
      <c r="G2039" t="s">
        <v>31</v>
      </c>
      <c r="H2039">
        <v>1442.69</v>
      </c>
      <c r="I2039">
        <v>1882.57</v>
      </c>
      <c r="J2039" t="s">
        <v>17</v>
      </c>
      <c r="K2039">
        <v>0.03</v>
      </c>
      <c r="L2039" t="s">
        <v>18</v>
      </c>
      <c r="M2039" t="s">
        <v>19</v>
      </c>
    </row>
    <row r="2040" spans="1:13" x14ac:dyDescent="0.35">
      <c r="A2040">
        <v>1069</v>
      </c>
      <c r="B2040" s="1">
        <v>45263</v>
      </c>
      <c r="C2040" t="s">
        <v>22</v>
      </c>
      <c r="D2040" t="s">
        <v>15</v>
      </c>
      <c r="E2040">
        <v>107927.52</v>
      </c>
      <c r="F2040">
        <v>35</v>
      </c>
      <c r="G2040" t="s">
        <v>31</v>
      </c>
      <c r="H2040">
        <v>2885.16</v>
      </c>
      <c r="I2040">
        <v>3224.84</v>
      </c>
      <c r="J2040" t="s">
        <v>27</v>
      </c>
      <c r="K2040">
        <v>0.04</v>
      </c>
      <c r="L2040" t="s">
        <v>18</v>
      </c>
      <c r="M2040" t="s">
        <v>19</v>
      </c>
    </row>
    <row r="2041" spans="1:13" x14ac:dyDescent="0.35">
      <c r="A2041">
        <v>1063</v>
      </c>
      <c r="B2041" s="1">
        <v>45264</v>
      </c>
      <c r="C2041" t="s">
        <v>22</v>
      </c>
      <c r="D2041" t="s">
        <v>23</v>
      </c>
      <c r="E2041">
        <v>34741.58</v>
      </c>
      <c r="F2041">
        <v>14</v>
      </c>
      <c r="G2041" t="s">
        <v>26</v>
      </c>
      <c r="H2041">
        <v>2188.35</v>
      </c>
      <c r="I2041">
        <v>2605.36</v>
      </c>
      <c r="J2041" t="s">
        <v>17</v>
      </c>
      <c r="K2041">
        <v>0.05</v>
      </c>
      <c r="L2041" t="s">
        <v>28</v>
      </c>
      <c r="M2041" t="s">
        <v>21</v>
      </c>
    </row>
    <row r="2042" spans="1:13" x14ac:dyDescent="0.35">
      <c r="A2042">
        <v>1014</v>
      </c>
      <c r="B2042" s="1">
        <v>45264</v>
      </c>
      <c r="C2042" t="s">
        <v>14</v>
      </c>
      <c r="D2042" t="s">
        <v>20</v>
      </c>
      <c r="E2042">
        <v>35247.81</v>
      </c>
      <c r="F2042">
        <v>49</v>
      </c>
      <c r="G2042" t="s">
        <v>16</v>
      </c>
      <c r="H2042">
        <v>493.35</v>
      </c>
      <c r="I2042">
        <v>799.27</v>
      </c>
      <c r="J2042" t="s">
        <v>27</v>
      </c>
      <c r="K2042">
        <v>0.1</v>
      </c>
      <c r="L2042" t="s">
        <v>25</v>
      </c>
      <c r="M2042" t="s">
        <v>19</v>
      </c>
    </row>
    <row r="2043" spans="1:13" x14ac:dyDescent="0.35">
      <c r="A2043">
        <v>1094</v>
      </c>
      <c r="B2043" s="1">
        <v>45265</v>
      </c>
      <c r="C2043" t="s">
        <v>32</v>
      </c>
      <c r="D2043" t="s">
        <v>30</v>
      </c>
      <c r="E2043">
        <v>7226.58</v>
      </c>
      <c r="F2043">
        <v>12</v>
      </c>
      <c r="G2043" t="s">
        <v>16</v>
      </c>
      <c r="H2043">
        <v>333.32</v>
      </c>
      <c r="I2043">
        <v>700.25</v>
      </c>
      <c r="J2043" t="s">
        <v>17</v>
      </c>
      <c r="K2043">
        <v>0.14000000000000001</v>
      </c>
      <c r="L2043" t="s">
        <v>18</v>
      </c>
      <c r="M2043" t="s">
        <v>19</v>
      </c>
    </row>
    <row r="2044" spans="1:13" x14ac:dyDescent="0.35">
      <c r="A2044">
        <v>1008</v>
      </c>
      <c r="B2044" s="1">
        <v>45265</v>
      </c>
      <c r="C2044" t="s">
        <v>29</v>
      </c>
      <c r="D2044" t="s">
        <v>30</v>
      </c>
      <c r="E2044">
        <v>9504.48</v>
      </c>
      <c r="F2044">
        <v>27</v>
      </c>
      <c r="G2044" t="s">
        <v>31</v>
      </c>
      <c r="H2044">
        <v>68.989999999999995</v>
      </c>
      <c r="I2044">
        <v>429.29</v>
      </c>
      <c r="J2044" t="s">
        <v>17</v>
      </c>
      <c r="K2044">
        <v>0.18</v>
      </c>
      <c r="L2044" t="s">
        <v>28</v>
      </c>
      <c r="M2044" t="s">
        <v>21</v>
      </c>
    </row>
    <row r="2045" spans="1:13" x14ac:dyDescent="0.35">
      <c r="A2045">
        <v>1085</v>
      </c>
      <c r="B2045" s="1">
        <v>45266</v>
      </c>
      <c r="C2045" t="s">
        <v>32</v>
      </c>
      <c r="D2045" t="s">
        <v>15</v>
      </c>
      <c r="E2045">
        <v>132058.9</v>
      </c>
      <c r="F2045">
        <v>42</v>
      </c>
      <c r="G2045" t="s">
        <v>31</v>
      </c>
      <c r="H2045">
        <v>3117.75</v>
      </c>
      <c r="I2045">
        <v>3159.88</v>
      </c>
      <c r="J2045" t="s">
        <v>27</v>
      </c>
      <c r="K2045">
        <v>0</v>
      </c>
      <c r="L2045" t="s">
        <v>18</v>
      </c>
      <c r="M2045" t="s">
        <v>21</v>
      </c>
    </row>
    <row r="2046" spans="1:13" x14ac:dyDescent="0.35">
      <c r="A2046">
        <v>1073</v>
      </c>
      <c r="B2046" s="1">
        <v>45266</v>
      </c>
      <c r="C2046" t="s">
        <v>33</v>
      </c>
      <c r="D2046" t="s">
        <v>15</v>
      </c>
      <c r="E2046">
        <v>142605.32999999999</v>
      </c>
      <c r="F2046">
        <v>31</v>
      </c>
      <c r="G2046" t="s">
        <v>24</v>
      </c>
      <c r="H2046">
        <v>4368.97</v>
      </c>
      <c r="I2046">
        <v>4696.8500000000004</v>
      </c>
      <c r="J2046" t="s">
        <v>17</v>
      </c>
      <c r="K2046">
        <v>0.02</v>
      </c>
      <c r="L2046" t="s">
        <v>25</v>
      </c>
      <c r="M2046" t="s">
        <v>21</v>
      </c>
    </row>
    <row r="2047" spans="1:13" x14ac:dyDescent="0.35">
      <c r="A2047">
        <v>1099</v>
      </c>
      <c r="B2047" s="1">
        <v>45267</v>
      </c>
      <c r="C2047" t="s">
        <v>14</v>
      </c>
      <c r="D2047" t="s">
        <v>30</v>
      </c>
      <c r="E2047">
        <v>54612.34</v>
      </c>
      <c r="F2047">
        <v>22</v>
      </c>
      <c r="G2047" t="s">
        <v>16</v>
      </c>
      <c r="H2047">
        <v>2471.67</v>
      </c>
      <c r="I2047">
        <v>2533.04</v>
      </c>
      <c r="J2047" t="s">
        <v>17</v>
      </c>
      <c r="K2047">
        <v>0.02</v>
      </c>
      <c r="L2047" t="s">
        <v>25</v>
      </c>
      <c r="M2047" t="s">
        <v>21</v>
      </c>
    </row>
    <row r="2048" spans="1:13" x14ac:dyDescent="0.35">
      <c r="A2048">
        <v>1095</v>
      </c>
      <c r="B2048" s="1">
        <v>45268</v>
      </c>
      <c r="C2048" t="s">
        <v>32</v>
      </c>
      <c r="D2048" t="s">
        <v>30</v>
      </c>
      <c r="E2048">
        <v>13798.63</v>
      </c>
      <c r="F2048">
        <v>4</v>
      </c>
      <c r="G2048" t="s">
        <v>26</v>
      </c>
      <c r="H2048">
        <v>3191.05</v>
      </c>
      <c r="I2048">
        <v>3555.35</v>
      </c>
      <c r="J2048" t="s">
        <v>27</v>
      </c>
      <c r="K2048">
        <v>0.03</v>
      </c>
      <c r="L2048" t="s">
        <v>28</v>
      </c>
      <c r="M2048" t="s">
        <v>19</v>
      </c>
    </row>
    <row r="2049" spans="1:13" x14ac:dyDescent="0.35">
      <c r="A2049">
        <v>1008</v>
      </c>
      <c r="B2049" s="1">
        <v>45268</v>
      </c>
      <c r="C2049" t="s">
        <v>33</v>
      </c>
      <c r="D2049" t="s">
        <v>23</v>
      </c>
      <c r="E2049">
        <v>144328.54999999999</v>
      </c>
      <c r="F2049">
        <v>49</v>
      </c>
      <c r="G2049" t="s">
        <v>31</v>
      </c>
      <c r="H2049">
        <v>2907.22</v>
      </c>
      <c r="I2049">
        <v>3385.61</v>
      </c>
      <c r="J2049" t="s">
        <v>27</v>
      </c>
      <c r="K2049">
        <v>0.13</v>
      </c>
      <c r="L2049" t="s">
        <v>18</v>
      </c>
      <c r="M2049" t="s">
        <v>19</v>
      </c>
    </row>
    <row r="2050" spans="1:13" x14ac:dyDescent="0.35">
      <c r="A2050">
        <v>1031</v>
      </c>
      <c r="B2050" s="1">
        <v>45268</v>
      </c>
      <c r="C2050" t="s">
        <v>22</v>
      </c>
      <c r="D2050" t="s">
        <v>15</v>
      </c>
      <c r="E2050">
        <v>95713.45</v>
      </c>
      <c r="F2050">
        <v>22</v>
      </c>
      <c r="G2050" t="s">
        <v>24</v>
      </c>
      <c r="H2050">
        <v>4236.05</v>
      </c>
      <c r="I2050">
        <v>4382.32</v>
      </c>
      <c r="J2050" t="s">
        <v>27</v>
      </c>
      <c r="K2050">
        <v>0.01</v>
      </c>
      <c r="L2050" t="s">
        <v>25</v>
      </c>
      <c r="M2050" t="s">
        <v>19</v>
      </c>
    </row>
    <row r="2051" spans="1:13" x14ac:dyDescent="0.35">
      <c r="A2051">
        <v>1036</v>
      </c>
      <c r="B2051" s="1">
        <v>45270</v>
      </c>
      <c r="C2051" t="s">
        <v>22</v>
      </c>
      <c r="D2051" t="s">
        <v>15</v>
      </c>
      <c r="E2051">
        <v>21038.61</v>
      </c>
      <c r="F2051">
        <v>7</v>
      </c>
      <c r="G2051" t="s">
        <v>24</v>
      </c>
      <c r="H2051">
        <v>2882.25</v>
      </c>
      <c r="I2051">
        <v>3163.7</v>
      </c>
      <c r="J2051" t="s">
        <v>17</v>
      </c>
      <c r="K2051">
        <v>0.05</v>
      </c>
      <c r="L2051" t="s">
        <v>18</v>
      </c>
      <c r="M2051" t="s">
        <v>21</v>
      </c>
    </row>
    <row r="2052" spans="1:13" x14ac:dyDescent="0.35">
      <c r="A2052">
        <v>1062</v>
      </c>
      <c r="B2052" s="1">
        <v>45270</v>
      </c>
      <c r="C2052" t="s">
        <v>22</v>
      </c>
      <c r="D2052" t="s">
        <v>20</v>
      </c>
      <c r="E2052">
        <v>13974.94</v>
      </c>
      <c r="F2052">
        <v>11</v>
      </c>
      <c r="G2052" t="s">
        <v>31</v>
      </c>
      <c r="H2052">
        <v>1190.08</v>
      </c>
      <c r="I2052">
        <v>1292.94</v>
      </c>
      <c r="J2052" t="s">
        <v>17</v>
      </c>
      <c r="K2052">
        <v>0.02</v>
      </c>
      <c r="L2052" t="s">
        <v>18</v>
      </c>
      <c r="M2052" t="s">
        <v>21</v>
      </c>
    </row>
    <row r="2053" spans="1:13" x14ac:dyDescent="0.35">
      <c r="A2053">
        <v>1098</v>
      </c>
      <c r="B2053" s="1">
        <v>45270</v>
      </c>
      <c r="C2053" t="s">
        <v>32</v>
      </c>
      <c r="D2053" t="s">
        <v>30</v>
      </c>
      <c r="E2053">
        <v>110145.75</v>
      </c>
      <c r="F2053">
        <v>28</v>
      </c>
      <c r="G2053" t="s">
        <v>31</v>
      </c>
      <c r="H2053">
        <v>3895.62</v>
      </c>
      <c r="I2053">
        <v>4055.44</v>
      </c>
      <c r="J2053" t="s">
        <v>27</v>
      </c>
      <c r="K2053">
        <v>0.03</v>
      </c>
      <c r="L2053" t="s">
        <v>25</v>
      </c>
      <c r="M2053" t="s">
        <v>21</v>
      </c>
    </row>
    <row r="2054" spans="1:13" x14ac:dyDescent="0.35">
      <c r="A2054">
        <v>1037</v>
      </c>
      <c r="B2054" s="1">
        <v>45270</v>
      </c>
      <c r="C2054" t="s">
        <v>14</v>
      </c>
      <c r="D2054" t="s">
        <v>15</v>
      </c>
      <c r="E2054">
        <v>84612.72</v>
      </c>
      <c r="F2054">
        <v>32</v>
      </c>
      <c r="G2054" t="s">
        <v>31</v>
      </c>
      <c r="H2054">
        <v>2594.08</v>
      </c>
      <c r="I2054">
        <v>3074.59</v>
      </c>
      <c r="J2054" t="s">
        <v>27</v>
      </c>
      <c r="K2054">
        <v>0.14000000000000001</v>
      </c>
      <c r="L2054" t="s">
        <v>18</v>
      </c>
      <c r="M2054" t="s">
        <v>21</v>
      </c>
    </row>
    <row r="2055" spans="1:13" x14ac:dyDescent="0.35">
      <c r="A2055">
        <v>1020</v>
      </c>
      <c r="B2055" s="1">
        <v>45270</v>
      </c>
      <c r="C2055" t="s">
        <v>14</v>
      </c>
      <c r="D2055" t="s">
        <v>15</v>
      </c>
      <c r="E2055">
        <v>201772.2</v>
      </c>
      <c r="F2055">
        <v>45</v>
      </c>
      <c r="G2055" t="s">
        <v>31</v>
      </c>
      <c r="H2055">
        <v>4268.45</v>
      </c>
      <c r="I2055">
        <v>4551.6000000000004</v>
      </c>
      <c r="J2055" t="s">
        <v>27</v>
      </c>
      <c r="K2055">
        <v>0.01</v>
      </c>
      <c r="L2055" t="s">
        <v>25</v>
      </c>
      <c r="M2055" t="s">
        <v>19</v>
      </c>
    </row>
    <row r="2056" spans="1:13" x14ac:dyDescent="0.35">
      <c r="A2056">
        <v>1045</v>
      </c>
      <c r="B2056" s="1">
        <v>45271</v>
      </c>
      <c r="C2056" t="s">
        <v>33</v>
      </c>
      <c r="D2056" t="s">
        <v>20</v>
      </c>
      <c r="E2056">
        <v>12678.7</v>
      </c>
      <c r="F2056">
        <v>22</v>
      </c>
      <c r="G2056" t="s">
        <v>26</v>
      </c>
      <c r="H2056">
        <v>241.85</v>
      </c>
      <c r="I2056">
        <v>613.09</v>
      </c>
      <c r="J2056" t="s">
        <v>17</v>
      </c>
      <c r="K2056">
        <v>0.06</v>
      </c>
      <c r="L2056" t="s">
        <v>18</v>
      </c>
      <c r="M2056" t="s">
        <v>19</v>
      </c>
    </row>
    <row r="2057" spans="1:13" x14ac:dyDescent="0.35">
      <c r="A2057">
        <v>1051</v>
      </c>
      <c r="B2057" s="1">
        <v>45272</v>
      </c>
      <c r="C2057" t="s">
        <v>32</v>
      </c>
      <c r="D2057" t="s">
        <v>15</v>
      </c>
      <c r="E2057">
        <v>5070.1400000000003</v>
      </c>
      <c r="F2057">
        <v>8</v>
      </c>
      <c r="G2057" t="s">
        <v>26</v>
      </c>
      <c r="H2057">
        <v>467.11</v>
      </c>
      <c r="I2057">
        <v>792.21</v>
      </c>
      <c r="J2057" t="s">
        <v>27</v>
      </c>
      <c r="K2057">
        <v>0.2</v>
      </c>
      <c r="L2057" t="s">
        <v>28</v>
      </c>
      <c r="M2057" t="s">
        <v>19</v>
      </c>
    </row>
    <row r="2058" spans="1:13" x14ac:dyDescent="0.35">
      <c r="A2058">
        <v>1053</v>
      </c>
      <c r="B2058" s="1">
        <v>45272</v>
      </c>
      <c r="C2058" t="s">
        <v>33</v>
      </c>
      <c r="D2058" t="s">
        <v>23</v>
      </c>
      <c r="E2058">
        <v>172396.12</v>
      </c>
      <c r="F2058">
        <v>47</v>
      </c>
      <c r="G2058" t="s">
        <v>31</v>
      </c>
      <c r="H2058">
        <v>3551.76</v>
      </c>
      <c r="I2058">
        <v>3696.1</v>
      </c>
      <c r="J2058" t="s">
        <v>17</v>
      </c>
      <c r="K2058">
        <v>0.01</v>
      </c>
      <c r="L2058" t="s">
        <v>25</v>
      </c>
      <c r="M2058" t="s">
        <v>21</v>
      </c>
    </row>
    <row r="2059" spans="1:13" x14ac:dyDescent="0.35">
      <c r="A2059">
        <v>1070</v>
      </c>
      <c r="B2059" s="1">
        <v>45273</v>
      </c>
      <c r="C2059" t="s">
        <v>33</v>
      </c>
      <c r="D2059" t="s">
        <v>20</v>
      </c>
      <c r="E2059">
        <v>32311.5</v>
      </c>
      <c r="F2059">
        <v>8</v>
      </c>
      <c r="G2059" t="s">
        <v>26</v>
      </c>
      <c r="H2059">
        <v>3762.27</v>
      </c>
      <c r="I2059">
        <v>4166.95</v>
      </c>
      <c r="J2059" t="s">
        <v>17</v>
      </c>
      <c r="K2059">
        <v>0.03</v>
      </c>
      <c r="L2059" t="s">
        <v>25</v>
      </c>
      <c r="M2059" t="s">
        <v>19</v>
      </c>
    </row>
    <row r="2060" spans="1:13" x14ac:dyDescent="0.35">
      <c r="A2060">
        <v>1092</v>
      </c>
      <c r="B2060" s="1">
        <v>45273</v>
      </c>
      <c r="C2060" t="s">
        <v>29</v>
      </c>
      <c r="D2060" t="s">
        <v>15</v>
      </c>
      <c r="E2060">
        <v>40017.94</v>
      </c>
      <c r="F2060">
        <v>15</v>
      </c>
      <c r="G2060" t="s">
        <v>26</v>
      </c>
      <c r="H2060">
        <v>2273.88</v>
      </c>
      <c r="I2060">
        <v>2696.02</v>
      </c>
      <c r="J2060" t="s">
        <v>27</v>
      </c>
      <c r="K2060">
        <v>0.01</v>
      </c>
      <c r="L2060" t="s">
        <v>18</v>
      </c>
      <c r="M2060" t="s">
        <v>19</v>
      </c>
    </row>
    <row r="2061" spans="1:13" x14ac:dyDescent="0.35">
      <c r="A2061">
        <v>1070</v>
      </c>
      <c r="B2061" s="1">
        <v>45274</v>
      </c>
      <c r="C2061" t="s">
        <v>29</v>
      </c>
      <c r="D2061" t="s">
        <v>23</v>
      </c>
      <c r="E2061">
        <v>28980.400000000001</v>
      </c>
      <c r="F2061">
        <v>33</v>
      </c>
      <c r="G2061" t="s">
        <v>24</v>
      </c>
      <c r="H2061">
        <v>866.42</v>
      </c>
      <c r="I2061">
        <v>878.43</v>
      </c>
      <c r="J2061" t="s">
        <v>27</v>
      </c>
      <c r="K2061">
        <v>0</v>
      </c>
      <c r="L2061" t="s">
        <v>18</v>
      </c>
      <c r="M2061" t="s">
        <v>21</v>
      </c>
    </row>
    <row r="2062" spans="1:13" x14ac:dyDescent="0.35">
      <c r="A2062">
        <v>1043</v>
      </c>
      <c r="B2062" s="1">
        <v>45275</v>
      </c>
      <c r="C2062" t="s">
        <v>22</v>
      </c>
      <c r="D2062" t="s">
        <v>20</v>
      </c>
      <c r="E2062">
        <v>4178.07</v>
      </c>
      <c r="F2062">
        <v>6</v>
      </c>
      <c r="G2062" t="s">
        <v>26</v>
      </c>
      <c r="H2062">
        <v>563.59</v>
      </c>
      <c r="I2062">
        <v>838.97</v>
      </c>
      <c r="J2062" t="s">
        <v>27</v>
      </c>
      <c r="K2062">
        <v>0.17</v>
      </c>
      <c r="L2062" t="s">
        <v>28</v>
      </c>
      <c r="M2062" t="s">
        <v>19</v>
      </c>
    </row>
    <row r="2063" spans="1:13" x14ac:dyDescent="0.35">
      <c r="A2063">
        <v>1076</v>
      </c>
      <c r="B2063" s="1">
        <v>45275</v>
      </c>
      <c r="C2063" t="s">
        <v>14</v>
      </c>
      <c r="D2063" t="s">
        <v>20</v>
      </c>
      <c r="E2063">
        <v>85621.98</v>
      </c>
      <c r="F2063">
        <v>32</v>
      </c>
      <c r="G2063" t="s">
        <v>24</v>
      </c>
      <c r="H2063">
        <v>2636.36</v>
      </c>
      <c r="I2063">
        <v>2696.78</v>
      </c>
      <c r="J2063" t="s">
        <v>27</v>
      </c>
      <c r="K2063">
        <v>0.01</v>
      </c>
      <c r="L2063" t="s">
        <v>18</v>
      </c>
      <c r="M2063" t="s">
        <v>21</v>
      </c>
    </row>
    <row r="2064" spans="1:13" x14ac:dyDescent="0.35">
      <c r="A2064">
        <v>1012</v>
      </c>
      <c r="B2064" s="1">
        <v>45275</v>
      </c>
      <c r="C2064" t="s">
        <v>14</v>
      </c>
      <c r="D2064" t="s">
        <v>20</v>
      </c>
      <c r="E2064">
        <v>30717.9</v>
      </c>
      <c r="F2064">
        <v>13</v>
      </c>
      <c r="G2064" t="s">
        <v>31</v>
      </c>
      <c r="H2064">
        <v>2231.66</v>
      </c>
      <c r="I2064">
        <v>2596.61</v>
      </c>
      <c r="J2064" t="s">
        <v>17</v>
      </c>
      <c r="K2064">
        <v>0.09</v>
      </c>
      <c r="L2064" t="s">
        <v>25</v>
      </c>
      <c r="M2064" t="s">
        <v>21</v>
      </c>
    </row>
    <row r="2065" spans="1:13" x14ac:dyDescent="0.35">
      <c r="A2065">
        <v>1045</v>
      </c>
      <c r="B2065" s="1">
        <v>45275</v>
      </c>
      <c r="C2065" t="s">
        <v>22</v>
      </c>
      <c r="D2065" t="s">
        <v>23</v>
      </c>
      <c r="E2065">
        <v>153076.37</v>
      </c>
      <c r="F2065">
        <v>42</v>
      </c>
      <c r="G2065" t="s">
        <v>26</v>
      </c>
      <c r="H2065">
        <v>3587.74</v>
      </c>
      <c r="I2065">
        <v>3745.91</v>
      </c>
      <c r="J2065" t="s">
        <v>17</v>
      </c>
      <c r="K2065">
        <v>0.03</v>
      </c>
      <c r="L2065" t="s">
        <v>18</v>
      </c>
      <c r="M2065" t="s">
        <v>19</v>
      </c>
    </row>
    <row r="2066" spans="1:13" x14ac:dyDescent="0.35">
      <c r="A2066">
        <v>1019</v>
      </c>
      <c r="B2066" s="1">
        <v>45275</v>
      </c>
      <c r="C2066" t="s">
        <v>22</v>
      </c>
      <c r="D2066" t="s">
        <v>30</v>
      </c>
      <c r="E2066">
        <v>55908.78</v>
      </c>
      <c r="F2066">
        <v>36</v>
      </c>
      <c r="G2066" t="s">
        <v>26</v>
      </c>
      <c r="H2066">
        <v>1340.51</v>
      </c>
      <c r="I2066">
        <v>1567.92</v>
      </c>
      <c r="J2066" t="s">
        <v>27</v>
      </c>
      <c r="K2066">
        <v>0.01</v>
      </c>
      <c r="L2066" t="s">
        <v>18</v>
      </c>
      <c r="M2066" t="s">
        <v>19</v>
      </c>
    </row>
    <row r="2067" spans="1:13" x14ac:dyDescent="0.35">
      <c r="A2067">
        <v>1061</v>
      </c>
      <c r="B2067" s="1">
        <v>45275</v>
      </c>
      <c r="C2067" t="s">
        <v>33</v>
      </c>
      <c r="D2067" t="s">
        <v>15</v>
      </c>
      <c r="E2067">
        <v>100514.73</v>
      </c>
      <c r="F2067">
        <v>32</v>
      </c>
      <c r="G2067" t="s">
        <v>24</v>
      </c>
      <c r="H2067">
        <v>2759.26</v>
      </c>
      <c r="I2067">
        <v>3193.25</v>
      </c>
      <c r="J2067" t="s">
        <v>27</v>
      </c>
      <c r="K2067">
        <v>0.02</v>
      </c>
      <c r="L2067" t="s">
        <v>25</v>
      </c>
      <c r="M2067" t="s">
        <v>19</v>
      </c>
    </row>
    <row r="2068" spans="1:13" x14ac:dyDescent="0.35">
      <c r="A2068">
        <v>1074</v>
      </c>
      <c r="B2068" s="1">
        <v>45276</v>
      </c>
      <c r="C2068" t="s">
        <v>14</v>
      </c>
      <c r="D2068" t="s">
        <v>15</v>
      </c>
      <c r="E2068">
        <v>6110</v>
      </c>
      <c r="F2068">
        <v>19</v>
      </c>
      <c r="G2068" t="s">
        <v>16</v>
      </c>
      <c r="H2068">
        <v>278.67</v>
      </c>
      <c r="I2068">
        <v>423.13</v>
      </c>
      <c r="J2068" t="s">
        <v>27</v>
      </c>
      <c r="K2068">
        <v>0.24</v>
      </c>
      <c r="L2068" t="s">
        <v>28</v>
      </c>
      <c r="M2068" t="s">
        <v>19</v>
      </c>
    </row>
    <row r="2069" spans="1:13" x14ac:dyDescent="0.35">
      <c r="A2069">
        <v>1076</v>
      </c>
      <c r="B2069" s="1">
        <v>45276</v>
      </c>
      <c r="C2069" t="s">
        <v>32</v>
      </c>
      <c r="D2069" t="s">
        <v>30</v>
      </c>
      <c r="E2069">
        <v>107805.38</v>
      </c>
      <c r="F2069">
        <v>30</v>
      </c>
      <c r="G2069" t="s">
        <v>26</v>
      </c>
      <c r="H2069">
        <v>3519.63</v>
      </c>
      <c r="I2069">
        <v>3774.65</v>
      </c>
      <c r="J2069" t="s">
        <v>27</v>
      </c>
      <c r="K2069">
        <v>0.05</v>
      </c>
      <c r="L2069" t="s">
        <v>28</v>
      </c>
      <c r="M2069" t="s">
        <v>21</v>
      </c>
    </row>
    <row r="2070" spans="1:13" x14ac:dyDescent="0.35">
      <c r="A2070">
        <v>1060</v>
      </c>
      <c r="B2070" s="1">
        <v>45276</v>
      </c>
      <c r="C2070" t="s">
        <v>32</v>
      </c>
      <c r="D2070" t="s">
        <v>30</v>
      </c>
      <c r="E2070">
        <v>176896.31</v>
      </c>
      <c r="F2070">
        <v>44</v>
      </c>
      <c r="G2070" t="s">
        <v>26</v>
      </c>
      <c r="H2070">
        <v>3784.96</v>
      </c>
      <c r="I2070">
        <v>4276.99</v>
      </c>
      <c r="J2070" t="s">
        <v>27</v>
      </c>
      <c r="K2070">
        <v>0.06</v>
      </c>
      <c r="L2070" t="s">
        <v>25</v>
      </c>
      <c r="M2070" t="s">
        <v>21</v>
      </c>
    </row>
    <row r="2071" spans="1:13" x14ac:dyDescent="0.35">
      <c r="A2071">
        <v>1014</v>
      </c>
      <c r="B2071" s="1">
        <v>45278</v>
      </c>
      <c r="C2071" t="s">
        <v>22</v>
      </c>
      <c r="D2071" t="s">
        <v>30</v>
      </c>
      <c r="E2071">
        <v>4410.55</v>
      </c>
      <c r="F2071">
        <v>4</v>
      </c>
      <c r="G2071" t="s">
        <v>16</v>
      </c>
      <c r="H2071">
        <v>854.68</v>
      </c>
      <c r="I2071">
        <v>1115.24</v>
      </c>
      <c r="J2071" t="s">
        <v>27</v>
      </c>
      <c r="K2071">
        <v>0.01</v>
      </c>
      <c r="L2071" t="s">
        <v>28</v>
      </c>
      <c r="M2071" t="s">
        <v>21</v>
      </c>
    </row>
    <row r="2072" spans="1:13" x14ac:dyDescent="0.35">
      <c r="A2072">
        <v>1073</v>
      </c>
      <c r="B2072" s="1">
        <v>45278</v>
      </c>
      <c r="C2072" t="s">
        <v>32</v>
      </c>
      <c r="D2072" t="s">
        <v>20</v>
      </c>
      <c r="E2072">
        <v>16762.75</v>
      </c>
      <c r="F2072">
        <v>40</v>
      </c>
      <c r="G2072" t="s">
        <v>24</v>
      </c>
      <c r="H2072">
        <v>157.15</v>
      </c>
      <c r="I2072">
        <v>436.53</v>
      </c>
      <c r="J2072" t="s">
        <v>27</v>
      </c>
      <c r="K2072">
        <v>0.04</v>
      </c>
      <c r="L2072" t="s">
        <v>18</v>
      </c>
      <c r="M2072" t="s">
        <v>21</v>
      </c>
    </row>
    <row r="2073" spans="1:13" x14ac:dyDescent="0.35">
      <c r="A2073">
        <v>1029</v>
      </c>
      <c r="B2073" s="1">
        <v>45279</v>
      </c>
      <c r="C2073" t="s">
        <v>32</v>
      </c>
      <c r="D2073" t="s">
        <v>15</v>
      </c>
      <c r="E2073">
        <v>65941.02</v>
      </c>
      <c r="F2073">
        <v>21</v>
      </c>
      <c r="G2073" t="s">
        <v>24</v>
      </c>
      <c r="H2073">
        <v>3085.1</v>
      </c>
      <c r="I2073">
        <v>3200.75</v>
      </c>
      <c r="J2073" t="s">
        <v>27</v>
      </c>
      <c r="K2073">
        <v>0.02</v>
      </c>
      <c r="L2073" t="s">
        <v>18</v>
      </c>
      <c r="M2073" t="s">
        <v>21</v>
      </c>
    </row>
    <row r="2074" spans="1:13" x14ac:dyDescent="0.35">
      <c r="A2074">
        <v>1043</v>
      </c>
      <c r="B2074" s="1">
        <v>45279</v>
      </c>
      <c r="C2074" t="s">
        <v>32</v>
      </c>
      <c r="D2074" t="s">
        <v>23</v>
      </c>
      <c r="E2074">
        <v>60423.39</v>
      </c>
      <c r="F2074">
        <v>12</v>
      </c>
      <c r="G2074" t="s">
        <v>31</v>
      </c>
      <c r="H2074">
        <v>4920.46</v>
      </c>
      <c r="I2074">
        <v>5079.68</v>
      </c>
      <c r="J2074" t="s">
        <v>27</v>
      </c>
      <c r="K2074">
        <v>0.01</v>
      </c>
      <c r="L2074" t="s">
        <v>28</v>
      </c>
      <c r="M2074" t="s">
        <v>21</v>
      </c>
    </row>
    <row r="2075" spans="1:13" x14ac:dyDescent="0.35">
      <c r="A2075">
        <v>1064</v>
      </c>
      <c r="B2075" s="1">
        <v>45279</v>
      </c>
      <c r="C2075" t="s">
        <v>33</v>
      </c>
      <c r="D2075" t="s">
        <v>20</v>
      </c>
      <c r="E2075">
        <v>175120.1</v>
      </c>
      <c r="F2075">
        <v>35</v>
      </c>
      <c r="G2075" t="s">
        <v>26</v>
      </c>
      <c r="H2075">
        <v>4900.03</v>
      </c>
      <c r="I2075">
        <v>5118.83</v>
      </c>
      <c r="J2075" t="s">
        <v>17</v>
      </c>
      <c r="K2075">
        <v>0.02</v>
      </c>
      <c r="L2075" t="s">
        <v>28</v>
      </c>
      <c r="M2075" t="s">
        <v>21</v>
      </c>
    </row>
    <row r="2076" spans="1:13" x14ac:dyDescent="0.35">
      <c r="A2076">
        <v>1088</v>
      </c>
      <c r="B2076" s="1">
        <v>45279</v>
      </c>
      <c r="C2076" t="s">
        <v>33</v>
      </c>
      <c r="D2076" t="s">
        <v>30</v>
      </c>
      <c r="E2076">
        <v>97974.82</v>
      </c>
      <c r="F2076">
        <v>20</v>
      </c>
      <c r="G2076" t="s">
        <v>26</v>
      </c>
      <c r="H2076">
        <v>4590.24</v>
      </c>
      <c r="I2076">
        <v>5088.28</v>
      </c>
      <c r="J2076" t="s">
        <v>27</v>
      </c>
      <c r="K2076">
        <v>0.04</v>
      </c>
      <c r="L2076" t="s">
        <v>25</v>
      </c>
      <c r="M2076" t="s">
        <v>21</v>
      </c>
    </row>
    <row r="2077" spans="1:13" x14ac:dyDescent="0.35">
      <c r="A2077">
        <v>1063</v>
      </c>
      <c r="B2077" s="1">
        <v>45279</v>
      </c>
      <c r="C2077" t="s">
        <v>29</v>
      </c>
      <c r="D2077" t="s">
        <v>20</v>
      </c>
      <c r="E2077">
        <v>120739.06</v>
      </c>
      <c r="F2077">
        <v>46</v>
      </c>
      <c r="G2077" t="s">
        <v>16</v>
      </c>
      <c r="H2077">
        <v>2302.62</v>
      </c>
      <c r="I2077">
        <v>2740.93</v>
      </c>
      <c r="J2077" t="s">
        <v>17</v>
      </c>
      <c r="K2077">
        <v>0.04</v>
      </c>
      <c r="L2077" t="s">
        <v>25</v>
      </c>
      <c r="M2077" t="s">
        <v>19</v>
      </c>
    </row>
    <row r="2078" spans="1:13" x14ac:dyDescent="0.35">
      <c r="A2078">
        <v>1058</v>
      </c>
      <c r="B2078" s="1">
        <v>45280</v>
      </c>
      <c r="C2078" t="s">
        <v>22</v>
      </c>
      <c r="D2078" t="s">
        <v>15</v>
      </c>
      <c r="E2078">
        <v>4656.8</v>
      </c>
      <c r="F2078">
        <v>2</v>
      </c>
      <c r="G2078" t="s">
        <v>26</v>
      </c>
      <c r="H2078">
        <v>2250.91</v>
      </c>
      <c r="I2078">
        <v>2558.6799999999998</v>
      </c>
      <c r="J2078" t="s">
        <v>27</v>
      </c>
      <c r="K2078">
        <v>0.09</v>
      </c>
      <c r="L2078" t="s">
        <v>28</v>
      </c>
      <c r="M2078" t="s">
        <v>21</v>
      </c>
    </row>
    <row r="2079" spans="1:13" x14ac:dyDescent="0.35">
      <c r="A2079">
        <v>1008</v>
      </c>
      <c r="B2079" s="1">
        <v>45280</v>
      </c>
      <c r="C2079" t="s">
        <v>29</v>
      </c>
      <c r="D2079" t="s">
        <v>20</v>
      </c>
      <c r="E2079">
        <v>53301.8</v>
      </c>
      <c r="F2079">
        <v>23</v>
      </c>
      <c r="G2079" t="s">
        <v>26</v>
      </c>
      <c r="H2079">
        <v>2296.9299999999998</v>
      </c>
      <c r="I2079">
        <v>2319.62</v>
      </c>
      <c r="J2079" t="s">
        <v>17</v>
      </c>
      <c r="K2079">
        <v>0</v>
      </c>
      <c r="L2079" t="s">
        <v>25</v>
      </c>
      <c r="M2079" t="s">
        <v>21</v>
      </c>
    </row>
    <row r="2080" spans="1:13" x14ac:dyDescent="0.35">
      <c r="A2080">
        <v>1100</v>
      </c>
      <c r="B2080" s="1">
        <v>45280</v>
      </c>
      <c r="C2080" t="s">
        <v>22</v>
      </c>
      <c r="D2080" t="s">
        <v>20</v>
      </c>
      <c r="E2080">
        <v>144532.29</v>
      </c>
      <c r="F2080">
        <v>39</v>
      </c>
      <c r="G2080" t="s">
        <v>31</v>
      </c>
      <c r="H2080">
        <v>3685.03</v>
      </c>
      <c r="I2080">
        <v>3743.39</v>
      </c>
      <c r="J2080" t="s">
        <v>27</v>
      </c>
      <c r="K2080">
        <v>0.01</v>
      </c>
      <c r="L2080" t="s">
        <v>25</v>
      </c>
      <c r="M2080" t="s">
        <v>19</v>
      </c>
    </row>
    <row r="2081" spans="1:13" x14ac:dyDescent="0.35">
      <c r="A2081">
        <v>1069</v>
      </c>
      <c r="B2081" s="1">
        <v>45280</v>
      </c>
      <c r="C2081" t="s">
        <v>32</v>
      </c>
      <c r="D2081" t="s">
        <v>15</v>
      </c>
      <c r="E2081">
        <v>59445.87</v>
      </c>
      <c r="F2081">
        <v>12</v>
      </c>
      <c r="G2081" t="s">
        <v>16</v>
      </c>
      <c r="H2081">
        <v>4682.34</v>
      </c>
      <c r="I2081">
        <v>5036.3999999999996</v>
      </c>
      <c r="J2081" t="s">
        <v>27</v>
      </c>
      <c r="K2081">
        <v>0.02</v>
      </c>
      <c r="L2081" t="s">
        <v>25</v>
      </c>
      <c r="M2081" t="s">
        <v>21</v>
      </c>
    </row>
    <row r="2082" spans="1:13" x14ac:dyDescent="0.35">
      <c r="A2082">
        <v>1053</v>
      </c>
      <c r="B2082" s="1">
        <v>45281</v>
      </c>
      <c r="C2082" t="s">
        <v>14</v>
      </c>
      <c r="D2082" t="s">
        <v>15</v>
      </c>
      <c r="E2082">
        <v>93486.45</v>
      </c>
      <c r="F2082">
        <v>44</v>
      </c>
      <c r="G2082" t="s">
        <v>16</v>
      </c>
      <c r="H2082">
        <v>2045</v>
      </c>
      <c r="I2082">
        <v>2217.5100000000002</v>
      </c>
      <c r="J2082" t="s">
        <v>17</v>
      </c>
      <c r="K2082">
        <v>0.04</v>
      </c>
      <c r="L2082" t="s">
        <v>28</v>
      </c>
      <c r="M2082" t="s">
        <v>19</v>
      </c>
    </row>
    <row r="2083" spans="1:13" x14ac:dyDescent="0.35">
      <c r="A2083">
        <v>1052</v>
      </c>
      <c r="B2083" s="1">
        <v>45282</v>
      </c>
      <c r="C2083" t="s">
        <v>29</v>
      </c>
      <c r="D2083" t="s">
        <v>20</v>
      </c>
      <c r="E2083">
        <v>7679.42</v>
      </c>
      <c r="F2083">
        <v>2</v>
      </c>
      <c r="G2083" t="s">
        <v>16</v>
      </c>
      <c r="H2083">
        <v>3752.68</v>
      </c>
      <c r="I2083">
        <v>4017.91</v>
      </c>
      <c r="J2083" t="s">
        <v>17</v>
      </c>
      <c r="K2083">
        <v>0.04</v>
      </c>
      <c r="L2083" t="s">
        <v>25</v>
      </c>
      <c r="M2083" t="s">
        <v>19</v>
      </c>
    </row>
    <row r="2084" spans="1:13" x14ac:dyDescent="0.35">
      <c r="A2084">
        <v>1004</v>
      </c>
      <c r="B2084" s="1">
        <v>45282</v>
      </c>
      <c r="C2084" t="s">
        <v>32</v>
      </c>
      <c r="D2084" t="s">
        <v>15</v>
      </c>
      <c r="E2084">
        <v>53580.27</v>
      </c>
      <c r="F2084">
        <v>11</v>
      </c>
      <c r="G2084" t="s">
        <v>26</v>
      </c>
      <c r="H2084">
        <v>4840.33</v>
      </c>
      <c r="I2084">
        <v>4884.29</v>
      </c>
      <c r="J2084" t="s">
        <v>27</v>
      </c>
      <c r="K2084">
        <v>0</v>
      </c>
      <c r="L2084" t="s">
        <v>18</v>
      </c>
      <c r="M2084" t="s">
        <v>19</v>
      </c>
    </row>
    <row r="2085" spans="1:13" x14ac:dyDescent="0.35">
      <c r="A2085">
        <v>1025</v>
      </c>
      <c r="B2085" s="1">
        <v>45282</v>
      </c>
      <c r="C2085" t="s">
        <v>14</v>
      </c>
      <c r="D2085" t="s">
        <v>23</v>
      </c>
      <c r="E2085">
        <v>16095.22</v>
      </c>
      <c r="F2085">
        <v>11</v>
      </c>
      <c r="G2085" t="s">
        <v>24</v>
      </c>
      <c r="H2085">
        <v>1250.5899999999999</v>
      </c>
      <c r="I2085">
        <v>1515.49</v>
      </c>
      <c r="J2085" t="s">
        <v>17</v>
      </c>
      <c r="K2085">
        <v>0.03</v>
      </c>
      <c r="L2085" t="s">
        <v>25</v>
      </c>
      <c r="M2085" t="s">
        <v>21</v>
      </c>
    </row>
    <row r="2086" spans="1:13" x14ac:dyDescent="0.35">
      <c r="A2086">
        <v>1061</v>
      </c>
      <c r="B2086" s="1">
        <v>45282</v>
      </c>
      <c r="C2086" t="s">
        <v>33</v>
      </c>
      <c r="D2086" t="s">
        <v>15</v>
      </c>
      <c r="E2086">
        <v>68073.119999999995</v>
      </c>
      <c r="F2086">
        <v>45</v>
      </c>
      <c r="G2086" t="s">
        <v>26</v>
      </c>
      <c r="H2086">
        <v>1364.51</v>
      </c>
      <c r="I2086">
        <v>1844.8</v>
      </c>
      <c r="J2086" t="s">
        <v>17</v>
      </c>
      <c r="K2086">
        <v>0.18</v>
      </c>
      <c r="L2086" t="s">
        <v>18</v>
      </c>
      <c r="M2086" t="s">
        <v>19</v>
      </c>
    </row>
    <row r="2087" spans="1:13" x14ac:dyDescent="0.35">
      <c r="A2087">
        <v>1052</v>
      </c>
      <c r="B2087" s="1">
        <v>45282</v>
      </c>
      <c r="C2087" t="s">
        <v>29</v>
      </c>
      <c r="D2087" t="s">
        <v>20</v>
      </c>
      <c r="E2087">
        <v>27411.09</v>
      </c>
      <c r="F2087">
        <v>18</v>
      </c>
      <c r="G2087" t="s">
        <v>24</v>
      </c>
      <c r="H2087">
        <v>1127.8599999999999</v>
      </c>
      <c r="I2087">
        <v>1586.29</v>
      </c>
      <c r="J2087" t="s">
        <v>27</v>
      </c>
      <c r="K2087">
        <v>0.04</v>
      </c>
      <c r="L2087" t="s">
        <v>28</v>
      </c>
      <c r="M2087" t="s">
        <v>19</v>
      </c>
    </row>
    <row r="2088" spans="1:13" x14ac:dyDescent="0.35">
      <c r="A2088">
        <v>1001</v>
      </c>
      <c r="B2088" s="1">
        <v>45282</v>
      </c>
      <c r="C2088" t="s">
        <v>22</v>
      </c>
      <c r="D2088" t="s">
        <v>20</v>
      </c>
      <c r="E2088">
        <v>74433.3</v>
      </c>
      <c r="F2088">
        <v>45</v>
      </c>
      <c r="G2088" t="s">
        <v>26</v>
      </c>
      <c r="H2088">
        <v>1372.36</v>
      </c>
      <c r="I2088">
        <v>1687.83</v>
      </c>
      <c r="J2088" t="s">
        <v>27</v>
      </c>
      <c r="K2088">
        <v>0.02</v>
      </c>
      <c r="L2088" t="s">
        <v>28</v>
      </c>
      <c r="M2088" t="s">
        <v>19</v>
      </c>
    </row>
    <row r="2089" spans="1:13" x14ac:dyDescent="0.35">
      <c r="A2089">
        <v>1023</v>
      </c>
      <c r="B2089" s="1">
        <v>45283</v>
      </c>
      <c r="C2089" t="s">
        <v>14</v>
      </c>
      <c r="D2089" t="s">
        <v>30</v>
      </c>
      <c r="E2089">
        <v>158667.04999999999</v>
      </c>
      <c r="F2089">
        <v>47</v>
      </c>
      <c r="G2089" t="s">
        <v>31</v>
      </c>
      <c r="H2089">
        <v>3374.72</v>
      </c>
      <c r="I2089">
        <v>3483.15</v>
      </c>
      <c r="J2089" t="s">
        <v>17</v>
      </c>
      <c r="K2089">
        <v>0.03</v>
      </c>
      <c r="L2089" t="s">
        <v>18</v>
      </c>
      <c r="M2089" t="s">
        <v>19</v>
      </c>
    </row>
    <row r="2090" spans="1:13" x14ac:dyDescent="0.35">
      <c r="A2090">
        <v>1017</v>
      </c>
      <c r="B2090" s="1">
        <v>45283</v>
      </c>
      <c r="C2090" t="s">
        <v>33</v>
      </c>
      <c r="D2090" t="s">
        <v>30</v>
      </c>
      <c r="E2090">
        <v>60538.14</v>
      </c>
      <c r="F2090">
        <v>33</v>
      </c>
      <c r="G2090" t="s">
        <v>24</v>
      </c>
      <c r="H2090">
        <v>1551.25</v>
      </c>
      <c r="I2090">
        <v>1994.01</v>
      </c>
      <c r="J2090" t="s">
        <v>17</v>
      </c>
      <c r="K2090">
        <v>0.08</v>
      </c>
      <c r="L2090" t="s">
        <v>18</v>
      </c>
      <c r="M2090" t="s">
        <v>19</v>
      </c>
    </row>
    <row r="2091" spans="1:13" x14ac:dyDescent="0.35">
      <c r="A2091">
        <v>1005</v>
      </c>
      <c r="B2091" s="1">
        <v>45285</v>
      </c>
      <c r="C2091" t="s">
        <v>33</v>
      </c>
      <c r="D2091" t="s">
        <v>23</v>
      </c>
      <c r="E2091">
        <v>60582.81</v>
      </c>
      <c r="F2091">
        <v>28</v>
      </c>
      <c r="G2091" t="s">
        <v>16</v>
      </c>
      <c r="H2091">
        <v>2146.2399999999998</v>
      </c>
      <c r="I2091">
        <v>2173.4699999999998</v>
      </c>
      <c r="J2091" t="s">
        <v>17</v>
      </c>
      <c r="K2091">
        <v>0</v>
      </c>
      <c r="L2091" t="s">
        <v>18</v>
      </c>
      <c r="M2091" t="s">
        <v>21</v>
      </c>
    </row>
    <row r="2092" spans="1:13" x14ac:dyDescent="0.35">
      <c r="A2092">
        <v>1010</v>
      </c>
      <c r="B2092" s="1">
        <v>45285</v>
      </c>
      <c r="C2092" t="s">
        <v>22</v>
      </c>
      <c r="D2092" t="s">
        <v>23</v>
      </c>
      <c r="E2092">
        <v>100974.64</v>
      </c>
      <c r="F2092">
        <v>30</v>
      </c>
      <c r="G2092" t="s">
        <v>24</v>
      </c>
      <c r="H2092">
        <v>3289.01</v>
      </c>
      <c r="I2092">
        <v>3508.14</v>
      </c>
      <c r="J2092" t="s">
        <v>27</v>
      </c>
      <c r="K2092">
        <v>0.04</v>
      </c>
      <c r="L2092" t="s">
        <v>25</v>
      </c>
      <c r="M2092" t="s">
        <v>21</v>
      </c>
    </row>
    <row r="2093" spans="1:13" x14ac:dyDescent="0.35">
      <c r="A2093">
        <v>1056</v>
      </c>
      <c r="B2093" s="1">
        <v>45285</v>
      </c>
      <c r="C2093" t="s">
        <v>14</v>
      </c>
      <c r="D2093" t="s">
        <v>15</v>
      </c>
      <c r="E2093">
        <v>33756.76</v>
      </c>
      <c r="F2093">
        <v>25</v>
      </c>
      <c r="G2093" t="s">
        <v>26</v>
      </c>
      <c r="H2093">
        <v>1154.28</v>
      </c>
      <c r="I2093">
        <v>1408.4</v>
      </c>
      <c r="J2093" t="s">
        <v>17</v>
      </c>
      <c r="K2093">
        <v>0.04</v>
      </c>
      <c r="L2093" t="s">
        <v>25</v>
      </c>
      <c r="M2093" t="s">
        <v>21</v>
      </c>
    </row>
    <row r="2094" spans="1:13" x14ac:dyDescent="0.35">
      <c r="A2094">
        <v>1089</v>
      </c>
      <c r="B2094" s="1">
        <v>45285</v>
      </c>
      <c r="C2094" t="s">
        <v>32</v>
      </c>
      <c r="D2094" t="s">
        <v>23</v>
      </c>
      <c r="E2094">
        <v>149108.26</v>
      </c>
      <c r="F2094">
        <v>32</v>
      </c>
      <c r="G2094" t="s">
        <v>26</v>
      </c>
      <c r="H2094">
        <v>4248.5</v>
      </c>
      <c r="I2094">
        <v>4706.7</v>
      </c>
      <c r="J2094" t="s">
        <v>27</v>
      </c>
      <c r="K2094">
        <v>0.01</v>
      </c>
      <c r="L2094" t="s">
        <v>25</v>
      </c>
      <c r="M2094" t="s">
        <v>21</v>
      </c>
    </row>
    <row r="2095" spans="1:13" x14ac:dyDescent="0.35">
      <c r="A2095">
        <v>1047</v>
      </c>
      <c r="B2095" s="1">
        <v>45285</v>
      </c>
      <c r="C2095" t="s">
        <v>22</v>
      </c>
      <c r="D2095" t="s">
        <v>15</v>
      </c>
      <c r="E2095">
        <v>68326.05</v>
      </c>
      <c r="F2095">
        <v>43</v>
      </c>
      <c r="G2095" t="s">
        <v>31</v>
      </c>
      <c r="H2095">
        <v>1249.17</v>
      </c>
      <c r="I2095">
        <v>1727.15</v>
      </c>
      <c r="J2095" t="s">
        <v>27</v>
      </c>
      <c r="K2095">
        <v>0.08</v>
      </c>
      <c r="L2095" t="s">
        <v>18</v>
      </c>
      <c r="M2095" t="s">
        <v>21</v>
      </c>
    </row>
    <row r="2096" spans="1:13" x14ac:dyDescent="0.35">
      <c r="A2096">
        <v>1032</v>
      </c>
      <c r="B2096" s="1">
        <v>45286</v>
      </c>
      <c r="C2096" t="s">
        <v>22</v>
      </c>
      <c r="D2096" t="s">
        <v>23</v>
      </c>
      <c r="E2096">
        <v>46410.97</v>
      </c>
      <c r="F2096">
        <v>11</v>
      </c>
      <c r="G2096" t="s">
        <v>26</v>
      </c>
      <c r="H2096">
        <v>4100.62</v>
      </c>
      <c r="I2096">
        <v>4230</v>
      </c>
      <c r="J2096" t="s">
        <v>27</v>
      </c>
      <c r="K2096">
        <v>0</v>
      </c>
      <c r="L2096" t="s">
        <v>25</v>
      </c>
      <c r="M2096" t="s">
        <v>19</v>
      </c>
    </row>
    <row r="2097" spans="1:13" x14ac:dyDescent="0.35">
      <c r="A2097">
        <v>1099</v>
      </c>
      <c r="B2097" s="1">
        <v>45286</v>
      </c>
      <c r="C2097" t="s">
        <v>32</v>
      </c>
      <c r="D2097" t="s">
        <v>20</v>
      </c>
      <c r="E2097">
        <v>105058.4</v>
      </c>
      <c r="F2097">
        <v>25</v>
      </c>
      <c r="G2097" t="s">
        <v>31</v>
      </c>
      <c r="H2097">
        <v>4148.4799999999996</v>
      </c>
      <c r="I2097">
        <v>4293.6899999999996</v>
      </c>
      <c r="J2097" t="s">
        <v>27</v>
      </c>
      <c r="K2097">
        <v>0.02</v>
      </c>
      <c r="L2097" t="s">
        <v>25</v>
      </c>
      <c r="M2097" t="s">
        <v>19</v>
      </c>
    </row>
    <row r="2098" spans="1:13" x14ac:dyDescent="0.35">
      <c r="A2098">
        <v>1024</v>
      </c>
      <c r="B2098" s="1">
        <v>45286</v>
      </c>
      <c r="C2098" t="s">
        <v>22</v>
      </c>
      <c r="D2098" t="s">
        <v>15</v>
      </c>
      <c r="E2098">
        <v>72387.33</v>
      </c>
      <c r="F2098">
        <v>17</v>
      </c>
      <c r="G2098" t="s">
        <v>16</v>
      </c>
      <c r="H2098">
        <v>4114.66</v>
      </c>
      <c r="I2098">
        <v>4269.0200000000004</v>
      </c>
      <c r="J2098" t="s">
        <v>17</v>
      </c>
      <c r="K2098">
        <v>0</v>
      </c>
      <c r="L2098" t="s">
        <v>25</v>
      </c>
      <c r="M2098" t="s">
        <v>21</v>
      </c>
    </row>
    <row r="2099" spans="1:13" x14ac:dyDescent="0.35">
      <c r="A2099">
        <v>1072</v>
      </c>
      <c r="B2099" s="1">
        <v>45286</v>
      </c>
      <c r="C2099" t="s">
        <v>29</v>
      </c>
      <c r="D2099" t="s">
        <v>15</v>
      </c>
      <c r="E2099">
        <v>41982.82</v>
      </c>
      <c r="F2099">
        <v>23</v>
      </c>
      <c r="G2099" t="s">
        <v>16</v>
      </c>
      <c r="H2099">
        <v>1662.83</v>
      </c>
      <c r="I2099">
        <v>2074.25</v>
      </c>
      <c r="J2099" t="s">
        <v>27</v>
      </c>
      <c r="K2099">
        <v>0.12</v>
      </c>
      <c r="L2099" t="s">
        <v>25</v>
      </c>
      <c r="M2099" t="s">
        <v>19</v>
      </c>
    </row>
    <row r="2100" spans="1:13" x14ac:dyDescent="0.35">
      <c r="A2100">
        <v>1056</v>
      </c>
      <c r="B2100" s="1">
        <v>45287</v>
      </c>
      <c r="C2100" t="s">
        <v>14</v>
      </c>
      <c r="D2100" t="s">
        <v>30</v>
      </c>
      <c r="E2100">
        <v>6585.01</v>
      </c>
      <c r="F2100">
        <v>4</v>
      </c>
      <c r="G2100" t="s">
        <v>24</v>
      </c>
      <c r="H2100">
        <v>1612.82</v>
      </c>
      <c r="I2100">
        <v>1647.25</v>
      </c>
      <c r="J2100" t="s">
        <v>17</v>
      </c>
      <c r="K2100">
        <v>0</v>
      </c>
      <c r="L2100" t="s">
        <v>28</v>
      </c>
      <c r="M2100" t="s">
        <v>21</v>
      </c>
    </row>
    <row r="2101" spans="1:13" x14ac:dyDescent="0.35">
      <c r="A2101">
        <v>1057</v>
      </c>
      <c r="B2101" s="1">
        <v>45287</v>
      </c>
      <c r="C2101" t="s">
        <v>14</v>
      </c>
      <c r="D2101" t="s">
        <v>23</v>
      </c>
      <c r="E2101">
        <v>75542.42</v>
      </c>
      <c r="F2101">
        <v>31</v>
      </c>
      <c r="G2101" t="s">
        <v>16</v>
      </c>
      <c r="H2101">
        <v>2403.16</v>
      </c>
      <c r="I2101">
        <v>2453.35</v>
      </c>
      <c r="J2101" t="s">
        <v>17</v>
      </c>
      <c r="K2101">
        <v>0.01</v>
      </c>
      <c r="L2101" t="s">
        <v>28</v>
      </c>
      <c r="M2101" t="s">
        <v>19</v>
      </c>
    </row>
    <row r="2102" spans="1:13" x14ac:dyDescent="0.35">
      <c r="A2102">
        <v>1071</v>
      </c>
      <c r="B2102" s="1">
        <v>45287</v>
      </c>
      <c r="C2102" t="s">
        <v>22</v>
      </c>
      <c r="D2102" t="s">
        <v>30</v>
      </c>
      <c r="E2102">
        <v>65276.1</v>
      </c>
      <c r="F2102">
        <v>40</v>
      </c>
      <c r="G2102" t="s">
        <v>24</v>
      </c>
      <c r="H2102">
        <v>1447.72</v>
      </c>
      <c r="I2102">
        <v>1875.75</v>
      </c>
      <c r="J2102" t="s">
        <v>27</v>
      </c>
      <c r="K2102">
        <v>0.13</v>
      </c>
      <c r="L2102" t="s">
        <v>18</v>
      </c>
      <c r="M2102" t="s">
        <v>21</v>
      </c>
    </row>
    <row r="2103" spans="1:13" x14ac:dyDescent="0.35">
      <c r="A2103">
        <v>1065</v>
      </c>
      <c r="B2103" s="1">
        <v>45288</v>
      </c>
      <c r="C2103" t="s">
        <v>22</v>
      </c>
      <c r="D2103" t="s">
        <v>20</v>
      </c>
      <c r="E2103">
        <v>78163.55</v>
      </c>
      <c r="F2103">
        <v>18</v>
      </c>
      <c r="G2103" t="s">
        <v>24</v>
      </c>
      <c r="H2103">
        <v>4334.58</v>
      </c>
      <c r="I2103">
        <v>4431.04</v>
      </c>
      <c r="J2103" t="s">
        <v>27</v>
      </c>
      <c r="K2103">
        <v>0.02</v>
      </c>
      <c r="L2103" t="s">
        <v>25</v>
      </c>
      <c r="M2103" t="s">
        <v>21</v>
      </c>
    </row>
    <row r="2104" spans="1:13" x14ac:dyDescent="0.35">
      <c r="A2104">
        <v>1086</v>
      </c>
      <c r="B2104" s="1">
        <v>45288</v>
      </c>
      <c r="C2104" t="s">
        <v>14</v>
      </c>
      <c r="D2104" t="s">
        <v>20</v>
      </c>
      <c r="E2104">
        <v>21540.17</v>
      </c>
      <c r="F2104">
        <v>46</v>
      </c>
      <c r="G2104" t="s">
        <v>16</v>
      </c>
      <c r="H2104">
        <v>83.86</v>
      </c>
      <c r="I2104">
        <v>526.14</v>
      </c>
      <c r="J2104" t="s">
        <v>17</v>
      </c>
      <c r="K2104">
        <v>0.11</v>
      </c>
      <c r="L2104" t="s">
        <v>28</v>
      </c>
      <c r="M2104" t="s">
        <v>19</v>
      </c>
    </row>
    <row r="2105" spans="1:13" x14ac:dyDescent="0.35">
      <c r="A2105">
        <v>1024</v>
      </c>
      <c r="B2105" s="1">
        <v>45289</v>
      </c>
      <c r="C2105" t="s">
        <v>32</v>
      </c>
      <c r="D2105" t="s">
        <v>15</v>
      </c>
      <c r="E2105">
        <v>17696.29</v>
      </c>
      <c r="F2105">
        <v>5</v>
      </c>
      <c r="G2105" t="s">
        <v>16</v>
      </c>
      <c r="H2105">
        <v>3417.9</v>
      </c>
      <c r="I2105">
        <v>3714.52</v>
      </c>
      <c r="J2105" t="s">
        <v>17</v>
      </c>
      <c r="K2105">
        <v>0.05</v>
      </c>
      <c r="L2105" t="s">
        <v>28</v>
      </c>
      <c r="M2105" t="s">
        <v>21</v>
      </c>
    </row>
    <row r="2106" spans="1:13" x14ac:dyDescent="0.35">
      <c r="A2106">
        <v>1058</v>
      </c>
      <c r="B2106" s="1">
        <v>45289</v>
      </c>
      <c r="C2106" t="s">
        <v>22</v>
      </c>
      <c r="D2106" t="s">
        <v>15</v>
      </c>
      <c r="E2106">
        <v>108233.24</v>
      </c>
      <c r="F2106">
        <v>34</v>
      </c>
      <c r="G2106" t="s">
        <v>31</v>
      </c>
      <c r="H2106">
        <v>3160.61</v>
      </c>
      <c r="I2106">
        <v>3273.22</v>
      </c>
      <c r="J2106" t="s">
        <v>17</v>
      </c>
      <c r="K2106">
        <v>0.03</v>
      </c>
      <c r="L2106" t="s">
        <v>28</v>
      </c>
      <c r="M2106" t="s">
        <v>21</v>
      </c>
    </row>
    <row r="2107" spans="1:13" x14ac:dyDescent="0.35">
      <c r="A2107">
        <v>1022</v>
      </c>
      <c r="B2107" s="1">
        <v>45289</v>
      </c>
      <c r="C2107" t="s">
        <v>22</v>
      </c>
      <c r="D2107" t="s">
        <v>15</v>
      </c>
      <c r="E2107">
        <v>19768.599999999999</v>
      </c>
      <c r="F2107">
        <v>10</v>
      </c>
      <c r="G2107" t="s">
        <v>16</v>
      </c>
      <c r="H2107">
        <v>1830.61</v>
      </c>
      <c r="I2107">
        <v>2044.04</v>
      </c>
      <c r="J2107" t="s">
        <v>27</v>
      </c>
      <c r="K2107">
        <v>0.03</v>
      </c>
      <c r="L2107" t="s">
        <v>18</v>
      </c>
      <c r="M2107" t="s">
        <v>19</v>
      </c>
    </row>
    <row r="2108" spans="1:13" x14ac:dyDescent="0.35">
      <c r="A2108">
        <v>1049</v>
      </c>
      <c r="B2108" s="1">
        <v>45289</v>
      </c>
      <c r="C2108" t="s">
        <v>29</v>
      </c>
      <c r="D2108" t="s">
        <v>23</v>
      </c>
      <c r="E2108">
        <v>125527.8</v>
      </c>
      <c r="F2108">
        <v>38</v>
      </c>
      <c r="G2108" t="s">
        <v>24</v>
      </c>
      <c r="H2108">
        <v>2945.92</v>
      </c>
      <c r="I2108">
        <v>3381.22</v>
      </c>
      <c r="J2108" t="s">
        <v>17</v>
      </c>
      <c r="K2108">
        <v>0.02</v>
      </c>
      <c r="L2108" t="s">
        <v>18</v>
      </c>
      <c r="M2108" t="s">
        <v>21</v>
      </c>
    </row>
    <row r="2109" spans="1:13" x14ac:dyDescent="0.35">
      <c r="A2109">
        <v>1065</v>
      </c>
      <c r="B2109" s="1">
        <v>45290</v>
      </c>
      <c r="C2109" t="s">
        <v>22</v>
      </c>
      <c r="D2109" t="s">
        <v>23</v>
      </c>
      <c r="E2109">
        <v>3318.74</v>
      </c>
      <c r="F2109">
        <v>9</v>
      </c>
      <c r="G2109" t="s">
        <v>26</v>
      </c>
      <c r="H2109">
        <v>335.82</v>
      </c>
      <c r="I2109">
        <v>498.31</v>
      </c>
      <c r="J2109" t="s">
        <v>27</v>
      </c>
      <c r="K2109">
        <v>0.26</v>
      </c>
      <c r="L2109" t="s">
        <v>18</v>
      </c>
      <c r="M2109" t="s">
        <v>21</v>
      </c>
    </row>
    <row r="2110" spans="1:13" x14ac:dyDescent="0.35">
      <c r="A2110">
        <v>1003</v>
      </c>
      <c r="B2110" s="1">
        <v>45290</v>
      </c>
      <c r="C2110" t="s">
        <v>33</v>
      </c>
      <c r="D2110" t="s">
        <v>30</v>
      </c>
      <c r="E2110">
        <v>8627.42</v>
      </c>
      <c r="F2110">
        <v>17</v>
      </c>
      <c r="G2110" t="s">
        <v>16</v>
      </c>
      <c r="H2110">
        <v>395.11</v>
      </c>
      <c r="I2110">
        <v>676.66</v>
      </c>
      <c r="J2110" t="s">
        <v>17</v>
      </c>
      <c r="K2110">
        <v>0.25</v>
      </c>
      <c r="L2110" t="s">
        <v>18</v>
      </c>
      <c r="M2110" t="s">
        <v>21</v>
      </c>
    </row>
    <row r="2111" spans="1:13" x14ac:dyDescent="0.35">
      <c r="A2111">
        <v>1099</v>
      </c>
      <c r="B2111" s="1">
        <v>45290</v>
      </c>
      <c r="C2111" t="s">
        <v>14</v>
      </c>
      <c r="D2111" t="s">
        <v>20</v>
      </c>
      <c r="E2111">
        <v>93220.11</v>
      </c>
      <c r="F2111">
        <v>29</v>
      </c>
      <c r="G2111" t="s">
        <v>31</v>
      </c>
      <c r="H2111">
        <v>3124.87</v>
      </c>
      <c r="I2111">
        <v>3383.67</v>
      </c>
      <c r="J2111" t="s">
        <v>27</v>
      </c>
      <c r="K2111">
        <v>0.05</v>
      </c>
      <c r="L2111" t="s">
        <v>28</v>
      </c>
      <c r="M2111" t="s">
        <v>21</v>
      </c>
    </row>
    <row r="2112" spans="1:13" x14ac:dyDescent="0.35">
      <c r="A2112">
        <v>1025</v>
      </c>
      <c r="B2112" s="1">
        <v>45290</v>
      </c>
      <c r="C2112" t="s">
        <v>22</v>
      </c>
      <c r="D2112" t="s">
        <v>20</v>
      </c>
      <c r="E2112">
        <v>61663.55</v>
      </c>
      <c r="F2112">
        <v>28</v>
      </c>
      <c r="G2112" t="s">
        <v>31</v>
      </c>
      <c r="H2112">
        <v>2097.84</v>
      </c>
      <c r="I2112">
        <v>2270.9899999999998</v>
      </c>
      <c r="J2112" t="s">
        <v>27</v>
      </c>
      <c r="K2112">
        <v>0.03</v>
      </c>
      <c r="L2112" t="s">
        <v>28</v>
      </c>
      <c r="M2112" t="s">
        <v>21</v>
      </c>
    </row>
    <row r="2113" spans="1:13" x14ac:dyDescent="0.35">
      <c r="A2113">
        <v>1090</v>
      </c>
      <c r="B2113" s="1">
        <v>45291</v>
      </c>
      <c r="C2113" t="s">
        <v>32</v>
      </c>
      <c r="D2113" t="s">
        <v>20</v>
      </c>
      <c r="E2113">
        <v>214889.58</v>
      </c>
      <c r="F2113">
        <v>46</v>
      </c>
      <c r="G2113" t="s">
        <v>26</v>
      </c>
      <c r="H2113">
        <v>4665.12</v>
      </c>
      <c r="I2113">
        <v>4675.8999999999996</v>
      </c>
      <c r="J2113" t="s">
        <v>27</v>
      </c>
      <c r="K2113">
        <v>0</v>
      </c>
      <c r="L2113" t="s">
        <v>18</v>
      </c>
      <c r="M2113" t="s">
        <v>21</v>
      </c>
    </row>
    <row r="2114" spans="1:13" x14ac:dyDescent="0.35">
      <c r="A2114">
        <v>1003</v>
      </c>
      <c r="B2114" s="1">
        <v>45291</v>
      </c>
      <c r="C2114" t="s">
        <v>33</v>
      </c>
      <c r="D2114" t="s">
        <v>23</v>
      </c>
      <c r="E2114">
        <v>127071.16</v>
      </c>
      <c r="F2114">
        <v>30</v>
      </c>
      <c r="G2114" t="s">
        <v>16</v>
      </c>
      <c r="H2114">
        <v>4190.28</v>
      </c>
      <c r="I2114">
        <v>4270.6499999999996</v>
      </c>
      <c r="J2114" t="s">
        <v>27</v>
      </c>
      <c r="K2114">
        <v>0.01</v>
      </c>
      <c r="L2114" t="s">
        <v>18</v>
      </c>
      <c r="M2114" t="s">
        <v>19</v>
      </c>
    </row>
    <row r="2115" spans="1:13" x14ac:dyDescent="0.35">
      <c r="A2115">
        <v>1094</v>
      </c>
      <c r="B2115" s="1">
        <v>45291</v>
      </c>
      <c r="C2115" t="s">
        <v>14</v>
      </c>
      <c r="D2115" t="s">
        <v>23</v>
      </c>
      <c r="E2115">
        <v>63364.09</v>
      </c>
      <c r="F2115">
        <v>15</v>
      </c>
      <c r="G2115" t="s">
        <v>24</v>
      </c>
      <c r="H2115">
        <v>4111.93</v>
      </c>
      <c r="I2115">
        <v>4338.67</v>
      </c>
      <c r="J2115" t="s">
        <v>17</v>
      </c>
      <c r="K2115">
        <v>0.03</v>
      </c>
      <c r="L2115" t="s">
        <v>28</v>
      </c>
      <c r="M2115" t="s">
        <v>19</v>
      </c>
    </row>
    <row r="2116" spans="1:13" x14ac:dyDescent="0.35">
      <c r="A2116">
        <v>1058</v>
      </c>
      <c r="B2116" s="1">
        <v>45291</v>
      </c>
      <c r="C2116" t="s">
        <v>33</v>
      </c>
      <c r="D2116" t="s">
        <v>20</v>
      </c>
      <c r="E2116">
        <v>94386.47</v>
      </c>
      <c r="F2116">
        <v>44</v>
      </c>
      <c r="G2116" t="s">
        <v>26</v>
      </c>
      <c r="H2116">
        <v>1910.47</v>
      </c>
      <c r="I2116">
        <v>2217.8000000000002</v>
      </c>
      <c r="J2116" t="s">
        <v>27</v>
      </c>
      <c r="K2116">
        <v>0.03</v>
      </c>
      <c r="L2116" t="s">
        <v>25</v>
      </c>
      <c r="M2116" t="s">
        <v>19</v>
      </c>
    </row>
    <row r="2117" spans="1:13" x14ac:dyDescent="0.35">
      <c r="A2117">
        <v>1086</v>
      </c>
      <c r="B2117" s="1">
        <v>45291</v>
      </c>
      <c r="C2117" t="s">
        <v>33</v>
      </c>
      <c r="D2117" t="s">
        <v>23</v>
      </c>
      <c r="E2117">
        <v>124540.85</v>
      </c>
      <c r="F2117">
        <v>33</v>
      </c>
      <c r="G2117" t="s">
        <v>26</v>
      </c>
      <c r="H2117">
        <v>3419.33</v>
      </c>
      <c r="I2117">
        <v>3890.36</v>
      </c>
      <c r="J2117" t="s">
        <v>17</v>
      </c>
      <c r="K2117">
        <v>0.03</v>
      </c>
      <c r="L2117" t="s">
        <v>18</v>
      </c>
      <c r="M2117" t="s">
        <v>21</v>
      </c>
    </row>
    <row r="2118" spans="1:13" x14ac:dyDescent="0.35">
      <c r="A2118">
        <v>1098</v>
      </c>
      <c r="B2118" s="1">
        <v>45292</v>
      </c>
      <c r="C2118" t="s">
        <v>14</v>
      </c>
      <c r="D2118" t="s">
        <v>23</v>
      </c>
      <c r="E2118">
        <v>4041.98</v>
      </c>
      <c r="F2118">
        <v>11</v>
      </c>
      <c r="G2118" t="s">
        <v>26</v>
      </c>
      <c r="H2118">
        <v>213.41</v>
      </c>
      <c r="I2118">
        <v>503.36</v>
      </c>
      <c r="J2118" t="s">
        <v>17</v>
      </c>
      <c r="K2118">
        <v>0.27</v>
      </c>
      <c r="L2118" t="s">
        <v>25</v>
      </c>
      <c r="M2118" t="s">
        <v>19</v>
      </c>
    </row>
    <row r="2119" spans="1:13" x14ac:dyDescent="0.35">
      <c r="A2119">
        <v>1018</v>
      </c>
      <c r="B2119" s="1">
        <v>45292</v>
      </c>
      <c r="C2119" t="s">
        <v>33</v>
      </c>
      <c r="D2119" t="s">
        <v>20</v>
      </c>
      <c r="E2119">
        <v>40171</v>
      </c>
      <c r="F2119">
        <v>24</v>
      </c>
      <c r="G2119" t="s">
        <v>31</v>
      </c>
      <c r="H2119">
        <v>1362.78</v>
      </c>
      <c r="I2119">
        <v>1729.81</v>
      </c>
      <c r="J2119" t="s">
        <v>27</v>
      </c>
      <c r="K2119">
        <v>0.03</v>
      </c>
      <c r="L2119" t="s">
        <v>25</v>
      </c>
      <c r="M2119" t="s">
        <v>19</v>
      </c>
    </row>
    <row r="2120" spans="1:13" x14ac:dyDescent="0.35">
      <c r="A2120">
        <v>1081</v>
      </c>
      <c r="B2120" s="1">
        <v>45292</v>
      </c>
      <c r="C2120" t="s">
        <v>14</v>
      </c>
      <c r="D2120" t="s">
        <v>20</v>
      </c>
      <c r="E2120">
        <v>12052.04</v>
      </c>
      <c r="F2120">
        <v>14</v>
      </c>
      <c r="G2120" t="s">
        <v>16</v>
      </c>
      <c r="H2120">
        <v>161.72</v>
      </c>
      <c r="I2120">
        <v>1118</v>
      </c>
      <c r="J2120" t="s">
        <v>17</v>
      </c>
      <c r="K2120">
        <v>0.23</v>
      </c>
      <c r="L2120" t="s">
        <v>25</v>
      </c>
      <c r="M2120" t="s">
        <v>19</v>
      </c>
    </row>
    <row r="2121" spans="1:13" x14ac:dyDescent="0.35">
      <c r="A2121">
        <v>1078</v>
      </c>
      <c r="B2121" s="1">
        <v>45292</v>
      </c>
      <c r="C2121" t="s">
        <v>22</v>
      </c>
      <c r="D2121" t="s">
        <v>30</v>
      </c>
      <c r="E2121">
        <v>12830.25</v>
      </c>
      <c r="F2121">
        <v>42</v>
      </c>
      <c r="G2121" t="s">
        <v>24</v>
      </c>
      <c r="H2121">
        <v>63.41</v>
      </c>
      <c r="I2121">
        <v>314.93</v>
      </c>
      <c r="J2121" t="s">
        <v>17</v>
      </c>
      <c r="K2121">
        <v>0.03</v>
      </c>
      <c r="L2121" t="s">
        <v>18</v>
      </c>
      <c r="M2121" t="s">
        <v>21</v>
      </c>
    </row>
    <row r="2122" spans="1:13" x14ac:dyDescent="0.35">
      <c r="A2122">
        <v>1071</v>
      </c>
      <c r="B2122" s="1">
        <v>45292</v>
      </c>
      <c r="C2122" t="s">
        <v>14</v>
      </c>
      <c r="D2122" t="s">
        <v>20</v>
      </c>
      <c r="E2122">
        <v>26834.12</v>
      </c>
      <c r="F2122">
        <v>7</v>
      </c>
      <c r="G2122" t="s">
        <v>24</v>
      </c>
      <c r="H2122">
        <v>1561.09</v>
      </c>
      <c r="I2122">
        <v>4406.26</v>
      </c>
      <c r="J2122" t="s">
        <v>27</v>
      </c>
      <c r="K2122">
        <v>0.13</v>
      </c>
      <c r="L2122" t="s">
        <v>25</v>
      </c>
      <c r="M2122" t="s">
        <v>19</v>
      </c>
    </row>
    <row r="2123" spans="1:13" x14ac:dyDescent="0.35">
      <c r="A2123">
        <v>1067</v>
      </c>
      <c r="B2123" s="1">
        <v>45293</v>
      </c>
      <c r="C2123" t="s">
        <v>29</v>
      </c>
      <c r="D2123" t="s">
        <v>30</v>
      </c>
      <c r="E2123">
        <v>52078.59</v>
      </c>
      <c r="F2123">
        <v>13</v>
      </c>
      <c r="G2123" t="s">
        <v>24</v>
      </c>
      <c r="H2123">
        <v>2328.15</v>
      </c>
      <c r="I2123">
        <v>4261.75</v>
      </c>
      <c r="J2123" t="s">
        <v>17</v>
      </c>
      <c r="K2123">
        <v>0.06</v>
      </c>
      <c r="L2123" t="s">
        <v>28</v>
      </c>
      <c r="M2123" t="s">
        <v>21</v>
      </c>
    </row>
    <row r="2124" spans="1:13" x14ac:dyDescent="0.35">
      <c r="A2124">
        <v>1091</v>
      </c>
      <c r="B2124" s="1">
        <v>45293</v>
      </c>
      <c r="C2124" t="s">
        <v>22</v>
      </c>
      <c r="D2124" t="s">
        <v>23</v>
      </c>
      <c r="E2124">
        <v>114819.84</v>
      </c>
      <c r="F2124">
        <v>24</v>
      </c>
      <c r="G2124" t="s">
        <v>24</v>
      </c>
      <c r="H2124">
        <v>3874.59</v>
      </c>
      <c r="I2124">
        <v>4983.5</v>
      </c>
      <c r="J2124" t="s">
        <v>17</v>
      </c>
      <c r="K2124">
        <v>0.04</v>
      </c>
      <c r="L2124" t="s">
        <v>25</v>
      </c>
      <c r="M2124" t="s">
        <v>19</v>
      </c>
    </row>
    <row r="2125" spans="1:13" x14ac:dyDescent="0.35">
      <c r="A2125">
        <v>1075</v>
      </c>
      <c r="B2125" s="1">
        <v>45295</v>
      </c>
      <c r="C2125" t="s">
        <v>14</v>
      </c>
      <c r="D2125" t="s">
        <v>30</v>
      </c>
      <c r="E2125">
        <v>1702.52</v>
      </c>
      <c r="F2125">
        <v>2</v>
      </c>
      <c r="G2125" t="s">
        <v>24</v>
      </c>
      <c r="H2125">
        <v>585.78</v>
      </c>
      <c r="I2125">
        <v>1091.3599999999999</v>
      </c>
      <c r="J2125" t="s">
        <v>17</v>
      </c>
      <c r="K2125">
        <v>0.22</v>
      </c>
      <c r="L2125" t="s">
        <v>28</v>
      </c>
      <c r="M2125" t="s">
        <v>19</v>
      </c>
    </row>
    <row r="2126" spans="1:13" x14ac:dyDescent="0.35">
      <c r="A2126">
        <v>1017</v>
      </c>
      <c r="B2126" s="1">
        <v>45295</v>
      </c>
      <c r="C2126" t="s">
        <v>32</v>
      </c>
      <c r="D2126" t="s">
        <v>23</v>
      </c>
      <c r="E2126">
        <v>3293.91</v>
      </c>
      <c r="F2126">
        <v>1</v>
      </c>
      <c r="G2126" t="s">
        <v>24</v>
      </c>
      <c r="H2126">
        <v>267.25</v>
      </c>
      <c r="I2126">
        <v>4169.5</v>
      </c>
      <c r="J2126" t="s">
        <v>27</v>
      </c>
      <c r="K2126">
        <v>0.21</v>
      </c>
      <c r="L2126" t="s">
        <v>25</v>
      </c>
      <c r="M2126" t="s">
        <v>19</v>
      </c>
    </row>
    <row r="2127" spans="1:13" x14ac:dyDescent="0.35">
      <c r="A2127">
        <v>1041</v>
      </c>
      <c r="B2127" s="1">
        <v>45295</v>
      </c>
      <c r="C2127" t="s">
        <v>14</v>
      </c>
      <c r="D2127" t="s">
        <v>23</v>
      </c>
      <c r="E2127">
        <v>78753.149999999994</v>
      </c>
      <c r="F2127">
        <v>22</v>
      </c>
      <c r="G2127" t="s">
        <v>26</v>
      </c>
      <c r="H2127">
        <v>3148.64</v>
      </c>
      <c r="I2127">
        <v>4971.79</v>
      </c>
      <c r="J2127" t="s">
        <v>27</v>
      </c>
      <c r="K2127">
        <v>0.28000000000000003</v>
      </c>
      <c r="L2127" t="s">
        <v>18</v>
      </c>
      <c r="M2127" t="s">
        <v>21</v>
      </c>
    </row>
    <row r="2128" spans="1:13" x14ac:dyDescent="0.35">
      <c r="A2128">
        <v>1091</v>
      </c>
      <c r="B2128" s="1">
        <v>45295</v>
      </c>
      <c r="C2128" t="s">
        <v>22</v>
      </c>
      <c r="D2128" t="s">
        <v>23</v>
      </c>
      <c r="E2128">
        <v>12646.15</v>
      </c>
      <c r="F2128">
        <v>3</v>
      </c>
      <c r="G2128" t="s">
        <v>16</v>
      </c>
      <c r="H2128">
        <v>681.75</v>
      </c>
      <c r="I2128">
        <v>5335.93</v>
      </c>
      <c r="J2128" t="s">
        <v>27</v>
      </c>
      <c r="K2128">
        <v>0.21</v>
      </c>
      <c r="L2128" t="s">
        <v>18</v>
      </c>
      <c r="M2128" t="s">
        <v>21</v>
      </c>
    </row>
    <row r="2129" spans="1:13" x14ac:dyDescent="0.35">
      <c r="A2129">
        <v>1028</v>
      </c>
      <c r="B2129" s="1">
        <v>45295</v>
      </c>
      <c r="C2129" t="s">
        <v>14</v>
      </c>
      <c r="D2129" t="s">
        <v>23</v>
      </c>
      <c r="E2129">
        <v>48902.27</v>
      </c>
      <c r="F2129">
        <v>18</v>
      </c>
      <c r="G2129" t="s">
        <v>24</v>
      </c>
      <c r="H2129">
        <v>552.53</v>
      </c>
      <c r="I2129">
        <v>3622.39</v>
      </c>
      <c r="J2129" t="s">
        <v>17</v>
      </c>
      <c r="K2129">
        <v>0.25</v>
      </c>
      <c r="L2129" t="s">
        <v>28</v>
      </c>
      <c r="M2129" t="s">
        <v>21</v>
      </c>
    </row>
    <row r="2130" spans="1:13" x14ac:dyDescent="0.35">
      <c r="A2130">
        <v>1068</v>
      </c>
      <c r="B2130" s="1">
        <v>45296</v>
      </c>
      <c r="C2130" t="s">
        <v>29</v>
      </c>
      <c r="D2130" t="s">
        <v>20</v>
      </c>
      <c r="E2130">
        <v>48270.53</v>
      </c>
      <c r="F2130">
        <v>11</v>
      </c>
      <c r="G2130" t="s">
        <v>16</v>
      </c>
      <c r="H2130">
        <v>2473.7800000000002</v>
      </c>
      <c r="I2130">
        <v>5351.5</v>
      </c>
      <c r="J2130" t="s">
        <v>27</v>
      </c>
      <c r="K2130">
        <v>0.18</v>
      </c>
      <c r="L2130" t="s">
        <v>25</v>
      </c>
      <c r="M2130" t="s">
        <v>19</v>
      </c>
    </row>
    <row r="2131" spans="1:13" x14ac:dyDescent="0.35">
      <c r="A2131">
        <v>1069</v>
      </c>
      <c r="B2131" s="1">
        <v>45296</v>
      </c>
      <c r="C2131" t="s">
        <v>22</v>
      </c>
      <c r="D2131" t="s">
        <v>15</v>
      </c>
      <c r="E2131">
        <v>69701.149999999994</v>
      </c>
      <c r="F2131">
        <v>20</v>
      </c>
      <c r="G2131" t="s">
        <v>16</v>
      </c>
      <c r="H2131">
        <v>1215.9000000000001</v>
      </c>
      <c r="I2131">
        <v>3520.26</v>
      </c>
      <c r="J2131" t="s">
        <v>27</v>
      </c>
      <c r="K2131">
        <v>0.01</v>
      </c>
      <c r="L2131" t="s">
        <v>28</v>
      </c>
      <c r="M2131" t="s">
        <v>19</v>
      </c>
    </row>
    <row r="2132" spans="1:13" x14ac:dyDescent="0.35">
      <c r="A2132">
        <v>1056</v>
      </c>
      <c r="B2132" s="1">
        <v>45296</v>
      </c>
      <c r="C2132" t="s">
        <v>32</v>
      </c>
      <c r="D2132" t="s">
        <v>30</v>
      </c>
      <c r="E2132">
        <v>229986.56</v>
      </c>
      <c r="F2132">
        <v>46</v>
      </c>
      <c r="G2132" t="s">
        <v>16</v>
      </c>
      <c r="H2132">
        <v>2460.1799999999998</v>
      </c>
      <c r="I2132">
        <v>5050.21</v>
      </c>
      <c r="J2132" t="s">
        <v>17</v>
      </c>
      <c r="K2132">
        <v>0.01</v>
      </c>
      <c r="L2132" t="s">
        <v>18</v>
      </c>
      <c r="M2132" t="s">
        <v>19</v>
      </c>
    </row>
    <row r="2133" spans="1:13" x14ac:dyDescent="0.35">
      <c r="A2133">
        <v>1025</v>
      </c>
      <c r="B2133" s="1">
        <v>45297</v>
      </c>
      <c r="C2133" t="s">
        <v>14</v>
      </c>
      <c r="D2133" t="s">
        <v>20</v>
      </c>
      <c r="E2133">
        <v>17703.830000000002</v>
      </c>
      <c r="F2133">
        <v>36</v>
      </c>
      <c r="G2133" t="s">
        <v>24</v>
      </c>
      <c r="H2133">
        <v>310.64</v>
      </c>
      <c r="I2133">
        <v>540.41</v>
      </c>
      <c r="J2133" t="s">
        <v>17</v>
      </c>
      <c r="K2133">
        <v>0.09</v>
      </c>
      <c r="L2133" t="s">
        <v>18</v>
      </c>
      <c r="M2133" t="s">
        <v>21</v>
      </c>
    </row>
    <row r="2134" spans="1:13" x14ac:dyDescent="0.35">
      <c r="A2134">
        <v>1077</v>
      </c>
      <c r="B2134" s="1">
        <v>45297</v>
      </c>
      <c r="C2134" t="s">
        <v>29</v>
      </c>
      <c r="D2134" t="s">
        <v>20</v>
      </c>
      <c r="E2134">
        <v>42148.51</v>
      </c>
      <c r="F2134">
        <v>10</v>
      </c>
      <c r="G2134" t="s">
        <v>24</v>
      </c>
      <c r="H2134">
        <v>2608.13</v>
      </c>
      <c r="I2134">
        <v>4390.47</v>
      </c>
      <c r="J2134" t="s">
        <v>17</v>
      </c>
      <c r="K2134">
        <v>0.04</v>
      </c>
      <c r="L2134" t="s">
        <v>28</v>
      </c>
      <c r="M2134" t="s">
        <v>19</v>
      </c>
    </row>
    <row r="2135" spans="1:13" x14ac:dyDescent="0.35">
      <c r="A2135">
        <v>1024</v>
      </c>
      <c r="B2135" s="1">
        <v>45297</v>
      </c>
      <c r="C2135" t="s">
        <v>22</v>
      </c>
      <c r="D2135" t="s">
        <v>23</v>
      </c>
      <c r="E2135">
        <v>186144.76</v>
      </c>
      <c r="F2135">
        <v>42</v>
      </c>
      <c r="G2135" t="s">
        <v>24</v>
      </c>
      <c r="H2135">
        <v>3942.28</v>
      </c>
      <c r="I2135">
        <v>5404.9</v>
      </c>
      <c r="J2135" t="s">
        <v>17</v>
      </c>
      <c r="K2135">
        <v>0.18</v>
      </c>
      <c r="L2135" t="s">
        <v>18</v>
      </c>
      <c r="M2135" t="s">
        <v>19</v>
      </c>
    </row>
    <row r="2136" spans="1:13" x14ac:dyDescent="0.35">
      <c r="A2136">
        <v>1082</v>
      </c>
      <c r="B2136" s="1">
        <v>45297</v>
      </c>
      <c r="C2136" t="s">
        <v>32</v>
      </c>
      <c r="D2136" t="s">
        <v>23</v>
      </c>
      <c r="E2136">
        <v>87451.79</v>
      </c>
      <c r="F2136">
        <v>38</v>
      </c>
      <c r="G2136" t="s">
        <v>24</v>
      </c>
      <c r="H2136">
        <v>955.27</v>
      </c>
      <c r="I2136">
        <v>2557.0700000000002</v>
      </c>
      <c r="J2136" t="s">
        <v>27</v>
      </c>
      <c r="K2136">
        <v>0.1</v>
      </c>
      <c r="L2136" t="s">
        <v>18</v>
      </c>
      <c r="M2136" t="s">
        <v>21</v>
      </c>
    </row>
    <row r="2137" spans="1:13" x14ac:dyDescent="0.35">
      <c r="A2137">
        <v>1020</v>
      </c>
      <c r="B2137" s="1">
        <v>45298</v>
      </c>
      <c r="C2137" t="s">
        <v>14</v>
      </c>
      <c r="D2137" t="s">
        <v>15</v>
      </c>
      <c r="E2137">
        <v>7133.9</v>
      </c>
      <c r="F2137">
        <v>2</v>
      </c>
      <c r="G2137" t="s">
        <v>24</v>
      </c>
      <c r="H2137">
        <v>2841.17</v>
      </c>
      <c r="I2137">
        <v>4820.2</v>
      </c>
      <c r="J2137" t="s">
        <v>17</v>
      </c>
      <c r="K2137">
        <v>0.26</v>
      </c>
      <c r="L2137" t="s">
        <v>18</v>
      </c>
      <c r="M2137" t="s">
        <v>21</v>
      </c>
    </row>
    <row r="2138" spans="1:13" x14ac:dyDescent="0.35">
      <c r="A2138">
        <v>1075</v>
      </c>
      <c r="B2138" s="1">
        <v>45298</v>
      </c>
      <c r="C2138" t="s">
        <v>33</v>
      </c>
      <c r="D2138" t="s">
        <v>30</v>
      </c>
      <c r="E2138">
        <v>34882.69</v>
      </c>
      <c r="F2138">
        <v>11</v>
      </c>
      <c r="G2138" t="s">
        <v>16</v>
      </c>
      <c r="H2138">
        <v>330.76</v>
      </c>
      <c r="I2138">
        <v>4404.38</v>
      </c>
      <c r="J2138" t="s">
        <v>17</v>
      </c>
      <c r="K2138">
        <v>0.28000000000000003</v>
      </c>
      <c r="L2138" t="s">
        <v>18</v>
      </c>
      <c r="M2138" t="s">
        <v>21</v>
      </c>
    </row>
    <row r="2139" spans="1:13" x14ac:dyDescent="0.35">
      <c r="A2139">
        <v>1007</v>
      </c>
      <c r="B2139" s="1">
        <v>45298</v>
      </c>
      <c r="C2139" t="s">
        <v>22</v>
      </c>
      <c r="D2139" t="s">
        <v>15</v>
      </c>
      <c r="E2139">
        <v>67247.55</v>
      </c>
      <c r="F2139">
        <v>26</v>
      </c>
      <c r="G2139" t="s">
        <v>31</v>
      </c>
      <c r="H2139">
        <v>438.24</v>
      </c>
      <c r="I2139">
        <v>3273.98</v>
      </c>
      <c r="J2139" t="s">
        <v>27</v>
      </c>
      <c r="K2139">
        <v>0.21</v>
      </c>
      <c r="L2139" t="s">
        <v>18</v>
      </c>
      <c r="M2139" t="s">
        <v>21</v>
      </c>
    </row>
    <row r="2140" spans="1:13" x14ac:dyDescent="0.35">
      <c r="A2140">
        <v>1046</v>
      </c>
      <c r="B2140" s="1">
        <v>45299</v>
      </c>
      <c r="C2140" t="s">
        <v>22</v>
      </c>
      <c r="D2140" t="s">
        <v>30</v>
      </c>
      <c r="E2140">
        <v>1747.31</v>
      </c>
      <c r="F2140">
        <v>3</v>
      </c>
      <c r="G2140" t="s">
        <v>31</v>
      </c>
      <c r="H2140">
        <v>110.75</v>
      </c>
      <c r="I2140">
        <v>600.45000000000005</v>
      </c>
      <c r="J2140" t="s">
        <v>27</v>
      </c>
      <c r="K2140">
        <v>0.03</v>
      </c>
      <c r="L2140" t="s">
        <v>25</v>
      </c>
      <c r="M2140" t="s">
        <v>19</v>
      </c>
    </row>
    <row r="2141" spans="1:13" x14ac:dyDescent="0.35">
      <c r="A2141">
        <v>1086</v>
      </c>
      <c r="B2141" s="1">
        <v>45299</v>
      </c>
      <c r="C2141" t="s">
        <v>14</v>
      </c>
      <c r="D2141" t="s">
        <v>30</v>
      </c>
      <c r="E2141">
        <v>51470.39</v>
      </c>
      <c r="F2141">
        <v>22</v>
      </c>
      <c r="G2141" t="s">
        <v>26</v>
      </c>
      <c r="H2141">
        <v>2176.15</v>
      </c>
      <c r="I2141">
        <v>2351.34</v>
      </c>
      <c r="J2141" t="s">
        <v>17</v>
      </c>
      <c r="K2141">
        <v>0.01</v>
      </c>
      <c r="L2141" t="s">
        <v>28</v>
      </c>
      <c r="M2141" t="s">
        <v>19</v>
      </c>
    </row>
    <row r="2142" spans="1:13" x14ac:dyDescent="0.35">
      <c r="A2142">
        <v>1030</v>
      </c>
      <c r="B2142" s="1">
        <v>45299</v>
      </c>
      <c r="C2142" t="s">
        <v>14</v>
      </c>
      <c r="D2142" t="s">
        <v>20</v>
      </c>
      <c r="E2142">
        <v>40114.400000000001</v>
      </c>
      <c r="F2142">
        <v>8</v>
      </c>
      <c r="G2142" t="s">
        <v>16</v>
      </c>
      <c r="H2142">
        <v>3817.23</v>
      </c>
      <c r="I2142">
        <v>5391.72</v>
      </c>
      <c r="J2142" t="s">
        <v>27</v>
      </c>
      <c r="K2142">
        <v>7.0000000000000007E-2</v>
      </c>
      <c r="L2142" t="s">
        <v>25</v>
      </c>
      <c r="M2142" t="s">
        <v>19</v>
      </c>
    </row>
    <row r="2143" spans="1:13" x14ac:dyDescent="0.35">
      <c r="A2143">
        <v>1065</v>
      </c>
      <c r="B2143" s="1">
        <v>45300</v>
      </c>
      <c r="C2143" t="s">
        <v>14</v>
      </c>
      <c r="D2143" t="s">
        <v>30</v>
      </c>
      <c r="E2143">
        <v>163074.35</v>
      </c>
      <c r="F2143">
        <v>34</v>
      </c>
      <c r="G2143" t="s">
        <v>26</v>
      </c>
      <c r="H2143">
        <v>4638.12</v>
      </c>
      <c r="I2143">
        <v>4942.3</v>
      </c>
      <c r="J2143" t="s">
        <v>17</v>
      </c>
      <c r="K2143">
        <v>0.03</v>
      </c>
      <c r="L2143" t="s">
        <v>28</v>
      </c>
      <c r="M2143" t="s">
        <v>19</v>
      </c>
    </row>
    <row r="2144" spans="1:13" x14ac:dyDescent="0.35">
      <c r="A2144">
        <v>1046</v>
      </c>
      <c r="B2144" s="1">
        <v>45300</v>
      </c>
      <c r="C2144" t="s">
        <v>32</v>
      </c>
      <c r="D2144" t="s">
        <v>15</v>
      </c>
      <c r="E2144">
        <v>100167.35</v>
      </c>
      <c r="F2144">
        <v>36</v>
      </c>
      <c r="G2144" t="s">
        <v>24</v>
      </c>
      <c r="H2144">
        <v>2202.9299999999998</v>
      </c>
      <c r="I2144">
        <v>2928.87</v>
      </c>
      <c r="J2144" t="s">
        <v>27</v>
      </c>
      <c r="K2144">
        <v>0.05</v>
      </c>
      <c r="L2144" t="s">
        <v>28</v>
      </c>
      <c r="M2144" t="s">
        <v>21</v>
      </c>
    </row>
    <row r="2145" spans="1:13" x14ac:dyDescent="0.35">
      <c r="A2145">
        <v>1003</v>
      </c>
      <c r="B2145" s="1">
        <v>45300</v>
      </c>
      <c r="C2145" t="s">
        <v>29</v>
      </c>
      <c r="D2145" t="s">
        <v>15</v>
      </c>
      <c r="E2145">
        <v>69215.05</v>
      </c>
      <c r="F2145">
        <v>20</v>
      </c>
      <c r="G2145" t="s">
        <v>26</v>
      </c>
      <c r="H2145">
        <v>829.87</v>
      </c>
      <c r="I2145">
        <v>3531.38</v>
      </c>
      <c r="J2145" t="s">
        <v>27</v>
      </c>
      <c r="K2145">
        <v>0.02</v>
      </c>
      <c r="L2145" t="s">
        <v>28</v>
      </c>
      <c r="M2145" t="s">
        <v>21</v>
      </c>
    </row>
    <row r="2146" spans="1:13" x14ac:dyDescent="0.35">
      <c r="A2146">
        <v>1022</v>
      </c>
      <c r="B2146" s="1">
        <v>45301</v>
      </c>
      <c r="C2146" t="s">
        <v>33</v>
      </c>
      <c r="D2146" t="s">
        <v>30</v>
      </c>
      <c r="E2146">
        <v>22249.48</v>
      </c>
      <c r="F2146">
        <v>6</v>
      </c>
      <c r="G2146" t="s">
        <v>31</v>
      </c>
      <c r="H2146">
        <v>451.19</v>
      </c>
      <c r="I2146">
        <v>4414.58</v>
      </c>
      <c r="J2146" t="s">
        <v>27</v>
      </c>
      <c r="K2146">
        <v>0.16</v>
      </c>
      <c r="L2146" t="s">
        <v>28</v>
      </c>
      <c r="M2146" t="s">
        <v>21</v>
      </c>
    </row>
    <row r="2147" spans="1:13" x14ac:dyDescent="0.35">
      <c r="A2147">
        <v>1009</v>
      </c>
      <c r="B2147" s="1">
        <v>45302</v>
      </c>
      <c r="C2147" t="s">
        <v>22</v>
      </c>
      <c r="D2147" t="s">
        <v>30</v>
      </c>
      <c r="E2147">
        <v>80933.97</v>
      </c>
      <c r="F2147">
        <v>19</v>
      </c>
      <c r="G2147" t="s">
        <v>16</v>
      </c>
      <c r="H2147">
        <v>2905.12</v>
      </c>
      <c r="I2147">
        <v>4786.16</v>
      </c>
      <c r="J2147" t="s">
        <v>27</v>
      </c>
      <c r="K2147">
        <v>0.11</v>
      </c>
      <c r="L2147" t="s">
        <v>25</v>
      </c>
      <c r="M2147" t="s">
        <v>21</v>
      </c>
    </row>
    <row r="2148" spans="1:13" x14ac:dyDescent="0.35">
      <c r="A2148">
        <v>1044</v>
      </c>
      <c r="B2148" s="1">
        <v>45302</v>
      </c>
      <c r="C2148" t="s">
        <v>33</v>
      </c>
      <c r="D2148" t="s">
        <v>15</v>
      </c>
      <c r="E2148">
        <v>79630.23</v>
      </c>
      <c r="F2148">
        <v>50</v>
      </c>
      <c r="G2148" t="s">
        <v>16</v>
      </c>
      <c r="H2148">
        <v>1048.07</v>
      </c>
      <c r="I2148">
        <v>2181.65</v>
      </c>
      <c r="J2148" t="s">
        <v>17</v>
      </c>
      <c r="K2148">
        <v>0.27</v>
      </c>
      <c r="L2148" t="s">
        <v>18</v>
      </c>
      <c r="M2148" t="s">
        <v>19</v>
      </c>
    </row>
    <row r="2149" spans="1:13" x14ac:dyDescent="0.35">
      <c r="A2149">
        <v>1100</v>
      </c>
      <c r="B2149" s="1">
        <v>45302</v>
      </c>
      <c r="C2149" t="s">
        <v>29</v>
      </c>
      <c r="D2149" t="s">
        <v>20</v>
      </c>
      <c r="E2149">
        <v>80553.990000000005</v>
      </c>
      <c r="F2149">
        <v>44</v>
      </c>
      <c r="G2149" t="s">
        <v>26</v>
      </c>
      <c r="H2149">
        <v>1177.6500000000001</v>
      </c>
      <c r="I2149">
        <v>2205.75</v>
      </c>
      <c r="J2149" t="s">
        <v>27</v>
      </c>
      <c r="K2149">
        <v>0.17</v>
      </c>
      <c r="L2149" t="s">
        <v>28</v>
      </c>
      <c r="M2149" t="s">
        <v>21</v>
      </c>
    </row>
    <row r="2150" spans="1:13" x14ac:dyDescent="0.35">
      <c r="A2150">
        <v>1032</v>
      </c>
      <c r="B2150" s="1">
        <v>45302</v>
      </c>
      <c r="C2150" t="s">
        <v>14</v>
      </c>
      <c r="D2150" t="s">
        <v>30</v>
      </c>
      <c r="E2150">
        <v>66920.36</v>
      </c>
      <c r="F2150">
        <v>41</v>
      </c>
      <c r="G2150" t="s">
        <v>16</v>
      </c>
      <c r="H2150">
        <v>745.94</v>
      </c>
      <c r="I2150">
        <v>2331.7199999999998</v>
      </c>
      <c r="J2150" t="s">
        <v>17</v>
      </c>
      <c r="K2150">
        <v>0.3</v>
      </c>
      <c r="L2150" t="s">
        <v>25</v>
      </c>
      <c r="M2150" t="s">
        <v>19</v>
      </c>
    </row>
    <row r="2151" spans="1:13" x14ac:dyDescent="0.35">
      <c r="A2151">
        <v>1041</v>
      </c>
      <c r="B2151" s="1">
        <v>45303</v>
      </c>
      <c r="C2151" t="s">
        <v>33</v>
      </c>
      <c r="D2151" t="s">
        <v>15</v>
      </c>
      <c r="E2151">
        <v>26937.17</v>
      </c>
      <c r="F2151">
        <v>8</v>
      </c>
      <c r="G2151" t="s">
        <v>24</v>
      </c>
      <c r="H2151">
        <v>3232.31</v>
      </c>
      <c r="I2151">
        <v>3380.65</v>
      </c>
      <c r="J2151" t="s">
        <v>27</v>
      </c>
      <c r="K2151">
        <v>0</v>
      </c>
      <c r="L2151" t="s">
        <v>18</v>
      </c>
      <c r="M2151" t="s">
        <v>21</v>
      </c>
    </row>
    <row r="2152" spans="1:13" x14ac:dyDescent="0.35">
      <c r="A2152">
        <v>1079</v>
      </c>
      <c r="B2152" s="1">
        <v>45303</v>
      </c>
      <c r="C2152" t="s">
        <v>29</v>
      </c>
      <c r="D2152" t="s">
        <v>23</v>
      </c>
      <c r="E2152">
        <v>3451.6</v>
      </c>
      <c r="F2152">
        <v>2</v>
      </c>
      <c r="G2152" t="s">
        <v>26</v>
      </c>
      <c r="H2152">
        <v>464.24</v>
      </c>
      <c r="I2152">
        <v>2130.62</v>
      </c>
      <c r="J2152" t="s">
        <v>17</v>
      </c>
      <c r="K2152">
        <v>0.19</v>
      </c>
      <c r="L2152" t="s">
        <v>28</v>
      </c>
      <c r="M2152" t="s">
        <v>19</v>
      </c>
    </row>
    <row r="2153" spans="1:13" x14ac:dyDescent="0.35">
      <c r="A2153">
        <v>1034</v>
      </c>
      <c r="B2153" s="1">
        <v>45303</v>
      </c>
      <c r="C2153" t="s">
        <v>22</v>
      </c>
      <c r="D2153" t="s">
        <v>15</v>
      </c>
      <c r="E2153">
        <v>37118.839999999997</v>
      </c>
      <c r="F2153">
        <v>13</v>
      </c>
      <c r="G2153" t="s">
        <v>31</v>
      </c>
      <c r="H2153">
        <v>731.09</v>
      </c>
      <c r="I2153">
        <v>3070.21</v>
      </c>
      <c r="J2153" t="s">
        <v>17</v>
      </c>
      <c r="K2153">
        <v>7.0000000000000007E-2</v>
      </c>
      <c r="L2153" t="s">
        <v>25</v>
      </c>
      <c r="M2153" t="s">
        <v>19</v>
      </c>
    </row>
    <row r="2154" spans="1:13" x14ac:dyDescent="0.35">
      <c r="A2154">
        <v>1076</v>
      </c>
      <c r="B2154" s="1">
        <v>45304</v>
      </c>
      <c r="C2154" t="s">
        <v>32</v>
      </c>
      <c r="D2154" t="s">
        <v>20</v>
      </c>
      <c r="E2154">
        <v>52023.27</v>
      </c>
      <c r="F2154">
        <v>17</v>
      </c>
      <c r="G2154" t="s">
        <v>31</v>
      </c>
      <c r="H2154">
        <v>2562.04</v>
      </c>
      <c r="I2154">
        <v>4310.13</v>
      </c>
      <c r="J2154" t="s">
        <v>17</v>
      </c>
      <c r="K2154">
        <v>0.28999999999999998</v>
      </c>
      <c r="L2154" t="s">
        <v>25</v>
      </c>
      <c r="M2154" t="s">
        <v>21</v>
      </c>
    </row>
    <row r="2155" spans="1:13" x14ac:dyDescent="0.35">
      <c r="A2155">
        <v>1057</v>
      </c>
      <c r="B2155" s="1">
        <v>45304</v>
      </c>
      <c r="C2155" t="s">
        <v>32</v>
      </c>
      <c r="D2155" t="s">
        <v>20</v>
      </c>
      <c r="E2155">
        <v>68509.11</v>
      </c>
      <c r="F2155">
        <v>16</v>
      </c>
      <c r="G2155" t="s">
        <v>16</v>
      </c>
      <c r="H2155">
        <v>3723.52</v>
      </c>
      <c r="I2155">
        <v>4325.07</v>
      </c>
      <c r="J2155" t="s">
        <v>17</v>
      </c>
      <c r="K2155">
        <v>0.01</v>
      </c>
      <c r="L2155" t="s">
        <v>28</v>
      </c>
      <c r="M2155" t="s">
        <v>21</v>
      </c>
    </row>
    <row r="2156" spans="1:13" x14ac:dyDescent="0.35">
      <c r="A2156">
        <v>1005</v>
      </c>
      <c r="B2156" s="1">
        <v>45305</v>
      </c>
      <c r="C2156" t="s">
        <v>22</v>
      </c>
      <c r="D2156" t="s">
        <v>23</v>
      </c>
      <c r="E2156">
        <v>43675.63</v>
      </c>
      <c r="F2156">
        <v>10</v>
      </c>
      <c r="G2156" t="s">
        <v>31</v>
      </c>
      <c r="H2156">
        <v>3610.49</v>
      </c>
      <c r="I2156">
        <v>4799.5200000000004</v>
      </c>
      <c r="J2156" t="s">
        <v>27</v>
      </c>
      <c r="K2156">
        <v>0.09</v>
      </c>
      <c r="L2156" t="s">
        <v>25</v>
      </c>
      <c r="M2156" t="s">
        <v>19</v>
      </c>
    </row>
    <row r="2157" spans="1:13" x14ac:dyDescent="0.35">
      <c r="A2157">
        <v>1095</v>
      </c>
      <c r="B2157" s="1">
        <v>45306</v>
      </c>
      <c r="C2157" t="s">
        <v>32</v>
      </c>
      <c r="D2157" t="s">
        <v>30</v>
      </c>
      <c r="E2157">
        <v>6485.27</v>
      </c>
      <c r="F2157">
        <v>10</v>
      </c>
      <c r="G2157" t="s">
        <v>24</v>
      </c>
      <c r="H2157">
        <v>270.22000000000003</v>
      </c>
      <c r="I2157">
        <v>820.92</v>
      </c>
      <c r="J2157" t="s">
        <v>27</v>
      </c>
      <c r="K2157">
        <v>0.21</v>
      </c>
      <c r="L2157" t="s">
        <v>25</v>
      </c>
      <c r="M2157" t="s">
        <v>21</v>
      </c>
    </row>
    <row r="2158" spans="1:13" x14ac:dyDescent="0.35">
      <c r="A2158">
        <v>1008</v>
      </c>
      <c r="B2158" s="1">
        <v>45307</v>
      </c>
      <c r="C2158" t="s">
        <v>29</v>
      </c>
      <c r="D2158" t="s">
        <v>15</v>
      </c>
      <c r="E2158">
        <v>136553.32999999999</v>
      </c>
      <c r="F2158">
        <v>48</v>
      </c>
      <c r="G2158" t="s">
        <v>31</v>
      </c>
      <c r="H2158">
        <v>2789.92</v>
      </c>
      <c r="I2158">
        <v>3601.09</v>
      </c>
      <c r="J2158" t="s">
        <v>27</v>
      </c>
      <c r="K2158">
        <v>0.21</v>
      </c>
      <c r="L2158" t="s">
        <v>18</v>
      </c>
      <c r="M2158" t="s">
        <v>21</v>
      </c>
    </row>
    <row r="2159" spans="1:13" x14ac:dyDescent="0.35">
      <c r="A2159">
        <v>1051</v>
      </c>
      <c r="B2159" s="1">
        <v>45307</v>
      </c>
      <c r="C2159" t="s">
        <v>32</v>
      </c>
      <c r="D2159" t="s">
        <v>20</v>
      </c>
      <c r="E2159">
        <v>45256.22</v>
      </c>
      <c r="F2159">
        <v>17</v>
      </c>
      <c r="G2159" t="s">
        <v>26</v>
      </c>
      <c r="H2159">
        <v>492.22</v>
      </c>
      <c r="I2159">
        <v>3059.92</v>
      </c>
      <c r="J2159" t="s">
        <v>27</v>
      </c>
      <c r="K2159">
        <v>0.13</v>
      </c>
      <c r="L2159" t="s">
        <v>25</v>
      </c>
      <c r="M2159" t="s">
        <v>19</v>
      </c>
    </row>
    <row r="2160" spans="1:13" x14ac:dyDescent="0.35">
      <c r="A2160">
        <v>1074</v>
      </c>
      <c r="B2160" s="1">
        <v>45307</v>
      </c>
      <c r="C2160" t="s">
        <v>32</v>
      </c>
      <c r="D2160" t="s">
        <v>20</v>
      </c>
      <c r="E2160">
        <v>120278.36</v>
      </c>
      <c r="F2160">
        <v>27</v>
      </c>
      <c r="G2160" t="s">
        <v>24</v>
      </c>
      <c r="H2160">
        <v>2894.18</v>
      </c>
      <c r="I2160">
        <v>4739.1000000000004</v>
      </c>
      <c r="J2160" t="s">
        <v>17</v>
      </c>
      <c r="K2160">
        <v>0.06</v>
      </c>
      <c r="L2160" t="s">
        <v>25</v>
      </c>
      <c r="M2160" t="s">
        <v>19</v>
      </c>
    </row>
    <row r="2161" spans="1:13" x14ac:dyDescent="0.35">
      <c r="A2161">
        <v>1020</v>
      </c>
      <c r="B2161" s="1">
        <v>45308</v>
      </c>
      <c r="C2161" t="s">
        <v>32</v>
      </c>
      <c r="D2161" t="s">
        <v>20</v>
      </c>
      <c r="E2161">
        <v>83250.720000000001</v>
      </c>
      <c r="F2161">
        <v>50</v>
      </c>
      <c r="G2161" t="s">
        <v>26</v>
      </c>
      <c r="H2161">
        <v>1533.93</v>
      </c>
      <c r="I2161">
        <v>1982.16</v>
      </c>
      <c r="J2161" t="s">
        <v>27</v>
      </c>
      <c r="K2161">
        <v>0.16</v>
      </c>
      <c r="L2161" t="s">
        <v>25</v>
      </c>
      <c r="M2161" t="s">
        <v>19</v>
      </c>
    </row>
    <row r="2162" spans="1:13" x14ac:dyDescent="0.35">
      <c r="A2162">
        <v>1059</v>
      </c>
      <c r="B2162" s="1">
        <v>45308</v>
      </c>
      <c r="C2162" t="s">
        <v>29</v>
      </c>
      <c r="D2162" t="s">
        <v>23</v>
      </c>
      <c r="E2162">
        <v>61745.81</v>
      </c>
      <c r="F2162">
        <v>33</v>
      </c>
      <c r="G2162" t="s">
        <v>24</v>
      </c>
      <c r="H2162">
        <v>993.19</v>
      </c>
      <c r="I2162">
        <v>2494.7800000000002</v>
      </c>
      <c r="J2162" t="s">
        <v>27</v>
      </c>
      <c r="K2162">
        <v>0.25</v>
      </c>
      <c r="L2162" t="s">
        <v>28</v>
      </c>
      <c r="M2162" t="s">
        <v>19</v>
      </c>
    </row>
    <row r="2163" spans="1:13" x14ac:dyDescent="0.35">
      <c r="A2163">
        <v>1028</v>
      </c>
      <c r="B2163" s="1">
        <v>45308</v>
      </c>
      <c r="C2163" t="s">
        <v>14</v>
      </c>
      <c r="D2163" t="s">
        <v>15</v>
      </c>
      <c r="E2163">
        <v>126713.04</v>
      </c>
      <c r="F2163">
        <v>24</v>
      </c>
      <c r="G2163" t="s">
        <v>26</v>
      </c>
      <c r="H2163">
        <v>1633.24</v>
      </c>
      <c r="I2163">
        <v>5443</v>
      </c>
      <c r="J2163" t="s">
        <v>17</v>
      </c>
      <c r="K2163">
        <v>0.03</v>
      </c>
      <c r="L2163" t="s">
        <v>28</v>
      </c>
      <c r="M2163" t="s">
        <v>21</v>
      </c>
    </row>
    <row r="2164" spans="1:13" x14ac:dyDescent="0.35">
      <c r="A2164">
        <v>1091</v>
      </c>
      <c r="B2164" s="1">
        <v>45308</v>
      </c>
      <c r="C2164" t="s">
        <v>22</v>
      </c>
      <c r="D2164" t="s">
        <v>20</v>
      </c>
      <c r="E2164">
        <v>158012.35</v>
      </c>
      <c r="F2164">
        <v>46</v>
      </c>
      <c r="G2164" t="s">
        <v>31</v>
      </c>
      <c r="H2164">
        <v>1498.53</v>
      </c>
      <c r="I2164">
        <v>4838.1000000000004</v>
      </c>
      <c r="J2164" t="s">
        <v>17</v>
      </c>
      <c r="K2164">
        <v>0.28999999999999998</v>
      </c>
      <c r="L2164" t="s">
        <v>28</v>
      </c>
      <c r="M2164" t="s">
        <v>19</v>
      </c>
    </row>
    <row r="2165" spans="1:13" x14ac:dyDescent="0.35">
      <c r="A2165">
        <v>1087</v>
      </c>
      <c r="B2165" s="1">
        <v>45308</v>
      </c>
      <c r="C2165" t="s">
        <v>33</v>
      </c>
      <c r="D2165" t="s">
        <v>15</v>
      </c>
      <c r="E2165">
        <v>158483.6</v>
      </c>
      <c r="F2165">
        <v>39</v>
      </c>
      <c r="G2165" t="s">
        <v>31</v>
      </c>
      <c r="H2165">
        <v>1680.98</v>
      </c>
      <c r="I2165">
        <v>4277.5600000000004</v>
      </c>
      <c r="J2165" t="s">
        <v>17</v>
      </c>
      <c r="K2165">
        <v>0.05</v>
      </c>
      <c r="L2165" t="s">
        <v>25</v>
      </c>
      <c r="M2165" t="s">
        <v>19</v>
      </c>
    </row>
    <row r="2166" spans="1:13" x14ac:dyDescent="0.35">
      <c r="A2166">
        <v>1050</v>
      </c>
      <c r="B2166" s="1">
        <v>45309</v>
      </c>
      <c r="C2166" t="s">
        <v>22</v>
      </c>
      <c r="D2166" t="s">
        <v>30</v>
      </c>
      <c r="E2166">
        <v>10135.64</v>
      </c>
      <c r="F2166">
        <v>4</v>
      </c>
      <c r="G2166" t="s">
        <v>16</v>
      </c>
      <c r="H2166">
        <v>622.91</v>
      </c>
      <c r="I2166">
        <v>2754.25</v>
      </c>
      <c r="J2166" t="s">
        <v>27</v>
      </c>
      <c r="K2166">
        <v>0.08</v>
      </c>
      <c r="L2166" t="s">
        <v>28</v>
      </c>
      <c r="M2166" t="s">
        <v>21</v>
      </c>
    </row>
    <row r="2167" spans="1:13" x14ac:dyDescent="0.35">
      <c r="A2167">
        <v>1085</v>
      </c>
      <c r="B2167" s="1">
        <v>45309</v>
      </c>
      <c r="C2167" t="s">
        <v>32</v>
      </c>
      <c r="D2167" t="s">
        <v>15</v>
      </c>
      <c r="E2167">
        <v>54269.75</v>
      </c>
      <c r="F2167">
        <v>31</v>
      </c>
      <c r="G2167" t="s">
        <v>16</v>
      </c>
      <c r="H2167">
        <v>1408.72</v>
      </c>
      <c r="I2167">
        <v>1862.38</v>
      </c>
      <c r="J2167" t="s">
        <v>27</v>
      </c>
      <c r="K2167">
        <v>0.06</v>
      </c>
      <c r="L2167" t="s">
        <v>25</v>
      </c>
      <c r="M2167" t="s">
        <v>21</v>
      </c>
    </row>
    <row r="2168" spans="1:13" x14ac:dyDescent="0.35">
      <c r="A2168">
        <v>1010</v>
      </c>
      <c r="B2168" s="1">
        <v>45309</v>
      </c>
      <c r="C2168" t="s">
        <v>33</v>
      </c>
      <c r="D2168" t="s">
        <v>30</v>
      </c>
      <c r="E2168">
        <v>54546.53</v>
      </c>
      <c r="F2168">
        <v>20</v>
      </c>
      <c r="G2168" t="s">
        <v>26</v>
      </c>
      <c r="H2168">
        <v>363.61</v>
      </c>
      <c r="I2168">
        <v>3171.31</v>
      </c>
      <c r="J2168" t="s">
        <v>17</v>
      </c>
      <c r="K2168">
        <v>0.14000000000000001</v>
      </c>
      <c r="L2168" t="s">
        <v>25</v>
      </c>
      <c r="M2168" t="s">
        <v>19</v>
      </c>
    </row>
    <row r="2169" spans="1:13" x14ac:dyDescent="0.35">
      <c r="A2169">
        <v>1050</v>
      </c>
      <c r="B2169" s="1">
        <v>45309</v>
      </c>
      <c r="C2169" t="s">
        <v>29</v>
      </c>
      <c r="D2169" t="s">
        <v>23</v>
      </c>
      <c r="E2169">
        <v>102461.09</v>
      </c>
      <c r="F2169">
        <v>45</v>
      </c>
      <c r="G2169" t="s">
        <v>26</v>
      </c>
      <c r="H2169">
        <v>1139.97</v>
      </c>
      <c r="I2169">
        <v>2957.03</v>
      </c>
      <c r="J2169" t="s">
        <v>27</v>
      </c>
      <c r="K2169">
        <v>0.23</v>
      </c>
      <c r="L2169" t="s">
        <v>25</v>
      </c>
      <c r="M2169" t="s">
        <v>21</v>
      </c>
    </row>
    <row r="2170" spans="1:13" x14ac:dyDescent="0.35">
      <c r="A2170">
        <v>1011</v>
      </c>
      <c r="B2170" s="1">
        <v>45309</v>
      </c>
      <c r="C2170" t="s">
        <v>14</v>
      </c>
      <c r="D2170" t="s">
        <v>20</v>
      </c>
      <c r="E2170">
        <v>126478.68</v>
      </c>
      <c r="F2170">
        <v>39</v>
      </c>
      <c r="G2170" t="s">
        <v>16</v>
      </c>
      <c r="H2170">
        <v>1332.37</v>
      </c>
      <c r="I2170">
        <v>3378.17</v>
      </c>
      <c r="J2170" t="s">
        <v>27</v>
      </c>
      <c r="K2170">
        <v>0.04</v>
      </c>
      <c r="L2170" t="s">
        <v>18</v>
      </c>
      <c r="M2170" t="s">
        <v>21</v>
      </c>
    </row>
    <row r="2171" spans="1:13" x14ac:dyDescent="0.35">
      <c r="A2171">
        <v>1031</v>
      </c>
      <c r="B2171" s="1">
        <v>45310</v>
      </c>
      <c r="C2171" t="s">
        <v>32</v>
      </c>
      <c r="D2171" t="s">
        <v>20</v>
      </c>
      <c r="E2171">
        <v>16792.18</v>
      </c>
      <c r="F2171">
        <v>6</v>
      </c>
      <c r="G2171" t="s">
        <v>26</v>
      </c>
      <c r="H2171">
        <v>2702.45</v>
      </c>
      <c r="I2171">
        <v>2810.33</v>
      </c>
      <c r="J2171" t="s">
        <v>27</v>
      </c>
      <c r="K2171">
        <v>0</v>
      </c>
      <c r="L2171" t="s">
        <v>28</v>
      </c>
      <c r="M2171" t="s">
        <v>19</v>
      </c>
    </row>
    <row r="2172" spans="1:13" x14ac:dyDescent="0.35">
      <c r="A2172">
        <v>1076</v>
      </c>
      <c r="B2172" s="1">
        <v>45311</v>
      </c>
      <c r="C2172" t="s">
        <v>29</v>
      </c>
      <c r="D2172" t="s">
        <v>30</v>
      </c>
      <c r="E2172">
        <v>40435.31</v>
      </c>
      <c r="F2172">
        <v>12</v>
      </c>
      <c r="G2172" t="s">
        <v>24</v>
      </c>
      <c r="H2172">
        <v>2509.1</v>
      </c>
      <c r="I2172">
        <v>3918.15</v>
      </c>
      <c r="J2172" t="s">
        <v>17</v>
      </c>
      <c r="K2172">
        <v>0.14000000000000001</v>
      </c>
      <c r="L2172" t="s">
        <v>28</v>
      </c>
      <c r="M2172" t="s">
        <v>19</v>
      </c>
    </row>
    <row r="2173" spans="1:13" x14ac:dyDescent="0.35">
      <c r="A2173">
        <v>1076</v>
      </c>
      <c r="B2173" s="1">
        <v>45311</v>
      </c>
      <c r="C2173" t="s">
        <v>32</v>
      </c>
      <c r="D2173" t="s">
        <v>15</v>
      </c>
      <c r="E2173">
        <v>89192.43</v>
      </c>
      <c r="F2173">
        <v>33</v>
      </c>
      <c r="G2173" t="s">
        <v>31</v>
      </c>
      <c r="H2173">
        <v>2359.29</v>
      </c>
      <c r="I2173">
        <v>2875.32</v>
      </c>
      <c r="J2173" t="s">
        <v>17</v>
      </c>
      <c r="K2173">
        <v>0.06</v>
      </c>
      <c r="L2173" t="s">
        <v>28</v>
      </c>
      <c r="M2173" t="s">
        <v>19</v>
      </c>
    </row>
    <row r="2174" spans="1:13" x14ac:dyDescent="0.35">
      <c r="A2174">
        <v>1012</v>
      </c>
      <c r="B2174" s="1">
        <v>45311</v>
      </c>
      <c r="C2174" t="s">
        <v>22</v>
      </c>
      <c r="D2174" t="s">
        <v>23</v>
      </c>
      <c r="E2174">
        <v>176486.13</v>
      </c>
      <c r="F2174">
        <v>48</v>
      </c>
      <c r="G2174" t="s">
        <v>24</v>
      </c>
      <c r="H2174">
        <v>3238.96</v>
      </c>
      <c r="I2174">
        <v>4654.17</v>
      </c>
      <c r="J2174" t="s">
        <v>27</v>
      </c>
      <c r="K2174">
        <v>0.21</v>
      </c>
      <c r="L2174" t="s">
        <v>25</v>
      </c>
      <c r="M2174" t="s">
        <v>19</v>
      </c>
    </row>
    <row r="2175" spans="1:13" x14ac:dyDescent="0.35">
      <c r="A2175">
        <v>1011</v>
      </c>
      <c r="B2175" s="1">
        <v>45311</v>
      </c>
      <c r="C2175" t="s">
        <v>22</v>
      </c>
      <c r="D2175" t="s">
        <v>20</v>
      </c>
      <c r="E2175">
        <v>64447.39</v>
      </c>
      <c r="F2175">
        <v>30</v>
      </c>
      <c r="G2175" t="s">
        <v>16</v>
      </c>
      <c r="H2175">
        <v>691.78</v>
      </c>
      <c r="I2175">
        <v>2826.64</v>
      </c>
      <c r="J2175" t="s">
        <v>27</v>
      </c>
      <c r="K2175">
        <v>0.24</v>
      </c>
      <c r="L2175" t="s">
        <v>18</v>
      </c>
      <c r="M2175" t="s">
        <v>19</v>
      </c>
    </row>
    <row r="2176" spans="1:13" x14ac:dyDescent="0.35">
      <c r="A2176">
        <v>1002</v>
      </c>
      <c r="B2176" s="1">
        <v>45311</v>
      </c>
      <c r="C2176" t="s">
        <v>33</v>
      </c>
      <c r="D2176" t="s">
        <v>30</v>
      </c>
      <c r="E2176">
        <v>57027.89</v>
      </c>
      <c r="F2176">
        <v>12</v>
      </c>
      <c r="G2176" t="s">
        <v>31</v>
      </c>
      <c r="H2176">
        <v>823.94</v>
      </c>
      <c r="I2176">
        <v>4849.3100000000004</v>
      </c>
      <c r="J2176" t="s">
        <v>17</v>
      </c>
      <c r="K2176">
        <v>0.02</v>
      </c>
      <c r="L2176" t="s">
        <v>25</v>
      </c>
      <c r="M2176" t="s">
        <v>19</v>
      </c>
    </row>
    <row r="2177" spans="1:13" x14ac:dyDescent="0.35">
      <c r="A2177">
        <v>1015</v>
      </c>
      <c r="B2177" s="1">
        <v>45311</v>
      </c>
      <c r="C2177" t="s">
        <v>29</v>
      </c>
      <c r="D2177" t="s">
        <v>15</v>
      </c>
      <c r="E2177">
        <v>98827.66</v>
      </c>
      <c r="F2177">
        <v>42</v>
      </c>
      <c r="G2177" t="s">
        <v>26</v>
      </c>
      <c r="H2177">
        <v>835.15</v>
      </c>
      <c r="I2177">
        <v>2530.15</v>
      </c>
      <c r="J2177" t="s">
        <v>17</v>
      </c>
      <c r="K2177">
        <v>7.0000000000000007E-2</v>
      </c>
      <c r="L2177" t="s">
        <v>28</v>
      </c>
      <c r="M2177" t="s">
        <v>21</v>
      </c>
    </row>
    <row r="2178" spans="1:13" x14ac:dyDescent="0.35">
      <c r="A2178">
        <v>1070</v>
      </c>
      <c r="B2178" s="1">
        <v>45312</v>
      </c>
      <c r="C2178" t="s">
        <v>14</v>
      </c>
      <c r="D2178" t="s">
        <v>23</v>
      </c>
      <c r="E2178">
        <v>33161.410000000003</v>
      </c>
      <c r="F2178">
        <v>9</v>
      </c>
      <c r="G2178" t="s">
        <v>16</v>
      </c>
      <c r="H2178">
        <v>3603.92</v>
      </c>
      <c r="I2178">
        <v>4284.42</v>
      </c>
      <c r="J2178" t="s">
        <v>27</v>
      </c>
      <c r="K2178">
        <v>0.14000000000000001</v>
      </c>
      <c r="L2178" t="s">
        <v>28</v>
      </c>
      <c r="M2178" t="s">
        <v>21</v>
      </c>
    </row>
    <row r="2179" spans="1:13" x14ac:dyDescent="0.35">
      <c r="A2179">
        <v>1038</v>
      </c>
      <c r="B2179" s="1">
        <v>45312</v>
      </c>
      <c r="C2179" t="s">
        <v>14</v>
      </c>
      <c r="D2179" t="s">
        <v>23</v>
      </c>
      <c r="E2179">
        <v>134930.17000000001</v>
      </c>
      <c r="F2179">
        <v>38</v>
      </c>
      <c r="G2179" t="s">
        <v>16</v>
      </c>
      <c r="H2179">
        <v>3001.49</v>
      </c>
      <c r="I2179">
        <v>4552.3</v>
      </c>
      <c r="J2179" t="s">
        <v>27</v>
      </c>
      <c r="K2179">
        <v>0.22</v>
      </c>
      <c r="L2179" t="s">
        <v>25</v>
      </c>
      <c r="M2179" t="s">
        <v>19</v>
      </c>
    </row>
    <row r="2180" spans="1:13" x14ac:dyDescent="0.35">
      <c r="A2180">
        <v>1019</v>
      </c>
      <c r="B2180" s="1">
        <v>45313</v>
      </c>
      <c r="C2180" t="s">
        <v>32</v>
      </c>
      <c r="D2180" t="s">
        <v>20</v>
      </c>
      <c r="E2180">
        <v>89988.71</v>
      </c>
      <c r="F2180">
        <v>35</v>
      </c>
      <c r="G2180" t="s">
        <v>26</v>
      </c>
      <c r="H2180">
        <v>809.53</v>
      </c>
      <c r="I2180">
        <v>2764.63</v>
      </c>
      <c r="J2180" t="s">
        <v>17</v>
      </c>
      <c r="K2180">
        <v>7.0000000000000007E-2</v>
      </c>
      <c r="L2180" t="s">
        <v>18</v>
      </c>
      <c r="M2180" t="s">
        <v>19</v>
      </c>
    </row>
    <row r="2181" spans="1:13" x14ac:dyDescent="0.35">
      <c r="A2181">
        <v>1050</v>
      </c>
      <c r="B2181" s="1">
        <v>45314</v>
      </c>
      <c r="C2181" t="s">
        <v>22</v>
      </c>
      <c r="D2181" t="s">
        <v>15</v>
      </c>
      <c r="E2181">
        <v>78199.679999999993</v>
      </c>
      <c r="F2181">
        <v>26</v>
      </c>
      <c r="G2181" t="s">
        <v>31</v>
      </c>
      <c r="H2181">
        <v>2758.45</v>
      </c>
      <c r="I2181">
        <v>3007.68</v>
      </c>
      <c r="J2181" t="s">
        <v>17</v>
      </c>
      <c r="K2181">
        <v>0</v>
      </c>
      <c r="L2181" t="s">
        <v>18</v>
      </c>
      <c r="M2181" t="s">
        <v>19</v>
      </c>
    </row>
    <row r="2182" spans="1:13" x14ac:dyDescent="0.35">
      <c r="A2182">
        <v>1055</v>
      </c>
      <c r="B2182" s="1">
        <v>45314</v>
      </c>
      <c r="C2182" t="s">
        <v>29</v>
      </c>
      <c r="D2182" t="s">
        <v>15</v>
      </c>
      <c r="E2182">
        <v>120543.94</v>
      </c>
      <c r="F2182">
        <v>33</v>
      </c>
      <c r="G2182" t="s">
        <v>31</v>
      </c>
      <c r="H2182">
        <v>3363.26</v>
      </c>
      <c r="I2182">
        <v>3778.65</v>
      </c>
      <c r="J2182" t="s">
        <v>27</v>
      </c>
      <c r="K2182">
        <v>0.03</v>
      </c>
      <c r="L2182" t="s">
        <v>25</v>
      </c>
      <c r="M2182" t="s">
        <v>19</v>
      </c>
    </row>
    <row r="2183" spans="1:13" x14ac:dyDescent="0.35">
      <c r="A2183">
        <v>1073</v>
      </c>
      <c r="B2183" s="1">
        <v>45314</v>
      </c>
      <c r="C2183" t="s">
        <v>33</v>
      </c>
      <c r="D2183" t="s">
        <v>23</v>
      </c>
      <c r="E2183">
        <v>69758.62</v>
      </c>
      <c r="F2183">
        <v>39</v>
      </c>
      <c r="G2183" t="s">
        <v>26</v>
      </c>
      <c r="H2183">
        <v>1128.08</v>
      </c>
      <c r="I2183">
        <v>2450.25</v>
      </c>
      <c r="J2183" t="s">
        <v>27</v>
      </c>
      <c r="K2183">
        <v>0.27</v>
      </c>
      <c r="L2183" t="s">
        <v>25</v>
      </c>
      <c r="M2183" t="s">
        <v>19</v>
      </c>
    </row>
    <row r="2184" spans="1:13" x14ac:dyDescent="0.35">
      <c r="A2184">
        <v>1052</v>
      </c>
      <c r="B2184" s="1">
        <v>45314</v>
      </c>
      <c r="C2184" t="s">
        <v>32</v>
      </c>
      <c r="D2184" t="s">
        <v>23</v>
      </c>
      <c r="E2184">
        <v>79205.63</v>
      </c>
      <c r="F2184">
        <v>27</v>
      </c>
      <c r="G2184" t="s">
        <v>24</v>
      </c>
      <c r="H2184">
        <v>1752.85</v>
      </c>
      <c r="I2184">
        <v>2993.41</v>
      </c>
      <c r="J2184" t="s">
        <v>27</v>
      </c>
      <c r="K2184">
        <v>0.02</v>
      </c>
      <c r="L2184" t="s">
        <v>18</v>
      </c>
      <c r="M2184" t="s">
        <v>19</v>
      </c>
    </row>
    <row r="2185" spans="1:13" x14ac:dyDescent="0.35">
      <c r="A2185">
        <v>1038</v>
      </c>
      <c r="B2185" s="1">
        <v>45314</v>
      </c>
      <c r="C2185" t="s">
        <v>33</v>
      </c>
      <c r="D2185" t="s">
        <v>15</v>
      </c>
      <c r="E2185">
        <v>161206.92000000001</v>
      </c>
      <c r="F2185">
        <v>40</v>
      </c>
      <c r="G2185" t="s">
        <v>24</v>
      </c>
      <c r="H2185">
        <v>613.13</v>
      </c>
      <c r="I2185">
        <v>4741.38</v>
      </c>
      <c r="J2185" t="s">
        <v>27</v>
      </c>
      <c r="K2185">
        <v>0.15</v>
      </c>
      <c r="L2185" t="s">
        <v>28</v>
      </c>
      <c r="M2185" t="s">
        <v>19</v>
      </c>
    </row>
    <row r="2186" spans="1:13" x14ac:dyDescent="0.35">
      <c r="A2186">
        <v>1020</v>
      </c>
      <c r="B2186" s="1">
        <v>45315</v>
      </c>
      <c r="C2186" t="s">
        <v>22</v>
      </c>
      <c r="D2186" t="s">
        <v>23</v>
      </c>
      <c r="E2186">
        <v>118523.63</v>
      </c>
      <c r="F2186">
        <v>26</v>
      </c>
      <c r="G2186" t="s">
        <v>26</v>
      </c>
      <c r="H2186">
        <v>1669</v>
      </c>
      <c r="I2186">
        <v>5363.06</v>
      </c>
      <c r="J2186" t="s">
        <v>27</v>
      </c>
      <c r="K2186">
        <v>0.15</v>
      </c>
      <c r="L2186" t="s">
        <v>25</v>
      </c>
      <c r="M2186" t="s">
        <v>19</v>
      </c>
    </row>
    <row r="2187" spans="1:13" x14ac:dyDescent="0.35">
      <c r="A2187">
        <v>1062</v>
      </c>
      <c r="B2187" s="1">
        <v>45315</v>
      </c>
      <c r="C2187" t="s">
        <v>14</v>
      </c>
      <c r="D2187" t="s">
        <v>30</v>
      </c>
      <c r="E2187">
        <v>149269.87</v>
      </c>
      <c r="F2187">
        <v>36</v>
      </c>
      <c r="G2187" t="s">
        <v>26</v>
      </c>
      <c r="H2187">
        <v>2003.21</v>
      </c>
      <c r="I2187">
        <v>4658.8599999999997</v>
      </c>
      <c r="J2187" t="s">
        <v>17</v>
      </c>
      <c r="K2187">
        <v>0.11</v>
      </c>
      <c r="L2187" t="s">
        <v>28</v>
      </c>
      <c r="M2187" t="s">
        <v>21</v>
      </c>
    </row>
    <row r="2188" spans="1:13" x14ac:dyDescent="0.35">
      <c r="A2188">
        <v>1058</v>
      </c>
      <c r="B2188" s="1">
        <v>45316</v>
      </c>
      <c r="C2188" t="s">
        <v>32</v>
      </c>
      <c r="D2188" t="s">
        <v>15</v>
      </c>
      <c r="E2188">
        <v>114518.85</v>
      </c>
      <c r="F2188">
        <v>26</v>
      </c>
      <c r="G2188" t="s">
        <v>24</v>
      </c>
      <c r="H2188">
        <v>4314.8</v>
      </c>
      <c r="I2188">
        <v>4443.6000000000004</v>
      </c>
      <c r="J2188" t="s">
        <v>17</v>
      </c>
      <c r="K2188">
        <v>0.01</v>
      </c>
      <c r="L2188" t="s">
        <v>28</v>
      </c>
      <c r="M2188" t="s">
        <v>19</v>
      </c>
    </row>
    <row r="2189" spans="1:13" x14ac:dyDescent="0.35">
      <c r="A2189">
        <v>1099</v>
      </c>
      <c r="B2189" s="1">
        <v>45316</v>
      </c>
      <c r="C2189" t="s">
        <v>29</v>
      </c>
      <c r="D2189" t="s">
        <v>23</v>
      </c>
      <c r="E2189">
        <v>11739.42</v>
      </c>
      <c r="F2189">
        <v>7</v>
      </c>
      <c r="G2189" t="s">
        <v>16</v>
      </c>
      <c r="H2189">
        <v>1172.81</v>
      </c>
      <c r="I2189">
        <v>2122.86</v>
      </c>
      <c r="J2189" t="s">
        <v>17</v>
      </c>
      <c r="K2189">
        <v>0.21</v>
      </c>
      <c r="L2189" t="s">
        <v>18</v>
      </c>
      <c r="M2189" t="s">
        <v>21</v>
      </c>
    </row>
    <row r="2190" spans="1:13" x14ac:dyDescent="0.35">
      <c r="A2190">
        <v>1093</v>
      </c>
      <c r="B2190" s="1">
        <v>45316</v>
      </c>
      <c r="C2190" t="s">
        <v>22</v>
      </c>
      <c r="D2190" t="s">
        <v>15</v>
      </c>
      <c r="E2190">
        <v>88214.43</v>
      </c>
      <c r="F2190">
        <v>21</v>
      </c>
      <c r="G2190" t="s">
        <v>31</v>
      </c>
      <c r="H2190">
        <v>279.52</v>
      </c>
      <c r="I2190">
        <v>4884.5200000000004</v>
      </c>
      <c r="J2190" t="s">
        <v>17</v>
      </c>
      <c r="K2190">
        <v>0.14000000000000001</v>
      </c>
      <c r="L2190" t="s">
        <v>28</v>
      </c>
      <c r="M2190" t="s">
        <v>19</v>
      </c>
    </row>
    <row r="2191" spans="1:13" x14ac:dyDescent="0.35">
      <c r="A2191">
        <v>1086</v>
      </c>
      <c r="B2191" s="1">
        <v>45317</v>
      </c>
      <c r="C2191" t="s">
        <v>14</v>
      </c>
      <c r="D2191" t="s">
        <v>20</v>
      </c>
      <c r="E2191">
        <v>21494.54</v>
      </c>
      <c r="F2191">
        <v>11</v>
      </c>
      <c r="G2191" t="s">
        <v>26</v>
      </c>
      <c r="H2191">
        <v>1097.45</v>
      </c>
      <c r="I2191">
        <v>2220.5100000000002</v>
      </c>
      <c r="J2191" t="s">
        <v>17</v>
      </c>
      <c r="K2191">
        <v>0.12</v>
      </c>
      <c r="L2191" t="s">
        <v>18</v>
      </c>
      <c r="M2191" t="s">
        <v>19</v>
      </c>
    </row>
    <row r="2192" spans="1:13" x14ac:dyDescent="0.35">
      <c r="A2192">
        <v>1023</v>
      </c>
      <c r="B2192" s="1">
        <v>45317</v>
      </c>
      <c r="C2192" t="s">
        <v>32</v>
      </c>
      <c r="D2192" t="s">
        <v>20</v>
      </c>
      <c r="E2192">
        <v>64869.07</v>
      </c>
      <c r="F2192">
        <v>19</v>
      </c>
      <c r="G2192" t="s">
        <v>26</v>
      </c>
      <c r="H2192">
        <v>1255.31</v>
      </c>
      <c r="I2192">
        <v>4377.13</v>
      </c>
      <c r="J2192" t="s">
        <v>27</v>
      </c>
      <c r="K2192">
        <v>0.22</v>
      </c>
      <c r="L2192" t="s">
        <v>28</v>
      </c>
      <c r="M2192" t="s">
        <v>19</v>
      </c>
    </row>
    <row r="2193" spans="1:13" x14ac:dyDescent="0.35">
      <c r="A2193">
        <v>1017</v>
      </c>
      <c r="B2193" s="1">
        <v>45317</v>
      </c>
      <c r="C2193" t="s">
        <v>32</v>
      </c>
      <c r="D2193" t="s">
        <v>30</v>
      </c>
      <c r="E2193">
        <v>101660.7</v>
      </c>
      <c r="F2193">
        <v>30</v>
      </c>
      <c r="G2193" t="s">
        <v>24</v>
      </c>
      <c r="H2193">
        <v>1083.4100000000001</v>
      </c>
      <c r="I2193">
        <v>3388.69</v>
      </c>
      <c r="J2193" t="s">
        <v>17</v>
      </c>
      <c r="K2193">
        <v>0</v>
      </c>
      <c r="L2193" t="s">
        <v>28</v>
      </c>
      <c r="M2193" t="s">
        <v>21</v>
      </c>
    </row>
    <row r="2194" spans="1:13" x14ac:dyDescent="0.35">
      <c r="A2194">
        <v>1026</v>
      </c>
      <c r="B2194" s="1">
        <v>45317</v>
      </c>
      <c r="C2194" t="s">
        <v>32</v>
      </c>
      <c r="D2194" t="s">
        <v>15</v>
      </c>
      <c r="E2194">
        <v>117042.42</v>
      </c>
      <c r="F2194">
        <v>43</v>
      </c>
      <c r="G2194" t="s">
        <v>26</v>
      </c>
      <c r="H2194">
        <v>842.91</v>
      </c>
      <c r="I2194">
        <v>3128.64</v>
      </c>
      <c r="J2194" t="s">
        <v>27</v>
      </c>
      <c r="K2194">
        <v>0.13</v>
      </c>
      <c r="L2194" t="s">
        <v>28</v>
      </c>
      <c r="M2194" t="s">
        <v>19</v>
      </c>
    </row>
    <row r="2195" spans="1:13" x14ac:dyDescent="0.35">
      <c r="A2195">
        <v>1003</v>
      </c>
      <c r="B2195" s="1">
        <v>45318</v>
      </c>
      <c r="C2195" t="s">
        <v>29</v>
      </c>
      <c r="D2195" t="s">
        <v>20</v>
      </c>
      <c r="E2195">
        <v>7501.92</v>
      </c>
      <c r="F2195">
        <v>2</v>
      </c>
      <c r="G2195" t="s">
        <v>24</v>
      </c>
      <c r="H2195">
        <v>756.5</v>
      </c>
      <c r="I2195">
        <v>4214.5600000000004</v>
      </c>
      <c r="J2195" t="s">
        <v>27</v>
      </c>
      <c r="K2195">
        <v>0.11</v>
      </c>
      <c r="L2195" t="s">
        <v>18</v>
      </c>
      <c r="M2195" t="s">
        <v>21</v>
      </c>
    </row>
    <row r="2196" spans="1:13" x14ac:dyDescent="0.35">
      <c r="A2196">
        <v>1046</v>
      </c>
      <c r="B2196" s="1">
        <v>45318</v>
      </c>
      <c r="C2196" t="s">
        <v>32</v>
      </c>
      <c r="D2196" t="s">
        <v>15</v>
      </c>
      <c r="E2196">
        <v>176856.12</v>
      </c>
      <c r="F2196">
        <v>46</v>
      </c>
      <c r="G2196" t="s">
        <v>26</v>
      </c>
      <c r="H2196">
        <v>3270.07</v>
      </c>
      <c r="I2196">
        <v>3992.95</v>
      </c>
      <c r="J2196" t="s">
        <v>17</v>
      </c>
      <c r="K2196">
        <v>0.04</v>
      </c>
      <c r="L2196" t="s">
        <v>28</v>
      </c>
      <c r="M2196" t="s">
        <v>19</v>
      </c>
    </row>
    <row r="2197" spans="1:13" x14ac:dyDescent="0.35">
      <c r="A2197">
        <v>1048</v>
      </c>
      <c r="B2197" s="1">
        <v>45318</v>
      </c>
      <c r="C2197" t="s">
        <v>29</v>
      </c>
      <c r="D2197" t="s">
        <v>23</v>
      </c>
      <c r="E2197">
        <v>137248.51</v>
      </c>
      <c r="F2197">
        <v>34</v>
      </c>
      <c r="G2197" t="s">
        <v>26</v>
      </c>
      <c r="H2197">
        <v>601.62</v>
      </c>
      <c r="I2197">
        <v>4340.5600000000004</v>
      </c>
      <c r="J2197" t="s">
        <v>17</v>
      </c>
      <c r="K2197">
        <v>7.0000000000000007E-2</v>
      </c>
      <c r="L2197" t="s">
        <v>18</v>
      </c>
      <c r="M2197" t="s">
        <v>21</v>
      </c>
    </row>
    <row r="2198" spans="1:13" x14ac:dyDescent="0.35">
      <c r="A2198">
        <v>1057</v>
      </c>
      <c r="B2198" s="1">
        <v>45318</v>
      </c>
      <c r="C2198" t="s">
        <v>22</v>
      </c>
      <c r="D2198" t="s">
        <v>15</v>
      </c>
      <c r="E2198">
        <v>150019.46</v>
      </c>
      <c r="F2198">
        <v>48</v>
      </c>
      <c r="G2198" t="s">
        <v>26</v>
      </c>
      <c r="H2198">
        <v>70.86</v>
      </c>
      <c r="I2198">
        <v>4006.93</v>
      </c>
      <c r="J2198" t="s">
        <v>17</v>
      </c>
      <c r="K2198">
        <v>0.22</v>
      </c>
      <c r="L2198" t="s">
        <v>28</v>
      </c>
      <c r="M2198" t="s">
        <v>21</v>
      </c>
    </row>
    <row r="2199" spans="1:13" x14ac:dyDescent="0.35">
      <c r="A2199">
        <v>1085</v>
      </c>
      <c r="B2199" s="1">
        <v>45319</v>
      </c>
      <c r="C2199" t="s">
        <v>22</v>
      </c>
      <c r="D2199" t="s">
        <v>15</v>
      </c>
      <c r="E2199">
        <v>8762.5300000000007</v>
      </c>
      <c r="F2199">
        <v>4</v>
      </c>
      <c r="G2199" t="s">
        <v>31</v>
      </c>
      <c r="H2199">
        <v>2011.73</v>
      </c>
      <c r="I2199">
        <v>2274.56</v>
      </c>
      <c r="J2199" t="s">
        <v>17</v>
      </c>
      <c r="K2199">
        <v>0.04</v>
      </c>
      <c r="L2199" t="s">
        <v>18</v>
      </c>
      <c r="M2199" t="s">
        <v>19</v>
      </c>
    </row>
    <row r="2200" spans="1:13" x14ac:dyDescent="0.35">
      <c r="A2200">
        <v>1044</v>
      </c>
      <c r="B2200" s="1">
        <v>45319</v>
      </c>
      <c r="C2200" t="s">
        <v>14</v>
      </c>
      <c r="D2200" t="s">
        <v>23</v>
      </c>
      <c r="E2200">
        <v>4852.29</v>
      </c>
      <c r="F2200">
        <v>2</v>
      </c>
      <c r="G2200" t="s">
        <v>31</v>
      </c>
      <c r="H2200">
        <v>1293.6199999999999</v>
      </c>
      <c r="I2200">
        <v>3110.44</v>
      </c>
      <c r="J2200" t="s">
        <v>17</v>
      </c>
      <c r="K2200">
        <v>0.22</v>
      </c>
      <c r="L2200" t="s">
        <v>28</v>
      </c>
      <c r="M2200" t="s">
        <v>21</v>
      </c>
    </row>
    <row r="2201" spans="1:13" x14ac:dyDescent="0.35">
      <c r="A2201">
        <v>1023</v>
      </c>
      <c r="B2201" s="1">
        <v>45319</v>
      </c>
      <c r="C2201" t="s">
        <v>29</v>
      </c>
      <c r="D2201" t="s">
        <v>23</v>
      </c>
      <c r="E2201">
        <v>107024.27</v>
      </c>
      <c r="F2201">
        <v>30</v>
      </c>
      <c r="G2201" t="s">
        <v>24</v>
      </c>
      <c r="H2201">
        <v>3103.75</v>
      </c>
      <c r="I2201">
        <v>4350.58</v>
      </c>
      <c r="J2201" t="s">
        <v>17</v>
      </c>
      <c r="K2201">
        <v>0.18</v>
      </c>
      <c r="L2201" t="s">
        <v>18</v>
      </c>
      <c r="M2201" t="s">
        <v>21</v>
      </c>
    </row>
    <row r="2202" spans="1:13" x14ac:dyDescent="0.35">
      <c r="A2202">
        <v>1070</v>
      </c>
      <c r="B2202" s="1">
        <v>45319</v>
      </c>
      <c r="C2202" t="s">
        <v>29</v>
      </c>
      <c r="D2202" t="s">
        <v>23</v>
      </c>
      <c r="E2202">
        <v>60209.24</v>
      </c>
      <c r="F2202">
        <v>14</v>
      </c>
      <c r="G2202" t="s">
        <v>24</v>
      </c>
      <c r="H2202">
        <v>1506.44</v>
      </c>
      <c r="I2202">
        <v>4433.67</v>
      </c>
      <c r="J2202" t="s">
        <v>17</v>
      </c>
      <c r="K2202">
        <v>0.03</v>
      </c>
      <c r="L2202" t="s">
        <v>28</v>
      </c>
      <c r="M2202" t="s">
        <v>21</v>
      </c>
    </row>
    <row r="2203" spans="1:13" x14ac:dyDescent="0.35">
      <c r="A2203">
        <v>1007</v>
      </c>
      <c r="B2203" s="1">
        <v>45319</v>
      </c>
      <c r="C2203" t="s">
        <v>32</v>
      </c>
      <c r="D2203" t="s">
        <v>20</v>
      </c>
      <c r="E2203">
        <v>105634.74</v>
      </c>
      <c r="F2203">
        <v>29</v>
      </c>
      <c r="G2203" t="s">
        <v>31</v>
      </c>
      <c r="H2203">
        <v>1213.1099999999999</v>
      </c>
      <c r="I2203">
        <v>4730.62</v>
      </c>
      <c r="J2203" t="s">
        <v>17</v>
      </c>
      <c r="K2203">
        <v>0.23</v>
      </c>
      <c r="L2203" t="s">
        <v>18</v>
      </c>
      <c r="M2203" t="s">
        <v>21</v>
      </c>
    </row>
    <row r="2204" spans="1:13" x14ac:dyDescent="0.35">
      <c r="A2204">
        <v>1036</v>
      </c>
      <c r="B2204" s="1">
        <v>45319</v>
      </c>
      <c r="C2204" t="s">
        <v>22</v>
      </c>
      <c r="D2204" t="s">
        <v>15</v>
      </c>
      <c r="E2204">
        <v>198497.29</v>
      </c>
      <c r="F2204">
        <v>49</v>
      </c>
      <c r="G2204" t="s">
        <v>16</v>
      </c>
      <c r="H2204">
        <v>1300.4000000000001</v>
      </c>
      <c r="I2204">
        <v>4451.6099999999997</v>
      </c>
      <c r="J2204" t="s">
        <v>17</v>
      </c>
      <c r="K2204">
        <v>0.09</v>
      </c>
      <c r="L2204" t="s">
        <v>25</v>
      </c>
      <c r="M2204" t="s">
        <v>21</v>
      </c>
    </row>
    <row r="2205" spans="1:13" x14ac:dyDescent="0.35">
      <c r="A2205">
        <v>1045</v>
      </c>
      <c r="B2205" s="1">
        <v>45320</v>
      </c>
      <c r="C2205" t="s">
        <v>32</v>
      </c>
      <c r="D2205" t="s">
        <v>30</v>
      </c>
      <c r="E2205">
        <v>158471.07999999999</v>
      </c>
      <c r="F2205">
        <v>49</v>
      </c>
      <c r="G2205" t="s">
        <v>16</v>
      </c>
      <c r="H2205">
        <v>2777.92</v>
      </c>
      <c r="I2205">
        <v>3515.33</v>
      </c>
      <c r="J2205" t="s">
        <v>27</v>
      </c>
      <c r="K2205">
        <v>0.08</v>
      </c>
      <c r="L2205" t="s">
        <v>18</v>
      </c>
      <c r="M2205" t="s">
        <v>19</v>
      </c>
    </row>
    <row r="2206" spans="1:13" x14ac:dyDescent="0.35">
      <c r="A2206">
        <v>1031</v>
      </c>
      <c r="B2206" s="1">
        <v>45320</v>
      </c>
      <c r="C2206" t="s">
        <v>32</v>
      </c>
      <c r="D2206" t="s">
        <v>30</v>
      </c>
      <c r="E2206">
        <v>65234.3</v>
      </c>
      <c r="F2206">
        <v>42</v>
      </c>
      <c r="G2206" t="s">
        <v>31</v>
      </c>
      <c r="H2206">
        <v>1005.9</v>
      </c>
      <c r="I2206">
        <v>2070.9299999999998</v>
      </c>
      <c r="J2206" t="s">
        <v>17</v>
      </c>
      <c r="K2206">
        <v>0.25</v>
      </c>
      <c r="L2206" t="s">
        <v>28</v>
      </c>
      <c r="M2206" t="s">
        <v>21</v>
      </c>
    </row>
    <row r="2207" spans="1:13" x14ac:dyDescent="0.35">
      <c r="A2207">
        <v>1003</v>
      </c>
      <c r="B2207" s="1">
        <v>45320</v>
      </c>
      <c r="C2207" t="s">
        <v>29</v>
      </c>
      <c r="D2207" t="s">
        <v>23</v>
      </c>
      <c r="E2207">
        <v>92072.85</v>
      </c>
      <c r="F2207">
        <v>26</v>
      </c>
      <c r="G2207" t="s">
        <v>31</v>
      </c>
      <c r="H2207">
        <v>2586.75</v>
      </c>
      <c r="I2207">
        <v>3807.81</v>
      </c>
      <c r="J2207" t="s">
        <v>27</v>
      </c>
      <c r="K2207">
        <v>7.0000000000000007E-2</v>
      </c>
      <c r="L2207" t="s">
        <v>18</v>
      </c>
      <c r="M2207" t="s">
        <v>21</v>
      </c>
    </row>
    <row r="2208" spans="1:13" x14ac:dyDescent="0.35">
      <c r="A2208">
        <v>1010</v>
      </c>
      <c r="B2208" s="1">
        <v>45321</v>
      </c>
      <c r="C2208" t="s">
        <v>22</v>
      </c>
      <c r="D2208" t="s">
        <v>23</v>
      </c>
      <c r="E2208">
        <v>9341.86</v>
      </c>
      <c r="F2208">
        <v>4</v>
      </c>
      <c r="G2208" t="s">
        <v>24</v>
      </c>
      <c r="H2208">
        <v>527.16999999999996</v>
      </c>
      <c r="I2208">
        <v>2538.5500000000002</v>
      </c>
      <c r="J2208" t="s">
        <v>17</v>
      </c>
      <c r="K2208">
        <v>0.08</v>
      </c>
      <c r="L2208" t="s">
        <v>28</v>
      </c>
      <c r="M2208" t="s">
        <v>21</v>
      </c>
    </row>
    <row r="2209" spans="1:13" x14ac:dyDescent="0.35">
      <c r="A2209">
        <v>1048</v>
      </c>
      <c r="B2209" s="1">
        <v>45321</v>
      </c>
      <c r="C2209" t="s">
        <v>14</v>
      </c>
      <c r="D2209" t="s">
        <v>15</v>
      </c>
      <c r="E2209">
        <v>111349.79</v>
      </c>
      <c r="F2209">
        <v>25</v>
      </c>
      <c r="G2209" t="s">
        <v>16</v>
      </c>
      <c r="H2209">
        <v>4053.83</v>
      </c>
      <c r="I2209">
        <v>4566</v>
      </c>
      <c r="J2209" t="s">
        <v>17</v>
      </c>
      <c r="K2209">
        <v>0.02</v>
      </c>
      <c r="L2209" t="s">
        <v>25</v>
      </c>
      <c r="M2209" t="s">
        <v>19</v>
      </c>
    </row>
    <row r="2210" spans="1:13" x14ac:dyDescent="0.35">
      <c r="A2210">
        <v>1064</v>
      </c>
      <c r="B2210" s="1">
        <v>45321</v>
      </c>
      <c r="C2210" t="s">
        <v>14</v>
      </c>
      <c r="D2210" t="s">
        <v>30</v>
      </c>
      <c r="E2210">
        <v>212548.94</v>
      </c>
      <c r="F2210">
        <v>47</v>
      </c>
      <c r="G2210" t="s">
        <v>31</v>
      </c>
      <c r="H2210">
        <v>3643.17</v>
      </c>
      <c r="I2210">
        <v>4614.6099999999997</v>
      </c>
      <c r="J2210" t="s">
        <v>27</v>
      </c>
      <c r="K2210">
        <v>0.02</v>
      </c>
      <c r="L2210" t="s">
        <v>25</v>
      </c>
      <c r="M2210" t="s">
        <v>19</v>
      </c>
    </row>
    <row r="2211" spans="1:13" x14ac:dyDescent="0.35">
      <c r="A2211">
        <v>1057</v>
      </c>
      <c r="B2211" s="1">
        <v>45321</v>
      </c>
      <c r="C2211" t="s">
        <v>29</v>
      </c>
      <c r="D2211" t="s">
        <v>15</v>
      </c>
      <c r="E2211">
        <v>160789.79999999999</v>
      </c>
      <c r="F2211">
        <v>46</v>
      </c>
      <c r="G2211" t="s">
        <v>31</v>
      </c>
      <c r="H2211">
        <v>934.51</v>
      </c>
      <c r="I2211">
        <v>4262.72</v>
      </c>
      <c r="J2211" t="s">
        <v>17</v>
      </c>
      <c r="K2211">
        <v>0.18</v>
      </c>
      <c r="L2211" t="s">
        <v>28</v>
      </c>
      <c r="M2211" t="s">
        <v>19</v>
      </c>
    </row>
    <row r="2212" spans="1:13" x14ac:dyDescent="0.35">
      <c r="A2212">
        <v>1045</v>
      </c>
      <c r="B2212" s="1">
        <v>45322</v>
      </c>
      <c r="C2212" t="s">
        <v>14</v>
      </c>
      <c r="D2212" t="s">
        <v>23</v>
      </c>
      <c r="E2212">
        <v>88967.2</v>
      </c>
      <c r="F2212">
        <v>43</v>
      </c>
      <c r="G2212" t="s">
        <v>31</v>
      </c>
      <c r="H2212">
        <v>2001.89</v>
      </c>
      <c r="I2212">
        <v>2170.2800000000002</v>
      </c>
      <c r="J2212" t="s">
        <v>17</v>
      </c>
      <c r="K2212">
        <v>0.05</v>
      </c>
      <c r="L2212" t="s">
        <v>25</v>
      </c>
      <c r="M2212" t="s">
        <v>19</v>
      </c>
    </row>
    <row r="2213" spans="1:13" x14ac:dyDescent="0.35">
      <c r="A2213">
        <v>1079</v>
      </c>
      <c r="B2213" s="1">
        <v>45322</v>
      </c>
      <c r="C2213" t="s">
        <v>14</v>
      </c>
      <c r="D2213" t="s">
        <v>23</v>
      </c>
      <c r="E2213">
        <v>103104.07</v>
      </c>
      <c r="F2213">
        <v>39</v>
      </c>
      <c r="G2213" t="s">
        <v>26</v>
      </c>
      <c r="H2213">
        <v>2380.12</v>
      </c>
      <c r="I2213">
        <v>2701.69</v>
      </c>
      <c r="J2213" t="s">
        <v>17</v>
      </c>
      <c r="K2213">
        <v>0.02</v>
      </c>
      <c r="L2213" t="s">
        <v>28</v>
      </c>
      <c r="M2213" t="s">
        <v>19</v>
      </c>
    </row>
    <row r="2214" spans="1:13" x14ac:dyDescent="0.35">
      <c r="A2214">
        <v>1057</v>
      </c>
      <c r="B2214" s="1">
        <v>45322</v>
      </c>
      <c r="C2214" t="s">
        <v>32</v>
      </c>
      <c r="D2214" t="s">
        <v>20</v>
      </c>
      <c r="E2214">
        <v>69468.320000000007</v>
      </c>
      <c r="F2214">
        <v>15</v>
      </c>
      <c r="G2214" t="s">
        <v>26</v>
      </c>
      <c r="H2214">
        <v>2479.4499999999998</v>
      </c>
      <c r="I2214">
        <v>4874.97</v>
      </c>
      <c r="J2214" t="s">
        <v>27</v>
      </c>
      <c r="K2214">
        <v>0.05</v>
      </c>
      <c r="L2214" t="s">
        <v>28</v>
      </c>
      <c r="M2214" t="s">
        <v>21</v>
      </c>
    </row>
    <row r="2215" spans="1:13" x14ac:dyDescent="0.35">
      <c r="A2215">
        <v>1005</v>
      </c>
      <c r="B2215" s="1">
        <v>45322</v>
      </c>
      <c r="C2215" t="s">
        <v>32</v>
      </c>
      <c r="D2215" t="s">
        <v>30</v>
      </c>
      <c r="E2215">
        <v>58419.09</v>
      </c>
      <c r="F2215">
        <v>14</v>
      </c>
      <c r="G2215" t="s">
        <v>24</v>
      </c>
      <c r="H2215">
        <v>1218.5999999999999</v>
      </c>
      <c r="I2215">
        <v>5027.46</v>
      </c>
      <c r="J2215" t="s">
        <v>27</v>
      </c>
      <c r="K2215">
        <v>0.17</v>
      </c>
      <c r="L2215" t="s">
        <v>25</v>
      </c>
      <c r="M2215" t="s">
        <v>21</v>
      </c>
    </row>
    <row r="2216" spans="1:13" x14ac:dyDescent="0.35">
      <c r="A2216">
        <v>1042</v>
      </c>
      <c r="B2216" s="1">
        <v>45322</v>
      </c>
      <c r="C2216" t="s">
        <v>14</v>
      </c>
      <c r="D2216" t="s">
        <v>20</v>
      </c>
      <c r="E2216">
        <v>136213.95000000001</v>
      </c>
      <c r="F2216">
        <v>33</v>
      </c>
      <c r="G2216" t="s">
        <v>31</v>
      </c>
      <c r="H2216">
        <v>1964.99</v>
      </c>
      <c r="I2216">
        <v>4637.8599999999997</v>
      </c>
      <c r="J2216" t="s">
        <v>17</v>
      </c>
      <c r="K2216">
        <v>0.11</v>
      </c>
      <c r="L2216" t="s">
        <v>25</v>
      </c>
      <c r="M2216" t="s">
        <v>21</v>
      </c>
    </row>
    <row r="2217" spans="1:13" x14ac:dyDescent="0.35">
      <c r="A2217">
        <v>1084</v>
      </c>
      <c r="B2217" s="1">
        <v>45323</v>
      </c>
      <c r="C2217" t="s">
        <v>14</v>
      </c>
      <c r="D2217" t="s">
        <v>23</v>
      </c>
      <c r="E2217">
        <v>4906.8500000000004</v>
      </c>
      <c r="F2217">
        <v>3</v>
      </c>
      <c r="G2217" t="s">
        <v>26</v>
      </c>
      <c r="H2217">
        <v>630.52</v>
      </c>
      <c r="I2217">
        <v>2271.69</v>
      </c>
      <c r="J2217" t="s">
        <v>17</v>
      </c>
      <c r="K2217">
        <v>0.28000000000000003</v>
      </c>
      <c r="L2217" t="s">
        <v>25</v>
      </c>
      <c r="M2217" t="s">
        <v>19</v>
      </c>
    </row>
    <row r="2218" spans="1:13" x14ac:dyDescent="0.35">
      <c r="A2218">
        <v>1092</v>
      </c>
      <c r="B2218" s="1">
        <v>45323</v>
      </c>
      <c r="C2218" t="s">
        <v>22</v>
      </c>
      <c r="D2218" t="s">
        <v>15</v>
      </c>
      <c r="E2218">
        <v>71572.95</v>
      </c>
      <c r="F2218">
        <v>30</v>
      </c>
      <c r="G2218" t="s">
        <v>31</v>
      </c>
      <c r="H2218">
        <v>1848.27</v>
      </c>
      <c r="I2218">
        <v>3181.02</v>
      </c>
      <c r="J2218" t="s">
        <v>27</v>
      </c>
      <c r="K2218">
        <v>0.25</v>
      </c>
      <c r="L2218" t="s">
        <v>18</v>
      </c>
      <c r="M2218" t="s">
        <v>19</v>
      </c>
    </row>
    <row r="2219" spans="1:13" x14ac:dyDescent="0.35">
      <c r="A2219">
        <v>1075</v>
      </c>
      <c r="B2219" s="1">
        <v>45324</v>
      </c>
      <c r="C2219" t="s">
        <v>14</v>
      </c>
      <c r="D2219" t="s">
        <v>15</v>
      </c>
      <c r="E2219">
        <v>124877.23</v>
      </c>
      <c r="F2219">
        <v>30</v>
      </c>
      <c r="G2219" t="s">
        <v>16</v>
      </c>
      <c r="H2219">
        <v>3922.85</v>
      </c>
      <c r="I2219">
        <v>5076.3100000000004</v>
      </c>
      <c r="J2219" t="s">
        <v>17</v>
      </c>
      <c r="K2219">
        <v>0.18</v>
      </c>
      <c r="L2219" t="s">
        <v>28</v>
      </c>
      <c r="M2219" t="s">
        <v>21</v>
      </c>
    </row>
    <row r="2220" spans="1:13" x14ac:dyDescent="0.35">
      <c r="A2220">
        <v>1058</v>
      </c>
      <c r="B2220" s="1">
        <v>45324</v>
      </c>
      <c r="C2220" t="s">
        <v>14</v>
      </c>
      <c r="D2220" t="s">
        <v>20</v>
      </c>
      <c r="E2220">
        <v>129568.67</v>
      </c>
      <c r="F2220">
        <v>35</v>
      </c>
      <c r="G2220" t="s">
        <v>16</v>
      </c>
      <c r="H2220">
        <v>3264.24</v>
      </c>
      <c r="I2220">
        <v>4068.09</v>
      </c>
      <c r="J2220" t="s">
        <v>27</v>
      </c>
      <c r="K2220">
        <v>0.09</v>
      </c>
      <c r="L2220" t="s">
        <v>28</v>
      </c>
      <c r="M2220" t="s">
        <v>21</v>
      </c>
    </row>
    <row r="2221" spans="1:13" x14ac:dyDescent="0.35">
      <c r="A2221">
        <v>1095</v>
      </c>
      <c r="B2221" s="1">
        <v>45324</v>
      </c>
      <c r="C2221" t="s">
        <v>22</v>
      </c>
      <c r="D2221" t="s">
        <v>15</v>
      </c>
      <c r="E2221">
        <v>36190.31</v>
      </c>
      <c r="F2221">
        <v>14</v>
      </c>
      <c r="G2221" t="s">
        <v>16</v>
      </c>
      <c r="H2221">
        <v>521.53</v>
      </c>
      <c r="I2221">
        <v>2971.29</v>
      </c>
      <c r="J2221" t="s">
        <v>27</v>
      </c>
      <c r="K2221">
        <v>0.13</v>
      </c>
      <c r="L2221" t="s">
        <v>25</v>
      </c>
      <c r="M2221" t="s">
        <v>21</v>
      </c>
    </row>
    <row r="2222" spans="1:13" x14ac:dyDescent="0.35">
      <c r="A2222">
        <v>1054</v>
      </c>
      <c r="B2222" s="1">
        <v>45324</v>
      </c>
      <c r="C2222" t="s">
        <v>22</v>
      </c>
      <c r="D2222" t="s">
        <v>15</v>
      </c>
      <c r="E2222">
        <v>41711.78</v>
      </c>
      <c r="F2222">
        <v>13</v>
      </c>
      <c r="G2222" t="s">
        <v>16</v>
      </c>
      <c r="H2222">
        <v>404.39</v>
      </c>
      <c r="I2222">
        <v>3819.76</v>
      </c>
      <c r="J2222" t="s">
        <v>27</v>
      </c>
      <c r="K2222">
        <v>0.16</v>
      </c>
      <c r="L2222" t="s">
        <v>25</v>
      </c>
      <c r="M2222" t="s">
        <v>21</v>
      </c>
    </row>
    <row r="2223" spans="1:13" x14ac:dyDescent="0.35">
      <c r="A2223">
        <v>1099</v>
      </c>
      <c r="B2223" s="1">
        <v>45325</v>
      </c>
      <c r="C2223" t="s">
        <v>32</v>
      </c>
      <c r="D2223" t="s">
        <v>20</v>
      </c>
      <c r="E2223">
        <v>47834.22</v>
      </c>
      <c r="F2223">
        <v>12</v>
      </c>
      <c r="G2223" t="s">
        <v>16</v>
      </c>
      <c r="H2223">
        <v>3254.51</v>
      </c>
      <c r="I2223">
        <v>4286.22</v>
      </c>
      <c r="J2223" t="s">
        <v>27</v>
      </c>
      <c r="K2223">
        <v>7.0000000000000007E-2</v>
      </c>
      <c r="L2223" t="s">
        <v>25</v>
      </c>
      <c r="M2223" t="s">
        <v>21</v>
      </c>
    </row>
    <row r="2224" spans="1:13" x14ac:dyDescent="0.35">
      <c r="A2224">
        <v>1087</v>
      </c>
      <c r="B2224" s="1">
        <v>45326</v>
      </c>
      <c r="C2224" t="s">
        <v>33</v>
      </c>
      <c r="D2224" t="s">
        <v>23</v>
      </c>
      <c r="E2224">
        <v>4819.93</v>
      </c>
      <c r="F2224">
        <v>3</v>
      </c>
      <c r="G2224" t="s">
        <v>16</v>
      </c>
      <c r="H2224">
        <v>1489.81</v>
      </c>
      <c r="I2224">
        <v>1625.51</v>
      </c>
      <c r="J2224" t="s">
        <v>27</v>
      </c>
      <c r="K2224">
        <v>0.01</v>
      </c>
      <c r="L2224" t="s">
        <v>25</v>
      </c>
      <c r="M2224" t="s">
        <v>21</v>
      </c>
    </row>
    <row r="2225" spans="1:13" x14ac:dyDescent="0.35">
      <c r="A2225">
        <v>1091</v>
      </c>
      <c r="B2225" s="1">
        <v>45326</v>
      </c>
      <c r="C2225" t="s">
        <v>14</v>
      </c>
      <c r="D2225" t="s">
        <v>23</v>
      </c>
      <c r="E2225">
        <v>102133.07</v>
      </c>
      <c r="F2225">
        <v>50</v>
      </c>
      <c r="G2225" t="s">
        <v>26</v>
      </c>
      <c r="H2225">
        <v>2000.02</v>
      </c>
      <c r="I2225">
        <v>2196.41</v>
      </c>
      <c r="J2225" t="s">
        <v>17</v>
      </c>
      <c r="K2225">
        <v>7.0000000000000007E-2</v>
      </c>
      <c r="L2225" t="s">
        <v>28</v>
      </c>
      <c r="M2225" t="s">
        <v>19</v>
      </c>
    </row>
    <row r="2226" spans="1:13" x14ac:dyDescent="0.35">
      <c r="A2226">
        <v>1047</v>
      </c>
      <c r="B2226" s="1">
        <v>45326</v>
      </c>
      <c r="C2226" t="s">
        <v>32</v>
      </c>
      <c r="D2226" t="s">
        <v>23</v>
      </c>
      <c r="E2226">
        <v>50708.74</v>
      </c>
      <c r="F2226">
        <v>32</v>
      </c>
      <c r="G2226" t="s">
        <v>24</v>
      </c>
      <c r="H2226">
        <v>1197</v>
      </c>
      <c r="I2226">
        <v>1980.81</v>
      </c>
      <c r="J2226" t="s">
        <v>17</v>
      </c>
      <c r="K2226">
        <v>0.2</v>
      </c>
      <c r="L2226" t="s">
        <v>25</v>
      </c>
      <c r="M2226" t="s">
        <v>19</v>
      </c>
    </row>
    <row r="2227" spans="1:13" x14ac:dyDescent="0.35">
      <c r="A2227">
        <v>1020</v>
      </c>
      <c r="B2227" s="1">
        <v>45326</v>
      </c>
      <c r="C2227" t="s">
        <v>22</v>
      </c>
      <c r="D2227" t="s">
        <v>30</v>
      </c>
      <c r="E2227">
        <v>110635.89</v>
      </c>
      <c r="F2227">
        <v>24</v>
      </c>
      <c r="G2227" t="s">
        <v>26</v>
      </c>
      <c r="H2227">
        <v>4086.84</v>
      </c>
      <c r="I2227">
        <v>4686.1400000000003</v>
      </c>
      <c r="J2227" t="s">
        <v>17</v>
      </c>
      <c r="K2227">
        <v>0.02</v>
      </c>
      <c r="L2227" t="s">
        <v>25</v>
      </c>
      <c r="M2227" t="s">
        <v>19</v>
      </c>
    </row>
    <row r="2228" spans="1:13" x14ac:dyDescent="0.35">
      <c r="A2228">
        <v>1013</v>
      </c>
      <c r="B2228" s="1">
        <v>45326</v>
      </c>
      <c r="C2228" t="s">
        <v>14</v>
      </c>
      <c r="D2228" t="s">
        <v>23</v>
      </c>
      <c r="E2228">
        <v>17137.23</v>
      </c>
      <c r="F2228">
        <v>7</v>
      </c>
      <c r="G2228" t="s">
        <v>26</v>
      </c>
      <c r="H2228">
        <v>444.3</v>
      </c>
      <c r="I2228">
        <v>2661.06</v>
      </c>
      <c r="J2228" t="s">
        <v>17</v>
      </c>
      <c r="K2228">
        <v>0.08</v>
      </c>
      <c r="L2228" t="s">
        <v>28</v>
      </c>
      <c r="M2228" t="s">
        <v>19</v>
      </c>
    </row>
    <row r="2229" spans="1:13" x14ac:dyDescent="0.35">
      <c r="A2229">
        <v>1039</v>
      </c>
      <c r="B2229" s="1">
        <v>45326</v>
      </c>
      <c r="C2229" t="s">
        <v>29</v>
      </c>
      <c r="D2229" t="s">
        <v>30</v>
      </c>
      <c r="E2229">
        <v>49038.36</v>
      </c>
      <c r="F2229">
        <v>21</v>
      </c>
      <c r="G2229" t="s">
        <v>24</v>
      </c>
      <c r="H2229">
        <v>1472.55</v>
      </c>
      <c r="I2229">
        <v>2335.16</v>
      </c>
      <c r="J2229" t="s">
        <v>27</v>
      </c>
      <c r="K2229">
        <v>0</v>
      </c>
      <c r="L2229" t="s">
        <v>28</v>
      </c>
      <c r="M2229" t="s">
        <v>19</v>
      </c>
    </row>
    <row r="2230" spans="1:13" x14ac:dyDescent="0.35">
      <c r="A2230">
        <v>1018</v>
      </c>
      <c r="B2230" s="1">
        <v>45326</v>
      </c>
      <c r="C2230" t="s">
        <v>33</v>
      </c>
      <c r="D2230" t="s">
        <v>30</v>
      </c>
      <c r="E2230">
        <v>74092.84</v>
      </c>
      <c r="F2230">
        <v>23</v>
      </c>
      <c r="G2230" t="s">
        <v>26</v>
      </c>
      <c r="H2230">
        <v>2362.2399999999998</v>
      </c>
      <c r="I2230">
        <v>3326.09</v>
      </c>
      <c r="J2230" t="s">
        <v>17</v>
      </c>
      <c r="K2230">
        <v>0.03</v>
      </c>
      <c r="L2230" t="s">
        <v>18</v>
      </c>
      <c r="M2230" t="s">
        <v>19</v>
      </c>
    </row>
    <row r="2231" spans="1:13" x14ac:dyDescent="0.35">
      <c r="A2231">
        <v>1047</v>
      </c>
      <c r="B2231" s="1">
        <v>45327</v>
      </c>
      <c r="C2231" t="s">
        <v>14</v>
      </c>
      <c r="D2231" t="s">
        <v>23</v>
      </c>
      <c r="E2231">
        <v>48406.31</v>
      </c>
      <c r="F2231">
        <v>10</v>
      </c>
      <c r="G2231" t="s">
        <v>26</v>
      </c>
      <c r="H2231">
        <v>4817.5200000000004</v>
      </c>
      <c r="I2231">
        <v>4849.68</v>
      </c>
      <c r="J2231" t="s">
        <v>17</v>
      </c>
      <c r="K2231">
        <v>0</v>
      </c>
      <c r="L2231" t="s">
        <v>28</v>
      </c>
      <c r="M2231" t="s">
        <v>21</v>
      </c>
    </row>
    <row r="2232" spans="1:13" x14ac:dyDescent="0.35">
      <c r="A2232">
        <v>1067</v>
      </c>
      <c r="B2232" s="1">
        <v>45327</v>
      </c>
      <c r="C2232" t="s">
        <v>32</v>
      </c>
      <c r="D2232" t="s">
        <v>15</v>
      </c>
      <c r="E2232">
        <v>5738.51</v>
      </c>
      <c r="F2232">
        <v>2</v>
      </c>
      <c r="G2232" t="s">
        <v>24</v>
      </c>
      <c r="H2232">
        <v>476.45</v>
      </c>
      <c r="I2232">
        <v>3153.03</v>
      </c>
      <c r="J2232" t="s">
        <v>17</v>
      </c>
      <c r="K2232">
        <v>0.09</v>
      </c>
      <c r="L2232" t="s">
        <v>28</v>
      </c>
      <c r="M2232" t="s">
        <v>21</v>
      </c>
    </row>
    <row r="2233" spans="1:13" x14ac:dyDescent="0.35">
      <c r="A2233">
        <v>1025</v>
      </c>
      <c r="B2233" s="1">
        <v>45327</v>
      </c>
      <c r="C2233" t="s">
        <v>33</v>
      </c>
      <c r="D2233" t="s">
        <v>30</v>
      </c>
      <c r="E2233">
        <v>17230.400000000001</v>
      </c>
      <c r="F2233">
        <v>5</v>
      </c>
      <c r="G2233" t="s">
        <v>16</v>
      </c>
      <c r="H2233">
        <v>1973.25</v>
      </c>
      <c r="I2233">
        <v>4254.42</v>
      </c>
      <c r="J2233" t="s">
        <v>27</v>
      </c>
      <c r="K2233">
        <v>0.19</v>
      </c>
      <c r="L2233" t="s">
        <v>28</v>
      </c>
      <c r="M2233" t="s">
        <v>19</v>
      </c>
    </row>
    <row r="2234" spans="1:13" x14ac:dyDescent="0.35">
      <c r="A2234">
        <v>1099</v>
      </c>
      <c r="B2234" s="1">
        <v>45327</v>
      </c>
      <c r="C2234" t="s">
        <v>32</v>
      </c>
      <c r="D2234" t="s">
        <v>30</v>
      </c>
      <c r="E2234">
        <v>17422.43</v>
      </c>
      <c r="F2234">
        <v>4</v>
      </c>
      <c r="G2234" t="s">
        <v>31</v>
      </c>
      <c r="H2234">
        <v>1630.95</v>
      </c>
      <c r="I2234">
        <v>4893.9399999999996</v>
      </c>
      <c r="J2234" t="s">
        <v>27</v>
      </c>
      <c r="K2234">
        <v>0.11</v>
      </c>
      <c r="L2234" t="s">
        <v>18</v>
      </c>
      <c r="M2234" t="s">
        <v>19</v>
      </c>
    </row>
    <row r="2235" spans="1:13" x14ac:dyDescent="0.35">
      <c r="A2235">
        <v>1002</v>
      </c>
      <c r="B2235" s="1">
        <v>45327</v>
      </c>
      <c r="C2235" t="s">
        <v>33</v>
      </c>
      <c r="D2235" t="s">
        <v>15</v>
      </c>
      <c r="E2235">
        <v>96584.65</v>
      </c>
      <c r="F2235">
        <v>50</v>
      </c>
      <c r="G2235" t="s">
        <v>31</v>
      </c>
      <c r="H2235">
        <v>940.64</v>
      </c>
      <c r="I2235">
        <v>2272.58</v>
      </c>
      <c r="J2235" t="s">
        <v>27</v>
      </c>
      <c r="K2235">
        <v>0.15</v>
      </c>
      <c r="L2235" t="s">
        <v>25</v>
      </c>
      <c r="M2235" t="s">
        <v>19</v>
      </c>
    </row>
    <row r="2236" spans="1:13" x14ac:dyDescent="0.35">
      <c r="A2236">
        <v>1094</v>
      </c>
      <c r="B2236" s="1">
        <v>45328</v>
      </c>
      <c r="C2236" t="s">
        <v>33</v>
      </c>
      <c r="D2236" t="s">
        <v>30</v>
      </c>
      <c r="E2236">
        <v>119695.4</v>
      </c>
      <c r="F2236">
        <v>29</v>
      </c>
      <c r="G2236" t="s">
        <v>31</v>
      </c>
      <c r="H2236">
        <v>4065.37</v>
      </c>
      <c r="I2236">
        <v>4206.54</v>
      </c>
      <c r="J2236" t="s">
        <v>17</v>
      </c>
      <c r="K2236">
        <v>0.02</v>
      </c>
      <c r="L2236" t="s">
        <v>25</v>
      </c>
      <c r="M2236" t="s">
        <v>19</v>
      </c>
    </row>
    <row r="2237" spans="1:13" x14ac:dyDescent="0.35">
      <c r="A2237">
        <v>1038</v>
      </c>
      <c r="B2237" s="1">
        <v>45328</v>
      </c>
      <c r="C2237" t="s">
        <v>33</v>
      </c>
      <c r="D2237" t="s">
        <v>15</v>
      </c>
      <c r="E2237">
        <v>82408.320000000007</v>
      </c>
      <c r="F2237">
        <v>20</v>
      </c>
      <c r="G2237" t="s">
        <v>16</v>
      </c>
      <c r="H2237">
        <v>3537.6</v>
      </c>
      <c r="I2237">
        <v>4578.24</v>
      </c>
      <c r="J2237" t="s">
        <v>27</v>
      </c>
      <c r="K2237">
        <v>0.1</v>
      </c>
      <c r="L2237" t="s">
        <v>28</v>
      </c>
      <c r="M2237" t="s">
        <v>19</v>
      </c>
    </row>
    <row r="2238" spans="1:13" x14ac:dyDescent="0.35">
      <c r="A2238">
        <v>1034</v>
      </c>
      <c r="B2238" s="1">
        <v>45328</v>
      </c>
      <c r="C2238" t="s">
        <v>32</v>
      </c>
      <c r="D2238" t="s">
        <v>20</v>
      </c>
      <c r="E2238">
        <v>85257.81</v>
      </c>
      <c r="F2238">
        <v>27</v>
      </c>
      <c r="G2238" t="s">
        <v>31</v>
      </c>
      <c r="H2238">
        <v>2568.7600000000002</v>
      </c>
      <c r="I2238">
        <v>4385.6899999999996</v>
      </c>
      <c r="J2238" t="s">
        <v>27</v>
      </c>
      <c r="K2238">
        <v>0.28000000000000003</v>
      </c>
      <c r="L2238" t="s">
        <v>18</v>
      </c>
      <c r="M2238" t="s">
        <v>19</v>
      </c>
    </row>
    <row r="2239" spans="1:13" x14ac:dyDescent="0.35">
      <c r="A2239">
        <v>1043</v>
      </c>
      <c r="B2239" s="1">
        <v>45329</v>
      </c>
      <c r="C2239" t="s">
        <v>22</v>
      </c>
      <c r="D2239" t="s">
        <v>15</v>
      </c>
      <c r="E2239">
        <v>219416.12</v>
      </c>
      <c r="F2239">
        <v>49</v>
      </c>
      <c r="G2239" t="s">
        <v>26</v>
      </c>
      <c r="H2239">
        <v>4347.1000000000004</v>
      </c>
      <c r="I2239">
        <v>4477.88</v>
      </c>
      <c r="J2239" t="s">
        <v>27</v>
      </c>
      <c r="K2239">
        <v>0</v>
      </c>
      <c r="L2239" t="s">
        <v>25</v>
      </c>
      <c r="M2239" t="s">
        <v>19</v>
      </c>
    </row>
    <row r="2240" spans="1:13" x14ac:dyDescent="0.35">
      <c r="A2240">
        <v>1010</v>
      </c>
      <c r="B2240" s="1">
        <v>45329</v>
      </c>
      <c r="C2240" t="s">
        <v>29</v>
      </c>
      <c r="D2240" t="s">
        <v>23</v>
      </c>
      <c r="E2240">
        <v>71024.73</v>
      </c>
      <c r="F2240">
        <v>15</v>
      </c>
      <c r="G2240" t="s">
        <v>16</v>
      </c>
      <c r="H2240">
        <v>3526.94</v>
      </c>
      <c r="I2240">
        <v>4782.8100000000004</v>
      </c>
      <c r="J2240" t="s">
        <v>27</v>
      </c>
      <c r="K2240">
        <v>0.01</v>
      </c>
      <c r="L2240" t="s">
        <v>18</v>
      </c>
      <c r="M2240" t="s">
        <v>19</v>
      </c>
    </row>
    <row r="2241" spans="1:13" x14ac:dyDescent="0.35">
      <c r="A2241">
        <v>1072</v>
      </c>
      <c r="B2241" s="1">
        <v>45329</v>
      </c>
      <c r="C2241" t="s">
        <v>22</v>
      </c>
      <c r="D2241" t="s">
        <v>30</v>
      </c>
      <c r="E2241">
        <v>140201.28</v>
      </c>
      <c r="F2241">
        <v>36</v>
      </c>
      <c r="G2241" t="s">
        <v>16</v>
      </c>
      <c r="H2241">
        <v>1600.01</v>
      </c>
      <c r="I2241">
        <v>4056.75</v>
      </c>
      <c r="J2241" t="s">
        <v>17</v>
      </c>
      <c r="K2241">
        <v>0.04</v>
      </c>
      <c r="L2241" t="s">
        <v>28</v>
      </c>
      <c r="M2241" t="s">
        <v>21</v>
      </c>
    </row>
    <row r="2242" spans="1:13" x14ac:dyDescent="0.35">
      <c r="A2242">
        <v>1065</v>
      </c>
      <c r="B2242" s="1">
        <v>45330</v>
      </c>
      <c r="C2242" t="s">
        <v>33</v>
      </c>
      <c r="D2242" t="s">
        <v>23</v>
      </c>
      <c r="E2242">
        <v>23158.23</v>
      </c>
      <c r="F2242">
        <v>6</v>
      </c>
      <c r="G2242" t="s">
        <v>16</v>
      </c>
      <c r="H2242">
        <v>1492.56</v>
      </c>
      <c r="I2242">
        <v>4150.22</v>
      </c>
      <c r="J2242" t="s">
        <v>27</v>
      </c>
      <c r="K2242">
        <v>7.0000000000000007E-2</v>
      </c>
      <c r="L2242" t="s">
        <v>28</v>
      </c>
      <c r="M2242" t="s">
        <v>19</v>
      </c>
    </row>
    <row r="2243" spans="1:13" x14ac:dyDescent="0.35">
      <c r="A2243">
        <v>1072</v>
      </c>
      <c r="B2243" s="1">
        <v>45330</v>
      </c>
      <c r="C2243" t="s">
        <v>14</v>
      </c>
      <c r="D2243" t="s">
        <v>20</v>
      </c>
      <c r="E2243">
        <v>36776.21</v>
      </c>
      <c r="F2243">
        <v>21</v>
      </c>
      <c r="G2243" t="s">
        <v>31</v>
      </c>
      <c r="H2243">
        <v>936.27</v>
      </c>
      <c r="I2243">
        <v>2189.06</v>
      </c>
      <c r="J2243" t="s">
        <v>17</v>
      </c>
      <c r="K2243">
        <v>0.2</v>
      </c>
      <c r="L2243" t="s">
        <v>28</v>
      </c>
      <c r="M2243" t="s">
        <v>21</v>
      </c>
    </row>
    <row r="2244" spans="1:13" x14ac:dyDescent="0.35">
      <c r="A2244">
        <v>1054</v>
      </c>
      <c r="B2244" s="1">
        <v>45330</v>
      </c>
      <c r="C2244" t="s">
        <v>33</v>
      </c>
      <c r="D2244" t="s">
        <v>23</v>
      </c>
      <c r="E2244">
        <v>59412.85</v>
      </c>
      <c r="F2244">
        <v>20</v>
      </c>
      <c r="G2244" t="s">
        <v>24</v>
      </c>
      <c r="H2244">
        <v>1907.22</v>
      </c>
      <c r="I2244">
        <v>3908.74</v>
      </c>
      <c r="J2244" t="s">
        <v>17</v>
      </c>
      <c r="K2244">
        <v>0.24</v>
      </c>
      <c r="L2244" t="s">
        <v>25</v>
      </c>
      <c r="M2244" t="s">
        <v>21</v>
      </c>
    </row>
    <row r="2245" spans="1:13" x14ac:dyDescent="0.35">
      <c r="A2245">
        <v>1083</v>
      </c>
      <c r="B2245" s="1">
        <v>45331</v>
      </c>
      <c r="C2245" t="s">
        <v>33</v>
      </c>
      <c r="D2245" t="s">
        <v>20</v>
      </c>
      <c r="E2245">
        <v>19053.259999999998</v>
      </c>
      <c r="F2245">
        <v>4</v>
      </c>
      <c r="G2245" t="s">
        <v>24</v>
      </c>
      <c r="H2245">
        <v>4448.95</v>
      </c>
      <c r="I2245">
        <v>4939.7</v>
      </c>
      <c r="J2245" t="s">
        <v>17</v>
      </c>
      <c r="K2245">
        <v>0.04</v>
      </c>
      <c r="L2245" t="s">
        <v>18</v>
      </c>
      <c r="M2245" t="s">
        <v>21</v>
      </c>
    </row>
    <row r="2246" spans="1:13" x14ac:dyDescent="0.35">
      <c r="A2246">
        <v>1016</v>
      </c>
      <c r="B2246" s="1">
        <v>45331</v>
      </c>
      <c r="C2246" t="s">
        <v>33</v>
      </c>
      <c r="D2246" t="s">
        <v>23</v>
      </c>
      <c r="E2246">
        <v>15365.11</v>
      </c>
      <c r="F2246">
        <v>5</v>
      </c>
      <c r="G2246" t="s">
        <v>24</v>
      </c>
      <c r="H2246">
        <v>1600.5</v>
      </c>
      <c r="I2246">
        <v>3532.21</v>
      </c>
      <c r="J2246" t="s">
        <v>27</v>
      </c>
      <c r="K2246">
        <v>0.13</v>
      </c>
      <c r="L2246" t="s">
        <v>18</v>
      </c>
      <c r="M2246" t="s">
        <v>19</v>
      </c>
    </row>
    <row r="2247" spans="1:13" x14ac:dyDescent="0.35">
      <c r="A2247">
        <v>1094</v>
      </c>
      <c r="B2247" s="1">
        <v>45331</v>
      </c>
      <c r="C2247" t="s">
        <v>22</v>
      </c>
      <c r="D2247" t="s">
        <v>20</v>
      </c>
      <c r="E2247">
        <v>95376.320000000007</v>
      </c>
      <c r="F2247">
        <v>34</v>
      </c>
      <c r="G2247" t="s">
        <v>31</v>
      </c>
      <c r="H2247">
        <v>2361.0100000000002</v>
      </c>
      <c r="I2247">
        <v>2843.12</v>
      </c>
      <c r="J2247" t="s">
        <v>17</v>
      </c>
      <c r="K2247">
        <v>0.01</v>
      </c>
      <c r="L2247" t="s">
        <v>25</v>
      </c>
      <c r="M2247" t="s">
        <v>21</v>
      </c>
    </row>
    <row r="2248" spans="1:13" x14ac:dyDescent="0.35">
      <c r="A2248">
        <v>1069</v>
      </c>
      <c r="B2248" s="1">
        <v>45332</v>
      </c>
      <c r="C2248" t="s">
        <v>32</v>
      </c>
      <c r="D2248" t="s">
        <v>15</v>
      </c>
      <c r="E2248">
        <v>12543.11</v>
      </c>
      <c r="F2248">
        <v>19</v>
      </c>
      <c r="G2248" t="s">
        <v>24</v>
      </c>
      <c r="H2248">
        <v>566.91</v>
      </c>
      <c r="I2248">
        <v>835.65</v>
      </c>
      <c r="J2248" t="s">
        <v>17</v>
      </c>
      <c r="K2248">
        <v>0.21</v>
      </c>
      <c r="L2248" t="s">
        <v>18</v>
      </c>
      <c r="M2248" t="s">
        <v>19</v>
      </c>
    </row>
    <row r="2249" spans="1:13" x14ac:dyDescent="0.35">
      <c r="A2249">
        <v>1034</v>
      </c>
      <c r="B2249" s="1">
        <v>45332</v>
      </c>
      <c r="C2249" t="s">
        <v>33</v>
      </c>
      <c r="D2249" t="s">
        <v>15</v>
      </c>
      <c r="E2249">
        <v>7783.92</v>
      </c>
      <c r="F2249">
        <v>2</v>
      </c>
      <c r="G2249" t="s">
        <v>24</v>
      </c>
      <c r="H2249">
        <v>2609.5700000000002</v>
      </c>
      <c r="I2249">
        <v>4804.8900000000003</v>
      </c>
      <c r="J2249" t="s">
        <v>27</v>
      </c>
      <c r="K2249">
        <v>0.19</v>
      </c>
      <c r="L2249" t="s">
        <v>25</v>
      </c>
      <c r="M2249" t="s">
        <v>21</v>
      </c>
    </row>
    <row r="2250" spans="1:13" x14ac:dyDescent="0.35">
      <c r="A2250">
        <v>1025</v>
      </c>
      <c r="B2250" s="1">
        <v>45332</v>
      </c>
      <c r="C2250" t="s">
        <v>32</v>
      </c>
      <c r="D2250" t="s">
        <v>20</v>
      </c>
      <c r="E2250">
        <v>59336.87</v>
      </c>
      <c r="F2250">
        <v>15</v>
      </c>
      <c r="G2250" t="s">
        <v>31</v>
      </c>
      <c r="H2250">
        <v>3258.02</v>
      </c>
      <c r="I2250">
        <v>3972.5</v>
      </c>
      <c r="J2250" t="s">
        <v>17</v>
      </c>
      <c r="K2250">
        <v>0</v>
      </c>
      <c r="L2250" t="s">
        <v>25</v>
      </c>
      <c r="M2250" t="s">
        <v>21</v>
      </c>
    </row>
    <row r="2251" spans="1:13" x14ac:dyDescent="0.35">
      <c r="A2251">
        <v>1027</v>
      </c>
      <c r="B2251" s="1">
        <v>45332</v>
      </c>
      <c r="C2251" t="s">
        <v>33</v>
      </c>
      <c r="D2251" t="s">
        <v>15</v>
      </c>
      <c r="E2251">
        <v>73598.009999999995</v>
      </c>
      <c r="F2251">
        <v>17</v>
      </c>
      <c r="G2251" t="s">
        <v>26</v>
      </c>
      <c r="H2251">
        <v>2434</v>
      </c>
      <c r="I2251">
        <v>5480.12</v>
      </c>
      <c r="J2251" t="s">
        <v>17</v>
      </c>
      <c r="K2251">
        <v>0.21</v>
      </c>
      <c r="L2251" t="s">
        <v>25</v>
      </c>
      <c r="M2251" t="s">
        <v>19</v>
      </c>
    </row>
    <row r="2252" spans="1:13" x14ac:dyDescent="0.35">
      <c r="A2252">
        <v>1018</v>
      </c>
      <c r="B2252" s="1">
        <v>45332</v>
      </c>
      <c r="C2252" t="s">
        <v>33</v>
      </c>
      <c r="D2252" t="s">
        <v>15</v>
      </c>
      <c r="E2252">
        <v>66454.399999999994</v>
      </c>
      <c r="F2252">
        <v>18</v>
      </c>
      <c r="G2252" t="s">
        <v>16</v>
      </c>
      <c r="H2252">
        <v>1403.87</v>
      </c>
      <c r="I2252">
        <v>4794.6899999999996</v>
      </c>
      <c r="J2252" t="s">
        <v>27</v>
      </c>
      <c r="K2252">
        <v>0.23</v>
      </c>
      <c r="L2252" t="s">
        <v>25</v>
      </c>
      <c r="M2252" t="s">
        <v>21</v>
      </c>
    </row>
    <row r="2253" spans="1:13" x14ac:dyDescent="0.35">
      <c r="A2253">
        <v>1044</v>
      </c>
      <c r="B2253" s="1">
        <v>45333</v>
      </c>
      <c r="C2253" t="s">
        <v>22</v>
      </c>
      <c r="D2253" t="s">
        <v>15</v>
      </c>
      <c r="E2253">
        <v>119480.33</v>
      </c>
      <c r="F2253">
        <v>45</v>
      </c>
      <c r="G2253" t="s">
        <v>16</v>
      </c>
      <c r="H2253">
        <v>2631.62</v>
      </c>
      <c r="I2253">
        <v>2703.39</v>
      </c>
      <c r="J2253" t="s">
        <v>27</v>
      </c>
      <c r="K2253">
        <v>0.02</v>
      </c>
      <c r="L2253" t="s">
        <v>28</v>
      </c>
      <c r="M2253" t="s">
        <v>19</v>
      </c>
    </row>
    <row r="2254" spans="1:13" x14ac:dyDescent="0.35">
      <c r="A2254">
        <v>1062</v>
      </c>
      <c r="B2254" s="1">
        <v>45333</v>
      </c>
      <c r="C2254" t="s">
        <v>33</v>
      </c>
      <c r="D2254" t="s">
        <v>23</v>
      </c>
      <c r="E2254">
        <v>5499.89</v>
      </c>
      <c r="F2254">
        <v>2</v>
      </c>
      <c r="G2254" t="s">
        <v>24</v>
      </c>
      <c r="H2254">
        <v>1445.05</v>
      </c>
      <c r="I2254">
        <v>3767.05</v>
      </c>
      <c r="J2254" t="s">
        <v>27</v>
      </c>
      <c r="K2254">
        <v>0.27</v>
      </c>
      <c r="L2254" t="s">
        <v>25</v>
      </c>
      <c r="M2254" t="s">
        <v>19</v>
      </c>
    </row>
    <row r="2255" spans="1:13" x14ac:dyDescent="0.35">
      <c r="A2255">
        <v>1082</v>
      </c>
      <c r="B2255" s="1">
        <v>45333</v>
      </c>
      <c r="C2255" t="s">
        <v>14</v>
      </c>
      <c r="D2255" t="s">
        <v>23</v>
      </c>
      <c r="E2255">
        <v>33247.269999999997</v>
      </c>
      <c r="F2255">
        <v>13</v>
      </c>
      <c r="G2255" t="s">
        <v>24</v>
      </c>
      <c r="H2255">
        <v>1817.39</v>
      </c>
      <c r="I2255">
        <v>2906.23</v>
      </c>
      <c r="J2255" t="s">
        <v>17</v>
      </c>
      <c r="K2255">
        <v>0.12</v>
      </c>
      <c r="L2255" t="s">
        <v>28</v>
      </c>
      <c r="M2255" t="s">
        <v>21</v>
      </c>
    </row>
    <row r="2256" spans="1:13" x14ac:dyDescent="0.35">
      <c r="A2256">
        <v>1045</v>
      </c>
      <c r="B2256" s="1">
        <v>45333</v>
      </c>
      <c r="C2256" t="s">
        <v>32</v>
      </c>
      <c r="D2256" t="s">
        <v>30</v>
      </c>
      <c r="E2256">
        <v>59078.18</v>
      </c>
      <c r="F2256">
        <v>26</v>
      </c>
      <c r="G2256" t="s">
        <v>31</v>
      </c>
      <c r="H2256">
        <v>346.57</v>
      </c>
      <c r="I2256">
        <v>3029.65</v>
      </c>
      <c r="J2256" t="s">
        <v>17</v>
      </c>
      <c r="K2256">
        <v>0.25</v>
      </c>
      <c r="L2256" t="s">
        <v>18</v>
      </c>
      <c r="M2256" t="s">
        <v>19</v>
      </c>
    </row>
    <row r="2257" spans="1:13" x14ac:dyDescent="0.35">
      <c r="A2257">
        <v>1071</v>
      </c>
      <c r="B2257" s="1">
        <v>45334</v>
      </c>
      <c r="C2257" t="s">
        <v>22</v>
      </c>
      <c r="D2257" t="s">
        <v>20</v>
      </c>
      <c r="E2257">
        <v>18669.53</v>
      </c>
      <c r="F2257">
        <v>4</v>
      </c>
      <c r="G2257" t="s">
        <v>24</v>
      </c>
      <c r="H2257">
        <v>3967.93</v>
      </c>
      <c r="I2257">
        <v>5018.6899999999996</v>
      </c>
      <c r="J2257" t="s">
        <v>17</v>
      </c>
      <c r="K2257">
        <v>7.0000000000000007E-2</v>
      </c>
      <c r="L2257" t="s">
        <v>25</v>
      </c>
      <c r="M2257" t="s">
        <v>21</v>
      </c>
    </row>
    <row r="2258" spans="1:13" x14ac:dyDescent="0.35">
      <c r="A2258">
        <v>1001</v>
      </c>
      <c r="B2258" s="1">
        <v>45335</v>
      </c>
      <c r="C2258" t="s">
        <v>14</v>
      </c>
      <c r="D2258" t="s">
        <v>20</v>
      </c>
      <c r="E2258">
        <v>102556.35</v>
      </c>
      <c r="F2258">
        <v>39</v>
      </c>
      <c r="G2258" t="s">
        <v>16</v>
      </c>
      <c r="H2258">
        <v>2552.66</v>
      </c>
      <c r="I2258">
        <v>3415.13</v>
      </c>
      <c r="J2258" t="s">
        <v>27</v>
      </c>
      <c r="K2258">
        <v>0.23</v>
      </c>
      <c r="L2258" t="s">
        <v>18</v>
      </c>
      <c r="M2258" t="s">
        <v>21</v>
      </c>
    </row>
    <row r="2259" spans="1:13" x14ac:dyDescent="0.35">
      <c r="A2259">
        <v>1016</v>
      </c>
      <c r="B2259" s="1">
        <v>45335</v>
      </c>
      <c r="C2259" t="s">
        <v>33</v>
      </c>
      <c r="D2259" t="s">
        <v>15</v>
      </c>
      <c r="E2259">
        <v>109516.35</v>
      </c>
      <c r="F2259">
        <v>42</v>
      </c>
      <c r="G2259" t="s">
        <v>24</v>
      </c>
      <c r="H2259">
        <v>2139.6</v>
      </c>
      <c r="I2259">
        <v>2865.42</v>
      </c>
      <c r="J2259" t="s">
        <v>27</v>
      </c>
      <c r="K2259">
        <v>0.09</v>
      </c>
      <c r="L2259" t="s">
        <v>25</v>
      </c>
      <c r="M2259" t="s">
        <v>19</v>
      </c>
    </row>
    <row r="2260" spans="1:13" x14ac:dyDescent="0.35">
      <c r="A2260">
        <v>1055</v>
      </c>
      <c r="B2260" s="1">
        <v>45335</v>
      </c>
      <c r="C2260" t="s">
        <v>32</v>
      </c>
      <c r="D2260" t="s">
        <v>15</v>
      </c>
      <c r="E2260">
        <v>86030.6</v>
      </c>
      <c r="F2260">
        <v>40</v>
      </c>
      <c r="G2260" t="s">
        <v>24</v>
      </c>
      <c r="H2260">
        <v>1184.07</v>
      </c>
      <c r="I2260">
        <v>2172.4899999999998</v>
      </c>
      <c r="J2260" t="s">
        <v>17</v>
      </c>
      <c r="K2260">
        <v>0.01</v>
      </c>
      <c r="L2260" t="s">
        <v>18</v>
      </c>
      <c r="M2260" t="s">
        <v>21</v>
      </c>
    </row>
    <row r="2261" spans="1:13" x14ac:dyDescent="0.35">
      <c r="A2261">
        <v>1041</v>
      </c>
      <c r="B2261" s="1">
        <v>45335</v>
      </c>
      <c r="C2261" t="s">
        <v>14</v>
      </c>
      <c r="D2261" t="s">
        <v>20</v>
      </c>
      <c r="E2261">
        <v>224106.8</v>
      </c>
      <c r="F2261">
        <v>50</v>
      </c>
      <c r="G2261" t="s">
        <v>26</v>
      </c>
      <c r="H2261">
        <v>3313.87</v>
      </c>
      <c r="I2261">
        <v>4527.41</v>
      </c>
      <c r="J2261" t="s">
        <v>27</v>
      </c>
      <c r="K2261">
        <v>0.01</v>
      </c>
      <c r="L2261" t="s">
        <v>28</v>
      </c>
      <c r="M2261" t="s">
        <v>21</v>
      </c>
    </row>
    <row r="2262" spans="1:13" x14ac:dyDescent="0.35">
      <c r="A2262">
        <v>1030</v>
      </c>
      <c r="B2262" s="1">
        <v>45337</v>
      </c>
      <c r="C2262" t="s">
        <v>22</v>
      </c>
      <c r="D2262" t="s">
        <v>30</v>
      </c>
      <c r="E2262">
        <v>3947.87</v>
      </c>
      <c r="F2262">
        <v>4</v>
      </c>
      <c r="G2262" t="s">
        <v>31</v>
      </c>
      <c r="H2262">
        <v>86.42</v>
      </c>
      <c r="I2262">
        <v>1072.79</v>
      </c>
      <c r="J2262" t="s">
        <v>17</v>
      </c>
      <c r="K2262">
        <v>0.08</v>
      </c>
      <c r="L2262" t="s">
        <v>18</v>
      </c>
      <c r="M2262" t="s">
        <v>19</v>
      </c>
    </row>
    <row r="2263" spans="1:13" x14ac:dyDescent="0.35">
      <c r="A2263">
        <v>1003</v>
      </c>
      <c r="B2263" s="1">
        <v>45337</v>
      </c>
      <c r="C2263" t="s">
        <v>33</v>
      </c>
      <c r="D2263" t="s">
        <v>15</v>
      </c>
      <c r="E2263">
        <v>193614.22</v>
      </c>
      <c r="F2263">
        <v>42</v>
      </c>
      <c r="G2263" t="s">
        <v>31</v>
      </c>
      <c r="H2263">
        <v>4230.5200000000004</v>
      </c>
      <c r="I2263">
        <v>4645.45</v>
      </c>
      <c r="J2263" t="s">
        <v>27</v>
      </c>
      <c r="K2263">
        <v>0.01</v>
      </c>
      <c r="L2263" t="s">
        <v>28</v>
      </c>
      <c r="M2263" t="s">
        <v>19</v>
      </c>
    </row>
    <row r="2264" spans="1:13" x14ac:dyDescent="0.35">
      <c r="A2264">
        <v>1080</v>
      </c>
      <c r="B2264" s="1">
        <v>45338</v>
      </c>
      <c r="C2264" t="s">
        <v>14</v>
      </c>
      <c r="D2264" t="s">
        <v>20</v>
      </c>
      <c r="E2264">
        <v>4787.04</v>
      </c>
      <c r="F2264">
        <v>1</v>
      </c>
      <c r="G2264" t="s">
        <v>31</v>
      </c>
      <c r="H2264">
        <v>1366.44</v>
      </c>
      <c r="I2264">
        <v>5318.93</v>
      </c>
      <c r="J2264" t="s">
        <v>17</v>
      </c>
      <c r="K2264">
        <v>0.1</v>
      </c>
      <c r="L2264" t="s">
        <v>28</v>
      </c>
      <c r="M2264" t="s">
        <v>21</v>
      </c>
    </row>
    <row r="2265" spans="1:13" x14ac:dyDescent="0.35">
      <c r="A2265">
        <v>1019</v>
      </c>
      <c r="B2265" s="1">
        <v>45338</v>
      </c>
      <c r="C2265" t="s">
        <v>32</v>
      </c>
      <c r="D2265" t="s">
        <v>30</v>
      </c>
      <c r="E2265">
        <v>11872.47</v>
      </c>
      <c r="F2265">
        <v>21</v>
      </c>
      <c r="G2265" t="s">
        <v>16</v>
      </c>
      <c r="H2265">
        <v>355.05</v>
      </c>
      <c r="I2265">
        <v>697.97</v>
      </c>
      <c r="J2265" t="s">
        <v>27</v>
      </c>
      <c r="K2265">
        <v>0.19</v>
      </c>
      <c r="L2265" t="s">
        <v>28</v>
      </c>
      <c r="M2265" t="s">
        <v>21</v>
      </c>
    </row>
    <row r="2266" spans="1:13" x14ac:dyDescent="0.35">
      <c r="A2266">
        <v>1052</v>
      </c>
      <c r="B2266" s="1">
        <v>45338</v>
      </c>
      <c r="C2266" t="s">
        <v>32</v>
      </c>
      <c r="D2266" t="s">
        <v>15</v>
      </c>
      <c r="E2266">
        <v>90511.66</v>
      </c>
      <c r="F2266">
        <v>46</v>
      </c>
      <c r="G2266" t="s">
        <v>24</v>
      </c>
      <c r="H2266">
        <v>756.21</v>
      </c>
      <c r="I2266">
        <v>2235.96</v>
      </c>
      <c r="J2266" t="s">
        <v>27</v>
      </c>
      <c r="K2266">
        <v>0.12</v>
      </c>
      <c r="L2266" t="s">
        <v>25</v>
      </c>
      <c r="M2266" t="s">
        <v>19</v>
      </c>
    </row>
    <row r="2267" spans="1:13" x14ac:dyDescent="0.35">
      <c r="A2267">
        <v>1073</v>
      </c>
      <c r="B2267" s="1">
        <v>45338</v>
      </c>
      <c r="C2267" t="s">
        <v>29</v>
      </c>
      <c r="D2267" t="s">
        <v>23</v>
      </c>
      <c r="E2267">
        <v>144385.43</v>
      </c>
      <c r="F2267">
        <v>39</v>
      </c>
      <c r="G2267" t="s">
        <v>26</v>
      </c>
      <c r="H2267">
        <v>1420.6</v>
      </c>
      <c r="I2267">
        <v>3980.85</v>
      </c>
      <c r="J2267" t="s">
        <v>17</v>
      </c>
      <c r="K2267">
        <v>7.0000000000000007E-2</v>
      </c>
      <c r="L2267" t="s">
        <v>25</v>
      </c>
      <c r="M2267" t="s">
        <v>19</v>
      </c>
    </row>
    <row r="2268" spans="1:13" x14ac:dyDescent="0.35">
      <c r="A2268">
        <v>1052</v>
      </c>
      <c r="B2268" s="1">
        <v>45339</v>
      </c>
      <c r="C2268" t="s">
        <v>33</v>
      </c>
      <c r="D2268" t="s">
        <v>30</v>
      </c>
      <c r="E2268">
        <v>76065.64</v>
      </c>
      <c r="F2268">
        <v>20</v>
      </c>
      <c r="G2268" t="s">
        <v>31</v>
      </c>
      <c r="H2268">
        <v>2170.15</v>
      </c>
      <c r="I2268">
        <v>5139.57</v>
      </c>
      <c r="J2268" t="s">
        <v>17</v>
      </c>
      <c r="K2268">
        <v>0.26</v>
      </c>
      <c r="L2268" t="s">
        <v>18</v>
      </c>
      <c r="M2268" t="s">
        <v>21</v>
      </c>
    </row>
    <row r="2269" spans="1:13" x14ac:dyDescent="0.35">
      <c r="A2269">
        <v>1052</v>
      </c>
      <c r="B2269" s="1">
        <v>45339</v>
      </c>
      <c r="C2269" t="s">
        <v>32</v>
      </c>
      <c r="D2269" t="s">
        <v>30</v>
      </c>
      <c r="E2269">
        <v>102528.75</v>
      </c>
      <c r="F2269">
        <v>24</v>
      </c>
      <c r="G2269" t="s">
        <v>26</v>
      </c>
      <c r="H2269">
        <v>2066.19</v>
      </c>
      <c r="I2269">
        <v>4694.54</v>
      </c>
      <c r="J2269" t="s">
        <v>27</v>
      </c>
      <c r="K2269">
        <v>0.09</v>
      </c>
      <c r="L2269" t="s">
        <v>25</v>
      </c>
      <c r="M2269" t="s">
        <v>21</v>
      </c>
    </row>
    <row r="2270" spans="1:13" x14ac:dyDescent="0.35">
      <c r="A2270">
        <v>1081</v>
      </c>
      <c r="B2270" s="1">
        <v>45339</v>
      </c>
      <c r="C2270" t="s">
        <v>29</v>
      </c>
      <c r="D2270" t="s">
        <v>20</v>
      </c>
      <c r="E2270">
        <v>93616.960000000006</v>
      </c>
      <c r="F2270">
        <v>29</v>
      </c>
      <c r="G2270" t="s">
        <v>24</v>
      </c>
      <c r="H2270">
        <v>1051.54</v>
      </c>
      <c r="I2270">
        <v>4192.43</v>
      </c>
      <c r="J2270" t="s">
        <v>17</v>
      </c>
      <c r="K2270">
        <v>0.23</v>
      </c>
      <c r="L2270" t="s">
        <v>18</v>
      </c>
      <c r="M2270" t="s">
        <v>21</v>
      </c>
    </row>
    <row r="2271" spans="1:13" x14ac:dyDescent="0.35">
      <c r="A2271">
        <v>1020</v>
      </c>
      <c r="B2271" s="1">
        <v>45340</v>
      </c>
      <c r="C2271" t="s">
        <v>14</v>
      </c>
      <c r="D2271" t="s">
        <v>23</v>
      </c>
      <c r="E2271">
        <v>26633.09</v>
      </c>
      <c r="F2271">
        <v>9</v>
      </c>
      <c r="G2271" t="s">
        <v>16</v>
      </c>
      <c r="H2271">
        <v>1709.31</v>
      </c>
      <c r="I2271">
        <v>3324.98</v>
      </c>
      <c r="J2271" t="s">
        <v>27</v>
      </c>
      <c r="K2271">
        <v>0.11</v>
      </c>
      <c r="L2271" t="s">
        <v>18</v>
      </c>
      <c r="M2271" t="s">
        <v>21</v>
      </c>
    </row>
    <row r="2272" spans="1:13" x14ac:dyDescent="0.35">
      <c r="A2272">
        <v>1009</v>
      </c>
      <c r="B2272" s="1">
        <v>45340</v>
      </c>
      <c r="C2272" t="s">
        <v>29</v>
      </c>
      <c r="D2272" t="s">
        <v>20</v>
      </c>
      <c r="E2272">
        <v>130470.28</v>
      </c>
      <c r="F2272">
        <v>33</v>
      </c>
      <c r="G2272" t="s">
        <v>31</v>
      </c>
      <c r="H2272">
        <v>786.51</v>
      </c>
      <c r="I2272">
        <v>4297.4399999999996</v>
      </c>
      <c r="J2272" t="s">
        <v>17</v>
      </c>
      <c r="K2272">
        <v>0.08</v>
      </c>
      <c r="L2272" t="s">
        <v>18</v>
      </c>
      <c r="M2272" t="s">
        <v>21</v>
      </c>
    </row>
    <row r="2273" spans="1:13" x14ac:dyDescent="0.35">
      <c r="A2273">
        <v>1053</v>
      </c>
      <c r="B2273" s="1">
        <v>45341</v>
      </c>
      <c r="C2273" t="s">
        <v>29</v>
      </c>
      <c r="D2273" t="s">
        <v>20</v>
      </c>
      <c r="E2273">
        <v>76438.38</v>
      </c>
      <c r="F2273">
        <v>18</v>
      </c>
      <c r="G2273" t="s">
        <v>16</v>
      </c>
      <c r="H2273">
        <v>3395.23</v>
      </c>
      <c r="I2273">
        <v>4937.88</v>
      </c>
      <c r="J2273" t="s">
        <v>17</v>
      </c>
      <c r="K2273">
        <v>0.14000000000000001</v>
      </c>
      <c r="L2273" t="s">
        <v>18</v>
      </c>
      <c r="M2273" t="s">
        <v>21</v>
      </c>
    </row>
    <row r="2274" spans="1:13" x14ac:dyDescent="0.35">
      <c r="A2274">
        <v>1017</v>
      </c>
      <c r="B2274" s="1">
        <v>45341</v>
      </c>
      <c r="C2274" t="s">
        <v>33</v>
      </c>
      <c r="D2274" t="s">
        <v>30</v>
      </c>
      <c r="E2274">
        <v>131606.9</v>
      </c>
      <c r="F2274">
        <v>28</v>
      </c>
      <c r="G2274" t="s">
        <v>26</v>
      </c>
      <c r="H2274">
        <v>2975.77</v>
      </c>
      <c r="I2274">
        <v>4896.09</v>
      </c>
      <c r="J2274" t="s">
        <v>27</v>
      </c>
      <c r="K2274">
        <v>0.04</v>
      </c>
      <c r="L2274" t="s">
        <v>28</v>
      </c>
      <c r="M2274" t="s">
        <v>21</v>
      </c>
    </row>
    <row r="2275" spans="1:13" x14ac:dyDescent="0.35">
      <c r="A2275">
        <v>1056</v>
      </c>
      <c r="B2275" s="1">
        <v>45342</v>
      </c>
      <c r="C2275" t="s">
        <v>33</v>
      </c>
      <c r="D2275" t="s">
        <v>15</v>
      </c>
      <c r="E2275">
        <v>44733.24</v>
      </c>
      <c r="F2275">
        <v>22</v>
      </c>
      <c r="G2275" t="s">
        <v>26</v>
      </c>
      <c r="H2275">
        <v>884.93</v>
      </c>
      <c r="I2275">
        <v>2420.63</v>
      </c>
      <c r="J2275" t="s">
        <v>17</v>
      </c>
      <c r="K2275">
        <v>0.16</v>
      </c>
      <c r="L2275" t="s">
        <v>18</v>
      </c>
      <c r="M2275" t="s">
        <v>21</v>
      </c>
    </row>
    <row r="2276" spans="1:13" x14ac:dyDescent="0.35">
      <c r="A2276">
        <v>1019</v>
      </c>
      <c r="B2276" s="1">
        <v>45342</v>
      </c>
      <c r="C2276" t="s">
        <v>14</v>
      </c>
      <c r="D2276" t="s">
        <v>20</v>
      </c>
      <c r="E2276">
        <v>146755.32</v>
      </c>
      <c r="F2276">
        <v>42</v>
      </c>
      <c r="G2276" t="s">
        <v>26</v>
      </c>
      <c r="H2276">
        <v>2422.59</v>
      </c>
      <c r="I2276">
        <v>4786.54</v>
      </c>
      <c r="J2276" t="s">
        <v>17</v>
      </c>
      <c r="K2276">
        <v>0.27</v>
      </c>
      <c r="L2276" t="s">
        <v>28</v>
      </c>
      <c r="M2276" t="s">
        <v>19</v>
      </c>
    </row>
    <row r="2277" spans="1:13" x14ac:dyDescent="0.35">
      <c r="A2277">
        <v>1015</v>
      </c>
      <c r="B2277" s="1">
        <v>45343</v>
      </c>
      <c r="C2277" t="s">
        <v>22</v>
      </c>
      <c r="D2277" t="s">
        <v>23</v>
      </c>
      <c r="E2277">
        <v>30141.1</v>
      </c>
      <c r="F2277">
        <v>12</v>
      </c>
      <c r="G2277" t="s">
        <v>24</v>
      </c>
      <c r="H2277">
        <v>2099.48</v>
      </c>
      <c r="I2277">
        <v>2822.2</v>
      </c>
      <c r="J2277" t="s">
        <v>27</v>
      </c>
      <c r="K2277">
        <v>0.11</v>
      </c>
      <c r="L2277" t="s">
        <v>25</v>
      </c>
      <c r="M2277" t="s">
        <v>19</v>
      </c>
    </row>
    <row r="2278" spans="1:13" x14ac:dyDescent="0.35">
      <c r="A2278">
        <v>1044</v>
      </c>
      <c r="B2278" s="1">
        <v>45343</v>
      </c>
      <c r="C2278" t="s">
        <v>22</v>
      </c>
      <c r="D2278" t="s">
        <v>23</v>
      </c>
      <c r="E2278">
        <v>64225.95</v>
      </c>
      <c r="F2278">
        <v>15</v>
      </c>
      <c r="G2278" t="s">
        <v>24</v>
      </c>
      <c r="H2278">
        <v>3686.03</v>
      </c>
      <c r="I2278">
        <v>4324.9799999999996</v>
      </c>
      <c r="J2278" t="s">
        <v>27</v>
      </c>
      <c r="K2278">
        <v>0.01</v>
      </c>
      <c r="L2278" t="s">
        <v>18</v>
      </c>
      <c r="M2278" t="s">
        <v>21</v>
      </c>
    </row>
    <row r="2279" spans="1:13" x14ac:dyDescent="0.35">
      <c r="A2279">
        <v>1060</v>
      </c>
      <c r="B2279" s="1">
        <v>45343</v>
      </c>
      <c r="C2279" t="s">
        <v>29</v>
      </c>
      <c r="D2279" t="s">
        <v>23</v>
      </c>
      <c r="E2279">
        <v>119943.94</v>
      </c>
      <c r="F2279">
        <v>30</v>
      </c>
      <c r="G2279" t="s">
        <v>31</v>
      </c>
      <c r="H2279">
        <v>2554.27</v>
      </c>
      <c r="I2279">
        <v>4648.99</v>
      </c>
      <c r="J2279" t="s">
        <v>27</v>
      </c>
      <c r="K2279">
        <v>0.14000000000000001</v>
      </c>
      <c r="L2279" t="s">
        <v>18</v>
      </c>
      <c r="M2279" t="s">
        <v>19</v>
      </c>
    </row>
    <row r="2280" spans="1:13" x14ac:dyDescent="0.35">
      <c r="A2280">
        <v>1017</v>
      </c>
      <c r="B2280" s="1">
        <v>45344</v>
      </c>
      <c r="C2280" t="s">
        <v>29</v>
      </c>
      <c r="D2280" t="s">
        <v>30</v>
      </c>
      <c r="E2280">
        <v>98155.23</v>
      </c>
      <c r="F2280">
        <v>30</v>
      </c>
      <c r="G2280" t="s">
        <v>16</v>
      </c>
      <c r="H2280">
        <v>2252.81</v>
      </c>
      <c r="I2280">
        <v>4039.31</v>
      </c>
      <c r="J2280" t="s">
        <v>27</v>
      </c>
      <c r="K2280">
        <v>0.19</v>
      </c>
      <c r="L2280" t="s">
        <v>25</v>
      </c>
      <c r="M2280" t="s">
        <v>21</v>
      </c>
    </row>
    <row r="2281" spans="1:13" x14ac:dyDescent="0.35">
      <c r="A2281">
        <v>1029</v>
      </c>
      <c r="B2281" s="1">
        <v>45344</v>
      </c>
      <c r="C2281" t="s">
        <v>33</v>
      </c>
      <c r="D2281" t="s">
        <v>20</v>
      </c>
      <c r="E2281">
        <v>88124.85</v>
      </c>
      <c r="F2281">
        <v>45</v>
      </c>
      <c r="G2281" t="s">
        <v>26</v>
      </c>
      <c r="H2281">
        <v>741.86</v>
      </c>
      <c r="I2281">
        <v>2576.75</v>
      </c>
      <c r="J2281" t="s">
        <v>27</v>
      </c>
      <c r="K2281">
        <v>0.24</v>
      </c>
      <c r="L2281" t="s">
        <v>28</v>
      </c>
      <c r="M2281" t="s">
        <v>19</v>
      </c>
    </row>
    <row r="2282" spans="1:13" x14ac:dyDescent="0.35">
      <c r="A2282">
        <v>1055</v>
      </c>
      <c r="B2282" s="1">
        <v>45345</v>
      </c>
      <c r="C2282" t="s">
        <v>14</v>
      </c>
      <c r="D2282" t="s">
        <v>23</v>
      </c>
      <c r="E2282">
        <v>80006.97</v>
      </c>
      <c r="F2282">
        <v>18</v>
      </c>
      <c r="G2282" t="s">
        <v>24</v>
      </c>
      <c r="H2282">
        <v>4444.3500000000004</v>
      </c>
      <c r="I2282">
        <v>4678.7700000000004</v>
      </c>
      <c r="J2282" t="s">
        <v>17</v>
      </c>
      <c r="K2282">
        <v>0.05</v>
      </c>
      <c r="L2282" t="s">
        <v>25</v>
      </c>
      <c r="M2282" t="s">
        <v>21</v>
      </c>
    </row>
    <row r="2283" spans="1:13" x14ac:dyDescent="0.35">
      <c r="A2283">
        <v>1083</v>
      </c>
      <c r="B2283" s="1">
        <v>45345</v>
      </c>
      <c r="C2283" t="s">
        <v>22</v>
      </c>
      <c r="D2283" t="s">
        <v>15</v>
      </c>
      <c r="E2283">
        <v>9602.98</v>
      </c>
      <c r="F2283">
        <v>3</v>
      </c>
      <c r="G2283" t="s">
        <v>16</v>
      </c>
      <c r="H2283">
        <v>2488.48</v>
      </c>
      <c r="I2283">
        <v>4051.89</v>
      </c>
      <c r="J2283" t="s">
        <v>27</v>
      </c>
      <c r="K2283">
        <v>0.21</v>
      </c>
      <c r="L2283" t="s">
        <v>25</v>
      </c>
      <c r="M2283" t="s">
        <v>21</v>
      </c>
    </row>
    <row r="2284" spans="1:13" x14ac:dyDescent="0.35">
      <c r="A2284">
        <v>1016</v>
      </c>
      <c r="B2284" s="1">
        <v>45345</v>
      </c>
      <c r="C2284" t="s">
        <v>29</v>
      </c>
      <c r="D2284" t="s">
        <v>30</v>
      </c>
      <c r="E2284">
        <v>158555.76</v>
      </c>
      <c r="F2284">
        <v>38</v>
      </c>
      <c r="G2284" t="s">
        <v>16</v>
      </c>
      <c r="H2284">
        <v>3907.23</v>
      </c>
      <c r="I2284">
        <v>5215.6499999999996</v>
      </c>
      <c r="J2284" t="s">
        <v>27</v>
      </c>
      <c r="K2284">
        <v>0.2</v>
      </c>
      <c r="L2284" t="s">
        <v>18</v>
      </c>
      <c r="M2284" t="s">
        <v>21</v>
      </c>
    </row>
    <row r="2285" spans="1:13" x14ac:dyDescent="0.35">
      <c r="A2285">
        <v>1031</v>
      </c>
      <c r="B2285" s="1">
        <v>45345</v>
      </c>
      <c r="C2285" t="s">
        <v>29</v>
      </c>
      <c r="D2285" t="s">
        <v>23</v>
      </c>
      <c r="E2285">
        <v>152782.46</v>
      </c>
      <c r="F2285">
        <v>35</v>
      </c>
      <c r="G2285" t="s">
        <v>31</v>
      </c>
      <c r="H2285">
        <v>3593.08</v>
      </c>
      <c r="I2285">
        <v>4522.97</v>
      </c>
      <c r="J2285" t="s">
        <v>17</v>
      </c>
      <c r="K2285">
        <v>0.03</v>
      </c>
      <c r="L2285" t="s">
        <v>18</v>
      </c>
      <c r="M2285" t="s">
        <v>21</v>
      </c>
    </row>
    <row r="2286" spans="1:13" x14ac:dyDescent="0.35">
      <c r="A2286">
        <v>1035</v>
      </c>
      <c r="B2286" s="1">
        <v>45345</v>
      </c>
      <c r="C2286" t="s">
        <v>32</v>
      </c>
      <c r="D2286" t="s">
        <v>30</v>
      </c>
      <c r="E2286">
        <v>97141.38</v>
      </c>
      <c r="F2286">
        <v>25</v>
      </c>
      <c r="G2286" t="s">
        <v>26</v>
      </c>
      <c r="H2286">
        <v>1456.17</v>
      </c>
      <c r="I2286">
        <v>4625.78</v>
      </c>
      <c r="J2286" t="s">
        <v>27</v>
      </c>
      <c r="K2286">
        <v>0.16</v>
      </c>
      <c r="L2286" t="s">
        <v>28</v>
      </c>
      <c r="M2286" t="s">
        <v>19</v>
      </c>
    </row>
    <row r="2287" spans="1:13" x14ac:dyDescent="0.35">
      <c r="A2287">
        <v>1086</v>
      </c>
      <c r="B2287" s="1">
        <v>45346</v>
      </c>
      <c r="C2287" t="s">
        <v>14</v>
      </c>
      <c r="D2287" t="s">
        <v>23</v>
      </c>
      <c r="E2287">
        <v>137596.57</v>
      </c>
      <c r="F2287">
        <v>32</v>
      </c>
      <c r="G2287" t="s">
        <v>16</v>
      </c>
      <c r="H2287">
        <v>4208.83</v>
      </c>
      <c r="I2287">
        <v>4375.78</v>
      </c>
      <c r="J2287" t="s">
        <v>27</v>
      </c>
      <c r="K2287">
        <v>0.02</v>
      </c>
      <c r="L2287" t="s">
        <v>18</v>
      </c>
      <c r="M2287" t="s">
        <v>19</v>
      </c>
    </row>
    <row r="2288" spans="1:13" x14ac:dyDescent="0.35">
      <c r="A2288">
        <v>1036</v>
      </c>
      <c r="B2288" s="1">
        <v>45346</v>
      </c>
      <c r="C2288" t="s">
        <v>29</v>
      </c>
      <c r="D2288" t="s">
        <v>15</v>
      </c>
      <c r="E2288">
        <v>146164</v>
      </c>
      <c r="F2288">
        <v>50</v>
      </c>
      <c r="G2288" t="s">
        <v>16</v>
      </c>
      <c r="H2288">
        <v>2605.16</v>
      </c>
      <c r="I2288">
        <v>2923.28</v>
      </c>
      <c r="J2288" t="s">
        <v>17</v>
      </c>
      <c r="K2288">
        <v>0</v>
      </c>
      <c r="L2288" t="s">
        <v>18</v>
      </c>
      <c r="M2288" t="s">
        <v>21</v>
      </c>
    </row>
    <row r="2289" spans="1:13" x14ac:dyDescent="0.35">
      <c r="A2289">
        <v>1010</v>
      </c>
      <c r="B2289" s="1">
        <v>45346</v>
      </c>
      <c r="C2289" t="s">
        <v>14</v>
      </c>
      <c r="D2289" t="s">
        <v>30</v>
      </c>
      <c r="E2289">
        <v>58922.78</v>
      </c>
      <c r="F2289">
        <v>30</v>
      </c>
      <c r="G2289" t="s">
        <v>16</v>
      </c>
      <c r="H2289">
        <v>966.76</v>
      </c>
      <c r="I2289">
        <v>2045.93</v>
      </c>
      <c r="J2289" t="s">
        <v>17</v>
      </c>
      <c r="K2289">
        <v>0.04</v>
      </c>
      <c r="L2289" t="s">
        <v>28</v>
      </c>
      <c r="M2289" t="s">
        <v>21</v>
      </c>
    </row>
    <row r="2290" spans="1:13" x14ac:dyDescent="0.35">
      <c r="A2290">
        <v>1085</v>
      </c>
      <c r="B2290" s="1">
        <v>45346</v>
      </c>
      <c r="C2290" t="s">
        <v>33</v>
      </c>
      <c r="D2290" t="s">
        <v>15</v>
      </c>
      <c r="E2290">
        <v>88325.34</v>
      </c>
      <c r="F2290">
        <v>23</v>
      </c>
      <c r="G2290" t="s">
        <v>16</v>
      </c>
      <c r="H2290">
        <v>1168.71</v>
      </c>
      <c r="I2290">
        <v>4683.21</v>
      </c>
      <c r="J2290" t="s">
        <v>17</v>
      </c>
      <c r="K2290">
        <v>0.18</v>
      </c>
      <c r="L2290" t="s">
        <v>18</v>
      </c>
      <c r="M2290" t="s">
        <v>21</v>
      </c>
    </row>
    <row r="2291" spans="1:13" x14ac:dyDescent="0.35">
      <c r="A2291">
        <v>1072</v>
      </c>
      <c r="B2291" s="1">
        <v>45346</v>
      </c>
      <c r="C2291" t="s">
        <v>14</v>
      </c>
      <c r="D2291" t="s">
        <v>30</v>
      </c>
      <c r="E2291">
        <v>92072.33</v>
      </c>
      <c r="F2291">
        <v>29</v>
      </c>
      <c r="G2291" t="s">
        <v>26</v>
      </c>
      <c r="H2291">
        <v>823.81</v>
      </c>
      <c r="I2291">
        <v>3607.85</v>
      </c>
      <c r="J2291" t="s">
        <v>27</v>
      </c>
      <c r="K2291">
        <v>0.12</v>
      </c>
      <c r="L2291" t="s">
        <v>25</v>
      </c>
      <c r="M2291" t="s">
        <v>19</v>
      </c>
    </row>
    <row r="2292" spans="1:13" x14ac:dyDescent="0.35">
      <c r="A2292">
        <v>1089</v>
      </c>
      <c r="B2292" s="1">
        <v>45347</v>
      </c>
      <c r="C2292" t="s">
        <v>33</v>
      </c>
      <c r="D2292" t="s">
        <v>20</v>
      </c>
      <c r="E2292">
        <v>130003.83</v>
      </c>
      <c r="F2292">
        <v>34</v>
      </c>
      <c r="G2292" t="s">
        <v>24</v>
      </c>
      <c r="H2292">
        <v>3799.82</v>
      </c>
      <c r="I2292">
        <v>3843.28</v>
      </c>
      <c r="J2292" t="s">
        <v>17</v>
      </c>
      <c r="K2292">
        <v>0.01</v>
      </c>
      <c r="L2292" t="s">
        <v>28</v>
      </c>
      <c r="M2292" t="s">
        <v>19</v>
      </c>
    </row>
    <row r="2293" spans="1:13" x14ac:dyDescent="0.35">
      <c r="A2293">
        <v>1078</v>
      </c>
      <c r="B2293" s="1">
        <v>45347</v>
      </c>
      <c r="C2293" t="s">
        <v>32</v>
      </c>
      <c r="D2293" t="s">
        <v>23</v>
      </c>
      <c r="E2293">
        <v>150150.26999999999</v>
      </c>
      <c r="F2293">
        <v>39</v>
      </c>
      <c r="G2293" t="s">
        <v>26</v>
      </c>
      <c r="H2293">
        <v>2279.17</v>
      </c>
      <c r="I2293">
        <v>4184.79</v>
      </c>
      <c r="J2293" t="s">
        <v>27</v>
      </c>
      <c r="K2293">
        <v>0.08</v>
      </c>
      <c r="L2293" t="s">
        <v>25</v>
      </c>
      <c r="M2293" t="s">
        <v>19</v>
      </c>
    </row>
    <row r="2294" spans="1:13" x14ac:dyDescent="0.35">
      <c r="A2294">
        <v>1089</v>
      </c>
      <c r="B2294" s="1">
        <v>45347</v>
      </c>
      <c r="C2294" t="s">
        <v>22</v>
      </c>
      <c r="D2294" t="s">
        <v>15</v>
      </c>
      <c r="E2294">
        <v>84050.52</v>
      </c>
      <c r="F2294">
        <v>27</v>
      </c>
      <c r="G2294" t="s">
        <v>26</v>
      </c>
      <c r="H2294">
        <v>549.62</v>
      </c>
      <c r="I2294">
        <v>3537.48</v>
      </c>
      <c r="J2294" t="s">
        <v>27</v>
      </c>
      <c r="K2294">
        <v>0.12</v>
      </c>
      <c r="L2294" t="s">
        <v>28</v>
      </c>
      <c r="M2294" t="s">
        <v>21</v>
      </c>
    </row>
    <row r="2295" spans="1:13" x14ac:dyDescent="0.35">
      <c r="A2295">
        <v>1011</v>
      </c>
      <c r="B2295" s="1">
        <v>45347</v>
      </c>
      <c r="C2295" t="s">
        <v>33</v>
      </c>
      <c r="D2295" t="s">
        <v>20</v>
      </c>
      <c r="E2295">
        <v>117889.2</v>
      </c>
      <c r="F2295">
        <v>42</v>
      </c>
      <c r="G2295" t="s">
        <v>24</v>
      </c>
      <c r="H2295">
        <v>736.04</v>
      </c>
      <c r="I2295">
        <v>3953.36</v>
      </c>
      <c r="J2295" t="s">
        <v>17</v>
      </c>
      <c r="K2295">
        <v>0.28999999999999998</v>
      </c>
      <c r="L2295" t="s">
        <v>25</v>
      </c>
      <c r="M2295" t="s">
        <v>19</v>
      </c>
    </row>
    <row r="2296" spans="1:13" x14ac:dyDescent="0.35">
      <c r="A2296">
        <v>1096</v>
      </c>
      <c r="B2296" s="1">
        <v>45348</v>
      </c>
      <c r="C2296" t="s">
        <v>14</v>
      </c>
      <c r="D2296" t="s">
        <v>30</v>
      </c>
      <c r="E2296">
        <v>61087.01</v>
      </c>
      <c r="F2296">
        <v>15</v>
      </c>
      <c r="G2296" t="s">
        <v>26</v>
      </c>
      <c r="H2296">
        <v>2994.01</v>
      </c>
      <c r="I2296">
        <v>5358.51</v>
      </c>
      <c r="J2296" t="s">
        <v>27</v>
      </c>
      <c r="K2296">
        <v>0.24</v>
      </c>
      <c r="L2296" t="s">
        <v>18</v>
      </c>
      <c r="M2296" t="s">
        <v>21</v>
      </c>
    </row>
    <row r="2297" spans="1:13" x14ac:dyDescent="0.35">
      <c r="A2297">
        <v>1081</v>
      </c>
      <c r="B2297" s="1">
        <v>45349</v>
      </c>
      <c r="C2297" t="s">
        <v>14</v>
      </c>
      <c r="D2297" t="s">
        <v>23</v>
      </c>
      <c r="E2297">
        <v>98710.09</v>
      </c>
      <c r="F2297">
        <v>31</v>
      </c>
      <c r="G2297" t="s">
        <v>31</v>
      </c>
      <c r="H2297">
        <v>2759.77</v>
      </c>
      <c r="I2297">
        <v>4135.32</v>
      </c>
      <c r="J2297" t="s">
        <v>27</v>
      </c>
      <c r="K2297">
        <v>0.23</v>
      </c>
      <c r="L2297" t="s">
        <v>18</v>
      </c>
      <c r="M2297" t="s">
        <v>21</v>
      </c>
    </row>
    <row r="2298" spans="1:13" x14ac:dyDescent="0.35">
      <c r="A2298">
        <v>1086</v>
      </c>
      <c r="B2298" s="1">
        <v>45349</v>
      </c>
      <c r="C2298" t="s">
        <v>22</v>
      </c>
      <c r="D2298" t="s">
        <v>20</v>
      </c>
      <c r="E2298">
        <v>38319.019999999997</v>
      </c>
      <c r="F2298">
        <v>14</v>
      </c>
      <c r="G2298" t="s">
        <v>31</v>
      </c>
      <c r="H2298">
        <v>1010.99</v>
      </c>
      <c r="I2298">
        <v>2911.78</v>
      </c>
      <c r="J2298" t="s">
        <v>17</v>
      </c>
      <c r="K2298">
        <v>0.06</v>
      </c>
      <c r="L2298" t="s">
        <v>18</v>
      </c>
      <c r="M2298" t="s">
        <v>21</v>
      </c>
    </row>
    <row r="2299" spans="1:13" x14ac:dyDescent="0.35">
      <c r="A2299">
        <v>1087</v>
      </c>
      <c r="B2299" s="1">
        <v>45349</v>
      </c>
      <c r="C2299" t="s">
        <v>33</v>
      </c>
      <c r="D2299" t="s">
        <v>15</v>
      </c>
      <c r="E2299">
        <v>117283.68</v>
      </c>
      <c r="F2299">
        <v>39</v>
      </c>
      <c r="G2299" t="s">
        <v>16</v>
      </c>
      <c r="H2299">
        <v>473.09</v>
      </c>
      <c r="I2299">
        <v>3496.83</v>
      </c>
      <c r="J2299" t="s">
        <v>17</v>
      </c>
      <c r="K2299">
        <v>0.14000000000000001</v>
      </c>
      <c r="L2299" t="s">
        <v>25</v>
      </c>
      <c r="M2299" t="s">
        <v>19</v>
      </c>
    </row>
    <row r="2300" spans="1:13" x14ac:dyDescent="0.35">
      <c r="A2300">
        <v>1098</v>
      </c>
      <c r="B2300" s="1">
        <v>45350</v>
      </c>
      <c r="C2300" t="s">
        <v>29</v>
      </c>
      <c r="D2300" t="s">
        <v>20</v>
      </c>
      <c r="E2300">
        <v>51557.67</v>
      </c>
      <c r="F2300">
        <v>23</v>
      </c>
      <c r="G2300" t="s">
        <v>31</v>
      </c>
      <c r="H2300">
        <v>1735.78</v>
      </c>
      <c r="I2300">
        <v>3202.34</v>
      </c>
      <c r="J2300" t="s">
        <v>17</v>
      </c>
      <c r="K2300">
        <v>0.3</v>
      </c>
      <c r="L2300" t="s">
        <v>28</v>
      </c>
      <c r="M2300" t="s">
        <v>21</v>
      </c>
    </row>
    <row r="2301" spans="1:13" x14ac:dyDescent="0.35">
      <c r="A2301">
        <v>1014</v>
      </c>
      <c r="B2301" s="1">
        <v>45350</v>
      </c>
      <c r="C2301" t="s">
        <v>14</v>
      </c>
      <c r="D2301" t="s">
        <v>23</v>
      </c>
      <c r="E2301">
        <v>104170.65</v>
      </c>
      <c r="F2301">
        <v>34</v>
      </c>
      <c r="G2301" t="s">
        <v>31</v>
      </c>
      <c r="H2301">
        <v>148.9</v>
      </c>
      <c r="I2301">
        <v>3366.86</v>
      </c>
      <c r="J2301" t="s">
        <v>17</v>
      </c>
      <c r="K2301">
        <v>0.09</v>
      </c>
      <c r="L2301" t="s">
        <v>28</v>
      </c>
      <c r="M2301" t="s">
        <v>21</v>
      </c>
    </row>
    <row r="2302" spans="1:13" x14ac:dyDescent="0.35">
      <c r="A2302">
        <v>1010</v>
      </c>
      <c r="B2302" s="1">
        <v>45351</v>
      </c>
      <c r="C2302" t="s">
        <v>29</v>
      </c>
      <c r="D2302" t="s">
        <v>23</v>
      </c>
      <c r="E2302">
        <v>101815.91</v>
      </c>
      <c r="F2302">
        <v>49</v>
      </c>
      <c r="G2302" t="s">
        <v>16</v>
      </c>
      <c r="H2302">
        <v>1045.25</v>
      </c>
      <c r="I2302">
        <v>2142.14</v>
      </c>
      <c r="J2302" t="s">
        <v>17</v>
      </c>
      <c r="K2302">
        <v>0.03</v>
      </c>
      <c r="L2302" t="s">
        <v>25</v>
      </c>
      <c r="M2302" t="s">
        <v>19</v>
      </c>
    </row>
    <row r="2303" spans="1:13" x14ac:dyDescent="0.35">
      <c r="A2303">
        <v>1020</v>
      </c>
      <c r="B2303" s="1">
        <v>45352</v>
      </c>
      <c r="C2303" t="s">
        <v>29</v>
      </c>
      <c r="D2303" t="s">
        <v>20</v>
      </c>
      <c r="E2303">
        <v>99563.839999999997</v>
      </c>
      <c r="F2303">
        <v>19</v>
      </c>
      <c r="G2303" t="s">
        <v>31</v>
      </c>
      <c r="H2303">
        <v>4641.66</v>
      </c>
      <c r="I2303">
        <v>5498.55</v>
      </c>
      <c r="J2303" t="s">
        <v>17</v>
      </c>
      <c r="K2303">
        <v>0.05</v>
      </c>
      <c r="L2303" t="s">
        <v>25</v>
      </c>
      <c r="M2303" t="s">
        <v>19</v>
      </c>
    </row>
    <row r="2304" spans="1:13" x14ac:dyDescent="0.35">
      <c r="A2304">
        <v>1002</v>
      </c>
      <c r="B2304" s="1">
        <v>45352</v>
      </c>
      <c r="C2304" t="s">
        <v>32</v>
      </c>
      <c r="D2304" t="s">
        <v>23</v>
      </c>
      <c r="E2304">
        <v>71963.240000000005</v>
      </c>
      <c r="F2304">
        <v>21</v>
      </c>
      <c r="G2304" t="s">
        <v>31</v>
      </c>
      <c r="H2304">
        <v>2372.6999999999998</v>
      </c>
      <c r="I2304">
        <v>3607.18</v>
      </c>
      <c r="J2304" t="s">
        <v>17</v>
      </c>
      <c r="K2304">
        <v>0.05</v>
      </c>
      <c r="L2304" t="s">
        <v>28</v>
      </c>
      <c r="M2304" t="s">
        <v>21</v>
      </c>
    </row>
    <row r="2305" spans="1:13" x14ac:dyDescent="0.35">
      <c r="A2305">
        <v>1043</v>
      </c>
      <c r="B2305" s="1">
        <v>45352</v>
      </c>
      <c r="C2305" t="s">
        <v>14</v>
      </c>
      <c r="D2305" t="s">
        <v>23</v>
      </c>
      <c r="E2305">
        <v>168191.32</v>
      </c>
      <c r="F2305">
        <v>45</v>
      </c>
      <c r="G2305" t="s">
        <v>24</v>
      </c>
      <c r="H2305">
        <v>3188.73</v>
      </c>
      <c r="I2305">
        <v>4731.12</v>
      </c>
      <c r="J2305" t="s">
        <v>17</v>
      </c>
      <c r="K2305">
        <v>0.21</v>
      </c>
      <c r="L2305" t="s">
        <v>25</v>
      </c>
      <c r="M2305" t="s">
        <v>19</v>
      </c>
    </row>
    <row r="2306" spans="1:13" x14ac:dyDescent="0.35">
      <c r="A2306">
        <v>1038</v>
      </c>
      <c r="B2306" s="1">
        <v>45352</v>
      </c>
      <c r="C2306" t="s">
        <v>32</v>
      </c>
      <c r="D2306" t="s">
        <v>20</v>
      </c>
      <c r="E2306">
        <v>113828.58</v>
      </c>
      <c r="F2306">
        <v>23</v>
      </c>
      <c r="G2306" t="s">
        <v>24</v>
      </c>
      <c r="H2306">
        <v>3333.47</v>
      </c>
      <c r="I2306">
        <v>5155.28</v>
      </c>
      <c r="J2306" t="s">
        <v>27</v>
      </c>
      <c r="K2306">
        <v>0.04</v>
      </c>
      <c r="L2306" t="s">
        <v>28</v>
      </c>
      <c r="M2306" t="s">
        <v>21</v>
      </c>
    </row>
    <row r="2307" spans="1:13" x14ac:dyDescent="0.35">
      <c r="A2307">
        <v>1015</v>
      </c>
      <c r="B2307" s="1">
        <v>45352</v>
      </c>
      <c r="C2307" t="s">
        <v>29</v>
      </c>
      <c r="D2307" t="s">
        <v>15</v>
      </c>
      <c r="E2307">
        <v>67164.98</v>
      </c>
      <c r="F2307">
        <v>25</v>
      </c>
      <c r="G2307" t="s">
        <v>16</v>
      </c>
      <c r="H2307">
        <v>575.83000000000004</v>
      </c>
      <c r="I2307">
        <v>3489.09</v>
      </c>
      <c r="J2307" t="s">
        <v>17</v>
      </c>
      <c r="K2307">
        <v>0.23</v>
      </c>
      <c r="L2307" t="s">
        <v>28</v>
      </c>
      <c r="M2307" t="s">
        <v>19</v>
      </c>
    </row>
    <row r="2308" spans="1:13" x14ac:dyDescent="0.35">
      <c r="A2308">
        <v>1045</v>
      </c>
      <c r="B2308" s="1">
        <v>45353</v>
      </c>
      <c r="C2308" t="s">
        <v>29</v>
      </c>
      <c r="D2308" t="s">
        <v>23</v>
      </c>
      <c r="E2308">
        <v>186918.39999999999</v>
      </c>
      <c r="F2308">
        <v>36</v>
      </c>
      <c r="G2308" t="s">
        <v>31</v>
      </c>
      <c r="H2308">
        <v>4733.43</v>
      </c>
      <c r="I2308">
        <v>5264.38</v>
      </c>
      <c r="J2308" t="s">
        <v>27</v>
      </c>
      <c r="K2308">
        <v>0.01</v>
      </c>
      <c r="L2308" t="s">
        <v>18</v>
      </c>
      <c r="M2308" t="s">
        <v>19</v>
      </c>
    </row>
    <row r="2309" spans="1:13" x14ac:dyDescent="0.35">
      <c r="A2309">
        <v>1050</v>
      </c>
      <c r="B2309" s="1">
        <v>45353</v>
      </c>
      <c r="C2309" t="s">
        <v>29</v>
      </c>
      <c r="D2309" t="s">
        <v>23</v>
      </c>
      <c r="E2309">
        <v>75068.539999999994</v>
      </c>
      <c r="F2309">
        <v>44</v>
      </c>
      <c r="G2309" t="s">
        <v>24</v>
      </c>
      <c r="H2309">
        <v>1308.46</v>
      </c>
      <c r="I2309">
        <v>1854.46</v>
      </c>
      <c r="J2309" t="s">
        <v>17</v>
      </c>
      <c r="K2309">
        <v>0.08</v>
      </c>
      <c r="L2309" t="s">
        <v>18</v>
      </c>
      <c r="M2309" t="s">
        <v>19</v>
      </c>
    </row>
    <row r="2310" spans="1:13" x14ac:dyDescent="0.35">
      <c r="A2310">
        <v>1086</v>
      </c>
      <c r="B2310" s="1">
        <v>45353</v>
      </c>
      <c r="C2310" t="s">
        <v>14</v>
      </c>
      <c r="D2310" t="s">
        <v>15</v>
      </c>
      <c r="E2310">
        <v>39105.18</v>
      </c>
      <c r="F2310">
        <v>22</v>
      </c>
      <c r="G2310" t="s">
        <v>16</v>
      </c>
      <c r="H2310">
        <v>358.37</v>
      </c>
      <c r="I2310">
        <v>2066.87</v>
      </c>
      <c r="J2310" t="s">
        <v>17</v>
      </c>
      <c r="K2310">
        <v>0.14000000000000001</v>
      </c>
      <c r="L2310" t="s">
        <v>25</v>
      </c>
      <c r="M2310" t="s">
        <v>19</v>
      </c>
    </row>
    <row r="2311" spans="1:13" x14ac:dyDescent="0.35">
      <c r="A2311">
        <v>1033</v>
      </c>
      <c r="B2311" s="1">
        <v>45354</v>
      </c>
      <c r="C2311" t="s">
        <v>14</v>
      </c>
      <c r="D2311" t="s">
        <v>15</v>
      </c>
      <c r="E2311">
        <v>94048.02</v>
      </c>
      <c r="F2311">
        <v>50</v>
      </c>
      <c r="G2311" t="s">
        <v>16</v>
      </c>
      <c r="H2311">
        <v>198.58</v>
      </c>
      <c r="I2311">
        <v>2649.24</v>
      </c>
      <c r="J2311" t="s">
        <v>17</v>
      </c>
      <c r="K2311">
        <v>0.28999999999999998</v>
      </c>
      <c r="L2311" t="s">
        <v>28</v>
      </c>
      <c r="M2311" t="s">
        <v>21</v>
      </c>
    </row>
    <row r="2312" spans="1:13" x14ac:dyDescent="0.35">
      <c r="A2312">
        <v>1062</v>
      </c>
      <c r="B2312" s="1">
        <v>45355</v>
      </c>
      <c r="C2312" t="s">
        <v>33</v>
      </c>
      <c r="D2312" t="s">
        <v>15</v>
      </c>
      <c r="E2312">
        <v>4421.4799999999996</v>
      </c>
      <c r="F2312">
        <v>6</v>
      </c>
      <c r="G2312" t="s">
        <v>31</v>
      </c>
      <c r="H2312">
        <v>588.97</v>
      </c>
      <c r="I2312">
        <v>944.76</v>
      </c>
      <c r="J2312" t="s">
        <v>17</v>
      </c>
      <c r="K2312">
        <v>0.22</v>
      </c>
      <c r="L2312" t="s">
        <v>18</v>
      </c>
      <c r="M2312" t="s">
        <v>19</v>
      </c>
    </row>
    <row r="2313" spans="1:13" x14ac:dyDescent="0.35">
      <c r="A2313">
        <v>1086</v>
      </c>
      <c r="B2313" s="1">
        <v>45356</v>
      </c>
      <c r="C2313" t="s">
        <v>32</v>
      </c>
      <c r="D2313" t="s">
        <v>30</v>
      </c>
      <c r="E2313">
        <v>19329.62</v>
      </c>
      <c r="F2313">
        <v>7</v>
      </c>
      <c r="G2313" t="s">
        <v>24</v>
      </c>
      <c r="H2313">
        <v>722.41</v>
      </c>
      <c r="I2313">
        <v>2906.71</v>
      </c>
      <c r="J2313" t="s">
        <v>27</v>
      </c>
      <c r="K2313">
        <v>0.05</v>
      </c>
      <c r="L2313" t="s">
        <v>25</v>
      </c>
      <c r="M2313" t="s">
        <v>19</v>
      </c>
    </row>
    <row r="2314" spans="1:13" x14ac:dyDescent="0.35">
      <c r="A2314">
        <v>1069</v>
      </c>
      <c r="B2314" s="1">
        <v>45356</v>
      </c>
      <c r="C2314" t="s">
        <v>29</v>
      </c>
      <c r="D2314" t="s">
        <v>20</v>
      </c>
      <c r="E2314">
        <v>200783.64</v>
      </c>
      <c r="F2314">
        <v>50</v>
      </c>
      <c r="G2314" t="s">
        <v>16</v>
      </c>
      <c r="H2314">
        <v>1601.61</v>
      </c>
      <c r="I2314">
        <v>5083.13</v>
      </c>
      <c r="J2314" t="s">
        <v>27</v>
      </c>
      <c r="K2314">
        <v>0.21</v>
      </c>
      <c r="L2314" t="s">
        <v>18</v>
      </c>
      <c r="M2314" t="s">
        <v>19</v>
      </c>
    </row>
    <row r="2315" spans="1:13" x14ac:dyDescent="0.35">
      <c r="A2315">
        <v>1059</v>
      </c>
      <c r="B2315" s="1">
        <v>45357</v>
      </c>
      <c r="C2315" t="s">
        <v>14</v>
      </c>
      <c r="D2315" t="s">
        <v>20</v>
      </c>
      <c r="E2315">
        <v>10012.34</v>
      </c>
      <c r="F2315">
        <v>11</v>
      </c>
      <c r="G2315" t="s">
        <v>31</v>
      </c>
      <c r="H2315">
        <v>866.79</v>
      </c>
      <c r="I2315">
        <v>1281.99</v>
      </c>
      <c r="J2315" t="s">
        <v>17</v>
      </c>
      <c r="K2315">
        <v>0.28999999999999998</v>
      </c>
      <c r="L2315" t="s">
        <v>25</v>
      </c>
      <c r="M2315" t="s">
        <v>21</v>
      </c>
    </row>
    <row r="2316" spans="1:13" x14ac:dyDescent="0.35">
      <c r="A2316">
        <v>1086</v>
      </c>
      <c r="B2316" s="1">
        <v>45357</v>
      </c>
      <c r="C2316" t="s">
        <v>33</v>
      </c>
      <c r="D2316" t="s">
        <v>15</v>
      </c>
      <c r="E2316">
        <v>19819.87</v>
      </c>
      <c r="F2316">
        <v>17</v>
      </c>
      <c r="G2316" t="s">
        <v>31</v>
      </c>
      <c r="H2316">
        <v>1046.26</v>
      </c>
      <c r="I2316">
        <v>1183.75</v>
      </c>
      <c r="J2316" t="s">
        <v>17</v>
      </c>
      <c r="K2316">
        <v>0.02</v>
      </c>
      <c r="L2316" t="s">
        <v>25</v>
      </c>
      <c r="M2316" t="s">
        <v>21</v>
      </c>
    </row>
    <row r="2317" spans="1:13" x14ac:dyDescent="0.35">
      <c r="A2317">
        <v>1091</v>
      </c>
      <c r="B2317" s="1">
        <v>45357</v>
      </c>
      <c r="C2317" t="s">
        <v>33</v>
      </c>
      <c r="D2317" t="s">
        <v>20</v>
      </c>
      <c r="E2317">
        <v>43813.31</v>
      </c>
      <c r="F2317">
        <v>10</v>
      </c>
      <c r="G2317" t="s">
        <v>26</v>
      </c>
      <c r="H2317">
        <v>739.21</v>
      </c>
      <c r="I2317">
        <v>5215.87</v>
      </c>
      <c r="J2317" t="s">
        <v>27</v>
      </c>
      <c r="K2317">
        <v>0.16</v>
      </c>
      <c r="L2317" t="s">
        <v>25</v>
      </c>
      <c r="M2317" t="s">
        <v>19</v>
      </c>
    </row>
    <row r="2318" spans="1:13" x14ac:dyDescent="0.35">
      <c r="A2318">
        <v>1005</v>
      </c>
      <c r="B2318" s="1">
        <v>45358</v>
      </c>
      <c r="C2318" t="s">
        <v>14</v>
      </c>
      <c r="D2318" t="s">
        <v>15</v>
      </c>
      <c r="E2318">
        <v>69757.88</v>
      </c>
      <c r="F2318">
        <v>15</v>
      </c>
      <c r="G2318" t="s">
        <v>16</v>
      </c>
      <c r="H2318">
        <v>4587.26</v>
      </c>
      <c r="I2318">
        <v>4697.5</v>
      </c>
      <c r="J2318" t="s">
        <v>27</v>
      </c>
      <c r="K2318">
        <v>0.01</v>
      </c>
      <c r="L2318" t="s">
        <v>28</v>
      </c>
      <c r="M2318" t="s">
        <v>21</v>
      </c>
    </row>
    <row r="2319" spans="1:13" x14ac:dyDescent="0.35">
      <c r="A2319">
        <v>1070</v>
      </c>
      <c r="B2319" s="1">
        <v>45358</v>
      </c>
      <c r="C2319" t="s">
        <v>29</v>
      </c>
      <c r="D2319" t="s">
        <v>30</v>
      </c>
      <c r="E2319">
        <v>70662.679999999993</v>
      </c>
      <c r="F2319">
        <v>22</v>
      </c>
      <c r="G2319" t="s">
        <v>31</v>
      </c>
      <c r="H2319">
        <v>2964.29</v>
      </c>
      <c r="I2319">
        <v>3211.94</v>
      </c>
      <c r="J2319" t="s">
        <v>27</v>
      </c>
      <c r="K2319">
        <v>0</v>
      </c>
      <c r="L2319" t="s">
        <v>28</v>
      </c>
      <c r="M2319" t="s">
        <v>19</v>
      </c>
    </row>
    <row r="2320" spans="1:13" x14ac:dyDescent="0.35">
      <c r="A2320">
        <v>1028</v>
      </c>
      <c r="B2320" s="1">
        <v>45358</v>
      </c>
      <c r="C2320" t="s">
        <v>32</v>
      </c>
      <c r="D2320" t="s">
        <v>23</v>
      </c>
      <c r="E2320">
        <v>9955.33</v>
      </c>
      <c r="F2320">
        <v>3</v>
      </c>
      <c r="G2320" t="s">
        <v>26</v>
      </c>
      <c r="H2320">
        <v>778.44</v>
      </c>
      <c r="I2320">
        <v>3770.96</v>
      </c>
      <c r="J2320" t="s">
        <v>17</v>
      </c>
      <c r="K2320">
        <v>0.12</v>
      </c>
      <c r="L2320" t="s">
        <v>18</v>
      </c>
      <c r="M2320" t="s">
        <v>19</v>
      </c>
    </row>
    <row r="2321" spans="1:13" x14ac:dyDescent="0.35">
      <c r="A2321">
        <v>1076</v>
      </c>
      <c r="B2321" s="1">
        <v>45358</v>
      </c>
      <c r="C2321" t="s">
        <v>29</v>
      </c>
      <c r="D2321" t="s">
        <v>30</v>
      </c>
      <c r="E2321">
        <v>84013.79</v>
      </c>
      <c r="F2321">
        <v>29</v>
      </c>
      <c r="G2321" t="s">
        <v>26</v>
      </c>
      <c r="H2321">
        <v>1384.85</v>
      </c>
      <c r="I2321">
        <v>3532.96</v>
      </c>
      <c r="J2321" t="s">
        <v>27</v>
      </c>
      <c r="K2321">
        <v>0.18</v>
      </c>
      <c r="L2321" t="s">
        <v>18</v>
      </c>
      <c r="M2321" t="s">
        <v>19</v>
      </c>
    </row>
    <row r="2322" spans="1:13" x14ac:dyDescent="0.35">
      <c r="A2322">
        <v>1058</v>
      </c>
      <c r="B2322" s="1">
        <v>45359</v>
      </c>
      <c r="C2322" t="s">
        <v>29</v>
      </c>
      <c r="D2322" t="s">
        <v>30</v>
      </c>
      <c r="E2322">
        <v>32498.5</v>
      </c>
      <c r="F2322">
        <v>8</v>
      </c>
      <c r="G2322" t="s">
        <v>16</v>
      </c>
      <c r="H2322">
        <v>2205.94</v>
      </c>
      <c r="I2322">
        <v>4464.08</v>
      </c>
      <c r="J2322" t="s">
        <v>17</v>
      </c>
      <c r="K2322">
        <v>0.09</v>
      </c>
      <c r="L2322" t="s">
        <v>18</v>
      </c>
      <c r="M2322" t="s">
        <v>19</v>
      </c>
    </row>
    <row r="2323" spans="1:13" x14ac:dyDescent="0.35">
      <c r="A2323">
        <v>1019</v>
      </c>
      <c r="B2323" s="1">
        <v>45359</v>
      </c>
      <c r="C2323" t="s">
        <v>29</v>
      </c>
      <c r="D2323" t="s">
        <v>30</v>
      </c>
      <c r="E2323">
        <v>59039.39</v>
      </c>
      <c r="F2323">
        <v>24</v>
      </c>
      <c r="G2323" t="s">
        <v>24</v>
      </c>
      <c r="H2323">
        <v>1105.51</v>
      </c>
      <c r="I2323">
        <v>3324.29</v>
      </c>
      <c r="J2323" t="s">
        <v>27</v>
      </c>
      <c r="K2323">
        <v>0.26</v>
      </c>
      <c r="L2323" t="s">
        <v>18</v>
      </c>
      <c r="M2323" t="s">
        <v>19</v>
      </c>
    </row>
    <row r="2324" spans="1:13" x14ac:dyDescent="0.35">
      <c r="A2324">
        <v>1059</v>
      </c>
      <c r="B2324" s="1">
        <v>45359</v>
      </c>
      <c r="C2324" t="s">
        <v>14</v>
      </c>
      <c r="D2324" t="s">
        <v>30</v>
      </c>
      <c r="E2324">
        <v>93592.62</v>
      </c>
      <c r="F2324">
        <v>27</v>
      </c>
      <c r="G2324" t="s">
        <v>31</v>
      </c>
      <c r="H2324">
        <v>1273.79</v>
      </c>
      <c r="I2324">
        <v>4078.11</v>
      </c>
      <c r="J2324" t="s">
        <v>17</v>
      </c>
      <c r="K2324">
        <v>0.15</v>
      </c>
      <c r="L2324" t="s">
        <v>28</v>
      </c>
      <c r="M2324" t="s">
        <v>21</v>
      </c>
    </row>
    <row r="2325" spans="1:13" x14ac:dyDescent="0.35">
      <c r="A2325">
        <v>1088</v>
      </c>
      <c r="B2325" s="1">
        <v>45359</v>
      </c>
      <c r="C2325" t="s">
        <v>32</v>
      </c>
      <c r="D2325" t="s">
        <v>15</v>
      </c>
      <c r="E2325">
        <v>125675.13</v>
      </c>
      <c r="F2325">
        <v>33</v>
      </c>
      <c r="G2325" t="s">
        <v>26</v>
      </c>
      <c r="H2325">
        <v>1550.65</v>
      </c>
      <c r="I2325">
        <v>4820.68</v>
      </c>
      <c r="J2325" t="s">
        <v>17</v>
      </c>
      <c r="K2325">
        <v>0.21</v>
      </c>
      <c r="L2325" t="s">
        <v>18</v>
      </c>
      <c r="M2325" t="s">
        <v>21</v>
      </c>
    </row>
    <row r="2326" spans="1:13" x14ac:dyDescent="0.35">
      <c r="A2326">
        <v>1033</v>
      </c>
      <c r="B2326" s="1">
        <v>45360</v>
      </c>
      <c r="C2326" t="s">
        <v>14</v>
      </c>
      <c r="D2326" t="s">
        <v>20</v>
      </c>
      <c r="E2326">
        <v>122387.44</v>
      </c>
      <c r="F2326">
        <v>43</v>
      </c>
      <c r="G2326" t="s">
        <v>16</v>
      </c>
      <c r="H2326">
        <v>311.27999999999997</v>
      </c>
      <c r="I2326">
        <v>4008.76</v>
      </c>
      <c r="J2326" t="s">
        <v>27</v>
      </c>
      <c r="K2326">
        <v>0.28999999999999998</v>
      </c>
      <c r="L2326" t="s">
        <v>18</v>
      </c>
      <c r="M2326" t="s">
        <v>19</v>
      </c>
    </row>
    <row r="2327" spans="1:13" x14ac:dyDescent="0.35">
      <c r="A2327">
        <v>1023</v>
      </c>
      <c r="B2327" s="1">
        <v>45360</v>
      </c>
      <c r="C2327" t="s">
        <v>32</v>
      </c>
      <c r="D2327" t="s">
        <v>30</v>
      </c>
      <c r="E2327">
        <v>155345.49</v>
      </c>
      <c r="F2327">
        <v>44</v>
      </c>
      <c r="G2327" t="s">
        <v>31</v>
      </c>
      <c r="H2327">
        <v>717.52</v>
      </c>
      <c r="I2327">
        <v>4836.41</v>
      </c>
      <c r="J2327" t="s">
        <v>27</v>
      </c>
      <c r="K2327">
        <v>0.27</v>
      </c>
      <c r="L2327" t="s">
        <v>28</v>
      </c>
      <c r="M2327" t="s">
        <v>19</v>
      </c>
    </row>
    <row r="2328" spans="1:13" x14ac:dyDescent="0.35">
      <c r="A2328">
        <v>1004</v>
      </c>
      <c r="B2328" s="1">
        <v>45361</v>
      </c>
      <c r="C2328" t="s">
        <v>14</v>
      </c>
      <c r="D2328" t="s">
        <v>15</v>
      </c>
      <c r="E2328">
        <v>4973.03</v>
      </c>
      <c r="F2328">
        <v>1</v>
      </c>
      <c r="G2328" t="s">
        <v>26</v>
      </c>
      <c r="H2328">
        <v>3923.8</v>
      </c>
      <c r="I2328">
        <v>5081.12</v>
      </c>
      <c r="J2328" t="s">
        <v>27</v>
      </c>
      <c r="K2328">
        <v>0.02</v>
      </c>
      <c r="L2328" t="s">
        <v>18</v>
      </c>
      <c r="M2328" t="s">
        <v>19</v>
      </c>
    </row>
    <row r="2329" spans="1:13" x14ac:dyDescent="0.35">
      <c r="A2329">
        <v>1025</v>
      </c>
      <c r="B2329" s="1">
        <v>45361</v>
      </c>
      <c r="C2329" t="s">
        <v>14</v>
      </c>
      <c r="D2329" t="s">
        <v>15</v>
      </c>
      <c r="E2329">
        <v>3343.45</v>
      </c>
      <c r="F2329">
        <v>1</v>
      </c>
      <c r="G2329" t="s">
        <v>26</v>
      </c>
      <c r="H2329">
        <v>1719.21</v>
      </c>
      <c r="I2329">
        <v>3556.86</v>
      </c>
      <c r="J2329" t="s">
        <v>27</v>
      </c>
      <c r="K2329">
        <v>0.06</v>
      </c>
      <c r="L2329" t="s">
        <v>25</v>
      </c>
      <c r="M2329" t="s">
        <v>19</v>
      </c>
    </row>
    <row r="2330" spans="1:13" x14ac:dyDescent="0.35">
      <c r="A2330">
        <v>1098</v>
      </c>
      <c r="B2330" s="1">
        <v>45361</v>
      </c>
      <c r="C2330" t="s">
        <v>33</v>
      </c>
      <c r="D2330" t="s">
        <v>23</v>
      </c>
      <c r="E2330">
        <v>24571.31</v>
      </c>
      <c r="F2330">
        <v>9</v>
      </c>
      <c r="G2330" t="s">
        <v>26</v>
      </c>
      <c r="H2330">
        <v>2385.35</v>
      </c>
      <c r="I2330">
        <v>2733.02</v>
      </c>
      <c r="J2330" t="s">
        <v>17</v>
      </c>
      <c r="K2330">
        <v>0</v>
      </c>
      <c r="L2330" t="s">
        <v>28</v>
      </c>
      <c r="M2330" t="s">
        <v>21</v>
      </c>
    </row>
    <row r="2331" spans="1:13" x14ac:dyDescent="0.35">
      <c r="A2331">
        <v>1090</v>
      </c>
      <c r="B2331" s="1">
        <v>45361</v>
      </c>
      <c r="C2331" t="s">
        <v>32</v>
      </c>
      <c r="D2331" t="s">
        <v>23</v>
      </c>
      <c r="E2331">
        <v>36612.080000000002</v>
      </c>
      <c r="F2331">
        <v>21</v>
      </c>
      <c r="G2331" t="s">
        <v>26</v>
      </c>
      <c r="H2331">
        <v>1213.4000000000001</v>
      </c>
      <c r="I2331">
        <v>1915.86</v>
      </c>
      <c r="J2331" t="s">
        <v>17</v>
      </c>
      <c r="K2331">
        <v>0.09</v>
      </c>
      <c r="L2331" t="s">
        <v>28</v>
      </c>
      <c r="M2331" t="s">
        <v>21</v>
      </c>
    </row>
    <row r="2332" spans="1:13" x14ac:dyDescent="0.35">
      <c r="A2332">
        <v>1052</v>
      </c>
      <c r="B2332" s="1">
        <v>45362</v>
      </c>
      <c r="C2332" t="s">
        <v>22</v>
      </c>
      <c r="D2332" t="s">
        <v>30</v>
      </c>
      <c r="E2332">
        <v>38055.81</v>
      </c>
      <c r="F2332">
        <v>13</v>
      </c>
      <c r="G2332" t="s">
        <v>24</v>
      </c>
      <c r="H2332">
        <v>2922.8</v>
      </c>
      <c r="I2332">
        <v>2927.37</v>
      </c>
      <c r="J2332" t="s">
        <v>17</v>
      </c>
      <c r="K2332">
        <v>0</v>
      </c>
      <c r="L2332" t="s">
        <v>28</v>
      </c>
      <c r="M2332" t="s">
        <v>19</v>
      </c>
    </row>
    <row r="2333" spans="1:13" x14ac:dyDescent="0.35">
      <c r="A2333">
        <v>1007</v>
      </c>
      <c r="B2333" s="1">
        <v>45362</v>
      </c>
      <c r="C2333" t="s">
        <v>14</v>
      </c>
      <c r="D2333" t="s">
        <v>20</v>
      </c>
      <c r="E2333">
        <v>2355.0700000000002</v>
      </c>
      <c r="F2333">
        <v>1</v>
      </c>
      <c r="G2333" t="s">
        <v>26</v>
      </c>
      <c r="H2333">
        <v>420.25</v>
      </c>
      <c r="I2333">
        <v>3226.13</v>
      </c>
      <c r="J2333" t="s">
        <v>27</v>
      </c>
      <c r="K2333">
        <v>0.27</v>
      </c>
      <c r="L2333" t="s">
        <v>18</v>
      </c>
      <c r="M2333" t="s">
        <v>19</v>
      </c>
    </row>
    <row r="2334" spans="1:13" x14ac:dyDescent="0.35">
      <c r="A2334">
        <v>1008</v>
      </c>
      <c r="B2334" s="1">
        <v>45362</v>
      </c>
      <c r="C2334" t="s">
        <v>32</v>
      </c>
      <c r="D2334" t="s">
        <v>20</v>
      </c>
      <c r="E2334">
        <v>55938.63</v>
      </c>
      <c r="F2334">
        <v>11</v>
      </c>
      <c r="G2334" t="s">
        <v>31</v>
      </c>
      <c r="H2334">
        <v>4112.54</v>
      </c>
      <c r="I2334">
        <v>5085.33</v>
      </c>
      <c r="J2334" t="s">
        <v>17</v>
      </c>
      <c r="K2334">
        <v>0</v>
      </c>
      <c r="L2334" t="s">
        <v>28</v>
      </c>
      <c r="M2334" t="s">
        <v>19</v>
      </c>
    </row>
    <row r="2335" spans="1:13" x14ac:dyDescent="0.35">
      <c r="A2335">
        <v>1088</v>
      </c>
      <c r="B2335" s="1">
        <v>45362</v>
      </c>
      <c r="C2335" t="s">
        <v>32</v>
      </c>
      <c r="D2335" t="s">
        <v>15</v>
      </c>
      <c r="E2335">
        <v>55907.63</v>
      </c>
      <c r="F2335">
        <v>14</v>
      </c>
      <c r="G2335" t="s">
        <v>26</v>
      </c>
      <c r="H2335">
        <v>1604.39</v>
      </c>
      <c r="I2335">
        <v>4074.9</v>
      </c>
      <c r="J2335" t="s">
        <v>27</v>
      </c>
      <c r="K2335">
        <v>0.02</v>
      </c>
      <c r="L2335" t="s">
        <v>28</v>
      </c>
      <c r="M2335" t="s">
        <v>19</v>
      </c>
    </row>
    <row r="2336" spans="1:13" x14ac:dyDescent="0.35">
      <c r="A2336">
        <v>1046</v>
      </c>
      <c r="B2336" s="1">
        <v>45362</v>
      </c>
      <c r="C2336" t="s">
        <v>33</v>
      </c>
      <c r="D2336" t="s">
        <v>23</v>
      </c>
      <c r="E2336">
        <v>153870.82</v>
      </c>
      <c r="F2336">
        <v>29</v>
      </c>
      <c r="G2336" t="s">
        <v>16</v>
      </c>
      <c r="H2336">
        <v>1863.82</v>
      </c>
      <c r="I2336">
        <v>5469.99</v>
      </c>
      <c r="J2336" t="s">
        <v>17</v>
      </c>
      <c r="K2336">
        <v>0.03</v>
      </c>
      <c r="L2336" t="s">
        <v>28</v>
      </c>
      <c r="M2336" t="s">
        <v>21</v>
      </c>
    </row>
    <row r="2337" spans="1:13" x14ac:dyDescent="0.35">
      <c r="A2337">
        <v>1007</v>
      </c>
      <c r="B2337" s="1">
        <v>45363</v>
      </c>
      <c r="C2337" t="s">
        <v>32</v>
      </c>
      <c r="D2337" t="s">
        <v>23</v>
      </c>
      <c r="E2337">
        <v>147339.99</v>
      </c>
      <c r="F2337">
        <v>34</v>
      </c>
      <c r="G2337" t="s">
        <v>26</v>
      </c>
      <c r="H2337">
        <v>4124.13</v>
      </c>
      <c r="I2337">
        <v>4762.12</v>
      </c>
      <c r="J2337" t="s">
        <v>17</v>
      </c>
      <c r="K2337">
        <v>0.09</v>
      </c>
      <c r="L2337" t="s">
        <v>28</v>
      </c>
      <c r="M2337" t="s">
        <v>19</v>
      </c>
    </row>
    <row r="2338" spans="1:13" x14ac:dyDescent="0.35">
      <c r="A2338">
        <v>1025</v>
      </c>
      <c r="B2338" s="1">
        <v>45363</v>
      </c>
      <c r="C2338" t="s">
        <v>22</v>
      </c>
      <c r="D2338" t="s">
        <v>15</v>
      </c>
      <c r="E2338">
        <v>24292.639999999999</v>
      </c>
      <c r="F2338">
        <v>38</v>
      </c>
      <c r="G2338" t="s">
        <v>31</v>
      </c>
      <c r="H2338">
        <v>420.92</v>
      </c>
      <c r="I2338">
        <v>799.1</v>
      </c>
      <c r="J2338" t="s">
        <v>27</v>
      </c>
      <c r="K2338">
        <v>0.2</v>
      </c>
      <c r="L2338" t="s">
        <v>18</v>
      </c>
      <c r="M2338" t="s">
        <v>19</v>
      </c>
    </row>
    <row r="2339" spans="1:13" x14ac:dyDescent="0.35">
      <c r="A2339">
        <v>1030</v>
      </c>
      <c r="B2339" s="1">
        <v>45363</v>
      </c>
      <c r="C2339" t="s">
        <v>29</v>
      </c>
      <c r="D2339" t="s">
        <v>15</v>
      </c>
      <c r="E2339">
        <v>166618.35</v>
      </c>
      <c r="F2339">
        <v>48</v>
      </c>
      <c r="G2339" t="s">
        <v>26</v>
      </c>
      <c r="H2339">
        <v>1751.88</v>
      </c>
      <c r="I2339">
        <v>4755.09</v>
      </c>
      <c r="J2339" t="s">
        <v>17</v>
      </c>
      <c r="K2339">
        <v>0.27</v>
      </c>
      <c r="L2339" t="s">
        <v>28</v>
      </c>
      <c r="M2339" t="s">
        <v>21</v>
      </c>
    </row>
    <row r="2340" spans="1:13" x14ac:dyDescent="0.35">
      <c r="A2340">
        <v>1086</v>
      </c>
      <c r="B2340" s="1">
        <v>45363</v>
      </c>
      <c r="C2340" t="s">
        <v>14</v>
      </c>
      <c r="D2340" t="s">
        <v>20</v>
      </c>
      <c r="E2340">
        <v>222346.08</v>
      </c>
      <c r="F2340">
        <v>50</v>
      </c>
      <c r="G2340" t="s">
        <v>24</v>
      </c>
      <c r="H2340">
        <v>2657.1</v>
      </c>
      <c r="I2340">
        <v>5053.32</v>
      </c>
      <c r="J2340" t="s">
        <v>17</v>
      </c>
      <c r="K2340">
        <v>0.12</v>
      </c>
      <c r="L2340" t="s">
        <v>18</v>
      </c>
      <c r="M2340" t="s">
        <v>21</v>
      </c>
    </row>
    <row r="2341" spans="1:13" x14ac:dyDescent="0.35">
      <c r="A2341">
        <v>1074</v>
      </c>
      <c r="B2341" s="1">
        <v>45363</v>
      </c>
      <c r="C2341" t="s">
        <v>22</v>
      </c>
      <c r="D2341" t="s">
        <v>30</v>
      </c>
      <c r="E2341">
        <v>160689.60999999999</v>
      </c>
      <c r="F2341">
        <v>45</v>
      </c>
      <c r="G2341" t="s">
        <v>16</v>
      </c>
      <c r="H2341">
        <v>414.07</v>
      </c>
      <c r="I2341">
        <v>4104.46</v>
      </c>
      <c r="J2341" t="s">
        <v>27</v>
      </c>
      <c r="K2341">
        <v>0.13</v>
      </c>
      <c r="L2341" t="s">
        <v>18</v>
      </c>
      <c r="M2341" t="s">
        <v>21</v>
      </c>
    </row>
    <row r="2342" spans="1:13" x14ac:dyDescent="0.35">
      <c r="A2342">
        <v>1086</v>
      </c>
      <c r="B2342" s="1">
        <v>45364</v>
      </c>
      <c r="C2342" t="s">
        <v>29</v>
      </c>
      <c r="D2342" t="s">
        <v>23</v>
      </c>
      <c r="E2342">
        <v>30142.39</v>
      </c>
      <c r="F2342">
        <v>8</v>
      </c>
      <c r="G2342" t="s">
        <v>26</v>
      </c>
      <c r="H2342">
        <v>2292.7600000000002</v>
      </c>
      <c r="I2342">
        <v>5091.62</v>
      </c>
      <c r="J2342" t="s">
        <v>27</v>
      </c>
      <c r="K2342">
        <v>0.26</v>
      </c>
      <c r="L2342" t="s">
        <v>18</v>
      </c>
      <c r="M2342" t="s">
        <v>19</v>
      </c>
    </row>
    <row r="2343" spans="1:13" x14ac:dyDescent="0.35">
      <c r="A2343">
        <v>1017</v>
      </c>
      <c r="B2343" s="1">
        <v>45364</v>
      </c>
      <c r="C2343" t="s">
        <v>29</v>
      </c>
      <c r="D2343" t="s">
        <v>15</v>
      </c>
      <c r="E2343">
        <v>119572.49</v>
      </c>
      <c r="F2343">
        <v>36</v>
      </c>
      <c r="G2343" t="s">
        <v>31</v>
      </c>
      <c r="H2343">
        <v>2035.76</v>
      </c>
      <c r="I2343">
        <v>4678.1099999999997</v>
      </c>
      <c r="J2343" t="s">
        <v>27</v>
      </c>
      <c r="K2343">
        <v>0.28999999999999998</v>
      </c>
      <c r="L2343" t="s">
        <v>25</v>
      </c>
      <c r="M2343" t="s">
        <v>21</v>
      </c>
    </row>
    <row r="2344" spans="1:13" x14ac:dyDescent="0.35">
      <c r="A2344">
        <v>1075</v>
      </c>
      <c r="B2344" s="1">
        <v>45364</v>
      </c>
      <c r="C2344" t="s">
        <v>33</v>
      </c>
      <c r="D2344" t="s">
        <v>23</v>
      </c>
      <c r="E2344">
        <v>133185.63</v>
      </c>
      <c r="F2344">
        <v>41</v>
      </c>
      <c r="G2344" t="s">
        <v>26</v>
      </c>
      <c r="H2344">
        <v>1613.68</v>
      </c>
      <c r="I2344">
        <v>3419.4</v>
      </c>
      <c r="J2344" t="s">
        <v>27</v>
      </c>
      <c r="K2344">
        <v>0.05</v>
      </c>
      <c r="L2344" t="s">
        <v>28</v>
      </c>
      <c r="M2344" t="s">
        <v>21</v>
      </c>
    </row>
    <row r="2345" spans="1:13" x14ac:dyDescent="0.35">
      <c r="A2345">
        <v>1076</v>
      </c>
      <c r="B2345" s="1">
        <v>45364</v>
      </c>
      <c r="C2345" t="s">
        <v>29</v>
      </c>
      <c r="D2345" t="s">
        <v>30</v>
      </c>
      <c r="E2345">
        <v>129551.87</v>
      </c>
      <c r="F2345">
        <v>31</v>
      </c>
      <c r="G2345" t="s">
        <v>24</v>
      </c>
      <c r="H2345">
        <v>1587.56</v>
      </c>
      <c r="I2345">
        <v>4859.41</v>
      </c>
      <c r="J2345" t="s">
        <v>17</v>
      </c>
      <c r="K2345">
        <v>0.14000000000000001</v>
      </c>
      <c r="L2345" t="s">
        <v>25</v>
      </c>
      <c r="M2345" t="s">
        <v>19</v>
      </c>
    </row>
    <row r="2346" spans="1:13" x14ac:dyDescent="0.35">
      <c r="A2346">
        <v>1077</v>
      </c>
      <c r="B2346" s="1">
        <v>45364</v>
      </c>
      <c r="C2346" t="s">
        <v>14</v>
      </c>
      <c r="D2346" t="s">
        <v>20</v>
      </c>
      <c r="E2346">
        <v>153197.54</v>
      </c>
      <c r="F2346">
        <v>43</v>
      </c>
      <c r="G2346" t="s">
        <v>26</v>
      </c>
      <c r="H2346">
        <v>525.59</v>
      </c>
      <c r="I2346">
        <v>4292.45</v>
      </c>
      <c r="J2346" t="s">
        <v>17</v>
      </c>
      <c r="K2346">
        <v>0.17</v>
      </c>
      <c r="L2346" t="s">
        <v>28</v>
      </c>
      <c r="M2346" t="s">
        <v>19</v>
      </c>
    </row>
    <row r="2347" spans="1:13" x14ac:dyDescent="0.35">
      <c r="A2347">
        <v>1094</v>
      </c>
      <c r="B2347" s="1">
        <v>45364</v>
      </c>
      <c r="C2347" t="s">
        <v>29</v>
      </c>
      <c r="D2347" t="s">
        <v>15</v>
      </c>
      <c r="E2347">
        <v>152939.93</v>
      </c>
      <c r="F2347">
        <v>42</v>
      </c>
      <c r="G2347" t="s">
        <v>16</v>
      </c>
      <c r="H2347">
        <v>293.08</v>
      </c>
      <c r="I2347">
        <v>4046.03</v>
      </c>
      <c r="J2347" t="s">
        <v>27</v>
      </c>
      <c r="K2347">
        <v>0.1</v>
      </c>
      <c r="L2347" t="s">
        <v>18</v>
      </c>
      <c r="M2347" t="s">
        <v>21</v>
      </c>
    </row>
    <row r="2348" spans="1:13" x14ac:dyDescent="0.35">
      <c r="A2348">
        <v>1077</v>
      </c>
      <c r="B2348" s="1">
        <v>45365</v>
      </c>
      <c r="C2348" t="s">
        <v>29</v>
      </c>
      <c r="D2348" t="s">
        <v>30</v>
      </c>
      <c r="E2348">
        <v>56547.88</v>
      </c>
      <c r="F2348">
        <v>30</v>
      </c>
      <c r="G2348" t="s">
        <v>31</v>
      </c>
      <c r="H2348">
        <v>529.79</v>
      </c>
      <c r="I2348">
        <v>2480.17</v>
      </c>
      <c r="J2348" t="s">
        <v>27</v>
      </c>
      <c r="K2348">
        <v>0.24</v>
      </c>
      <c r="L2348" t="s">
        <v>18</v>
      </c>
      <c r="M2348" t="s">
        <v>21</v>
      </c>
    </row>
    <row r="2349" spans="1:13" x14ac:dyDescent="0.35">
      <c r="A2349">
        <v>1065</v>
      </c>
      <c r="B2349" s="1">
        <v>45366</v>
      </c>
      <c r="C2349" t="s">
        <v>32</v>
      </c>
      <c r="D2349" t="s">
        <v>23</v>
      </c>
      <c r="E2349">
        <v>150408.76</v>
      </c>
      <c r="F2349">
        <v>32</v>
      </c>
      <c r="G2349" t="s">
        <v>16</v>
      </c>
      <c r="H2349">
        <v>4524.57</v>
      </c>
      <c r="I2349">
        <v>4862.18</v>
      </c>
      <c r="J2349" t="s">
        <v>27</v>
      </c>
      <c r="K2349">
        <v>0.03</v>
      </c>
      <c r="L2349" t="s">
        <v>28</v>
      </c>
      <c r="M2349" t="s">
        <v>19</v>
      </c>
    </row>
    <row r="2350" spans="1:13" x14ac:dyDescent="0.35">
      <c r="A2350">
        <v>1041</v>
      </c>
      <c r="B2350" s="1">
        <v>45366</v>
      </c>
      <c r="C2350" t="s">
        <v>22</v>
      </c>
      <c r="D2350" t="s">
        <v>20</v>
      </c>
      <c r="E2350">
        <v>184874.2</v>
      </c>
      <c r="F2350">
        <v>50</v>
      </c>
      <c r="G2350" t="s">
        <v>16</v>
      </c>
      <c r="H2350">
        <v>3396.07</v>
      </c>
      <c r="I2350">
        <v>4996.6000000000004</v>
      </c>
      <c r="J2350" t="s">
        <v>27</v>
      </c>
      <c r="K2350">
        <v>0.26</v>
      </c>
      <c r="L2350" t="s">
        <v>18</v>
      </c>
      <c r="M2350" t="s">
        <v>21</v>
      </c>
    </row>
    <row r="2351" spans="1:13" x14ac:dyDescent="0.35">
      <c r="A2351">
        <v>1076</v>
      </c>
      <c r="B2351" s="1">
        <v>45367</v>
      </c>
      <c r="C2351" t="s">
        <v>29</v>
      </c>
      <c r="D2351" t="s">
        <v>23</v>
      </c>
      <c r="E2351">
        <v>56539.02</v>
      </c>
      <c r="F2351">
        <v>14</v>
      </c>
      <c r="G2351" t="s">
        <v>26</v>
      </c>
      <c r="H2351">
        <v>3803.19</v>
      </c>
      <c r="I2351">
        <v>4088.59</v>
      </c>
      <c r="J2351" t="s">
        <v>27</v>
      </c>
      <c r="K2351">
        <v>0.01</v>
      </c>
      <c r="L2351" t="s">
        <v>25</v>
      </c>
      <c r="M2351" t="s">
        <v>19</v>
      </c>
    </row>
    <row r="2352" spans="1:13" x14ac:dyDescent="0.35">
      <c r="A2352">
        <v>1062</v>
      </c>
      <c r="B2352" s="1">
        <v>45367</v>
      </c>
      <c r="C2352" t="s">
        <v>29</v>
      </c>
      <c r="D2352" t="s">
        <v>30</v>
      </c>
      <c r="E2352">
        <v>40706.720000000001</v>
      </c>
      <c r="F2352">
        <v>29</v>
      </c>
      <c r="G2352" t="s">
        <v>16</v>
      </c>
      <c r="H2352">
        <v>908.02</v>
      </c>
      <c r="I2352">
        <v>1754.6</v>
      </c>
      <c r="J2352" t="s">
        <v>27</v>
      </c>
      <c r="K2352">
        <v>0.2</v>
      </c>
      <c r="L2352" t="s">
        <v>25</v>
      </c>
      <c r="M2352" t="s">
        <v>21</v>
      </c>
    </row>
    <row r="2353" spans="1:13" x14ac:dyDescent="0.35">
      <c r="A2353">
        <v>1059</v>
      </c>
      <c r="B2353" s="1">
        <v>45367</v>
      </c>
      <c r="C2353" t="s">
        <v>22</v>
      </c>
      <c r="D2353" t="s">
        <v>30</v>
      </c>
      <c r="E2353">
        <v>65783.7</v>
      </c>
      <c r="F2353">
        <v>20</v>
      </c>
      <c r="G2353" t="s">
        <v>24</v>
      </c>
      <c r="H2353">
        <v>2307.15</v>
      </c>
      <c r="I2353">
        <v>4385.58</v>
      </c>
      <c r="J2353" t="s">
        <v>17</v>
      </c>
      <c r="K2353">
        <v>0.25</v>
      </c>
      <c r="L2353" t="s">
        <v>28</v>
      </c>
      <c r="M2353" t="s">
        <v>21</v>
      </c>
    </row>
    <row r="2354" spans="1:13" x14ac:dyDescent="0.35">
      <c r="A2354">
        <v>1073</v>
      </c>
      <c r="B2354" s="1">
        <v>45367</v>
      </c>
      <c r="C2354" t="s">
        <v>22</v>
      </c>
      <c r="D2354" t="s">
        <v>23</v>
      </c>
      <c r="E2354">
        <v>28048.73</v>
      </c>
      <c r="F2354">
        <v>6</v>
      </c>
      <c r="G2354" t="s">
        <v>16</v>
      </c>
      <c r="H2354">
        <v>1344.6</v>
      </c>
      <c r="I2354">
        <v>5137.13</v>
      </c>
      <c r="J2354" t="s">
        <v>17</v>
      </c>
      <c r="K2354">
        <v>0.09</v>
      </c>
      <c r="L2354" t="s">
        <v>25</v>
      </c>
      <c r="M2354" t="s">
        <v>21</v>
      </c>
    </row>
    <row r="2355" spans="1:13" x14ac:dyDescent="0.35">
      <c r="A2355">
        <v>1024</v>
      </c>
      <c r="B2355" s="1">
        <v>45367</v>
      </c>
      <c r="C2355" t="s">
        <v>29</v>
      </c>
      <c r="D2355" t="s">
        <v>23</v>
      </c>
      <c r="E2355">
        <v>39703.79</v>
      </c>
      <c r="F2355">
        <v>12</v>
      </c>
      <c r="G2355" t="s">
        <v>26</v>
      </c>
      <c r="H2355">
        <v>777.04</v>
      </c>
      <c r="I2355">
        <v>3342.07</v>
      </c>
      <c r="J2355" t="s">
        <v>27</v>
      </c>
      <c r="K2355">
        <v>0.01</v>
      </c>
      <c r="L2355" t="s">
        <v>28</v>
      </c>
      <c r="M2355" t="s">
        <v>19</v>
      </c>
    </row>
    <row r="2356" spans="1:13" x14ac:dyDescent="0.35">
      <c r="A2356">
        <v>1024</v>
      </c>
      <c r="B2356" s="1">
        <v>45367</v>
      </c>
      <c r="C2356" t="s">
        <v>32</v>
      </c>
      <c r="D2356" t="s">
        <v>23</v>
      </c>
      <c r="E2356">
        <v>68630.759999999995</v>
      </c>
      <c r="F2356">
        <v>31</v>
      </c>
      <c r="G2356" t="s">
        <v>31</v>
      </c>
      <c r="H2356">
        <v>691.19</v>
      </c>
      <c r="I2356">
        <v>2635.59</v>
      </c>
      <c r="J2356" t="s">
        <v>27</v>
      </c>
      <c r="K2356">
        <v>0.16</v>
      </c>
      <c r="L2356" t="s">
        <v>18</v>
      </c>
      <c r="M2356" t="s">
        <v>21</v>
      </c>
    </row>
    <row r="2357" spans="1:13" x14ac:dyDescent="0.35">
      <c r="A2357">
        <v>1034</v>
      </c>
      <c r="B2357" s="1">
        <v>45367</v>
      </c>
      <c r="C2357" t="s">
        <v>22</v>
      </c>
      <c r="D2357" t="s">
        <v>30</v>
      </c>
      <c r="E2357">
        <v>60068.04</v>
      </c>
      <c r="F2357">
        <v>34</v>
      </c>
      <c r="G2357" t="s">
        <v>31</v>
      </c>
      <c r="H2357">
        <v>337.04</v>
      </c>
      <c r="I2357">
        <v>2488.3200000000002</v>
      </c>
      <c r="J2357" t="s">
        <v>17</v>
      </c>
      <c r="K2357">
        <v>0.28999999999999998</v>
      </c>
      <c r="L2357" t="s">
        <v>18</v>
      </c>
      <c r="M2357" t="s">
        <v>21</v>
      </c>
    </row>
    <row r="2358" spans="1:13" x14ac:dyDescent="0.35">
      <c r="A2358">
        <v>1099</v>
      </c>
      <c r="B2358" s="1">
        <v>45367</v>
      </c>
      <c r="C2358" t="s">
        <v>33</v>
      </c>
      <c r="D2358" t="s">
        <v>15</v>
      </c>
      <c r="E2358">
        <v>155485.34</v>
      </c>
      <c r="F2358">
        <v>31</v>
      </c>
      <c r="G2358" t="s">
        <v>16</v>
      </c>
      <c r="H2358">
        <v>1483.08</v>
      </c>
      <c r="I2358">
        <v>5451.8</v>
      </c>
      <c r="J2358" t="s">
        <v>27</v>
      </c>
      <c r="K2358">
        <v>0.08</v>
      </c>
      <c r="L2358" t="s">
        <v>25</v>
      </c>
      <c r="M2358" t="s">
        <v>19</v>
      </c>
    </row>
    <row r="2359" spans="1:13" x14ac:dyDescent="0.35">
      <c r="A2359">
        <v>1014</v>
      </c>
      <c r="B2359" s="1">
        <v>45368</v>
      </c>
      <c r="C2359" t="s">
        <v>32</v>
      </c>
      <c r="D2359" t="s">
        <v>23</v>
      </c>
      <c r="E2359">
        <v>138623.74</v>
      </c>
      <c r="F2359">
        <v>45</v>
      </c>
      <c r="G2359" t="s">
        <v>16</v>
      </c>
      <c r="H2359">
        <v>2868.63</v>
      </c>
      <c r="I2359">
        <v>3624.15</v>
      </c>
      <c r="J2359" t="s">
        <v>27</v>
      </c>
      <c r="K2359">
        <v>0.15</v>
      </c>
      <c r="L2359" t="s">
        <v>18</v>
      </c>
      <c r="M2359" t="s">
        <v>21</v>
      </c>
    </row>
    <row r="2360" spans="1:13" x14ac:dyDescent="0.35">
      <c r="A2360">
        <v>1095</v>
      </c>
      <c r="B2360" s="1">
        <v>45368</v>
      </c>
      <c r="C2360" t="s">
        <v>33</v>
      </c>
      <c r="D2360" t="s">
        <v>30</v>
      </c>
      <c r="E2360">
        <v>47997.11</v>
      </c>
      <c r="F2360">
        <v>14</v>
      </c>
      <c r="G2360" t="s">
        <v>31</v>
      </c>
      <c r="H2360">
        <v>2355.6799999999998</v>
      </c>
      <c r="I2360">
        <v>4395.34</v>
      </c>
      <c r="J2360" t="s">
        <v>17</v>
      </c>
      <c r="K2360">
        <v>0.22</v>
      </c>
      <c r="L2360" t="s">
        <v>28</v>
      </c>
      <c r="M2360" t="s">
        <v>21</v>
      </c>
    </row>
    <row r="2361" spans="1:13" x14ac:dyDescent="0.35">
      <c r="A2361">
        <v>1052</v>
      </c>
      <c r="B2361" s="1">
        <v>45368</v>
      </c>
      <c r="C2361" t="s">
        <v>29</v>
      </c>
      <c r="D2361" t="s">
        <v>30</v>
      </c>
      <c r="E2361">
        <v>132305.73000000001</v>
      </c>
      <c r="F2361">
        <v>45</v>
      </c>
      <c r="G2361" t="s">
        <v>31</v>
      </c>
      <c r="H2361">
        <v>950.78</v>
      </c>
      <c r="I2361">
        <v>3000.13</v>
      </c>
      <c r="J2361" t="s">
        <v>17</v>
      </c>
      <c r="K2361">
        <v>0.02</v>
      </c>
      <c r="L2361" t="s">
        <v>25</v>
      </c>
      <c r="M2361" t="s">
        <v>19</v>
      </c>
    </row>
    <row r="2362" spans="1:13" x14ac:dyDescent="0.35">
      <c r="A2362">
        <v>1064</v>
      </c>
      <c r="B2362" s="1">
        <v>45368</v>
      </c>
      <c r="C2362" t="s">
        <v>14</v>
      </c>
      <c r="D2362" t="s">
        <v>23</v>
      </c>
      <c r="E2362">
        <v>144635.64000000001</v>
      </c>
      <c r="F2362">
        <v>35</v>
      </c>
      <c r="G2362" t="s">
        <v>26</v>
      </c>
      <c r="H2362">
        <v>572</v>
      </c>
      <c r="I2362">
        <v>5437.43</v>
      </c>
      <c r="J2362" t="s">
        <v>17</v>
      </c>
      <c r="K2362">
        <v>0.24</v>
      </c>
      <c r="L2362" t="s">
        <v>25</v>
      </c>
      <c r="M2362" t="s">
        <v>19</v>
      </c>
    </row>
    <row r="2363" spans="1:13" x14ac:dyDescent="0.35">
      <c r="A2363">
        <v>1092</v>
      </c>
      <c r="B2363" s="1">
        <v>45369</v>
      </c>
      <c r="C2363" t="s">
        <v>14</v>
      </c>
      <c r="D2363" t="s">
        <v>30</v>
      </c>
      <c r="E2363">
        <v>4143.6400000000003</v>
      </c>
      <c r="F2363">
        <v>1</v>
      </c>
      <c r="G2363" t="s">
        <v>31</v>
      </c>
      <c r="H2363">
        <v>3219.46</v>
      </c>
      <c r="I2363">
        <v>4604.04</v>
      </c>
      <c r="J2363" t="s">
        <v>17</v>
      </c>
      <c r="K2363">
        <v>0.1</v>
      </c>
      <c r="L2363" t="s">
        <v>28</v>
      </c>
      <c r="M2363" t="s">
        <v>19</v>
      </c>
    </row>
    <row r="2364" spans="1:13" x14ac:dyDescent="0.35">
      <c r="A2364">
        <v>1018</v>
      </c>
      <c r="B2364" s="1">
        <v>45369</v>
      </c>
      <c r="C2364" t="s">
        <v>22</v>
      </c>
      <c r="D2364" t="s">
        <v>23</v>
      </c>
      <c r="E2364">
        <v>58150.18</v>
      </c>
      <c r="F2364">
        <v>14</v>
      </c>
      <c r="G2364" t="s">
        <v>26</v>
      </c>
      <c r="H2364">
        <v>3226.69</v>
      </c>
      <c r="I2364">
        <v>4466.22</v>
      </c>
      <c r="J2364" t="s">
        <v>27</v>
      </c>
      <c r="K2364">
        <v>7.0000000000000007E-2</v>
      </c>
      <c r="L2364" t="s">
        <v>25</v>
      </c>
      <c r="M2364" t="s">
        <v>21</v>
      </c>
    </row>
    <row r="2365" spans="1:13" x14ac:dyDescent="0.35">
      <c r="A2365">
        <v>1060</v>
      </c>
      <c r="B2365" s="1">
        <v>45369</v>
      </c>
      <c r="C2365" t="s">
        <v>22</v>
      </c>
      <c r="D2365" t="s">
        <v>30</v>
      </c>
      <c r="E2365">
        <v>40554.93</v>
      </c>
      <c r="F2365">
        <v>29</v>
      </c>
      <c r="G2365" t="s">
        <v>31</v>
      </c>
      <c r="H2365">
        <v>271.08</v>
      </c>
      <c r="I2365">
        <v>1997.78</v>
      </c>
      <c r="J2365" t="s">
        <v>17</v>
      </c>
      <c r="K2365">
        <v>0.3</v>
      </c>
      <c r="L2365" t="s">
        <v>25</v>
      </c>
      <c r="M2365" t="s">
        <v>19</v>
      </c>
    </row>
    <row r="2366" spans="1:13" x14ac:dyDescent="0.35">
      <c r="A2366">
        <v>1031</v>
      </c>
      <c r="B2366" s="1">
        <v>45369</v>
      </c>
      <c r="C2366" t="s">
        <v>29</v>
      </c>
      <c r="D2366" t="s">
        <v>30</v>
      </c>
      <c r="E2366">
        <v>124664.12</v>
      </c>
      <c r="F2366">
        <v>43</v>
      </c>
      <c r="G2366" t="s">
        <v>16</v>
      </c>
      <c r="H2366">
        <v>772</v>
      </c>
      <c r="I2366">
        <v>3765.15</v>
      </c>
      <c r="J2366" t="s">
        <v>27</v>
      </c>
      <c r="K2366">
        <v>0.23</v>
      </c>
      <c r="L2366" t="s">
        <v>25</v>
      </c>
      <c r="M2366" t="s">
        <v>21</v>
      </c>
    </row>
    <row r="2367" spans="1:13" x14ac:dyDescent="0.35">
      <c r="A2367">
        <v>1076</v>
      </c>
      <c r="B2367" s="1">
        <v>45370</v>
      </c>
      <c r="C2367" t="s">
        <v>22</v>
      </c>
      <c r="D2367" t="s">
        <v>15</v>
      </c>
      <c r="E2367">
        <v>10275.19</v>
      </c>
      <c r="F2367">
        <v>3</v>
      </c>
      <c r="G2367" t="s">
        <v>31</v>
      </c>
      <c r="H2367">
        <v>1454.71</v>
      </c>
      <c r="I2367">
        <v>4281.33</v>
      </c>
      <c r="J2367" t="s">
        <v>17</v>
      </c>
      <c r="K2367">
        <v>0.2</v>
      </c>
      <c r="L2367" t="s">
        <v>25</v>
      </c>
      <c r="M2367" t="s">
        <v>19</v>
      </c>
    </row>
    <row r="2368" spans="1:13" x14ac:dyDescent="0.35">
      <c r="A2368">
        <v>1048</v>
      </c>
      <c r="B2368" s="1">
        <v>45370</v>
      </c>
      <c r="C2368" t="s">
        <v>22</v>
      </c>
      <c r="D2368" t="s">
        <v>30</v>
      </c>
      <c r="E2368">
        <v>31755.48</v>
      </c>
      <c r="F2368">
        <v>9</v>
      </c>
      <c r="G2368" t="s">
        <v>24</v>
      </c>
      <c r="H2368">
        <v>2406.52</v>
      </c>
      <c r="I2368">
        <v>4009.53</v>
      </c>
      <c r="J2368" t="s">
        <v>27</v>
      </c>
      <c r="K2368">
        <v>0.12</v>
      </c>
      <c r="L2368" t="s">
        <v>25</v>
      </c>
      <c r="M2368" t="s">
        <v>21</v>
      </c>
    </row>
    <row r="2369" spans="1:13" x14ac:dyDescent="0.35">
      <c r="A2369">
        <v>1081</v>
      </c>
      <c r="B2369" s="1">
        <v>45370</v>
      </c>
      <c r="C2369" t="s">
        <v>33</v>
      </c>
      <c r="D2369" t="s">
        <v>15</v>
      </c>
      <c r="E2369">
        <v>28162.5</v>
      </c>
      <c r="F2369">
        <v>8</v>
      </c>
      <c r="G2369" t="s">
        <v>16</v>
      </c>
      <c r="H2369">
        <v>926.69</v>
      </c>
      <c r="I2369">
        <v>4693.75</v>
      </c>
      <c r="J2369" t="s">
        <v>17</v>
      </c>
      <c r="K2369">
        <v>0.25</v>
      </c>
      <c r="L2369" t="s">
        <v>25</v>
      </c>
      <c r="M2369" t="s">
        <v>19</v>
      </c>
    </row>
    <row r="2370" spans="1:13" x14ac:dyDescent="0.35">
      <c r="A2370">
        <v>1022</v>
      </c>
      <c r="B2370" s="1">
        <v>45370</v>
      </c>
      <c r="C2370" t="s">
        <v>32</v>
      </c>
      <c r="D2370" t="s">
        <v>30</v>
      </c>
      <c r="E2370">
        <v>47250.65</v>
      </c>
      <c r="F2370">
        <v>20</v>
      </c>
      <c r="G2370" t="s">
        <v>16</v>
      </c>
      <c r="H2370">
        <v>1125.3599999999999</v>
      </c>
      <c r="I2370">
        <v>2567.9699999999998</v>
      </c>
      <c r="J2370" t="s">
        <v>27</v>
      </c>
      <c r="K2370">
        <v>0.08</v>
      </c>
      <c r="L2370" t="s">
        <v>25</v>
      </c>
      <c r="M2370" t="s">
        <v>21</v>
      </c>
    </row>
    <row r="2371" spans="1:13" x14ac:dyDescent="0.35">
      <c r="A2371">
        <v>1032</v>
      </c>
      <c r="B2371" s="1">
        <v>45370</v>
      </c>
      <c r="C2371" t="s">
        <v>32</v>
      </c>
      <c r="D2371" t="s">
        <v>15</v>
      </c>
      <c r="E2371">
        <v>87258.75</v>
      </c>
      <c r="F2371">
        <v>25</v>
      </c>
      <c r="G2371" t="s">
        <v>16</v>
      </c>
      <c r="H2371">
        <v>2414.54</v>
      </c>
      <c r="I2371">
        <v>4653.8</v>
      </c>
      <c r="J2371" t="s">
        <v>17</v>
      </c>
      <c r="K2371">
        <v>0.25</v>
      </c>
      <c r="L2371" t="s">
        <v>28</v>
      </c>
      <c r="M2371" t="s">
        <v>19</v>
      </c>
    </row>
    <row r="2372" spans="1:13" x14ac:dyDescent="0.35">
      <c r="A2372">
        <v>1040</v>
      </c>
      <c r="B2372" s="1">
        <v>45370</v>
      </c>
      <c r="C2372" t="s">
        <v>14</v>
      </c>
      <c r="D2372" t="s">
        <v>30</v>
      </c>
      <c r="E2372">
        <v>93300.88</v>
      </c>
      <c r="F2372">
        <v>42</v>
      </c>
      <c r="G2372" t="s">
        <v>31</v>
      </c>
      <c r="H2372">
        <v>1466.62</v>
      </c>
      <c r="I2372">
        <v>2922.96</v>
      </c>
      <c r="J2372" t="s">
        <v>27</v>
      </c>
      <c r="K2372">
        <v>0.24</v>
      </c>
      <c r="L2372" t="s">
        <v>28</v>
      </c>
      <c r="M2372" t="s">
        <v>19</v>
      </c>
    </row>
    <row r="2373" spans="1:13" x14ac:dyDescent="0.35">
      <c r="A2373">
        <v>1071</v>
      </c>
      <c r="B2373" s="1">
        <v>45370</v>
      </c>
      <c r="C2373" t="s">
        <v>14</v>
      </c>
      <c r="D2373" t="s">
        <v>30</v>
      </c>
      <c r="E2373">
        <v>36650.410000000003</v>
      </c>
      <c r="F2373">
        <v>19</v>
      </c>
      <c r="G2373" t="s">
        <v>31</v>
      </c>
      <c r="H2373">
        <v>148.97</v>
      </c>
      <c r="I2373">
        <v>2074.16</v>
      </c>
      <c r="J2373" t="s">
        <v>27</v>
      </c>
      <c r="K2373">
        <v>7.0000000000000007E-2</v>
      </c>
      <c r="L2373" t="s">
        <v>28</v>
      </c>
      <c r="M2373" t="s">
        <v>19</v>
      </c>
    </row>
    <row r="2374" spans="1:13" x14ac:dyDescent="0.35">
      <c r="A2374">
        <v>1081</v>
      </c>
      <c r="B2374" s="1">
        <v>45370</v>
      </c>
      <c r="C2374" t="s">
        <v>33</v>
      </c>
      <c r="D2374" t="s">
        <v>23</v>
      </c>
      <c r="E2374">
        <v>167174.39999999999</v>
      </c>
      <c r="F2374">
        <v>36</v>
      </c>
      <c r="G2374" t="s">
        <v>24</v>
      </c>
      <c r="H2374">
        <v>2645.7</v>
      </c>
      <c r="I2374">
        <v>5399.69</v>
      </c>
      <c r="J2374" t="s">
        <v>17</v>
      </c>
      <c r="K2374">
        <v>0.14000000000000001</v>
      </c>
      <c r="L2374" t="s">
        <v>25</v>
      </c>
      <c r="M2374" t="s">
        <v>21</v>
      </c>
    </row>
    <row r="2375" spans="1:13" x14ac:dyDescent="0.35">
      <c r="A2375">
        <v>1052</v>
      </c>
      <c r="B2375" s="1">
        <v>45371</v>
      </c>
      <c r="C2375" t="s">
        <v>14</v>
      </c>
      <c r="D2375" t="s">
        <v>23</v>
      </c>
      <c r="E2375">
        <v>51825.5</v>
      </c>
      <c r="F2375">
        <v>35</v>
      </c>
      <c r="G2375" t="s">
        <v>24</v>
      </c>
      <c r="H2375">
        <v>1424.26</v>
      </c>
      <c r="I2375">
        <v>1898.37</v>
      </c>
      <c r="J2375" t="s">
        <v>27</v>
      </c>
      <c r="K2375">
        <v>0.22</v>
      </c>
      <c r="L2375" t="s">
        <v>25</v>
      </c>
      <c r="M2375" t="s">
        <v>21</v>
      </c>
    </row>
    <row r="2376" spans="1:13" x14ac:dyDescent="0.35">
      <c r="A2376">
        <v>1029</v>
      </c>
      <c r="B2376" s="1">
        <v>45371</v>
      </c>
      <c r="C2376" t="s">
        <v>22</v>
      </c>
      <c r="D2376" t="s">
        <v>20</v>
      </c>
      <c r="E2376">
        <v>33627.79</v>
      </c>
      <c r="F2376">
        <v>21</v>
      </c>
      <c r="G2376" t="s">
        <v>26</v>
      </c>
      <c r="H2376">
        <v>749.19</v>
      </c>
      <c r="I2376">
        <v>1883.91</v>
      </c>
      <c r="J2376" t="s">
        <v>27</v>
      </c>
      <c r="K2376">
        <v>0.15</v>
      </c>
      <c r="L2376" t="s">
        <v>28</v>
      </c>
      <c r="M2376" t="s">
        <v>19</v>
      </c>
    </row>
    <row r="2377" spans="1:13" x14ac:dyDescent="0.35">
      <c r="A2377">
        <v>1065</v>
      </c>
      <c r="B2377" s="1">
        <v>45371</v>
      </c>
      <c r="C2377" t="s">
        <v>33</v>
      </c>
      <c r="D2377" t="s">
        <v>20</v>
      </c>
      <c r="E2377">
        <v>94053.06</v>
      </c>
      <c r="F2377">
        <v>24</v>
      </c>
      <c r="G2377" t="s">
        <v>31</v>
      </c>
      <c r="H2377">
        <v>1608.87</v>
      </c>
      <c r="I2377">
        <v>5225.17</v>
      </c>
      <c r="J2377" t="s">
        <v>27</v>
      </c>
      <c r="K2377">
        <v>0.25</v>
      </c>
      <c r="L2377" t="s">
        <v>28</v>
      </c>
      <c r="M2377" t="s">
        <v>21</v>
      </c>
    </row>
    <row r="2378" spans="1:13" x14ac:dyDescent="0.35">
      <c r="A2378">
        <v>1045</v>
      </c>
      <c r="B2378" s="1">
        <v>45372</v>
      </c>
      <c r="C2378" t="s">
        <v>22</v>
      </c>
      <c r="D2378" t="s">
        <v>20</v>
      </c>
      <c r="E2378">
        <v>11676.8</v>
      </c>
      <c r="F2378">
        <v>3</v>
      </c>
      <c r="G2378" t="s">
        <v>16</v>
      </c>
      <c r="H2378">
        <v>1769.43</v>
      </c>
      <c r="I2378">
        <v>4633.6499999999996</v>
      </c>
      <c r="J2378" t="s">
        <v>17</v>
      </c>
      <c r="K2378">
        <v>0.16</v>
      </c>
      <c r="L2378" t="s">
        <v>25</v>
      </c>
      <c r="M2378" t="s">
        <v>21</v>
      </c>
    </row>
    <row r="2379" spans="1:13" x14ac:dyDescent="0.35">
      <c r="A2379">
        <v>1038</v>
      </c>
      <c r="B2379" s="1">
        <v>45372</v>
      </c>
      <c r="C2379" t="s">
        <v>14</v>
      </c>
      <c r="D2379" t="s">
        <v>30</v>
      </c>
      <c r="E2379">
        <v>75836.3</v>
      </c>
      <c r="F2379">
        <v>21</v>
      </c>
      <c r="G2379" t="s">
        <v>26</v>
      </c>
      <c r="H2379">
        <v>1926.9</v>
      </c>
      <c r="I2379">
        <v>4299.1099999999997</v>
      </c>
      <c r="J2379" t="s">
        <v>17</v>
      </c>
      <c r="K2379">
        <v>0.16</v>
      </c>
      <c r="L2379" t="s">
        <v>28</v>
      </c>
      <c r="M2379" t="s">
        <v>21</v>
      </c>
    </row>
    <row r="2380" spans="1:13" x14ac:dyDescent="0.35">
      <c r="A2380">
        <v>1042</v>
      </c>
      <c r="B2380" s="1">
        <v>45373</v>
      </c>
      <c r="C2380" t="s">
        <v>33</v>
      </c>
      <c r="D2380" t="s">
        <v>30</v>
      </c>
      <c r="E2380">
        <v>18604.72</v>
      </c>
      <c r="F2380">
        <v>5</v>
      </c>
      <c r="G2380" t="s">
        <v>26</v>
      </c>
      <c r="H2380">
        <v>3610.71</v>
      </c>
      <c r="I2380">
        <v>4088.95</v>
      </c>
      <c r="J2380" t="s">
        <v>27</v>
      </c>
      <c r="K2380">
        <v>0.09</v>
      </c>
      <c r="L2380" t="s">
        <v>25</v>
      </c>
      <c r="M2380" t="s">
        <v>19</v>
      </c>
    </row>
    <row r="2381" spans="1:13" x14ac:dyDescent="0.35">
      <c r="A2381">
        <v>1043</v>
      </c>
      <c r="B2381" s="1">
        <v>45373</v>
      </c>
      <c r="C2381" t="s">
        <v>33</v>
      </c>
      <c r="D2381" t="s">
        <v>15</v>
      </c>
      <c r="E2381">
        <v>2917.49</v>
      </c>
      <c r="F2381">
        <v>5</v>
      </c>
      <c r="G2381" t="s">
        <v>16</v>
      </c>
      <c r="H2381">
        <v>472.74</v>
      </c>
      <c r="I2381">
        <v>788.51</v>
      </c>
      <c r="J2381" t="s">
        <v>27</v>
      </c>
      <c r="K2381">
        <v>0.26</v>
      </c>
      <c r="L2381" t="s">
        <v>25</v>
      </c>
      <c r="M2381" t="s">
        <v>19</v>
      </c>
    </row>
    <row r="2382" spans="1:13" x14ac:dyDescent="0.35">
      <c r="A2382">
        <v>1093</v>
      </c>
      <c r="B2382" s="1">
        <v>45373</v>
      </c>
      <c r="C2382" t="s">
        <v>29</v>
      </c>
      <c r="D2382" t="s">
        <v>30</v>
      </c>
      <c r="E2382">
        <v>63100.79</v>
      </c>
      <c r="F2382">
        <v>21</v>
      </c>
      <c r="G2382" t="s">
        <v>24</v>
      </c>
      <c r="H2382">
        <v>2963.59</v>
      </c>
      <c r="I2382">
        <v>3131.37</v>
      </c>
      <c r="J2382" t="s">
        <v>17</v>
      </c>
      <c r="K2382">
        <v>0.04</v>
      </c>
      <c r="L2382" t="s">
        <v>25</v>
      </c>
      <c r="M2382" t="s">
        <v>19</v>
      </c>
    </row>
    <row r="2383" spans="1:13" x14ac:dyDescent="0.35">
      <c r="A2383">
        <v>1001</v>
      </c>
      <c r="B2383" s="1">
        <v>45373</v>
      </c>
      <c r="C2383" t="s">
        <v>14</v>
      </c>
      <c r="D2383" t="s">
        <v>23</v>
      </c>
      <c r="E2383">
        <v>18117.55</v>
      </c>
      <c r="F2383">
        <v>5</v>
      </c>
      <c r="G2383" t="s">
        <v>31</v>
      </c>
      <c r="H2383">
        <v>1179.23</v>
      </c>
      <c r="I2383">
        <v>4071.36</v>
      </c>
      <c r="J2383" t="s">
        <v>27</v>
      </c>
      <c r="K2383">
        <v>0.11</v>
      </c>
      <c r="L2383" t="s">
        <v>25</v>
      </c>
      <c r="M2383" t="s">
        <v>19</v>
      </c>
    </row>
    <row r="2384" spans="1:13" x14ac:dyDescent="0.35">
      <c r="A2384">
        <v>1019</v>
      </c>
      <c r="B2384" s="1">
        <v>45374</v>
      </c>
      <c r="C2384" t="s">
        <v>29</v>
      </c>
      <c r="D2384" t="s">
        <v>20</v>
      </c>
      <c r="E2384">
        <v>60105.89</v>
      </c>
      <c r="F2384">
        <v>37</v>
      </c>
      <c r="G2384" t="s">
        <v>16</v>
      </c>
      <c r="H2384">
        <v>1352.82</v>
      </c>
      <c r="I2384">
        <v>1694.68</v>
      </c>
      <c r="J2384" t="s">
        <v>27</v>
      </c>
      <c r="K2384">
        <v>0.04</v>
      </c>
      <c r="L2384" t="s">
        <v>25</v>
      </c>
      <c r="M2384" t="s">
        <v>19</v>
      </c>
    </row>
    <row r="2385" spans="1:13" x14ac:dyDescent="0.35">
      <c r="A2385">
        <v>1056</v>
      </c>
      <c r="B2385" s="1">
        <v>45374</v>
      </c>
      <c r="C2385" t="s">
        <v>14</v>
      </c>
      <c r="D2385" t="s">
        <v>23</v>
      </c>
      <c r="E2385">
        <v>102401.04</v>
      </c>
      <c r="F2385">
        <v>31</v>
      </c>
      <c r="G2385" t="s">
        <v>26</v>
      </c>
      <c r="H2385">
        <v>560.54</v>
      </c>
      <c r="I2385">
        <v>4587.8599999999997</v>
      </c>
      <c r="J2385" t="s">
        <v>27</v>
      </c>
      <c r="K2385">
        <v>0.28000000000000003</v>
      </c>
      <c r="L2385" t="s">
        <v>18</v>
      </c>
      <c r="M2385" t="s">
        <v>19</v>
      </c>
    </row>
    <row r="2386" spans="1:13" x14ac:dyDescent="0.35">
      <c r="A2386">
        <v>1082</v>
      </c>
      <c r="B2386" s="1">
        <v>45374</v>
      </c>
      <c r="C2386" t="s">
        <v>22</v>
      </c>
      <c r="D2386" t="s">
        <v>30</v>
      </c>
      <c r="E2386">
        <v>156363.82999999999</v>
      </c>
      <c r="F2386">
        <v>42</v>
      </c>
      <c r="G2386" t="s">
        <v>26</v>
      </c>
      <c r="H2386">
        <v>1503.16</v>
      </c>
      <c r="I2386">
        <v>4485.4799999999996</v>
      </c>
      <c r="J2386" t="s">
        <v>17</v>
      </c>
      <c r="K2386">
        <v>0.17</v>
      </c>
      <c r="L2386" t="s">
        <v>18</v>
      </c>
      <c r="M2386" t="s">
        <v>19</v>
      </c>
    </row>
    <row r="2387" spans="1:13" x14ac:dyDescent="0.35">
      <c r="A2387">
        <v>1005</v>
      </c>
      <c r="B2387" s="1">
        <v>45375</v>
      </c>
      <c r="C2387" t="s">
        <v>33</v>
      </c>
      <c r="D2387" t="s">
        <v>15</v>
      </c>
      <c r="E2387">
        <v>75989.84</v>
      </c>
      <c r="F2387">
        <v>27</v>
      </c>
      <c r="G2387" t="s">
        <v>26</v>
      </c>
      <c r="H2387">
        <v>2477.12</v>
      </c>
      <c r="I2387">
        <v>3390.89</v>
      </c>
      <c r="J2387" t="s">
        <v>17</v>
      </c>
      <c r="K2387">
        <v>0.17</v>
      </c>
      <c r="L2387" t="s">
        <v>18</v>
      </c>
      <c r="M2387" t="s">
        <v>21</v>
      </c>
    </row>
    <row r="2388" spans="1:13" x14ac:dyDescent="0.35">
      <c r="A2388">
        <v>1004</v>
      </c>
      <c r="B2388" s="1">
        <v>45375</v>
      </c>
      <c r="C2388" t="s">
        <v>33</v>
      </c>
      <c r="D2388" t="s">
        <v>15</v>
      </c>
      <c r="E2388">
        <v>89413.99</v>
      </c>
      <c r="F2388">
        <v>44</v>
      </c>
      <c r="G2388" t="s">
        <v>24</v>
      </c>
      <c r="H2388">
        <v>1699.26</v>
      </c>
      <c r="I2388">
        <v>2746.13</v>
      </c>
      <c r="J2388" t="s">
        <v>17</v>
      </c>
      <c r="K2388">
        <v>0.26</v>
      </c>
      <c r="L2388" t="s">
        <v>25</v>
      </c>
      <c r="M2388" t="s">
        <v>19</v>
      </c>
    </row>
    <row r="2389" spans="1:13" x14ac:dyDescent="0.35">
      <c r="A2389">
        <v>1028</v>
      </c>
      <c r="B2389" s="1">
        <v>45375</v>
      </c>
      <c r="C2389" t="s">
        <v>33</v>
      </c>
      <c r="D2389" t="s">
        <v>15</v>
      </c>
      <c r="E2389">
        <v>87970.96</v>
      </c>
      <c r="F2389">
        <v>23</v>
      </c>
      <c r="G2389" t="s">
        <v>16</v>
      </c>
      <c r="H2389">
        <v>1737.66</v>
      </c>
      <c r="I2389">
        <v>4664.42</v>
      </c>
      <c r="J2389" t="s">
        <v>17</v>
      </c>
      <c r="K2389">
        <v>0.18</v>
      </c>
      <c r="L2389" t="s">
        <v>28</v>
      </c>
      <c r="M2389" t="s">
        <v>21</v>
      </c>
    </row>
    <row r="2390" spans="1:13" x14ac:dyDescent="0.35">
      <c r="A2390">
        <v>1076</v>
      </c>
      <c r="B2390" s="1">
        <v>45375</v>
      </c>
      <c r="C2390" t="s">
        <v>29</v>
      </c>
      <c r="D2390" t="s">
        <v>15</v>
      </c>
      <c r="E2390">
        <v>213836.58</v>
      </c>
      <c r="F2390">
        <v>41</v>
      </c>
      <c r="G2390" t="s">
        <v>31</v>
      </c>
      <c r="H2390">
        <v>2893.7</v>
      </c>
      <c r="I2390">
        <v>5432.84</v>
      </c>
      <c r="J2390" t="s">
        <v>17</v>
      </c>
      <c r="K2390">
        <v>0.04</v>
      </c>
      <c r="L2390" t="s">
        <v>18</v>
      </c>
      <c r="M2390" t="s">
        <v>19</v>
      </c>
    </row>
    <row r="2391" spans="1:13" x14ac:dyDescent="0.35">
      <c r="A2391">
        <v>1084</v>
      </c>
      <c r="B2391" s="1">
        <v>45376</v>
      </c>
      <c r="C2391" t="s">
        <v>32</v>
      </c>
      <c r="D2391" t="s">
        <v>30</v>
      </c>
      <c r="E2391">
        <v>29287.439999999999</v>
      </c>
      <c r="F2391">
        <v>7</v>
      </c>
      <c r="G2391" t="s">
        <v>24</v>
      </c>
      <c r="H2391">
        <v>904.79</v>
      </c>
      <c r="I2391">
        <v>4313.32</v>
      </c>
      <c r="J2391" t="s">
        <v>27</v>
      </c>
      <c r="K2391">
        <v>0.03</v>
      </c>
      <c r="L2391" t="s">
        <v>28</v>
      </c>
      <c r="M2391" t="s">
        <v>19</v>
      </c>
    </row>
    <row r="2392" spans="1:13" x14ac:dyDescent="0.35">
      <c r="A2392">
        <v>1067</v>
      </c>
      <c r="B2392" s="1">
        <v>45376</v>
      </c>
      <c r="C2392" t="s">
        <v>22</v>
      </c>
      <c r="D2392" t="s">
        <v>30</v>
      </c>
      <c r="E2392">
        <v>117991.09</v>
      </c>
      <c r="F2392">
        <v>26</v>
      </c>
      <c r="G2392" t="s">
        <v>16</v>
      </c>
      <c r="H2392">
        <v>3371.65</v>
      </c>
      <c r="I2392">
        <v>5099.01</v>
      </c>
      <c r="J2392" t="s">
        <v>27</v>
      </c>
      <c r="K2392">
        <v>0.11</v>
      </c>
      <c r="L2392" t="s">
        <v>28</v>
      </c>
      <c r="M2392" t="s">
        <v>19</v>
      </c>
    </row>
    <row r="2393" spans="1:13" x14ac:dyDescent="0.35">
      <c r="A2393">
        <v>1026</v>
      </c>
      <c r="B2393" s="1">
        <v>45376</v>
      </c>
      <c r="C2393" t="s">
        <v>32</v>
      </c>
      <c r="D2393" t="s">
        <v>20</v>
      </c>
      <c r="E2393">
        <v>75927.839999999997</v>
      </c>
      <c r="F2393">
        <v>17</v>
      </c>
      <c r="G2393" t="s">
        <v>26</v>
      </c>
      <c r="H2393">
        <v>966.58</v>
      </c>
      <c r="I2393">
        <v>4908.07</v>
      </c>
      <c r="J2393" t="s">
        <v>17</v>
      </c>
      <c r="K2393">
        <v>0.09</v>
      </c>
      <c r="L2393" t="s">
        <v>25</v>
      </c>
      <c r="M2393" t="s">
        <v>19</v>
      </c>
    </row>
    <row r="2394" spans="1:13" x14ac:dyDescent="0.35">
      <c r="A2394">
        <v>1096</v>
      </c>
      <c r="B2394" s="1">
        <v>45376</v>
      </c>
      <c r="C2394" t="s">
        <v>22</v>
      </c>
      <c r="D2394" t="s">
        <v>23</v>
      </c>
      <c r="E2394">
        <v>69753.02</v>
      </c>
      <c r="F2394">
        <v>38</v>
      </c>
      <c r="G2394" t="s">
        <v>16</v>
      </c>
      <c r="H2394">
        <v>147.33000000000001</v>
      </c>
      <c r="I2394">
        <v>2266.1799999999998</v>
      </c>
      <c r="J2394" t="s">
        <v>27</v>
      </c>
      <c r="K2394">
        <v>0.19</v>
      </c>
      <c r="L2394" t="s">
        <v>28</v>
      </c>
      <c r="M2394" t="s">
        <v>21</v>
      </c>
    </row>
    <row r="2395" spans="1:13" x14ac:dyDescent="0.35">
      <c r="A2395">
        <v>1061</v>
      </c>
      <c r="B2395" s="1">
        <v>45376</v>
      </c>
      <c r="C2395" t="s">
        <v>29</v>
      </c>
      <c r="D2395" t="s">
        <v>30</v>
      </c>
      <c r="E2395">
        <v>188505.24</v>
      </c>
      <c r="F2395">
        <v>49</v>
      </c>
      <c r="G2395" t="s">
        <v>16</v>
      </c>
      <c r="H2395">
        <v>2291.12</v>
      </c>
      <c r="I2395">
        <v>4932.1099999999997</v>
      </c>
      <c r="J2395" t="s">
        <v>27</v>
      </c>
      <c r="K2395">
        <v>0.22</v>
      </c>
      <c r="L2395" t="s">
        <v>28</v>
      </c>
      <c r="M2395" t="s">
        <v>19</v>
      </c>
    </row>
    <row r="2396" spans="1:13" x14ac:dyDescent="0.35">
      <c r="A2396">
        <v>1097</v>
      </c>
      <c r="B2396" s="1">
        <v>45376</v>
      </c>
      <c r="C2396" t="s">
        <v>33</v>
      </c>
      <c r="D2396" t="s">
        <v>30</v>
      </c>
      <c r="E2396">
        <v>105505.79</v>
      </c>
      <c r="F2396">
        <v>33</v>
      </c>
      <c r="G2396" t="s">
        <v>24</v>
      </c>
      <c r="H2396">
        <v>678.92</v>
      </c>
      <c r="I2396">
        <v>4206.7700000000004</v>
      </c>
      <c r="J2396" t="s">
        <v>27</v>
      </c>
      <c r="K2396">
        <v>0.24</v>
      </c>
      <c r="L2396" t="s">
        <v>28</v>
      </c>
      <c r="M2396" t="s">
        <v>21</v>
      </c>
    </row>
    <row r="2397" spans="1:13" x14ac:dyDescent="0.35">
      <c r="A2397">
        <v>1081</v>
      </c>
      <c r="B2397" s="1">
        <v>45377</v>
      </c>
      <c r="C2397" t="s">
        <v>29</v>
      </c>
      <c r="D2397" t="s">
        <v>15</v>
      </c>
      <c r="E2397">
        <v>9982.85</v>
      </c>
      <c r="F2397">
        <v>4</v>
      </c>
      <c r="G2397" t="s">
        <v>24</v>
      </c>
      <c r="H2397">
        <v>2117.9499999999998</v>
      </c>
      <c r="I2397">
        <v>3159.13</v>
      </c>
      <c r="J2397" t="s">
        <v>27</v>
      </c>
      <c r="K2397">
        <v>0.21</v>
      </c>
      <c r="L2397" t="s">
        <v>25</v>
      </c>
      <c r="M2397" t="s">
        <v>21</v>
      </c>
    </row>
    <row r="2398" spans="1:13" x14ac:dyDescent="0.35">
      <c r="A2398">
        <v>1010</v>
      </c>
      <c r="B2398" s="1">
        <v>45377</v>
      </c>
      <c r="C2398" t="s">
        <v>32</v>
      </c>
      <c r="D2398" t="s">
        <v>23</v>
      </c>
      <c r="E2398">
        <v>157513.12</v>
      </c>
      <c r="F2398">
        <v>49</v>
      </c>
      <c r="G2398" t="s">
        <v>16</v>
      </c>
      <c r="H2398">
        <v>2752.24</v>
      </c>
      <c r="I2398">
        <v>4527.54</v>
      </c>
      <c r="J2398" t="s">
        <v>17</v>
      </c>
      <c r="K2398">
        <v>0.28999999999999998</v>
      </c>
      <c r="L2398" t="s">
        <v>28</v>
      </c>
      <c r="M2398" t="s">
        <v>21</v>
      </c>
    </row>
    <row r="2399" spans="1:13" x14ac:dyDescent="0.35">
      <c r="A2399">
        <v>1054</v>
      </c>
      <c r="B2399" s="1">
        <v>45377</v>
      </c>
      <c r="C2399" t="s">
        <v>32</v>
      </c>
      <c r="D2399" t="s">
        <v>30</v>
      </c>
      <c r="E2399">
        <v>130029.71</v>
      </c>
      <c r="F2399">
        <v>42</v>
      </c>
      <c r="G2399" t="s">
        <v>16</v>
      </c>
      <c r="H2399">
        <v>1499.32</v>
      </c>
      <c r="I2399">
        <v>4183.71</v>
      </c>
      <c r="J2399" t="s">
        <v>27</v>
      </c>
      <c r="K2399">
        <v>0.26</v>
      </c>
      <c r="L2399" t="s">
        <v>18</v>
      </c>
      <c r="M2399" t="s">
        <v>19</v>
      </c>
    </row>
    <row r="2400" spans="1:13" x14ac:dyDescent="0.35">
      <c r="A2400">
        <v>1061</v>
      </c>
      <c r="B2400" s="1">
        <v>45378</v>
      </c>
      <c r="C2400" t="s">
        <v>22</v>
      </c>
      <c r="D2400" t="s">
        <v>20</v>
      </c>
      <c r="E2400">
        <v>1442.44</v>
      </c>
      <c r="F2400">
        <v>1</v>
      </c>
      <c r="G2400" t="s">
        <v>31</v>
      </c>
      <c r="H2400">
        <v>414.25</v>
      </c>
      <c r="I2400">
        <v>1502.54</v>
      </c>
      <c r="J2400" t="s">
        <v>27</v>
      </c>
      <c r="K2400">
        <v>0.04</v>
      </c>
      <c r="L2400" t="s">
        <v>25</v>
      </c>
      <c r="M2400" t="s">
        <v>21</v>
      </c>
    </row>
    <row r="2401" spans="1:13" x14ac:dyDescent="0.35">
      <c r="A2401">
        <v>1020</v>
      </c>
      <c r="B2401" s="1">
        <v>45378</v>
      </c>
      <c r="C2401" t="s">
        <v>29</v>
      </c>
      <c r="D2401" t="s">
        <v>15</v>
      </c>
      <c r="E2401">
        <v>50673.33</v>
      </c>
      <c r="F2401">
        <v>23</v>
      </c>
      <c r="G2401" t="s">
        <v>31</v>
      </c>
      <c r="H2401">
        <v>2007.1</v>
      </c>
      <c r="I2401">
        <v>2245.0700000000002</v>
      </c>
      <c r="J2401" t="s">
        <v>27</v>
      </c>
      <c r="K2401">
        <v>0.02</v>
      </c>
      <c r="L2401" t="s">
        <v>28</v>
      </c>
      <c r="M2401" t="s">
        <v>21</v>
      </c>
    </row>
    <row r="2402" spans="1:13" x14ac:dyDescent="0.35">
      <c r="A2402">
        <v>1028</v>
      </c>
      <c r="B2402" s="1">
        <v>45378</v>
      </c>
      <c r="C2402" t="s">
        <v>29</v>
      </c>
      <c r="D2402" t="s">
        <v>20</v>
      </c>
      <c r="E2402">
        <v>12682.93</v>
      </c>
      <c r="F2402">
        <v>8</v>
      </c>
      <c r="G2402" t="s">
        <v>26</v>
      </c>
      <c r="H2402">
        <v>964.05</v>
      </c>
      <c r="I2402">
        <v>1822.26</v>
      </c>
      <c r="J2402" t="s">
        <v>27</v>
      </c>
      <c r="K2402">
        <v>0.13</v>
      </c>
      <c r="L2402" t="s">
        <v>18</v>
      </c>
      <c r="M2402" t="s">
        <v>21</v>
      </c>
    </row>
    <row r="2403" spans="1:13" x14ac:dyDescent="0.35">
      <c r="A2403">
        <v>1048</v>
      </c>
      <c r="B2403" s="1">
        <v>45378</v>
      </c>
      <c r="C2403" t="s">
        <v>29</v>
      </c>
      <c r="D2403" t="s">
        <v>20</v>
      </c>
      <c r="E2403">
        <v>49535.93</v>
      </c>
      <c r="F2403">
        <v>23</v>
      </c>
      <c r="G2403" t="s">
        <v>31</v>
      </c>
      <c r="H2403">
        <v>1517.92</v>
      </c>
      <c r="I2403">
        <v>2197.69</v>
      </c>
      <c r="J2403" t="s">
        <v>27</v>
      </c>
      <c r="K2403">
        <v>0.02</v>
      </c>
      <c r="L2403" t="s">
        <v>18</v>
      </c>
      <c r="M2403" t="s">
        <v>19</v>
      </c>
    </row>
    <row r="2404" spans="1:13" x14ac:dyDescent="0.35">
      <c r="A2404">
        <v>1068</v>
      </c>
      <c r="B2404" s="1">
        <v>45378</v>
      </c>
      <c r="C2404" t="s">
        <v>33</v>
      </c>
      <c r="D2404" t="s">
        <v>15</v>
      </c>
      <c r="E2404">
        <v>86579.3</v>
      </c>
      <c r="F2404">
        <v>17</v>
      </c>
      <c r="G2404" t="s">
        <v>26</v>
      </c>
      <c r="H2404">
        <v>2699.04</v>
      </c>
      <c r="I2404">
        <v>5092.8999999999996</v>
      </c>
      <c r="J2404" t="s">
        <v>27</v>
      </c>
      <c r="K2404">
        <v>0</v>
      </c>
      <c r="L2404" t="s">
        <v>18</v>
      </c>
      <c r="M2404" t="s">
        <v>21</v>
      </c>
    </row>
    <row r="2405" spans="1:13" x14ac:dyDescent="0.35">
      <c r="A2405">
        <v>1024</v>
      </c>
      <c r="B2405" s="1">
        <v>45378</v>
      </c>
      <c r="C2405" t="s">
        <v>29</v>
      </c>
      <c r="D2405" t="s">
        <v>15</v>
      </c>
      <c r="E2405">
        <v>52486.6</v>
      </c>
      <c r="F2405">
        <v>16</v>
      </c>
      <c r="G2405" t="s">
        <v>26</v>
      </c>
      <c r="H2405">
        <v>393.9</v>
      </c>
      <c r="I2405">
        <v>3347.36</v>
      </c>
      <c r="J2405" t="s">
        <v>27</v>
      </c>
      <c r="K2405">
        <v>0.02</v>
      </c>
      <c r="L2405" t="s">
        <v>18</v>
      </c>
      <c r="M2405" t="s">
        <v>19</v>
      </c>
    </row>
    <row r="2406" spans="1:13" x14ac:dyDescent="0.35">
      <c r="A2406">
        <v>1019</v>
      </c>
      <c r="B2406" s="1">
        <v>45379</v>
      </c>
      <c r="C2406" t="s">
        <v>29</v>
      </c>
      <c r="D2406" t="s">
        <v>30</v>
      </c>
      <c r="E2406">
        <v>60685.5</v>
      </c>
      <c r="F2406">
        <v>35</v>
      </c>
      <c r="G2406" t="s">
        <v>24</v>
      </c>
      <c r="H2406">
        <v>1644.08</v>
      </c>
      <c r="I2406">
        <v>1948.17</v>
      </c>
      <c r="J2406" t="s">
        <v>27</v>
      </c>
      <c r="K2406">
        <v>0.11</v>
      </c>
      <c r="L2406" t="s">
        <v>28</v>
      </c>
      <c r="M2406" t="s">
        <v>21</v>
      </c>
    </row>
    <row r="2407" spans="1:13" x14ac:dyDescent="0.35">
      <c r="A2407">
        <v>1080</v>
      </c>
      <c r="B2407" s="1">
        <v>45379</v>
      </c>
      <c r="C2407" t="s">
        <v>22</v>
      </c>
      <c r="D2407" t="s">
        <v>20</v>
      </c>
      <c r="E2407">
        <v>148899.42000000001</v>
      </c>
      <c r="F2407">
        <v>41</v>
      </c>
      <c r="G2407" t="s">
        <v>26</v>
      </c>
      <c r="H2407">
        <v>3211.27</v>
      </c>
      <c r="I2407">
        <v>3656.37</v>
      </c>
      <c r="J2407" t="s">
        <v>27</v>
      </c>
      <c r="K2407">
        <v>0.01</v>
      </c>
      <c r="L2407" t="s">
        <v>28</v>
      </c>
      <c r="M2407" t="s">
        <v>19</v>
      </c>
    </row>
    <row r="2408" spans="1:13" x14ac:dyDescent="0.35">
      <c r="A2408">
        <v>1040</v>
      </c>
      <c r="B2408" s="1">
        <v>45379</v>
      </c>
      <c r="C2408" t="s">
        <v>33</v>
      </c>
      <c r="D2408" t="s">
        <v>30</v>
      </c>
      <c r="E2408">
        <v>124205.59</v>
      </c>
      <c r="F2408">
        <v>35</v>
      </c>
      <c r="G2408" t="s">
        <v>31</v>
      </c>
      <c r="H2408">
        <v>2647.3</v>
      </c>
      <c r="I2408">
        <v>3815.84</v>
      </c>
      <c r="J2408" t="s">
        <v>27</v>
      </c>
      <c r="K2408">
        <v>7.0000000000000007E-2</v>
      </c>
      <c r="L2408" t="s">
        <v>25</v>
      </c>
      <c r="M2408" t="s">
        <v>21</v>
      </c>
    </row>
    <row r="2409" spans="1:13" x14ac:dyDescent="0.35">
      <c r="A2409">
        <v>1054</v>
      </c>
      <c r="B2409" s="1">
        <v>45379</v>
      </c>
      <c r="C2409" t="s">
        <v>32</v>
      </c>
      <c r="D2409" t="s">
        <v>15</v>
      </c>
      <c r="E2409">
        <v>154736.95000000001</v>
      </c>
      <c r="F2409">
        <v>39</v>
      </c>
      <c r="G2409" t="s">
        <v>24</v>
      </c>
      <c r="H2409">
        <v>3012.22</v>
      </c>
      <c r="I2409">
        <v>4408.46</v>
      </c>
      <c r="J2409" t="s">
        <v>27</v>
      </c>
      <c r="K2409">
        <v>0.1</v>
      </c>
      <c r="L2409" t="s">
        <v>25</v>
      </c>
      <c r="M2409" t="s">
        <v>19</v>
      </c>
    </row>
    <row r="2410" spans="1:13" x14ac:dyDescent="0.35">
      <c r="A2410">
        <v>1088</v>
      </c>
      <c r="B2410" s="1">
        <v>45379</v>
      </c>
      <c r="C2410" t="s">
        <v>33</v>
      </c>
      <c r="D2410" t="s">
        <v>15</v>
      </c>
      <c r="E2410">
        <v>81720.039999999994</v>
      </c>
      <c r="F2410">
        <v>32</v>
      </c>
      <c r="G2410" t="s">
        <v>31</v>
      </c>
      <c r="H2410">
        <v>473.18</v>
      </c>
      <c r="I2410">
        <v>3040.18</v>
      </c>
      <c r="J2410" t="s">
        <v>27</v>
      </c>
      <c r="K2410">
        <v>0.16</v>
      </c>
      <c r="L2410" t="s">
        <v>18</v>
      </c>
      <c r="M2410" t="s">
        <v>19</v>
      </c>
    </row>
    <row r="2411" spans="1:13" x14ac:dyDescent="0.35">
      <c r="A2411">
        <v>1020</v>
      </c>
      <c r="B2411" s="1">
        <v>45380</v>
      </c>
      <c r="C2411" t="s">
        <v>22</v>
      </c>
      <c r="D2411" t="s">
        <v>20</v>
      </c>
      <c r="E2411">
        <v>7675.16</v>
      </c>
      <c r="F2411">
        <v>3</v>
      </c>
      <c r="G2411" t="s">
        <v>26</v>
      </c>
      <c r="H2411">
        <v>1383.7</v>
      </c>
      <c r="I2411">
        <v>2584.23</v>
      </c>
      <c r="J2411" t="s">
        <v>27</v>
      </c>
      <c r="K2411">
        <v>0.01</v>
      </c>
      <c r="L2411" t="s">
        <v>18</v>
      </c>
      <c r="M2411" t="s">
        <v>21</v>
      </c>
    </row>
    <row r="2412" spans="1:13" x14ac:dyDescent="0.35">
      <c r="A2412">
        <v>1036</v>
      </c>
      <c r="B2412" s="1">
        <v>45380</v>
      </c>
      <c r="C2412" t="s">
        <v>33</v>
      </c>
      <c r="D2412" t="s">
        <v>23</v>
      </c>
      <c r="E2412">
        <v>39064.78</v>
      </c>
      <c r="F2412">
        <v>33</v>
      </c>
      <c r="G2412" t="s">
        <v>26</v>
      </c>
      <c r="H2412">
        <v>952.71</v>
      </c>
      <c r="I2412">
        <v>1207.94</v>
      </c>
      <c r="J2412" t="s">
        <v>17</v>
      </c>
      <c r="K2412">
        <v>0.02</v>
      </c>
      <c r="L2412" t="s">
        <v>25</v>
      </c>
      <c r="M2412" t="s">
        <v>21</v>
      </c>
    </row>
    <row r="2413" spans="1:13" x14ac:dyDescent="0.35">
      <c r="A2413">
        <v>1001</v>
      </c>
      <c r="B2413" s="1">
        <v>45381</v>
      </c>
      <c r="C2413" t="s">
        <v>33</v>
      </c>
      <c r="D2413" t="s">
        <v>30</v>
      </c>
      <c r="E2413">
        <v>35581.269999999997</v>
      </c>
      <c r="F2413">
        <v>15</v>
      </c>
      <c r="G2413" t="s">
        <v>26</v>
      </c>
      <c r="H2413">
        <v>1859.79</v>
      </c>
      <c r="I2413">
        <v>2823.91</v>
      </c>
      <c r="J2413" t="s">
        <v>17</v>
      </c>
      <c r="K2413">
        <v>0.16</v>
      </c>
      <c r="L2413" t="s">
        <v>25</v>
      </c>
      <c r="M2413" t="s">
        <v>21</v>
      </c>
    </row>
    <row r="2414" spans="1:13" x14ac:dyDescent="0.35">
      <c r="A2414">
        <v>1065</v>
      </c>
      <c r="B2414" s="1">
        <v>45381</v>
      </c>
      <c r="C2414" t="s">
        <v>33</v>
      </c>
      <c r="D2414" t="s">
        <v>20</v>
      </c>
      <c r="E2414">
        <v>13818.19</v>
      </c>
      <c r="F2414">
        <v>7</v>
      </c>
      <c r="G2414" t="s">
        <v>16</v>
      </c>
      <c r="H2414">
        <v>706.66</v>
      </c>
      <c r="I2414">
        <v>2780.32</v>
      </c>
      <c r="J2414" t="s">
        <v>27</v>
      </c>
      <c r="K2414">
        <v>0.28999999999999998</v>
      </c>
      <c r="L2414" t="s">
        <v>18</v>
      </c>
      <c r="M2414" t="s">
        <v>21</v>
      </c>
    </row>
    <row r="2415" spans="1:13" x14ac:dyDescent="0.35">
      <c r="A2415">
        <v>1042</v>
      </c>
      <c r="B2415" s="1">
        <v>45381</v>
      </c>
      <c r="C2415" t="s">
        <v>32</v>
      </c>
      <c r="D2415" t="s">
        <v>30</v>
      </c>
      <c r="E2415">
        <v>101960.18</v>
      </c>
      <c r="F2415">
        <v>31</v>
      </c>
      <c r="G2415" t="s">
        <v>26</v>
      </c>
      <c r="H2415">
        <v>495.59</v>
      </c>
      <c r="I2415">
        <v>3536.6</v>
      </c>
      <c r="J2415" t="s">
        <v>17</v>
      </c>
      <c r="K2415">
        <v>7.0000000000000007E-2</v>
      </c>
      <c r="L2415" t="s">
        <v>18</v>
      </c>
      <c r="M2415" t="s">
        <v>19</v>
      </c>
    </row>
    <row r="2416" spans="1:13" x14ac:dyDescent="0.35">
      <c r="A2416">
        <v>1077</v>
      </c>
      <c r="B2416" s="1">
        <v>45383</v>
      </c>
      <c r="C2416" t="s">
        <v>22</v>
      </c>
      <c r="D2416" t="s">
        <v>30</v>
      </c>
      <c r="E2416">
        <v>25931.5</v>
      </c>
      <c r="F2416">
        <v>12</v>
      </c>
      <c r="G2416" t="s">
        <v>31</v>
      </c>
      <c r="H2416">
        <v>1811.92</v>
      </c>
      <c r="I2416">
        <v>2174.52</v>
      </c>
      <c r="J2416" t="s">
        <v>17</v>
      </c>
      <c r="K2416">
        <v>0.01</v>
      </c>
      <c r="L2416" t="s">
        <v>28</v>
      </c>
      <c r="M2416" t="s">
        <v>19</v>
      </c>
    </row>
    <row r="2417" spans="1:13" x14ac:dyDescent="0.35">
      <c r="A2417">
        <v>1046</v>
      </c>
      <c r="B2417" s="1">
        <v>45383</v>
      </c>
      <c r="C2417" t="s">
        <v>22</v>
      </c>
      <c r="D2417" t="s">
        <v>20</v>
      </c>
      <c r="E2417">
        <v>78844.179999999993</v>
      </c>
      <c r="F2417">
        <v>28</v>
      </c>
      <c r="G2417" t="s">
        <v>26</v>
      </c>
      <c r="H2417">
        <v>671.15</v>
      </c>
      <c r="I2417">
        <v>2873.33</v>
      </c>
      <c r="J2417" t="s">
        <v>17</v>
      </c>
      <c r="K2417">
        <v>0.02</v>
      </c>
      <c r="L2417" t="s">
        <v>25</v>
      </c>
      <c r="M2417" t="s">
        <v>21</v>
      </c>
    </row>
    <row r="2418" spans="1:13" x14ac:dyDescent="0.35">
      <c r="A2418">
        <v>1054</v>
      </c>
      <c r="B2418" s="1">
        <v>45383</v>
      </c>
      <c r="C2418" t="s">
        <v>33</v>
      </c>
      <c r="D2418" t="s">
        <v>23</v>
      </c>
      <c r="E2418">
        <v>114261.15</v>
      </c>
      <c r="F2418">
        <v>29</v>
      </c>
      <c r="G2418" t="s">
        <v>24</v>
      </c>
      <c r="H2418">
        <v>366.48</v>
      </c>
      <c r="I2418">
        <v>4147.41</v>
      </c>
      <c r="J2418" t="s">
        <v>17</v>
      </c>
      <c r="K2418">
        <v>0.05</v>
      </c>
      <c r="L2418" t="s">
        <v>25</v>
      </c>
      <c r="M2418" t="s">
        <v>21</v>
      </c>
    </row>
    <row r="2419" spans="1:13" x14ac:dyDescent="0.35">
      <c r="A2419">
        <v>1056</v>
      </c>
      <c r="B2419" s="1">
        <v>45383</v>
      </c>
      <c r="C2419" t="s">
        <v>33</v>
      </c>
      <c r="D2419" t="s">
        <v>30</v>
      </c>
      <c r="E2419">
        <v>183323.24</v>
      </c>
      <c r="F2419">
        <v>44</v>
      </c>
      <c r="G2419" t="s">
        <v>31</v>
      </c>
      <c r="H2419">
        <v>945.72</v>
      </c>
      <c r="I2419">
        <v>4480.04</v>
      </c>
      <c r="J2419" t="s">
        <v>27</v>
      </c>
      <c r="K2419">
        <v>7.0000000000000007E-2</v>
      </c>
      <c r="L2419" t="s">
        <v>18</v>
      </c>
      <c r="M2419" t="s">
        <v>19</v>
      </c>
    </row>
    <row r="2420" spans="1:13" x14ac:dyDescent="0.35">
      <c r="A2420">
        <v>1085</v>
      </c>
      <c r="B2420" s="1">
        <v>45384</v>
      </c>
      <c r="C2420" t="s">
        <v>29</v>
      </c>
      <c r="D2420" t="s">
        <v>30</v>
      </c>
      <c r="E2420">
        <v>11843.26</v>
      </c>
      <c r="F2420">
        <v>3</v>
      </c>
      <c r="G2420" t="s">
        <v>16</v>
      </c>
      <c r="H2420">
        <v>1933.39</v>
      </c>
      <c r="I2420">
        <v>4028.32</v>
      </c>
      <c r="J2420" t="s">
        <v>27</v>
      </c>
      <c r="K2420">
        <v>0.02</v>
      </c>
      <c r="L2420" t="s">
        <v>25</v>
      </c>
      <c r="M2420" t="s">
        <v>19</v>
      </c>
    </row>
    <row r="2421" spans="1:13" x14ac:dyDescent="0.35">
      <c r="A2421">
        <v>1020</v>
      </c>
      <c r="B2421" s="1">
        <v>45384</v>
      </c>
      <c r="C2421" t="s">
        <v>32</v>
      </c>
      <c r="D2421" t="s">
        <v>15</v>
      </c>
      <c r="E2421">
        <v>19020.66</v>
      </c>
      <c r="F2421">
        <v>5</v>
      </c>
      <c r="G2421" t="s">
        <v>16</v>
      </c>
      <c r="H2421">
        <v>1050.5899999999999</v>
      </c>
      <c r="I2421">
        <v>4004.35</v>
      </c>
      <c r="J2421" t="s">
        <v>17</v>
      </c>
      <c r="K2421">
        <v>0.05</v>
      </c>
      <c r="L2421" t="s">
        <v>25</v>
      </c>
      <c r="M2421" t="s">
        <v>21</v>
      </c>
    </row>
    <row r="2422" spans="1:13" x14ac:dyDescent="0.35">
      <c r="A2422">
        <v>1088</v>
      </c>
      <c r="B2422" s="1">
        <v>45384</v>
      </c>
      <c r="C2422" t="s">
        <v>33</v>
      </c>
      <c r="D2422" t="s">
        <v>15</v>
      </c>
      <c r="E2422">
        <v>89282.07</v>
      </c>
      <c r="F2422">
        <v>33</v>
      </c>
      <c r="G2422" t="s">
        <v>31</v>
      </c>
      <c r="H2422">
        <v>154.65</v>
      </c>
      <c r="I2422">
        <v>2878.21</v>
      </c>
      <c r="J2422" t="s">
        <v>27</v>
      </c>
      <c r="K2422">
        <v>0.06</v>
      </c>
      <c r="L2422" t="s">
        <v>28</v>
      </c>
      <c r="M2422" t="s">
        <v>21</v>
      </c>
    </row>
    <row r="2423" spans="1:13" x14ac:dyDescent="0.35">
      <c r="A2423">
        <v>1056</v>
      </c>
      <c r="B2423" s="1">
        <v>45385</v>
      </c>
      <c r="C2423" t="s">
        <v>32</v>
      </c>
      <c r="D2423" t="s">
        <v>30</v>
      </c>
      <c r="E2423">
        <v>104935.03</v>
      </c>
      <c r="F2423">
        <v>31</v>
      </c>
      <c r="G2423" t="s">
        <v>24</v>
      </c>
      <c r="H2423">
        <v>3224.99</v>
      </c>
      <c r="I2423">
        <v>3517.43</v>
      </c>
      <c r="J2423" t="s">
        <v>27</v>
      </c>
      <c r="K2423">
        <v>0.04</v>
      </c>
      <c r="L2423" t="s">
        <v>28</v>
      </c>
      <c r="M2423" t="s">
        <v>21</v>
      </c>
    </row>
    <row r="2424" spans="1:13" x14ac:dyDescent="0.35">
      <c r="A2424">
        <v>1009</v>
      </c>
      <c r="B2424" s="1">
        <v>45385</v>
      </c>
      <c r="C2424" t="s">
        <v>22</v>
      </c>
      <c r="D2424" t="s">
        <v>20</v>
      </c>
      <c r="E2424">
        <v>154820.71</v>
      </c>
      <c r="F2424">
        <v>47</v>
      </c>
      <c r="G2424" t="s">
        <v>16</v>
      </c>
      <c r="H2424">
        <v>2632.5</v>
      </c>
      <c r="I2424">
        <v>3431.31</v>
      </c>
      <c r="J2424" t="s">
        <v>27</v>
      </c>
      <c r="K2424">
        <v>0.04</v>
      </c>
      <c r="L2424" t="s">
        <v>18</v>
      </c>
      <c r="M2424" t="s">
        <v>21</v>
      </c>
    </row>
    <row r="2425" spans="1:13" x14ac:dyDescent="0.35">
      <c r="A2425">
        <v>1070</v>
      </c>
      <c r="B2425" s="1">
        <v>45386</v>
      </c>
      <c r="C2425" t="s">
        <v>32</v>
      </c>
      <c r="D2425" t="s">
        <v>20</v>
      </c>
      <c r="E2425">
        <v>32174.48</v>
      </c>
      <c r="F2425">
        <v>19</v>
      </c>
      <c r="G2425" t="s">
        <v>26</v>
      </c>
      <c r="H2425">
        <v>1687.35</v>
      </c>
      <c r="I2425">
        <v>1719.27</v>
      </c>
      <c r="J2425" t="s">
        <v>27</v>
      </c>
      <c r="K2425">
        <v>0.02</v>
      </c>
      <c r="L2425" t="s">
        <v>25</v>
      </c>
      <c r="M2425" t="s">
        <v>21</v>
      </c>
    </row>
    <row r="2426" spans="1:13" x14ac:dyDescent="0.35">
      <c r="A2426">
        <v>1044</v>
      </c>
      <c r="B2426" s="1">
        <v>45386</v>
      </c>
      <c r="C2426" t="s">
        <v>32</v>
      </c>
      <c r="D2426" t="s">
        <v>20</v>
      </c>
      <c r="E2426">
        <v>4107.72</v>
      </c>
      <c r="F2426">
        <v>1</v>
      </c>
      <c r="G2426" t="s">
        <v>31</v>
      </c>
      <c r="H2426">
        <v>3726.16</v>
      </c>
      <c r="I2426">
        <v>4278.88</v>
      </c>
      <c r="J2426" t="s">
        <v>17</v>
      </c>
      <c r="K2426">
        <v>0.04</v>
      </c>
      <c r="L2426" t="s">
        <v>25</v>
      </c>
      <c r="M2426" t="s">
        <v>19</v>
      </c>
    </row>
    <row r="2427" spans="1:13" x14ac:dyDescent="0.35">
      <c r="A2427">
        <v>1017</v>
      </c>
      <c r="B2427" s="1">
        <v>45386</v>
      </c>
      <c r="C2427" t="s">
        <v>33</v>
      </c>
      <c r="D2427" t="s">
        <v>30</v>
      </c>
      <c r="E2427">
        <v>3708.51</v>
      </c>
      <c r="F2427">
        <v>1</v>
      </c>
      <c r="G2427" t="s">
        <v>16</v>
      </c>
      <c r="H2427">
        <v>2509.13</v>
      </c>
      <c r="I2427">
        <v>4578.41</v>
      </c>
      <c r="J2427" t="s">
        <v>17</v>
      </c>
      <c r="K2427">
        <v>0.19</v>
      </c>
      <c r="L2427" t="s">
        <v>28</v>
      </c>
      <c r="M2427" t="s">
        <v>19</v>
      </c>
    </row>
    <row r="2428" spans="1:13" x14ac:dyDescent="0.35">
      <c r="A2428">
        <v>1071</v>
      </c>
      <c r="B2428" s="1">
        <v>45386</v>
      </c>
      <c r="C2428" t="s">
        <v>22</v>
      </c>
      <c r="D2428" t="s">
        <v>20</v>
      </c>
      <c r="E2428">
        <v>192634.01</v>
      </c>
      <c r="F2428">
        <v>43</v>
      </c>
      <c r="G2428" t="s">
        <v>16</v>
      </c>
      <c r="H2428">
        <v>4447.59</v>
      </c>
      <c r="I2428">
        <v>4571.3</v>
      </c>
      <c r="J2428" t="s">
        <v>27</v>
      </c>
      <c r="K2428">
        <v>0.02</v>
      </c>
      <c r="L2428" t="s">
        <v>25</v>
      </c>
      <c r="M2428" t="s">
        <v>19</v>
      </c>
    </row>
    <row r="2429" spans="1:13" x14ac:dyDescent="0.35">
      <c r="A2429">
        <v>1017</v>
      </c>
      <c r="B2429" s="1">
        <v>45387</v>
      </c>
      <c r="C2429" t="s">
        <v>22</v>
      </c>
      <c r="D2429" t="s">
        <v>20</v>
      </c>
      <c r="E2429">
        <v>38659.660000000003</v>
      </c>
      <c r="F2429">
        <v>12</v>
      </c>
      <c r="G2429" t="s">
        <v>26</v>
      </c>
      <c r="H2429">
        <v>2543.23</v>
      </c>
      <c r="I2429">
        <v>3254.18</v>
      </c>
      <c r="J2429" t="s">
        <v>27</v>
      </c>
      <c r="K2429">
        <v>0.01</v>
      </c>
      <c r="L2429" t="s">
        <v>28</v>
      </c>
      <c r="M2429" t="s">
        <v>21</v>
      </c>
    </row>
    <row r="2430" spans="1:13" x14ac:dyDescent="0.35">
      <c r="A2430">
        <v>1034</v>
      </c>
      <c r="B2430" s="1">
        <v>45387</v>
      </c>
      <c r="C2430" t="s">
        <v>22</v>
      </c>
      <c r="D2430" t="s">
        <v>23</v>
      </c>
      <c r="E2430">
        <v>73677.7</v>
      </c>
      <c r="F2430">
        <v>25</v>
      </c>
      <c r="G2430" t="s">
        <v>26</v>
      </c>
      <c r="H2430">
        <v>2441.2800000000002</v>
      </c>
      <c r="I2430">
        <v>3069.62</v>
      </c>
      <c r="J2430" t="s">
        <v>17</v>
      </c>
      <c r="K2430">
        <v>0.04</v>
      </c>
      <c r="L2430" t="s">
        <v>28</v>
      </c>
      <c r="M2430" t="s">
        <v>21</v>
      </c>
    </row>
    <row r="2431" spans="1:13" x14ac:dyDescent="0.35">
      <c r="A2431">
        <v>1033</v>
      </c>
      <c r="B2431" s="1">
        <v>45387</v>
      </c>
      <c r="C2431" t="s">
        <v>22</v>
      </c>
      <c r="D2431" t="s">
        <v>23</v>
      </c>
      <c r="E2431">
        <v>33257.08</v>
      </c>
      <c r="F2431">
        <v>14</v>
      </c>
      <c r="G2431" t="s">
        <v>26</v>
      </c>
      <c r="H2431">
        <v>174.61</v>
      </c>
      <c r="I2431">
        <v>3393.58</v>
      </c>
      <c r="J2431" t="s">
        <v>17</v>
      </c>
      <c r="K2431">
        <v>0.3</v>
      </c>
      <c r="L2431" t="s">
        <v>28</v>
      </c>
      <c r="M2431" t="s">
        <v>21</v>
      </c>
    </row>
    <row r="2432" spans="1:13" x14ac:dyDescent="0.35">
      <c r="A2432">
        <v>1026</v>
      </c>
      <c r="B2432" s="1">
        <v>45388</v>
      </c>
      <c r="C2432" t="s">
        <v>14</v>
      </c>
      <c r="D2432" t="s">
        <v>23</v>
      </c>
      <c r="E2432">
        <v>121211.33</v>
      </c>
      <c r="F2432">
        <v>38</v>
      </c>
      <c r="G2432" t="s">
        <v>31</v>
      </c>
      <c r="H2432">
        <v>154.97</v>
      </c>
      <c r="I2432">
        <v>3937.99</v>
      </c>
      <c r="J2432" t="s">
        <v>27</v>
      </c>
      <c r="K2432">
        <v>0.19</v>
      </c>
      <c r="L2432" t="s">
        <v>25</v>
      </c>
      <c r="M2432" t="s">
        <v>19</v>
      </c>
    </row>
    <row r="2433" spans="1:13" x14ac:dyDescent="0.35">
      <c r="A2433">
        <v>1078</v>
      </c>
      <c r="B2433" s="1">
        <v>45389</v>
      </c>
      <c r="C2433" t="s">
        <v>33</v>
      </c>
      <c r="D2433" t="s">
        <v>30</v>
      </c>
      <c r="E2433">
        <v>16177.8</v>
      </c>
      <c r="F2433">
        <v>8</v>
      </c>
      <c r="G2433" t="s">
        <v>26</v>
      </c>
      <c r="H2433">
        <v>1307.06</v>
      </c>
      <c r="I2433">
        <v>2198.0700000000002</v>
      </c>
      <c r="J2433" t="s">
        <v>17</v>
      </c>
      <c r="K2433">
        <v>0.08</v>
      </c>
      <c r="L2433" t="s">
        <v>18</v>
      </c>
      <c r="M2433" t="s">
        <v>21</v>
      </c>
    </row>
    <row r="2434" spans="1:13" x14ac:dyDescent="0.35">
      <c r="A2434">
        <v>1006</v>
      </c>
      <c r="B2434" s="1">
        <v>45389</v>
      </c>
      <c r="C2434" t="s">
        <v>32</v>
      </c>
      <c r="D2434" t="s">
        <v>20</v>
      </c>
      <c r="E2434">
        <v>20047.54</v>
      </c>
      <c r="F2434">
        <v>12</v>
      </c>
      <c r="G2434" t="s">
        <v>26</v>
      </c>
      <c r="H2434">
        <v>311.13</v>
      </c>
      <c r="I2434">
        <v>1815.9</v>
      </c>
      <c r="J2434" t="s">
        <v>17</v>
      </c>
      <c r="K2434">
        <v>0.08</v>
      </c>
      <c r="L2434" t="s">
        <v>25</v>
      </c>
      <c r="M2434" t="s">
        <v>19</v>
      </c>
    </row>
    <row r="2435" spans="1:13" x14ac:dyDescent="0.35">
      <c r="A2435">
        <v>1069</v>
      </c>
      <c r="B2435" s="1">
        <v>45389</v>
      </c>
      <c r="C2435" t="s">
        <v>32</v>
      </c>
      <c r="D2435" t="s">
        <v>30</v>
      </c>
      <c r="E2435">
        <v>59894.86</v>
      </c>
      <c r="F2435">
        <v>28</v>
      </c>
      <c r="G2435" t="s">
        <v>24</v>
      </c>
      <c r="H2435">
        <v>762.8</v>
      </c>
      <c r="I2435">
        <v>2546.5500000000002</v>
      </c>
      <c r="J2435" t="s">
        <v>17</v>
      </c>
      <c r="K2435">
        <v>0.16</v>
      </c>
      <c r="L2435" t="s">
        <v>18</v>
      </c>
      <c r="M2435" t="s">
        <v>21</v>
      </c>
    </row>
    <row r="2436" spans="1:13" x14ac:dyDescent="0.35">
      <c r="A2436">
        <v>1047</v>
      </c>
      <c r="B2436" s="1">
        <v>45389</v>
      </c>
      <c r="C2436" t="s">
        <v>33</v>
      </c>
      <c r="D2436" t="s">
        <v>20</v>
      </c>
      <c r="E2436">
        <v>162520.89000000001</v>
      </c>
      <c r="F2436">
        <v>38</v>
      </c>
      <c r="G2436" t="s">
        <v>31</v>
      </c>
      <c r="H2436">
        <v>2833.94</v>
      </c>
      <c r="I2436">
        <v>4598.78</v>
      </c>
      <c r="J2436" t="s">
        <v>17</v>
      </c>
      <c r="K2436">
        <v>7.0000000000000007E-2</v>
      </c>
      <c r="L2436" t="s">
        <v>25</v>
      </c>
      <c r="M2436" t="s">
        <v>19</v>
      </c>
    </row>
    <row r="2437" spans="1:13" x14ac:dyDescent="0.35">
      <c r="A2437">
        <v>1006</v>
      </c>
      <c r="B2437" s="1">
        <v>45390</v>
      </c>
      <c r="C2437" t="s">
        <v>33</v>
      </c>
      <c r="D2437" t="s">
        <v>30</v>
      </c>
      <c r="E2437">
        <v>33878.18</v>
      </c>
      <c r="F2437">
        <v>13</v>
      </c>
      <c r="G2437" t="s">
        <v>26</v>
      </c>
      <c r="H2437">
        <v>2361.29</v>
      </c>
      <c r="I2437">
        <v>2626.13</v>
      </c>
      <c r="J2437" t="s">
        <v>17</v>
      </c>
      <c r="K2437">
        <v>0.01</v>
      </c>
      <c r="L2437" t="s">
        <v>25</v>
      </c>
      <c r="M2437" t="s">
        <v>21</v>
      </c>
    </row>
    <row r="2438" spans="1:13" x14ac:dyDescent="0.35">
      <c r="A2438">
        <v>1017</v>
      </c>
      <c r="B2438" s="1">
        <v>45390</v>
      </c>
      <c r="C2438" t="s">
        <v>33</v>
      </c>
      <c r="D2438" t="s">
        <v>20</v>
      </c>
      <c r="E2438">
        <v>69953.710000000006</v>
      </c>
      <c r="F2438">
        <v>14</v>
      </c>
      <c r="G2438" t="s">
        <v>26</v>
      </c>
      <c r="H2438">
        <v>4751.4799999999996</v>
      </c>
      <c r="I2438">
        <v>5157.84</v>
      </c>
      <c r="J2438" t="s">
        <v>17</v>
      </c>
      <c r="K2438">
        <v>0.03</v>
      </c>
      <c r="L2438" t="s">
        <v>25</v>
      </c>
      <c r="M2438" t="s">
        <v>19</v>
      </c>
    </row>
    <row r="2439" spans="1:13" x14ac:dyDescent="0.35">
      <c r="A2439">
        <v>1009</v>
      </c>
      <c r="B2439" s="1">
        <v>45390</v>
      </c>
      <c r="C2439" t="s">
        <v>22</v>
      </c>
      <c r="D2439" t="s">
        <v>15</v>
      </c>
      <c r="E2439">
        <v>54072.77</v>
      </c>
      <c r="F2439">
        <v>24</v>
      </c>
      <c r="G2439" t="s">
        <v>24</v>
      </c>
      <c r="H2439">
        <v>1661.06</v>
      </c>
      <c r="I2439">
        <v>2275.79</v>
      </c>
      <c r="J2439" t="s">
        <v>17</v>
      </c>
      <c r="K2439">
        <v>0.01</v>
      </c>
      <c r="L2439" t="s">
        <v>28</v>
      </c>
      <c r="M2439" t="s">
        <v>21</v>
      </c>
    </row>
    <row r="2440" spans="1:13" x14ac:dyDescent="0.35">
      <c r="A2440">
        <v>1098</v>
      </c>
      <c r="B2440" s="1">
        <v>45391</v>
      </c>
      <c r="C2440" t="s">
        <v>22</v>
      </c>
      <c r="D2440" t="s">
        <v>15</v>
      </c>
      <c r="E2440">
        <v>17306.849999999999</v>
      </c>
      <c r="F2440">
        <v>6</v>
      </c>
      <c r="G2440" t="s">
        <v>31</v>
      </c>
      <c r="H2440">
        <v>1103.0899999999999</v>
      </c>
      <c r="I2440">
        <v>3561.08</v>
      </c>
      <c r="J2440" t="s">
        <v>27</v>
      </c>
      <c r="K2440">
        <v>0.19</v>
      </c>
      <c r="L2440" t="s">
        <v>28</v>
      </c>
      <c r="M2440" t="s">
        <v>21</v>
      </c>
    </row>
    <row r="2441" spans="1:13" x14ac:dyDescent="0.35">
      <c r="A2441">
        <v>1038</v>
      </c>
      <c r="B2441" s="1">
        <v>45392</v>
      </c>
      <c r="C2441" t="s">
        <v>14</v>
      </c>
      <c r="D2441" t="s">
        <v>15</v>
      </c>
      <c r="E2441">
        <v>64854.9</v>
      </c>
      <c r="F2441">
        <v>15</v>
      </c>
      <c r="G2441" t="s">
        <v>16</v>
      </c>
      <c r="H2441">
        <v>3965.73</v>
      </c>
      <c r="I2441">
        <v>4323.66</v>
      </c>
      <c r="J2441" t="s">
        <v>17</v>
      </c>
      <c r="K2441">
        <v>0</v>
      </c>
      <c r="L2441" t="s">
        <v>25</v>
      </c>
      <c r="M2441" t="s">
        <v>21</v>
      </c>
    </row>
    <row r="2442" spans="1:13" x14ac:dyDescent="0.35">
      <c r="A2442">
        <v>1015</v>
      </c>
      <c r="B2442" s="1">
        <v>45392</v>
      </c>
      <c r="C2442" t="s">
        <v>14</v>
      </c>
      <c r="D2442" t="s">
        <v>23</v>
      </c>
      <c r="E2442">
        <v>26060.21</v>
      </c>
      <c r="F2442">
        <v>6</v>
      </c>
      <c r="G2442" t="s">
        <v>26</v>
      </c>
      <c r="H2442">
        <v>3046.02</v>
      </c>
      <c r="I2442">
        <v>4477.7</v>
      </c>
      <c r="J2442" t="s">
        <v>27</v>
      </c>
      <c r="K2442">
        <v>0.03</v>
      </c>
      <c r="L2442" t="s">
        <v>28</v>
      </c>
      <c r="M2442" t="s">
        <v>21</v>
      </c>
    </row>
    <row r="2443" spans="1:13" x14ac:dyDescent="0.35">
      <c r="A2443">
        <v>1025</v>
      </c>
      <c r="B2443" s="1">
        <v>45392</v>
      </c>
      <c r="C2443" t="s">
        <v>33</v>
      </c>
      <c r="D2443" t="s">
        <v>15</v>
      </c>
      <c r="E2443">
        <v>45535</v>
      </c>
      <c r="F2443">
        <v>15</v>
      </c>
      <c r="G2443" t="s">
        <v>24</v>
      </c>
      <c r="H2443">
        <v>1737.7</v>
      </c>
      <c r="I2443">
        <v>3891.88</v>
      </c>
      <c r="J2443" t="s">
        <v>17</v>
      </c>
      <c r="K2443">
        <v>0.22</v>
      </c>
      <c r="L2443" t="s">
        <v>18</v>
      </c>
      <c r="M2443" t="s">
        <v>21</v>
      </c>
    </row>
    <row r="2444" spans="1:13" x14ac:dyDescent="0.35">
      <c r="A2444">
        <v>1084</v>
      </c>
      <c r="B2444" s="1">
        <v>45392</v>
      </c>
      <c r="C2444" t="s">
        <v>29</v>
      </c>
      <c r="D2444" t="s">
        <v>20</v>
      </c>
      <c r="E2444">
        <v>69036.070000000007</v>
      </c>
      <c r="F2444">
        <v>20</v>
      </c>
      <c r="G2444" t="s">
        <v>24</v>
      </c>
      <c r="H2444">
        <v>2301.85</v>
      </c>
      <c r="I2444">
        <v>4109.29</v>
      </c>
      <c r="J2444" t="s">
        <v>17</v>
      </c>
      <c r="K2444">
        <v>0.16</v>
      </c>
      <c r="L2444" t="s">
        <v>25</v>
      </c>
      <c r="M2444" t="s">
        <v>21</v>
      </c>
    </row>
    <row r="2445" spans="1:13" x14ac:dyDescent="0.35">
      <c r="A2445">
        <v>1044</v>
      </c>
      <c r="B2445" s="1">
        <v>45392</v>
      </c>
      <c r="C2445" t="s">
        <v>22</v>
      </c>
      <c r="D2445" t="s">
        <v>20</v>
      </c>
      <c r="E2445">
        <v>73381.17</v>
      </c>
      <c r="F2445">
        <v>27</v>
      </c>
      <c r="G2445" t="s">
        <v>16</v>
      </c>
      <c r="H2445">
        <v>473.42</v>
      </c>
      <c r="I2445">
        <v>3440.28</v>
      </c>
      <c r="J2445" t="s">
        <v>27</v>
      </c>
      <c r="K2445">
        <v>0.21</v>
      </c>
      <c r="L2445" t="s">
        <v>25</v>
      </c>
      <c r="M2445" t="s">
        <v>21</v>
      </c>
    </row>
    <row r="2446" spans="1:13" x14ac:dyDescent="0.35">
      <c r="A2446">
        <v>1058</v>
      </c>
      <c r="B2446" s="1">
        <v>45392</v>
      </c>
      <c r="C2446" t="s">
        <v>14</v>
      </c>
      <c r="D2446" t="s">
        <v>30</v>
      </c>
      <c r="E2446">
        <v>125168.99</v>
      </c>
      <c r="F2446">
        <v>26</v>
      </c>
      <c r="G2446" t="s">
        <v>31</v>
      </c>
      <c r="H2446">
        <v>1074.76</v>
      </c>
      <c r="I2446">
        <v>4862.82</v>
      </c>
      <c r="J2446" t="s">
        <v>17</v>
      </c>
      <c r="K2446">
        <v>0.01</v>
      </c>
      <c r="L2446" t="s">
        <v>28</v>
      </c>
      <c r="M2446" t="s">
        <v>19</v>
      </c>
    </row>
    <row r="2447" spans="1:13" x14ac:dyDescent="0.35">
      <c r="A2447">
        <v>1080</v>
      </c>
      <c r="B2447" s="1">
        <v>45392</v>
      </c>
      <c r="C2447" t="s">
        <v>33</v>
      </c>
      <c r="D2447" t="s">
        <v>30</v>
      </c>
      <c r="E2447">
        <v>168258.36</v>
      </c>
      <c r="F2447">
        <v>47</v>
      </c>
      <c r="G2447" t="s">
        <v>26</v>
      </c>
      <c r="H2447">
        <v>1178.22</v>
      </c>
      <c r="I2447">
        <v>4162.75</v>
      </c>
      <c r="J2447" t="s">
        <v>17</v>
      </c>
      <c r="K2447">
        <v>0.14000000000000001</v>
      </c>
      <c r="L2447" t="s">
        <v>25</v>
      </c>
      <c r="M2447" t="s">
        <v>21</v>
      </c>
    </row>
    <row r="2448" spans="1:13" x14ac:dyDescent="0.35">
      <c r="A2448">
        <v>1039</v>
      </c>
      <c r="B2448" s="1">
        <v>45393</v>
      </c>
      <c r="C2448" t="s">
        <v>32</v>
      </c>
      <c r="D2448" t="s">
        <v>15</v>
      </c>
      <c r="E2448">
        <v>29504.65</v>
      </c>
      <c r="F2448">
        <v>9</v>
      </c>
      <c r="G2448" t="s">
        <v>24</v>
      </c>
      <c r="H2448">
        <v>3127.64</v>
      </c>
      <c r="I2448">
        <v>3811.97</v>
      </c>
      <c r="J2448" t="s">
        <v>27</v>
      </c>
      <c r="K2448">
        <v>0.14000000000000001</v>
      </c>
      <c r="L2448" t="s">
        <v>25</v>
      </c>
      <c r="M2448" t="s">
        <v>19</v>
      </c>
    </row>
    <row r="2449" spans="1:13" x14ac:dyDescent="0.35">
      <c r="A2449">
        <v>1070</v>
      </c>
      <c r="B2449" s="1">
        <v>45393</v>
      </c>
      <c r="C2449" t="s">
        <v>33</v>
      </c>
      <c r="D2449" t="s">
        <v>30</v>
      </c>
      <c r="E2449">
        <v>17547.84</v>
      </c>
      <c r="F2449">
        <v>16</v>
      </c>
      <c r="G2449" t="s">
        <v>26</v>
      </c>
      <c r="H2449">
        <v>463.71</v>
      </c>
      <c r="I2449">
        <v>1218.5999999999999</v>
      </c>
      <c r="J2449" t="s">
        <v>27</v>
      </c>
      <c r="K2449">
        <v>0.1</v>
      </c>
      <c r="L2449" t="s">
        <v>18</v>
      </c>
      <c r="M2449" t="s">
        <v>19</v>
      </c>
    </row>
    <row r="2450" spans="1:13" x14ac:dyDescent="0.35">
      <c r="A2450">
        <v>1023</v>
      </c>
      <c r="B2450" s="1">
        <v>45393</v>
      </c>
      <c r="C2450" t="s">
        <v>32</v>
      </c>
      <c r="D2450" t="s">
        <v>23</v>
      </c>
      <c r="E2450">
        <v>116278.97</v>
      </c>
      <c r="F2450">
        <v>45</v>
      </c>
      <c r="G2450" t="s">
        <v>26</v>
      </c>
      <c r="H2450">
        <v>1084.3399999999999</v>
      </c>
      <c r="I2450">
        <v>3399.97</v>
      </c>
      <c r="J2450" t="s">
        <v>17</v>
      </c>
      <c r="K2450">
        <v>0.24</v>
      </c>
      <c r="L2450" t="s">
        <v>25</v>
      </c>
      <c r="M2450" t="s">
        <v>19</v>
      </c>
    </row>
    <row r="2451" spans="1:13" x14ac:dyDescent="0.35">
      <c r="A2451">
        <v>1035</v>
      </c>
      <c r="B2451" s="1">
        <v>45394</v>
      </c>
      <c r="C2451" t="s">
        <v>33</v>
      </c>
      <c r="D2451" t="s">
        <v>20</v>
      </c>
      <c r="E2451">
        <v>161264.70000000001</v>
      </c>
      <c r="F2451">
        <v>49</v>
      </c>
      <c r="G2451" t="s">
        <v>16</v>
      </c>
      <c r="H2451">
        <v>3115.12</v>
      </c>
      <c r="I2451">
        <v>4165.97</v>
      </c>
      <c r="J2451" t="s">
        <v>27</v>
      </c>
      <c r="K2451">
        <v>0.21</v>
      </c>
      <c r="L2451" t="s">
        <v>28</v>
      </c>
      <c r="M2451" t="s">
        <v>21</v>
      </c>
    </row>
    <row r="2452" spans="1:13" x14ac:dyDescent="0.35">
      <c r="A2452">
        <v>1075</v>
      </c>
      <c r="B2452" s="1">
        <v>45394</v>
      </c>
      <c r="C2452" t="s">
        <v>14</v>
      </c>
      <c r="D2452" t="s">
        <v>23</v>
      </c>
      <c r="E2452">
        <v>100216.63</v>
      </c>
      <c r="F2452">
        <v>24</v>
      </c>
      <c r="G2452" t="s">
        <v>26</v>
      </c>
      <c r="H2452">
        <v>2755.69</v>
      </c>
      <c r="I2452">
        <v>4691.79</v>
      </c>
      <c r="J2452" t="s">
        <v>27</v>
      </c>
      <c r="K2452">
        <v>0.11</v>
      </c>
      <c r="L2452" t="s">
        <v>28</v>
      </c>
      <c r="M2452" t="s">
        <v>19</v>
      </c>
    </row>
    <row r="2453" spans="1:13" x14ac:dyDescent="0.35">
      <c r="A2453">
        <v>1015</v>
      </c>
      <c r="B2453" s="1">
        <v>45394</v>
      </c>
      <c r="C2453" t="s">
        <v>32</v>
      </c>
      <c r="D2453" t="s">
        <v>30</v>
      </c>
      <c r="E2453">
        <v>110571.51</v>
      </c>
      <c r="F2453">
        <v>28</v>
      </c>
      <c r="G2453" t="s">
        <v>24</v>
      </c>
      <c r="H2453">
        <v>571.6</v>
      </c>
      <c r="I2453">
        <v>4487.4799999999996</v>
      </c>
      <c r="J2453" t="s">
        <v>27</v>
      </c>
      <c r="K2453">
        <v>0.12</v>
      </c>
      <c r="L2453" t="s">
        <v>18</v>
      </c>
      <c r="M2453" t="s">
        <v>19</v>
      </c>
    </row>
    <row r="2454" spans="1:13" x14ac:dyDescent="0.35">
      <c r="A2454">
        <v>1022</v>
      </c>
      <c r="B2454" s="1">
        <v>45395</v>
      </c>
      <c r="C2454" t="s">
        <v>32</v>
      </c>
      <c r="D2454" t="s">
        <v>15</v>
      </c>
      <c r="E2454">
        <v>51393.83</v>
      </c>
      <c r="F2454">
        <v>30</v>
      </c>
      <c r="G2454" t="s">
        <v>31</v>
      </c>
      <c r="H2454">
        <v>680.52</v>
      </c>
      <c r="I2454">
        <v>2284.17</v>
      </c>
      <c r="J2454" t="s">
        <v>27</v>
      </c>
      <c r="K2454">
        <v>0.25</v>
      </c>
      <c r="L2454" t="s">
        <v>18</v>
      </c>
      <c r="M2454" t="s">
        <v>19</v>
      </c>
    </row>
    <row r="2455" spans="1:13" x14ac:dyDescent="0.35">
      <c r="A2455">
        <v>1025</v>
      </c>
      <c r="B2455" s="1">
        <v>45395</v>
      </c>
      <c r="C2455" t="s">
        <v>29</v>
      </c>
      <c r="D2455" t="s">
        <v>20</v>
      </c>
      <c r="E2455">
        <v>66931.990000000005</v>
      </c>
      <c r="F2455">
        <v>23</v>
      </c>
      <c r="G2455" t="s">
        <v>16</v>
      </c>
      <c r="H2455">
        <v>1232.0999999999999</v>
      </c>
      <c r="I2455">
        <v>3269.76</v>
      </c>
      <c r="J2455" t="s">
        <v>27</v>
      </c>
      <c r="K2455">
        <v>0.11</v>
      </c>
      <c r="L2455" t="s">
        <v>28</v>
      </c>
      <c r="M2455" t="s">
        <v>19</v>
      </c>
    </row>
    <row r="2456" spans="1:13" x14ac:dyDescent="0.35">
      <c r="A2456">
        <v>1054</v>
      </c>
      <c r="B2456" s="1">
        <v>45395</v>
      </c>
      <c r="C2456" t="s">
        <v>14</v>
      </c>
      <c r="D2456" t="s">
        <v>20</v>
      </c>
      <c r="E2456">
        <v>174507.84</v>
      </c>
      <c r="F2456">
        <v>39</v>
      </c>
      <c r="G2456" t="s">
        <v>31</v>
      </c>
      <c r="H2456">
        <v>3199.72</v>
      </c>
      <c r="I2456">
        <v>4474.5600000000004</v>
      </c>
      <c r="J2456" t="s">
        <v>17</v>
      </c>
      <c r="K2456">
        <v>0</v>
      </c>
      <c r="L2456" t="s">
        <v>25</v>
      </c>
      <c r="M2456" t="s">
        <v>19</v>
      </c>
    </row>
    <row r="2457" spans="1:13" x14ac:dyDescent="0.35">
      <c r="A2457">
        <v>1048</v>
      </c>
      <c r="B2457" s="1">
        <v>45396</v>
      </c>
      <c r="C2457" t="s">
        <v>33</v>
      </c>
      <c r="D2457" t="s">
        <v>15</v>
      </c>
      <c r="E2457">
        <v>110383.57</v>
      </c>
      <c r="F2457">
        <v>27</v>
      </c>
      <c r="G2457" t="s">
        <v>16</v>
      </c>
      <c r="H2457">
        <v>3707.6</v>
      </c>
      <c r="I2457">
        <v>4285.6000000000004</v>
      </c>
      <c r="J2457" t="s">
        <v>27</v>
      </c>
      <c r="K2457">
        <v>0.05</v>
      </c>
      <c r="L2457" t="s">
        <v>28</v>
      </c>
      <c r="M2457" t="s">
        <v>19</v>
      </c>
    </row>
    <row r="2458" spans="1:13" x14ac:dyDescent="0.35">
      <c r="A2458">
        <v>1074</v>
      </c>
      <c r="B2458" s="1">
        <v>45396</v>
      </c>
      <c r="C2458" t="s">
        <v>33</v>
      </c>
      <c r="D2458" t="s">
        <v>30</v>
      </c>
      <c r="E2458">
        <v>117315.38</v>
      </c>
      <c r="F2458">
        <v>40</v>
      </c>
      <c r="G2458" t="s">
        <v>26</v>
      </c>
      <c r="H2458">
        <v>1015.81</v>
      </c>
      <c r="I2458">
        <v>4017.65</v>
      </c>
      <c r="J2458" t="s">
        <v>27</v>
      </c>
      <c r="K2458">
        <v>0.27</v>
      </c>
      <c r="L2458" t="s">
        <v>28</v>
      </c>
      <c r="M2458" t="s">
        <v>19</v>
      </c>
    </row>
    <row r="2459" spans="1:13" x14ac:dyDescent="0.35">
      <c r="A2459">
        <v>1046</v>
      </c>
      <c r="B2459" s="1">
        <v>45397</v>
      </c>
      <c r="C2459" t="s">
        <v>29</v>
      </c>
      <c r="D2459" t="s">
        <v>30</v>
      </c>
      <c r="E2459">
        <v>36493.83</v>
      </c>
      <c r="F2459">
        <v>10</v>
      </c>
      <c r="G2459" t="s">
        <v>31</v>
      </c>
      <c r="H2459">
        <v>3530.4</v>
      </c>
      <c r="I2459">
        <v>3723.86</v>
      </c>
      <c r="J2459" t="s">
        <v>17</v>
      </c>
      <c r="K2459">
        <v>0.02</v>
      </c>
      <c r="L2459" t="s">
        <v>25</v>
      </c>
      <c r="M2459" t="s">
        <v>19</v>
      </c>
    </row>
    <row r="2460" spans="1:13" x14ac:dyDescent="0.35">
      <c r="A2460">
        <v>1088</v>
      </c>
      <c r="B2460" s="1">
        <v>45397</v>
      </c>
      <c r="C2460" t="s">
        <v>29</v>
      </c>
      <c r="D2460" t="s">
        <v>15</v>
      </c>
      <c r="E2460">
        <v>31597.24</v>
      </c>
      <c r="F2460">
        <v>31</v>
      </c>
      <c r="G2460" t="s">
        <v>31</v>
      </c>
      <c r="H2460">
        <v>584.08000000000004</v>
      </c>
      <c r="I2460">
        <v>1290.21</v>
      </c>
      <c r="J2460" t="s">
        <v>17</v>
      </c>
      <c r="K2460">
        <v>0.21</v>
      </c>
      <c r="L2460" t="s">
        <v>28</v>
      </c>
      <c r="M2460" t="s">
        <v>21</v>
      </c>
    </row>
    <row r="2461" spans="1:13" x14ac:dyDescent="0.35">
      <c r="A2461">
        <v>1048</v>
      </c>
      <c r="B2461" s="1">
        <v>45397</v>
      </c>
      <c r="C2461" t="s">
        <v>33</v>
      </c>
      <c r="D2461" t="s">
        <v>30</v>
      </c>
      <c r="E2461">
        <v>149375.57</v>
      </c>
      <c r="F2461">
        <v>39</v>
      </c>
      <c r="G2461" t="s">
        <v>24</v>
      </c>
      <c r="H2461">
        <v>1626.9</v>
      </c>
      <c r="I2461">
        <v>4074.62</v>
      </c>
      <c r="J2461" t="s">
        <v>27</v>
      </c>
      <c r="K2461">
        <v>0.06</v>
      </c>
      <c r="L2461" t="s">
        <v>28</v>
      </c>
      <c r="M2461" t="s">
        <v>19</v>
      </c>
    </row>
    <row r="2462" spans="1:13" x14ac:dyDescent="0.35">
      <c r="A2462">
        <v>1041</v>
      </c>
      <c r="B2462" s="1">
        <v>45399</v>
      </c>
      <c r="C2462" t="s">
        <v>14</v>
      </c>
      <c r="D2462" t="s">
        <v>15</v>
      </c>
      <c r="E2462">
        <v>4039.95</v>
      </c>
      <c r="F2462">
        <v>1</v>
      </c>
      <c r="G2462" t="s">
        <v>16</v>
      </c>
      <c r="H2462">
        <v>1754.36</v>
      </c>
      <c r="I2462">
        <v>4697.62</v>
      </c>
      <c r="J2462" t="s">
        <v>17</v>
      </c>
      <c r="K2462">
        <v>0.14000000000000001</v>
      </c>
      <c r="L2462" t="s">
        <v>25</v>
      </c>
      <c r="M2462" t="s">
        <v>19</v>
      </c>
    </row>
    <row r="2463" spans="1:13" x14ac:dyDescent="0.35">
      <c r="A2463">
        <v>1061</v>
      </c>
      <c r="B2463" s="1">
        <v>45399</v>
      </c>
      <c r="C2463" t="s">
        <v>29</v>
      </c>
      <c r="D2463" t="s">
        <v>15</v>
      </c>
      <c r="E2463">
        <v>15408.36</v>
      </c>
      <c r="F2463">
        <v>5</v>
      </c>
      <c r="G2463" t="s">
        <v>31</v>
      </c>
      <c r="H2463">
        <v>1783.87</v>
      </c>
      <c r="I2463">
        <v>3900.85</v>
      </c>
      <c r="J2463" t="s">
        <v>27</v>
      </c>
      <c r="K2463">
        <v>0.21</v>
      </c>
      <c r="L2463" t="s">
        <v>18</v>
      </c>
      <c r="M2463" t="s">
        <v>21</v>
      </c>
    </row>
    <row r="2464" spans="1:13" x14ac:dyDescent="0.35">
      <c r="A2464">
        <v>1026</v>
      </c>
      <c r="B2464" s="1">
        <v>45399</v>
      </c>
      <c r="C2464" t="s">
        <v>14</v>
      </c>
      <c r="D2464" t="s">
        <v>23</v>
      </c>
      <c r="E2464">
        <v>21008.6</v>
      </c>
      <c r="F2464">
        <v>4</v>
      </c>
      <c r="G2464" t="s">
        <v>31</v>
      </c>
      <c r="H2464">
        <v>3245</v>
      </c>
      <c r="I2464">
        <v>5252.15</v>
      </c>
      <c r="J2464" t="s">
        <v>17</v>
      </c>
      <c r="K2464">
        <v>0</v>
      </c>
      <c r="L2464" t="s">
        <v>25</v>
      </c>
      <c r="M2464" t="s">
        <v>21</v>
      </c>
    </row>
    <row r="2465" spans="1:13" x14ac:dyDescent="0.35">
      <c r="A2465">
        <v>1075</v>
      </c>
      <c r="B2465" s="1">
        <v>45399</v>
      </c>
      <c r="C2465" t="s">
        <v>22</v>
      </c>
      <c r="D2465" t="s">
        <v>20</v>
      </c>
      <c r="E2465">
        <v>94220.05</v>
      </c>
      <c r="F2465">
        <v>22</v>
      </c>
      <c r="G2465" t="s">
        <v>24</v>
      </c>
      <c r="H2465">
        <v>3289.96</v>
      </c>
      <c r="I2465">
        <v>4449.3900000000003</v>
      </c>
      <c r="J2465" t="s">
        <v>27</v>
      </c>
      <c r="K2465">
        <v>0.04</v>
      </c>
      <c r="L2465" t="s">
        <v>28</v>
      </c>
      <c r="M2465" t="s">
        <v>19</v>
      </c>
    </row>
    <row r="2466" spans="1:13" x14ac:dyDescent="0.35">
      <c r="A2466">
        <v>1024</v>
      </c>
      <c r="B2466" s="1">
        <v>45399</v>
      </c>
      <c r="C2466" t="s">
        <v>22</v>
      </c>
      <c r="D2466" t="s">
        <v>30</v>
      </c>
      <c r="E2466">
        <v>44193.2</v>
      </c>
      <c r="F2466">
        <v>20</v>
      </c>
      <c r="G2466" t="s">
        <v>26</v>
      </c>
      <c r="H2466">
        <v>178.97</v>
      </c>
      <c r="I2466">
        <v>2599.6</v>
      </c>
      <c r="J2466" t="s">
        <v>27</v>
      </c>
      <c r="K2466">
        <v>0.15</v>
      </c>
      <c r="L2466" t="s">
        <v>28</v>
      </c>
      <c r="M2466" t="s">
        <v>21</v>
      </c>
    </row>
    <row r="2467" spans="1:13" x14ac:dyDescent="0.35">
      <c r="A2467">
        <v>1038</v>
      </c>
      <c r="B2467" s="1">
        <v>45399</v>
      </c>
      <c r="C2467" t="s">
        <v>14</v>
      </c>
      <c r="D2467" t="s">
        <v>20</v>
      </c>
      <c r="E2467">
        <v>132723.20000000001</v>
      </c>
      <c r="F2467">
        <v>43</v>
      </c>
      <c r="G2467" t="s">
        <v>26</v>
      </c>
      <c r="H2467">
        <v>1827.88</v>
      </c>
      <c r="I2467">
        <v>3810.6</v>
      </c>
      <c r="J2467" t="s">
        <v>17</v>
      </c>
      <c r="K2467">
        <v>0.19</v>
      </c>
      <c r="L2467" t="s">
        <v>25</v>
      </c>
      <c r="M2467" t="s">
        <v>19</v>
      </c>
    </row>
    <row r="2468" spans="1:13" x14ac:dyDescent="0.35">
      <c r="A2468">
        <v>1089</v>
      </c>
      <c r="B2468" s="1">
        <v>45400</v>
      </c>
      <c r="C2468" t="s">
        <v>22</v>
      </c>
      <c r="D2468" t="s">
        <v>30</v>
      </c>
      <c r="E2468">
        <v>33772.78</v>
      </c>
      <c r="F2468">
        <v>20</v>
      </c>
      <c r="G2468" t="s">
        <v>31</v>
      </c>
      <c r="H2468">
        <v>1302.43</v>
      </c>
      <c r="I2468">
        <v>1706.15</v>
      </c>
      <c r="J2468" t="s">
        <v>17</v>
      </c>
      <c r="K2468">
        <v>0.01</v>
      </c>
      <c r="L2468" t="s">
        <v>28</v>
      </c>
      <c r="M2468" t="s">
        <v>21</v>
      </c>
    </row>
    <row r="2469" spans="1:13" x14ac:dyDescent="0.35">
      <c r="A2469">
        <v>1028</v>
      </c>
      <c r="B2469" s="1">
        <v>45400</v>
      </c>
      <c r="C2469" t="s">
        <v>32</v>
      </c>
      <c r="D2469" t="s">
        <v>30</v>
      </c>
      <c r="E2469">
        <v>232898.35</v>
      </c>
      <c r="F2469">
        <v>48</v>
      </c>
      <c r="G2469" t="s">
        <v>16</v>
      </c>
      <c r="H2469">
        <v>4492.49</v>
      </c>
      <c r="I2469">
        <v>5107.42</v>
      </c>
      <c r="J2469" t="s">
        <v>17</v>
      </c>
      <c r="K2469">
        <v>0.05</v>
      </c>
      <c r="L2469" t="s">
        <v>28</v>
      </c>
      <c r="M2469" t="s">
        <v>21</v>
      </c>
    </row>
    <row r="2470" spans="1:13" x14ac:dyDescent="0.35">
      <c r="A2470">
        <v>1080</v>
      </c>
      <c r="B2470" s="1">
        <v>45400</v>
      </c>
      <c r="C2470" t="s">
        <v>33</v>
      </c>
      <c r="D2470" t="s">
        <v>20</v>
      </c>
      <c r="E2470">
        <v>24442.52</v>
      </c>
      <c r="F2470">
        <v>7</v>
      </c>
      <c r="G2470" t="s">
        <v>26</v>
      </c>
      <c r="H2470">
        <v>1026.04</v>
      </c>
      <c r="I2470">
        <v>3637.28</v>
      </c>
      <c r="J2470" t="s">
        <v>27</v>
      </c>
      <c r="K2470">
        <v>0.04</v>
      </c>
      <c r="L2470" t="s">
        <v>28</v>
      </c>
      <c r="M2470" t="s">
        <v>19</v>
      </c>
    </row>
    <row r="2471" spans="1:13" x14ac:dyDescent="0.35">
      <c r="A2471">
        <v>1031</v>
      </c>
      <c r="B2471" s="1">
        <v>45400</v>
      </c>
      <c r="C2471" t="s">
        <v>33</v>
      </c>
      <c r="D2471" t="s">
        <v>20</v>
      </c>
      <c r="E2471">
        <v>31070.28</v>
      </c>
      <c r="F2471">
        <v>12</v>
      </c>
      <c r="G2471" t="s">
        <v>24</v>
      </c>
      <c r="H2471">
        <v>454.75</v>
      </c>
      <c r="I2471">
        <v>2976.08</v>
      </c>
      <c r="J2471" t="s">
        <v>17</v>
      </c>
      <c r="K2471">
        <v>0.13</v>
      </c>
      <c r="L2471" t="s">
        <v>25</v>
      </c>
      <c r="M2471" t="s">
        <v>21</v>
      </c>
    </row>
    <row r="2472" spans="1:13" x14ac:dyDescent="0.35">
      <c r="A2472">
        <v>1077</v>
      </c>
      <c r="B2472" s="1">
        <v>45401</v>
      </c>
      <c r="C2472" t="s">
        <v>14</v>
      </c>
      <c r="D2472" t="s">
        <v>20</v>
      </c>
      <c r="E2472">
        <v>89767.34</v>
      </c>
      <c r="F2472">
        <v>40</v>
      </c>
      <c r="G2472" t="s">
        <v>24</v>
      </c>
      <c r="H2472">
        <v>2131.21</v>
      </c>
      <c r="I2472">
        <v>2439.33</v>
      </c>
      <c r="J2472" t="s">
        <v>27</v>
      </c>
      <c r="K2472">
        <v>0.08</v>
      </c>
      <c r="L2472" t="s">
        <v>28</v>
      </c>
      <c r="M2472" t="s">
        <v>21</v>
      </c>
    </row>
    <row r="2473" spans="1:13" x14ac:dyDescent="0.35">
      <c r="A2473">
        <v>1028</v>
      </c>
      <c r="B2473" s="1">
        <v>45401</v>
      </c>
      <c r="C2473" t="s">
        <v>22</v>
      </c>
      <c r="D2473" t="s">
        <v>20</v>
      </c>
      <c r="E2473">
        <v>81836.87</v>
      </c>
      <c r="F2473">
        <v>24</v>
      </c>
      <c r="G2473" t="s">
        <v>16</v>
      </c>
      <c r="H2473">
        <v>2140.3000000000002</v>
      </c>
      <c r="I2473">
        <v>3706.38</v>
      </c>
      <c r="J2473" t="s">
        <v>17</v>
      </c>
      <c r="K2473">
        <v>0.08</v>
      </c>
      <c r="L2473" t="s">
        <v>25</v>
      </c>
      <c r="M2473" t="s">
        <v>21</v>
      </c>
    </row>
    <row r="2474" spans="1:13" x14ac:dyDescent="0.35">
      <c r="A2474">
        <v>1073</v>
      </c>
      <c r="B2474" s="1">
        <v>45401</v>
      </c>
      <c r="C2474" t="s">
        <v>33</v>
      </c>
      <c r="D2474" t="s">
        <v>15</v>
      </c>
      <c r="E2474">
        <v>84623.05</v>
      </c>
      <c r="F2474">
        <v>23</v>
      </c>
      <c r="G2474" t="s">
        <v>16</v>
      </c>
      <c r="H2474">
        <v>1520.36</v>
      </c>
      <c r="I2474">
        <v>4088.07</v>
      </c>
      <c r="J2474" t="s">
        <v>27</v>
      </c>
      <c r="K2474">
        <v>0.1</v>
      </c>
      <c r="L2474" t="s">
        <v>28</v>
      </c>
      <c r="M2474" t="s">
        <v>19</v>
      </c>
    </row>
    <row r="2475" spans="1:13" x14ac:dyDescent="0.35">
      <c r="A2475">
        <v>1077</v>
      </c>
      <c r="B2475" s="1">
        <v>45401</v>
      </c>
      <c r="C2475" t="s">
        <v>32</v>
      </c>
      <c r="D2475" t="s">
        <v>23</v>
      </c>
      <c r="E2475">
        <v>129467.52</v>
      </c>
      <c r="F2475">
        <v>28</v>
      </c>
      <c r="G2475" t="s">
        <v>31</v>
      </c>
      <c r="H2475">
        <v>240.41</v>
      </c>
      <c r="I2475">
        <v>4816.5</v>
      </c>
      <c r="J2475" t="s">
        <v>27</v>
      </c>
      <c r="K2475">
        <v>0.04</v>
      </c>
      <c r="L2475" t="s">
        <v>28</v>
      </c>
      <c r="M2475" t="s">
        <v>21</v>
      </c>
    </row>
    <row r="2476" spans="1:13" x14ac:dyDescent="0.35">
      <c r="A2476">
        <v>1023</v>
      </c>
      <c r="B2476" s="1">
        <v>45402</v>
      </c>
      <c r="C2476" t="s">
        <v>29</v>
      </c>
      <c r="D2476" t="s">
        <v>15</v>
      </c>
      <c r="E2476">
        <v>9403.56</v>
      </c>
      <c r="F2476">
        <v>2</v>
      </c>
      <c r="G2476" t="s">
        <v>26</v>
      </c>
      <c r="H2476">
        <v>650.41</v>
      </c>
      <c r="I2476">
        <v>5055.68</v>
      </c>
      <c r="J2476" t="s">
        <v>27</v>
      </c>
      <c r="K2476">
        <v>7.0000000000000007E-2</v>
      </c>
      <c r="L2476" t="s">
        <v>25</v>
      </c>
      <c r="M2476" t="s">
        <v>21</v>
      </c>
    </row>
    <row r="2477" spans="1:13" x14ac:dyDescent="0.35">
      <c r="A2477">
        <v>1021</v>
      </c>
      <c r="B2477" s="1">
        <v>45402</v>
      </c>
      <c r="C2477" t="s">
        <v>22</v>
      </c>
      <c r="D2477" t="s">
        <v>20</v>
      </c>
      <c r="E2477">
        <v>13708.93</v>
      </c>
      <c r="F2477">
        <v>5</v>
      </c>
      <c r="G2477" t="s">
        <v>26</v>
      </c>
      <c r="H2477">
        <v>1110.17</v>
      </c>
      <c r="I2477">
        <v>3384.92</v>
      </c>
      <c r="J2477" t="s">
        <v>27</v>
      </c>
      <c r="K2477">
        <v>0.19</v>
      </c>
      <c r="L2477" t="s">
        <v>18</v>
      </c>
      <c r="M2477" t="s">
        <v>21</v>
      </c>
    </row>
    <row r="2478" spans="1:13" x14ac:dyDescent="0.35">
      <c r="A2478">
        <v>1085</v>
      </c>
      <c r="B2478" s="1">
        <v>45402</v>
      </c>
      <c r="C2478" t="s">
        <v>14</v>
      </c>
      <c r="D2478" t="s">
        <v>20</v>
      </c>
      <c r="E2478">
        <v>40124.519999999997</v>
      </c>
      <c r="F2478">
        <v>25</v>
      </c>
      <c r="G2478" t="s">
        <v>31</v>
      </c>
      <c r="H2478">
        <v>818.15</v>
      </c>
      <c r="I2478">
        <v>2229.14</v>
      </c>
      <c r="J2478" t="s">
        <v>27</v>
      </c>
      <c r="K2478">
        <v>0.28000000000000003</v>
      </c>
      <c r="L2478" t="s">
        <v>18</v>
      </c>
      <c r="M2478" t="s">
        <v>21</v>
      </c>
    </row>
    <row r="2479" spans="1:13" x14ac:dyDescent="0.35">
      <c r="A2479">
        <v>1046</v>
      </c>
      <c r="B2479" s="1">
        <v>45402</v>
      </c>
      <c r="C2479" t="s">
        <v>22</v>
      </c>
      <c r="D2479" t="s">
        <v>30</v>
      </c>
      <c r="E2479">
        <v>171822.81</v>
      </c>
      <c r="F2479">
        <v>38</v>
      </c>
      <c r="G2479" t="s">
        <v>16</v>
      </c>
      <c r="H2479">
        <v>3589.17</v>
      </c>
      <c r="I2479">
        <v>4914.84</v>
      </c>
      <c r="J2479" t="s">
        <v>17</v>
      </c>
      <c r="K2479">
        <v>0.08</v>
      </c>
      <c r="L2479" t="s">
        <v>28</v>
      </c>
      <c r="M2479" t="s">
        <v>21</v>
      </c>
    </row>
    <row r="2480" spans="1:13" x14ac:dyDescent="0.35">
      <c r="A2480">
        <v>1006</v>
      </c>
      <c r="B2480" s="1">
        <v>45402</v>
      </c>
      <c r="C2480" t="s">
        <v>32</v>
      </c>
      <c r="D2480" t="s">
        <v>23</v>
      </c>
      <c r="E2480">
        <v>91976.87</v>
      </c>
      <c r="F2480">
        <v>26</v>
      </c>
      <c r="G2480" t="s">
        <v>26</v>
      </c>
      <c r="H2480">
        <v>1308.68</v>
      </c>
      <c r="I2480">
        <v>3974.8</v>
      </c>
      <c r="J2480" t="s">
        <v>17</v>
      </c>
      <c r="K2480">
        <v>0.11</v>
      </c>
      <c r="L2480" t="s">
        <v>18</v>
      </c>
      <c r="M2480" t="s">
        <v>21</v>
      </c>
    </row>
    <row r="2481" spans="1:13" x14ac:dyDescent="0.35">
      <c r="A2481">
        <v>1076</v>
      </c>
      <c r="B2481" s="1">
        <v>45403</v>
      </c>
      <c r="C2481" t="s">
        <v>22</v>
      </c>
      <c r="D2481" t="s">
        <v>30</v>
      </c>
      <c r="E2481">
        <v>181040.63</v>
      </c>
      <c r="F2481">
        <v>37</v>
      </c>
      <c r="G2481" t="s">
        <v>24</v>
      </c>
      <c r="H2481">
        <v>3685.44</v>
      </c>
      <c r="I2481">
        <v>4892.99</v>
      </c>
      <c r="J2481" t="s">
        <v>17</v>
      </c>
      <c r="K2481">
        <v>0</v>
      </c>
      <c r="L2481" t="s">
        <v>18</v>
      </c>
      <c r="M2481" t="s">
        <v>19</v>
      </c>
    </row>
    <row r="2482" spans="1:13" x14ac:dyDescent="0.35">
      <c r="A2482">
        <v>1070</v>
      </c>
      <c r="B2482" s="1">
        <v>45404</v>
      </c>
      <c r="C2482" t="s">
        <v>33</v>
      </c>
      <c r="D2482" t="s">
        <v>30</v>
      </c>
      <c r="E2482">
        <v>26387.81</v>
      </c>
      <c r="F2482">
        <v>40</v>
      </c>
      <c r="G2482" t="s">
        <v>16</v>
      </c>
      <c r="H2482">
        <v>499.2</v>
      </c>
      <c r="I2482">
        <v>717.06</v>
      </c>
      <c r="J2482" t="s">
        <v>27</v>
      </c>
      <c r="K2482">
        <v>0.08</v>
      </c>
      <c r="L2482" t="s">
        <v>28</v>
      </c>
      <c r="M2482" t="s">
        <v>21</v>
      </c>
    </row>
    <row r="2483" spans="1:13" x14ac:dyDescent="0.35">
      <c r="A2483">
        <v>1022</v>
      </c>
      <c r="B2483" s="1">
        <v>45404</v>
      </c>
      <c r="C2483" t="s">
        <v>22</v>
      </c>
      <c r="D2483" t="s">
        <v>20</v>
      </c>
      <c r="E2483">
        <v>27162.05</v>
      </c>
      <c r="F2483">
        <v>7</v>
      </c>
      <c r="G2483" t="s">
        <v>16</v>
      </c>
      <c r="H2483">
        <v>2232.27</v>
      </c>
      <c r="I2483">
        <v>4565.05</v>
      </c>
      <c r="J2483" t="s">
        <v>27</v>
      </c>
      <c r="K2483">
        <v>0.15</v>
      </c>
      <c r="L2483" t="s">
        <v>25</v>
      </c>
      <c r="M2483" t="s">
        <v>19</v>
      </c>
    </row>
    <row r="2484" spans="1:13" x14ac:dyDescent="0.35">
      <c r="A2484">
        <v>1041</v>
      </c>
      <c r="B2484" s="1">
        <v>45404</v>
      </c>
      <c r="C2484" t="s">
        <v>14</v>
      </c>
      <c r="D2484" t="s">
        <v>23</v>
      </c>
      <c r="E2484">
        <v>105658</v>
      </c>
      <c r="F2484">
        <v>40</v>
      </c>
      <c r="G2484" t="s">
        <v>16</v>
      </c>
      <c r="H2484">
        <v>1722.2</v>
      </c>
      <c r="I2484">
        <v>3773.5</v>
      </c>
      <c r="J2484" t="s">
        <v>27</v>
      </c>
      <c r="K2484">
        <v>0.3</v>
      </c>
      <c r="L2484" t="s">
        <v>25</v>
      </c>
      <c r="M2484" t="s">
        <v>19</v>
      </c>
    </row>
    <row r="2485" spans="1:13" x14ac:dyDescent="0.35">
      <c r="A2485">
        <v>1043</v>
      </c>
      <c r="B2485" s="1">
        <v>45405</v>
      </c>
      <c r="C2485" t="s">
        <v>33</v>
      </c>
      <c r="D2485" t="s">
        <v>23</v>
      </c>
      <c r="E2485">
        <v>8930.75</v>
      </c>
      <c r="F2485">
        <v>6</v>
      </c>
      <c r="G2485" t="s">
        <v>31</v>
      </c>
      <c r="H2485">
        <v>1370.3</v>
      </c>
      <c r="I2485">
        <v>1984.61</v>
      </c>
      <c r="J2485" t="s">
        <v>27</v>
      </c>
      <c r="K2485">
        <v>0.25</v>
      </c>
      <c r="L2485" t="s">
        <v>18</v>
      </c>
      <c r="M2485" t="s">
        <v>21</v>
      </c>
    </row>
    <row r="2486" spans="1:13" x14ac:dyDescent="0.35">
      <c r="A2486">
        <v>1048</v>
      </c>
      <c r="B2486" s="1">
        <v>45405</v>
      </c>
      <c r="C2486" t="s">
        <v>32</v>
      </c>
      <c r="D2486" t="s">
        <v>20</v>
      </c>
      <c r="E2486">
        <v>136867.64000000001</v>
      </c>
      <c r="F2486">
        <v>48</v>
      </c>
      <c r="G2486" t="s">
        <v>26</v>
      </c>
      <c r="H2486">
        <v>2788.03</v>
      </c>
      <c r="I2486">
        <v>2958.24</v>
      </c>
      <c r="J2486" t="s">
        <v>27</v>
      </c>
      <c r="K2486">
        <v>0.04</v>
      </c>
      <c r="L2486" t="s">
        <v>25</v>
      </c>
      <c r="M2486" t="s">
        <v>19</v>
      </c>
    </row>
    <row r="2487" spans="1:13" x14ac:dyDescent="0.35">
      <c r="A2487">
        <v>1059</v>
      </c>
      <c r="B2487" s="1">
        <v>45405</v>
      </c>
      <c r="C2487" t="s">
        <v>22</v>
      </c>
      <c r="D2487" t="s">
        <v>15</v>
      </c>
      <c r="E2487">
        <v>50654.42</v>
      </c>
      <c r="F2487">
        <v>33</v>
      </c>
      <c r="G2487" t="s">
        <v>24</v>
      </c>
      <c r="H2487">
        <v>1424.73</v>
      </c>
      <c r="I2487">
        <v>1598.94</v>
      </c>
      <c r="J2487" t="s">
        <v>17</v>
      </c>
      <c r="K2487">
        <v>0.04</v>
      </c>
      <c r="L2487" t="s">
        <v>28</v>
      </c>
      <c r="M2487" t="s">
        <v>19</v>
      </c>
    </row>
    <row r="2488" spans="1:13" x14ac:dyDescent="0.35">
      <c r="A2488">
        <v>1075</v>
      </c>
      <c r="B2488" s="1">
        <v>45405</v>
      </c>
      <c r="C2488" t="s">
        <v>32</v>
      </c>
      <c r="D2488" t="s">
        <v>20</v>
      </c>
      <c r="E2488">
        <v>94026.7</v>
      </c>
      <c r="F2488">
        <v>23</v>
      </c>
      <c r="G2488" t="s">
        <v>24</v>
      </c>
      <c r="H2488">
        <v>2608.27</v>
      </c>
      <c r="I2488">
        <v>4809.55</v>
      </c>
      <c r="J2488" t="s">
        <v>17</v>
      </c>
      <c r="K2488">
        <v>0.15</v>
      </c>
      <c r="L2488" t="s">
        <v>25</v>
      </c>
      <c r="M2488" t="s">
        <v>19</v>
      </c>
    </row>
    <row r="2489" spans="1:13" x14ac:dyDescent="0.35">
      <c r="A2489">
        <v>1075</v>
      </c>
      <c r="B2489" s="1">
        <v>45405</v>
      </c>
      <c r="C2489" t="s">
        <v>32</v>
      </c>
      <c r="D2489" t="s">
        <v>15</v>
      </c>
      <c r="E2489">
        <v>84558.52</v>
      </c>
      <c r="F2489">
        <v>35</v>
      </c>
      <c r="G2489" t="s">
        <v>24</v>
      </c>
      <c r="H2489">
        <v>516.53</v>
      </c>
      <c r="I2489">
        <v>2946.29</v>
      </c>
      <c r="J2489" t="s">
        <v>27</v>
      </c>
      <c r="K2489">
        <v>0.18</v>
      </c>
      <c r="L2489" t="s">
        <v>28</v>
      </c>
      <c r="M2489" t="s">
        <v>21</v>
      </c>
    </row>
    <row r="2490" spans="1:13" x14ac:dyDescent="0.35">
      <c r="A2490">
        <v>1009</v>
      </c>
      <c r="B2490" s="1">
        <v>45406</v>
      </c>
      <c r="C2490" t="s">
        <v>22</v>
      </c>
      <c r="D2490" t="s">
        <v>15</v>
      </c>
      <c r="E2490">
        <v>65836.320000000007</v>
      </c>
      <c r="F2490">
        <v>15</v>
      </c>
      <c r="G2490" t="s">
        <v>26</v>
      </c>
      <c r="H2490">
        <v>3985.7</v>
      </c>
      <c r="I2490">
        <v>4987.6000000000004</v>
      </c>
      <c r="J2490" t="s">
        <v>27</v>
      </c>
      <c r="K2490">
        <v>0.12</v>
      </c>
      <c r="L2490" t="s">
        <v>28</v>
      </c>
      <c r="M2490" t="s">
        <v>21</v>
      </c>
    </row>
    <row r="2491" spans="1:13" x14ac:dyDescent="0.35">
      <c r="A2491">
        <v>1001</v>
      </c>
      <c r="B2491" s="1">
        <v>45406</v>
      </c>
      <c r="C2491" t="s">
        <v>14</v>
      </c>
      <c r="D2491" t="s">
        <v>20</v>
      </c>
      <c r="E2491">
        <v>12589.58</v>
      </c>
      <c r="F2491">
        <v>6</v>
      </c>
      <c r="G2491" t="s">
        <v>24</v>
      </c>
      <c r="H2491">
        <v>288.83999999999997</v>
      </c>
      <c r="I2491">
        <v>2622.83</v>
      </c>
      <c r="J2491" t="s">
        <v>27</v>
      </c>
      <c r="K2491">
        <v>0.2</v>
      </c>
      <c r="L2491" t="s">
        <v>28</v>
      </c>
      <c r="M2491" t="s">
        <v>21</v>
      </c>
    </row>
    <row r="2492" spans="1:13" x14ac:dyDescent="0.35">
      <c r="A2492">
        <v>1065</v>
      </c>
      <c r="B2492" s="1">
        <v>45407</v>
      </c>
      <c r="C2492" t="s">
        <v>33</v>
      </c>
      <c r="D2492" t="s">
        <v>23</v>
      </c>
      <c r="E2492">
        <v>2196.85</v>
      </c>
      <c r="F2492">
        <v>6</v>
      </c>
      <c r="G2492" t="s">
        <v>31</v>
      </c>
      <c r="H2492">
        <v>188.62</v>
      </c>
      <c r="I2492">
        <v>397.98</v>
      </c>
      <c r="J2492" t="s">
        <v>27</v>
      </c>
      <c r="K2492">
        <v>0.08</v>
      </c>
      <c r="L2492" t="s">
        <v>25</v>
      </c>
      <c r="M2492" t="s">
        <v>19</v>
      </c>
    </row>
    <row r="2493" spans="1:13" x14ac:dyDescent="0.35">
      <c r="A2493">
        <v>1063</v>
      </c>
      <c r="B2493" s="1">
        <v>45407</v>
      </c>
      <c r="C2493" t="s">
        <v>32</v>
      </c>
      <c r="D2493" t="s">
        <v>20</v>
      </c>
      <c r="E2493">
        <v>35930.58</v>
      </c>
      <c r="F2493">
        <v>22</v>
      </c>
      <c r="G2493" t="s">
        <v>26</v>
      </c>
      <c r="H2493">
        <v>1059.98</v>
      </c>
      <c r="I2493">
        <v>2041.51</v>
      </c>
      <c r="J2493" t="s">
        <v>17</v>
      </c>
      <c r="K2493">
        <v>0.2</v>
      </c>
      <c r="L2493" t="s">
        <v>25</v>
      </c>
      <c r="M2493" t="s">
        <v>19</v>
      </c>
    </row>
    <row r="2494" spans="1:13" x14ac:dyDescent="0.35">
      <c r="A2494">
        <v>1048</v>
      </c>
      <c r="B2494" s="1">
        <v>45408</v>
      </c>
      <c r="C2494" t="s">
        <v>32</v>
      </c>
      <c r="D2494" t="s">
        <v>20</v>
      </c>
      <c r="E2494">
        <v>27417</v>
      </c>
      <c r="F2494">
        <v>9</v>
      </c>
      <c r="G2494" t="s">
        <v>31</v>
      </c>
      <c r="H2494">
        <v>2183.13</v>
      </c>
      <c r="I2494">
        <v>3715.04</v>
      </c>
      <c r="J2494" t="s">
        <v>27</v>
      </c>
      <c r="K2494">
        <v>0.18</v>
      </c>
      <c r="L2494" t="s">
        <v>25</v>
      </c>
      <c r="M2494" t="s">
        <v>19</v>
      </c>
    </row>
    <row r="2495" spans="1:13" x14ac:dyDescent="0.35">
      <c r="A2495">
        <v>1038</v>
      </c>
      <c r="B2495" s="1">
        <v>45408</v>
      </c>
      <c r="C2495" t="s">
        <v>33</v>
      </c>
      <c r="D2495" t="s">
        <v>20</v>
      </c>
      <c r="E2495">
        <v>11199.72</v>
      </c>
      <c r="F2495">
        <v>9</v>
      </c>
      <c r="G2495" t="s">
        <v>24</v>
      </c>
      <c r="H2495">
        <v>319.58</v>
      </c>
      <c r="I2495">
        <v>1269.81</v>
      </c>
      <c r="J2495" t="s">
        <v>27</v>
      </c>
      <c r="K2495">
        <v>0.02</v>
      </c>
      <c r="L2495" t="s">
        <v>28</v>
      </c>
      <c r="M2495" t="s">
        <v>19</v>
      </c>
    </row>
    <row r="2496" spans="1:13" x14ac:dyDescent="0.35">
      <c r="A2496">
        <v>1031</v>
      </c>
      <c r="B2496" s="1">
        <v>45408</v>
      </c>
      <c r="C2496" t="s">
        <v>33</v>
      </c>
      <c r="D2496" t="s">
        <v>23</v>
      </c>
      <c r="E2496">
        <v>25922.18</v>
      </c>
      <c r="F2496">
        <v>11</v>
      </c>
      <c r="G2496" t="s">
        <v>24</v>
      </c>
      <c r="H2496">
        <v>1316.21</v>
      </c>
      <c r="I2496">
        <v>3060.47</v>
      </c>
      <c r="J2496" t="s">
        <v>27</v>
      </c>
      <c r="K2496">
        <v>0.23</v>
      </c>
      <c r="L2496" t="s">
        <v>25</v>
      </c>
      <c r="M2496" t="s">
        <v>19</v>
      </c>
    </row>
    <row r="2497" spans="1:13" x14ac:dyDescent="0.35">
      <c r="A2497">
        <v>1097</v>
      </c>
      <c r="B2497" s="1">
        <v>45408</v>
      </c>
      <c r="C2497" t="s">
        <v>33</v>
      </c>
      <c r="D2497" t="s">
        <v>15</v>
      </c>
      <c r="E2497">
        <v>96159.17</v>
      </c>
      <c r="F2497">
        <v>30</v>
      </c>
      <c r="G2497" t="s">
        <v>16</v>
      </c>
      <c r="H2497">
        <v>2727.01</v>
      </c>
      <c r="I2497">
        <v>3270.72</v>
      </c>
      <c r="J2497" t="s">
        <v>27</v>
      </c>
      <c r="K2497">
        <v>0.02</v>
      </c>
      <c r="L2497" t="s">
        <v>25</v>
      </c>
      <c r="M2497" t="s">
        <v>21</v>
      </c>
    </row>
    <row r="2498" spans="1:13" x14ac:dyDescent="0.35">
      <c r="A2498">
        <v>1048</v>
      </c>
      <c r="B2498" s="1">
        <v>45408</v>
      </c>
      <c r="C2498" t="s">
        <v>22</v>
      </c>
      <c r="D2498" t="s">
        <v>30</v>
      </c>
      <c r="E2498">
        <v>62142.58</v>
      </c>
      <c r="F2498">
        <v>18</v>
      </c>
      <c r="G2498" t="s">
        <v>31</v>
      </c>
      <c r="H2498">
        <v>1405.52</v>
      </c>
      <c r="I2498">
        <v>3559.14</v>
      </c>
      <c r="J2498" t="s">
        <v>27</v>
      </c>
      <c r="K2498">
        <v>0.03</v>
      </c>
      <c r="L2498" t="s">
        <v>25</v>
      </c>
      <c r="M2498" t="s">
        <v>21</v>
      </c>
    </row>
    <row r="2499" spans="1:13" x14ac:dyDescent="0.35">
      <c r="A2499">
        <v>1013</v>
      </c>
      <c r="B2499" s="1">
        <v>45409</v>
      </c>
      <c r="C2499" t="s">
        <v>29</v>
      </c>
      <c r="D2499" t="s">
        <v>30</v>
      </c>
      <c r="E2499">
        <v>75074.77</v>
      </c>
      <c r="F2499">
        <v>47</v>
      </c>
      <c r="G2499" t="s">
        <v>26</v>
      </c>
      <c r="H2499">
        <v>1383.07</v>
      </c>
      <c r="I2499">
        <v>1901.59</v>
      </c>
      <c r="J2499" t="s">
        <v>27</v>
      </c>
      <c r="K2499">
        <v>0.16</v>
      </c>
      <c r="L2499" t="s">
        <v>25</v>
      </c>
      <c r="M2499" t="s">
        <v>19</v>
      </c>
    </row>
    <row r="2500" spans="1:13" x14ac:dyDescent="0.35">
      <c r="A2500">
        <v>1069</v>
      </c>
      <c r="B2500" s="1">
        <v>45410</v>
      </c>
      <c r="C2500" t="s">
        <v>32</v>
      </c>
      <c r="D2500" t="s">
        <v>20</v>
      </c>
      <c r="E2500">
        <v>303.64</v>
      </c>
      <c r="F2500">
        <v>1</v>
      </c>
      <c r="G2500" t="s">
        <v>16</v>
      </c>
      <c r="H2500">
        <v>301.02</v>
      </c>
      <c r="I2500">
        <v>304.48</v>
      </c>
      <c r="J2500" t="s">
        <v>17</v>
      </c>
      <c r="K2500">
        <v>0</v>
      </c>
      <c r="L2500" t="s">
        <v>28</v>
      </c>
      <c r="M2500" t="s">
        <v>19</v>
      </c>
    </row>
    <row r="2501" spans="1:13" x14ac:dyDescent="0.35">
      <c r="A2501">
        <v>1087</v>
      </c>
      <c r="B2501" s="1">
        <v>45410</v>
      </c>
      <c r="C2501" t="s">
        <v>29</v>
      </c>
      <c r="D2501" t="s">
        <v>23</v>
      </c>
      <c r="E2501">
        <v>7113.46</v>
      </c>
      <c r="F2501">
        <v>2</v>
      </c>
      <c r="G2501" t="s">
        <v>31</v>
      </c>
      <c r="H2501">
        <v>1190.3499999999999</v>
      </c>
      <c r="I2501">
        <v>4135.7299999999996</v>
      </c>
      <c r="J2501" t="s">
        <v>17</v>
      </c>
      <c r="K2501">
        <v>0.14000000000000001</v>
      </c>
      <c r="L2501" t="s">
        <v>25</v>
      </c>
      <c r="M2501" t="s">
        <v>21</v>
      </c>
    </row>
    <row r="2502" spans="1:13" x14ac:dyDescent="0.35">
      <c r="A2502">
        <v>1036</v>
      </c>
      <c r="B2502" s="1">
        <v>45411</v>
      </c>
      <c r="C2502" t="s">
        <v>32</v>
      </c>
      <c r="D2502" t="s">
        <v>20</v>
      </c>
      <c r="E2502">
        <v>37810.58</v>
      </c>
      <c r="F2502">
        <v>30</v>
      </c>
      <c r="G2502" t="s">
        <v>24</v>
      </c>
      <c r="H2502">
        <v>1103.45</v>
      </c>
      <c r="I2502">
        <v>1500.42</v>
      </c>
      <c r="J2502" t="s">
        <v>17</v>
      </c>
      <c r="K2502">
        <v>0.16</v>
      </c>
      <c r="L2502" t="s">
        <v>18</v>
      </c>
      <c r="M2502" t="s">
        <v>19</v>
      </c>
    </row>
    <row r="2503" spans="1:13" x14ac:dyDescent="0.35">
      <c r="A2503">
        <v>1074</v>
      </c>
      <c r="B2503" s="1">
        <v>45411</v>
      </c>
      <c r="C2503" t="s">
        <v>32</v>
      </c>
      <c r="D2503" t="s">
        <v>20</v>
      </c>
      <c r="E2503">
        <v>37979.08</v>
      </c>
      <c r="F2503">
        <v>16</v>
      </c>
      <c r="G2503" t="s">
        <v>26</v>
      </c>
      <c r="H2503">
        <v>1369.44</v>
      </c>
      <c r="I2503">
        <v>3123.28</v>
      </c>
      <c r="J2503" t="s">
        <v>27</v>
      </c>
      <c r="K2503">
        <v>0.24</v>
      </c>
      <c r="L2503" t="s">
        <v>25</v>
      </c>
      <c r="M2503" t="s">
        <v>19</v>
      </c>
    </row>
    <row r="2504" spans="1:13" x14ac:dyDescent="0.35">
      <c r="A2504">
        <v>1022</v>
      </c>
      <c r="B2504" s="1">
        <v>45411</v>
      </c>
      <c r="C2504" t="s">
        <v>14</v>
      </c>
      <c r="D2504" t="s">
        <v>30</v>
      </c>
      <c r="E2504">
        <v>43129.43</v>
      </c>
      <c r="F2504">
        <v>25</v>
      </c>
      <c r="G2504" t="s">
        <v>26</v>
      </c>
      <c r="H2504">
        <v>898.06</v>
      </c>
      <c r="I2504">
        <v>2269.9699999999998</v>
      </c>
      <c r="J2504" t="s">
        <v>17</v>
      </c>
      <c r="K2504">
        <v>0.24</v>
      </c>
      <c r="L2504" t="s">
        <v>18</v>
      </c>
      <c r="M2504" t="s">
        <v>21</v>
      </c>
    </row>
    <row r="2505" spans="1:13" x14ac:dyDescent="0.35">
      <c r="A2505">
        <v>1037</v>
      </c>
      <c r="B2505" s="1">
        <v>45411</v>
      </c>
      <c r="C2505" t="s">
        <v>22</v>
      </c>
      <c r="D2505" t="s">
        <v>23</v>
      </c>
      <c r="E2505">
        <v>224046.95</v>
      </c>
      <c r="F2505">
        <v>48</v>
      </c>
      <c r="G2505" t="s">
        <v>16</v>
      </c>
      <c r="H2505">
        <v>3838.39</v>
      </c>
      <c r="I2505">
        <v>5129.28</v>
      </c>
      <c r="J2505" t="s">
        <v>27</v>
      </c>
      <c r="K2505">
        <v>0.09</v>
      </c>
      <c r="L2505" t="s">
        <v>25</v>
      </c>
      <c r="M2505" t="s">
        <v>21</v>
      </c>
    </row>
    <row r="2506" spans="1:13" x14ac:dyDescent="0.35">
      <c r="A2506">
        <v>1081</v>
      </c>
      <c r="B2506" s="1">
        <v>45411</v>
      </c>
      <c r="C2506" t="s">
        <v>14</v>
      </c>
      <c r="D2506" t="s">
        <v>20</v>
      </c>
      <c r="E2506">
        <v>90761.39</v>
      </c>
      <c r="F2506">
        <v>29</v>
      </c>
      <c r="G2506" t="s">
        <v>26</v>
      </c>
      <c r="H2506">
        <v>1371.63</v>
      </c>
      <c r="I2506">
        <v>3597.36</v>
      </c>
      <c r="J2506" t="s">
        <v>27</v>
      </c>
      <c r="K2506">
        <v>0.13</v>
      </c>
      <c r="L2506" t="s">
        <v>18</v>
      </c>
      <c r="M2506" t="s">
        <v>21</v>
      </c>
    </row>
    <row r="2507" spans="1:13" x14ac:dyDescent="0.35">
      <c r="A2507">
        <v>1097</v>
      </c>
      <c r="B2507" s="1">
        <v>45412</v>
      </c>
      <c r="C2507" t="s">
        <v>32</v>
      </c>
      <c r="D2507" t="s">
        <v>15</v>
      </c>
      <c r="E2507">
        <v>51988.46</v>
      </c>
      <c r="F2507">
        <v>46</v>
      </c>
      <c r="G2507" t="s">
        <v>24</v>
      </c>
      <c r="H2507">
        <v>961.86</v>
      </c>
      <c r="I2507">
        <v>1569.7</v>
      </c>
      <c r="J2507" t="s">
        <v>17</v>
      </c>
      <c r="K2507">
        <v>0.28000000000000003</v>
      </c>
      <c r="L2507" t="s">
        <v>25</v>
      </c>
      <c r="M2507" t="s">
        <v>21</v>
      </c>
    </row>
    <row r="2508" spans="1:13" x14ac:dyDescent="0.35">
      <c r="A2508">
        <v>1073</v>
      </c>
      <c r="B2508" s="1">
        <v>45413</v>
      </c>
      <c r="C2508" t="s">
        <v>14</v>
      </c>
      <c r="D2508" t="s">
        <v>23</v>
      </c>
      <c r="E2508">
        <v>71305.87</v>
      </c>
      <c r="F2508">
        <v>24</v>
      </c>
      <c r="G2508" t="s">
        <v>31</v>
      </c>
      <c r="H2508">
        <v>2750.37</v>
      </c>
      <c r="I2508">
        <v>3050.96</v>
      </c>
      <c r="J2508" t="s">
        <v>17</v>
      </c>
      <c r="K2508">
        <v>0.03</v>
      </c>
      <c r="L2508" t="s">
        <v>25</v>
      </c>
      <c r="M2508" t="s">
        <v>21</v>
      </c>
    </row>
    <row r="2509" spans="1:13" x14ac:dyDescent="0.35">
      <c r="A2509">
        <v>1069</v>
      </c>
      <c r="B2509" s="1">
        <v>45413</v>
      </c>
      <c r="C2509" t="s">
        <v>14</v>
      </c>
      <c r="D2509" t="s">
        <v>23</v>
      </c>
      <c r="E2509">
        <v>71541.960000000006</v>
      </c>
      <c r="F2509">
        <v>20</v>
      </c>
      <c r="G2509" t="s">
        <v>24</v>
      </c>
      <c r="H2509">
        <v>2938.85</v>
      </c>
      <c r="I2509">
        <v>3650.1</v>
      </c>
      <c r="J2509" t="s">
        <v>17</v>
      </c>
      <c r="K2509">
        <v>0.02</v>
      </c>
      <c r="L2509" t="s">
        <v>25</v>
      </c>
      <c r="M2509" t="s">
        <v>21</v>
      </c>
    </row>
    <row r="2510" spans="1:13" x14ac:dyDescent="0.35">
      <c r="A2510">
        <v>1030</v>
      </c>
      <c r="B2510" s="1">
        <v>45413</v>
      </c>
      <c r="C2510" t="s">
        <v>33</v>
      </c>
      <c r="D2510" t="s">
        <v>30</v>
      </c>
      <c r="E2510">
        <v>143681.47</v>
      </c>
      <c r="F2510">
        <v>45</v>
      </c>
      <c r="G2510" t="s">
        <v>26</v>
      </c>
      <c r="H2510">
        <v>2840.4</v>
      </c>
      <c r="I2510">
        <v>3346.08</v>
      </c>
      <c r="J2510" t="s">
        <v>27</v>
      </c>
      <c r="K2510">
        <v>0.05</v>
      </c>
      <c r="L2510" t="s">
        <v>25</v>
      </c>
      <c r="M2510" t="s">
        <v>19</v>
      </c>
    </row>
    <row r="2511" spans="1:13" x14ac:dyDescent="0.35">
      <c r="A2511">
        <v>1091</v>
      </c>
      <c r="B2511" s="1">
        <v>45413</v>
      </c>
      <c r="C2511" t="s">
        <v>33</v>
      </c>
      <c r="D2511" t="s">
        <v>23</v>
      </c>
      <c r="E2511">
        <v>97719.31</v>
      </c>
      <c r="F2511">
        <v>32</v>
      </c>
      <c r="G2511" t="s">
        <v>26</v>
      </c>
      <c r="H2511">
        <v>1954.35</v>
      </c>
      <c r="I2511">
        <v>3319.27</v>
      </c>
      <c r="J2511" t="s">
        <v>17</v>
      </c>
      <c r="K2511">
        <v>0.08</v>
      </c>
      <c r="L2511" t="s">
        <v>25</v>
      </c>
      <c r="M2511" t="s">
        <v>21</v>
      </c>
    </row>
    <row r="2512" spans="1:13" x14ac:dyDescent="0.35">
      <c r="A2512">
        <v>1058</v>
      </c>
      <c r="B2512" s="1">
        <v>45413</v>
      </c>
      <c r="C2512" t="s">
        <v>32</v>
      </c>
      <c r="D2512" t="s">
        <v>15</v>
      </c>
      <c r="E2512">
        <v>203840.28</v>
      </c>
      <c r="F2512">
        <v>49</v>
      </c>
      <c r="G2512" t="s">
        <v>16</v>
      </c>
      <c r="H2512">
        <v>1387.77</v>
      </c>
      <c r="I2512">
        <v>5265.83</v>
      </c>
      <c r="J2512" t="s">
        <v>17</v>
      </c>
      <c r="K2512">
        <v>0.21</v>
      </c>
      <c r="L2512" t="s">
        <v>25</v>
      </c>
      <c r="M2512" t="s">
        <v>19</v>
      </c>
    </row>
    <row r="2513" spans="1:13" x14ac:dyDescent="0.35">
      <c r="A2513">
        <v>1022</v>
      </c>
      <c r="B2513" s="1">
        <v>45413</v>
      </c>
      <c r="C2513" t="s">
        <v>33</v>
      </c>
      <c r="D2513" t="s">
        <v>15</v>
      </c>
      <c r="E2513">
        <v>190479.64</v>
      </c>
      <c r="F2513">
        <v>42</v>
      </c>
      <c r="G2513" t="s">
        <v>24</v>
      </c>
      <c r="H2513">
        <v>777.9</v>
      </c>
      <c r="I2513">
        <v>4581.04</v>
      </c>
      <c r="J2513" t="s">
        <v>27</v>
      </c>
      <c r="K2513">
        <v>0.01</v>
      </c>
      <c r="L2513" t="s">
        <v>18</v>
      </c>
      <c r="M2513" t="s">
        <v>21</v>
      </c>
    </row>
    <row r="2514" spans="1:13" x14ac:dyDescent="0.35">
      <c r="A2514">
        <v>1051</v>
      </c>
      <c r="B2514" s="1">
        <v>45414</v>
      </c>
      <c r="C2514" t="s">
        <v>22</v>
      </c>
      <c r="D2514" t="s">
        <v>30</v>
      </c>
      <c r="E2514">
        <v>20282.37</v>
      </c>
      <c r="F2514">
        <v>4</v>
      </c>
      <c r="G2514" t="s">
        <v>16</v>
      </c>
      <c r="H2514">
        <v>4762.66</v>
      </c>
      <c r="I2514">
        <v>5261.04</v>
      </c>
      <c r="J2514" t="s">
        <v>17</v>
      </c>
      <c r="K2514">
        <v>0.04</v>
      </c>
      <c r="L2514" t="s">
        <v>28</v>
      </c>
      <c r="M2514" t="s">
        <v>19</v>
      </c>
    </row>
    <row r="2515" spans="1:13" x14ac:dyDescent="0.35">
      <c r="A2515">
        <v>1014</v>
      </c>
      <c r="B2515" s="1">
        <v>45414</v>
      </c>
      <c r="C2515" t="s">
        <v>32</v>
      </c>
      <c r="D2515" t="s">
        <v>15</v>
      </c>
      <c r="E2515">
        <v>58390.52</v>
      </c>
      <c r="F2515">
        <v>18</v>
      </c>
      <c r="G2515" t="s">
        <v>24</v>
      </c>
      <c r="H2515">
        <v>2581.5700000000002</v>
      </c>
      <c r="I2515">
        <v>4212.88</v>
      </c>
      <c r="J2515" t="s">
        <v>17</v>
      </c>
      <c r="K2515">
        <v>0.23</v>
      </c>
      <c r="L2515" t="s">
        <v>28</v>
      </c>
      <c r="M2515" t="s">
        <v>21</v>
      </c>
    </row>
    <row r="2516" spans="1:13" x14ac:dyDescent="0.35">
      <c r="A2516">
        <v>1060</v>
      </c>
      <c r="B2516" s="1">
        <v>45414</v>
      </c>
      <c r="C2516" t="s">
        <v>32</v>
      </c>
      <c r="D2516" t="s">
        <v>20</v>
      </c>
      <c r="E2516">
        <v>164037.17000000001</v>
      </c>
      <c r="F2516">
        <v>43</v>
      </c>
      <c r="G2516" t="s">
        <v>24</v>
      </c>
      <c r="H2516">
        <v>3304.69</v>
      </c>
      <c r="I2516">
        <v>4541.45</v>
      </c>
      <c r="J2516" t="s">
        <v>27</v>
      </c>
      <c r="K2516">
        <v>0.16</v>
      </c>
      <c r="L2516" t="s">
        <v>18</v>
      </c>
      <c r="M2516" t="s">
        <v>19</v>
      </c>
    </row>
    <row r="2517" spans="1:13" x14ac:dyDescent="0.35">
      <c r="A2517">
        <v>1042</v>
      </c>
      <c r="B2517" s="1">
        <v>45414</v>
      </c>
      <c r="C2517" t="s">
        <v>33</v>
      </c>
      <c r="D2517" t="s">
        <v>30</v>
      </c>
      <c r="E2517">
        <v>245746.53</v>
      </c>
      <c r="F2517">
        <v>48</v>
      </c>
      <c r="G2517" t="s">
        <v>26</v>
      </c>
      <c r="H2517">
        <v>4500.88</v>
      </c>
      <c r="I2517">
        <v>5446.51</v>
      </c>
      <c r="J2517" t="s">
        <v>27</v>
      </c>
      <c r="K2517">
        <v>0.06</v>
      </c>
      <c r="L2517" t="s">
        <v>18</v>
      </c>
      <c r="M2517" t="s">
        <v>21</v>
      </c>
    </row>
    <row r="2518" spans="1:13" x14ac:dyDescent="0.35">
      <c r="A2518">
        <v>1051</v>
      </c>
      <c r="B2518" s="1">
        <v>45415</v>
      </c>
      <c r="C2518" t="s">
        <v>14</v>
      </c>
      <c r="D2518" t="s">
        <v>23</v>
      </c>
      <c r="E2518">
        <v>19780.900000000001</v>
      </c>
      <c r="F2518">
        <v>10</v>
      </c>
      <c r="G2518" t="s">
        <v>26</v>
      </c>
      <c r="H2518">
        <v>1949.15</v>
      </c>
      <c r="I2518">
        <v>1984.85</v>
      </c>
      <c r="J2518" t="s">
        <v>17</v>
      </c>
      <c r="K2518">
        <v>0</v>
      </c>
      <c r="L2518" t="s">
        <v>28</v>
      </c>
      <c r="M2518" t="s">
        <v>19</v>
      </c>
    </row>
    <row r="2519" spans="1:13" x14ac:dyDescent="0.35">
      <c r="A2519">
        <v>1052</v>
      </c>
      <c r="B2519" s="1">
        <v>45415</v>
      </c>
      <c r="C2519" t="s">
        <v>33</v>
      </c>
      <c r="D2519" t="s">
        <v>23</v>
      </c>
      <c r="E2519">
        <v>57450.91</v>
      </c>
      <c r="F2519">
        <v>13</v>
      </c>
      <c r="G2519" t="s">
        <v>16</v>
      </c>
      <c r="H2519">
        <v>4381.26</v>
      </c>
      <c r="I2519">
        <v>4472.46</v>
      </c>
      <c r="J2519" t="s">
        <v>17</v>
      </c>
      <c r="K2519">
        <v>0.01</v>
      </c>
      <c r="L2519" t="s">
        <v>25</v>
      </c>
      <c r="M2519" t="s">
        <v>19</v>
      </c>
    </row>
    <row r="2520" spans="1:13" x14ac:dyDescent="0.35">
      <c r="A2520">
        <v>1090</v>
      </c>
      <c r="B2520" s="1">
        <v>45415</v>
      </c>
      <c r="C2520" t="s">
        <v>33</v>
      </c>
      <c r="D2520" t="s">
        <v>30</v>
      </c>
      <c r="E2520">
        <v>2922.59</v>
      </c>
      <c r="F2520">
        <v>2</v>
      </c>
      <c r="G2520" t="s">
        <v>31</v>
      </c>
      <c r="H2520">
        <v>210.61</v>
      </c>
      <c r="I2520">
        <v>1679.65</v>
      </c>
      <c r="J2520" t="s">
        <v>17</v>
      </c>
      <c r="K2520">
        <v>0.13</v>
      </c>
      <c r="L2520" t="s">
        <v>25</v>
      </c>
      <c r="M2520" t="s">
        <v>21</v>
      </c>
    </row>
    <row r="2521" spans="1:13" x14ac:dyDescent="0.35">
      <c r="A2521">
        <v>1022</v>
      </c>
      <c r="B2521" s="1">
        <v>45415</v>
      </c>
      <c r="C2521" t="s">
        <v>32</v>
      </c>
      <c r="D2521" t="s">
        <v>30</v>
      </c>
      <c r="E2521">
        <v>217109.8</v>
      </c>
      <c r="F2521">
        <v>47</v>
      </c>
      <c r="G2521" t="s">
        <v>16</v>
      </c>
      <c r="H2521">
        <v>3097.72</v>
      </c>
      <c r="I2521">
        <v>4713.63</v>
      </c>
      <c r="J2521" t="s">
        <v>17</v>
      </c>
      <c r="K2521">
        <v>0.02</v>
      </c>
      <c r="L2521" t="s">
        <v>25</v>
      </c>
      <c r="M2521" t="s">
        <v>21</v>
      </c>
    </row>
    <row r="2522" spans="1:13" x14ac:dyDescent="0.35">
      <c r="A2522">
        <v>1076</v>
      </c>
      <c r="B2522" s="1">
        <v>45415</v>
      </c>
      <c r="C2522" t="s">
        <v>29</v>
      </c>
      <c r="D2522" t="s">
        <v>20</v>
      </c>
      <c r="E2522">
        <v>158216.10999999999</v>
      </c>
      <c r="F2522">
        <v>48</v>
      </c>
      <c r="G2522" t="s">
        <v>24</v>
      </c>
      <c r="H2522">
        <v>1450.21</v>
      </c>
      <c r="I2522">
        <v>3788.7</v>
      </c>
      <c r="J2522" t="s">
        <v>27</v>
      </c>
      <c r="K2522">
        <v>0.13</v>
      </c>
      <c r="L2522" t="s">
        <v>28</v>
      </c>
      <c r="M2522" t="s">
        <v>19</v>
      </c>
    </row>
    <row r="2523" spans="1:13" x14ac:dyDescent="0.35">
      <c r="A2523">
        <v>1008</v>
      </c>
      <c r="B2523" s="1">
        <v>45416</v>
      </c>
      <c r="C2523" t="s">
        <v>33</v>
      </c>
      <c r="D2523" t="s">
        <v>15</v>
      </c>
      <c r="E2523">
        <v>142426.34</v>
      </c>
      <c r="F2523">
        <v>49</v>
      </c>
      <c r="G2523" t="s">
        <v>26</v>
      </c>
      <c r="H2523">
        <v>2337.12</v>
      </c>
      <c r="I2523">
        <v>3265.91</v>
      </c>
      <c r="J2523" t="s">
        <v>27</v>
      </c>
      <c r="K2523">
        <v>0.11</v>
      </c>
      <c r="L2523" t="s">
        <v>28</v>
      </c>
      <c r="M2523" t="s">
        <v>21</v>
      </c>
    </row>
    <row r="2524" spans="1:13" x14ac:dyDescent="0.35">
      <c r="A2524">
        <v>1057</v>
      </c>
      <c r="B2524" s="1">
        <v>45417</v>
      </c>
      <c r="C2524" t="s">
        <v>32</v>
      </c>
      <c r="D2524" t="s">
        <v>30</v>
      </c>
      <c r="E2524">
        <v>13585.29</v>
      </c>
      <c r="F2524">
        <v>4</v>
      </c>
      <c r="G2524" t="s">
        <v>31</v>
      </c>
      <c r="H2524">
        <v>2559.7600000000002</v>
      </c>
      <c r="I2524">
        <v>3651.96</v>
      </c>
      <c r="J2524" t="s">
        <v>17</v>
      </c>
      <c r="K2524">
        <v>7.0000000000000007E-2</v>
      </c>
      <c r="L2524" t="s">
        <v>18</v>
      </c>
      <c r="M2524" t="s">
        <v>21</v>
      </c>
    </row>
    <row r="2525" spans="1:13" x14ac:dyDescent="0.35">
      <c r="A2525">
        <v>1077</v>
      </c>
      <c r="B2525" s="1">
        <v>45417</v>
      </c>
      <c r="C2525" t="s">
        <v>29</v>
      </c>
      <c r="D2525" t="s">
        <v>20</v>
      </c>
      <c r="E2525">
        <v>9269.81</v>
      </c>
      <c r="F2525">
        <v>7</v>
      </c>
      <c r="G2525" t="s">
        <v>16</v>
      </c>
      <c r="H2525">
        <v>407.38</v>
      </c>
      <c r="I2525">
        <v>1504.84</v>
      </c>
      <c r="J2525" t="s">
        <v>27</v>
      </c>
      <c r="K2525">
        <v>0.12</v>
      </c>
      <c r="L2525" t="s">
        <v>18</v>
      </c>
      <c r="M2525" t="s">
        <v>19</v>
      </c>
    </row>
    <row r="2526" spans="1:13" x14ac:dyDescent="0.35">
      <c r="A2526">
        <v>1076</v>
      </c>
      <c r="B2526" s="1">
        <v>45417</v>
      </c>
      <c r="C2526" t="s">
        <v>22</v>
      </c>
      <c r="D2526" t="s">
        <v>23</v>
      </c>
      <c r="E2526">
        <v>165283.15</v>
      </c>
      <c r="F2526">
        <v>42</v>
      </c>
      <c r="G2526" t="s">
        <v>31</v>
      </c>
      <c r="H2526">
        <v>3206.33</v>
      </c>
      <c r="I2526">
        <v>4629.78</v>
      </c>
      <c r="J2526" t="s">
        <v>27</v>
      </c>
      <c r="K2526">
        <v>0.15</v>
      </c>
      <c r="L2526" t="s">
        <v>25</v>
      </c>
      <c r="M2526" t="s">
        <v>19</v>
      </c>
    </row>
    <row r="2527" spans="1:13" x14ac:dyDescent="0.35">
      <c r="A2527">
        <v>1029</v>
      </c>
      <c r="B2527" s="1">
        <v>45417</v>
      </c>
      <c r="C2527" t="s">
        <v>33</v>
      </c>
      <c r="D2527" t="s">
        <v>23</v>
      </c>
      <c r="E2527">
        <v>65938.02</v>
      </c>
      <c r="F2527">
        <v>32</v>
      </c>
      <c r="G2527" t="s">
        <v>26</v>
      </c>
      <c r="H2527">
        <v>1049.2</v>
      </c>
      <c r="I2527">
        <v>2146.42</v>
      </c>
      <c r="J2527" t="s">
        <v>17</v>
      </c>
      <c r="K2527">
        <v>0.04</v>
      </c>
      <c r="L2527" t="s">
        <v>25</v>
      </c>
      <c r="M2527" t="s">
        <v>19</v>
      </c>
    </row>
    <row r="2528" spans="1:13" x14ac:dyDescent="0.35">
      <c r="A2528">
        <v>1085</v>
      </c>
      <c r="B2528" s="1">
        <v>45417</v>
      </c>
      <c r="C2528" t="s">
        <v>33</v>
      </c>
      <c r="D2528" t="s">
        <v>15</v>
      </c>
      <c r="E2528">
        <v>94558.95</v>
      </c>
      <c r="F2528">
        <v>43</v>
      </c>
      <c r="G2528" t="s">
        <v>24</v>
      </c>
      <c r="H2528">
        <v>333.84</v>
      </c>
      <c r="I2528">
        <v>2339.41</v>
      </c>
      <c r="J2528" t="s">
        <v>17</v>
      </c>
      <c r="K2528">
        <v>0.06</v>
      </c>
      <c r="L2528" t="s">
        <v>28</v>
      </c>
      <c r="M2528" t="s">
        <v>19</v>
      </c>
    </row>
    <row r="2529" spans="1:13" x14ac:dyDescent="0.35">
      <c r="A2529">
        <v>1037</v>
      </c>
      <c r="B2529" s="1">
        <v>45418</v>
      </c>
      <c r="C2529" t="s">
        <v>32</v>
      </c>
      <c r="D2529" t="s">
        <v>15</v>
      </c>
      <c r="E2529">
        <v>178979.67</v>
      </c>
      <c r="F2529">
        <v>48</v>
      </c>
      <c r="G2529" t="s">
        <v>24</v>
      </c>
      <c r="H2529">
        <v>3596.82</v>
      </c>
      <c r="I2529">
        <v>3804.84</v>
      </c>
      <c r="J2529" t="s">
        <v>17</v>
      </c>
      <c r="K2529">
        <v>0.02</v>
      </c>
      <c r="L2529" t="s">
        <v>28</v>
      </c>
      <c r="M2529" t="s">
        <v>19</v>
      </c>
    </row>
    <row r="2530" spans="1:13" x14ac:dyDescent="0.35">
      <c r="A2530">
        <v>1054</v>
      </c>
      <c r="B2530" s="1">
        <v>45419</v>
      </c>
      <c r="C2530" t="s">
        <v>29</v>
      </c>
      <c r="D2530" t="s">
        <v>23</v>
      </c>
      <c r="E2530">
        <v>15307.11</v>
      </c>
      <c r="F2530">
        <v>7</v>
      </c>
      <c r="G2530" t="s">
        <v>24</v>
      </c>
      <c r="H2530">
        <v>185.84</v>
      </c>
      <c r="I2530">
        <v>2803.5</v>
      </c>
      <c r="J2530" t="s">
        <v>27</v>
      </c>
      <c r="K2530">
        <v>0.22</v>
      </c>
      <c r="L2530" t="s">
        <v>25</v>
      </c>
      <c r="M2530" t="s">
        <v>19</v>
      </c>
    </row>
    <row r="2531" spans="1:13" x14ac:dyDescent="0.35">
      <c r="A2531">
        <v>1018</v>
      </c>
      <c r="B2531" s="1">
        <v>45419</v>
      </c>
      <c r="C2531" t="s">
        <v>22</v>
      </c>
      <c r="D2531" t="s">
        <v>15</v>
      </c>
      <c r="E2531">
        <v>68150.600000000006</v>
      </c>
      <c r="F2531">
        <v>31</v>
      </c>
      <c r="G2531" t="s">
        <v>24</v>
      </c>
      <c r="H2531">
        <v>774.96</v>
      </c>
      <c r="I2531">
        <v>2818.47</v>
      </c>
      <c r="J2531" t="s">
        <v>17</v>
      </c>
      <c r="K2531">
        <v>0.22</v>
      </c>
      <c r="L2531" t="s">
        <v>25</v>
      </c>
      <c r="M2531" t="s">
        <v>21</v>
      </c>
    </row>
    <row r="2532" spans="1:13" x14ac:dyDescent="0.35">
      <c r="A2532">
        <v>1099</v>
      </c>
      <c r="B2532" s="1">
        <v>45419</v>
      </c>
      <c r="C2532" t="s">
        <v>32</v>
      </c>
      <c r="D2532" t="s">
        <v>23</v>
      </c>
      <c r="E2532">
        <v>77890.48</v>
      </c>
      <c r="F2532">
        <v>38</v>
      </c>
      <c r="G2532" t="s">
        <v>16</v>
      </c>
      <c r="H2532">
        <v>487.23</v>
      </c>
      <c r="I2532">
        <v>2411.4699999999998</v>
      </c>
      <c r="J2532" t="s">
        <v>27</v>
      </c>
      <c r="K2532">
        <v>0.15</v>
      </c>
      <c r="L2532" t="s">
        <v>28</v>
      </c>
      <c r="M2532" t="s">
        <v>19</v>
      </c>
    </row>
    <row r="2533" spans="1:13" x14ac:dyDescent="0.35">
      <c r="A2533">
        <v>1100</v>
      </c>
      <c r="B2533" s="1">
        <v>45421</v>
      </c>
      <c r="C2533" t="s">
        <v>29</v>
      </c>
      <c r="D2533" t="s">
        <v>23</v>
      </c>
      <c r="E2533">
        <v>69673.460000000006</v>
      </c>
      <c r="F2533">
        <v>16</v>
      </c>
      <c r="G2533" t="s">
        <v>24</v>
      </c>
      <c r="H2533">
        <v>4250</v>
      </c>
      <c r="I2533">
        <v>4471.1000000000004</v>
      </c>
      <c r="J2533" t="s">
        <v>17</v>
      </c>
      <c r="K2533">
        <v>0.03</v>
      </c>
      <c r="L2533" t="s">
        <v>25</v>
      </c>
      <c r="M2533" t="s">
        <v>19</v>
      </c>
    </row>
    <row r="2534" spans="1:13" x14ac:dyDescent="0.35">
      <c r="A2534">
        <v>1002</v>
      </c>
      <c r="B2534" s="1">
        <v>45421</v>
      </c>
      <c r="C2534" t="s">
        <v>29</v>
      </c>
      <c r="D2534" t="s">
        <v>23</v>
      </c>
      <c r="E2534">
        <v>64618.37</v>
      </c>
      <c r="F2534">
        <v>19</v>
      </c>
      <c r="G2534" t="s">
        <v>16</v>
      </c>
      <c r="H2534">
        <v>703.98</v>
      </c>
      <c r="I2534">
        <v>3435.32</v>
      </c>
      <c r="J2534" t="s">
        <v>17</v>
      </c>
      <c r="K2534">
        <v>0.01</v>
      </c>
      <c r="L2534" t="s">
        <v>25</v>
      </c>
      <c r="M2534" t="s">
        <v>19</v>
      </c>
    </row>
    <row r="2535" spans="1:13" x14ac:dyDescent="0.35">
      <c r="A2535">
        <v>1038</v>
      </c>
      <c r="B2535" s="1">
        <v>45422</v>
      </c>
      <c r="C2535" t="s">
        <v>32</v>
      </c>
      <c r="D2535" t="s">
        <v>23</v>
      </c>
      <c r="E2535">
        <v>8001.69</v>
      </c>
      <c r="F2535">
        <v>3</v>
      </c>
      <c r="G2535" t="s">
        <v>16</v>
      </c>
      <c r="H2535">
        <v>2408.12</v>
      </c>
      <c r="I2535">
        <v>3065.78</v>
      </c>
      <c r="J2535" t="s">
        <v>17</v>
      </c>
      <c r="K2535">
        <v>0.13</v>
      </c>
      <c r="L2535" t="s">
        <v>28</v>
      </c>
      <c r="M2535" t="s">
        <v>21</v>
      </c>
    </row>
    <row r="2536" spans="1:13" x14ac:dyDescent="0.35">
      <c r="A2536">
        <v>1077</v>
      </c>
      <c r="B2536" s="1">
        <v>45422</v>
      </c>
      <c r="C2536" t="s">
        <v>33</v>
      </c>
      <c r="D2536" t="s">
        <v>23</v>
      </c>
      <c r="E2536">
        <v>57209.06</v>
      </c>
      <c r="F2536">
        <v>17</v>
      </c>
      <c r="G2536" t="s">
        <v>26</v>
      </c>
      <c r="H2536">
        <v>3309.83</v>
      </c>
      <c r="I2536">
        <v>4103.95</v>
      </c>
      <c r="J2536" t="s">
        <v>17</v>
      </c>
      <c r="K2536">
        <v>0.18</v>
      </c>
      <c r="L2536" t="s">
        <v>18</v>
      </c>
      <c r="M2536" t="s">
        <v>21</v>
      </c>
    </row>
    <row r="2537" spans="1:13" x14ac:dyDescent="0.35">
      <c r="A2537">
        <v>1003</v>
      </c>
      <c r="B2537" s="1">
        <v>45422</v>
      </c>
      <c r="C2537" t="s">
        <v>14</v>
      </c>
      <c r="D2537" t="s">
        <v>15</v>
      </c>
      <c r="E2537">
        <v>178883.94</v>
      </c>
      <c r="F2537">
        <v>41</v>
      </c>
      <c r="G2537" t="s">
        <v>24</v>
      </c>
      <c r="H2537">
        <v>4294.5200000000004</v>
      </c>
      <c r="I2537">
        <v>4482.3</v>
      </c>
      <c r="J2537" t="s">
        <v>27</v>
      </c>
      <c r="K2537">
        <v>0.03</v>
      </c>
      <c r="L2537" t="s">
        <v>25</v>
      </c>
      <c r="M2537" t="s">
        <v>21</v>
      </c>
    </row>
    <row r="2538" spans="1:13" x14ac:dyDescent="0.35">
      <c r="A2538">
        <v>1062</v>
      </c>
      <c r="B2538" s="1">
        <v>45422</v>
      </c>
      <c r="C2538" t="s">
        <v>29</v>
      </c>
      <c r="D2538" t="s">
        <v>15</v>
      </c>
      <c r="E2538">
        <v>23668.91</v>
      </c>
      <c r="F2538">
        <v>11</v>
      </c>
      <c r="G2538" t="s">
        <v>16</v>
      </c>
      <c r="H2538">
        <v>1743.08</v>
      </c>
      <c r="I2538">
        <v>2219.84</v>
      </c>
      <c r="J2538" t="s">
        <v>17</v>
      </c>
      <c r="K2538">
        <v>0.03</v>
      </c>
      <c r="L2538" t="s">
        <v>18</v>
      </c>
      <c r="M2538" t="s">
        <v>21</v>
      </c>
    </row>
    <row r="2539" spans="1:13" x14ac:dyDescent="0.35">
      <c r="A2539">
        <v>1025</v>
      </c>
      <c r="B2539" s="1">
        <v>45422</v>
      </c>
      <c r="C2539" t="s">
        <v>22</v>
      </c>
      <c r="D2539" t="s">
        <v>20</v>
      </c>
      <c r="E2539">
        <v>178280.78</v>
      </c>
      <c r="F2539">
        <v>38</v>
      </c>
      <c r="G2539" t="s">
        <v>16</v>
      </c>
      <c r="H2539">
        <v>3196.36</v>
      </c>
      <c r="I2539">
        <v>5271.46</v>
      </c>
      <c r="J2539" t="s">
        <v>17</v>
      </c>
      <c r="K2539">
        <v>0.11</v>
      </c>
      <c r="L2539" t="s">
        <v>18</v>
      </c>
      <c r="M2539" t="s">
        <v>21</v>
      </c>
    </row>
    <row r="2540" spans="1:13" x14ac:dyDescent="0.35">
      <c r="A2540">
        <v>1083</v>
      </c>
      <c r="B2540" s="1">
        <v>45423</v>
      </c>
      <c r="C2540" t="s">
        <v>14</v>
      </c>
      <c r="D2540" t="s">
        <v>20</v>
      </c>
      <c r="E2540">
        <v>4233.68</v>
      </c>
      <c r="F2540">
        <v>2</v>
      </c>
      <c r="G2540" t="s">
        <v>26</v>
      </c>
      <c r="H2540">
        <v>1239.5899999999999</v>
      </c>
      <c r="I2540">
        <v>2520.0500000000002</v>
      </c>
      <c r="J2540" t="s">
        <v>17</v>
      </c>
      <c r="K2540">
        <v>0.16</v>
      </c>
      <c r="L2540" t="s">
        <v>25</v>
      </c>
      <c r="M2540" t="s">
        <v>19</v>
      </c>
    </row>
    <row r="2541" spans="1:13" x14ac:dyDescent="0.35">
      <c r="A2541">
        <v>1086</v>
      </c>
      <c r="B2541" s="1">
        <v>45423</v>
      </c>
      <c r="C2541" t="s">
        <v>32</v>
      </c>
      <c r="D2541" t="s">
        <v>23</v>
      </c>
      <c r="E2541">
        <v>179732.92</v>
      </c>
      <c r="F2541">
        <v>46</v>
      </c>
      <c r="G2541" t="s">
        <v>31</v>
      </c>
      <c r="H2541">
        <v>1776.67</v>
      </c>
      <c r="I2541">
        <v>4945.87</v>
      </c>
      <c r="J2541" t="s">
        <v>27</v>
      </c>
      <c r="K2541">
        <v>0.21</v>
      </c>
      <c r="L2541" t="s">
        <v>25</v>
      </c>
      <c r="M2541" t="s">
        <v>21</v>
      </c>
    </row>
    <row r="2542" spans="1:13" x14ac:dyDescent="0.35">
      <c r="A2542">
        <v>1042</v>
      </c>
      <c r="B2542" s="1">
        <v>45424</v>
      </c>
      <c r="C2542" t="s">
        <v>22</v>
      </c>
      <c r="D2542" t="s">
        <v>23</v>
      </c>
      <c r="E2542">
        <v>54427.86</v>
      </c>
      <c r="F2542">
        <v>18</v>
      </c>
      <c r="G2542" t="s">
        <v>31</v>
      </c>
      <c r="H2542">
        <v>2850.94</v>
      </c>
      <c r="I2542">
        <v>3089.39</v>
      </c>
      <c r="J2542" t="s">
        <v>17</v>
      </c>
      <c r="K2542">
        <v>0.02</v>
      </c>
      <c r="L2542" t="s">
        <v>28</v>
      </c>
      <c r="M2542" t="s">
        <v>19</v>
      </c>
    </row>
    <row r="2543" spans="1:13" x14ac:dyDescent="0.35">
      <c r="A2543">
        <v>1027</v>
      </c>
      <c r="B2543" s="1">
        <v>45425</v>
      </c>
      <c r="C2543" t="s">
        <v>32</v>
      </c>
      <c r="D2543" t="s">
        <v>23</v>
      </c>
      <c r="E2543">
        <v>97445.46</v>
      </c>
      <c r="F2543">
        <v>26</v>
      </c>
      <c r="G2543" t="s">
        <v>26</v>
      </c>
      <c r="H2543">
        <v>2998.01</v>
      </c>
      <c r="I2543">
        <v>3824.39</v>
      </c>
      <c r="J2543" t="s">
        <v>17</v>
      </c>
      <c r="K2543">
        <v>0.02</v>
      </c>
      <c r="L2543" t="s">
        <v>18</v>
      </c>
      <c r="M2543" t="s">
        <v>21</v>
      </c>
    </row>
    <row r="2544" spans="1:13" x14ac:dyDescent="0.35">
      <c r="A2544">
        <v>1097</v>
      </c>
      <c r="B2544" s="1">
        <v>45425</v>
      </c>
      <c r="C2544" t="s">
        <v>29</v>
      </c>
      <c r="D2544" t="s">
        <v>23</v>
      </c>
      <c r="E2544">
        <v>137668.5</v>
      </c>
      <c r="F2544">
        <v>29</v>
      </c>
      <c r="G2544" t="s">
        <v>26</v>
      </c>
      <c r="H2544">
        <v>125.88</v>
      </c>
      <c r="I2544">
        <v>5456.54</v>
      </c>
      <c r="J2544" t="s">
        <v>27</v>
      </c>
      <c r="K2544">
        <v>0.13</v>
      </c>
      <c r="L2544" t="s">
        <v>28</v>
      </c>
      <c r="M2544" t="s">
        <v>21</v>
      </c>
    </row>
    <row r="2545" spans="1:13" x14ac:dyDescent="0.35">
      <c r="A2545">
        <v>1059</v>
      </c>
      <c r="B2545" s="1">
        <v>45426</v>
      </c>
      <c r="C2545" t="s">
        <v>22</v>
      </c>
      <c r="D2545" t="s">
        <v>23</v>
      </c>
      <c r="E2545">
        <v>14665.03</v>
      </c>
      <c r="F2545">
        <v>4</v>
      </c>
      <c r="G2545" t="s">
        <v>24</v>
      </c>
      <c r="H2545">
        <v>2789.5</v>
      </c>
      <c r="I2545">
        <v>3703.29</v>
      </c>
      <c r="J2545" t="s">
        <v>27</v>
      </c>
      <c r="K2545">
        <v>0.01</v>
      </c>
      <c r="L2545" t="s">
        <v>28</v>
      </c>
      <c r="M2545" t="s">
        <v>19</v>
      </c>
    </row>
    <row r="2546" spans="1:13" x14ac:dyDescent="0.35">
      <c r="A2546">
        <v>1049</v>
      </c>
      <c r="B2546" s="1">
        <v>45426</v>
      </c>
      <c r="C2546" t="s">
        <v>22</v>
      </c>
      <c r="D2546" t="s">
        <v>20</v>
      </c>
      <c r="E2546">
        <v>31338.92</v>
      </c>
      <c r="F2546">
        <v>17</v>
      </c>
      <c r="G2546" t="s">
        <v>16</v>
      </c>
      <c r="H2546">
        <v>790.47</v>
      </c>
      <c r="I2546">
        <v>2491.17</v>
      </c>
      <c r="J2546" t="s">
        <v>27</v>
      </c>
      <c r="K2546">
        <v>0.26</v>
      </c>
      <c r="L2546" t="s">
        <v>25</v>
      </c>
      <c r="M2546" t="s">
        <v>21</v>
      </c>
    </row>
    <row r="2547" spans="1:13" x14ac:dyDescent="0.35">
      <c r="A2547">
        <v>1005</v>
      </c>
      <c r="B2547" s="1">
        <v>45426</v>
      </c>
      <c r="C2547" t="s">
        <v>32</v>
      </c>
      <c r="D2547" t="s">
        <v>23</v>
      </c>
      <c r="E2547">
        <v>48529.82</v>
      </c>
      <c r="F2547">
        <v>18</v>
      </c>
      <c r="G2547" t="s">
        <v>26</v>
      </c>
      <c r="H2547">
        <v>1594.79</v>
      </c>
      <c r="I2547">
        <v>3456.54</v>
      </c>
      <c r="J2547" t="s">
        <v>27</v>
      </c>
      <c r="K2547">
        <v>0.22</v>
      </c>
      <c r="L2547" t="s">
        <v>25</v>
      </c>
      <c r="M2547" t="s">
        <v>21</v>
      </c>
    </row>
    <row r="2548" spans="1:13" x14ac:dyDescent="0.35">
      <c r="A2548">
        <v>1047</v>
      </c>
      <c r="B2548" s="1">
        <v>45426</v>
      </c>
      <c r="C2548" t="s">
        <v>32</v>
      </c>
      <c r="D2548" t="s">
        <v>15</v>
      </c>
      <c r="E2548">
        <v>98117.02</v>
      </c>
      <c r="F2548">
        <v>26</v>
      </c>
      <c r="G2548" t="s">
        <v>24</v>
      </c>
      <c r="H2548">
        <v>2978.93</v>
      </c>
      <c r="I2548">
        <v>4388.0600000000004</v>
      </c>
      <c r="J2548" t="s">
        <v>27</v>
      </c>
      <c r="K2548">
        <v>0.14000000000000001</v>
      </c>
      <c r="L2548" t="s">
        <v>25</v>
      </c>
      <c r="M2548" t="s">
        <v>19</v>
      </c>
    </row>
    <row r="2549" spans="1:13" x14ac:dyDescent="0.35">
      <c r="A2549">
        <v>1020</v>
      </c>
      <c r="B2549" s="1">
        <v>45426</v>
      </c>
      <c r="C2549" t="s">
        <v>22</v>
      </c>
      <c r="D2549" t="s">
        <v>15</v>
      </c>
      <c r="E2549">
        <v>148739.57999999999</v>
      </c>
      <c r="F2549">
        <v>45</v>
      </c>
      <c r="G2549" t="s">
        <v>31</v>
      </c>
      <c r="H2549">
        <v>402.95</v>
      </c>
      <c r="I2549">
        <v>3843.4</v>
      </c>
      <c r="J2549" t="s">
        <v>17</v>
      </c>
      <c r="K2549">
        <v>0.14000000000000001</v>
      </c>
      <c r="L2549" t="s">
        <v>18</v>
      </c>
      <c r="M2549" t="s">
        <v>21</v>
      </c>
    </row>
    <row r="2550" spans="1:13" x14ac:dyDescent="0.35">
      <c r="A2550">
        <v>1049</v>
      </c>
      <c r="B2550" s="1">
        <v>45427</v>
      </c>
      <c r="C2550" t="s">
        <v>22</v>
      </c>
      <c r="D2550" t="s">
        <v>20</v>
      </c>
      <c r="E2550">
        <v>89608.55</v>
      </c>
      <c r="F2550">
        <v>48</v>
      </c>
      <c r="G2550" t="s">
        <v>16</v>
      </c>
      <c r="H2550">
        <v>1249.4000000000001</v>
      </c>
      <c r="I2550">
        <v>2592.84</v>
      </c>
      <c r="J2550" t="s">
        <v>27</v>
      </c>
      <c r="K2550">
        <v>0.28000000000000003</v>
      </c>
      <c r="L2550" t="s">
        <v>25</v>
      </c>
      <c r="M2550" t="s">
        <v>19</v>
      </c>
    </row>
    <row r="2551" spans="1:13" x14ac:dyDescent="0.35">
      <c r="A2551">
        <v>1004</v>
      </c>
      <c r="B2551" s="1">
        <v>45427</v>
      </c>
      <c r="C2551" t="s">
        <v>29</v>
      </c>
      <c r="D2551" t="s">
        <v>23</v>
      </c>
      <c r="E2551">
        <v>201936.65</v>
      </c>
      <c r="F2551">
        <v>42</v>
      </c>
      <c r="G2551" t="s">
        <v>24</v>
      </c>
      <c r="H2551">
        <v>3876.49</v>
      </c>
      <c r="I2551">
        <v>5114.91</v>
      </c>
      <c r="J2551" t="s">
        <v>17</v>
      </c>
      <c r="K2551">
        <v>0.06</v>
      </c>
      <c r="L2551" t="s">
        <v>28</v>
      </c>
      <c r="M2551" t="s">
        <v>19</v>
      </c>
    </row>
    <row r="2552" spans="1:13" x14ac:dyDescent="0.35">
      <c r="A2552">
        <v>1031</v>
      </c>
      <c r="B2552" s="1">
        <v>45427</v>
      </c>
      <c r="C2552" t="s">
        <v>32</v>
      </c>
      <c r="D2552" t="s">
        <v>30</v>
      </c>
      <c r="E2552">
        <v>167432.64000000001</v>
      </c>
      <c r="F2552">
        <v>46</v>
      </c>
      <c r="G2552" t="s">
        <v>16</v>
      </c>
      <c r="H2552">
        <v>924.13</v>
      </c>
      <c r="I2552">
        <v>4549.8</v>
      </c>
      <c r="J2552" t="s">
        <v>27</v>
      </c>
      <c r="K2552">
        <v>0.2</v>
      </c>
      <c r="L2552" t="s">
        <v>28</v>
      </c>
      <c r="M2552" t="s">
        <v>21</v>
      </c>
    </row>
    <row r="2553" spans="1:13" x14ac:dyDescent="0.35">
      <c r="A2553">
        <v>1071</v>
      </c>
      <c r="B2553" s="1">
        <v>45428</v>
      </c>
      <c r="C2553" t="s">
        <v>29</v>
      </c>
      <c r="D2553" t="s">
        <v>30</v>
      </c>
      <c r="E2553">
        <v>28916.66</v>
      </c>
      <c r="F2553">
        <v>15</v>
      </c>
      <c r="G2553" t="s">
        <v>26</v>
      </c>
      <c r="H2553">
        <v>1887.53</v>
      </c>
      <c r="I2553">
        <v>1947.25</v>
      </c>
      <c r="J2553" t="s">
        <v>17</v>
      </c>
      <c r="K2553">
        <v>0.01</v>
      </c>
      <c r="L2553" t="s">
        <v>25</v>
      </c>
      <c r="M2553" t="s">
        <v>21</v>
      </c>
    </row>
    <row r="2554" spans="1:13" x14ac:dyDescent="0.35">
      <c r="A2554">
        <v>1085</v>
      </c>
      <c r="B2554" s="1">
        <v>45428</v>
      </c>
      <c r="C2554" t="s">
        <v>33</v>
      </c>
      <c r="D2554" t="s">
        <v>15</v>
      </c>
      <c r="E2554">
        <v>128780.59</v>
      </c>
      <c r="F2554">
        <v>29</v>
      </c>
      <c r="G2554" t="s">
        <v>26</v>
      </c>
      <c r="H2554">
        <v>4369.62</v>
      </c>
      <c r="I2554">
        <v>4440.71</v>
      </c>
      <c r="J2554" t="s">
        <v>17</v>
      </c>
      <c r="K2554">
        <v>0</v>
      </c>
      <c r="L2554" t="s">
        <v>28</v>
      </c>
      <c r="M2554" t="s">
        <v>19</v>
      </c>
    </row>
    <row r="2555" spans="1:13" x14ac:dyDescent="0.35">
      <c r="A2555">
        <v>1014</v>
      </c>
      <c r="B2555" s="1">
        <v>45429</v>
      </c>
      <c r="C2555" t="s">
        <v>14</v>
      </c>
      <c r="D2555" t="s">
        <v>15</v>
      </c>
      <c r="E2555">
        <v>13756.5</v>
      </c>
      <c r="F2555">
        <v>23</v>
      </c>
      <c r="G2555" t="s">
        <v>26</v>
      </c>
      <c r="H2555">
        <v>495.95</v>
      </c>
      <c r="I2555">
        <v>623.03</v>
      </c>
      <c r="J2555" t="s">
        <v>27</v>
      </c>
      <c r="K2555">
        <v>0.04</v>
      </c>
      <c r="L2555" t="s">
        <v>18</v>
      </c>
      <c r="M2555" t="s">
        <v>19</v>
      </c>
    </row>
    <row r="2556" spans="1:13" x14ac:dyDescent="0.35">
      <c r="A2556">
        <v>1098</v>
      </c>
      <c r="B2556" s="1">
        <v>45429</v>
      </c>
      <c r="C2556" t="s">
        <v>14</v>
      </c>
      <c r="D2556" t="s">
        <v>15</v>
      </c>
      <c r="E2556">
        <v>28110.42</v>
      </c>
      <c r="F2556">
        <v>20</v>
      </c>
      <c r="G2556" t="s">
        <v>24</v>
      </c>
      <c r="H2556">
        <v>165.72</v>
      </c>
      <c r="I2556">
        <v>1714.05</v>
      </c>
      <c r="J2556" t="s">
        <v>17</v>
      </c>
      <c r="K2556">
        <v>0.18</v>
      </c>
      <c r="L2556" t="s">
        <v>18</v>
      </c>
      <c r="M2556" t="s">
        <v>21</v>
      </c>
    </row>
    <row r="2557" spans="1:13" x14ac:dyDescent="0.35">
      <c r="A2557">
        <v>1099</v>
      </c>
      <c r="B2557" s="1">
        <v>45429</v>
      </c>
      <c r="C2557" t="s">
        <v>29</v>
      </c>
      <c r="D2557" t="s">
        <v>20</v>
      </c>
      <c r="E2557">
        <v>49258.68</v>
      </c>
      <c r="F2557">
        <v>15</v>
      </c>
      <c r="G2557" t="s">
        <v>24</v>
      </c>
      <c r="H2557">
        <v>1547.8</v>
      </c>
      <c r="I2557">
        <v>4104.8900000000003</v>
      </c>
      <c r="J2557" t="s">
        <v>27</v>
      </c>
      <c r="K2557">
        <v>0.2</v>
      </c>
      <c r="L2557" t="s">
        <v>18</v>
      </c>
      <c r="M2557" t="s">
        <v>19</v>
      </c>
    </row>
    <row r="2558" spans="1:13" x14ac:dyDescent="0.35">
      <c r="A2558">
        <v>1100</v>
      </c>
      <c r="B2558" s="1">
        <v>45429</v>
      </c>
      <c r="C2558" t="s">
        <v>32</v>
      </c>
      <c r="D2558" t="s">
        <v>15</v>
      </c>
      <c r="E2558">
        <v>101312.43</v>
      </c>
      <c r="F2558">
        <v>29</v>
      </c>
      <c r="G2558" t="s">
        <v>26</v>
      </c>
      <c r="H2558">
        <v>200.26</v>
      </c>
      <c r="I2558">
        <v>4990.76</v>
      </c>
      <c r="J2558" t="s">
        <v>27</v>
      </c>
      <c r="K2558">
        <v>0.3</v>
      </c>
      <c r="L2558" t="s">
        <v>28</v>
      </c>
      <c r="M2558" t="s">
        <v>19</v>
      </c>
    </row>
    <row r="2559" spans="1:13" x14ac:dyDescent="0.35">
      <c r="A2559">
        <v>1024</v>
      </c>
      <c r="B2559" s="1">
        <v>45430</v>
      </c>
      <c r="C2559" t="s">
        <v>33</v>
      </c>
      <c r="D2559" t="s">
        <v>30</v>
      </c>
      <c r="E2559">
        <v>51451.31</v>
      </c>
      <c r="F2559">
        <v>35</v>
      </c>
      <c r="G2559" t="s">
        <v>16</v>
      </c>
      <c r="H2559">
        <v>1368.52</v>
      </c>
      <c r="I2559">
        <v>1960.05</v>
      </c>
      <c r="J2559" t="s">
        <v>27</v>
      </c>
      <c r="K2559">
        <v>0.25</v>
      </c>
      <c r="L2559" t="s">
        <v>18</v>
      </c>
      <c r="M2559" t="s">
        <v>19</v>
      </c>
    </row>
    <row r="2560" spans="1:13" x14ac:dyDescent="0.35">
      <c r="A2560">
        <v>1079</v>
      </c>
      <c r="B2560" s="1">
        <v>45430</v>
      </c>
      <c r="C2560" t="s">
        <v>33</v>
      </c>
      <c r="D2560" t="s">
        <v>23</v>
      </c>
      <c r="E2560">
        <v>73318.179999999993</v>
      </c>
      <c r="F2560">
        <v>27</v>
      </c>
      <c r="G2560" t="s">
        <v>26</v>
      </c>
      <c r="H2560">
        <v>607.89</v>
      </c>
      <c r="I2560">
        <v>3394.36</v>
      </c>
      <c r="J2560" t="s">
        <v>27</v>
      </c>
      <c r="K2560">
        <v>0.2</v>
      </c>
      <c r="L2560" t="s">
        <v>25</v>
      </c>
      <c r="M2560" t="s">
        <v>21</v>
      </c>
    </row>
    <row r="2561" spans="1:13" x14ac:dyDescent="0.35">
      <c r="A2561">
        <v>1027</v>
      </c>
      <c r="B2561" s="1">
        <v>45431</v>
      </c>
      <c r="C2561" t="s">
        <v>22</v>
      </c>
      <c r="D2561" t="s">
        <v>30</v>
      </c>
      <c r="E2561">
        <v>6752.48</v>
      </c>
      <c r="F2561">
        <v>3</v>
      </c>
      <c r="G2561" t="s">
        <v>24</v>
      </c>
      <c r="H2561">
        <v>995.25</v>
      </c>
      <c r="I2561">
        <v>3001.1</v>
      </c>
      <c r="J2561" t="s">
        <v>27</v>
      </c>
      <c r="K2561">
        <v>0.25</v>
      </c>
      <c r="L2561" t="s">
        <v>28</v>
      </c>
      <c r="M2561" t="s">
        <v>21</v>
      </c>
    </row>
    <row r="2562" spans="1:13" x14ac:dyDescent="0.35">
      <c r="A2562">
        <v>1096</v>
      </c>
      <c r="B2562" s="1">
        <v>45431</v>
      </c>
      <c r="C2562" t="s">
        <v>32</v>
      </c>
      <c r="D2562" t="s">
        <v>30</v>
      </c>
      <c r="E2562">
        <v>38748.75</v>
      </c>
      <c r="F2562">
        <v>8</v>
      </c>
      <c r="G2562" t="s">
        <v>26</v>
      </c>
      <c r="H2562">
        <v>2739.52</v>
      </c>
      <c r="I2562">
        <v>5322.63</v>
      </c>
      <c r="J2562" t="s">
        <v>17</v>
      </c>
      <c r="K2562">
        <v>0.09</v>
      </c>
      <c r="L2562" t="s">
        <v>18</v>
      </c>
      <c r="M2562" t="s">
        <v>21</v>
      </c>
    </row>
    <row r="2563" spans="1:13" x14ac:dyDescent="0.35">
      <c r="A2563">
        <v>1026</v>
      </c>
      <c r="B2563" s="1">
        <v>45431</v>
      </c>
      <c r="C2563" t="s">
        <v>14</v>
      </c>
      <c r="D2563" t="s">
        <v>30</v>
      </c>
      <c r="E2563">
        <v>43014.85</v>
      </c>
      <c r="F2563">
        <v>16</v>
      </c>
      <c r="G2563" t="s">
        <v>31</v>
      </c>
      <c r="H2563">
        <v>1096.3800000000001</v>
      </c>
      <c r="I2563">
        <v>3239.07</v>
      </c>
      <c r="J2563" t="s">
        <v>17</v>
      </c>
      <c r="K2563">
        <v>0.17</v>
      </c>
      <c r="L2563" t="s">
        <v>18</v>
      </c>
      <c r="M2563" t="s">
        <v>21</v>
      </c>
    </row>
    <row r="2564" spans="1:13" x14ac:dyDescent="0.35">
      <c r="A2564">
        <v>1025</v>
      </c>
      <c r="B2564" s="1">
        <v>45431</v>
      </c>
      <c r="C2564" t="s">
        <v>14</v>
      </c>
      <c r="D2564" t="s">
        <v>15</v>
      </c>
      <c r="E2564">
        <v>120761.3</v>
      </c>
      <c r="F2564">
        <v>27</v>
      </c>
      <c r="G2564" t="s">
        <v>26</v>
      </c>
      <c r="H2564">
        <v>298.52999999999997</v>
      </c>
      <c r="I2564">
        <v>4610.97</v>
      </c>
      <c r="J2564" t="s">
        <v>17</v>
      </c>
      <c r="K2564">
        <v>0.03</v>
      </c>
      <c r="L2564" t="s">
        <v>28</v>
      </c>
      <c r="M2564" t="s">
        <v>21</v>
      </c>
    </row>
    <row r="2565" spans="1:13" x14ac:dyDescent="0.35">
      <c r="A2565">
        <v>1022</v>
      </c>
      <c r="B2565" s="1">
        <v>45432</v>
      </c>
      <c r="C2565" t="s">
        <v>33</v>
      </c>
      <c r="D2565" t="s">
        <v>20</v>
      </c>
      <c r="E2565">
        <v>26292.06</v>
      </c>
      <c r="F2565">
        <v>17</v>
      </c>
      <c r="G2565" t="s">
        <v>24</v>
      </c>
      <c r="H2565">
        <v>1319.18</v>
      </c>
      <c r="I2565">
        <v>1819.52</v>
      </c>
      <c r="J2565" t="s">
        <v>17</v>
      </c>
      <c r="K2565">
        <v>0.15</v>
      </c>
      <c r="L2565" t="s">
        <v>18</v>
      </c>
      <c r="M2565" t="s">
        <v>19</v>
      </c>
    </row>
    <row r="2566" spans="1:13" x14ac:dyDescent="0.35">
      <c r="A2566">
        <v>1077</v>
      </c>
      <c r="B2566" s="1">
        <v>45432</v>
      </c>
      <c r="C2566" t="s">
        <v>14</v>
      </c>
      <c r="D2566" t="s">
        <v>15</v>
      </c>
      <c r="E2566">
        <v>183469.19</v>
      </c>
      <c r="F2566">
        <v>47</v>
      </c>
      <c r="G2566" t="s">
        <v>16</v>
      </c>
      <c r="H2566">
        <v>3123.08</v>
      </c>
      <c r="I2566">
        <v>3943.03</v>
      </c>
      <c r="J2566" t="s">
        <v>17</v>
      </c>
      <c r="K2566">
        <v>0.01</v>
      </c>
      <c r="L2566" t="s">
        <v>18</v>
      </c>
      <c r="M2566" t="s">
        <v>19</v>
      </c>
    </row>
    <row r="2567" spans="1:13" x14ac:dyDescent="0.35">
      <c r="A2567">
        <v>1010</v>
      </c>
      <c r="B2567" s="1">
        <v>45432</v>
      </c>
      <c r="C2567" t="s">
        <v>29</v>
      </c>
      <c r="D2567" t="s">
        <v>15</v>
      </c>
      <c r="E2567">
        <v>125433.68</v>
      </c>
      <c r="F2567">
        <v>38</v>
      </c>
      <c r="G2567" t="s">
        <v>16</v>
      </c>
      <c r="H2567">
        <v>1929.34</v>
      </c>
      <c r="I2567">
        <v>3838.24</v>
      </c>
      <c r="J2567" t="s">
        <v>17</v>
      </c>
      <c r="K2567">
        <v>0.14000000000000001</v>
      </c>
      <c r="L2567" t="s">
        <v>18</v>
      </c>
      <c r="M2567" t="s">
        <v>21</v>
      </c>
    </row>
    <row r="2568" spans="1:13" x14ac:dyDescent="0.35">
      <c r="A2568">
        <v>1095</v>
      </c>
      <c r="B2568" s="1">
        <v>45433</v>
      </c>
      <c r="C2568" t="s">
        <v>29</v>
      </c>
      <c r="D2568" t="s">
        <v>23</v>
      </c>
      <c r="E2568">
        <v>16547.39</v>
      </c>
      <c r="F2568">
        <v>8</v>
      </c>
      <c r="G2568" t="s">
        <v>26</v>
      </c>
      <c r="H2568">
        <v>1357.31</v>
      </c>
      <c r="I2568">
        <v>2585.5300000000002</v>
      </c>
      <c r="J2568" t="s">
        <v>17</v>
      </c>
      <c r="K2568">
        <v>0.2</v>
      </c>
      <c r="L2568" t="s">
        <v>18</v>
      </c>
      <c r="M2568" t="s">
        <v>19</v>
      </c>
    </row>
    <row r="2569" spans="1:13" x14ac:dyDescent="0.35">
      <c r="A2569">
        <v>1002</v>
      </c>
      <c r="B2569" s="1">
        <v>45433</v>
      </c>
      <c r="C2569" t="s">
        <v>33</v>
      </c>
      <c r="D2569" t="s">
        <v>30</v>
      </c>
      <c r="E2569">
        <v>17844.98</v>
      </c>
      <c r="F2569">
        <v>5</v>
      </c>
      <c r="G2569" t="s">
        <v>16</v>
      </c>
      <c r="H2569">
        <v>567.12</v>
      </c>
      <c r="I2569">
        <v>4956.9399999999996</v>
      </c>
      <c r="J2569" t="s">
        <v>17</v>
      </c>
      <c r="K2569">
        <v>0.28000000000000003</v>
      </c>
      <c r="L2569" t="s">
        <v>28</v>
      </c>
      <c r="M2569" t="s">
        <v>21</v>
      </c>
    </row>
    <row r="2570" spans="1:13" x14ac:dyDescent="0.35">
      <c r="A2570">
        <v>1073</v>
      </c>
      <c r="B2570" s="1">
        <v>45434</v>
      </c>
      <c r="C2570" t="s">
        <v>33</v>
      </c>
      <c r="D2570" t="s">
        <v>20</v>
      </c>
      <c r="E2570">
        <v>70844.22</v>
      </c>
      <c r="F2570">
        <v>24</v>
      </c>
      <c r="G2570" t="s">
        <v>31</v>
      </c>
      <c r="H2570">
        <v>2392.91</v>
      </c>
      <c r="I2570">
        <v>3935.79</v>
      </c>
      <c r="J2570" t="s">
        <v>17</v>
      </c>
      <c r="K2570">
        <v>0.25</v>
      </c>
      <c r="L2570" t="s">
        <v>18</v>
      </c>
      <c r="M2570" t="s">
        <v>21</v>
      </c>
    </row>
    <row r="2571" spans="1:13" x14ac:dyDescent="0.35">
      <c r="A2571">
        <v>1048</v>
      </c>
      <c r="B2571" s="1">
        <v>45434</v>
      </c>
      <c r="C2571" t="s">
        <v>14</v>
      </c>
      <c r="D2571" t="s">
        <v>20</v>
      </c>
      <c r="E2571">
        <v>134408.95999999999</v>
      </c>
      <c r="F2571">
        <v>38</v>
      </c>
      <c r="G2571" t="s">
        <v>24</v>
      </c>
      <c r="H2571">
        <v>1254.5</v>
      </c>
      <c r="I2571">
        <v>4654.05</v>
      </c>
      <c r="J2571" t="s">
        <v>17</v>
      </c>
      <c r="K2571">
        <v>0.24</v>
      </c>
      <c r="L2571" t="s">
        <v>18</v>
      </c>
      <c r="M2571" t="s">
        <v>19</v>
      </c>
    </row>
    <row r="2572" spans="1:13" x14ac:dyDescent="0.35">
      <c r="A2572">
        <v>1083</v>
      </c>
      <c r="B2572" s="1">
        <v>45434</v>
      </c>
      <c r="C2572" t="s">
        <v>33</v>
      </c>
      <c r="D2572" t="s">
        <v>15</v>
      </c>
      <c r="E2572">
        <v>148372.96</v>
      </c>
      <c r="F2572">
        <v>33</v>
      </c>
      <c r="G2572" t="s">
        <v>24</v>
      </c>
      <c r="H2572">
        <v>360.16</v>
      </c>
      <c r="I2572">
        <v>4887.12</v>
      </c>
      <c r="J2572" t="s">
        <v>17</v>
      </c>
      <c r="K2572">
        <v>0.08</v>
      </c>
      <c r="L2572" t="s">
        <v>28</v>
      </c>
      <c r="M2572" t="s">
        <v>21</v>
      </c>
    </row>
    <row r="2573" spans="1:13" x14ac:dyDescent="0.35">
      <c r="A2573">
        <v>1028</v>
      </c>
      <c r="B2573" s="1">
        <v>45435</v>
      </c>
      <c r="C2573" t="s">
        <v>29</v>
      </c>
      <c r="D2573" t="s">
        <v>15</v>
      </c>
      <c r="E2573">
        <v>21705.85</v>
      </c>
      <c r="F2573">
        <v>23</v>
      </c>
      <c r="G2573" t="s">
        <v>24</v>
      </c>
      <c r="H2573">
        <v>917.29</v>
      </c>
      <c r="I2573">
        <v>969.23</v>
      </c>
      <c r="J2573" t="s">
        <v>27</v>
      </c>
      <c r="K2573">
        <v>0.03</v>
      </c>
      <c r="L2573" t="s">
        <v>18</v>
      </c>
      <c r="M2573" t="s">
        <v>21</v>
      </c>
    </row>
    <row r="2574" spans="1:13" x14ac:dyDescent="0.35">
      <c r="A2574">
        <v>1015</v>
      </c>
      <c r="B2574" s="1">
        <v>45435</v>
      </c>
      <c r="C2574" t="s">
        <v>32</v>
      </c>
      <c r="D2574" t="s">
        <v>23</v>
      </c>
      <c r="E2574">
        <v>64200.59</v>
      </c>
      <c r="F2574">
        <v>15</v>
      </c>
      <c r="G2574" t="s">
        <v>16</v>
      </c>
      <c r="H2574">
        <v>2882.1</v>
      </c>
      <c r="I2574">
        <v>4703.34</v>
      </c>
      <c r="J2574" t="s">
        <v>27</v>
      </c>
      <c r="K2574">
        <v>0.09</v>
      </c>
      <c r="L2574" t="s">
        <v>28</v>
      </c>
      <c r="M2574" t="s">
        <v>19</v>
      </c>
    </row>
    <row r="2575" spans="1:13" x14ac:dyDescent="0.35">
      <c r="A2575">
        <v>1024</v>
      </c>
      <c r="B2575" s="1">
        <v>45435</v>
      </c>
      <c r="C2575" t="s">
        <v>22</v>
      </c>
      <c r="D2575" t="s">
        <v>20</v>
      </c>
      <c r="E2575">
        <v>62423.82</v>
      </c>
      <c r="F2575">
        <v>37</v>
      </c>
      <c r="G2575" t="s">
        <v>31</v>
      </c>
      <c r="H2575">
        <v>1006.94</v>
      </c>
      <c r="I2575">
        <v>2376.2399999999998</v>
      </c>
      <c r="J2575" t="s">
        <v>27</v>
      </c>
      <c r="K2575">
        <v>0.28999999999999998</v>
      </c>
      <c r="L2575" t="s">
        <v>28</v>
      </c>
      <c r="M2575" t="s">
        <v>21</v>
      </c>
    </row>
    <row r="2576" spans="1:13" x14ac:dyDescent="0.35">
      <c r="A2576">
        <v>1003</v>
      </c>
      <c r="B2576" s="1">
        <v>45435</v>
      </c>
      <c r="C2576" t="s">
        <v>22</v>
      </c>
      <c r="D2576" t="s">
        <v>20</v>
      </c>
      <c r="E2576">
        <v>207074.71</v>
      </c>
      <c r="F2576">
        <v>47</v>
      </c>
      <c r="G2576" t="s">
        <v>24</v>
      </c>
      <c r="H2576">
        <v>2942.88</v>
      </c>
      <c r="I2576">
        <v>4495.76</v>
      </c>
      <c r="J2576" t="s">
        <v>17</v>
      </c>
      <c r="K2576">
        <v>0.02</v>
      </c>
      <c r="L2576" t="s">
        <v>25</v>
      </c>
      <c r="M2576" t="s">
        <v>19</v>
      </c>
    </row>
    <row r="2577" spans="1:13" x14ac:dyDescent="0.35">
      <c r="A2577">
        <v>1006</v>
      </c>
      <c r="B2577" s="1">
        <v>45436</v>
      </c>
      <c r="C2577" t="s">
        <v>33</v>
      </c>
      <c r="D2577" t="s">
        <v>30</v>
      </c>
      <c r="E2577">
        <v>91383.07</v>
      </c>
      <c r="F2577">
        <v>23</v>
      </c>
      <c r="G2577" t="s">
        <v>24</v>
      </c>
      <c r="H2577">
        <v>3686.88</v>
      </c>
      <c r="I2577">
        <v>4566.87</v>
      </c>
      <c r="J2577" t="s">
        <v>27</v>
      </c>
      <c r="K2577">
        <v>0.13</v>
      </c>
      <c r="L2577" t="s">
        <v>25</v>
      </c>
      <c r="M2577" t="s">
        <v>21</v>
      </c>
    </row>
    <row r="2578" spans="1:13" x14ac:dyDescent="0.35">
      <c r="A2578">
        <v>1011</v>
      </c>
      <c r="B2578" s="1">
        <v>45436</v>
      </c>
      <c r="C2578" t="s">
        <v>22</v>
      </c>
      <c r="D2578" t="s">
        <v>20</v>
      </c>
      <c r="E2578">
        <v>16266.61</v>
      </c>
      <c r="F2578">
        <v>5</v>
      </c>
      <c r="G2578" t="s">
        <v>31</v>
      </c>
      <c r="H2578">
        <v>1882</v>
      </c>
      <c r="I2578">
        <v>3353.94</v>
      </c>
      <c r="J2578" t="s">
        <v>27</v>
      </c>
      <c r="K2578">
        <v>0.03</v>
      </c>
      <c r="L2578" t="s">
        <v>18</v>
      </c>
      <c r="M2578" t="s">
        <v>21</v>
      </c>
    </row>
    <row r="2579" spans="1:13" x14ac:dyDescent="0.35">
      <c r="A2579">
        <v>1081</v>
      </c>
      <c r="B2579" s="1">
        <v>45436</v>
      </c>
      <c r="C2579" t="s">
        <v>33</v>
      </c>
      <c r="D2579" t="s">
        <v>30</v>
      </c>
      <c r="E2579">
        <v>21218.97</v>
      </c>
      <c r="F2579">
        <v>28</v>
      </c>
      <c r="G2579" t="s">
        <v>31</v>
      </c>
      <c r="H2579">
        <v>503.91</v>
      </c>
      <c r="I2579">
        <v>1038.1099999999999</v>
      </c>
      <c r="J2579" t="s">
        <v>17</v>
      </c>
      <c r="K2579">
        <v>0.27</v>
      </c>
      <c r="L2579" t="s">
        <v>18</v>
      </c>
      <c r="M2579" t="s">
        <v>21</v>
      </c>
    </row>
    <row r="2580" spans="1:13" x14ac:dyDescent="0.35">
      <c r="A2580">
        <v>1051</v>
      </c>
      <c r="B2580" s="1">
        <v>45436</v>
      </c>
      <c r="C2580" t="s">
        <v>32</v>
      </c>
      <c r="D2580" t="s">
        <v>15</v>
      </c>
      <c r="E2580">
        <v>108439.5</v>
      </c>
      <c r="F2580">
        <v>43</v>
      </c>
      <c r="G2580" t="s">
        <v>24</v>
      </c>
      <c r="H2580">
        <v>2236.2600000000002</v>
      </c>
      <c r="I2580">
        <v>2741.14</v>
      </c>
      <c r="J2580" t="s">
        <v>27</v>
      </c>
      <c r="K2580">
        <v>0.08</v>
      </c>
      <c r="L2580" t="s">
        <v>25</v>
      </c>
      <c r="M2580" t="s">
        <v>19</v>
      </c>
    </row>
    <row r="2581" spans="1:13" x14ac:dyDescent="0.35">
      <c r="A2581">
        <v>1095</v>
      </c>
      <c r="B2581" s="1">
        <v>45436</v>
      </c>
      <c r="C2581" t="s">
        <v>32</v>
      </c>
      <c r="D2581" t="s">
        <v>15</v>
      </c>
      <c r="E2581">
        <v>86753.91</v>
      </c>
      <c r="F2581">
        <v>30</v>
      </c>
      <c r="G2581" t="s">
        <v>31</v>
      </c>
      <c r="H2581">
        <v>327.49</v>
      </c>
      <c r="I2581">
        <v>3249.21</v>
      </c>
      <c r="J2581" t="s">
        <v>17</v>
      </c>
      <c r="K2581">
        <v>0.11</v>
      </c>
      <c r="L2581" t="s">
        <v>18</v>
      </c>
      <c r="M2581" t="s">
        <v>21</v>
      </c>
    </row>
    <row r="2582" spans="1:13" x14ac:dyDescent="0.35">
      <c r="A2582">
        <v>1085</v>
      </c>
      <c r="B2582" s="1">
        <v>45436</v>
      </c>
      <c r="C2582" t="s">
        <v>32</v>
      </c>
      <c r="D2582" t="s">
        <v>15</v>
      </c>
      <c r="E2582">
        <v>195919.14</v>
      </c>
      <c r="F2582">
        <v>47</v>
      </c>
      <c r="G2582" t="s">
        <v>31</v>
      </c>
      <c r="H2582">
        <v>1672.35</v>
      </c>
      <c r="I2582">
        <v>4530.97</v>
      </c>
      <c r="J2582" t="s">
        <v>27</v>
      </c>
      <c r="K2582">
        <v>0.08</v>
      </c>
      <c r="L2582" t="s">
        <v>18</v>
      </c>
      <c r="M2582" t="s">
        <v>19</v>
      </c>
    </row>
    <row r="2583" spans="1:13" x14ac:dyDescent="0.35">
      <c r="A2583">
        <v>1034</v>
      </c>
      <c r="B2583" s="1">
        <v>45437</v>
      </c>
      <c r="C2583" t="s">
        <v>29</v>
      </c>
      <c r="D2583" t="s">
        <v>30</v>
      </c>
      <c r="E2583">
        <v>60578.11</v>
      </c>
      <c r="F2583">
        <v>12</v>
      </c>
      <c r="G2583" t="s">
        <v>26</v>
      </c>
      <c r="H2583">
        <v>4828.46</v>
      </c>
      <c r="I2583">
        <v>5370.4</v>
      </c>
      <c r="J2583" t="s">
        <v>27</v>
      </c>
      <c r="K2583">
        <v>0.06</v>
      </c>
      <c r="L2583" t="s">
        <v>28</v>
      </c>
      <c r="M2583" t="s">
        <v>19</v>
      </c>
    </row>
    <row r="2584" spans="1:13" x14ac:dyDescent="0.35">
      <c r="A2584">
        <v>1006</v>
      </c>
      <c r="B2584" s="1">
        <v>45437</v>
      </c>
      <c r="C2584" t="s">
        <v>22</v>
      </c>
      <c r="D2584" t="s">
        <v>23</v>
      </c>
      <c r="E2584">
        <v>28958.2</v>
      </c>
      <c r="F2584">
        <v>15</v>
      </c>
      <c r="G2584" t="s">
        <v>24</v>
      </c>
      <c r="H2584">
        <v>1376.98</v>
      </c>
      <c r="I2584">
        <v>2719.08</v>
      </c>
      <c r="J2584" t="s">
        <v>17</v>
      </c>
      <c r="K2584">
        <v>0.28999999999999998</v>
      </c>
      <c r="L2584" t="s">
        <v>18</v>
      </c>
      <c r="M2584" t="s">
        <v>19</v>
      </c>
    </row>
    <row r="2585" spans="1:13" x14ac:dyDescent="0.35">
      <c r="A2585">
        <v>1065</v>
      </c>
      <c r="B2585" s="1">
        <v>45437</v>
      </c>
      <c r="C2585" t="s">
        <v>22</v>
      </c>
      <c r="D2585" t="s">
        <v>20</v>
      </c>
      <c r="E2585">
        <v>21134.22</v>
      </c>
      <c r="F2585">
        <v>6</v>
      </c>
      <c r="G2585" t="s">
        <v>24</v>
      </c>
      <c r="H2585">
        <v>484.73</v>
      </c>
      <c r="I2585">
        <v>4095.78</v>
      </c>
      <c r="J2585" t="s">
        <v>27</v>
      </c>
      <c r="K2585">
        <v>0.14000000000000001</v>
      </c>
      <c r="L2585" t="s">
        <v>25</v>
      </c>
      <c r="M2585" t="s">
        <v>19</v>
      </c>
    </row>
    <row r="2586" spans="1:13" x14ac:dyDescent="0.35">
      <c r="A2586">
        <v>1005</v>
      </c>
      <c r="B2586" s="1">
        <v>45437</v>
      </c>
      <c r="C2586" t="s">
        <v>14</v>
      </c>
      <c r="D2586" t="s">
        <v>15</v>
      </c>
      <c r="E2586">
        <v>89991.06</v>
      </c>
      <c r="F2586">
        <v>28</v>
      </c>
      <c r="G2586" t="s">
        <v>16</v>
      </c>
      <c r="H2586">
        <v>1865.4</v>
      </c>
      <c r="I2586">
        <v>3967.86</v>
      </c>
      <c r="J2586" t="s">
        <v>27</v>
      </c>
      <c r="K2586">
        <v>0.19</v>
      </c>
      <c r="L2586" t="s">
        <v>25</v>
      </c>
      <c r="M2586" t="s">
        <v>19</v>
      </c>
    </row>
    <row r="2587" spans="1:13" x14ac:dyDescent="0.35">
      <c r="A2587">
        <v>1051</v>
      </c>
      <c r="B2587" s="1">
        <v>45437</v>
      </c>
      <c r="C2587" t="s">
        <v>33</v>
      </c>
      <c r="D2587" t="s">
        <v>23</v>
      </c>
      <c r="E2587">
        <v>98392.77</v>
      </c>
      <c r="F2587">
        <v>27</v>
      </c>
      <c r="G2587" t="s">
        <v>16</v>
      </c>
      <c r="H2587">
        <v>1944.44</v>
      </c>
      <c r="I2587">
        <v>4141.1099999999997</v>
      </c>
      <c r="J2587" t="s">
        <v>27</v>
      </c>
      <c r="K2587">
        <v>0.12</v>
      </c>
      <c r="L2587" t="s">
        <v>18</v>
      </c>
      <c r="M2587" t="s">
        <v>21</v>
      </c>
    </row>
    <row r="2588" spans="1:13" x14ac:dyDescent="0.35">
      <c r="A2588">
        <v>1042</v>
      </c>
      <c r="B2588" s="1">
        <v>45439</v>
      </c>
      <c r="C2588" t="s">
        <v>32</v>
      </c>
      <c r="D2588" t="s">
        <v>30</v>
      </c>
      <c r="E2588">
        <v>56220.46</v>
      </c>
      <c r="F2588">
        <v>25</v>
      </c>
      <c r="G2588" t="s">
        <v>26</v>
      </c>
      <c r="H2588">
        <v>1993.19</v>
      </c>
      <c r="I2588">
        <v>2392.36</v>
      </c>
      <c r="J2588" t="s">
        <v>17</v>
      </c>
      <c r="K2588">
        <v>0.06</v>
      </c>
      <c r="L2588" t="s">
        <v>28</v>
      </c>
      <c r="M2588" t="s">
        <v>21</v>
      </c>
    </row>
    <row r="2589" spans="1:13" x14ac:dyDescent="0.35">
      <c r="A2589">
        <v>1083</v>
      </c>
      <c r="B2589" s="1">
        <v>45439</v>
      </c>
      <c r="C2589" t="s">
        <v>33</v>
      </c>
      <c r="D2589" t="s">
        <v>20</v>
      </c>
      <c r="E2589">
        <v>54522.400000000001</v>
      </c>
      <c r="F2589">
        <v>22</v>
      </c>
      <c r="G2589" t="s">
        <v>24</v>
      </c>
      <c r="H2589">
        <v>1983.76</v>
      </c>
      <c r="I2589">
        <v>2606.17</v>
      </c>
      <c r="J2589" t="s">
        <v>27</v>
      </c>
      <c r="K2589">
        <v>0.05</v>
      </c>
      <c r="L2589" t="s">
        <v>18</v>
      </c>
      <c r="M2589" t="s">
        <v>21</v>
      </c>
    </row>
    <row r="2590" spans="1:13" x14ac:dyDescent="0.35">
      <c r="A2590">
        <v>1036</v>
      </c>
      <c r="B2590" s="1">
        <v>45439</v>
      </c>
      <c r="C2590" t="s">
        <v>33</v>
      </c>
      <c r="D2590" t="s">
        <v>15</v>
      </c>
      <c r="E2590">
        <v>103267.06</v>
      </c>
      <c r="F2590">
        <v>22</v>
      </c>
      <c r="G2590" t="s">
        <v>26</v>
      </c>
      <c r="H2590">
        <v>3826.34</v>
      </c>
      <c r="I2590">
        <v>4856.3999999999996</v>
      </c>
      <c r="J2590" t="s">
        <v>17</v>
      </c>
      <c r="K2590">
        <v>0.03</v>
      </c>
      <c r="L2590" t="s">
        <v>18</v>
      </c>
      <c r="M2590" t="s">
        <v>19</v>
      </c>
    </row>
    <row r="2591" spans="1:13" x14ac:dyDescent="0.35">
      <c r="A2591">
        <v>1022</v>
      </c>
      <c r="B2591" s="1">
        <v>45439</v>
      </c>
      <c r="C2591" t="s">
        <v>32</v>
      </c>
      <c r="D2591" t="s">
        <v>30</v>
      </c>
      <c r="E2591">
        <v>142822.54999999999</v>
      </c>
      <c r="F2591">
        <v>42</v>
      </c>
      <c r="G2591" t="s">
        <v>16</v>
      </c>
      <c r="H2591">
        <v>2566.91</v>
      </c>
      <c r="I2591">
        <v>3427.94</v>
      </c>
      <c r="J2591" t="s">
        <v>27</v>
      </c>
      <c r="K2591">
        <v>0.01</v>
      </c>
      <c r="L2591" t="s">
        <v>25</v>
      </c>
      <c r="M2591" t="s">
        <v>19</v>
      </c>
    </row>
    <row r="2592" spans="1:13" x14ac:dyDescent="0.35">
      <c r="A2592">
        <v>1076</v>
      </c>
      <c r="B2592" s="1">
        <v>45439</v>
      </c>
      <c r="C2592" t="s">
        <v>22</v>
      </c>
      <c r="D2592" t="s">
        <v>23</v>
      </c>
      <c r="E2592">
        <v>172284.24</v>
      </c>
      <c r="F2592">
        <v>48</v>
      </c>
      <c r="G2592" t="s">
        <v>16</v>
      </c>
      <c r="H2592">
        <v>1098.03</v>
      </c>
      <c r="I2592">
        <v>3625.51</v>
      </c>
      <c r="J2592" t="s">
        <v>17</v>
      </c>
      <c r="K2592">
        <v>0.01</v>
      </c>
      <c r="L2592" t="s">
        <v>28</v>
      </c>
      <c r="M2592" t="s">
        <v>19</v>
      </c>
    </row>
    <row r="2593" spans="1:13" x14ac:dyDescent="0.35">
      <c r="A2593">
        <v>1076</v>
      </c>
      <c r="B2593" s="1">
        <v>45439</v>
      </c>
      <c r="C2593" t="s">
        <v>33</v>
      </c>
      <c r="D2593" t="s">
        <v>30</v>
      </c>
      <c r="E2593">
        <v>183201.9</v>
      </c>
      <c r="F2593">
        <v>49</v>
      </c>
      <c r="G2593" t="s">
        <v>31</v>
      </c>
      <c r="H2593">
        <v>1033.5</v>
      </c>
      <c r="I2593">
        <v>4615.82</v>
      </c>
      <c r="J2593" t="s">
        <v>17</v>
      </c>
      <c r="K2593">
        <v>0.19</v>
      </c>
      <c r="L2593" t="s">
        <v>28</v>
      </c>
      <c r="M2593" t="s">
        <v>19</v>
      </c>
    </row>
    <row r="2594" spans="1:13" x14ac:dyDescent="0.35">
      <c r="A2594">
        <v>1046</v>
      </c>
      <c r="B2594" s="1">
        <v>45440</v>
      </c>
      <c r="C2594" t="s">
        <v>32</v>
      </c>
      <c r="D2594" t="s">
        <v>23</v>
      </c>
      <c r="E2594">
        <v>157406.16</v>
      </c>
      <c r="F2594">
        <v>32</v>
      </c>
      <c r="G2594" t="s">
        <v>16</v>
      </c>
      <c r="H2594">
        <v>4865.01</v>
      </c>
      <c r="I2594">
        <v>4933.6499999999996</v>
      </c>
      <c r="J2594" t="s">
        <v>27</v>
      </c>
      <c r="K2594">
        <v>0</v>
      </c>
      <c r="L2594" t="s">
        <v>28</v>
      </c>
      <c r="M2594" t="s">
        <v>21</v>
      </c>
    </row>
    <row r="2595" spans="1:13" x14ac:dyDescent="0.35">
      <c r="A2595">
        <v>1075</v>
      </c>
      <c r="B2595" s="1">
        <v>45440</v>
      </c>
      <c r="C2595" t="s">
        <v>29</v>
      </c>
      <c r="D2595" t="s">
        <v>30</v>
      </c>
      <c r="E2595">
        <v>156266.46</v>
      </c>
      <c r="F2595">
        <v>42</v>
      </c>
      <c r="G2595" t="s">
        <v>16</v>
      </c>
      <c r="H2595">
        <v>3671.38</v>
      </c>
      <c r="I2595">
        <v>3821.39</v>
      </c>
      <c r="J2595" t="s">
        <v>17</v>
      </c>
      <c r="K2595">
        <v>0.03</v>
      </c>
      <c r="L2595" t="s">
        <v>18</v>
      </c>
      <c r="M2595" t="s">
        <v>19</v>
      </c>
    </row>
    <row r="2596" spans="1:13" x14ac:dyDescent="0.35">
      <c r="A2596">
        <v>1039</v>
      </c>
      <c r="B2596" s="1">
        <v>45440</v>
      </c>
      <c r="C2596" t="s">
        <v>33</v>
      </c>
      <c r="D2596" t="s">
        <v>23</v>
      </c>
      <c r="E2596">
        <v>48976.94</v>
      </c>
      <c r="F2596">
        <v>17</v>
      </c>
      <c r="G2596" t="s">
        <v>31</v>
      </c>
      <c r="H2596">
        <v>2556.69</v>
      </c>
      <c r="I2596">
        <v>3165.93</v>
      </c>
      <c r="J2596" t="s">
        <v>27</v>
      </c>
      <c r="K2596">
        <v>0.09</v>
      </c>
      <c r="L2596" t="s">
        <v>18</v>
      </c>
      <c r="M2596" t="s">
        <v>19</v>
      </c>
    </row>
    <row r="2597" spans="1:13" x14ac:dyDescent="0.35">
      <c r="A2597">
        <v>1063</v>
      </c>
      <c r="B2597" s="1">
        <v>45440</v>
      </c>
      <c r="C2597" t="s">
        <v>33</v>
      </c>
      <c r="D2597" t="s">
        <v>30</v>
      </c>
      <c r="E2597">
        <v>17097.66</v>
      </c>
      <c r="F2597">
        <v>8</v>
      </c>
      <c r="G2597" t="s">
        <v>26</v>
      </c>
      <c r="H2597">
        <v>959.62</v>
      </c>
      <c r="I2597">
        <v>2671.51</v>
      </c>
      <c r="J2597" t="s">
        <v>27</v>
      </c>
      <c r="K2597">
        <v>0.2</v>
      </c>
      <c r="L2597" t="s">
        <v>18</v>
      </c>
      <c r="M2597" t="s">
        <v>21</v>
      </c>
    </row>
    <row r="2598" spans="1:13" x14ac:dyDescent="0.35">
      <c r="A2598">
        <v>1041</v>
      </c>
      <c r="B2598" s="1">
        <v>45440</v>
      </c>
      <c r="C2598" t="s">
        <v>33</v>
      </c>
      <c r="D2598" t="s">
        <v>15</v>
      </c>
      <c r="E2598">
        <v>168779.61</v>
      </c>
      <c r="F2598">
        <v>47</v>
      </c>
      <c r="G2598" t="s">
        <v>16</v>
      </c>
      <c r="H2598">
        <v>3329.06</v>
      </c>
      <c r="I2598">
        <v>4545.6400000000003</v>
      </c>
      <c r="J2598" t="s">
        <v>17</v>
      </c>
      <c r="K2598">
        <v>0.21</v>
      </c>
      <c r="L2598" t="s">
        <v>28</v>
      </c>
      <c r="M2598" t="s">
        <v>19</v>
      </c>
    </row>
    <row r="2599" spans="1:13" x14ac:dyDescent="0.35">
      <c r="A2599">
        <v>1018</v>
      </c>
      <c r="B2599" s="1">
        <v>45440</v>
      </c>
      <c r="C2599" t="s">
        <v>32</v>
      </c>
      <c r="D2599" t="s">
        <v>30</v>
      </c>
      <c r="E2599">
        <v>122458.45</v>
      </c>
      <c r="F2599">
        <v>43</v>
      </c>
      <c r="G2599" t="s">
        <v>26</v>
      </c>
      <c r="H2599">
        <v>646.51</v>
      </c>
      <c r="I2599">
        <v>3029.65</v>
      </c>
      <c r="J2599" t="s">
        <v>17</v>
      </c>
      <c r="K2599">
        <v>0.06</v>
      </c>
      <c r="L2599" t="s">
        <v>28</v>
      </c>
      <c r="M2599" t="s">
        <v>21</v>
      </c>
    </row>
    <row r="2600" spans="1:13" x14ac:dyDescent="0.35">
      <c r="A2600">
        <v>1038</v>
      </c>
      <c r="B2600" s="1">
        <v>45441</v>
      </c>
      <c r="C2600" t="s">
        <v>29</v>
      </c>
      <c r="D2600" t="s">
        <v>23</v>
      </c>
      <c r="E2600">
        <v>130246.1</v>
      </c>
      <c r="F2600">
        <v>42</v>
      </c>
      <c r="G2600" t="s">
        <v>24</v>
      </c>
      <c r="H2600">
        <v>3045.74</v>
      </c>
      <c r="I2600">
        <v>3925.44</v>
      </c>
      <c r="J2600" t="s">
        <v>17</v>
      </c>
      <c r="K2600">
        <v>0.21</v>
      </c>
      <c r="L2600" t="s">
        <v>25</v>
      </c>
      <c r="M2600" t="s">
        <v>21</v>
      </c>
    </row>
    <row r="2601" spans="1:13" x14ac:dyDescent="0.35">
      <c r="A2601">
        <v>1090</v>
      </c>
      <c r="B2601" s="1">
        <v>45441</v>
      </c>
      <c r="C2601" t="s">
        <v>22</v>
      </c>
      <c r="D2601" t="s">
        <v>23</v>
      </c>
      <c r="E2601">
        <v>122572.96</v>
      </c>
      <c r="F2601">
        <v>45</v>
      </c>
      <c r="G2601" t="s">
        <v>24</v>
      </c>
      <c r="H2601">
        <v>2031.71</v>
      </c>
      <c r="I2601">
        <v>3167.26</v>
      </c>
      <c r="J2601" t="s">
        <v>17</v>
      </c>
      <c r="K2601">
        <v>0.14000000000000001</v>
      </c>
      <c r="L2601" t="s">
        <v>18</v>
      </c>
      <c r="M2601" t="s">
        <v>19</v>
      </c>
    </row>
    <row r="2602" spans="1:13" x14ac:dyDescent="0.35">
      <c r="A2602">
        <v>1001</v>
      </c>
      <c r="B2602" s="1">
        <v>45441</v>
      </c>
      <c r="C2602" t="s">
        <v>22</v>
      </c>
      <c r="D2602" t="s">
        <v>15</v>
      </c>
      <c r="E2602">
        <v>128992.25</v>
      </c>
      <c r="F2602">
        <v>41</v>
      </c>
      <c r="G2602" t="s">
        <v>24</v>
      </c>
      <c r="H2602">
        <v>2175.5500000000002</v>
      </c>
      <c r="I2602">
        <v>4194.87</v>
      </c>
      <c r="J2602" t="s">
        <v>27</v>
      </c>
      <c r="K2602">
        <v>0.25</v>
      </c>
      <c r="L2602" t="s">
        <v>28</v>
      </c>
      <c r="M2602" t="s">
        <v>21</v>
      </c>
    </row>
    <row r="2603" spans="1:13" x14ac:dyDescent="0.35">
      <c r="A2603">
        <v>1024</v>
      </c>
      <c r="B2603" s="1">
        <v>45442</v>
      </c>
      <c r="C2603" t="s">
        <v>14</v>
      </c>
      <c r="D2603" t="s">
        <v>30</v>
      </c>
      <c r="E2603">
        <v>36778.410000000003</v>
      </c>
      <c r="F2603">
        <v>37</v>
      </c>
      <c r="G2603" t="s">
        <v>16</v>
      </c>
      <c r="H2603">
        <v>87.13</v>
      </c>
      <c r="I2603">
        <v>1092.32</v>
      </c>
      <c r="J2603" t="s">
        <v>27</v>
      </c>
      <c r="K2603">
        <v>0.09</v>
      </c>
      <c r="L2603" t="s">
        <v>18</v>
      </c>
      <c r="M2603" t="s">
        <v>19</v>
      </c>
    </row>
    <row r="2604" spans="1:13" x14ac:dyDescent="0.35">
      <c r="A2604">
        <v>1006</v>
      </c>
      <c r="B2604" s="1">
        <v>45442</v>
      </c>
      <c r="C2604" t="s">
        <v>33</v>
      </c>
      <c r="D2604" t="s">
        <v>15</v>
      </c>
      <c r="E2604">
        <v>156913.26</v>
      </c>
      <c r="F2604">
        <v>37</v>
      </c>
      <c r="G2604" t="s">
        <v>16</v>
      </c>
      <c r="H2604">
        <v>786.13</v>
      </c>
      <c r="I2604">
        <v>5437.05</v>
      </c>
      <c r="J2604" t="s">
        <v>27</v>
      </c>
      <c r="K2604">
        <v>0.22</v>
      </c>
      <c r="L2604" t="s">
        <v>18</v>
      </c>
      <c r="M2604" t="s">
        <v>21</v>
      </c>
    </row>
    <row r="2605" spans="1:13" x14ac:dyDescent="0.35">
      <c r="A2605">
        <v>1016</v>
      </c>
      <c r="B2605" s="1">
        <v>45443</v>
      </c>
      <c r="C2605" t="s">
        <v>33</v>
      </c>
      <c r="D2605" t="s">
        <v>23</v>
      </c>
      <c r="E2605">
        <v>150070.57999999999</v>
      </c>
      <c r="F2605">
        <v>41</v>
      </c>
      <c r="G2605" t="s">
        <v>16</v>
      </c>
      <c r="H2605">
        <v>1271.77</v>
      </c>
      <c r="I2605">
        <v>4357.45</v>
      </c>
      <c r="J2605" t="s">
        <v>17</v>
      </c>
      <c r="K2605">
        <v>0.16</v>
      </c>
      <c r="L2605" t="s">
        <v>28</v>
      </c>
      <c r="M2605" t="s">
        <v>19</v>
      </c>
    </row>
    <row r="2606" spans="1:13" x14ac:dyDescent="0.35">
      <c r="A2606">
        <v>1020</v>
      </c>
      <c r="B2606" s="1">
        <v>45443</v>
      </c>
      <c r="C2606" t="s">
        <v>14</v>
      </c>
      <c r="D2606" t="s">
        <v>15</v>
      </c>
      <c r="E2606">
        <v>130997.01</v>
      </c>
      <c r="F2606">
        <v>35</v>
      </c>
      <c r="G2606" t="s">
        <v>16</v>
      </c>
      <c r="H2606">
        <v>536.08000000000004</v>
      </c>
      <c r="I2606">
        <v>4352.0600000000004</v>
      </c>
      <c r="J2606" t="s">
        <v>27</v>
      </c>
      <c r="K2606">
        <v>0.14000000000000001</v>
      </c>
      <c r="L2606" t="s">
        <v>18</v>
      </c>
      <c r="M2606" t="s">
        <v>21</v>
      </c>
    </row>
    <row r="2607" spans="1:13" x14ac:dyDescent="0.35">
      <c r="A2607">
        <v>1055</v>
      </c>
      <c r="B2607" s="1">
        <v>45444</v>
      </c>
      <c r="C2607" t="s">
        <v>32</v>
      </c>
      <c r="D2607" t="s">
        <v>15</v>
      </c>
      <c r="E2607">
        <v>71991.17</v>
      </c>
      <c r="F2607">
        <v>19</v>
      </c>
      <c r="G2607" t="s">
        <v>24</v>
      </c>
      <c r="H2607">
        <v>1361.51</v>
      </c>
      <c r="I2607">
        <v>5412.87</v>
      </c>
      <c r="J2607" t="s">
        <v>27</v>
      </c>
      <c r="K2607">
        <v>0.3</v>
      </c>
      <c r="L2607" t="s">
        <v>25</v>
      </c>
      <c r="M2607" t="s">
        <v>19</v>
      </c>
    </row>
    <row r="2608" spans="1:13" x14ac:dyDescent="0.35">
      <c r="A2608">
        <v>1087</v>
      </c>
      <c r="B2608" s="1">
        <v>45445</v>
      </c>
      <c r="C2608" t="s">
        <v>33</v>
      </c>
      <c r="D2608" t="s">
        <v>30</v>
      </c>
      <c r="E2608">
        <v>115200.95</v>
      </c>
      <c r="F2608">
        <v>39</v>
      </c>
      <c r="G2608" t="s">
        <v>24</v>
      </c>
      <c r="H2608">
        <v>2871.55</v>
      </c>
      <c r="I2608">
        <v>3558.88</v>
      </c>
      <c r="J2608" t="s">
        <v>17</v>
      </c>
      <c r="K2608">
        <v>0.17</v>
      </c>
      <c r="L2608" t="s">
        <v>28</v>
      </c>
      <c r="M2608" t="s">
        <v>21</v>
      </c>
    </row>
    <row r="2609" spans="1:13" x14ac:dyDescent="0.35">
      <c r="A2609">
        <v>1095</v>
      </c>
      <c r="B2609" s="1">
        <v>45446</v>
      </c>
      <c r="C2609" t="s">
        <v>29</v>
      </c>
      <c r="D2609" t="s">
        <v>23</v>
      </c>
      <c r="E2609">
        <v>72992.929999999993</v>
      </c>
      <c r="F2609">
        <v>34</v>
      </c>
      <c r="G2609" t="s">
        <v>26</v>
      </c>
      <c r="H2609">
        <v>2132.36</v>
      </c>
      <c r="I2609">
        <v>2244.64</v>
      </c>
      <c r="J2609" t="s">
        <v>27</v>
      </c>
      <c r="K2609">
        <v>0.04</v>
      </c>
      <c r="L2609" t="s">
        <v>18</v>
      </c>
      <c r="M2609" t="s">
        <v>21</v>
      </c>
    </row>
    <row r="2610" spans="1:13" x14ac:dyDescent="0.35">
      <c r="A2610">
        <v>1100</v>
      </c>
      <c r="B2610" s="1">
        <v>45446</v>
      </c>
      <c r="C2610" t="s">
        <v>22</v>
      </c>
      <c r="D2610" t="s">
        <v>23</v>
      </c>
      <c r="E2610">
        <v>4740.16</v>
      </c>
      <c r="F2610">
        <v>2</v>
      </c>
      <c r="G2610" t="s">
        <v>24</v>
      </c>
      <c r="H2610">
        <v>663.94</v>
      </c>
      <c r="I2610">
        <v>2788.33</v>
      </c>
      <c r="J2610" t="s">
        <v>27</v>
      </c>
      <c r="K2610">
        <v>0.15</v>
      </c>
      <c r="L2610" t="s">
        <v>18</v>
      </c>
      <c r="M2610" t="s">
        <v>21</v>
      </c>
    </row>
    <row r="2611" spans="1:13" x14ac:dyDescent="0.35">
      <c r="A2611">
        <v>1098</v>
      </c>
      <c r="B2611" s="1">
        <v>45446</v>
      </c>
      <c r="C2611" t="s">
        <v>29</v>
      </c>
      <c r="D2611" t="s">
        <v>15</v>
      </c>
      <c r="E2611">
        <v>102442.63</v>
      </c>
      <c r="F2611">
        <v>29</v>
      </c>
      <c r="G2611" t="s">
        <v>16</v>
      </c>
      <c r="H2611">
        <v>1387.3</v>
      </c>
      <c r="I2611">
        <v>4060.35</v>
      </c>
      <c r="J2611" t="s">
        <v>17</v>
      </c>
      <c r="K2611">
        <v>0.13</v>
      </c>
      <c r="L2611" t="s">
        <v>18</v>
      </c>
      <c r="M2611" t="s">
        <v>19</v>
      </c>
    </row>
    <row r="2612" spans="1:13" x14ac:dyDescent="0.35">
      <c r="A2612">
        <v>1032</v>
      </c>
      <c r="B2612" s="1">
        <v>45447</v>
      </c>
      <c r="C2612" t="s">
        <v>14</v>
      </c>
      <c r="D2612" t="s">
        <v>15</v>
      </c>
      <c r="E2612">
        <v>13930.42</v>
      </c>
      <c r="F2612">
        <v>3</v>
      </c>
      <c r="G2612" t="s">
        <v>26</v>
      </c>
      <c r="H2612">
        <v>4221.82</v>
      </c>
      <c r="I2612">
        <v>4644.55</v>
      </c>
      <c r="J2612" t="s">
        <v>27</v>
      </c>
      <c r="K2612">
        <v>0</v>
      </c>
      <c r="L2612" t="s">
        <v>18</v>
      </c>
      <c r="M2612" t="s">
        <v>19</v>
      </c>
    </row>
    <row r="2613" spans="1:13" x14ac:dyDescent="0.35">
      <c r="A2613">
        <v>1071</v>
      </c>
      <c r="B2613" s="1">
        <v>45447</v>
      </c>
      <c r="C2613" t="s">
        <v>22</v>
      </c>
      <c r="D2613" t="s">
        <v>20</v>
      </c>
      <c r="E2613">
        <v>8519.6</v>
      </c>
      <c r="F2613">
        <v>3</v>
      </c>
      <c r="G2613" t="s">
        <v>26</v>
      </c>
      <c r="H2613">
        <v>436.73</v>
      </c>
      <c r="I2613">
        <v>3341.02</v>
      </c>
      <c r="J2613" t="s">
        <v>27</v>
      </c>
      <c r="K2613">
        <v>0.15</v>
      </c>
      <c r="L2613" t="s">
        <v>28</v>
      </c>
      <c r="M2613" t="s">
        <v>19</v>
      </c>
    </row>
    <row r="2614" spans="1:13" x14ac:dyDescent="0.35">
      <c r="A2614">
        <v>1011</v>
      </c>
      <c r="B2614" s="1">
        <v>45447</v>
      </c>
      <c r="C2614" t="s">
        <v>29</v>
      </c>
      <c r="D2614" t="s">
        <v>20</v>
      </c>
      <c r="E2614">
        <v>173508.72</v>
      </c>
      <c r="F2614">
        <v>50</v>
      </c>
      <c r="G2614" t="s">
        <v>31</v>
      </c>
      <c r="H2614">
        <v>3077.79</v>
      </c>
      <c r="I2614">
        <v>3943.38</v>
      </c>
      <c r="J2614" t="s">
        <v>17</v>
      </c>
      <c r="K2614">
        <v>0.12</v>
      </c>
      <c r="L2614" t="s">
        <v>25</v>
      </c>
      <c r="M2614" t="s">
        <v>19</v>
      </c>
    </row>
    <row r="2615" spans="1:13" x14ac:dyDescent="0.35">
      <c r="A2615">
        <v>1058</v>
      </c>
      <c r="B2615" s="1">
        <v>45447</v>
      </c>
      <c r="C2615" t="s">
        <v>32</v>
      </c>
      <c r="D2615" t="s">
        <v>23</v>
      </c>
      <c r="E2615">
        <v>68847.87</v>
      </c>
      <c r="F2615">
        <v>15</v>
      </c>
      <c r="G2615" t="s">
        <v>26</v>
      </c>
      <c r="H2615">
        <v>1419.17</v>
      </c>
      <c r="I2615">
        <v>4636.22</v>
      </c>
      <c r="J2615" t="s">
        <v>17</v>
      </c>
      <c r="K2615">
        <v>0.01</v>
      </c>
      <c r="L2615" t="s">
        <v>25</v>
      </c>
      <c r="M2615" t="s">
        <v>21</v>
      </c>
    </row>
    <row r="2616" spans="1:13" x14ac:dyDescent="0.35">
      <c r="A2616">
        <v>1029</v>
      </c>
      <c r="B2616" s="1">
        <v>45448</v>
      </c>
      <c r="C2616" t="s">
        <v>14</v>
      </c>
      <c r="D2616" t="s">
        <v>30</v>
      </c>
      <c r="E2616">
        <v>103554.48</v>
      </c>
      <c r="F2616">
        <v>26</v>
      </c>
      <c r="G2616" t="s">
        <v>16</v>
      </c>
      <c r="H2616">
        <v>3792.81</v>
      </c>
      <c r="I2616">
        <v>4036.8</v>
      </c>
      <c r="J2616" t="s">
        <v>27</v>
      </c>
      <c r="K2616">
        <v>0.01</v>
      </c>
      <c r="L2616" t="s">
        <v>28</v>
      </c>
      <c r="M2616" t="s">
        <v>19</v>
      </c>
    </row>
    <row r="2617" spans="1:13" x14ac:dyDescent="0.35">
      <c r="A2617">
        <v>1095</v>
      </c>
      <c r="B2617" s="1">
        <v>45448</v>
      </c>
      <c r="C2617" t="s">
        <v>32</v>
      </c>
      <c r="D2617" t="s">
        <v>15</v>
      </c>
      <c r="E2617">
        <v>31236.95</v>
      </c>
      <c r="F2617">
        <v>41</v>
      </c>
      <c r="G2617" t="s">
        <v>26</v>
      </c>
      <c r="H2617">
        <v>637.51</v>
      </c>
      <c r="I2617">
        <v>785.44</v>
      </c>
      <c r="J2617" t="s">
        <v>17</v>
      </c>
      <c r="K2617">
        <v>0.03</v>
      </c>
      <c r="L2617" t="s">
        <v>18</v>
      </c>
      <c r="M2617" t="s">
        <v>21</v>
      </c>
    </row>
    <row r="2618" spans="1:13" x14ac:dyDescent="0.35">
      <c r="A2618">
        <v>1027</v>
      </c>
      <c r="B2618" s="1">
        <v>45449</v>
      </c>
      <c r="C2618" t="s">
        <v>22</v>
      </c>
      <c r="D2618" t="s">
        <v>20</v>
      </c>
      <c r="E2618">
        <v>62068.56</v>
      </c>
      <c r="F2618">
        <v>16</v>
      </c>
      <c r="G2618" t="s">
        <v>31</v>
      </c>
      <c r="H2618">
        <v>3226.55</v>
      </c>
      <c r="I2618">
        <v>3918.47</v>
      </c>
      <c r="J2618" t="s">
        <v>17</v>
      </c>
      <c r="K2618">
        <v>0.01</v>
      </c>
      <c r="L2618" t="s">
        <v>18</v>
      </c>
      <c r="M2618" t="s">
        <v>19</v>
      </c>
    </row>
    <row r="2619" spans="1:13" x14ac:dyDescent="0.35">
      <c r="A2619">
        <v>1002</v>
      </c>
      <c r="B2619" s="1">
        <v>45449</v>
      </c>
      <c r="C2619" t="s">
        <v>33</v>
      </c>
      <c r="D2619" t="s">
        <v>23</v>
      </c>
      <c r="E2619">
        <v>73798.080000000002</v>
      </c>
      <c r="F2619">
        <v>27</v>
      </c>
      <c r="G2619" t="s">
        <v>16</v>
      </c>
      <c r="H2619">
        <v>1670.27</v>
      </c>
      <c r="I2619">
        <v>3105.98</v>
      </c>
      <c r="J2619" t="s">
        <v>17</v>
      </c>
      <c r="K2619">
        <v>0.12</v>
      </c>
      <c r="L2619" t="s">
        <v>28</v>
      </c>
      <c r="M2619" t="s">
        <v>19</v>
      </c>
    </row>
    <row r="2620" spans="1:13" x14ac:dyDescent="0.35">
      <c r="A2620">
        <v>1093</v>
      </c>
      <c r="B2620" s="1">
        <v>45449</v>
      </c>
      <c r="C2620" t="s">
        <v>14</v>
      </c>
      <c r="D2620" t="s">
        <v>23</v>
      </c>
      <c r="E2620">
        <v>75109.009999999995</v>
      </c>
      <c r="F2620">
        <v>42</v>
      </c>
      <c r="G2620" t="s">
        <v>31</v>
      </c>
      <c r="H2620">
        <v>407.53</v>
      </c>
      <c r="I2620">
        <v>2154.59</v>
      </c>
      <c r="J2620" t="s">
        <v>17</v>
      </c>
      <c r="K2620">
        <v>0.17</v>
      </c>
      <c r="L2620" t="s">
        <v>28</v>
      </c>
      <c r="M2620" t="s">
        <v>21</v>
      </c>
    </row>
    <row r="2621" spans="1:13" x14ac:dyDescent="0.35">
      <c r="A2621">
        <v>1001</v>
      </c>
      <c r="B2621" s="1">
        <v>45450</v>
      </c>
      <c r="C2621" t="s">
        <v>22</v>
      </c>
      <c r="D2621" t="s">
        <v>15</v>
      </c>
      <c r="E2621">
        <v>3871.3</v>
      </c>
      <c r="F2621">
        <v>1</v>
      </c>
      <c r="G2621" t="s">
        <v>26</v>
      </c>
      <c r="H2621">
        <v>3633.26</v>
      </c>
      <c r="I2621">
        <v>4779.38</v>
      </c>
      <c r="J2621" t="s">
        <v>17</v>
      </c>
      <c r="K2621">
        <v>0.19</v>
      </c>
      <c r="L2621" t="s">
        <v>25</v>
      </c>
      <c r="M2621" t="s">
        <v>21</v>
      </c>
    </row>
    <row r="2622" spans="1:13" x14ac:dyDescent="0.35">
      <c r="A2622">
        <v>1096</v>
      </c>
      <c r="B2622" s="1">
        <v>45450</v>
      </c>
      <c r="C2622" t="s">
        <v>32</v>
      </c>
      <c r="D2622" t="s">
        <v>30</v>
      </c>
      <c r="E2622">
        <v>184525.76</v>
      </c>
      <c r="F2622">
        <v>42</v>
      </c>
      <c r="G2622" t="s">
        <v>24</v>
      </c>
      <c r="H2622">
        <v>3615.22</v>
      </c>
      <c r="I2622">
        <v>4992.58</v>
      </c>
      <c r="J2622" t="s">
        <v>27</v>
      </c>
      <c r="K2622">
        <v>0.12</v>
      </c>
      <c r="L2622" t="s">
        <v>25</v>
      </c>
      <c r="M2622" t="s">
        <v>19</v>
      </c>
    </row>
    <row r="2623" spans="1:13" x14ac:dyDescent="0.35">
      <c r="A2623">
        <v>1034</v>
      </c>
      <c r="B2623" s="1">
        <v>45450</v>
      </c>
      <c r="C2623" t="s">
        <v>33</v>
      </c>
      <c r="D2623" t="s">
        <v>30</v>
      </c>
      <c r="E2623">
        <v>167718.45000000001</v>
      </c>
      <c r="F2623">
        <v>37</v>
      </c>
      <c r="G2623" t="s">
        <v>24</v>
      </c>
      <c r="H2623">
        <v>2824.21</v>
      </c>
      <c r="I2623">
        <v>5332.86</v>
      </c>
      <c r="J2623" t="s">
        <v>27</v>
      </c>
      <c r="K2623">
        <v>0.15</v>
      </c>
      <c r="L2623" t="s">
        <v>25</v>
      </c>
      <c r="M2623" t="s">
        <v>21</v>
      </c>
    </row>
    <row r="2624" spans="1:13" x14ac:dyDescent="0.35">
      <c r="A2624">
        <v>1079</v>
      </c>
      <c r="B2624" s="1">
        <v>45451</v>
      </c>
      <c r="C2624" t="s">
        <v>22</v>
      </c>
      <c r="D2624" t="s">
        <v>30</v>
      </c>
      <c r="E2624">
        <v>36638.65</v>
      </c>
      <c r="F2624">
        <v>17</v>
      </c>
      <c r="G2624" t="s">
        <v>24</v>
      </c>
      <c r="H2624">
        <v>1038.55</v>
      </c>
      <c r="I2624">
        <v>2798.98</v>
      </c>
      <c r="J2624" t="s">
        <v>27</v>
      </c>
      <c r="K2624">
        <v>0.23</v>
      </c>
      <c r="L2624" t="s">
        <v>25</v>
      </c>
      <c r="M2624" t="s">
        <v>21</v>
      </c>
    </row>
    <row r="2625" spans="1:13" x14ac:dyDescent="0.35">
      <c r="A2625">
        <v>1022</v>
      </c>
      <c r="B2625" s="1">
        <v>45451</v>
      </c>
      <c r="C2625" t="s">
        <v>33</v>
      </c>
      <c r="D2625" t="s">
        <v>23</v>
      </c>
      <c r="E2625">
        <v>144730.95000000001</v>
      </c>
      <c r="F2625">
        <v>46</v>
      </c>
      <c r="G2625" t="s">
        <v>26</v>
      </c>
      <c r="H2625">
        <v>1269.51</v>
      </c>
      <c r="I2625">
        <v>3982.69</v>
      </c>
      <c r="J2625" t="s">
        <v>17</v>
      </c>
      <c r="K2625">
        <v>0.21</v>
      </c>
      <c r="L2625" t="s">
        <v>28</v>
      </c>
      <c r="M2625" t="s">
        <v>21</v>
      </c>
    </row>
    <row r="2626" spans="1:13" x14ac:dyDescent="0.35">
      <c r="A2626">
        <v>1069</v>
      </c>
      <c r="B2626" s="1">
        <v>45452</v>
      </c>
      <c r="C2626" t="s">
        <v>33</v>
      </c>
      <c r="D2626" t="s">
        <v>15</v>
      </c>
      <c r="E2626">
        <v>39097.43</v>
      </c>
      <c r="F2626">
        <v>9</v>
      </c>
      <c r="G2626" t="s">
        <v>31</v>
      </c>
      <c r="H2626">
        <v>4264.75</v>
      </c>
      <c r="I2626">
        <v>4353.45</v>
      </c>
      <c r="J2626" t="s">
        <v>17</v>
      </c>
      <c r="K2626">
        <v>0</v>
      </c>
      <c r="L2626" t="s">
        <v>18</v>
      </c>
      <c r="M2626" t="s">
        <v>19</v>
      </c>
    </row>
    <row r="2627" spans="1:13" x14ac:dyDescent="0.35">
      <c r="A2627">
        <v>1091</v>
      </c>
      <c r="B2627" s="1">
        <v>45452</v>
      </c>
      <c r="C2627" t="s">
        <v>22</v>
      </c>
      <c r="D2627" t="s">
        <v>20</v>
      </c>
      <c r="E2627">
        <v>6372.42</v>
      </c>
      <c r="F2627">
        <v>2</v>
      </c>
      <c r="G2627" t="s">
        <v>31</v>
      </c>
      <c r="H2627">
        <v>2763.91</v>
      </c>
      <c r="I2627">
        <v>4364.67</v>
      </c>
      <c r="J2627" t="s">
        <v>17</v>
      </c>
      <c r="K2627">
        <v>0.27</v>
      </c>
      <c r="L2627" t="s">
        <v>25</v>
      </c>
      <c r="M2627" t="s">
        <v>21</v>
      </c>
    </row>
    <row r="2628" spans="1:13" x14ac:dyDescent="0.35">
      <c r="A2628">
        <v>1023</v>
      </c>
      <c r="B2628" s="1">
        <v>45452</v>
      </c>
      <c r="C2628" t="s">
        <v>29</v>
      </c>
      <c r="D2628" t="s">
        <v>15</v>
      </c>
      <c r="E2628">
        <v>89827.97</v>
      </c>
      <c r="F2628">
        <v>46</v>
      </c>
      <c r="G2628" t="s">
        <v>24</v>
      </c>
      <c r="H2628">
        <v>674.48</v>
      </c>
      <c r="I2628">
        <v>2055.56</v>
      </c>
      <c r="J2628" t="s">
        <v>17</v>
      </c>
      <c r="K2628">
        <v>0.05</v>
      </c>
      <c r="L2628" t="s">
        <v>25</v>
      </c>
      <c r="M2628" t="s">
        <v>19</v>
      </c>
    </row>
    <row r="2629" spans="1:13" x14ac:dyDescent="0.35">
      <c r="A2629">
        <v>1023</v>
      </c>
      <c r="B2629" s="1">
        <v>45452</v>
      </c>
      <c r="C2629" t="s">
        <v>29</v>
      </c>
      <c r="D2629" t="s">
        <v>30</v>
      </c>
      <c r="E2629">
        <v>94843.82</v>
      </c>
      <c r="F2629">
        <v>24</v>
      </c>
      <c r="G2629" t="s">
        <v>26</v>
      </c>
      <c r="H2629">
        <v>405.56</v>
      </c>
      <c r="I2629">
        <v>4204.07</v>
      </c>
      <c r="J2629" t="s">
        <v>27</v>
      </c>
      <c r="K2629">
        <v>0.06</v>
      </c>
      <c r="L2629" t="s">
        <v>28</v>
      </c>
      <c r="M2629" t="s">
        <v>21</v>
      </c>
    </row>
    <row r="2630" spans="1:13" x14ac:dyDescent="0.35">
      <c r="A2630">
        <v>1018</v>
      </c>
      <c r="B2630" s="1">
        <v>45452</v>
      </c>
      <c r="C2630" t="s">
        <v>33</v>
      </c>
      <c r="D2630" t="s">
        <v>15</v>
      </c>
      <c r="E2630">
        <v>150773.64000000001</v>
      </c>
      <c r="F2630">
        <v>42</v>
      </c>
      <c r="G2630" t="s">
        <v>16</v>
      </c>
      <c r="H2630">
        <v>1173.99</v>
      </c>
      <c r="I2630">
        <v>4602.37</v>
      </c>
      <c r="J2630" t="s">
        <v>17</v>
      </c>
      <c r="K2630">
        <v>0.22</v>
      </c>
      <c r="L2630" t="s">
        <v>25</v>
      </c>
      <c r="M2630" t="s">
        <v>19</v>
      </c>
    </row>
    <row r="2631" spans="1:13" x14ac:dyDescent="0.35">
      <c r="A2631">
        <v>1070</v>
      </c>
      <c r="B2631" s="1">
        <v>45453</v>
      </c>
      <c r="C2631" t="s">
        <v>29</v>
      </c>
      <c r="D2631" t="s">
        <v>15</v>
      </c>
      <c r="E2631">
        <v>120979.58</v>
      </c>
      <c r="F2631">
        <v>30</v>
      </c>
      <c r="G2631" t="s">
        <v>16</v>
      </c>
      <c r="H2631">
        <v>3984.48</v>
      </c>
      <c r="I2631">
        <v>4048.21</v>
      </c>
      <c r="J2631" t="s">
        <v>17</v>
      </c>
      <c r="K2631">
        <v>0</v>
      </c>
      <c r="L2631" t="s">
        <v>28</v>
      </c>
      <c r="M2631" t="s">
        <v>21</v>
      </c>
    </row>
    <row r="2632" spans="1:13" x14ac:dyDescent="0.35">
      <c r="A2632">
        <v>1088</v>
      </c>
      <c r="B2632" s="1">
        <v>45453</v>
      </c>
      <c r="C2632" t="s">
        <v>14</v>
      </c>
      <c r="D2632" t="s">
        <v>20</v>
      </c>
      <c r="E2632">
        <v>108198.56</v>
      </c>
      <c r="F2632">
        <v>42</v>
      </c>
      <c r="G2632" t="s">
        <v>31</v>
      </c>
      <c r="H2632">
        <v>2394.31</v>
      </c>
      <c r="I2632">
        <v>2681.19</v>
      </c>
      <c r="J2632" t="s">
        <v>17</v>
      </c>
      <c r="K2632">
        <v>0.04</v>
      </c>
      <c r="L2632" t="s">
        <v>28</v>
      </c>
      <c r="M2632" t="s">
        <v>19</v>
      </c>
    </row>
    <row r="2633" spans="1:13" x14ac:dyDescent="0.35">
      <c r="A2633">
        <v>1006</v>
      </c>
      <c r="B2633" s="1">
        <v>45453</v>
      </c>
      <c r="C2633" t="s">
        <v>14</v>
      </c>
      <c r="D2633" t="s">
        <v>15</v>
      </c>
      <c r="E2633">
        <v>12636.82</v>
      </c>
      <c r="F2633">
        <v>7</v>
      </c>
      <c r="G2633" t="s">
        <v>31</v>
      </c>
      <c r="H2633">
        <v>407.22</v>
      </c>
      <c r="I2633">
        <v>2099.14</v>
      </c>
      <c r="J2633" t="s">
        <v>17</v>
      </c>
      <c r="K2633">
        <v>0.14000000000000001</v>
      </c>
      <c r="L2633" t="s">
        <v>25</v>
      </c>
      <c r="M2633" t="s">
        <v>21</v>
      </c>
    </row>
    <row r="2634" spans="1:13" x14ac:dyDescent="0.35">
      <c r="A2634">
        <v>1094</v>
      </c>
      <c r="B2634" s="1">
        <v>45453</v>
      </c>
      <c r="C2634" t="s">
        <v>14</v>
      </c>
      <c r="D2634" t="s">
        <v>20</v>
      </c>
      <c r="E2634">
        <v>57393.760000000002</v>
      </c>
      <c r="F2634">
        <v>24</v>
      </c>
      <c r="G2634" t="s">
        <v>31</v>
      </c>
      <c r="H2634">
        <v>1916.55</v>
      </c>
      <c r="I2634">
        <v>2506.12</v>
      </c>
      <c r="J2634" t="s">
        <v>17</v>
      </c>
      <c r="K2634">
        <v>0.05</v>
      </c>
      <c r="L2634" t="s">
        <v>18</v>
      </c>
      <c r="M2634" t="s">
        <v>19</v>
      </c>
    </row>
    <row r="2635" spans="1:13" x14ac:dyDescent="0.35">
      <c r="A2635">
        <v>1024</v>
      </c>
      <c r="B2635" s="1">
        <v>45453</v>
      </c>
      <c r="C2635" t="s">
        <v>22</v>
      </c>
      <c r="D2635" t="s">
        <v>15</v>
      </c>
      <c r="E2635">
        <v>39787.160000000003</v>
      </c>
      <c r="F2635">
        <v>9</v>
      </c>
      <c r="G2635" t="s">
        <v>24</v>
      </c>
      <c r="H2635">
        <v>2632.86</v>
      </c>
      <c r="I2635">
        <v>4465.45</v>
      </c>
      <c r="J2635" t="s">
        <v>17</v>
      </c>
      <c r="K2635">
        <v>0.01</v>
      </c>
      <c r="L2635" t="s">
        <v>18</v>
      </c>
      <c r="M2635" t="s">
        <v>19</v>
      </c>
    </row>
    <row r="2636" spans="1:13" x14ac:dyDescent="0.35">
      <c r="A2636">
        <v>1004</v>
      </c>
      <c r="B2636" s="1">
        <v>45454</v>
      </c>
      <c r="C2636" t="s">
        <v>32</v>
      </c>
      <c r="D2636" t="s">
        <v>15</v>
      </c>
      <c r="E2636">
        <v>120205.16</v>
      </c>
      <c r="F2636">
        <v>37</v>
      </c>
      <c r="G2636" t="s">
        <v>16</v>
      </c>
      <c r="H2636">
        <v>2205.11</v>
      </c>
      <c r="I2636">
        <v>4112.3900000000003</v>
      </c>
      <c r="J2636" t="s">
        <v>17</v>
      </c>
      <c r="K2636">
        <v>0.21</v>
      </c>
      <c r="L2636" t="s">
        <v>28</v>
      </c>
      <c r="M2636" t="s">
        <v>21</v>
      </c>
    </row>
    <row r="2637" spans="1:13" x14ac:dyDescent="0.35">
      <c r="A2637">
        <v>1076</v>
      </c>
      <c r="B2637" s="1">
        <v>45454</v>
      </c>
      <c r="C2637" t="s">
        <v>33</v>
      </c>
      <c r="D2637" t="s">
        <v>20</v>
      </c>
      <c r="E2637">
        <v>123332.74</v>
      </c>
      <c r="F2637">
        <v>48</v>
      </c>
      <c r="G2637" t="s">
        <v>31</v>
      </c>
      <c r="H2637">
        <v>899.68</v>
      </c>
      <c r="I2637">
        <v>3211.79</v>
      </c>
      <c r="J2637" t="s">
        <v>17</v>
      </c>
      <c r="K2637">
        <v>0.2</v>
      </c>
      <c r="L2637" t="s">
        <v>25</v>
      </c>
      <c r="M2637" t="s">
        <v>19</v>
      </c>
    </row>
    <row r="2638" spans="1:13" x14ac:dyDescent="0.35">
      <c r="A2638">
        <v>1008</v>
      </c>
      <c r="B2638" s="1">
        <v>45455</v>
      </c>
      <c r="C2638" t="s">
        <v>14</v>
      </c>
      <c r="D2638" t="s">
        <v>30</v>
      </c>
      <c r="E2638">
        <v>5035.82</v>
      </c>
      <c r="F2638">
        <v>6</v>
      </c>
      <c r="G2638" t="s">
        <v>26</v>
      </c>
      <c r="H2638">
        <v>399.7</v>
      </c>
      <c r="I2638">
        <v>1076.03</v>
      </c>
      <c r="J2638" t="s">
        <v>27</v>
      </c>
      <c r="K2638">
        <v>0.22</v>
      </c>
      <c r="L2638" t="s">
        <v>25</v>
      </c>
      <c r="M2638" t="s">
        <v>19</v>
      </c>
    </row>
    <row r="2639" spans="1:13" x14ac:dyDescent="0.35">
      <c r="A2639">
        <v>1073</v>
      </c>
      <c r="B2639" s="1">
        <v>45455</v>
      </c>
      <c r="C2639" t="s">
        <v>33</v>
      </c>
      <c r="D2639" t="s">
        <v>30</v>
      </c>
      <c r="E2639">
        <v>7307.85</v>
      </c>
      <c r="F2639">
        <v>2</v>
      </c>
      <c r="G2639" t="s">
        <v>31</v>
      </c>
      <c r="H2639">
        <v>347.37</v>
      </c>
      <c r="I2639">
        <v>4248.75</v>
      </c>
      <c r="J2639" t="s">
        <v>27</v>
      </c>
      <c r="K2639">
        <v>0.14000000000000001</v>
      </c>
      <c r="L2639" t="s">
        <v>28</v>
      </c>
      <c r="M2639" t="s">
        <v>19</v>
      </c>
    </row>
    <row r="2640" spans="1:13" x14ac:dyDescent="0.35">
      <c r="A2640">
        <v>1029</v>
      </c>
      <c r="B2640" s="1">
        <v>45455</v>
      </c>
      <c r="C2640" t="s">
        <v>14</v>
      </c>
      <c r="D2640" t="s">
        <v>23</v>
      </c>
      <c r="E2640">
        <v>15592.62</v>
      </c>
      <c r="F2640">
        <v>7</v>
      </c>
      <c r="G2640" t="s">
        <v>24</v>
      </c>
      <c r="H2640">
        <v>656.07</v>
      </c>
      <c r="I2640">
        <v>2892.88</v>
      </c>
      <c r="J2640" t="s">
        <v>17</v>
      </c>
      <c r="K2640">
        <v>0.23</v>
      </c>
      <c r="L2640" t="s">
        <v>28</v>
      </c>
      <c r="M2640" t="s">
        <v>19</v>
      </c>
    </row>
    <row r="2641" spans="1:13" x14ac:dyDescent="0.35">
      <c r="A2641">
        <v>1083</v>
      </c>
      <c r="B2641" s="1">
        <v>45455</v>
      </c>
      <c r="C2641" t="s">
        <v>33</v>
      </c>
      <c r="D2641" t="s">
        <v>30</v>
      </c>
      <c r="E2641">
        <v>28889.57</v>
      </c>
      <c r="F2641">
        <v>24</v>
      </c>
      <c r="G2641" t="s">
        <v>16</v>
      </c>
      <c r="H2641">
        <v>210.39</v>
      </c>
      <c r="I2641">
        <v>1337.48</v>
      </c>
      <c r="J2641" t="s">
        <v>27</v>
      </c>
      <c r="K2641">
        <v>0.1</v>
      </c>
      <c r="L2641" t="s">
        <v>18</v>
      </c>
      <c r="M2641" t="s">
        <v>19</v>
      </c>
    </row>
    <row r="2642" spans="1:13" x14ac:dyDescent="0.35">
      <c r="A2642">
        <v>1081</v>
      </c>
      <c r="B2642" s="1">
        <v>45455</v>
      </c>
      <c r="C2642" t="s">
        <v>22</v>
      </c>
      <c r="D2642" t="s">
        <v>23</v>
      </c>
      <c r="E2642">
        <v>60789.16</v>
      </c>
      <c r="F2642">
        <v>27</v>
      </c>
      <c r="G2642" t="s">
        <v>26</v>
      </c>
      <c r="H2642">
        <v>1019.87</v>
      </c>
      <c r="I2642">
        <v>2395.16</v>
      </c>
      <c r="J2642" t="s">
        <v>17</v>
      </c>
      <c r="K2642">
        <v>0.06</v>
      </c>
      <c r="L2642" t="s">
        <v>28</v>
      </c>
      <c r="M2642" t="s">
        <v>21</v>
      </c>
    </row>
    <row r="2643" spans="1:13" x14ac:dyDescent="0.35">
      <c r="A2643">
        <v>1030</v>
      </c>
      <c r="B2643" s="1">
        <v>45456</v>
      </c>
      <c r="C2643" t="s">
        <v>29</v>
      </c>
      <c r="D2643" t="s">
        <v>23</v>
      </c>
      <c r="E2643">
        <v>52971.81</v>
      </c>
      <c r="F2643">
        <v>29</v>
      </c>
      <c r="G2643" t="s">
        <v>24</v>
      </c>
      <c r="H2643">
        <v>1773.87</v>
      </c>
      <c r="I2643">
        <v>2312.17</v>
      </c>
      <c r="J2643" t="s">
        <v>17</v>
      </c>
      <c r="K2643">
        <v>0.21</v>
      </c>
      <c r="L2643" t="s">
        <v>25</v>
      </c>
      <c r="M2643" t="s">
        <v>19</v>
      </c>
    </row>
    <row r="2644" spans="1:13" x14ac:dyDescent="0.35">
      <c r="A2644">
        <v>1021</v>
      </c>
      <c r="B2644" s="1">
        <v>45456</v>
      </c>
      <c r="C2644" t="s">
        <v>29</v>
      </c>
      <c r="D2644" t="s">
        <v>15</v>
      </c>
      <c r="E2644">
        <v>53158.2</v>
      </c>
      <c r="F2644">
        <v>38</v>
      </c>
      <c r="G2644" t="s">
        <v>16</v>
      </c>
      <c r="H2644">
        <v>826.17</v>
      </c>
      <c r="I2644">
        <v>1865.2</v>
      </c>
      <c r="J2644" t="s">
        <v>27</v>
      </c>
      <c r="K2644">
        <v>0.25</v>
      </c>
      <c r="L2644" t="s">
        <v>28</v>
      </c>
      <c r="M2644" t="s">
        <v>19</v>
      </c>
    </row>
    <row r="2645" spans="1:13" x14ac:dyDescent="0.35">
      <c r="A2645">
        <v>1050</v>
      </c>
      <c r="B2645" s="1">
        <v>45456</v>
      </c>
      <c r="C2645" t="s">
        <v>22</v>
      </c>
      <c r="D2645" t="s">
        <v>15</v>
      </c>
      <c r="E2645">
        <v>193779.83</v>
      </c>
      <c r="F2645">
        <v>47</v>
      </c>
      <c r="G2645" t="s">
        <v>31</v>
      </c>
      <c r="H2645">
        <v>3417.04</v>
      </c>
      <c r="I2645">
        <v>4133.21</v>
      </c>
      <c r="J2645" t="s">
        <v>27</v>
      </c>
      <c r="K2645">
        <v>0</v>
      </c>
      <c r="L2645" t="s">
        <v>18</v>
      </c>
      <c r="M2645" t="s">
        <v>19</v>
      </c>
    </row>
    <row r="2646" spans="1:13" x14ac:dyDescent="0.35">
      <c r="A2646">
        <v>1094</v>
      </c>
      <c r="B2646" s="1">
        <v>45456</v>
      </c>
      <c r="C2646" t="s">
        <v>32</v>
      </c>
      <c r="D2646" t="s">
        <v>15</v>
      </c>
      <c r="E2646">
        <v>87143.08</v>
      </c>
      <c r="F2646">
        <v>31</v>
      </c>
      <c r="G2646" t="s">
        <v>31</v>
      </c>
      <c r="H2646">
        <v>241.47</v>
      </c>
      <c r="I2646">
        <v>4015.81</v>
      </c>
      <c r="J2646" t="s">
        <v>17</v>
      </c>
      <c r="K2646">
        <v>0.3</v>
      </c>
      <c r="L2646" t="s">
        <v>18</v>
      </c>
      <c r="M2646" t="s">
        <v>21</v>
      </c>
    </row>
    <row r="2647" spans="1:13" x14ac:dyDescent="0.35">
      <c r="A2647">
        <v>1095</v>
      </c>
      <c r="B2647" s="1">
        <v>45457</v>
      </c>
      <c r="C2647" t="s">
        <v>22</v>
      </c>
      <c r="D2647" t="s">
        <v>30</v>
      </c>
      <c r="E2647">
        <v>77282.649999999994</v>
      </c>
      <c r="F2647">
        <v>22</v>
      </c>
      <c r="G2647" t="s">
        <v>24</v>
      </c>
      <c r="H2647">
        <v>734.37</v>
      </c>
      <c r="I2647">
        <v>3947.02</v>
      </c>
      <c r="J2647" t="s">
        <v>17</v>
      </c>
      <c r="K2647">
        <v>0.11</v>
      </c>
      <c r="L2647" t="s">
        <v>25</v>
      </c>
      <c r="M2647" t="s">
        <v>19</v>
      </c>
    </row>
    <row r="2648" spans="1:13" x14ac:dyDescent="0.35">
      <c r="A2648">
        <v>1025</v>
      </c>
      <c r="B2648" s="1">
        <v>45457</v>
      </c>
      <c r="C2648" t="s">
        <v>22</v>
      </c>
      <c r="D2648" t="s">
        <v>30</v>
      </c>
      <c r="E2648">
        <v>98040.18</v>
      </c>
      <c r="F2648">
        <v>34</v>
      </c>
      <c r="G2648" t="s">
        <v>26</v>
      </c>
      <c r="H2648">
        <v>824.86</v>
      </c>
      <c r="I2648">
        <v>3067.59</v>
      </c>
      <c r="J2648" t="s">
        <v>27</v>
      </c>
      <c r="K2648">
        <v>0.06</v>
      </c>
      <c r="L2648" t="s">
        <v>28</v>
      </c>
      <c r="M2648" t="s">
        <v>21</v>
      </c>
    </row>
    <row r="2649" spans="1:13" x14ac:dyDescent="0.35">
      <c r="A2649">
        <v>1002</v>
      </c>
      <c r="B2649" s="1">
        <v>45457</v>
      </c>
      <c r="C2649" t="s">
        <v>29</v>
      </c>
      <c r="D2649" t="s">
        <v>20</v>
      </c>
      <c r="E2649">
        <v>125216.95</v>
      </c>
      <c r="F2649">
        <v>33</v>
      </c>
      <c r="G2649" t="s">
        <v>31</v>
      </c>
      <c r="H2649">
        <v>109.74</v>
      </c>
      <c r="I2649">
        <v>5344.3</v>
      </c>
      <c r="J2649" t="s">
        <v>17</v>
      </c>
      <c r="K2649">
        <v>0.28999999999999998</v>
      </c>
      <c r="L2649" t="s">
        <v>18</v>
      </c>
      <c r="M2649" t="s">
        <v>19</v>
      </c>
    </row>
    <row r="2650" spans="1:13" x14ac:dyDescent="0.35">
      <c r="A2650">
        <v>1044</v>
      </c>
      <c r="B2650" s="1">
        <v>45458</v>
      </c>
      <c r="C2650" t="s">
        <v>14</v>
      </c>
      <c r="D2650" t="s">
        <v>15</v>
      </c>
      <c r="E2650">
        <v>47249.98</v>
      </c>
      <c r="F2650">
        <v>11</v>
      </c>
      <c r="G2650" t="s">
        <v>31</v>
      </c>
      <c r="H2650">
        <v>3155.85</v>
      </c>
      <c r="I2650">
        <v>4474.43</v>
      </c>
      <c r="J2650" t="s">
        <v>17</v>
      </c>
      <c r="K2650">
        <v>0.04</v>
      </c>
      <c r="L2650" t="s">
        <v>28</v>
      </c>
      <c r="M2650" t="s">
        <v>19</v>
      </c>
    </row>
    <row r="2651" spans="1:13" x14ac:dyDescent="0.35">
      <c r="A2651">
        <v>1091</v>
      </c>
      <c r="B2651" s="1">
        <v>45458</v>
      </c>
      <c r="C2651" t="s">
        <v>29</v>
      </c>
      <c r="D2651" t="s">
        <v>15</v>
      </c>
      <c r="E2651">
        <v>143875.72</v>
      </c>
      <c r="F2651">
        <v>37</v>
      </c>
      <c r="G2651" t="s">
        <v>24</v>
      </c>
      <c r="H2651">
        <v>3007.4</v>
      </c>
      <c r="I2651">
        <v>4521.55</v>
      </c>
      <c r="J2651" t="s">
        <v>27</v>
      </c>
      <c r="K2651">
        <v>0.14000000000000001</v>
      </c>
      <c r="L2651" t="s">
        <v>18</v>
      </c>
      <c r="M2651" t="s">
        <v>21</v>
      </c>
    </row>
    <row r="2652" spans="1:13" x14ac:dyDescent="0.35">
      <c r="A2652">
        <v>1056</v>
      </c>
      <c r="B2652" s="1">
        <v>45458</v>
      </c>
      <c r="C2652" t="s">
        <v>32</v>
      </c>
      <c r="D2652" t="s">
        <v>15</v>
      </c>
      <c r="E2652">
        <v>181969.38</v>
      </c>
      <c r="F2652">
        <v>50</v>
      </c>
      <c r="G2652" t="s">
        <v>31</v>
      </c>
      <c r="H2652">
        <v>2980.48</v>
      </c>
      <c r="I2652">
        <v>3913.32</v>
      </c>
      <c r="J2652" t="s">
        <v>17</v>
      </c>
      <c r="K2652">
        <v>7.0000000000000007E-2</v>
      </c>
      <c r="L2652" t="s">
        <v>18</v>
      </c>
      <c r="M2652" t="s">
        <v>21</v>
      </c>
    </row>
    <row r="2653" spans="1:13" x14ac:dyDescent="0.35">
      <c r="A2653">
        <v>1026</v>
      </c>
      <c r="B2653" s="1">
        <v>45458</v>
      </c>
      <c r="C2653" t="s">
        <v>33</v>
      </c>
      <c r="D2653" t="s">
        <v>23</v>
      </c>
      <c r="E2653">
        <v>128459.75</v>
      </c>
      <c r="F2653">
        <v>44</v>
      </c>
      <c r="G2653" t="s">
        <v>26</v>
      </c>
      <c r="H2653">
        <v>1227.48</v>
      </c>
      <c r="I2653">
        <v>2949.03</v>
      </c>
      <c r="J2653" t="s">
        <v>17</v>
      </c>
      <c r="K2653">
        <v>0.01</v>
      </c>
      <c r="L2653" t="s">
        <v>28</v>
      </c>
      <c r="M2653" t="s">
        <v>19</v>
      </c>
    </row>
    <row r="2654" spans="1:13" x14ac:dyDescent="0.35">
      <c r="A2654">
        <v>1096</v>
      </c>
      <c r="B2654" s="1">
        <v>45458</v>
      </c>
      <c r="C2654" t="s">
        <v>32</v>
      </c>
      <c r="D2654" t="s">
        <v>20</v>
      </c>
      <c r="E2654">
        <v>91574.15</v>
      </c>
      <c r="F2654">
        <v>24</v>
      </c>
      <c r="G2654" t="s">
        <v>24</v>
      </c>
      <c r="H2654">
        <v>227.98</v>
      </c>
      <c r="I2654">
        <v>4147.38</v>
      </c>
      <c r="J2654" t="s">
        <v>17</v>
      </c>
      <c r="K2654">
        <v>0.08</v>
      </c>
      <c r="L2654" t="s">
        <v>25</v>
      </c>
      <c r="M2654" t="s">
        <v>19</v>
      </c>
    </row>
    <row r="2655" spans="1:13" x14ac:dyDescent="0.35">
      <c r="A2655">
        <v>1007</v>
      </c>
      <c r="B2655" s="1">
        <v>45459</v>
      </c>
      <c r="C2655" t="s">
        <v>14</v>
      </c>
      <c r="D2655" t="s">
        <v>20</v>
      </c>
      <c r="E2655">
        <v>43724.88</v>
      </c>
      <c r="F2655">
        <v>14</v>
      </c>
      <c r="G2655" t="s">
        <v>24</v>
      </c>
      <c r="H2655">
        <v>2859.83</v>
      </c>
      <c r="I2655">
        <v>3219.8</v>
      </c>
      <c r="J2655" t="s">
        <v>27</v>
      </c>
      <c r="K2655">
        <v>0.03</v>
      </c>
      <c r="L2655" t="s">
        <v>28</v>
      </c>
      <c r="M2655" t="s">
        <v>21</v>
      </c>
    </row>
    <row r="2656" spans="1:13" x14ac:dyDescent="0.35">
      <c r="A2656">
        <v>1090</v>
      </c>
      <c r="B2656" s="1">
        <v>45459</v>
      </c>
      <c r="C2656" t="s">
        <v>14</v>
      </c>
      <c r="D2656" t="s">
        <v>30</v>
      </c>
      <c r="E2656">
        <v>57774.51</v>
      </c>
      <c r="F2656">
        <v>14</v>
      </c>
      <c r="G2656" t="s">
        <v>16</v>
      </c>
      <c r="H2656">
        <v>3246.18</v>
      </c>
      <c r="I2656">
        <v>4210.97</v>
      </c>
      <c r="J2656" t="s">
        <v>17</v>
      </c>
      <c r="K2656">
        <v>0.02</v>
      </c>
      <c r="L2656" t="s">
        <v>28</v>
      </c>
      <c r="M2656" t="s">
        <v>21</v>
      </c>
    </row>
    <row r="2657" spans="1:13" x14ac:dyDescent="0.35">
      <c r="A2657">
        <v>1053</v>
      </c>
      <c r="B2657" s="1">
        <v>45461</v>
      </c>
      <c r="C2657" t="s">
        <v>33</v>
      </c>
      <c r="D2657" t="s">
        <v>20</v>
      </c>
      <c r="E2657">
        <v>17267.46</v>
      </c>
      <c r="F2657">
        <v>4</v>
      </c>
      <c r="G2657" t="s">
        <v>16</v>
      </c>
      <c r="H2657">
        <v>3597.39</v>
      </c>
      <c r="I2657">
        <v>5019.6099999999997</v>
      </c>
      <c r="J2657" t="s">
        <v>17</v>
      </c>
      <c r="K2657">
        <v>0.14000000000000001</v>
      </c>
      <c r="L2657" t="s">
        <v>28</v>
      </c>
      <c r="M2657" t="s">
        <v>21</v>
      </c>
    </row>
    <row r="2658" spans="1:13" x14ac:dyDescent="0.35">
      <c r="A2658">
        <v>1097</v>
      </c>
      <c r="B2658" s="1">
        <v>45461</v>
      </c>
      <c r="C2658" t="s">
        <v>33</v>
      </c>
      <c r="D2658" t="s">
        <v>20</v>
      </c>
      <c r="E2658">
        <v>139220.45000000001</v>
      </c>
      <c r="F2658">
        <v>49</v>
      </c>
      <c r="G2658" t="s">
        <v>16</v>
      </c>
      <c r="H2658">
        <v>2440.09</v>
      </c>
      <c r="I2658">
        <v>3303.76</v>
      </c>
      <c r="J2658" t="s">
        <v>17</v>
      </c>
      <c r="K2658">
        <v>0.14000000000000001</v>
      </c>
      <c r="L2658" t="s">
        <v>18</v>
      </c>
      <c r="M2658" t="s">
        <v>21</v>
      </c>
    </row>
    <row r="2659" spans="1:13" x14ac:dyDescent="0.35">
      <c r="A2659">
        <v>1092</v>
      </c>
      <c r="B2659" s="1">
        <v>45461</v>
      </c>
      <c r="C2659" t="s">
        <v>14</v>
      </c>
      <c r="D2659" t="s">
        <v>20</v>
      </c>
      <c r="E2659">
        <v>53720.52</v>
      </c>
      <c r="F2659">
        <v>41</v>
      </c>
      <c r="G2659" t="s">
        <v>24</v>
      </c>
      <c r="H2659">
        <v>505.46</v>
      </c>
      <c r="I2659">
        <v>1350.78</v>
      </c>
      <c r="J2659" t="s">
        <v>27</v>
      </c>
      <c r="K2659">
        <v>0.03</v>
      </c>
      <c r="L2659" t="s">
        <v>28</v>
      </c>
      <c r="M2659" t="s">
        <v>19</v>
      </c>
    </row>
    <row r="2660" spans="1:13" x14ac:dyDescent="0.35">
      <c r="A2660">
        <v>1041</v>
      </c>
      <c r="B2660" s="1">
        <v>45462</v>
      </c>
      <c r="C2660" t="s">
        <v>14</v>
      </c>
      <c r="D2660" t="s">
        <v>15</v>
      </c>
      <c r="E2660">
        <v>122668.54</v>
      </c>
      <c r="F2660">
        <v>33</v>
      </c>
      <c r="G2660" t="s">
        <v>26</v>
      </c>
      <c r="H2660">
        <v>3016.28</v>
      </c>
      <c r="I2660">
        <v>4891.09</v>
      </c>
      <c r="J2660" t="s">
        <v>17</v>
      </c>
      <c r="K2660">
        <v>0.24</v>
      </c>
      <c r="L2660" t="s">
        <v>28</v>
      </c>
      <c r="M2660" t="s">
        <v>19</v>
      </c>
    </row>
    <row r="2661" spans="1:13" x14ac:dyDescent="0.35">
      <c r="A2661">
        <v>1066</v>
      </c>
      <c r="B2661" s="1">
        <v>45463</v>
      </c>
      <c r="C2661" t="s">
        <v>33</v>
      </c>
      <c r="D2661" t="s">
        <v>23</v>
      </c>
      <c r="E2661">
        <v>2016.67</v>
      </c>
      <c r="F2661">
        <v>1</v>
      </c>
      <c r="G2661" t="s">
        <v>26</v>
      </c>
      <c r="H2661">
        <v>1854.61</v>
      </c>
      <c r="I2661">
        <v>2725.23</v>
      </c>
      <c r="J2661" t="s">
        <v>17</v>
      </c>
      <c r="K2661">
        <v>0.26</v>
      </c>
      <c r="L2661" t="s">
        <v>28</v>
      </c>
      <c r="M2661" t="s">
        <v>21</v>
      </c>
    </row>
    <row r="2662" spans="1:13" x14ac:dyDescent="0.35">
      <c r="A2662">
        <v>1048</v>
      </c>
      <c r="B2662" s="1">
        <v>45463</v>
      </c>
      <c r="C2662" t="s">
        <v>29</v>
      </c>
      <c r="D2662" t="s">
        <v>20</v>
      </c>
      <c r="E2662">
        <v>66954.429999999993</v>
      </c>
      <c r="F2662">
        <v>15</v>
      </c>
      <c r="G2662" t="s">
        <v>26</v>
      </c>
      <c r="H2662">
        <v>4176.05</v>
      </c>
      <c r="I2662">
        <v>4851.7700000000004</v>
      </c>
      <c r="J2662" t="s">
        <v>17</v>
      </c>
      <c r="K2662">
        <v>0.08</v>
      </c>
      <c r="L2662" t="s">
        <v>28</v>
      </c>
      <c r="M2662" t="s">
        <v>19</v>
      </c>
    </row>
    <row r="2663" spans="1:13" x14ac:dyDescent="0.35">
      <c r="A2663">
        <v>1027</v>
      </c>
      <c r="B2663" s="1">
        <v>45463</v>
      </c>
      <c r="C2663" t="s">
        <v>14</v>
      </c>
      <c r="D2663" t="s">
        <v>23</v>
      </c>
      <c r="E2663">
        <v>73905.13</v>
      </c>
      <c r="F2663">
        <v>18</v>
      </c>
      <c r="G2663" t="s">
        <v>26</v>
      </c>
      <c r="H2663">
        <v>3865.45</v>
      </c>
      <c r="I2663">
        <v>4462.87</v>
      </c>
      <c r="J2663" t="s">
        <v>17</v>
      </c>
      <c r="K2663">
        <v>0.08</v>
      </c>
      <c r="L2663" t="s">
        <v>25</v>
      </c>
      <c r="M2663" t="s">
        <v>19</v>
      </c>
    </row>
    <row r="2664" spans="1:13" x14ac:dyDescent="0.35">
      <c r="A2664">
        <v>1076</v>
      </c>
      <c r="B2664" s="1">
        <v>45463</v>
      </c>
      <c r="C2664" t="s">
        <v>32</v>
      </c>
      <c r="D2664" t="s">
        <v>20</v>
      </c>
      <c r="E2664">
        <v>162256.5</v>
      </c>
      <c r="F2664">
        <v>42</v>
      </c>
      <c r="G2664" t="s">
        <v>24</v>
      </c>
      <c r="H2664">
        <v>3735.96</v>
      </c>
      <c r="I2664">
        <v>3863.25</v>
      </c>
      <c r="J2664" t="s">
        <v>27</v>
      </c>
      <c r="K2664">
        <v>0</v>
      </c>
      <c r="L2664" t="s">
        <v>28</v>
      </c>
      <c r="M2664" t="s">
        <v>21</v>
      </c>
    </row>
    <row r="2665" spans="1:13" x14ac:dyDescent="0.35">
      <c r="A2665">
        <v>1061</v>
      </c>
      <c r="B2665" s="1">
        <v>45464</v>
      </c>
      <c r="C2665" t="s">
        <v>33</v>
      </c>
      <c r="D2665" t="s">
        <v>20</v>
      </c>
      <c r="E2665">
        <v>3307.75</v>
      </c>
      <c r="F2665">
        <v>1</v>
      </c>
      <c r="G2665" t="s">
        <v>26</v>
      </c>
      <c r="H2665">
        <v>2790.44</v>
      </c>
      <c r="I2665">
        <v>4295.78</v>
      </c>
      <c r="J2665" t="s">
        <v>17</v>
      </c>
      <c r="K2665">
        <v>0.23</v>
      </c>
      <c r="L2665" t="s">
        <v>18</v>
      </c>
      <c r="M2665" t="s">
        <v>19</v>
      </c>
    </row>
    <row r="2666" spans="1:13" x14ac:dyDescent="0.35">
      <c r="A2666">
        <v>1090</v>
      </c>
      <c r="B2666" s="1">
        <v>45464</v>
      </c>
      <c r="C2666" t="s">
        <v>29</v>
      </c>
      <c r="D2666" t="s">
        <v>20</v>
      </c>
      <c r="E2666">
        <v>21961.1</v>
      </c>
      <c r="F2666">
        <v>7</v>
      </c>
      <c r="G2666" t="s">
        <v>16</v>
      </c>
      <c r="H2666">
        <v>2853.61</v>
      </c>
      <c r="I2666">
        <v>3168.99</v>
      </c>
      <c r="J2666" t="s">
        <v>27</v>
      </c>
      <c r="K2666">
        <v>0.01</v>
      </c>
      <c r="L2666" t="s">
        <v>25</v>
      </c>
      <c r="M2666" t="s">
        <v>19</v>
      </c>
    </row>
    <row r="2667" spans="1:13" x14ac:dyDescent="0.35">
      <c r="A2667">
        <v>1052</v>
      </c>
      <c r="B2667" s="1">
        <v>45464</v>
      </c>
      <c r="C2667" t="s">
        <v>14</v>
      </c>
      <c r="D2667" t="s">
        <v>20</v>
      </c>
      <c r="E2667">
        <v>16339.6</v>
      </c>
      <c r="F2667">
        <v>5</v>
      </c>
      <c r="G2667" t="s">
        <v>31</v>
      </c>
      <c r="H2667">
        <v>1846.34</v>
      </c>
      <c r="I2667">
        <v>3591.12</v>
      </c>
      <c r="J2667" t="s">
        <v>17</v>
      </c>
      <c r="K2667">
        <v>0.09</v>
      </c>
      <c r="L2667" t="s">
        <v>18</v>
      </c>
      <c r="M2667" t="s">
        <v>21</v>
      </c>
    </row>
    <row r="2668" spans="1:13" x14ac:dyDescent="0.35">
      <c r="A2668">
        <v>1004</v>
      </c>
      <c r="B2668" s="1">
        <v>45465</v>
      </c>
      <c r="C2668" t="s">
        <v>32</v>
      </c>
      <c r="D2668" t="s">
        <v>15</v>
      </c>
      <c r="E2668">
        <v>9762.34</v>
      </c>
      <c r="F2668">
        <v>3</v>
      </c>
      <c r="G2668" t="s">
        <v>24</v>
      </c>
      <c r="H2668">
        <v>379.48</v>
      </c>
      <c r="I2668">
        <v>4119.13</v>
      </c>
      <c r="J2668" t="s">
        <v>27</v>
      </c>
      <c r="K2668">
        <v>0.21</v>
      </c>
      <c r="L2668" t="s">
        <v>18</v>
      </c>
      <c r="M2668" t="s">
        <v>21</v>
      </c>
    </row>
    <row r="2669" spans="1:13" x14ac:dyDescent="0.35">
      <c r="A2669">
        <v>1053</v>
      </c>
      <c r="B2669" s="1">
        <v>45465</v>
      </c>
      <c r="C2669" t="s">
        <v>29</v>
      </c>
      <c r="D2669" t="s">
        <v>20</v>
      </c>
      <c r="E2669">
        <v>135810.34</v>
      </c>
      <c r="F2669">
        <v>37</v>
      </c>
      <c r="G2669" t="s">
        <v>26</v>
      </c>
      <c r="H2669">
        <v>1868.99</v>
      </c>
      <c r="I2669">
        <v>3904.84</v>
      </c>
      <c r="J2669" t="s">
        <v>17</v>
      </c>
      <c r="K2669">
        <v>0.06</v>
      </c>
      <c r="L2669" t="s">
        <v>28</v>
      </c>
      <c r="M2669" t="s">
        <v>19</v>
      </c>
    </row>
    <row r="2670" spans="1:13" x14ac:dyDescent="0.35">
      <c r="A2670">
        <v>1045</v>
      </c>
      <c r="B2670" s="1">
        <v>45466</v>
      </c>
      <c r="C2670" t="s">
        <v>33</v>
      </c>
      <c r="D2670" t="s">
        <v>30</v>
      </c>
      <c r="E2670">
        <v>44652.69</v>
      </c>
      <c r="F2670">
        <v>10</v>
      </c>
      <c r="G2670" t="s">
        <v>26</v>
      </c>
      <c r="H2670">
        <v>3241.05</v>
      </c>
      <c r="I2670">
        <v>4603.37</v>
      </c>
      <c r="J2670" t="s">
        <v>27</v>
      </c>
      <c r="K2670">
        <v>0.03</v>
      </c>
      <c r="L2670" t="s">
        <v>18</v>
      </c>
      <c r="M2670" t="s">
        <v>21</v>
      </c>
    </row>
    <row r="2671" spans="1:13" x14ac:dyDescent="0.35">
      <c r="A2671">
        <v>1061</v>
      </c>
      <c r="B2671" s="1">
        <v>45466</v>
      </c>
      <c r="C2671" t="s">
        <v>22</v>
      </c>
      <c r="D2671" t="s">
        <v>20</v>
      </c>
      <c r="E2671">
        <v>68353.72</v>
      </c>
      <c r="F2671">
        <v>23</v>
      </c>
      <c r="G2671" t="s">
        <v>31</v>
      </c>
      <c r="H2671">
        <v>1109.26</v>
      </c>
      <c r="I2671">
        <v>3095.73</v>
      </c>
      <c r="J2671" t="s">
        <v>17</v>
      </c>
      <c r="K2671">
        <v>0.04</v>
      </c>
      <c r="L2671" t="s">
        <v>18</v>
      </c>
      <c r="M2671" t="s">
        <v>19</v>
      </c>
    </row>
    <row r="2672" spans="1:13" x14ac:dyDescent="0.35">
      <c r="A2672">
        <v>1077</v>
      </c>
      <c r="B2672" s="1">
        <v>45467</v>
      </c>
      <c r="C2672" t="s">
        <v>32</v>
      </c>
      <c r="D2672" t="s">
        <v>30</v>
      </c>
      <c r="E2672">
        <v>23475.01</v>
      </c>
      <c r="F2672">
        <v>19</v>
      </c>
      <c r="G2672" t="s">
        <v>24</v>
      </c>
      <c r="H2672">
        <v>1218.3399999999999</v>
      </c>
      <c r="I2672">
        <v>1314.39</v>
      </c>
      <c r="J2672" t="s">
        <v>27</v>
      </c>
      <c r="K2672">
        <v>0.06</v>
      </c>
      <c r="L2672" t="s">
        <v>25</v>
      </c>
      <c r="M2672" t="s">
        <v>21</v>
      </c>
    </row>
    <row r="2673" spans="1:13" x14ac:dyDescent="0.35">
      <c r="A2673">
        <v>1050</v>
      </c>
      <c r="B2673" s="1">
        <v>45467</v>
      </c>
      <c r="C2673" t="s">
        <v>33</v>
      </c>
      <c r="D2673" t="s">
        <v>23</v>
      </c>
      <c r="E2673">
        <v>6982.9</v>
      </c>
      <c r="F2673">
        <v>2</v>
      </c>
      <c r="G2673" t="s">
        <v>31</v>
      </c>
      <c r="H2673">
        <v>169.71</v>
      </c>
      <c r="I2673">
        <v>4594.01</v>
      </c>
      <c r="J2673" t="s">
        <v>27</v>
      </c>
      <c r="K2673">
        <v>0.24</v>
      </c>
      <c r="L2673" t="s">
        <v>18</v>
      </c>
      <c r="M2673" t="s">
        <v>21</v>
      </c>
    </row>
    <row r="2674" spans="1:13" x14ac:dyDescent="0.35">
      <c r="A2674">
        <v>1054</v>
      </c>
      <c r="B2674" s="1">
        <v>45467</v>
      </c>
      <c r="C2674" t="s">
        <v>32</v>
      </c>
      <c r="D2674" t="s">
        <v>23</v>
      </c>
      <c r="E2674">
        <v>102948</v>
      </c>
      <c r="F2674">
        <v>50</v>
      </c>
      <c r="G2674" t="s">
        <v>16</v>
      </c>
      <c r="H2674">
        <v>1795.52</v>
      </c>
      <c r="I2674">
        <v>2573.6999999999998</v>
      </c>
      <c r="J2674" t="s">
        <v>27</v>
      </c>
      <c r="K2674">
        <v>0.2</v>
      </c>
      <c r="L2674" t="s">
        <v>25</v>
      </c>
      <c r="M2674" t="s">
        <v>21</v>
      </c>
    </row>
    <row r="2675" spans="1:13" x14ac:dyDescent="0.35">
      <c r="A2675">
        <v>1009</v>
      </c>
      <c r="B2675" s="1">
        <v>45467</v>
      </c>
      <c r="C2675" t="s">
        <v>29</v>
      </c>
      <c r="D2675" t="s">
        <v>23</v>
      </c>
      <c r="E2675">
        <v>105666.25</v>
      </c>
      <c r="F2675">
        <v>26</v>
      </c>
      <c r="G2675" t="s">
        <v>16</v>
      </c>
      <c r="H2675">
        <v>2974.24</v>
      </c>
      <c r="I2675">
        <v>4896.49</v>
      </c>
      <c r="J2675" t="s">
        <v>17</v>
      </c>
      <c r="K2675">
        <v>0.17</v>
      </c>
      <c r="L2675" t="s">
        <v>18</v>
      </c>
      <c r="M2675" t="s">
        <v>19</v>
      </c>
    </row>
    <row r="2676" spans="1:13" x14ac:dyDescent="0.35">
      <c r="A2676">
        <v>1035</v>
      </c>
      <c r="B2676" s="1">
        <v>45468</v>
      </c>
      <c r="C2676" t="s">
        <v>33</v>
      </c>
      <c r="D2676" t="s">
        <v>15</v>
      </c>
      <c r="E2676">
        <v>34712.400000000001</v>
      </c>
      <c r="F2676">
        <v>10</v>
      </c>
      <c r="G2676" t="s">
        <v>24</v>
      </c>
      <c r="H2676">
        <v>2008.21</v>
      </c>
      <c r="I2676">
        <v>3900.27</v>
      </c>
      <c r="J2676" t="s">
        <v>17</v>
      </c>
      <c r="K2676">
        <v>0.11</v>
      </c>
      <c r="L2676" t="s">
        <v>18</v>
      </c>
      <c r="M2676" t="s">
        <v>19</v>
      </c>
    </row>
    <row r="2677" spans="1:13" x14ac:dyDescent="0.35">
      <c r="A2677">
        <v>1075</v>
      </c>
      <c r="B2677" s="1">
        <v>45468</v>
      </c>
      <c r="C2677" t="s">
        <v>29</v>
      </c>
      <c r="D2677" t="s">
        <v>20</v>
      </c>
      <c r="E2677">
        <v>29228.13</v>
      </c>
      <c r="F2677">
        <v>27</v>
      </c>
      <c r="G2677" t="s">
        <v>26</v>
      </c>
      <c r="H2677">
        <v>435.84</v>
      </c>
      <c r="I2677">
        <v>1230.1400000000001</v>
      </c>
      <c r="J2677" t="s">
        <v>17</v>
      </c>
      <c r="K2677">
        <v>0.12</v>
      </c>
      <c r="L2677" t="s">
        <v>28</v>
      </c>
      <c r="M2677" t="s">
        <v>21</v>
      </c>
    </row>
    <row r="2678" spans="1:13" x14ac:dyDescent="0.35">
      <c r="A2678">
        <v>1090</v>
      </c>
      <c r="B2678" s="1">
        <v>45468</v>
      </c>
      <c r="C2678" t="s">
        <v>32</v>
      </c>
      <c r="D2678" t="s">
        <v>15</v>
      </c>
      <c r="E2678">
        <v>67338.34</v>
      </c>
      <c r="F2678">
        <v>24</v>
      </c>
      <c r="G2678" t="s">
        <v>16</v>
      </c>
      <c r="H2678">
        <v>1927.18</v>
      </c>
      <c r="I2678">
        <v>3551.6</v>
      </c>
      <c r="J2678" t="s">
        <v>17</v>
      </c>
      <c r="K2678">
        <v>0.21</v>
      </c>
      <c r="L2678" t="s">
        <v>25</v>
      </c>
      <c r="M2678" t="s">
        <v>21</v>
      </c>
    </row>
    <row r="2679" spans="1:13" x14ac:dyDescent="0.35">
      <c r="A2679">
        <v>1052</v>
      </c>
      <c r="B2679" s="1">
        <v>45468</v>
      </c>
      <c r="C2679" t="s">
        <v>33</v>
      </c>
      <c r="D2679" t="s">
        <v>23</v>
      </c>
      <c r="E2679">
        <v>96746.7</v>
      </c>
      <c r="F2679">
        <v>19</v>
      </c>
      <c r="G2679" t="s">
        <v>16</v>
      </c>
      <c r="H2679">
        <v>3772.62</v>
      </c>
      <c r="I2679">
        <v>5126.8999999999996</v>
      </c>
      <c r="J2679" t="s">
        <v>17</v>
      </c>
      <c r="K2679">
        <v>0.01</v>
      </c>
      <c r="L2679" t="s">
        <v>25</v>
      </c>
      <c r="M2679" t="s">
        <v>21</v>
      </c>
    </row>
    <row r="2680" spans="1:13" x14ac:dyDescent="0.35">
      <c r="A2680">
        <v>1059</v>
      </c>
      <c r="B2680" s="1">
        <v>45468</v>
      </c>
      <c r="C2680" t="s">
        <v>14</v>
      </c>
      <c r="D2680" t="s">
        <v>30</v>
      </c>
      <c r="E2680">
        <v>29197.65</v>
      </c>
      <c r="F2680">
        <v>8</v>
      </c>
      <c r="G2680" t="s">
        <v>16</v>
      </c>
      <c r="H2680">
        <v>171.62</v>
      </c>
      <c r="I2680">
        <v>3724.19</v>
      </c>
      <c r="J2680" t="s">
        <v>17</v>
      </c>
      <c r="K2680">
        <v>0.02</v>
      </c>
      <c r="L2680" t="s">
        <v>28</v>
      </c>
      <c r="M2680" t="s">
        <v>19</v>
      </c>
    </row>
    <row r="2681" spans="1:13" x14ac:dyDescent="0.35">
      <c r="A2681">
        <v>1084</v>
      </c>
      <c r="B2681" s="1">
        <v>45468</v>
      </c>
      <c r="C2681" t="s">
        <v>33</v>
      </c>
      <c r="D2681" t="s">
        <v>20</v>
      </c>
      <c r="E2681">
        <v>52750.53</v>
      </c>
      <c r="F2681">
        <v>18</v>
      </c>
      <c r="G2681" t="s">
        <v>16</v>
      </c>
      <c r="H2681">
        <v>1234.1600000000001</v>
      </c>
      <c r="I2681">
        <v>4014.5</v>
      </c>
      <c r="J2681" t="s">
        <v>17</v>
      </c>
      <c r="K2681">
        <v>0.27</v>
      </c>
      <c r="L2681" t="s">
        <v>25</v>
      </c>
      <c r="M2681" t="s">
        <v>19</v>
      </c>
    </row>
    <row r="2682" spans="1:13" x14ac:dyDescent="0.35">
      <c r="A2682">
        <v>1074</v>
      </c>
      <c r="B2682" s="1">
        <v>45468</v>
      </c>
      <c r="C2682" t="s">
        <v>14</v>
      </c>
      <c r="D2682" t="s">
        <v>15</v>
      </c>
      <c r="E2682">
        <v>187026.24</v>
      </c>
      <c r="F2682">
        <v>47</v>
      </c>
      <c r="G2682" t="s">
        <v>16</v>
      </c>
      <c r="H2682">
        <v>1349.64</v>
      </c>
      <c r="I2682">
        <v>4737.24</v>
      </c>
      <c r="J2682" t="s">
        <v>17</v>
      </c>
      <c r="K2682">
        <v>0.16</v>
      </c>
      <c r="L2682" t="s">
        <v>18</v>
      </c>
      <c r="M2682" t="s">
        <v>19</v>
      </c>
    </row>
    <row r="2683" spans="1:13" x14ac:dyDescent="0.35">
      <c r="A2683">
        <v>1057</v>
      </c>
      <c r="B2683" s="1">
        <v>45470</v>
      </c>
      <c r="C2683" t="s">
        <v>14</v>
      </c>
      <c r="D2683" t="s">
        <v>20</v>
      </c>
      <c r="E2683">
        <v>14796.97</v>
      </c>
      <c r="F2683">
        <v>4</v>
      </c>
      <c r="G2683" t="s">
        <v>26</v>
      </c>
      <c r="H2683">
        <v>3431.86</v>
      </c>
      <c r="I2683">
        <v>4110.2700000000004</v>
      </c>
      <c r="J2683" t="s">
        <v>17</v>
      </c>
      <c r="K2683">
        <v>0.1</v>
      </c>
      <c r="L2683" t="s">
        <v>28</v>
      </c>
      <c r="M2683" t="s">
        <v>21</v>
      </c>
    </row>
    <row r="2684" spans="1:13" x14ac:dyDescent="0.35">
      <c r="A2684">
        <v>1020</v>
      </c>
      <c r="B2684" s="1">
        <v>45470</v>
      </c>
      <c r="C2684" t="s">
        <v>22</v>
      </c>
      <c r="D2684" t="s">
        <v>30</v>
      </c>
      <c r="E2684">
        <v>19387.96</v>
      </c>
      <c r="F2684">
        <v>6</v>
      </c>
      <c r="G2684" t="s">
        <v>16</v>
      </c>
      <c r="H2684">
        <v>1097.32</v>
      </c>
      <c r="I2684">
        <v>3801.56</v>
      </c>
      <c r="J2684" t="s">
        <v>27</v>
      </c>
      <c r="K2684">
        <v>0.15</v>
      </c>
      <c r="L2684" t="s">
        <v>25</v>
      </c>
      <c r="M2684" t="s">
        <v>21</v>
      </c>
    </row>
    <row r="2685" spans="1:13" x14ac:dyDescent="0.35">
      <c r="A2685">
        <v>1055</v>
      </c>
      <c r="B2685" s="1">
        <v>45470</v>
      </c>
      <c r="C2685" t="s">
        <v>22</v>
      </c>
      <c r="D2685" t="s">
        <v>23</v>
      </c>
      <c r="E2685">
        <v>137540.42000000001</v>
      </c>
      <c r="F2685">
        <v>28</v>
      </c>
      <c r="G2685" t="s">
        <v>26</v>
      </c>
      <c r="H2685">
        <v>3536.3</v>
      </c>
      <c r="I2685">
        <v>5225.7</v>
      </c>
      <c r="J2685" t="s">
        <v>27</v>
      </c>
      <c r="K2685">
        <v>0.06</v>
      </c>
      <c r="L2685" t="s">
        <v>25</v>
      </c>
      <c r="M2685" t="s">
        <v>19</v>
      </c>
    </row>
    <row r="2686" spans="1:13" x14ac:dyDescent="0.35">
      <c r="A2686">
        <v>1021</v>
      </c>
      <c r="B2686" s="1">
        <v>45470</v>
      </c>
      <c r="C2686" t="s">
        <v>14</v>
      </c>
      <c r="D2686" t="s">
        <v>15</v>
      </c>
      <c r="E2686">
        <v>183001.65</v>
      </c>
      <c r="F2686">
        <v>44</v>
      </c>
      <c r="G2686" t="s">
        <v>24</v>
      </c>
      <c r="H2686">
        <v>3219.74</v>
      </c>
      <c r="I2686">
        <v>4378.03</v>
      </c>
      <c r="J2686" t="s">
        <v>17</v>
      </c>
      <c r="K2686">
        <v>0.05</v>
      </c>
      <c r="L2686" t="s">
        <v>28</v>
      </c>
      <c r="M2686" t="s">
        <v>21</v>
      </c>
    </row>
    <row r="2687" spans="1:13" x14ac:dyDescent="0.35">
      <c r="A2687">
        <v>1072</v>
      </c>
      <c r="B2687" s="1">
        <v>45471</v>
      </c>
      <c r="C2687" t="s">
        <v>29</v>
      </c>
      <c r="D2687" t="s">
        <v>30</v>
      </c>
      <c r="E2687">
        <v>77604.539999999994</v>
      </c>
      <c r="F2687">
        <v>19</v>
      </c>
      <c r="G2687" t="s">
        <v>26</v>
      </c>
      <c r="H2687">
        <v>3829.43</v>
      </c>
      <c r="I2687">
        <v>4749.3599999999997</v>
      </c>
      <c r="J2687" t="s">
        <v>27</v>
      </c>
      <c r="K2687">
        <v>0.14000000000000001</v>
      </c>
      <c r="L2687" t="s">
        <v>28</v>
      </c>
      <c r="M2687" t="s">
        <v>19</v>
      </c>
    </row>
    <row r="2688" spans="1:13" x14ac:dyDescent="0.35">
      <c r="A2688">
        <v>1002</v>
      </c>
      <c r="B2688" s="1">
        <v>45471</v>
      </c>
      <c r="C2688" t="s">
        <v>33</v>
      </c>
      <c r="D2688" t="s">
        <v>30</v>
      </c>
      <c r="E2688">
        <v>14548.62</v>
      </c>
      <c r="F2688">
        <v>15</v>
      </c>
      <c r="G2688" t="s">
        <v>26</v>
      </c>
      <c r="H2688">
        <v>515.32000000000005</v>
      </c>
      <c r="I2688">
        <v>1127.8</v>
      </c>
      <c r="J2688" t="s">
        <v>17</v>
      </c>
      <c r="K2688">
        <v>0.14000000000000001</v>
      </c>
      <c r="L2688" t="s">
        <v>25</v>
      </c>
      <c r="M2688" t="s">
        <v>19</v>
      </c>
    </row>
    <row r="2689" spans="1:13" x14ac:dyDescent="0.35">
      <c r="A2689">
        <v>1051</v>
      </c>
      <c r="B2689" s="1">
        <v>45471</v>
      </c>
      <c r="C2689" t="s">
        <v>14</v>
      </c>
      <c r="D2689" t="s">
        <v>23</v>
      </c>
      <c r="E2689">
        <v>28598.18</v>
      </c>
      <c r="F2689">
        <v>18</v>
      </c>
      <c r="G2689" t="s">
        <v>31</v>
      </c>
      <c r="H2689">
        <v>1025.96</v>
      </c>
      <c r="I2689">
        <v>2206.65</v>
      </c>
      <c r="J2689" t="s">
        <v>27</v>
      </c>
      <c r="K2689">
        <v>0.28000000000000003</v>
      </c>
      <c r="L2689" t="s">
        <v>18</v>
      </c>
      <c r="M2689" t="s">
        <v>21</v>
      </c>
    </row>
    <row r="2690" spans="1:13" x14ac:dyDescent="0.35">
      <c r="A2690">
        <v>1029</v>
      </c>
      <c r="B2690" s="1">
        <v>45471</v>
      </c>
      <c r="C2690" t="s">
        <v>14</v>
      </c>
      <c r="D2690" t="s">
        <v>23</v>
      </c>
      <c r="E2690">
        <v>42561.51</v>
      </c>
      <c r="F2690">
        <v>12</v>
      </c>
      <c r="G2690" t="s">
        <v>16</v>
      </c>
      <c r="H2690">
        <v>2286.31</v>
      </c>
      <c r="I2690">
        <v>4858.62</v>
      </c>
      <c r="J2690" t="s">
        <v>27</v>
      </c>
      <c r="K2690">
        <v>0.27</v>
      </c>
      <c r="L2690" t="s">
        <v>28</v>
      </c>
      <c r="M2690" t="s">
        <v>19</v>
      </c>
    </row>
    <row r="2691" spans="1:13" x14ac:dyDescent="0.35">
      <c r="A2691">
        <v>1089</v>
      </c>
      <c r="B2691" s="1">
        <v>45471</v>
      </c>
      <c r="C2691" t="s">
        <v>22</v>
      </c>
      <c r="D2691" t="s">
        <v>23</v>
      </c>
      <c r="E2691">
        <v>136586.93</v>
      </c>
      <c r="F2691">
        <v>28</v>
      </c>
      <c r="G2691" t="s">
        <v>26</v>
      </c>
      <c r="H2691">
        <v>3633.89</v>
      </c>
      <c r="I2691">
        <v>4882.6099999999997</v>
      </c>
      <c r="J2691" t="s">
        <v>27</v>
      </c>
      <c r="K2691">
        <v>0</v>
      </c>
      <c r="L2691" t="s">
        <v>28</v>
      </c>
      <c r="M2691" t="s">
        <v>21</v>
      </c>
    </row>
    <row r="2692" spans="1:13" x14ac:dyDescent="0.35">
      <c r="A2692">
        <v>1029</v>
      </c>
      <c r="B2692" s="1">
        <v>45471</v>
      </c>
      <c r="C2692" t="s">
        <v>22</v>
      </c>
      <c r="D2692" t="s">
        <v>20</v>
      </c>
      <c r="E2692">
        <v>190990.44</v>
      </c>
      <c r="F2692">
        <v>48</v>
      </c>
      <c r="G2692" t="s">
        <v>24</v>
      </c>
      <c r="H2692">
        <v>327.7</v>
      </c>
      <c r="I2692">
        <v>4470.75</v>
      </c>
      <c r="J2692" t="s">
        <v>27</v>
      </c>
      <c r="K2692">
        <v>0.11</v>
      </c>
      <c r="L2692" t="s">
        <v>18</v>
      </c>
      <c r="M2692" t="s">
        <v>21</v>
      </c>
    </row>
    <row r="2693" spans="1:13" x14ac:dyDescent="0.35">
      <c r="A2693">
        <v>1003</v>
      </c>
      <c r="B2693" s="1">
        <v>45472</v>
      </c>
      <c r="C2693" t="s">
        <v>29</v>
      </c>
      <c r="D2693" t="s">
        <v>30</v>
      </c>
      <c r="E2693">
        <v>89608.44</v>
      </c>
      <c r="F2693">
        <v>37</v>
      </c>
      <c r="G2693" t="s">
        <v>24</v>
      </c>
      <c r="H2693">
        <v>2356.6799999999998</v>
      </c>
      <c r="I2693">
        <v>3272.77</v>
      </c>
      <c r="J2693" t="s">
        <v>27</v>
      </c>
      <c r="K2693">
        <v>0.26</v>
      </c>
      <c r="L2693" t="s">
        <v>18</v>
      </c>
      <c r="M2693" t="s">
        <v>21</v>
      </c>
    </row>
    <row r="2694" spans="1:13" x14ac:dyDescent="0.35">
      <c r="A2694">
        <v>1063</v>
      </c>
      <c r="B2694" s="1">
        <v>45472</v>
      </c>
      <c r="C2694" t="s">
        <v>32</v>
      </c>
      <c r="D2694" t="s">
        <v>30</v>
      </c>
      <c r="E2694">
        <v>50486.35</v>
      </c>
      <c r="F2694">
        <v>11</v>
      </c>
      <c r="G2694" t="s">
        <v>31</v>
      </c>
      <c r="H2694">
        <v>3828.18</v>
      </c>
      <c r="I2694">
        <v>4831.2299999999996</v>
      </c>
      <c r="J2694" t="s">
        <v>27</v>
      </c>
      <c r="K2694">
        <v>0.05</v>
      </c>
      <c r="L2694" t="s">
        <v>25</v>
      </c>
      <c r="M2694" t="s">
        <v>21</v>
      </c>
    </row>
    <row r="2695" spans="1:13" x14ac:dyDescent="0.35">
      <c r="A2695">
        <v>1097</v>
      </c>
      <c r="B2695" s="1">
        <v>45472</v>
      </c>
      <c r="C2695" t="s">
        <v>22</v>
      </c>
      <c r="D2695" t="s">
        <v>20</v>
      </c>
      <c r="E2695">
        <v>44405.3</v>
      </c>
      <c r="F2695">
        <v>10</v>
      </c>
      <c r="G2695" t="s">
        <v>31</v>
      </c>
      <c r="H2695">
        <v>1180.1199999999999</v>
      </c>
      <c r="I2695">
        <v>4989.3599999999997</v>
      </c>
      <c r="J2695" t="s">
        <v>27</v>
      </c>
      <c r="K2695">
        <v>0.11</v>
      </c>
      <c r="L2695" t="s">
        <v>25</v>
      </c>
      <c r="M2695" t="s">
        <v>21</v>
      </c>
    </row>
    <row r="2696" spans="1:13" x14ac:dyDescent="0.35">
      <c r="A2696">
        <v>1085</v>
      </c>
      <c r="B2696" s="1">
        <v>45472</v>
      </c>
      <c r="C2696" t="s">
        <v>33</v>
      </c>
      <c r="D2696" t="s">
        <v>23</v>
      </c>
      <c r="E2696">
        <v>80779.27</v>
      </c>
      <c r="F2696">
        <v>16</v>
      </c>
      <c r="G2696" t="s">
        <v>31</v>
      </c>
      <c r="H2696">
        <v>1613.2</v>
      </c>
      <c r="I2696">
        <v>5204.8500000000004</v>
      </c>
      <c r="J2696" t="s">
        <v>17</v>
      </c>
      <c r="K2696">
        <v>0.03</v>
      </c>
      <c r="L2696" t="s">
        <v>18</v>
      </c>
      <c r="M2696" t="s">
        <v>19</v>
      </c>
    </row>
    <row r="2697" spans="1:13" x14ac:dyDescent="0.35">
      <c r="A2697">
        <v>1033</v>
      </c>
      <c r="B2697" s="1">
        <v>45473</v>
      </c>
      <c r="C2697" t="s">
        <v>32</v>
      </c>
      <c r="D2697" t="s">
        <v>20</v>
      </c>
      <c r="E2697">
        <v>36426.85</v>
      </c>
      <c r="F2697">
        <v>17</v>
      </c>
      <c r="G2697" t="s">
        <v>31</v>
      </c>
      <c r="H2697">
        <v>1475.67</v>
      </c>
      <c r="I2697">
        <v>2164.4</v>
      </c>
      <c r="J2697" t="s">
        <v>27</v>
      </c>
      <c r="K2697">
        <v>0.01</v>
      </c>
      <c r="L2697" t="s">
        <v>25</v>
      </c>
      <c r="M2697" t="s">
        <v>21</v>
      </c>
    </row>
    <row r="2698" spans="1:13" x14ac:dyDescent="0.35">
      <c r="A2698">
        <v>1085</v>
      </c>
      <c r="B2698" s="1">
        <v>45474</v>
      </c>
      <c r="C2698" t="s">
        <v>22</v>
      </c>
      <c r="D2698" t="s">
        <v>30</v>
      </c>
      <c r="E2698">
        <v>13733.21</v>
      </c>
      <c r="F2698">
        <v>3</v>
      </c>
      <c r="G2698" t="s">
        <v>26</v>
      </c>
      <c r="H2698">
        <v>4539.18</v>
      </c>
      <c r="I2698">
        <v>4585.5</v>
      </c>
      <c r="J2698" t="s">
        <v>27</v>
      </c>
      <c r="K2698">
        <v>0</v>
      </c>
      <c r="L2698" t="s">
        <v>18</v>
      </c>
      <c r="M2698" t="s">
        <v>19</v>
      </c>
    </row>
    <row r="2699" spans="1:13" x14ac:dyDescent="0.35">
      <c r="A2699">
        <v>1043</v>
      </c>
      <c r="B2699" s="1">
        <v>45474</v>
      </c>
      <c r="C2699" t="s">
        <v>22</v>
      </c>
      <c r="D2699" t="s">
        <v>15</v>
      </c>
      <c r="E2699">
        <v>13205.44</v>
      </c>
      <c r="F2699">
        <v>4</v>
      </c>
      <c r="G2699" t="s">
        <v>31</v>
      </c>
      <c r="H2699">
        <v>442.71</v>
      </c>
      <c r="I2699">
        <v>3930.19</v>
      </c>
      <c r="J2699" t="s">
        <v>27</v>
      </c>
      <c r="K2699">
        <v>0.16</v>
      </c>
      <c r="L2699" t="s">
        <v>25</v>
      </c>
      <c r="M2699" t="s">
        <v>21</v>
      </c>
    </row>
    <row r="2700" spans="1:13" x14ac:dyDescent="0.35">
      <c r="A2700">
        <v>1095</v>
      </c>
      <c r="B2700" s="1">
        <v>45474</v>
      </c>
      <c r="C2700" t="s">
        <v>22</v>
      </c>
      <c r="D2700" t="s">
        <v>23</v>
      </c>
      <c r="E2700">
        <v>63276.639999999999</v>
      </c>
      <c r="F2700">
        <v>20</v>
      </c>
      <c r="G2700" t="s">
        <v>31</v>
      </c>
      <c r="H2700">
        <v>856.56</v>
      </c>
      <c r="I2700">
        <v>3228.4</v>
      </c>
      <c r="J2700" t="s">
        <v>27</v>
      </c>
      <c r="K2700">
        <v>0.02</v>
      </c>
      <c r="L2700" t="s">
        <v>28</v>
      </c>
      <c r="M2700" t="s">
        <v>19</v>
      </c>
    </row>
    <row r="2701" spans="1:13" x14ac:dyDescent="0.35">
      <c r="A2701">
        <v>1043</v>
      </c>
      <c r="B2701" s="1">
        <v>45475</v>
      </c>
      <c r="C2701" t="s">
        <v>33</v>
      </c>
      <c r="D2701" t="s">
        <v>30</v>
      </c>
      <c r="E2701">
        <v>76165.440000000002</v>
      </c>
      <c r="F2701">
        <v>17</v>
      </c>
      <c r="G2701" t="s">
        <v>16</v>
      </c>
      <c r="H2701">
        <v>1513.57</v>
      </c>
      <c r="I2701">
        <v>4480.32</v>
      </c>
      <c r="J2701" t="s">
        <v>17</v>
      </c>
      <c r="K2701">
        <v>0</v>
      </c>
      <c r="L2701" t="s">
        <v>28</v>
      </c>
      <c r="M2701" t="s">
        <v>19</v>
      </c>
    </row>
    <row r="2702" spans="1:13" x14ac:dyDescent="0.35">
      <c r="A2702">
        <v>1068</v>
      </c>
      <c r="B2702" s="1">
        <v>45476</v>
      </c>
      <c r="C2702" t="s">
        <v>14</v>
      </c>
      <c r="D2702" t="s">
        <v>15</v>
      </c>
      <c r="E2702">
        <v>28896.95</v>
      </c>
      <c r="F2702">
        <v>19</v>
      </c>
      <c r="G2702" t="s">
        <v>26</v>
      </c>
      <c r="H2702">
        <v>1477.67</v>
      </c>
      <c r="I2702">
        <v>1925.18</v>
      </c>
      <c r="J2702" t="s">
        <v>17</v>
      </c>
      <c r="K2702">
        <v>0.21</v>
      </c>
      <c r="L2702" t="s">
        <v>18</v>
      </c>
      <c r="M2702" t="s">
        <v>21</v>
      </c>
    </row>
    <row r="2703" spans="1:13" x14ac:dyDescent="0.35">
      <c r="A2703">
        <v>1085</v>
      </c>
      <c r="B2703" s="1">
        <v>45476</v>
      </c>
      <c r="C2703" t="s">
        <v>22</v>
      </c>
      <c r="D2703" t="s">
        <v>30</v>
      </c>
      <c r="E2703">
        <v>36915.629999999997</v>
      </c>
      <c r="F2703">
        <v>24</v>
      </c>
      <c r="G2703" t="s">
        <v>31</v>
      </c>
      <c r="H2703">
        <v>1493.67</v>
      </c>
      <c r="I2703">
        <v>1767.99</v>
      </c>
      <c r="J2703" t="s">
        <v>27</v>
      </c>
      <c r="K2703">
        <v>0.13</v>
      </c>
      <c r="L2703" t="s">
        <v>18</v>
      </c>
      <c r="M2703" t="s">
        <v>19</v>
      </c>
    </row>
    <row r="2704" spans="1:13" x14ac:dyDescent="0.35">
      <c r="A2704">
        <v>1011</v>
      </c>
      <c r="B2704" s="1">
        <v>45476</v>
      </c>
      <c r="C2704" t="s">
        <v>29</v>
      </c>
      <c r="D2704" t="s">
        <v>30</v>
      </c>
      <c r="E2704">
        <v>104514.88</v>
      </c>
      <c r="F2704">
        <v>37</v>
      </c>
      <c r="G2704" t="s">
        <v>16</v>
      </c>
      <c r="H2704">
        <v>2777.36</v>
      </c>
      <c r="I2704">
        <v>2833.5</v>
      </c>
      <c r="J2704" t="s">
        <v>27</v>
      </c>
      <c r="K2704">
        <v>0</v>
      </c>
      <c r="L2704" t="s">
        <v>25</v>
      </c>
      <c r="M2704" t="s">
        <v>19</v>
      </c>
    </row>
    <row r="2705" spans="1:13" x14ac:dyDescent="0.35">
      <c r="A2705">
        <v>1031</v>
      </c>
      <c r="B2705" s="1">
        <v>45476</v>
      </c>
      <c r="C2705" t="s">
        <v>33</v>
      </c>
      <c r="D2705" t="s">
        <v>20</v>
      </c>
      <c r="E2705">
        <v>119100.15</v>
      </c>
      <c r="F2705">
        <v>41</v>
      </c>
      <c r="G2705" t="s">
        <v>24</v>
      </c>
      <c r="H2705">
        <v>273.99</v>
      </c>
      <c r="I2705">
        <v>3157.48</v>
      </c>
      <c r="J2705" t="s">
        <v>17</v>
      </c>
      <c r="K2705">
        <v>0.08</v>
      </c>
      <c r="L2705" t="s">
        <v>28</v>
      </c>
      <c r="M2705" t="s">
        <v>21</v>
      </c>
    </row>
    <row r="2706" spans="1:13" x14ac:dyDescent="0.35">
      <c r="A2706">
        <v>1032</v>
      </c>
      <c r="B2706" s="1">
        <v>45477</v>
      </c>
      <c r="C2706" t="s">
        <v>22</v>
      </c>
      <c r="D2706" t="s">
        <v>15</v>
      </c>
      <c r="E2706">
        <v>3171.6</v>
      </c>
      <c r="F2706">
        <v>1</v>
      </c>
      <c r="G2706" t="s">
        <v>31</v>
      </c>
      <c r="H2706">
        <v>900.04</v>
      </c>
      <c r="I2706">
        <v>3964.5</v>
      </c>
      <c r="J2706" t="s">
        <v>27</v>
      </c>
      <c r="K2706">
        <v>0.2</v>
      </c>
      <c r="L2706" t="s">
        <v>28</v>
      </c>
      <c r="M2706" t="s">
        <v>19</v>
      </c>
    </row>
    <row r="2707" spans="1:13" x14ac:dyDescent="0.35">
      <c r="A2707">
        <v>1080</v>
      </c>
      <c r="B2707" s="1">
        <v>45477</v>
      </c>
      <c r="C2707" t="s">
        <v>32</v>
      </c>
      <c r="D2707" t="s">
        <v>15</v>
      </c>
      <c r="E2707">
        <v>130339.26</v>
      </c>
      <c r="F2707">
        <v>42</v>
      </c>
      <c r="G2707" t="s">
        <v>24</v>
      </c>
      <c r="H2707">
        <v>396.6</v>
      </c>
      <c r="I2707">
        <v>4030.28</v>
      </c>
      <c r="J2707" t="s">
        <v>27</v>
      </c>
      <c r="K2707">
        <v>0.23</v>
      </c>
      <c r="L2707" t="s">
        <v>28</v>
      </c>
      <c r="M2707" t="s">
        <v>21</v>
      </c>
    </row>
    <row r="2708" spans="1:13" x14ac:dyDescent="0.35">
      <c r="A2708">
        <v>1069</v>
      </c>
      <c r="B2708" s="1">
        <v>45478</v>
      </c>
      <c r="C2708" t="s">
        <v>33</v>
      </c>
      <c r="D2708" t="s">
        <v>15</v>
      </c>
      <c r="E2708">
        <v>21091.25</v>
      </c>
      <c r="F2708">
        <v>6</v>
      </c>
      <c r="G2708" t="s">
        <v>24</v>
      </c>
      <c r="H2708">
        <v>178.34</v>
      </c>
      <c r="I2708">
        <v>3700.22</v>
      </c>
      <c r="J2708" t="s">
        <v>27</v>
      </c>
      <c r="K2708">
        <v>0.05</v>
      </c>
      <c r="L2708" t="s">
        <v>28</v>
      </c>
      <c r="M2708" t="s">
        <v>21</v>
      </c>
    </row>
    <row r="2709" spans="1:13" x14ac:dyDescent="0.35">
      <c r="A2709">
        <v>1049</v>
      </c>
      <c r="B2709" s="1">
        <v>45478</v>
      </c>
      <c r="C2709" t="s">
        <v>33</v>
      </c>
      <c r="D2709" t="s">
        <v>15</v>
      </c>
      <c r="E2709">
        <v>60788.3</v>
      </c>
      <c r="F2709">
        <v>18</v>
      </c>
      <c r="G2709" t="s">
        <v>31</v>
      </c>
      <c r="H2709">
        <v>772.79</v>
      </c>
      <c r="I2709">
        <v>3631.32</v>
      </c>
      <c r="J2709" t="s">
        <v>17</v>
      </c>
      <c r="K2709">
        <v>7.0000000000000007E-2</v>
      </c>
      <c r="L2709" t="s">
        <v>18</v>
      </c>
      <c r="M2709" t="s">
        <v>21</v>
      </c>
    </row>
    <row r="2710" spans="1:13" x14ac:dyDescent="0.35">
      <c r="A2710">
        <v>1049</v>
      </c>
      <c r="B2710" s="1">
        <v>45479</v>
      </c>
      <c r="C2710" t="s">
        <v>33</v>
      </c>
      <c r="D2710" t="s">
        <v>30</v>
      </c>
      <c r="E2710">
        <v>15015.09</v>
      </c>
      <c r="F2710">
        <v>4</v>
      </c>
      <c r="G2710" t="s">
        <v>26</v>
      </c>
      <c r="H2710">
        <v>1942.85</v>
      </c>
      <c r="I2710">
        <v>4812.53</v>
      </c>
      <c r="J2710" t="s">
        <v>27</v>
      </c>
      <c r="K2710">
        <v>0.22</v>
      </c>
      <c r="L2710" t="s">
        <v>28</v>
      </c>
      <c r="M2710" t="s">
        <v>21</v>
      </c>
    </row>
    <row r="2711" spans="1:13" x14ac:dyDescent="0.35">
      <c r="A2711">
        <v>1090</v>
      </c>
      <c r="B2711" s="1">
        <v>45479</v>
      </c>
      <c r="C2711" t="s">
        <v>22</v>
      </c>
      <c r="D2711" t="s">
        <v>20</v>
      </c>
      <c r="E2711">
        <v>94631.32</v>
      </c>
      <c r="F2711">
        <v>24</v>
      </c>
      <c r="G2711" t="s">
        <v>16</v>
      </c>
      <c r="H2711">
        <v>2010.61</v>
      </c>
      <c r="I2711">
        <v>4638.79</v>
      </c>
      <c r="J2711" t="s">
        <v>27</v>
      </c>
      <c r="K2711">
        <v>0.15</v>
      </c>
      <c r="L2711" t="s">
        <v>18</v>
      </c>
      <c r="M2711" t="s">
        <v>19</v>
      </c>
    </row>
    <row r="2712" spans="1:13" x14ac:dyDescent="0.35">
      <c r="A2712">
        <v>1038</v>
      </c>
      <c r="B2712" s="1">
        <v>45481</v>
      </c>
      <c r="C2712" t="s">
        <v>14</v>
      </c>
      <c r="D2712" t="s">
        <v>30</v>
      </c>
      <c r="E2712">
        <v>34988.44</v>
      </c>
      <c r="F2712">
        <v>14</v>
      </c>
      <c r="G2712" t="s">
        <v>16</v>
      </c>
      <c r="H2712">
        <v>970.93</v>
      </c>
      <c r="I2712">
        <v>3085.4</v>
      </c>
      <c r="J2712" t="s">
        <v>27</v>
      </c>
      <c r="K2712">
        <v>0.19</v>
      </c>
      <c r="L2712" t="s">
        <v>18</v>
      </c>
      <c r="M2712" t="s">
        <v>19</v>
      </c>
    </row>
    <row r="2713" spans="1:13" x14ac:dyDescent="0.35">
      <c r="A2713">
        <v>1079</v>
      </c>
      <c r="B2713" s="1">
        <v>45481</v>
      </c>
      <c r="C2713" t="s">
        <v>14</v>
      </c>
      <c r="D2713" t="s">
        <v>23</v>
      </c>
      <c r="E2713">
        <v>125980.02</v>
      </c>
      <c r="F2713">
        <v>43</v>
      </c>
      <c r="G2713" t="s">
        <v>31</v>
      </c>
      <c r="H2713">
        <v>2107.2399999999998</v>
      </c>
      <c r="I2713">
        <v>3662.21</v>
      </c>
      <c r="J2713" t="s">
        <v>17</v>
      </c>
      <c r="K2713">
        <v>0.2</v>
      </c>
      <c r="L2713" t="s">
        <v>25</v>
      </c>
      <c r="M2713" t="s">
        <v>21</v>
      </c>
    </row>
    <row r="2714" spans="1:13" x14ac:dyDescent="0.35">
      <c r="A2714">
        <v>1006</v>
      </c>
      <c r="B2714" s="1">
        <v>45481</v>
      </c>
      <c r="C2714" t="s">
        <v>14</v>
      </c>
      <c r="D2714" t="s">
        <v>23</v>
      </c>
      <c r="E2714">
        <v>50288.05</v>
      </c>
      <c r="F2714">
        <v>28</v>
      </c>
      <c r="G2714" t="s">
        <v>16</v>
      </c>
      <c r="H2714">
        <v>353.19</v>
      </c>
      <c r="I2714">
        <v>2332.4699999999998</v>
      </c>
      <c r="J2714" t="s">
        <v>27</v>
      </c>
      <c r="K2714">
        <v>0.23</v>
      </c>
      <c r="L2714" t="s">
        <v>18</v>
      </c>
      <c r="M2714" t="s">
        <v>21</v>
      </c>
    </row>
    <row r="2715" spans="1:13" x14ac:dyDescent="0.35">
      <c r="A2715">
        <v>1031</v>
      </c>
      <c r="B2715" s="1">
        <v>45483</v>
      </c>
      <c r="C2715" t="s">
        <v>29</v>
      </c>
      <c r="D2715" t="s">
        <v>30</v>
      </c>
      <c r="E2715">
        <v>51448.14</v>
      </c>
      <c r="F2715">
        <v>26</v>
      </c>
      <c r="G2715" t="s">
        <v>24</v>
      </c>
      <c r="H2715">
        <v>1847.84</v>
      </c>
      <c r="I2715">
        <v>2327.9699999999998</v>
      </c>
      <c r="J2715" t="s">
        <v>17</v>
      </c>
      <c r="K2715">
        <v>0.15</v>
      </c>
      <c r="L2715" t="s">
        <v>28</v>
      </c>
      <c r="M2715" t="s">
        <v>21</v>
      </c>
    </row>
    <row r="2716" spans="1:13" x14ac:dyDescent="0.35">
      <c r="A2716">
        <v>1041</v>
      </c>
      <c r="B2716" s="1">
        <v>45483</v>
      </c>
      <c r="C2716" t="s">
        <v>29</v>
      </c>
      <c r="D2716" t="s">
        <v>20</v>
      </c>
      <c r="E2716">
        <v>130000.43</v>
      </c>
      <c r="F2716">
        <v>47</v>
      </c>
      <c r="G2716" t="s">
        <v>31</v>
      </c>
      <c r="H2716">
        <v>2351.7399999999998</v>
      </c>
      <c r="I2716">
        <v>3373.13</v>
      </c>
      <c r="J2716" t="s">
        <v>17</v>
      </c>
      <c r="K2716">
        <v>0.18</v>
      </c>
      <c r="L2716" t="s">
        <v>18</v>
      </c>
      <c r="M2716" t="s">
        <v>19</v>
      </c>
    </row>
    <row r="2717" spans="1:13" x14ac:dyDescent="0.35">
      <c r="A2717">
        <v>1043</v>
      </c>
      <c r="B2717" s="1">
        <v>45483</v>
      </c>
      <c r="C2717" t="s">
        <v>22</v>
      </c>
      <c r="D2717" t="s">
        <v>30</v>
      </c>
      <c r="E2717">
        <v>41959.519999999997</v>
      </c>
      <c r="F2717">
        <v>19</v>
      </c>
      <c r="G2717" t="s">
        <v>31</v>
      </c>
      <c r="H2717">
        <v>755.13</v>
      </c>
      <c r="I2717">
        <v>3025.2</v>
      </c>
      <c r="J2717" t="s">
        <v>27</v>
      </c>
      <c r="K2717">
        <v>0.27</v>
      </c>
      <c r="L2717" t="s">
        <v>18</v>
      </c>
      <c r="M2717" t="s">
        <v>19</v>
      </c>
    </row>
    <row r="2718" spans="1:13" x14ac:dyDescent="0.35">
      <c r="A2718">
        <v>1061</v>
      </c>
      <c r="B2718" s="1">
        <v>45483</v>
      </c>
      <c r="C2718" t="s">
        <v>22</v>
      </c>
      <c r="D2718" t="s">
        <v>15</v>
      </c>
      <c r="E2718">
        <v>55136.32</v>
      </c>
      <c r="F2718">
        <v>15</v>
      </c>
      <c r="G2718" t="s">
        <v>24</v>
      </c>
      <c r="H2718">
        <v>1807.98</v>
      </c>
      <c r="I2718">
        <v>5035.28</v>
      </c>
      <c r="J2718" t="s">
        <v>27</v>
      </c>
      <c r="K2718">
        <v>0.27</v>
      </c>
      <c r="L2718" t="s">
        <v>25</v>
      </c>
      <c r="M2718" t="s">
        <v>21</v>
      </c>
    </row>
    <row r="2719" spans="1:13" x14ac:dyDescent="0.35">
      <c r="A2719">
        <v>1098</v>
      </c>
      <c r="B2719" s="1">
        <v>45483</v>
      </c>
      <c r="C2719" t="s">
        <v>14</v>
      </c>
      <c r="D2719" t="s">
        <v>30</v>
      </c>
      <c r="E2719">
        <v>95409.1</v>
      </c>
      <c r="F2719">
        <v>38</v>
      </c>
      <c r="G2719" t="s">
        <v>31</v>
      </c>
      <c r="H2719">
        <v>422.44</v>
      </c>
      <c r="I2719">
        <v>3536.29</v>
      </c>
      <c r="J2719" t="s">
        <v>27</v>
      </c>
      <c r="K2719">
        <v>0.28999999999999998</v>
      </c>
      <c r="L2719" t="s">
        <v>25</v>
      </c>
      <c r="M2719" t="s">
        <v>19</v>
      </c>
    </row>
    <row r="2720" spans="1:13" x14ac:dyDescent="0.35">
      <c r="A2720">
        <v>1043</v>
      </c>
      <c r="B2720" s="1">
        <v>45484</v>
      </c>
      <c r="C2720" t="s">
        <v>22</v>
      </c>
      <c r="D2720" t="s">
        <v>23</v>
      </c>
      <c r="E2720">
        <v>15790.48</v>
      </c>
      <c r="F2720">
        <v>3</v>
      </c>
      <c r="G2720" t="s">
        <v>31</v>
      </c>
      <c r="H2720">
        <v>4591.17</v>
      </c>
      <c r="I2720">
        <v>5316.66</v>
      </c>
      <c r="J2720" t="s">
        <v>27</v>
      </c>
      <c r="K2720">
        <v>0.01</v>
      </c>
      <c r="L2720" t="s">
        <v>25</v>
      </c>
      <c r="M2720" t="s">
        <v>21</v>
      </c>
    </row>
    <row r="2721" spans="1:13" x14ac:dyDescent="0.35">
      <c r="A2721">
        <v>1047</v>
      </c>
      <c r="B2721" s="1">
        <v>45484</v>
      </c>
      <c r="C2721" t="s">
        <v>33</v>
      </c>
      <c r="D2721" t="s">
        <v>15</v>
      </c>
      <c r="E2721">
        <v>104084.08</v>
      </c>
      <c r="F2721">
        <v>43</v>
      </c>
      <c r="G2721" t="s">
        <v>31</v>
      </c>
      <c r="H2721">
        <v>1855.87</v>
      </c>
      <c r="I2721">
        <v>3064</v>
      </c>
      <c r="J2721" t="s">
        <v>27</v>
      </c>
      <c r="K2721">
        <v>0.21</v>
      </c>
      <c r="L2721" t="s">
        <v>28</v>
      </c>
      <c r="M2721" t="s">
        <v>19</v>
      </c>
    </row>
    <row r="2722" spans="1:13" x14ac:dyDescent="0.35">
      <c r="A2722">
        <v>1064</v>
      </c>
      <c r="B2722" s="1">
        <v>45484</v>
      </c>
      <c r="C2722" t="s">
        <v>29</v>
      </c>
      <c r="D2722" t="s">
        <v>30</v>
      </c>
      <c r="E2722">
        <v>169864.17</v>
      </c>
      <c r="F2722">
        <v>47</v>
      </c>
      <c r="G2722" t="s">
        <v>16</v>
      </c>
      <c r="H2722">
        <v>3050.89</v>
      </c>
      <c r="I2722">
        <v>3764.72</v>
      </c>
      <c r="J2722" t="s">
        <v>27</v>
      </c>
      <c r="K2722">
        <v>0.04</v>
      </c>
      <c r="L2722" t="s">
        <v>28</v>
      </c>
      <c r="M2722" t="s">
        <v>21</v>
      </c>
    </row>
    <row r="2723" spans="1:13" x14ac:dyDescent="0.35">
      <c r="A2723">
        <v>1096</v>
      </c>
      <c r="B2723" s="1">
        <v>45485</v>
      </c>
      <c r="C2723" t="s">
        <v>14</v>
      </c>
      <c r="D2723" t="s">
        <v>20</v>
      </c>
      <c r="E2723">
        <v>121329.47</v>
      </c>
      <c r="F2723">
        <v>40</v>
      </c>
      <c r="G2723" t="s">
        <v>24</v>
      </c>
      <c r="H2723">
        <v>2832.46</v>
      </c>
      <c r="I2723">
        <v>3446.86</v>
      </c>
      <c r="J2723" t="s">
        <v>17</v>
      </c>
      <c r="K2723">
        <v>0.12</v>
      </c>
      <c r="L2723" t="s">
        <v>25</v>
      </c>
      <c r="M2723" t="s">
        <v>21</v>
      </c>
    </row>
    <row r="2724" spans="1:13" x14ac:dyDescent="0.35">
      <c r="A2724">
        <v>1010</v>
      </c>
      <c r="B2724" s="1">
        <v>45485</v>
      </c>
      <c r="C2724" t="s">
        <v>22</v>
      </c>
      <c r="D2724" t="s">
        <v>20</v>
      </c>
      <c r="E2724">
        <v>36627.629999999997</v>
      </c>
      <c r="F2724">
        <v>23</v>
      </c>
      <c r="G2724" t="s">
        <v>24</v>
      </c>
      <c r="H2724">
        <v>224.57</v>
      </c>
      <c r="I2724">
        <v>1895.84</v>
      </c>
      <c r="J2724" t="s">
        <v>17</v>
      </c>
      <c r="K2724">
        <v>0.16</v>
      </c>
      <c r="L2724" t="s">
        <v>28</v>
      </c>
      <c r="M2724" t="s">
        <v>21</v>
      </c>
    </row>
    <row r="2725" spans="1:13" x14ac:dyDescent="0.35">
      <c r="A2725">
        <v>1011</v>
      </c>
      <c r="B2725" s="1">
        <v>45485</v>
      </c>
      <c r="C2725" t="s">
        <v>14</v>
      </c>
      <c r="D2725" t="s">
        <v>30</v>
      </c>
      <c r="E2725">
        <v>161141.5</v>
      </c>
      <c r="F2725">
        <v>50</v>
      </c>
      <c r="G2725" t="s">
        <v>16</v>
      </c>
      <c r="H2725">
        <v>481.97</v>
      </c>
      <c r="I2725">
        <v>3222.83</v>
      </c>
      <c r="J2725" t="s">
        <v>27</v>
      </c>
      <c r="K2725">
        <v>0</v>
      </c>
      <c r="L2725" t="s">
        <v>18</v>
      </c>
      <c r="M2725" t="s">
        <v>19</v>
      </c>
    </row>
    <row r="2726" spans="1:13" x14ac:dyDescent="0.35">
      <c r="A2726">
        <v>1003</v>
      </c>
      <c r="B2726" s="1">
        <v>45486</v>
      </c>
      <c r="C2726" t="s">
        <v>14</v>
      </c>
      <c r="D2726" t="s">
        <v>30</v>
      </c>
      <c r="E2726">
        <v>5115.92</v>
      </c>
      <c r="F2726">
        <v>2</v>
      </c>
      <c r="G2726" t="s">
        <v>16</v>
      </c>
      <c r="H2726">
        <v>1719.18</v>
      </c>
      <c r="I2726">
        <v>2583.8000000000002</v>
      </c>
      <c r="J2726" t="s">
        <v>27</v>
      </c>
      <c r="K2726">
        <v>0.01</v>
      </c>
      <c r="L2726" t="s">
        <v>25</v>
      </c>
      <c r="M2726" t="s">
        <v>21</v>
      </c>
    </row>
    <row r="2727" spans="1:13" x14ac:dyDescent="0.35">
      <c r="A2727">
        <v>1086</v>
      </c>
      <c r="B2727" s="1">
        <v>45486</v>
      </c>
      <c r="C2727" t="s">
        <v>22</v>
      </c>
      <c r="D2727" t="s">
        <v>23</v>
      </c>
      <c r="E2727">
        <v>36395.300000000003</v>
      </c>
      <c r="F2727">
        <v>10</v>
      </c>
      <c r="G2727" t="s">
        <v>16</v>
      </c>
      <c r="H2727">
        <v>313.04000000000002</v>
      </c>
      <c r="I2727">
        <v>4089.36</v>
      </c>
      <c r="J2727" t="s">
        <v>17</v>
      </c>
      <c r="K2727">
        <v>0.11</v>
      </c>
      <c r="L2727" t="s">
        <v>28</v>
      </c>
      <c r="M2727" t="s">
        <v>21</v>
      </c>
    </row>
    <row r="2728" spans="1:13" x14ac:dyDescent="0.35">
      <c r="A2728">
        <v>1038</v>
      </c>
      <c r="B2728" s="1">
        <v>45487</v>
      </c>
      <c r="C2728" t="s">
        <v>29</v>
      </c>
      <c r="D2728" t="s">
        <v>23</v>
      </c>
      <c r="E2728">
        <v>31286.02</v>
      </c>
      <c r="F2728">
        <v>9</v>
      </c>
      <c r="G2728" t="s">
        <v>24</v>
      </c>
      <c r="H2728">
        <v>2493.1799999999998</v>
      </c>
      <c r="I2728">
        <v>4896.09</v>
      </c>
      <c r="J2728" t="s">
        <v>17</v>
      </c>
      <c r="K2728">
        <v>0.28999999999999998</v>
      </c>
      <c r="L2728" t="s">
        <v>25</v>
      </c>
      <c r="M2728" t="s">
        <v>21</v>
      </c>
    </row>
    <row r="2729" spans="1:13" x14ac:dyDescent="0.35">
      <c r="A2729">
        <v>1042</v>
      </c>
      <c r="B2729" s="1">
        <v>45487</v>
      </c>
      <c r="C2729" t="s">
        <v>14</v>
      </c>
      <c r="D2729" t="s">
        <v>15</v>
      </c>
      <c r="E2729">
        <v>24319.119999999999</v>
      </c>
      <c r="F2729">
        <v>9</v>
      </c>
      <c r="G2729" t="s">
        <v>16</v>
      </c>
      <c r="H2729">
        <v>1025.32</v>
      </c>
      <c r="I2729">
        <v>2757.27</v>
      </c>
      <c r="J2729" t="s">
        <v>17</v>
      </c>
      <c r="K2729">
        <v>0.02</v>
      </c>
      <c r="L2729" t="s">
        <v>18</v>
      </c>
      <c r="M2729" t="s">
        <v>21</v>
      </c>
    </row>
    <row r="2730" spans="1:13" x14ac:dyDescent="0.35">
      <c r="A2730">
        <v>1096</v>
      </c>
      <c r="B2730" s="1">
        <v>45487</v>
      </c>
      <c r="C2730" t="s">
        <v>22</v>
      </c>
      <c r="D2730" t="s">
        <v>30</v>
      </c>
      <c r="E2730">
        <v>119871.49</v>
      </c>
      <c r="F2730">
        <v>32</v>
      </c>
      <c r="G2730" t="s">
        <v>31</v>
      </c>
      <c r="H2730">
        <v>2910.86</v>
      </c>
      <c r="I2730">
        <v>4682.4799999999996</v>
      </c>
      <c r="J2730" t="s">
        <v>27</v>
      </c>
      <c r="K2730">
        <v>0.2</v>
      </c>
      <c r="L2730" t="s">
        <v>18</v>
      </c>
      <c r="M2730" t="s">
        <v>21</v>
      </c>
    </row>
    <row r="2731" spans="1:13" x14ac:dyDescent="0.35">
      <c r="A2731">
        <v>1050</v>
      </c>
      <c r="B2731" s="1">
        <v>45487</v>
      </c>
      <c r="C2731" t="s">
        <v>32</v>
      </c>
      <c r="D2731" t="s">
        <v>30</v>
      </c>
      <c r="E2731">
        <v>95712.98</v>
      </c>
      <c r="F2731">
        <v>27</v>
      </c>
      <c r="G2731" t="s">
        <v>26</v>
      </c>
      <c r="H2731">
        <v>1865.02</v>
      </c>
      <c r="I2731">
        <v>3731.5</v>
      </c>
      <c r="J2731" t="s">
        <v>17</v>
      </c>
      <c r="K2731">
        <v>0.05</v>
      </c>
      <c r="L2731" t="s">
        <v>25</v>
      </c>
      <c r="M2731" t="s">
        <v>19</v>
      </c>
    </row>
    <row r="2732" spans="1:13" x14ac:dyDescent="0.35">
      <c r="A2732">
        <v>1056</v>
      </c>
      <c r="B2732" s="1">
        <v>45488</v>
      </c>
      <c r="C2732" t="s">
        <v>14</v>
      </c>
      <c r="D2732" t="s">
        <v>23</v>
      </c>
      <c r="E2732">
        <v>49919.08</v>
      </c>
      <c r="F2732">
        <v>18</v>
      </c>
      <c r="G2732" t="s">
        <v>16</v>
      </c>
      <c r="H2732">
        <v>345.21</v>
      </c>
      <c r="I2732">
        <v>2829.88</v>
      </c>
      <c r="J2732" t="s">
        <v>17</v>
      </c>
      <c r="K2732">
        <v>0.02</v>
      </c>
      <c r="L2732" t="s">
        <v>25</v>
      </c>
      <c r="M2732" t="s">
        <v>19</v>
      </c>
    </row>
    <row r="2733" spans="1:13" x14ac:dyDescent="0.35">
      <c r="A2733">
        <v>1073</v>
      </c>
      <c r="B2733" s="1">
        <v>45488</v>
      </c>
      <c r="C2733" t="s">
        <v>29</v>
      </c>
      <c r="D2733" t="s">
        <v>23</v>
      </c>
      <c r="E2733">
        <v>186383.84</v>
      </c>
      <c r="F2733">
        <v>45</v>
      </c>
      <c r="G2733" t="s">
        <v>24</v>
      </c>
      <c r="H2733">
        <v>252.17</v>
      </c>
      <c r="I2733">
        <v>4602.07</v>
      </c>
      <c r="J2733" t="s">
        <v>17</v>
      </c>
      <c r="K2733">
        <v>0.1</v>
      </c>
      <c r="L2733" t="s">
        <v>18</v>
      </c>
      <c r="M2733" t="s">
        <v>19</v>
      </c>
    </row>
    <row r="2734" spans="1:13" x14ac:dyDescent="0.35">
      <c r="A2734">
        <v>1044</v>
      </c>
      <c r="B2734" s="1">
        <v>45489</v>
      </c>
      <c r="C2734" t="s">
        <v>22</v>
      </c>
      <c r="D2734" t="s">
        <v>20</v>
      </c>
      <c r="E2734">
        <v>3111.97</v>
      </c>
      <c r="F2734">
        <v>10</v>
      </c>
      <c r="G2734" t="s">
        <v>26</v>
      </c>
      <c r="H2734">
        <v>80.459999999999994</v>
      </c>
      <c r="I2734">
        <v>393.92</v>
      </c>
      <c r="J2734" t="s">
        <v>27</v>
      </c>
      <c r="K2734">
        <v>0.21</v>
      </c>
      <c r="L2734" t="s">
        <v>18</v>
      </c>
      <c r="M2734" t="s">
        <v>21</v>
      </c>
    </row>
    <row r="2735" spans="1:13" x14ac:dyDescent="0.35">
      <c r="A2735">
        <v>1083</v>
      </c>
      <c r="B2735" s="1">
        <v>45489</v>
      </c>
      <c r="C2735" t="s">
        <v>22</v>
      </c>
      <c r="D2735" t="s">
        <v>30</v>
      </c>
      <c r="E2735">
        <v>72478.720000000001</v>
      </c>
      <c r="F2735">
        <v>16</v>
      </c>
      <c r="G2735" t="s">
        <v>26</v>
      </c>
      <c r="H2735">
        <v>3918.79</v>
      </c>
      <c r="I2735">
        <v>4715.92</v>
      </c>
      <c r="J2735" t="s">
        <v>27</v>
      </c>
      <c r="K2735">
        <v>0.04</v>
      </c>
      <c r="L2735" t="s">
        <v>18</v>
      </c>
      <c r="M2735" t="s">
        <v>19</v>
      </c>
    </row>
    <row r="2736" spans="1:13" x14ac:dyDescent="0.35">
      <c r="A2736">
        <v>1036</v>
      </c>
      <c r="B2736" s="1">
        <v>45489</v>
      </c>
      <c r="C2736" t="s">
        <v>22</v>
      </c>
      <c r="D2736" t="s">
        <v>23</v>
      </c>
      <c r="E2736">
        <v>38796.57</v>
      </c>
      <c r="F2736">
        <v>15</v>
      </c>
      <c r="G2736" t="s">
        <v>26</v>
      </c>
      <c r="H2736">
        <v>1306.6400000000001</v>
      </c>
      <c r="I2736">
        <v>3359.01</v>
      </c>
      <c r="J2736" t="s">
        <v>17</v>
      </c>
      <c r="K2736">
        <v>0.23</v>
      </c>
      <c r="L2736" t="s">
        <v>25</v>
      </c>
      <c r="M2736" t="s">
        <v>19</v>
      </c>
    </row>
    <row r="2737" spans="1:13" x14ac:dyDescent="0.35">
      <c r="A2737">
        <v>1065</v>
      </c>
      <c r="B2737" s="1">
        <v>45489</v>
      </c>
      <c r="C2737" t="s">
        <v>14</v>
      </c>
      <c r="D2737" t="s">
        <v>23</v>
      </c>
      <c r="E2737">
        <v>25553.56</v>
      </c>
      <c r="F2737">
        <v>7</v>
      </c>
      <c r="G2737" t="s">
        <v>31</v>
      </c>
      <c r="H2737">
        <v>126.21</v>
      </c>
      <c r="I2737">
        <v>3842.64</v>
      </c>
      <c r="J2737" t="s">
        <v>27</v>
      </c>
      <c r="K2737">
        <v>0.05</v>
      </c>
      <c r="L2737" t="s">
        <v>28</v>
      </c>
      <c r="M2737" t="s">
        <v>21</v>
      </c>
    </row>
    <row r="2738" spans="1:13" x14ac:dyDescent="0.35">
      <c r="A2738">
        <v>1081</v>
      </c>
      <c r="B2738" s="1">
        <v>45490</v>
      </c>
      <c r="C2738" t="s">
        <v>32</v>
      </c>
      <c r="D2738" t="s">
        <v>20</v>
      </c>
      <c r="E2738">
        <v>1763.82</v>
      </c>
      <c r="F2738">
        <v>1</v>
      </c>
      <c r="G2738" t="s">
        <v>24</v>
      </c>
      <c r="H2738">
        <v>557.78</v>
      </c>
      <c r="I2738">
        <v>2099.79</v>
      </c>
      <c r="J2738" t="s">
        <v>17</v>
      </c>
      <c r="K2738">
        <v>0.16</v>
      </c>
      <c r="L2738" t="s">
        <v>25</v>
      </c>
      <c r="M2738" t="s">
        <v>19</v>
      </c>
    </row>
    <row r="2739" spans="1:13" x14ac:dyDescent="0.35">
      <c r="A2739">
        <v>1051</v>
      </c>
      <c r="B2739" s="1">
        <v>45490</v>
      </c>
      <c r="C2739" t="s">
        <v>29</v>
      </c>
      <c r="D2739" t="s">
        <v>30</v>
      </c>
      <c r="E2739">
        <v>67029.8</v>
      </c>
      <c r="F2739">
        <v>24</v>
      </c>
      <c r="G2739" t="s">
        <v>16</v>
      </c>
      <c r="H2739">
        <v>1656.57</v>
      </c>
      <c r="I2739">
        <v>3069.13</v>
      </c>
      <c r="J2739" t="s">
        <v>27</v>
      </c>
      <c r="K2739">
        <v>0.09</v>
      </c>
      <c r="L2739" t="s">
        <v>25</v>
      </c>
      <c r="M2739" t="s">
        <v>19</v>
      </c>
    </row>
    <row r="2740" spans="1:13" x14ac:dyDescent="0.35">
      <c r="A2740">
        <v>1069</v>
      </c>
      <c r="B2740" s="1">
        <v>45490</v>
      </c>
      <c r="C2740" t="s">
        <v>33</v>
      </c>
      <c r="D2740" t="s">
        <v>15</v>
      </c>
      <c r="E2740">
        <v>167588.49</v>
      </c>
      <c r="F2740">
        <v>43</v>
      </c>
      <c r="G2740" t="s">
        <v>24</v>
      </c>
      <c r="H2740">
        <v>546.75</v>
      </c>
      <c r="I2740">
        <v>4190.76</v>
      </c>
      <c r="J2740" t="s">
        <v>27</v>
      </c>
      <c r="K2740">
        <v>7.0000000000000007E-2</v>
      </c>
      <c r="L2740" t="s">
        <v>18</v>
      </c>
      <c r="M2740" t="s">
        <v>21</v>
      </c>
    </row>
    <row r="2741" spans="1:13" x14ac:dyDescent="0.35">
      <c r="A2741">
        <v>1052</v>
      </c>
      <c r="B2741" s="1">
        <v>45491</v>
      </c>
      <c r="C2741" t="s">
        <v>29</v>
      </c>
      <c r="D2741" t="s">
        <v>30</v>
      </c>
      <c r="E2741">
        <v>18696.169999999998</v>
      </c>
      <c r="F2741">
        <v>6</v>
      </c>
      <c r="G2741" t="s">
        <v>31</v>
      </c>
      <c r="H2741">
        <v>1990.47</v>
      </c>
      <c r="I2741">
        <v>3754.25</v>
      </c>
      <c r="J2741" t="s">
        <v>17</v>
      </c>
      <c r="K2741">
        <v>0.17</v>
      </c>
      <c r="L2741" t="s">
        <v>25</v>
      </c>
      <c r="M2741" t="s">
        <v>19</v>
      </c>
    </row>
    <row r="2742" spans="1:13" x14ac:dyDescent="0.35">
      <c r="A2742">
        <v>1008</v>
      </c>
      <c r="B2742" s="1">
        <v>45491</v>
      </c>
      <c r="C2742" t="s">
        <v>32</v>
      </c>
      <c r="D2742" t="s">
        <v>15</v>
      </c>
      <c r="E2742">
        <v>127835.73</v>
      </c>
      <c r="F2742">
        <v>33</v>
      </c>
      <c r="G2742" t="s">
        <v>24</v>
      </c>
      <c r="H2742">
        <v>311.56</v>
      </c>
      <c r="I2742">
        <v>3873.81</v>
      </c>
      <c r="J2742" t="s">
        <v>27</v>
      </c>
      <c r="K2742">
        <v>0</v>
      </c>
      <c r="L2742" t="s">
        <v>18</v>
      </c>
      <c r="M2742" t="s">
        <v>21</v>
      </c>
    </row>
    <row r="2743" spans="1:13" x14ac:dyDescent="0.35">
      <c r="A2743">
        <v>1020</v>
      </c>
      <c r="B2743" s="1">
        <v>45492</v>
      </c>
      <c r="C2743" t="s">
        <v>14</v>
      </c>
      <c r="D2743" t="s">
        <v>15</v>
      </c>
      <c r="E2743">
        <v>68158.73</v>
      </c>
      <c r="F2743">
        <v>30</v>
      </c>
      <c r="G2743" t="s">
        <v>31</v>
      </c>
      <c r="H2743">
        <v>2186.2600000000002</v>
      </c>
      <c r="I2743">
        <v>2770.68</v>
      </c>
      <c r="J2743" t="s">
        <v>17</v>
      </c>
      <c r="K2743">
        <v>0.18</v>
      </c>
      <c r="L2743" t="s">
        <v>18</v>
      </c>
      <c r="M2743" t="s">
        <v>21</v>
      </c>
    </row>
    <row r="2744" spans="1:13" x14ac:dyDescent="0.35">
      <c r="A2744">
        <v>1064</v>
      </c>
      <c r="B2744" s="1">
        <v>45492</v>
      </c>
      <c r="C2744" t="s">
        <v>33</v>
      </c>
      <c r="D2744" t="s">
        <v>20</v>
      </c>
      <c r="E2744">
        <v>90339.48</v>
      </c>
      <c r="F2744">
        <v>18</v>
      </c>
      <c r="G2744" t="s">
        <v>24</v>
      </c>
      <c r="H2744">
        <v>4174.09</v>
      </c>
      <c r="I2744">
        <v>5046.1099999999997</v>
      </c>
      <c r="J2744" t="s">
        <v>17</v>
      </c>
      <c r="K2744">
        <v>0.01</v>
      </c>
      <c r="L2744" t="s">
        <v>28</v>
      </c>
      <c r="M2744" t="s">
        <v>19</v>
      </c>
    </row>
    <row r="2745" spans="1:13" x14ac:dyDescent="0.35">
      <c r="A2745">
        <v>1074</v>
      </c>
      <c r="B2745" s="1">
        <v>45492</v>
      </c>
      <c r="C2745" t="s">
        <v>22</v>
      </c>
      <c r="D2745" t="s">
        <v>15</v>
      </c>
      <c r="E2745">
        <v>87110.14</v>
      </c>
      <c r="F2745">
        <v>36</v>
      </c>
      <c r="G2745" t="s">
        <v>26</v>
      </c>
      <c r="H2745">
        <v>500.59</v>
      </c>
      <c r="I2745">
        <v>2547.08</v>
      </c>
      <c r="J2745" t="s">
        <v>17</v>
      </c>
      <c r="K2745">
        <v>0.05</v>
      </c>
      <c r="L2745" t="s">
        <v>18</v>
      </c>
      <c r="M2745" t="s">
        <v>19</v>
      </c>
    </row>
    <row r="2746" spans="1:13" x14ac:dyDescent="0.35">
      <c r="A2746">
        <v>1046</v>
      </c>
      <c r="B2746" s="1">
        <v>45493</v>
      </c>
      <c r="C2746" t="s">
        <v>32</v>
      </c>
      <c r="D2746" t="s">
        <v>15</v>
      </c>
      <c r="E2746">
        <v>91153.27</v>
      </c>
      <c r="F2746">
        <v>25</v>
      </c>
      <c r="G2746" t="s">
        <v>31</v>
      </c>
      <c r="H2746">
        <v>3537.94</v>
      </c>
      <c r="I2746">
        <v>3674.38</v>
      </c>
      <c r="J2746" t="s">
        <v>27</v>
      </c>
      <c r="K2746">
        <v>0.01</v>
      </c>
      <c r="L2746" t="s">
        <v>25</v>
      </c>
      <c r="M2746" t="s">
        <v>19</v>
      </c>
    </row>
    <row r="2747" spans="1:13" x14ac:dyDescent="0.35">
      <c r="A2747">
        <v>1026</v>
      </c>
      <c r="B2747" s="1">
        <v>45493</v>
      </c>
      <c r="C2747" t="s">
        <v>14</v>
      </c>
      <c r="D2747" t="s">
        <v>15</v>
      </c>
      <c r="E2747">
        <v>115149.32</v>
      </c>
      <c r="F2747">
        <v>40</v>
      </c>
      <c r="G2747" t="s">
        <v>16</v>
      </c>
      <c r="H2747">
        <v>2175.9499999999998</v>
      </c>
      <c r="I2747">
        <v>3510.65</v>
      </c>
      <c r="J2747" t="s">
        <v>17</v>
      </c>
      <c r="K2747">
        <v>0.18</v>
      </c>
      <c r="L2747" t="s">
        <v>28</v>
      </c>
      <c r="M2747" t="s">
        <v>19</v>
      </c>
    </row>
    <row r="2748" spans="1:13" x14ac:dyDescent="0.35">
      <c r="A2748">
        <v>1093</v>
      </c>
      <c r="B2748" s="1">
        <v>45493</v>
      </c>
      <c r="C2748" t="s">
        <v>32</v>
      </c>
      <c r="D2748" t="s">
        <v>20</v>
      </c>
      <c r="E2748">
        <v>138301.97</v>
      </c>
      <c r="F2748">
        <v>39</v>
      </c>
      <c r="G2748" t="s">
        <v>26</v>
      </c>
      <c r="H2748">
        <v>2481.37</v>
      </c>
      <c r="I2748">
        <v>4378.03</v>
      </c>
      <c r="J2748" t="s">
        <v>27</v>
      </c>
      <c r="K2748">
        <v>0.19</v>
      </c>
      <c r="L2748" t="s">
        <v>25</v>
      </c>
      <c r="M2748" t="s">
        <v>21</v>
      </c>
    </row>
    <row r="2749" spans="1:13" x14ac:dyDescent="0.35">
      <c r="A2749">
        <v>1095</v>
      </c>
      <c r="B2749" s="1">
        <v>45493</v>
      </c>
      <c r="C2749" t="s">
        <v>32</v>
      </c>
      <c r="D2749" t="s">
        <v>20</v>
      </c>
      <c r="E2749">
        <v>95678.44</v>
      </c>
      <c r="F2749">
        <v>35</v>
      </c>
      <c r="G2749" t="s">
        <v>31</v>
      </c>
      <c r="H2749">
        <v>1122.27</v>
      </c>
      <c r="I2749">
        <v>2971.38</v>
      </c>
      <c r="J2749" t="s">
        <v>17</v>
      </c>
      <c r="K2749">
        <v>0.08</v>
      </c>
      <c r="L2749" t="s">
        <v>25</v>
      </c>
      <c r="M2749" t="s">
        <v>21</v>
      </c>
    </row>
    <row r="2750" spans="1:13" x14ac:dyDescent="0.35">
      <c r="A2750">
        <v>1057</v>
      </c>
      <c r="B2750" s="1">
        <v>45494</v>
      </c>
      <c r="C2750" t="s">
        <v>33</v>
      </c>
      <c r="D2750" t="s">
        <v>20</v>
      </c>
      <c r="E2750">
        <v>189521.75</v>
      </c>
      <c r="F2750">
        <v>47</v>
      </c>
      <c r="G2750" t="s">
        <v>16</v>
      </c>
      <c r="H2750">
        <v>1402.65</v>
      </c>
      <c r="I2750">
        <v>4335.8900000000003</v>
      </c>
      <c r="J2750" t="s">
        <v>17</v>
      </c>
      <c r="K2750">
        <v>7.0000000000000007E-2</v>
      </c>
      <c r="L2750" t="s">
        <v>28</v>
      </c>
      <c r="M2750" t="s">
        <v>19</v>
      </c>
    </row>
    <row r="2751" spans="1:13" x14ac:dyDescent="0.35">
      <c r="A2751">
        <v>1095</v>
      </c>
      <c r="B2751" s="1">
        <v>45495</v>
      </c>
      <c r="C2751" t="s">
        <v>22</v>
      </c>
      <c r="D2751" t="s">
        <v>15</v>
      </c>
      <c r="E2751">
        <v>37485.370000000003</v>
      </c>
      <c r="F2751">
        <v>16</v>
      </c>
      <c r="G2751" t="s">
        <v>31</v>
      </c>
      <c r="H2751">
        <v>2033.82</v>
      </c>
      <c r="I2751">
        <v>2419.15</v>
      </c>
      <c r="J2751" t="s">
        <v>27</v>
      </c>
      <c r="K2751">
        <v>0.03</v>
      </c>
      <c r="L2751" t="s">
        <v>25</v>
      </c>
      <c r="M2751" t="s">
        <v>21</v>
      </c>
    </row>
    <row r="2752" spans="1:13" x14ac:dyDescent="0.35">
      <c r="A2752">
        <v>1089</v>
      </c>
      <c r="B2752" s="1">
        <v>45495</v>
      </c>
      <c r="C2752" t="s">
        <v>33</v>
      </c>
      <c r="D2752" t="s">
        <v>15</v>
      </c>
      <c r="E2752">
        <v>44165.82</v>
      </c>
      <c r="F2752">
        <v>20</v>
      </c>
      <c r="G2752" t="s">
        <v>31</v>
      </c>
      <c r="H2752">
        <v>1589.82</v>
      </c>
      <c r="I2752">
        <v>2567.7800000000002</v>
      </c>
      <c r="J2752" t="s">
        <v>17</v>
      </c>
      <c r="K2752">
        <v>0.14000000000000001</v>
      </c>
      <c r="L2752" t="s">
        <v>18</v>
      </c>
      <c r="M2752" t="s">
        <v>19</v>
      </c>
    </row>
    <row r="2753" spans="1:13" x14ac:dyDescent="0.35">
      <c r="A2753">
        <v>1086</v>
      </c>
      <c r="B2753" s="1">
        <v>45495</v>
      </c>
      <c r="C2753" t="s">
        <v>14</v>
      </c>
      <c r="D2753" t="s">
        <v>23</v>
      </c>
      <c r="E2753">
        <v>30078.16</v>
      </c>
      <c r="F2753">
        <v>25</v>
      </c>
      <c r="G2753" t="s">
        <v>26</v>
      </c>
      <c r="H2753">
        <v>250.83</v>
      </c>
      <c r="I2753">
        <v>1227.68</v>
      </c>
      <c r="J2753" t="s">
        <v>27</v>
      </c>
      <c r="K2753">
        <v>0.02</v>
      </c>
      <c r="L2753" t="s">
        <v>28</v>
      </c>
      <c r="M2753" t="s">
        <v>21</v>
      </c>
    </row>
    <row r="2754" spans="1:13" x14ac:dyDescent="0.35">
      <c r="A2754">
        <v>1091</v>
      </c>
      <c r="B2754" s="1">
        <v>45495</v>
      </c>
      <c r="C2754" t="s">
        <v>33</v>
      </c>
      <c r="D2754" t="s">
        <v>30</v>
      </c>
      <c r="E2754">
        <v>149085.21</v>
      </c>
      <c r="F2754">
        <v>49</v>
      </c>
      <c r="G2754" t="s">
        <v>26</v>
      </c>
      <c r="H2754">
        <v>2475.3200000000002</v>
      </c>
      <c r="I2754">
        <v>3165.47</v>
      </c>
      <c r="J2754" t="s">
        <v>17</v>
      </c>
      <c r="K2754">
        <v>0.04</v>
      </c>
      <c r="L2754" t="s">
        <v>28</v>
      </c>
      <c r="M2754" t="s">
        <v>19</v>
      </c>
    </row>
    <row r="2755" spans="1:13" x14ac:dyDescent="0.35">
      <c r="A2755">
        <v>1088</v>
      </c>
      <c r="B2755" s="1">
        <v>45496</v>
      </c>
      <c r="C2755" t="s">
        <v>14</v>
      </c>
      <c r="D2755" t="s">
        <v>15</v>
      </c>
      <c r="E2755">
        <v>126081.42</v>
      </c>
      <c r="F2755">
        <v>24</v>
      </c>
      <c r="G2755" t="s">
        <v>24</v>
      </c>
      <c r="H2755">
        <v>4433.1899999999996</v>
      </c>
      <c r="I2755">
        <v>5256.19</v>
      </c>
      <c r="J2755" t="s">
        <v>27</v>
      </c>
      <c r="K2755">
        <v>0</v>
      </c>
      <c r="L2755" t="s">
        <v>28</v>
      </c>
      <c r="M2755" t="s">
        <v>21</v>
      </c>
    </row>
    <row r="2756" spans="1:13" x14ac:dyDescent="0.35">
      <c r="A2756">
        <v>1053</v>
      </c>
      <c r="B2756" s="1">
        <v>45496</v>
      </c>
      <c r="C2756" t="s">
        <v>22</v>
      </c>
      <c r="D2756" t="s">
        <v>15</v>
      </c>
      <c r="E2756">
        <v>125312.99</v>
      </c>
      <c r="F2756">
        <v>39</v>
      </c>
      <c r="G2756" t="s">
        <v>16</v>
      </c>
      <c r="H2756">
        <v>1530.15</v>
      </c>
      <c r="I2756">
        <v>3918.48</v>
      </c>
      <c r="J2756" t="s">
        <v>27</v>
      </c>
      <c r="K2756">
        <v>0.18</v>
      </c>
      <c r="L2756" t="s">
        <v>25</v>
      </c>
      <c r="M2756" t="s">
        <v>19</v>
      </c>
    </row>
    <row r="2757" spans="1:13" x14ac:dyDescent="0.35">
      <c r="A2757">
        <v>1030</v>
      </c>
      <c r="B2757" s="1">
        <v>45497</v>
      </c>
      <c r="C2757" t="s">
        <v>29</v>
      </c>
      <c r="D2757" t="s">
        <v>20</v>
      </c>
      <c r="E2757">
        <v>100431.11</v>
      </c>
      <c r="F2757">
        <v>25</v>
      </c>
      <c r="G2757" t="s">
        <v>24</v>
      </c>
      <c r="H2757">
        <v>3976.48</v>
      </c>
      <c r="I2757">
        <v>4726.17</v>
      </c>
      <c r="J2757" t="s">
        <v>27</v>
      </c>
      <c r="K2757">
        <v>0.15</v>
      </c>
      <c r="L2757" t="s">
        <v>25</v>
      </c>
      <c r="M2757" t="s">
        <v>21</v>
      </c>
    </row>
    <row r="2758" spans="1:13" x14ac:dyDescent="0.35">
      <c r="A2758">
        <v>1097</v>
      </c>
      <c r="B2758" s="1">
        <v>45497</v>
      </c>
      <c r="C2758" t="s">
        <v>14</v>
      </c>
      <c r="D2758" t="s">
        <v>23</v>
      </c>
      <c r="E2758">
        <v>40753.620000000003</v>
      </c>
      <c r="F2758">
        <v>13</v>
      </c>
      <c r="G2758" t="s">
        <v>31</v>
      </c>
      <c r="H2758">
        <v>1010.56</v>
      </c>
      <c r="I2758">
        <v>4478.42</v>
      </c>
      <c r="J2758" t="s">
        <v>17</v>
      </c>
      <c r="K2758">
        <v>0.3</v>
      </c>
      <c r="L2758" t="s">
        <v>18</v>
      </c>
      <c r="M2758" t="s">
        <v>21</v>
      </c>
    </row>
    <row r="2759" spans="1:13" x14ac:dyDescent="0.35">
      <c r="A2759">
        <v>1040</v>
      </c>
      <c r="B2759" s="1">
        <v>45498</v>
      </c>
      <c r="C2759" t="s">
        <v>14</v>
      </c>
      <c r="D2759" t="s">
        <v>15</v>
      </c>
      <c r="E2759">
        <v>30197.06</v>
      </c>
      <c r="F2759">
        <v>8</v>
      </c>
      <c r="G2759" t="s">
        <v>16</v>
      </c>
      <c r="H2759">
        <v>2691.21</v>
      </c>
      <c r="I2759">
        <v>4241.16</v>
      </c>
      <c r="J2759" t="s">
        <v>27</v>
      </c>
      <c r="K2759">
        <v>0.11</v>
      </c>
      <c r="L2759" t="s">
        <v>28</v>
      </c>
      <c r="M2759" t="s">
        <v>19</v>
      </c>
    </row>
    <row r="2760" spans="1:13" x14ac:dyDescent="0.35">
      <c r="A2760">
        <v>1021</v>
      </c>
      <c r="B2760" s="1">
        <v>45498</v>
      </c>
      <c r="C2760" t="s">
        <v>32</v>
      </c>
      <c r="D2760" t="s">
        <v>23</v>
      </c>
      <c r="E2760">
        <v>95117.8</v>
      </c>
      <c r="F2760">
        <v>40</v>
      </c>
      <c r="G2760" t="s">
        <v>16</v>
      </c>
      <c r="H2760">
        <v>2101.77</v>
      </c>
      <c r="I2760">
        <v>2556.9299999999998</v>
      </c>
      <c r="J2760" t="s">
        <v>17</v>
      </c>
      <c r="K2760">
        <v>7.0000000000000007E-2</v>
      </c>
      <c r="L2760" t="s">
        <v>25</v>
      </c>
      <c r="M2760" t="s">
        <v>21</v>
      </c>
    </row>
    <row r="2761" spans="1:13" x14ac:dyDescent="0.35">
      <c r="A2761">
        <v>1054</v>
      </c>
      <c r="B2761" s="1">
        <v>45498</v>
      </c>
      <c r="C2761" t="s">
        <v>32</v>
      </c>
      <c r="D2761" t="s">
        <v>23</v>
      </c>
      <c r="E2761">
        <v>39073.15</v>
      </c>
      <c r="F2761">
        <v>16</v>
      </c>
      <c r="G2761" t="s">
        <v>24</v>
      </c>
      <c r="H2761">
        <v>1598.53</v>
      </c>
      <c r="I2761">
        <v>3091.23</v>
      </c>
      <c r="J2761" t="s">
        <v>27</v>
      </c>
      <c r="K2761">
        <v>0.21</v>
      </c>
      <c r="L2761" t="s">
        <v>25</v>
      </c>
      <c r="M2761" t="s">
        <v>19</v>
      </c>
    </row>
    <row r="2762" spans="1:13" x14ac:dyDescent="0.35">
      <c r="A2762">
        <v>1068</v>
      </c>
      <c r="B2762" s="1">
        <v>45499</v>
      </c>
      <c r="C2762" t="s">
        <v>22</v>
      </c>
      <c r="D2762" t="s">
        <v>20</v>
      </c>
      <c r="E2762">
        <v>125810.33</v>
      </c>
      <c r="F2762">
        <v>26</v>
      </c>
      <c r="G2762" t="s">
        <v>26</v>
      </c>
      <c r="H2762">
        <v>3465.57</v>
      </c>
      <c r="I2762">
        <v>5436.92</v>
      </c>
      <c r="J2762" t="s">
        <v>27</v>
      </c>
      <c r="K2762">
        <v>0.11</v>
      </c>
      <c r="L2762" t="s">
        <v>25</v>
      </c>
      <c r="M2762" t="s">
        <v>21</v>
      </c>
    </row>
    <row r="2763" spans="1:13" x14ac:dyDescent="0.35">
      <c r="A2763">
        <v>1025</v>
      </c>
      <c r="B2763" s="1">
        <v>45499</v>
      </c>
      <c r="C2763" t="s">
        <v>32</v>
      </c>
      <c r="D2763" t="s">
        <v>23</v>
      </c>
      <c r="E2763">
        <v>52275.22</v>
      </c>
      <c r="F2763">
        <v>26</v>
      </c>
      <c r="G2763" t="s">
        <v>26</v>
      </c>
      <c r="H2763">
        <v>280.5</v>
      </c>
      <c r="I2763">
        <v>2337.89</v>
      </c>
      <c r="J2763" t="s">
        <v>17</v>
      </c>
      <c r="K2763">
        <v>0.14000000000000001</v>
      </c>
      <c r="L2763" t="s">
        <v>28</v>
      </c>
      <c r="M2763" t="s">
        <v>19</v>
      </c>
    </row>
    <row r="2764" spans="1:13" x14ac:dyDescent="0.35">
      <c r="A2764">
        <v>1071</v>
      </c>
      <c r="B2764" s="1">
        <v>45499</v>
      </c>
      <c r="C2764" t="s">
        <v>22</v>
      </c>
      <c r="D2764" t="s">
        <v>23</v>
      </c>
      <c r="E2764">
        <v>184372.14</v>
      </c>
      <c r="F2764">
        <v>44</v>
      </c>
      <c r="G2764" t="s">
        <v>16</v>
      </c>
      <c r="H2764">
        <v>2825.79</v>
      </c>
      <c r="I2764">
        <v>5173.18</v>
      </c>
      <c r="J2764" t="s">
        <v>17</v>
      </c>
      <c r="K2764">
        <v>0.19</v>
      </c>
      <c r="L2764" t="s">
        <v>18</v>
      </c>
      <c r="M2764" t="s">
        <v>19</v>
      </c>
    </row>
    <row r="2765" spans="1:13" x14ac:dyDescent="0.35">
      <c r="A2765">
        <v>1001</v>
      </c>
      <c r="B2765" s="1">
        <v>45499</v>
      </c>
      <c r="C2765" t="s">
        <v>14</v>
      </c>
      <c r="D2765" t="s">
        <v>15</v>
      </c>
      <c r="E2765">
        <v>134336.6</v>
      </c>
      <c r="F2765">
        <v>41</v>
      </c>
      <c r="G2765" t="s">
        <v>24</v>
      </c>
      <c r="H2765">
        <v>1449.5</v>
      </c>
      <c r="I2765">
        <v>4368.67</v>
      </c>
      <c r="J2765" t="s">
        <v>17</v>
      </c>
      <c r="K2765">
        <v>0.25</v>
      </c>
      <c r="L2765" t="s">
        <v>18</v>
      </c>
      <c r="M2765" t="s">
        <v>19</v>
      </c>
    </row>
    <row r="2766" spans="1:13" x14ac:dyDescent="0.35">
      <c r="A2766">
        <v>1076</v>
      </c>
      <c r="B2766" s="1">
        <v>45499</v>
      </c>
      <c r="C2766" t="s">
        <v>33</v>
      </c>
      <c r="D2766" t="s">
        <v>15</v>
      </c>
      <c r="E2766">
        <v>88003.55</v>
      </c>
      <c r="F2766">
        <v>20</v>
      </c>
      <c r="G2766" t="s">
        <v>31</v>
      </c>
      <c r="H2766">
        <v>301.77</v>
      </c>
      <c r="I2766">
        <v>4835.3599999999997</v>
      </c>
      <c r="J2766" t="s">
        <v>27</v>
      </c>
      <c r="K2766">
        <v>0.09</v>
      </c>
      <c r="L2766" t="s">
        <v>25</v>
      </c>
      <c r="M2766" t="s">
        <v>19</v>
      </c>
    </row>
    <row r="2767" spans="1:13" x14ac:dyDescent="0.35">
      <c r="A2767">
        <v>1022</v>
      </c>
      <c r="B2767" s="1">
        <v>45500</v>
      </c>
      <c r="C2767" t="s">
        <v>33</v>
      </c>
      <c r="D2767" t="s">
        <v>23</v>
      </c>
      <c r="E2767">
        <v>67551.960000000006</v>
      </c>
      <c r="F2767">
        <v>21</v>
      </c>
      <c r="G2767" t="s">
        <v>31</v>
      </c>
      <c r="H2767">
        <v>696.43</v>
      </c>
      <c r="I2767">
        <v>4020.95</v>
      </c>
      <c r="J2767" t="s">
        <v>27</v>
      </c>
      <c r="K2767">
        <v>0.2</v>
      </c>
      <c r="L2767" t="s">
        <v>18</v>
      </c>
      <c r="M2767" t="s">
        <v>21</v>
      </c>
    </row>
    <row r="2768" spans="1:13" x14ac:dyDescent="0.35">
      <c r="A2768">
        <v>1037</v>
      </c>
      <c r="B2768" s="1">
        <v>45501</v>
      </c>
      <c r="C2768" t="s">
        <v>33</v>
      </c>
      <c r="D2768" t="s">
        <v>15</v>
      </c>
      <c r="E2768">
        <v>144324.97</v>
      </c>
      <c r="F2768">
        <v>31</v>
      </c>
      <c r="G2768" t="s">
        <v>26</v>
      </c>
      <c r="H2768">
        <v>4640.04</v>
      </c>
      <c r="I2768">
        <v>4808.84</v>
      </c>
      <c r="J2768" t="s">
        <v>27</v>
      </c>
      <c r="K2768">
        <v>0.03</v>
      </c>
      <c r="L2768" t="s">
        <v>25</v>
      </c>
      <c r="M2768" t="s">
        <v>19</v>
      </c>
    </row>
    <row r="2769" spans="1:13" x14ac:dyDescent="0.35">
      <c r="A2769">
        <v>1001</v>
      </c>
      <c r="B2769" s="1">
        <v>45501</v>
      </c>
      <c r="C2769" t="s">
        <v>33</v>
      </c>
      <c r="D2769" t="s">
        <v>23</v>
      </c>
      <c r="E2769">
        <v>89366.78</v>
      </c>
      <c r="F2769">
        <v>37</v>
      </c>
      <c r="G2769" t="s">
        <v>16</v>
      </c>
      <c r="H2769">
        <v>2166.16</v>
      </c>
      <c r="I2769">
        <v>2504.5700000000002</v>
      </c>
      <c r="J2769" t="s">
        <v>27</v>
      </c>
      <c r="K2769">
        <v>0.04</v>
      </c>
      <c r="L2769" t="s">
        <v>25</v>
      </c>
      <c r="M2769" t="s">
        <v>21</v>
      </c>
    </row>
    <row r="2770" spans="1:13" x14ac:dyDescent="0.35">
      <c r="A2770">
        <v>1001</v>
      </c>
      <c r="B2770" s="1">
        <v>45501</v>
      </c>
      <c r="C2770" t="s">
        <v>22</v>
      </c>
      <c r="D2770" t="s">
        <v>30</v>
      </c>
      <c r="E2770">
        <v>95333.63</v>
      </c>
      <c r="F2770">
        <v>41</v>
      </c>
      <c r="G2770" t="s">
        <v>26</v>
      </c>
      <c r="H2770">
        <v>2096.16</v>
      </c>
      <c r="I2770">
        <v>2447.59</v>
      </c>
      <c r="J2770" t="s">
        <v>27</v>
      </c>
      <c r="K2770">
        <v>0.05</v>
      </c>
      <c r="L2770" t="s">
        <v>28</v>
      </c>
      <c r="M2770" t="s">
        <v>19</v>
      </c>
    </row>
    <row r="2771" spans="1:13" x14ac:dyDescent="0.35">
      <c r="A2771">
        <v>1002</v>
      </c>
      <c r="B2771" s="1">
        <v>45501</v>
      </c>
      <c r="C2771" t="s">
        <v>33</v>
      </c>
      <c r="D2771" t="s">
        <v>23</v>
      </c>
      <c r="E2771">
        <v>45080.29</v>
      </c>
      <c r="F2771">
        <v>16</v>
      </c>
      <c r="G2771" t="s">
        <v>31</v>
      </c>
      <c r="H2771">
        <v>1303.4100000000001</v>
      </c>
      <c r="I2771">
        <v>3913.22</v>
      </c>
      <c r="J2771" t="s">
        <v>27</v>
      </c>
      <c r="K2771">
        <v>0.28000000000000003</v>
      </c>
      <c r="L2771" t="s">
        <v>25</v>
      </c>
      <c r="M2771" t="s">
        <v>19</v>
      </c>
    </row>
    <row r="2772" spans="1:13" x14ac:dyDescent="0.35">
      <c r="A2772">
        <v>1002</v>
      </c>
      <c r="B2772" s="1">
        <v>45502</v>
      </c>
      <c r="C2772" t="s">
        <v>22</v>
      </c>
      <c r="D2772" t="s">
        <v>15</v>
      </c>
      <c r="E2772">
        <v>82990.52</v>
      </c>
      <c r="F2772">
        <v>31</v>
      </c>
      <c r="G2772" t="s">
        <v>26</v>
      </c>
      <c r="H2772">
        <v>1290.1099999999999</v>
      </c>
      <c r="I2772">
        <v>2788.66</v>
      </c>
      <c r="J2772" t="s">
        <v>17</v>
      </c>
      <c r="K2772">
        <v>0.04</v>
      </c>
      <c r="L2772" t="s">
        <v>18</v>
      </c>
      <c r="M2772" t="s">
        <v>21</v>
      </c>
    </row>
    <row r="2773" spans="1:13" x14ac:dyDescent="0.35">
      <c r="A2773">
        <v>1050</v>
      </c>
      <c r="B2773" s="1">
        <v>45502</v>
      </c>
      <c r="C2773" t="s">
        <v>32</v>
      </c>
      <c r="D2773" t="s">
        <v>20</v>
      </c>
      <c r="E2773">
        <v>154673.79</v>
      </c>
      <c r="F2773">
        <v>35</v>
      </c>
      <c r="G2773" t="s">
        <v>24</v>
      </c>
      <c r="H2773">
        <v>2343.1999999999998</v>
      </c>
      <c r="I2773">
        <v>4509.4399999999996</v>
      </c>
      <c r="J2773" t="s">
        <v>17</v>
      </c>
      <c r="K2773">
        <v>0.02</v>
      </c>
      <c r="L2773" t="s">
        <v>28</v>
      </c>
      <c r="M2773" t="s">
        <v>19</v>
      </c>
    </row>
    <row r="2774" spans="1:13" x14ac:dyDescent="0.35">
      <c r="A2774">
        <v>1012</v>
      </c>
      <c r="B2774" s="1">
        <v>45503</v>
      </c>
      <c r="C2774" t="s">
        <v>33</v>
      </c>
      <c r="D2774" t="s">
        <v>23</v>
      </c>
      <c r="E2774">
        <v>73571.399999999994</v>
      </c>
      <c r="F2774">
        <v>19</v>
      </c>
      <c r="G2774" t="s">
        <v>24</v>
      </c>
      <c r="H2774">
        <v>3308.99</v>
      </c>
      <c r="I2774">
        <v>3947.21</v>
      </c>
      <c r="J2774" t="s">
        <v>17</v>
      </c>
      <c r="K2774">
        <v>0.02</v>
      </c>
      <c r="L2774" t="s">
        <v>25</v>
      </c>
      <c r="M2774" t="s">
        <v>21</v>
      </c>
    </row>
    <row r="2775" spans="1:13" x14ac:dyDescent="0.35">
      <c r="A2775">
        <v>1028</v>
      </c>
      <c r="B2775" s="1">
        <v>45503</v>
      </c>
      <c r="C2775" t="s">
        <v>33</v>
      </c>
      <c r="D2775" t="s">
        <v>23</v>
      </c>
      <c r="E2775">
        <v>51635.15</v>
      </c>
      <c r="F2775">
        <v>31</v>
      </c>
      <c r="G2775" t="s">
        <v>26</v>
      </c>
      <c r="H2775">
        <v>1193.3800000000001</v>
      </c>
      <c r="I2775">
        <v>2379.5</v>
      </c>
      <c r="J2775" t="s">
        <v>17</v>
      </c>
      <c r="K2775">
        <v>0.3</v>
      </c>
      <c r="L2775" t="s">
        <v>18</v>
      </c>
      <c r="M2775" t="s">
        <v>19</v>
      </c>
    </row>
    <row r="2776" spans="1:13" x14ac:dyDescent="0.35">
      <c r="A2776">
        <v>1009</v>
      </c>
      <c r="B2776" s="1">
        <v>45503</v>
      </c>
      <c r="C2776" t="s">
        <v>33</v>
      </c>
      <c r="D2776" t="s">
        <v>15</v>
      </c>
      <c r="E2776">
        <v>157278.67000000001</v>
      </c>
      <c r="F2776">
        <v>36</v>
      </c>
      <c r="G2776" t="s">
        <v>24</v>
      </c>
      <c r="H2776">
        <v>1656.96</v>
      </c>
      <c r="I2776">
        <v>4854.28</v>
      </c>
      <c r="J2776" t="s">
        <v>27</v>
      </c>
      <c r="K2776">
        <v>0.1</v>
      </c>
      <c r="L2776" t="s">
        <v>25</v>
      </c>
      <c r="M2776" t="s">
        <v>19</v>
      </c>
    </row>
    <row r="2777" spans="1:13" x14ac:dyDescent="0.35">
      <c r="A2777">
        <v>1011</v>
      </c>
      <c r="B2777" s="1">
        <v>45504</v>
      </c>
      <c r="C2777" t="s">
        <v>22</v>
      </c>
      <c r="D2777" t="s">
        <v>20</v>
      </c>
      <c r="E2777">
        <v>156418.75</v>
      </c>
      <c r="F2777">
        <v>35</v>
      </c>
      <c r="G2777" t="s">
        <v>16</v>
      </c>
      <c r="H2777">
        <v>4012.2</v>
      </c>
      <c r="I2777">
        <v>4655.32</v>
      </c>
      <c r="J2777" t="s">
        <v>27</v>
      </c>
      <c r="K2777">
        <v>0.04</v>
      </c>
      <c r="L2777" t="s">
        <v>25</v>
      </c>
      <c r="M2777" t="s">
        <v>21</v>
      </c>
    </row>
    <row r="2778" spans="1:13" x14ac:dyDescent="0.35">
      <c r="A2778">
        <v>1084</v>
      </c>
      <c r="B2778" s="1">
        <v>45505</v>
      </c>
      <c r="C2778" t="s">
        <v>14</v>
      </c>
      <c r="D2778" t="s">
        <v>23</v>
      </c>
      <c r="E2778">
        <v>29080.68</v>
      </c>
      <c r="F2778">
        <v>26</v>
      </c>
      <c r="G2778" t="s">
        <v>26</v>
      </c>
      <c r="H2778">
        <v>855.72</v>
      </c>
      <c r="I2778">
        <v>1511.47</v>
      </c>
      <c r="J2778" t="s">
        <v>17</v>
      </c>
      <c r="K2778">
        <v>0.26</v>
      </c>
      <c r="L2778" t="s">
        <v>25</v>
      </c>
      <c r="M2778" t="s">
        <v>21</v>
      </c>
    </row>
    <row r="2779" spans="1:13" x14ac:dyDescent="0.35">
      <c r="A2779">
        <v>1015</v>
      </c>
      <c r="B2779" s="1">
        <v>45505</v>
      </c>
      <c r="C2779" t="s">
        <v>22</v>
      </c>
      <c r="D2779" t="s">
        <v>15</v>
      </c>
      <c r="E2779">
        <v>118634.88</v>
      </c>
      <c r="F2779">
        <v>40</v>
      </c>
      <c r="G2779" t="s">
        <v>24</v>
      </c>
      <c r="H2779">
        <v>2376.13</v>
      </c>
      <c r="I2779">
        <v>3802.4</v>
      </c>
      <c r="J2779" t="s">
        <v>27</v>
      </c>
      <c r="K2779">
        <v>0.22</v>
      </c>
      <c r="L2779" t="s">
        <v>25</v>
      </c>
      <c r="M2779" t="s">
        <v>19</v>
      </c>
    </row>
    <row r="2780" spans="1:13" x14ac:dyDescent="0.35">
      <c r="A2780">
        <v>1007</v>
      </c>
      <c r="B2780" s="1">
        <v>45506</v>
      </c>
      <c r="C2780" t="s">
        <v>32</v>
      </c>
      <c r="D2780" t="s">
        <v>20</v>
      </c>
      <c r="E2780">
        <v>15733.7</v>
      </c>
      <c r="F2780">
        <v>5</v>
      </c>
      <c r="G2780" t="s">
        <v>24</v>
      </c>
      <c r="H2780">
        <v>2561.9499999999998</v>
      </c>
      <c r="I2780">
        <v>3173.8</v>
      </c>
      <c r="J2780" t="s">
        <v>17</v>
      </c>
      <c r="K2780">
        <v>0.01</v>
      </c>
      <c r="L2780" t="s">
        <v>25</v>
      </c>
      <c r="M2780" t="s">
        <v>19</v>
      </c>
    </row>
    <row r="2781" spans="1:13" x14ac:dyDescent="0.35">
      <c r="A2781">
        <v>1072</v>
      </c>
      <c r="B2781" s="1">
        <v>45506</v>
      </c>
      <c r="C2781" t="s">
        <v>29</v>
      </c>
      <c r="D2781" t="s">
        <v>23</v>
      </c>
      <c r="E2781">
        <v>78962.61</v>
      </c>
      <c r="F2781">
        <v>35</v>
      </c>
      <c r="G2781" t="s">
        <v>24</v>
      </c>
      <c r="H2781">
        <v>2130.7800000000002</v>
      </c>
      <c r="I2781">
        <v>2314.41</v>
      </c>
      <c r="J2781" t="s">
        <v>27</v>
      </c>
      <c r="K2781">
        <v>0.03</v>
      </c>
      <c r="L2781" t="s">
        <v>18</v>
      </c>
      <c r="M2781" t="s">
        <v>19</v>
      </c>
    </row>
    <row r="2782" spans="1:13" x14ac:dyDescent="0.35">
      <c r="A2782">
        <v>1058</v>
      </c>
      <c r="B2782" s="1">
        <v>45506</v>
      </c>
      <c r="C2782" t="s">
        <v>22</v>
      </c>
      <c r="D2782" t="s">
        <v>30</v>
      </c>
      <c r="E2782">
        <v>78194.97</v>
      </c>
      <c r="F2782">
        <v>28</v>
      </c>
      <c r="G2782" t="s">
        <v>24</v>
      </c>
      <c r="H2782">
        <v>987.04</v>
      </c>
      <c r="I2782">
        <v>3723.57</v>
      </c>
      <c r="J2782" t="s">
        <v>17</v>
      </c>
      <c r="K2782">
        <v>0.25</v>
      </c>
      <c r="L2782" t="s">
        <v>28</v>
      </c>
      <c r="M2782" t="s">
        <v>19</v>
      </c>
    </row>
    <row r="2783" spans="1:13" x14ac:dyDescent="0.35">
      <c r="A2783">
        <v>1066</v>
      </c>
      <c r="B2783" s="1">
        <v>45506</v>
      </c>
      <c r="C2783" t="s">
        <v>14</v>
      </c>
      <c r="D2783" t="s">
        <v>15</v>
      </c>
      <c r="E2783">
        <v>70331.399999999994</v>
      </c>
      <c r="F2783">
        <v>44</v>
      </c>
      <c r="G2783" t="s">
        <v>31</v>
      </c>
      <c r="H2783">
        <v>121.71</v>
      </c>
      <c r="I2783">
        <v>1816.41</v>
      </c>
      <c r="J2783" t="s">
        <v>17</v>
      </c>
      <c r="K2783">
        <v>0.12</v>
      </c>
      <c r="L2783" t="s">
        <v>18</v>
      </c>
      <c r="M2783" t="s">
        <v>21</v>
      </c>
    </row>
    <row r="2784" spans="1:13" x14ac:dyDescent="0.35">
      <c r="A2784">
        <v>1045</v>
      </c>
      <c r="B2784" s="1">
        <v>45506</v>
      </c>
      <c r="C2784" t="s">
        <v>22</v>
      </c>
      <c r="D2784" t="s">
        <v>23</v>
      </c>
      <c r="E2784">
        <v>140763.99</v>
      </c>
      <c r="F2784">
        <v>45</v>
      </c>
      <c r="G2784" t="s">
        <v>26</v>
      </c>
      <c r="H2784">
        <v>1459.03</v>
      </c>
      <c r="I2784">
        <v>3437.46</v>
      </c>
      <c r="J2784" t="s">
        <v>17</v>
      </c>
      <c r="K2784">
        <v>0.09</v>
      </c>
      <c r="L2784" t="s">
        <v>18</v>
      </c>
      <c r="M2784" t="s">
        <v>21</v>
      </c>
    </row>
    <row r="2785" spans="1:13" x14ac:dyDescent="0.35">
      <c r="A2785">
        <v>1009</v>
      </c>
      <c r="B2785" s="1">
        <v>45507</v>
      </c>
      <c r="C2785" t="s">
        <v>33</v>
      </c>
      <c r="D2785" t="s">
        <v>30</v>
      </c>
      <c r="E2785">
        <v>31247.7</v>
      </c>
      <c r="F2785">
        <v>19</v>
      </c>
      <c r="G2785" t="s">
        <v>26</v>
      </c>
      <c r="H2785">
        <v>364.52</v>
      </c>
      <c r="I2785">
        <v>2055.77</v>
      </c>
      <c r="J2785" t="s">
        <v>27</v>
      </c>
      <c r="K2785">
        <v>0.2</v>
      </c>
      <c r="L2785" t="s">
        <v>18</v>
      </c>
      <c r="M2785" t="s">
        <v>19</v>
      </c>
    </row>
    <row r="2786" spans="1:13" x14ac:dyDescent="0.35">
      <c r="A2786">
        <v>1078</v>
      </c>
      <c r="B2786" s="1">
        <v>45508</v>
      </c>
      <c r="C2786" t="s">
        <v>22</v>
      </c>
      <c r="D2786" t="s">
        <v>15</v>
      </c>
      <c r="E2786">
        <v>13611.9</v>
      </c>
      <c r="F2786">
        <v>3</v>
      </c>
      <c r="G2786" t="s">
        <v>26</v>
      </c>
      <c r="H2786">
        <v>4444.88</v>
      </c>
      <c r="I2786">
        <v>4682.79</v>
      </c>
      <c r="J2786" t="s">
        <v>17</v>
      </c>
      <c r="K2786">
        <v>0.03</v>
      </c>
      <c r="L2786" t="s">
        <v>25</v>
      </c>
      <c r="M2786" t="s">
        <v>19</v>
      </c>
    </row>
    <row r="2787" spans="1:13" x14ac:dyDescent="0.35">
      <c r="A2787">
        <v>1055</v>
      </c>
      <c r="B2787" s="1">
        <v>45508</v>
      </c>
      <c r="C2787" t="s">
        <v>33</v>
      </c>
      <c r="D2787" t="s">
        <v>20</v>
      </c>
      <c r="E2787">
        <v>31368.67</v>
      </c>
      <c r="F2787">
        <v>24</v>
      </c>
      <c r="G2787" t="s">
        <v>16</v>
      </c>
      <c r="H2787">
        <v>1220.49</v>
      </c>
      <c r="I2787">
        <v>1519.8</v>
      </c>
      <c r="J2787" t="s">
        <v>17</v>
      </c>
      <c r="K2787">
        <v>0.14000000000000001</v>
      </c>
      <c r="L2787" t="s">
        <v>25</v>
      </c>
      <c r="M2787" t="s">
        <v>21</v>
      </c>
    </row>
    <row r="2788" spans="1:13" x14ac:dyDescent="0.35">
      <c r="A2788">
        <v>1091</v>
      </c>
      <c r="B2788" s="1">
        <v>45509</v>
      </c>
      <c r="C2788" t="s">
        <v>32</v>
      </c>
      <c r="D2788" t="s">
        <v>30</v>
      </c>
      <c r="E2788">
        <v>132117.44</v>
      </c>
      <c r="F2788">
        <v>34</v>
      </c>
      <c r="G2788" t="s">
        <v>24</v>
      </c>
      <c r="H2788">
        <v>1578.05</v>
      </c>
      <c r="I2788">
        <v>4415.6899999999996</v>
      </c>
      <c r="J2788" t="s">
        <v>17</v>
      </c>
      <c r="K2788">
        <v>0.12</v>
      </c>
      <c r="L2788" t="s">
        <v>25</v>
      </c>
      <c r="M2788" t="s">
        <v>21</v>
      </c>
    </row>
    <row r="2789" spans="1:13" x14ac:dyDescent="0.35">
      <c r="A2789">
        <v>1076</v>
      </c>
      <c r="B2789" s="1">
        <v>45510</v>
      </c>
      <c r="C2789" t="s">
        <v>29</v>
      </c>
      <c r="D2789" t="s">
        <v>23</v>
      </c>
      <c r="E2789">
        <v>162246.60999999999</v>
      </c>
      <c r="F2789">
        <v>41</v>
      </c>
      <c r="G2789" t="s">
        <v>31</v>
      </c>
      <c r="H2789">
        <v>2766.5</v>
      </c>
      <c r="I2789">
        <v>4165.51</v>
      </c>
      <c r="J2789" t="s">
        <v>27</v>
      </c>
      <c r="K2789">
        <v>0.05</v>
      </c>
      <c r="L2789" t="s">
        <v>28</v>
      </c>
      <c r="M2789" t="s">
        <v>21</v>
      </c>
    </row>
    <row r="2790" spans="1:13" x14ac:dyDescent="0.35">
      <c r="A2790">
        <v>1091</v>
      </c>
      <c r="B2790" s="1">
        <v>45510</v>
      </c>
      <c r="C2790" t="s">
        <v>14</v>
      </c>
      <c r="D2790" t="s">
        <v>15</v>
      </c>
      <c r="E2790">
        <v>151499.65</v>
      </c>
      <c r="F2790">
        <v>39</v>
      </c>
      <c r="G2790" t="s">
        <v>24</v>
      </c>
      <c r="H2790">
        <v>2182.63</v>
      </c>
      <c r="I2790">
        <v>4132.5600000000004</v>
      </c>
      <c r="J2790" t="s">
        <v>17</v>
      </c>
      <c r="K2790">
        <v>0.06</v>
      </c>
      <c r="L2790" t="s">
        <v>25</v>
      </c>
      <c r="M2790" t="s">
        <v>19</v>
      </c>
    </row>
    <row r="2791" spans="1:13" x14ac:dyDescent="0.35">
      <c r="A2791">
        <v>1092</v>
      </c>
      <c r="B2791" s="1">
        <v>45510</v>
      </c>
      <c r="C2791" t="s">
        <v>14</v>
      </c>
      <c r="D2791" t="s">
        <v>20</v>
      </c>
      <c r="E2791">
        <v>131997.76000000001</v>
      </c>
      <c r="F2791">
        <v>47</v>
      </c>
      <c r="G2791" t="s">
        <v>31</v>
      </c>
      <c r="H2791">
        <v>422.63</v>
      </c>
      <c r="I2791">
        <v>4012.09</v>
      </c>
      <c r="J2791" t="s">
        <v>27</v>
      </c>
      <c r="K2791">
        <v>0.3</v>
      </c>
      <c r="L2791" t="s">
        <v>18</v>
      </c>
      <c r="M2791" t="s">
        <v>21</v>
      </c>
    </row>
    <row r="2792" spans="1:13" x14ac:dyDescent="0.35">
      <c r="A2792">
        <v>1041</v>
      </c>
      <c r="B2792" s="1">
        <v>45511</v>
      </c>
      <c r="C2792" t="s">
        <v>29</v>
      </c>
      <c r="D2792" t="s">
        <v>20</v>
      </c>
      <c r="E2792">
        <v>3131.79</v>
      </c>
      <c r="F2792">
        <v>1</v>
      </c>
      <c r="G2792" t="s">
        <v>16</v>
      </c>
      <c r="H2792">
        <v>3109.56</v>
      </c>
      <c r="I2792">
        <v>3138.62</v>
      </c>
      <c r="J2792" t="s">
        <v>17</v>
      </c>
      <c r="K2792">
        <v>0</v>
      </c>
      <c r="L2792" t="s">
        <v>28</v>
      </c>
      <c r="M2792" t="s">
        <v>21</v>
      </c>
    </row>
    <row r="2793" spans="1:13" x14ac:dyDescent="0.35">
      <c r="A2793">
        <v>1007</v>
      </c>
      <c r="B2793" s="1">
        <v>45511</v>
      </c>
      <c r="C2793" t="s">
        <v>29</v>
      </c>
      <c r="D2793" t="s">
        <v>20</v>
      </c>
      <c r="E2793">
        <v>51748.35</v>
      </c>
      <c r="F2793">
        <v>34</v>
      </c>
      <c r="G2793" t="s">
        <v>16</v>
      </c>
      <c r="H2793">
        <v>1492.72</v>
      </c>
      <c r="I2793">
        <v>1522.28</v>
      </c>
      <c r="J2793" t="s">
        <v>27</v>
      </c>
      <c r="K2793">
        <v>0</v>
      </c>
      <c r="L2793" t="s">
        <v>28</v>
      </c>
      <c r="M2793" t="s">
        <v>21</v>
      </c>
    </row>
    <row r="2794" spans="1:13" x14ac:dyDescent="0.35">
      <c r="A2794">
        <v>1019</v>
      </c>
      <c r="B2794" s="1">
        <v>45512</v>
      </c>
      <c r="C2794" t="s">
        <v>22</v>
      </c>
      <c r="D2794" t="s">
        <v>20</v>
      </c>
      <c r="E2794">
        <v>61027.44</v>
      </c>
      <c r="F2794">
        <v>22</v>
      </c>
      <c r="G2794" t="s">
        <v>26</v>
      </c>
      <c r="H2794">
        <v>2440.14</v>
      </c>
      <c r="I2794">
        <v>3511.36</v>
      </c>
      <c r="J2794" t="s">
        <v>17</v>
      </c>
      <c r="K2794">
        <v>0.21</v>
      </c>
      <c r="L2794" t="s">
        <v>28</v>
      </c>
      <c r="M2794" t="s">
        <v>19</v>
      </c>
    </row>
    <row r="2795" spans="1:13" x14ac:dyDescent="0.35">
      <c r="A2795">
        <v>1001</v>
      </c>
      <c r="B2795" s="1">
        <v>45512</v>
      </c>
      <c r="C2795" t="s">
        <v>14</v>
      </c>
      <c r="D2795" t="s">
        <v>15</v>
      </c>
      <c r="E2795">
        <v>65049.03</v>
      </c>
      <c r="F2795">
        <v>17</v>
      </c>
      <c r="G2795" t="s">
        <v>24</v>
      </c>
      <c r="H2795">
        <v>3294.09</v>
      </c>
      <c r="I2795">
        <v>4204.8500000000004</v>
      </c>
      <c r="J2795" t="s">
        <v>17</v>
      </c>
      <c r="K2795">
        <v>0.09</v>
      </c>
      <c r="L2795" t="s">
        <v>18</v>
      </c>
      <c r="M2795" t="s">
        <v>19</v>
      </c>
    </row>
    <row r="2796" spans="1:13" x14ac:dyDescent="0.35">
      <c r="A2796">
        <v>1016</v>
      </c>
      <c r="B2796" s="1">
        <v>45512</v>
      </c>
      <c r="C2796" t="s">
        <v>32</v>
      </c>
      <c r="D2796" t="s">
        <v>23</v>
      </c>
      <c r="E2796">
        <v>48126.78</v>
      </c>
      <c r="F2796">
        <v>18</v>
      </c>
      <c r="G2796" t="s">
        <v>26</v>
      </c>
      <c r="H2796">
        <v>2158.66</v>
      </c>
      <c r="I2796">
        <v>2673.71</v>
      </c>
      <c r="J2796" t="s">
        <v>17</v>
      </c>
      <c r="K2796">
        <v>0</v>
      </c>
      <c r="L2796" t="s">
        <v>25</v>
      </c>
      <c r="M2796" t="s">
        <v>21</v>
      </c>
    </row>
    <row r="2797" spans="1:13" x14ac:dyDescent="0.35">
      <c r="A2797">
        <v>1063</v>
      </c>
      <c r="B2797" s="1">
        <v>45512</v>
      </c>
      <c r="C2797" t="s">
        <v>22</v>
      </c>
      <c r="D2797" t="s">
        <v>30</v>
      </c>
      <c r="E2797">
        <v>200284.37</v>
      </c>
      <c r="F2797">
        <v>46</v>
      </c>
      <c r="G2797" t="s">
        <v>31</v>
      </c>
      <c r="H2797">
        <v>3324.54</v>
      </c>
      <c r="I2797">
        <v>5442.51</v>
      </c>
      <c r="J2797" t="s">
        <v>27</v>
      </c>
      <c r="K2797">
        <v>0.2</v>
      </c>
      <c r="L2797" t="s">
        <v>25</v>
      </c>
      <c r="M2797" t="s">
        <v>19</v>
      </c>
    </row>
    <row r="2798" spans="1:13" x14ac:dyDescent="0.35">
      <c r="A2798">
        <v>1028</v>
      </c>
      <c r="B2798" s="1">
        <v>45513</v>
      </c>
      <c r="C2798" t="s">
        <v>32</v>
      </c>
      <c r="D2798" t="s">
        <v>15</v>
      </c>
      <c r="E2798">
        <v>19218.96</v>
      </c>
      <c r="F2798">
        <v>8</v>
      </c>
      <c r="G2798" t="s">
        <v>24</v>
      </c>
      <c r="H2798">
        <v>945.84</v>
      </c>
      <c r="I2798">
        <v>2929.72</v>
      </c>
      <c r="J2798" t="s">
        <v>17</v>
      </c>
      <c r="K2798">
        <v>0.18</v>
      </c>
      <c r="L2798" t="s">
        <v>18</v>
      </c>
      <c r="M2798" t="s">
        <v>21</v>
      </c>
    </row>
    <row r="2799" spans="1:13" x14ac:dyDescent="0.35">
      <c r="A2799">
        <v>1010</v>
      </c>
      <c r="B2799" s="1">
        <v>45513</v>
      </c>
      <c r="C2799" t="s">
        <v>14</v>
      </c>
      <c r="D2799" t="s">
        <v>15</v>
      </c>
      <c r="E2799">
        <v>133370.76999999999</v>
      </c>
      <c r="F2799">
        <v>30</v>
      </c>
      <c r="G2799" t="s">
        <v>16</v>
      </c>
      <c r="H2799">
        <v>3803.22</v>
      </c>
      <c r="I2799">
        <v>4495.83</v>
      </c>
      <c r="J2799" t="s">
        <v>17</v>
      </c>
      <c r="K2799">
        <v>0.01</v>
      </c>
      <c r="L2799" t="s">
        <v>28</v>
      </c>
      <c r="M2799" t="s">
        <v>19</v>
      </c>
    </row>
    <row r="2800" spans="1:13" x14ac:dyDescent="0.35">
      <c r="A2800">
        <v>1075</v>
      </c>
      <c r="B2800" s="1">
        <v>45514</v>
      </c>
      <c r="C2800" t="s">
        <v>14</v>
      </c>
      <c r="D2800" t="s">
        <v>20</v>
      </c>
      <c r="E2800">
        <v>112326.45</v>
      </c>
      <c r="F2800">
        <v>23</v>
      </c>
      <c r="G2800" t="s">
        <v>24</v>
      </c>
      <c r="H2800">
        <v>4086.48</v>
      </c>
      <c r="I2800">
        <v>4949.2</v>
      </c>
      <c r="J2800" t="s">
        <v>17</v>
      </c>
      <c r="K2800">
        <v>0.01</v>
      </c>
      <c r="L2800" t="s">
        <v>25</v>
      </c>
      <c r="M2800" t="s">
        <v>19</v>
      </c>
    </row>
    <row r="2801" spans="1:13" x14ac:dyDescent="0.35">
      <c r="A2801">
        <v>1021</v>
      </c>
      <c r="B2801" s="1">
        <v>45515</v>
      </c>
      <c r="C2801" t="s">
        <v>32</v>
      </c>
      <c r="D2801" t="s">
        <v>15</v>
      </c>
      <c r="E2801">
        <v>31635.06</v>
      </c>
      <c r="F2801">
        <v>26</v>
      </c>
      <c r="G2801" t="s">
        <v>16</v>
      </c>
      <c r="H2801">
        <v>1195.3599999999999</v>
      </c>
      <c r="I2801">
        <v>1738.19</v>
      </c>
      <c r="J2801" t="s">
        <v>17</v>
      </c>
      <c r="K2801">
        <v>0.3</v>
      </c>
      <c r="L2801" t="s">
        <v>18</v>
      </c>
      <c r="M2801" t="s">
        <v>21</v>
      </c>
    </row>
    <row r="2802" spans="1:13" x14ac:dyDescent="0.35">
      <c r="A2802">
        <v>1073</v>
      </c>
      <c r="B2802" s="1">
        <v>45516</v>
      </c>
      <c r="C2802" t="s">
        <v>32</v>
      </c>
      <c r="D2802" t="s">
        <v>20</v>
      </c>
      <c r="E2802">
        <v>80018.41</v>
      </c>
      <c r="F2802">
        <v>38</v>
      </c>
      <c r="G2802" t="s">
        <v>24</v>
      </c>
      <c r="H2802">
        <v>400.29</v>
      </c>
      <c r="I2802">
        <v>2477.35</v>
      </c>
      <c r="J2802" t="s">
        <v>27</v>
      </c>
      <c r="K2802">
        <v>0.15</v>
      </c>
      <c r="L2802" t="s">
        <v>28</v>
      </c>
      <c r="M2802" t="s">
        <v>19</v>
      </c>
    </row>
    <row r="2803" spans="1:13" x14ac:dyDescent="0.35">
      <c r="A2803">
        <v>1022</v>
      </c>
      <c r="B2803" s="1">
        <v>45516</v>
      </c>
      <c r="C2803" t="s">
        <v>32</v>
      </c>
      <c r="D2803" t="s">
        <v>15</v>
      </c>
      <c r="E2803">
        <v>124332.71</v>
      </c>
      <c r="F2803">
        <v>37</v>
      </c>
      <c r="G2803" t="s">
        <v>16</v>
      </c>
      <c r="H2803">
        <v>1340.94</v>
      </c>
      <c r="I2803">
        <v>4097.9799999999996</v>
      </c>
      <c r="J2803" t="s">
        <v>17</v>
      </c>
      <c r="K2803">
        <v>0.18</v>
      </c>
      <c r="L2803" t="s">
        <v>28</v>
      </c>
      <c r="M2803" t="s">
        <v>21</v>
      </c>
    </row>
    <row r="2804" spans="1:13" x14ac:dyDescent="0.35">
      <c r="A2804">
        <v>1087</v>
      </c>
      <c r="B2804" s="1">
        <v>45517</v>
      </c>
      <c r="C2804" t="s">
        <v>33</v>
      </c>
      <c r="D2804" t="s">
        <v>23</v>
      </c>
      <c r="E2804">
        <v>3024.67</v>
      </c>
      <c r="F2804">
        <v>1</v>
      </c>
      <c r="G2804" t="s">
        <v>31</v>
      </c>
      <c r="H2804">
        <v>2660.48</v>
      </c>
      <c r="I2804">
        <v>3183.85</v>
      </c>
      <c r="J2804" t="s">
        <v>17</v>
      </c>
      <c r="K2804">
        <v>0.05</v>
      </c>
      <c r="L2804" t="s">
        <v>25</v>
      </c>
      <c r="M2804" t="s">
        <v>19</v>
      </c>
    </row>
    <row r="2805" spans="1:13" x14ac:dyDescent="0.35">
      <c r="A2805">
        <v>1043</v>
      </c>
      <c r="B2805" s="1">
        <v>45517</v>
      </c>
      <c r="C2805" t="s">
        <v>14</v>
      </c>
      <c r="D2805" t="s">
        <v>15</v>
      </c>
      <c r="E2805">
        <v>53171.32</v>
      </c>
      <c r="F2805">
        <v>11</v>
      </c>
      <c r="G2805" t="s">
        <v>16</v>
      </c>
      <c r="H2805">
        <v>1383.55</v>
      </c>
      <c r="I2805">
        <v>5311.82</v>
      </c>
      <c r="J2805" t="s">
        <v>27</v>
      </c>
      <c r="K2805">
        <v>0.09</v>
      </c>
      <c r="L2805" t="s">
        <v>28</v>
      </c>
      <c r="M2805" t="s">
        <v>21</v>
      </c>
    </row>
    <row r="2806" spans="1:13" x14ac:dyDescent="0.35">
      <c r="A2806">
        <v>1071</v>
      </c>
      <c r="B2806" s="1">
        <v>45518</v>
      </c>
      <c r="C2806" t="s">
        <v>32</v>
      </c>
      <c r="D2806" t="s">
        <v>30</v>
      </c>
      <c r="E2806">
        <v>65178.720000000001</v>
      </c>
      <c r="F2806">
        <v>24</v>
      </c>
      <c r="G2806" t="s">
        <v>24</v>
      </c>
      <c r="H2806">
        <v>2622.9</v>
      </c>
      <c r="I2806">
        <v>2819.51</v>
      </c>
      <c r="J2806" t="s">
        <v>17</v>
      </c>
      <c r="K2806">
        <v>0.04</v>
      </c>
      <c r="L2806" t="s">
        <v>18</v>
      </c>
      <c r="M2806" t="s">
        <v>19</v>
      </c>
    </row>
    <row r="2807" spans="1:13" x14ac:dyDescent="0.35">
      <c r="A2807">
        <v>1075</v>
      </c>
      <c r="B2807" s="1">
        <v>45518</v>
      </c>
      <c r="C2807" t="s">
        <v>33</v>
      </c>
      <c r="D2807" t="s">
        <v>30</v>
      </c>
      <c r="E2807">
        <v>144033.39000000001</v>
      </c>
      <c r="F2807">
        <v>35</v>
      </c>
      <c r="G2807" t="s">
        <v>24</v>
      </c>
      <c r="H2807">
        <v>3774.51</v>
      </c>
      <c r="I2807">
        <v>4958.12</v>
      </c>
      <c r="J2807" t="s">
        <v>17</v>
      </c>
      <c r="K2807">
        <v>0.17</v>
      </c>
      <c r="L2807" t="s">
        <v>18</v>
      </c>
      <c r="M2807" t="s">
        <v>19</v>
      </c>
    </row>
    <row r="2808" spans="1:13" x14ac:dyDescent="0.35">
      <c r="A2808">
        <v>1005</v>
      </c>
      <c r="B2808" s="1">
        <v>45518</v>
      </c>
      <c r="C2808" t="s">
        <v>14</v>
      </c>
      <c r="D2808" t="s">
        <v>20</v>
      </c>
      <c r="E2808">
        <v>138166.20000000001</v>
      </c>
      <c r="F2808">
        <v>42</v>
      </c>
      <c r="G2808" t="s">
        <v>16</v>
      </c>
      <c r="H2808">
        <v>1057.75</v>
      </c>
      <c r="I2808">
        <v>3696.26</v>
      </c>
      <c r="J2808" t="s">
        <v>17</v>
      </c>
      <c r="K2808">
        <v>0.11</v>
      </c>
      <c r="L2808" t="s">
        <v>25</v>
      </c>
      <c r="M2808" t="s">
        <v>19</v>
      </c>
    </row>
    <row r="2809" spans="1:13" x14ac:dyDescent="0.35">
      <c r="A2809">
        <v>1060</v>
      </c>
      <c r="B2809" s="1">
        <v>45520</v>
      </c>
      <c r="C2809" t="s">
        <v>22</v>
      </c>
      <c r="D2809" t="s">
        <v>30</v>
      </c>
      <c r="E2809">
        <v>13112.39</v>
      </c>
      <c r="F2809">
        <v>4</v>
      </c>
      <c r="G2809" t="s">
        <v>31</v>
      </c>
      <c r="H2809">
        <v>2999.61</v>
      </c>
      <c r="I2809">
        <v>3811.74</v>
      </c>
      <c r="J2809" t="s">
        <v>27</v>
      </c>
      <c r="K2809">
        <v>0.14000000000000001</v>
      </c>
      <c r="L2809" t="s">
        <v>18</v>
      </c>
      <c r="M2809" t="s">
        <v>21</v>
      </c>
    </row>
    <row r="2810" spans="1:13" x14ac:dyDescent="0.35">
      <c r="A2810">
        <v>1016</v>
      </c>
      <c r="B2810" s="1">
        <v>45520</v>
      </c>
      <c r="C2810" t="s">
        <v>14</v>
      </c>
      <c r="D2810" t="s">
        <v>15</v>
      </c>
      <c r="E2810">
        <v>20877.150000000001</v>
      </c>
      <c r="F2810">
        <v>6</v>
      </c>
      <c r="G2810" t="s">
        <v>31</v>
      </c>
      <c r="H2810">
        <v>2656.36</v>
      </c>
      <c r="I2810">
        <v>3595.2</v>
      </c>
      <c r="J2810" t="s">
        <v>27</v>
      </c>
      <c r="K2810">
        <v>0.03</v>
      </c>
      <c r="L2810" t="s">
        <v>18</v>
      </c>
      <c r="M2810" t="s">
        <v>19</v>
      </c>
    </row>
    <row r="2811" spans="1:13" x14ac:dyDescent="0.35">
      <c r="A2811">
        <v>1003</v>
      </c>
      <c r="B2811" s="1">
        <v>45520</v>
      </c>
      <c r="C2811" t="s">
        <v>29</v>
      </c>
      <c r="D2811" t="s">
        <v>23</v>
      </c>
      <c r="E2811">
        <v>60487.69</v>
      </c>
      <c r="F2811">
        <v>14</v>
      </c>
      <c r="G2811" t="s">
        <v>16</v>
      </c>
      <c r="H2811">
        <v>3412.38</v>
      </c>
      <c r="I2811">
        <v>4800.6099999999997</v>
      </c>
      <c r="J2811" t="s">
        <v>17</v>
      </c>
      <c r="K2811">
        <v>0.1</v>
      </c>
      <c r="L2811" t="s">
        <v>28</v>
      </c>
      <c r="M2811" t="s">
        <v>19</v>
      </c>
    </row>
    <row r="2812" spans="1:13" x14ac:dyDescent="0.35">
      <c r="A2812">
        <v>1008</v>
      </c>
      <c r="B2812" s="1">
        <v>45520</v>
      </c>
      <c r="C2812" t="s">
        <v>29</v>
      </c>
      <c r="D2812" t="s">
        <v>15</v>
      </c>
      <c r="E2812">
        <v>123003.34</v>
      </c>
      <c r="F2812">
        <v>26</v>
      </c>
      <c r="G2812" t="s">
        <v>24</v>
      </c>
      <c r="H2812">
        <v>318.38</v>
      </c>
      <c r="I2812">
        <v>5032.87</v>
      </c>
      <c r="J2812" t="s">
        <v>27</v>
      </c>
      <c r="K2812">
        <v>0.06</v>
      </c>
      <c r="L2812" t="s">
        <v>25</v>
      </c>
      <c r="M2812" t="s">
        <v>21</v>
      </c>
    </row>
    <row r="2813" spans="1:13" x14ac:dyDescent="0.35">
      <c r="A2813">
        <v>1066</v>
      </c>
      <c r="B2813" s="1">
        <v>45521</v>
      </c>
      <c r="C2813" t="s">
        <v>22</v>
      </c>
      <c r="D2813" t="s">
        <v>15</v>
      </c>
      <c r="E2813">
        <v>21441.35</v>
      </c>
      <c r="F2813">
        <v>6</v>
      </c>
      <c r="G2813" t="s">
        <v>24</v>
      </c>
      <c r="H2813">
        <v>2911.92</v>
      </c>
      <c r="I2813">
        <v>4411.8</v>
      </c>
      <c r="J2813" t="s">
        <v>17</v>
      </c>
      <c r="K2813">
        <v>0.19</v>
      </c>
      <c r="L2813" t="s">
        <v>18</v>
      </c>
      <c r="M2813" t="s">
        <v>21</v>
      </c>
    </row>
    <row r="2814" spans="1:13" x14ac:dyDescent="0.35">
      <c r="A2814">
        <v>1062</v>
      </c>
      <c r="B2814" s="1">
        <v>45521</v>
      </c>
      <c r="C2814" t="s">
        <v>22</v>
      </c>
      <c r="D2814" t="s">
        <v>20</v>
      </c>
      <c r="E2814">
        <v>92324.06</v>
      </c>
      <c r="F2814">
        <v>40</v>
      </c>
      <c r="G2814" t="s">
        <v>24</v>
      </c>
      <c r="H2814">
        <v>2201.42</v>
      </c>
      <c r="I2814">
        <v>2427.42</v>
      </c>
      <c r="J2814" t="s">
        <v>27</v>
      </c>
      <c r="K2814">
        <v>0.05</v>
      </c>
      <c r="L2814" t="s">
        <v>25</v>
      </c>
      <c r="M2814" t="s">
        <v>21</v>
      </c>
    </row>
    <row r="2815" spans="1:13" x14ac:dyDescent="0.35">
      <c r="A2815">
        <v>1076</v>
      </c>
      <c r="B2815" s="1">
        <v>45521</v>
      </c>
      <c r="C2815" t="s">
        <v>22</v>
      </c>
      <c r="D2815" t="s">
        <v>15</v>
      </c>
      <c r="E2815">
        <v>69256.92</v>
      </c>
      <c r="F2815">
        <v>18</v>
      </c>
      <c r="G2815" t="s">
        <v>26</v>
      </c>
      <c r="H2815">
        <v>3203.67</v>
      </c>
      <c r="I2815">
        <v>5062.6400000000003</v>
      </c>
      <c r="J2815" t="s">
        <v>27</v>
      </c>
      <c r="K2815">
        <v>0.24</v>
      </c>
      <c r="L2815" t="s">
        <v>28</v>
      </c>
      <c r="M2815" t="s">
        <v>19</v>
      </c>
    </row>
    <row r="2816" spans="1:13" x14ac:dyDescent="0.35">
      <c r="A2816">
        <v>1001</v>
      </c>
      <c r="B2816" s="1">
        <v>45521</v>
      </c>
      <c r="C2816" t="s">
        <v>29</v>
      </c>
      <c r="D2816" t="s">
        <v>15</v>
      </c>
      <c r="E2816">
        <v>171595.58</v>
      </c>
      <c r="F2816">
        <v>48</v>
      </c>
      <c r="G2816" t="s">
        <v>31</v>
      </c>
      <c r="H2816">
        <v>1916.61</v>
      </c>
      <c r="I2816">
        <v>4525.2</v>
      </c>
      <c r="J2816" t="s">
        <v>17</v>
      </c>
      <c r="K2816">
        <v>0.21</v>
      </c>
      <c r="L2816" t="s">
        <v>18</v>
      </c>
      <c r="M2816" t="s">
        <v>19</v>
      </c>
    </row>
    <row r="2817" spans="1:13" x14ac:dyDescent="0.35">
      <c r="A2817">
        <v>1026</v>
      </c>
      <c r="B2817" s="1">
        <v>45523</v>
      </c>
      <c r="C2817" t="s">
        <v>32</v>
      </c>
      <c r="D2817" t="s">
        <v>30</v>
      </c>
      <c r="E2817">
        <v>2763.94</v>
      </c>
      <c r="F2817">
        <v>2</v>
      </c>
      <c r="G2817" t="s">
        <v>16</v>
      </c>
      <c r="H2817">
        <v>137</v>
      </c>
      <c r="I2817">
        <v>1485.99</v>
      </c>
      <c r="J2817" t="s">
        <v>27</v>
      </c>
      <c r="K2817">
        <v>7.0000000000000007E-2</v>
      </c>
      <c r="L2817" t="s">
        <v>25</v>
      </c>
      <c r="M2817" t="s">
        <v>21</v>
      </c>
    </row>
    <row r="2818" spans="1:13" x14ac:dyDescent="0.35">
      <c r="A2818">
        <v>1072</v>
      </c>
      <c r="B2818" s="1">
        <v>45523</v>
      </c>
      <c r="C2818" t="s">
        <v>33</v>
      </c>
      <c r="D2818" t="s">
        <v>20</v>
      </c>
      <c r="E2818">
        <v>42543.47</v>
      </c>
      <c r="F2818">
        <v>24</v>
      </c>
      <c r="G2818" t="s">
        <v>24</v>
      </c>
      <c r="H2818">
        <v>1627.29</v>
      </c>
      <c r="I2818">
        <v>1790.55</v>
      </c>
      <c r="J2818" t="s">
        <v>27</v>
      </c>
      <c r="K2818">
        <v>0.01</v>
      </c>
      <c r="L2818" t="s">
        <v>25</v>
      </c>
      <c r="M2818" t="s">
        <v>21</v>
      </c>
    </row>
    <row r="2819" spans="1:13" x14ac:dyDescent="0.35">
      <c r="A2819">
        <v>1056</v>
      </c>
      <c r="B2819" s="1">
        <v>45523</v>
      </c>
      <c r="C2819" t="s">
        <v>32</v>
      </c>
      <c r="D2819" t="s">
        <v>15</v>
      </c>
      <c r="E2819">
        <v>53259.19</v>
      </c>
      <c r="F2819">
        <v>14</v>
      </c>
      <c r="G2819" t="s">
        <v>31</v>
      </c>
      <c r="H2819">
        <v>3470.63</v>
      </c>
      <c r="I2819">
        <v>4135.03</v>
      </c>
      <c r="J2819" t="s">
        <v>27</v>
      </c>
      <c r="K2819">
        <v>0.08</v>
      </c>
      <c r="L2819" t="s">
        <v>25</v>
      </c>
      <c r="M2819" t="s">
        <v>19</v>
      </c>
    </row>
    <row r="2820" spans="1:13" x14ac:dyDescent="0.35">
      <c r="A2820">
        <v>1029</v>
      </c>
      <c r="B2820" s="1">
        <v>45523</v>
      </c>
      <c r="C2820" t="s">
        <v>22</v>
      </c>
      <c r="D2820" t="s">
        <v>30</v>
      </c>
      <c r="E2820">
        <v>24677.63</v>
      </c>
      <c r="F2820">
        <v>6</v>
      </c>
      <c r="G2820" t="s">
        <v>16</v>
      </c>
      <c r="H2820">
        <v>563.75</v>
      </c>
      <c r="I2820">
        <v>4838.75</v>
      </c>
      <c r="J2820" t="s">
        <v>27</v>
      </c>
      <c r="K2820">
        <v>0.15</v>
      </c>
      <c r="L2820" t="s">
        <v>18</v>
      </c>
      <c r="M2820" t="s">
        <v>19</v>
      </c>
    </row>
    <row r="2821" spans="1:13" x14ac:dyDescent="0.35">
      <c r="A2821">
        <v>1018</v>
      </c>
      <c r="B2821" s="1">
        <v>45523</v>
      </c>
      <c r="C2821" t="s">
        <v>29</v>
      </c>
      <c r="D2821" t="s">
        <v>20</v>
      </c>
      <c r="E2821">
        <v>70440.58</v>
      </c>
      <c r="F2821">
        <v>43</v>
      </c>
      <c r="G2821" t="s">
        <v>16</v>
      </c>
      <c r="H2821">
        <v>1121.8599999999999</v>
      </c>
      <c r="I2821">
        <v>1654.7</v>
      </c>
      <c r="J2821" t="s">
        <v>17</v>
      </c>
      <c r="K2821">
        <v>0.01</v>
      </c>
      <c r="L2821" t="s">
        <v>25</v>
      </c>
      <c r="M2821" t="s">
        <v>19</v>
      </c>
    </row>
    <row r="2822" spans="1:13" x14ac:dyDescent="0.35">
      <c r="A2822">
        <v>1048</v>
      </c>
      <c r="B2822" s="1">
        <v>45523</v>
      </c>
      <c r="C2822" t="s">
        <v>14</v>
      </c>
      <c r="D2822" t="s">
        <v>15</v>
      </c>
      <c r="E2822">
        <v>103137.96</v>
      </c>
      <c r="F2822">
        <v>26</v>
      </c>
      <c r="G2822" t="s">
        <v>16</v>
      </c>
      <c r="H2822">
        <v>2835.93</v>
      </c>
      <c r="I2822">
        <v>4612.6099999999997</v>
      </c>
      <c r="J2822" t="s">
        <v>17</v>
      </c>
      <c r="K2822">
        <v>0.14000000000000001</v>
      </c>
      <c r="L2822" t="s">
        <v>18</v>
      </c>
      <c r="M2822" t="s">
        <v>19</v>
      </c>
    </row>
    <row r="2823" spans="1:13" x14ac:dyDescent="0.35">
      <c r="A2823">
        <v>1012</v>
      </c>
      <c r="B2823" s="1">
        <v>45523</v>
      </c>
      <c r="C2823" t="s">
        <v>22</v>
      </c>
      <c r="D2823" t="s">
        <v>23</v>
      </c>
      <c r="E2823">
        <v>181686.49</v>
      </c>
      <c r="F2823">
        <v>39</v>
      </c>
      <c r="G2823" t="s">
        <v>26</v>
      </c>
      <c r="H2823">
        <v>3715.45</v>
      </c>
      <c r="I2823">
        <v>4717.1400000000003</v>
      </c>
      <c r="J2823" t="s">
        <v>17</v>
      </c>
      <c r="K2823">
        <v>0.01</v>
      </c>
      <c r="L2823" t="s">
        <v>25</v>
      </c>
      <c r="M2823" t="s">
        <v>19</v>
      </c>
    </row>
    <row r="2824" spans="1:13" x14ac:dyDescent="0.35">
      <c r="A2824">
        <v>1002</v>
      </c>
      <c r="B2824" s="1">
        <v>45523</v>
      </c>
      <c r="C2824" t="s">
        <v>32</v>
      </c>
      <c r="D2824" t="s">
        <v>20</v>
      </c>
      <c r="E2824">
        <v>71487.42</v>
      </c>
      <c r="F2824">
        <v>22</v>
      </c>
      <c r="G2824" t="s">
        <v>26</v>
      </c>
      <c r="H2824">
        <v>1246.77</v>
      </c>
      <c r="I2824">
        <v>4113.2</v>
      </c>
      <c r="J2824" t="s">
        <v>17</v>
      </c>
      <c r="K2824">
        <v>0.21</v>
      </c>
      <c r="L2824" t="s">
        <v>25</v>
      </c>
      <c r="M2824" t="s">
        <v>21</v>
      </c>
    </row>
    <row r="2825" spans="1:13" x14ac:dyDescent="0.35">
      <c r="A2825">
        <v>1075</v>
      </c>
      <c r="B2825" s="1">
        <v>45524</v>
      </c>
      <c r="C2825" t="s">
        <v>33</v>
      </c>
      <c r="D2825" t="s">
        <v>20</v>
      </c>
      <c r="E2825">
        <v>51670.83</v>
      </c>
      <c r="F2825">
        <v>35</v>
      </c>
      <c r="G2825" t="s">
        <v>24</v>
      </c>
      <c r="H2825">
        <v>1444.23</v>
      </c>
      <c r="I2825">
        <v>1554.01</v>
      </c>
      <c r="J2825" t="s">
        <v>27</v>
      </c>
      <c r="K2825">
        <v>0.05</v>
      </c>
      <c r="L2825" t="s">
        <v>18</v>
      </c>
      <c r="M2825" t="s">
        <v>21</v>
      </c>
    </row>
    <row r="2826" spans="1:13" x14ac:dyDescent="0.35">
      <c r="A2826">
        <v>1062</v>
      </c>
      <c r="B2826" s="1">
        <v>45524</v>
      </c>
      <c r="C2826" t="s">
        <v>32</v>
      </c>
      <c r="D2826" t="s">
        <v>15</v>
      </c>
      <c r="E2826">
        <v>71638.559999999998</v>
      </c>
      <c r="F2826">
        <v>17</v>
      </c>
      <c r="G2826" t="s">
        <v>31</v>
      </c>
      <c r="H2826">
        <v>1997.73</v>
      </c>
      <c r="I2826">
        <v>5202.51</v>
      </c>
      <c r="J2826" t="s">
        <v>27</v>
      </c>
      <c r="K2826">
        <v>0.19</v>
      </c>
      <c r="L2826" t="s">
        <v>18</v>
      </c>
      <c r="M2826" t="s">
        <v>21</v>
      </c>
    </row>
    <row r="2827" spans="1:13" x14ac:dyDescent="0.35">
      <c r="A2827">
        <v>1059</v>
      </c>
      <c r="B2827" s="1">
        <v>45525</v>
      </c>
      <c r="C2827" t="s">
        <v>29</v>
      </c>
      <c r="D2827" t="s">
        <v>30</v>
      </c>
      <c r="E2827">
        <v>21649.02</v>
      </c>
      <c r="F2827">
        <v>8</v>
      </c>
      <c r="G2827" t="s">
        <v>26</v>
      </c>
      <c r="H2827">
        <v>1659.18</v>
      </c>
      <c r="I2827">
        <v>3758.51</v>
      </c>
      <c r="J2827" t="s">
        <v>27</v>
      </c>
      <c r="K2827">
        <v>0.28000000000000003</v>
      </c>
      <c r="L2827" t="s">
        <v>28</v>
      </c>
      <c r="M2827" t="s">
        <v>19</v>
      </c>
    </row>
    <row r="2828" spans="1:13" x14ac:dyDescent="0.35">
      <c r="A2828">
        <v>1029</v>
      </c>
      <c r="B2828" s="1">
        <v>45525</v>
      </c>
      <c r="C2828" t="s">
        <v>33</v>
      </c>
      <c r="D2828" t="s">
        <v>20</v>
      </c>
      <c r="E2828">
        <v>146641.23000000001</v>
      </c>
      <c r="F2828">
        <v>32</v>
      </c>
      <c r="G2828" t="s">
        <v>24</v>
      </c>
      <c r="H2828">
        <v>4002.92</v>
      </c>
      <c r="I2828">
        <v>5207.43</v>
      </c>
      <c r="J2828" t="s">
        <v>17</v>
      </c>
      <c r="K2828">
        <v>0.12</v>
      </c>
      <c r="L2828" t="s">
        <v>25</v>
      </c>
      <c r="M2828" t="s">
        <v>21</v>
      </c>
    </row>
    <row r="2829" spans="1:13" x14ac:dyDescent="0.35">
      <c r="A2829">
        <v>1020</v>
      </c>
      <c r="B2829" s="1">
        <v>45525</v>
      </c>
      <c r="C2829" t="s">
        <v>32</v>
      </c>
      <c r="D2829" t="s">
        <v>20</v>
      </c>
      <c r="E2829">
        <v>58420.92</v>
      </c>
      <c r="F2829">
        <v>14</v>
      </c>
      <c r="G2829" t="s">
        <v>26</v>
      </c>
      <c r="H2829">
        <v>2221.5500000000002</v>
      </c>
      <c r="I2829">
        <v>4392.55</v>
      </c>
      <c r="J2829" t="s">
        <v>17</v>
      </c>
      <c r="K2829">
        <v>0.05</v>
      </c>
      <c r="L2829" t="s">
        <v>18</v>
      </c>
      <c r="M2829" t="s">
        <v>21</v>
      </c>
    </row>
    <row r="2830" spans="1:13" x14ac:dyDescent="0.35">
      <c r="A2830">
        <v>1077</v>
      </c>
      <c r="B2830" s="1">
        <v>45525</v>
      </c>
      <c r="C2830" t="s">
        <v>14</v>
      </c>
      <c r="D2830" t="s">
        <v>23</v>
      </c>
      <c r="E2830">
        <v>145410.62</v>
      </c>
      <c r="F2830">
        <v>37</v>
      </c>
      <c r="G2830" t="s">
        <v>24</v>
      </c>
      <c r="H2830">
        <v>1391.47</v>
      </c>
      <c r="I2830">
        <v>4734.96</v>
      </c>
      <c r="J2830" t="s">
        <v>17</v>
      </c>
      <c r="K2830">
        <v>0.17</v>
      </c>
      <c r="L2830" t="s">
        <v>25</v>
      </c>
      <c r="M2830" t="s">
        <v>19</v>
      </c>
    </row>
    <row r="2831" spans="1:13" x14ac:dyDescent="0.35">
      <c r="A2831">
        <v>1098</v>
      </c>
      <c r="B2831" s="1">
        <v>45526</v>
      </c>
      <c r="C2831" t="s">
        <v>32</v>
      </c>
      <c r="D2831" t="s">
        <v>30</v>
      </c>
      <c r="E2831">
        <v>9291.9699999999993</v>
      </c>
      <c r="F2831">
        <v>47</v>
      </c>
      <c r="G2831" t="s">
        <v>31</v>
      </c>
      <c r="H2831">
        <v>181.59</v>
      </c>
      <c r="I2831">
        <v>232.59</v>
      </c>
      <c r="J2831" t="s">
        <v>17</v>
      </c>
      <c r="K2831">
        <v>0.15</v>
      </c>
      <c r="L2831" t="s">
        <v>25</v>
      </c>
      <c r="M2831" t="s">
        <v>21</v>
      </c>
    </row>
    <row r="2832" spans="1:13" x14ac:dyDescent="0.35">
      <c r="A2832">
        <v>1085</v>
      </c>
      <c r="B2832" s="1">
        <v>45526</v>
      </c>
      <c r="C2832" t="s">
        <v>14</v>
      </c>
      <c r="D2832" t="s">
        <v>20</v>
      </c>
      <c r="E2832">
        <v>36842.46</v>
      </c>
      <c r="F2832">
        <v>8</v>
      </c>
      <c r="G2832" t="s">
        <v>26</v>
      </c>
      <c r="H2832">
        <v>878.84</v>
      </c>
      <c r="I2832">
        <v>4747.74</v>
      </c>
      <c r="J2832" t="s">
        <v>27</v>
      </c>
      <c r="K2832">
        <v>0.03</v>
      </c>
      <c r="L2832" t="s">
        <v>25</v>
      </c>
      <c r="M2832" t="s">
        <v>21</v>
      </c>
    </row>
    <row r="2833" spans="1:13" x14ac:dyDescent="0.35">
      <c r="A2833">
        <v>1079</v>
      </c>
      <c r="B2833" s="1">
        <v>45527</v>
      </c>
      <c r="C2833" t="s">
        <v>29</v>
      </c>
      <c r="D2833" t="s">
        <v>30</v>
      </c>
      <c r="E2833">
        <v>85208.45</v>
      </c>
      <c r="F2833">
        <v>29</v>
      </c>
      <c r="G2833" t="s">
        <v>31</v>
      </c>
      <c r="H2833">
        <v>1549.42</v>
      </c>
      <c r="I2833">
        <v>3917.63</v>
      </c>
      <c r="J2833" t="s">
        <v>17</v>
      </c>
      <c r="K2833">
        <v>0.25</v>
      </c>
      <c r="L2833" t="s">
        <v>18</v>
      </c>
      <c r="M2833" t="s">
        <v>19</v>
      </c>
    </row>
    <row r="2834" spans="1:13" x14ac:dyDescent="0.35">
      <c r="A2834">
        <v>1097</v>
      </c>
      <c r="B2834" s="1">
        <v>45527</v>
      </c>
      <c r="C2834" t="s">
        <v>33</v>
      </c>
      <c r="D2834" t="s">
        <v>23</v>
      </c>
      <c r="E2834">
        <v>123784.25</v>
      </c>
      <c r="F2834">
        <v>43</v>
      </c>
      <c r="G2834" t="s">
        <v>31</v>
      </c>
      <c r="H2834">
        <v>621.66999999999996</v>
      </c>
      <c r="I2834">
        <v>3386.71</v>
      </c>
      <c r="J2834" t="s">
        <v>17</v>
      </c>
      <c r="K2834">
        <v>0.15</v>
      </c>
      <c r="L2834" t="s">
        <v>18</v>
      </c>
      <c r="M2834" t="s">
        <v>19</v>
      </c>
    </row>
    <row r="2835" spans="1:13" x14ac:dyDescent="0.35">
      <c r="A2835">
        <v>1012</v>
      </c>
      <c r="B2835" s="1">
        <v>45528</v>
      </c>
      <c r="C2835" t="s">
        <v>14</v>
      </c>
      <c r="D2835" t="s">
        <v>30</v>
      </c>
      <c r="E2835">
        <v>6355.82</v>
      </c>
      <c r="F2835">
        <v>2</v>
      </c>
      <c r="G2835" t="s">
        <v>24</v>
      </c>
      <c r="H2835">
        <v>3143.99</v>
      </c>
      <c r="I2835">
        <v>3218.76</v>
      </c>
      <c r="J2835" t="s">
        <v>17</v>
      </c>
      <c r="K2835">
        <v>0.01</v>
      </c>
      <c r="L2835" t="s">
        <v>25</v>
      </c>
      <c r="M2835" t="s">
        <v>21</v>
      </c>
    </row>
    <row r="2836" spans="1:13" x14ac:dyDescent="0.35">
      <c r="A2836">
        <v>1005</v>
      </c>
      <c r="B2836" s="1">
        <v>45528</v>
      </c>
      <c r="C2836" t="s">
        <v>22</v>
      </c>
      <c r="D2836" t="s">
        <v>30</v>
      </c>
      <c r="E2836">
        <v>26118.38</v>
      </c>
      <c r="F2836">
        <v>15</v>
      </c>
      <c r="G2836" t="s">
        <v>26</v>
      </c>
      <c r="H2836">
        <v>1712.12</v>
      </c>
      <c r="I2836">
        <v>2452.4299999999998</v>
      </c>
      <c r="J2836" t="s">
        <v>27</v>
      </c>
      <c r="K2836">
        <v>0.28999999999999998</v>
      </c>
      <c r="L2836" t="s">
        <v>28</v>
      </c>
      <c r="M2836" t="s">
        <v>21</v>
      </c>
    </row>
    <row r="2837" spans="1:13" x14ac:dyDescent="0.35">
      <c r="A2837">
        <v>1015</v>
      </c>
      <c r="B2837" s="1">
        <v>45528</v>
      </c>
      <c r="C2837" t="s">
        <v>33</v>
      </c>
      <c r="D2837" t="s">
        <v>20</v>
      </c>
      <c r="E2837">
        <v>51380.9</v>
      </c>
      <c r="F2837">
        <v>13</v>
      </c>
      <c r="G2837" t="s">
        <v>26</v>
      </c>
      <c r="H2837">
        <v>874.38</v>
      </c>
      <c r="I2837">
        <v>5341.05</v>
      </c>
      <c r="J2837" t="s">
        <v>27</v>
      </c>
      <c r="K2837">
        <v>0.26</v>
      </c>
      <c r="L2837" t="s">
        <v>28</v>
      </c>
      <c r="M2837" t="s">
        <v>21</v>
      </c>
    </row>
    <row r="2838" spans="1:13" x14ac:dyDescent="0.35">
      <c r="A2838">
        <v>1014</v>
      </c>
      <c r="B2838" s="1">
        <v>45528</v>
      </c>
      <c r="C2838" t="s">
        <v>22</v>
      </c>
      <c r="D2838" t="s">
        <v>23</v>
      </c>
      <c r="E2838">
        <v>197904.29</v>
      </c>
      <c r="F2838">
        <v>47</v>
      </c>
      <c r="G2838" t="s">
        <v>31</v>
      </c>
      <c r="H2838">
        <v>2980.36</v>
      </c>
      <c r="I2838">
        <v>4784.92</v>
      </c>
      <c r="J2838" t="s">
        <v>27</v>
      </c>
      <c r="K2838">
        <v>0.12</v>
      </c>
      <c r="L2838" t="s">
        <v>28</v>
      </c>
      <c r="M2838" t="s">
        <v>21</v>
      </c>
    </row>
    <row r="2839" spans="1:13" x14ac:dyDescent="0.35">
      <c r="A2839">
        <v>1064</v>
      </c>
      <c r="B2839" s="1">
        <v>45529</v>
      </c>
      <c r="C2839" t="s">
        <v>33</v>
      </c>
      <c r="D2839" t="s">
        <v>23</v>
      </c>
      <c r="E2839">
        <v>25341.95</v>
      </c>
      <c r="F2839">
        <v>23</v>
      </c>
      <c r="G2839" t="s">
        <v>24</v>
      </c>
      <c r="H2839">
        <v>862.32</v>
      </c>
      <c r="I2839">
        <v>1377.28</v>
      </c>
      <c r="J2839" t="s">
        <v>27</v>
      </c>
      <c r="K2839">
        <v>0.2</v>
      </c>
      <c r="L2839" t="s">
        <v>18</v>
      </c>
      <c r="M2839" t="s">
        <v>21</v>
      </c>
    </row>
    <row r="2840" spans="1:13" x14ac:dyDescent="0.35">
      <c r="A2840">
        <v>1024</v>
      </c>
      <c r="B2840" s="1">
        <v>45529</v>
      </c>
      <c r="C2840" t="s">
        <v>33</v>
      </c>
      <c r="D2840" t="s">
        <v>30</v>
      </c>
      <c r="E2840">
        <v>123856.24</v>
      </c>
      <c r="F2840">
        <v>29</v>
      </c>
      <c r="G2840" t="s">
        <v>31</v>
      </c>
      <c r="H2840">
        <v>3613.21</v>
      </c>
      <c r="I2840">
        <v>4309.74</v>
      </c>
      <c r="J2840" t="s">
        <v>17</v>
      </c>
      <c r="K2840">
        <v>0.01</v>
      </c>
      <c r="L2840" t="s">
        <v>28</v>
      </c>
      <c r="M2840" t="s">
        <v>19</v>
      </c>
    </row>
    <row r="2841" spans="1:13" x14ac:dyDescent="0.35">
      <c r="A2841">
        <v>1064</v>
      </c>
      <c r="B2841" s="1">
        <v>45529</v>
      </c>
      <c r="C2841" t="s">
        <v>32</v>
      </c>
      <c r="D2841" t="s">
        <v>20</v>
      </c>
      <c r="E2841">
        <v>54831.75</v>
      </c>
      <c r="F2841">
        <v>13</v>
      </c>
      <c r="G2841" t="s">
        <v>24</v>
      </c>
      <c r="H2841">
        <v>945.58</v>
      </c>
      <c r="I2841">
        <v>4393.57</v>
      </c>
      <c r="J2841" t="s">
        <v>17</v>
      </c>
      <c r="K2841">
        <v>0.04</v>
      </c>
      <c r="L2841" t="s">
        <v>28</v>
      </c>
      <c r="M2841" t="s">
        <v>21</v>
      </c>
    </row>
    <row r="2842" spans="1:13" x14ac:dyDescent="0.35">
      <c r="A2842">
        <v>1005</v>
      </c>
      <c r="B2842" s="1">
        <v>45530</v>
      </c>
      <c r="C2842" t="s">
        <v>33</v>
      </c>
      <c r="D2842" t="s">
        <v>15</v>
      </c>
      <c r="E2842">
        <v>45039.63</v>
      </c>
      <c r="F2842">
        <v>22</v>
      </c>
      <c r="G2842" t="s">
        <v>24</v>
      </c>
      <c r="H2842">
        <v>356.76</v>
      </c>
      <c r="I2842">
        <v>2380.5300000000002</v>
      </c>
      <c r="J2842" t="s">
        <v>27</v>
      </c>
      <c r="K2842">
        <v>0.14000000000000001</v>
      </c>
      <c r="L2842" t="s">
        <v>25</v>
      </c>
      <c r="M2842" t="s">
        <v>19</v>
      </c>
    </row>
    <row r="2843" spans="1:13" x14ac:dyDescent="0.35">
      <c r="A2843">
        <v>1070</v>
      </c>
      <c r="B2843" s="1">
        <v>45530</v>
      </c>
      <c r="C2843" t="s">
        <v>14</v>
      </c>
      <c r="D2843" t="s">
        <v>23</v>
      </c>
      <c r="E2843">
        <v>52425.8</v>
      </c>
      <c r="F2843">
        <v>15</v>
      </c>
      <c r="G2843" t="s">
        <v>16</v>
      </c>
      <c r="H2843">
        <v>136.71</v>
      </c>
      <c r="I2843">
        <v>4922.6099999999997</v>
      </c>
      <c r="J2843" t="s">
        <v>27</v>
      </c>
      <c r="K2843">
        <v>0.28999999999999998</v>
      </c>
      <c r="L2843" t="s">
        <v>18</v>
      </c>
      <c r="M2843" t="s">
        <v>21</v>
      </c>
    </row>
    <row r="2844" spans="1:13" x14ac:dyDescent="0.35">
      <c r="A2844">
        <v>1077</v>
      </c>
      <c r="B2844" s="1">
        <v>45531</v>
      </c>
      <c r="C2844" t="s">
        <v>32</v>
      </c>
      <c r="D2844" t="s">
        <v>30</v>
      </c>
      <c r="E2844">
        <v>79558.570000000007</v>
      </c>
      <c r="F2844">
        <v>29</v>
      </c>
      <c r="G2844" t="s">
        <v>24</v>
      </c>
      <c r="H2844">
        <v>2722.5</v>
      </c>
      <c r="I2844">
        <v>2768.29</v>
      </c>
      <c r="J2844" t="s">
        <v>17</v>
      </c>
      <c r="K2844">
        <v>0.01</v>
      </c>
      <c r="L2844" t="s">
        <v>28</v>
      </c>
      <c r="M2844" t="s">
        <v>21</v>
      </c>
    </row>
    <row r="2845" spans="1:13" x14ac:dyDescent="0.35">
      <c r="A2845">
        <v>1001</v>
      </c>
      <c r="B2845" s="1">
        <v>45531</v>
      </c>
      <c r="C2845" t="s">
        <v>33</v>
      </c>
      <c r="D2845" t="s">
        <v>20</v>
      </c>
      <c r="E2845">
        <v>182359.91</v>
      </c>
      <c r="F2845">
        <v>39</v>
      </c>
      <c r="G2845" t="s">
        <v>16</v>
      </c>
      <c r="H2845">
        <v>4554.71</v>
      </c>
      <c r="I2845">
        <v>4720.7299999999996</v>
      </c>
      <c r="J2845" t="s">
        <v>27</v>
      </c>
      <c r="K2845">
        <v>0.01</v>
      </c>
      <c r="L2845" t="s">
        <v>25</v>
      </c>
      <c r="M2845" t="s">
        <v>21</v>
      </c>
    </row>
    <row r="2846" spans="1:13" x14ac:dyDescent="0.35">
      <c r="A2846">
        <v>1028</v>
      </c>
      <c r="B2846" s="1">
        <v>45532</v>
      </c>
      <c r="C2846" t="s">
        <v>33</v>
      </c>
      <c r="D2846" t="s">
        <v>30</v>
      </c>
      <c r="E2846">
        <v>2413.63</v>
      </c>
      <c r="F2846">
        <v>1</v>
      </c>
      <c r="G2846" t="s">
        <v>24</v>
      </c>
      <c r="H2846">
        <v>2196.6</v>
      </c>
      <c r="I2846">
        <v>3134.58</v>
      </c>
      <c r="J2846" t="s">
        <v>27</v>
      </c>
      <c r="K2846">
        <v>0.23</v>
      </c>
      <c r="L2846" t="s">
        <v>18</v>
      </c>
      <c r="M2846" t="s">
        <v>19</v>
      </c>
    </row>
    <row r="2847" spans="1:13" x14ac:dyDescent="0.35">
      <c r="A2847">
        <v>1024</v>
      </c>
      <c r="B2847" s="1">
        <v>45532</v>
      </c>
      <c r="C2847" t="s">
        <v>33</v>
      </c>
      <c r="D2847" t="s">
        <v>23</v>
      </c>
      <c r="E2847">
        <v>172461.09</v>
      </c>
      <c r="F2847">
        <v>50</v>
      </c>
      <c r="G2847" t="s">
        <v>26</v>
      </c>
      <c r="H2847">
        <v>1635.15</v>
      </c>
      <c r="I2847">
        <v>3875.53</v>
      </c>
      <c r="J2847" t="s">
        <v>17</v>
      </c>
      <c r="K2847">
        <v>0.11</v>
      </c>
      <c r="L2847" t="s">
        <v>18</v>
      </c>
      <c r="M2847" t="s">
        <v>19</v>
      </c>
    </row>
    <row r="2848" spans="1:13" x14ac:dyDescent="0.35">
      <c r="A2848">
        <v>1047</v>
      </c>
      <c r="B2848" s="1">
        <v>45533</v>
      </c>
      <c r="C2848" t="s">
        <v>29</v>
      </c>
      <c r="D2848" t="s">
        <v>15</v>
      </c>
      <c r="E2848">
        <v>7103.49</v>
      </c>
      <c r="F2848">
        <v>3</v>
      </c>
      <c r="G2848" t="s">
        <v>24</v>
      </c>
      <c r="H2848">
        <v>1780.61</v>
      </c>
      <c r="I2848">
        <v>2573.73</v>
      </c>
      <c r="J2848" t="s">
        <v>27</v>
      </c>
      <c r="K2848">
        <v>0.08</v>
      </c>
      <c r="L2848" t="s">
        <v>25</v>
      </c>
      <c r="M2848" t="s">
        <v>21</v>
      </c>
    </row>
    <row r="2849" spans="1:13" x14ac:dyDescent="0.35">
      <c r="A2849">
        <v>1054</v>
      </c>
      <c r="B2849" s="1">
        <v>45533</v>
      </c>
      <c r="C2849" t="s">
        <v>14</v>
      </c>
      <c r="D2849" t="s">
        <v>15</v>
      </c>
      <c r="E2849">
        <v>87176.37</v>
      </c>
      <c r="F2849">
        <v>20</v>
      </c>
      <c r="G2849" t="s">
        <v>24</v>
      </c>
      <c r="H2849">
        <v>2744.56</v>
      </c>
      <c r="I2849">
        <v>4588.2299999999996</v>
      </c>
      <c r="J2849" t="s">
        <v>17</v>
      </c>
      <c r="K2849">
        <v>0.05</v>
      </c>
      <c r="L2849" t="s">
        <v>25</v>
      </c>
      <c r="M2849" t="s">
        <v>21</v>
      </c>
    </row>
    <row r="2850" spans="1:13" x14ac:dyDescent="0.35">
      <c r="A2850">
        <v>1074</v>
      </c>
      <c r="B2850" s="1">
        <v>45534</v>
      </c>
      <c r="C2850" t="s">
        <v>14</v>
      </c>
      <c r="D2850" t="s">
        <v>20</v>
      </c>
      <c r="E2850">
        <v>13085.18</v>
      </c>
      <c r="F2850">
        <v>4</v>
      </c>
      <c r="G2850" t="s">
        <v>16</v>
      </c>
      <c r="H2850">
        <v>2715.83</v>
      </c>
      <c r="I2850">
        <v>3372.47</v>
      </c>
      <c r="J2850" t="s">
        <v>27</v>
      </c>
      <c r="K2850">
        <v>0.03</v>
      </c>
      <c r="L2850" t="s">
        <v>18</v>
      </c>
      <c r="M2850" t="s">
        <v>19</v>
      </c>
    </row>
    <row r="2851" spans="1:13" x14ac:dyDescent="0.35">
      <c r="A2851">
        <v>1046</v>
      </c>
      <c r="B2851" s="1">
        <v>45534</v>
      </c>
      <c r="C2851" t="s">
        <v>32</v>
      </c>
      <c r="D2851" t="s">
        <v>20</v>
      </c>
      <c r="E2851">
        <v>117938.51</v>
      </c>
      <c r="F2851">
        <v>34</v>
      </c>
      <c r="G2851" t="s">
        <v>24</v>
      </c>
      <c r="H2851">
        <v>2983.37</v>
      </c>
      <c r="I2851">
        <v>4687.54</v>
      </c>
      <c r="J2851" t="s">
        <v>27</v>
      </c>
      <c r="K2851">
        <v>0.26</v>
      </c>
      <c r="L2851" t="s">
        <v>18</v>
      </c>
      <c r="M2851" t="s">
        <v>21</v>
      </c>
    </row>
    <row r="2852" spans="1:13" x14ac:dyDescent="0.35">
      <c r="A2852">
        <v>1042</v>
      </c>
      <c r="B2852" s="1">
        <v>45534</v>
      </c>
      <c r="C2852" t="s">
        <v>32</v>
      </c>
      <c r="D2852" t="s">
        <v>30</v>
      </c>
      <c r="E2852">
        <v>140727.93</v>
      </c>
      <c r="F2852">
        <v>36</v>
      </c>
      <c r="G2852" t="s">
        <v>16</v>
      </c>
      <c r="H2852">
        <v>1936.14</v>
      </c>
      <c r="I2852">
        <v>5282.58</v>
      </c>
      <c r="J2852" t="s">
        <v>27</v>
      </c>
      <c r="K2852">
        <v>0.26</v>
      </c>
      <c r="L2852" t="s">
        <v>28</v>
      </c>
      <c r="M2852" t="s">
        <v>21</v>
      </c>
    </row>
    <row r="2853" spans="1:13" x14ac:dyDescent="0.35">
      <c r="A2853">
        <v>1095</v>
      </c>
      <c r="B2853" s="1">
        <v>45534</v>
      </c>
      <c r="C2853" t="s">
        <v>14</v>
      </c>
      <c r="D2853" t="s">
        <v>30</v>
      </c>
      <c r="E2853">
        <v>147808.51</v>
      </c>
      <c r="F2853">
        <v>42</v>
      </c>
      <c r="G2853" t="s">
        <v>31</v>
      </c>
      <c r="H2853">
        <v>1771.57</v>
      </c>
      <c r="I2853">
        <v>3784.14</v>
      </c>
      <c r="J2853" t="s">
        <v>27</v>
      </c>
      <c r="K2853">
        <v>7.0000000000000007E-2</v>
      </c>
      <c r="L2853" t="s">
        <v>28</v>
      </c>
      <c r="M2853" t="s">
        <v>19</v>
      </c>
    </row>
    <row r="2854" spans="1:13" x14ac:dyDescent="0.35">
      <c r="A2854">
        <v>1092</v>
      </c>
      <c r="B2854" s="1">
        <v>45535</v>
      </c>
      <c r="C2854" t="s">
        <v>14</v>
      </c>
      <c r="D2854" t="s">
        <v>20</v>
      </c>
      <c r="E2854">
        <v>149165.98000000001</v>
      </c>
      <c r="F2854">
        <v>31</v>
      </c>
      <c r="G2854" t="s">
        <v>26</v>
      </c>
      <c r="H2854">
        <v>4487.1499999999996</v>
      </c>
      <c r="I2854">
        <v>4860.41</v>
      </c>
      <c r="J2854" t="s">
        <v>17</v>
      </c>
      <c r="K2854">
        <v>0.01</v>
      </c>
      <c r="L2854" t="s">
        <v>25</v>
      </c>
      <c r="M2854" t="s">
        <v>21</v>
      </c>
    </row>
    <row r="2855" spans="1:13" x14ac:dyDescent="0.35">
      <c r="A2855">
        <v>1020</v>
      </c>
      <c r="B2855" s="1">
        <v>45535</v>
      </c>
      <c r="C2855" t="s">
        <v>14</v>
      </c>
      <c r="D2855" t="s">
        <v>15</v>
      </c>
      <c r="E2855">
        <v>218181.58</v>
      </c>
      <c r="F2855">
        <v>41</v>
      </c>
      <c r="G2855" t="s">
        <v>16</v>
      </c>
      <c r="H2855">
        <v>4797.21</v>
      </c>
      <c r="I2855">
        <v>5440.07</v>
      </c>
      <c r="J2855" t="s">
        <v>17</v>
      </c>
      <c r="K2855">
        <v>0.02</v>
      </c>
      <c r="L2855" t="s">
        <v>25</v>
      </c>
      <c r="M2855" t="s">
        <v>19</v>
      </c>
    </row>
    <row r="2856" spans="1:13" x14ac:dyDescent="0.35">
      <c r="A2856">
        <v>1076</v>
      </c>
      <c r="B2856" s="1">
        <v>45536</v>
      </c>
      <c r="C2856" t="s">
        <v>29</v>
      </c>
      <c r="D2856" t="s">
        <v>30</v>
      </c>
      <c r="E2856">
        <v>49987.41</v>
      </c>
      <c r="F2856">
        <v>10</v>
      </c>
      <c r="G2856" t="s">
        <v>26</v>
      </c>
      <c r="H2856">
        <v>4860.5600000000004</v>
      </c>
      <c r="I2856">
        <v>5317.81</v>
      </c>
      <c r="J2856" t="s">
        <v>27</v>
      </c>
      <c r="K2856">
        <v>0.06</v>
      </c>
      <c r="L2856" t="s">
        <v>18</v>
      </c>
      <c r="M2856" t="s">
        <v>21</v>
      </c>
    </row>
    <row r="2857" spans="1:13" x14ac:dyDescent="0.35">
      <c r="A2857">
        <v>1029</v>
      </c>
      <c r="B2857" s="1">
        <v>45536</v>
      </c>
      <c r="C2857" t="s">
        <v>33</v>
      </c>
      <c r="D2857" t="s">
        <v>20</v>
      </c>
      <c r="E2857">
        <v>219757.47</v>
      </c>
      <c r="F2857">
        <v>50</v>
      </c>
      <c r="G2857" t="s">
        <v>16</v>
      </c>
      <c r="H2857">
        <v>4046.2</v>
      </c>
      <c r="I2857">
        <v>4938.37</v>
      </c>
      <c r="J2857" t="s">
        <v>27</v>
      </c>
      <c r="K2857">
        <v>0.11</v>
      </c>
      <c r="L2857" t="s">
        <v>25</v>
      </c>
      <c r="M2857" t="s">
        <v>19</v>
      </c>
    </row>
    <row r="2858" spans="1:13" x14ac:dyDescent="0.35">
      <c r="A2858">
        <v>1027</v>
      </c>
      <c r="B2858" s="1">
        <v>45537</v>
      </c>
      <c r="C2858" t="s">
        <v>32</v>
      </c>
      <c r="D2858" t="s">
        <v>15</v>
      </c>
      <c r="E2858">
        <v>75491.12</v>
      </c>
      <c r="F2858">
        <v>36</v>
      </c>
      <c r="G2858" t="s">
        <v>24</v>
      </c>
      <c r="H2858">
        <v>1497</v>
      </c>
      <c r="I2858">
        <v>2467.0300000000002</v>
      </c>
      <c r="J2858" t="s">
        <v>27</v>
      </c>
      <c r="K2858">
        <v>0.15</v>
      </c>
      <c r="L2858" t="s">
        <v>25</v>
      </c>
      <c r="M2858" t="s">
        <v>19</v>
      </c>
    </row>
    <row r="2859" spans="1:13" x14ac:dyDescent="0.35">
      <c r="A2859">
        <v>1050</v>
      </c>
      <c r="B2859" s="1">
        <v>45538</v>
      </c>
      <c r="C2859" t="s">
        <v>14</v>
      </c>
      <c r="D2859" t="s">
        <v>23</v>
      </c>
      <c r="E2859">
        <v>4470.91</v>
      </c>
      <c r="F2859">
        <v>2</v>
      </c>
      <c r="G2859" t="s">
        <v>16</v>
      </c>
      <c r="H2859">
        <v>2191.23</v>
      </c>
      <c r="I2859">
        <v>2240.83</v>
      </c>
      <c r="J2859" t="s">
        <v>27</v>
      </c>
      <c r="K2859">
        <v>0</v>
      </c>
      <c r="L2859" t="s">
        <v>25</v>
      </c>
      <c r="M2859" t="s">
        <v>19</v>
      </c>
    </row>
    <row r="2860" spans="1:13" x14ac:dyDescent="0.35">
      <c r="A2860">
        <v>1040</v>
      </c>
      <c r="B2860" s="1">
        <v>45538</v>
      </c>
      <c r="C2860" t="s">
        <v>22</v>
      </c>
      <c r="D2860" t="s">
        <v>15</v>
      </c>
      <c r="E2860">
        <v>77031.05</v>
      </c>
      <c r="F2860">
        <v>18</v>
      </c>
      <c r="G2860" t="s">
        <v>31</v>
      </c>
      <c r="H2860">
        <v>4102.26</v>
      </c>
      <c r="I2860">
        <v>4426.6000000000004</v>
      </c>
      <c r="J2860" t="s">
        <v>17</v>
      </c>
      <c r="K2860">
        <v>0.03</v>
      </c>
      <c r="L2860" t="s">
        <v>28</v>
      </c>
      <c r="M2860" t="s">
        <v>21</v>
      </c>
    </row>
    <row r="2861" spans="1:13" x14ac:dyDescent="0.35">
      <c r="A2861">
        <v>1014</v>
      </c>
      <c r="B2861" s="1">
        <v>45538</v>
      </c>
      <c r="C2861" t="s">
        <v>32</v>
      </c>
      <c r="D2861" t="s">
        <v>23</v>
      </c>
      <c r="E2861">
        <v>19224.93</v>
      </c>
      <c r="F2861">
        <v>14</v>
      </c>
      <c r="G2861" t="s">
        <v>16</v>
      </c>
      <c r="H2861">
        <v>530.16</v>
      </c>
      <c r="I2861">
        <v>1615.54</v>
      </c>
      <c r="J2861" t="s">
        <v>27</v>
      </c>
      <c r="K2861">
        <v>0.15</v>
      </c>
      <c r="L2861" t="s">
        <v>25</v>
      </c>
      <c r="M2861" t="s">
        <v>21</v>
      </c>
    </row>
    <row r="2862" spans="1:13" x14ac:dyDescent="0.35">
      <c r="A2862">
        <v>1018</v>
      </c>
      <c r="B2862" s="1">
        <v>45538</v>
      </c>
      <c r="C2862" t="s">
        <v>22</v>
      </c>
      <c r="D2862" t="s">
        <v>23</v>
      </c>
      <c r="E2862">
        <v>179922.22</v>
      </c>
      <c r="F2862">
        <v>37</v>
      </c>
      <c r="G2862" t="s">
        <v>26</v>
      </c>
      <c r="H2862">
        <v>4187.5</v>
      </c>
      <c r="I2862">
        <v>5015.96</v>
      </c>
      <c r="J2862" t="s">
        <v>27</v>
      </c>
      <c r="K2862">
        <v>0.03</v>
      </c>
      <c r="L2862" t="s">
        <v>25</v>
      </c>
      <c r="M2862" t="s">
        <v>19</v>
      </c>
    </row>
    <row r="2863" spans="1:13" x14ac:dyDescent="0.35">
      <c r="A2863">
        <v>1012</v>
      </c>
      <c r="B2863" s="1">
        <v>45538</v>
      </c>
      <c r="C2863" t="s">
        <v>22</v>
      </c>
      <c r="D2863" t="s">
        <v>30</v>
      </c>
      <c r="E2863">
        <v>141501.59</v>
      </c>
      <c r="F2863">
        <v>42</v>
      </c>
      <c r="G2863" t="s">
        <v>31</v>
      </c>
      <c r="H2863">
        <v>1989.2</v>
      </c>
      <c r="I2863">
        <v>3963.63</v>
      </c>
      <c r="J2863" t="s">
        <v>27</v>
      </c>
      <c r="K2863">
        <v>0.15</v>
      </c>
      <c r="L2863" t="s">
        <v>28</v>
      </c>
      <c r="M2863" t="s">
        <v>19</v>
      </c>
    </row>
    <row r="2864" spans="1:13" x14ac:dyDescent="0.35">
      <c r="A2864">
        <v>1097</v>
      </c>
      <c r="B2864" s="1">
        <v>45539</v>
      </c>
      <c r="C2864" t="s">
        <v>29</v>
      </c>
      <c r="D2864" t="s">
        <v>15</v>
      </c>
      <c r="E2864">
        <v>24902.48</v>
      </c>
      <c r="F2864">
        <v>12</v>
      </c>
      <c r="G2864" t="s">
        <v>26</v>
      </c>
      <c r="H2864">
        <v>1192.5899999999999</v>
      </c>
      <c r="I2864">
        <v>2441.42</v>
      </c>
      <c r="J2864" t="s">
        <v>17</v>
      </c>
      <c r="K2864">
        <v>0.15</v>
      </c>
      <c r="L2864" t="s">
        <v>28</v>
      </c>
      <c r="M2864" t="s">
        <v>21</v>
      </c>
    </row>
    <row r="2865" spans="1:13" x14ac:dyDescent="0.35">
      <c r="A2865">
        <v>1079</v>
      </c>
      <c r="B2865" s="1">
        <v>45540</v>
      </c>
      <c r="C2865" t="s">
        <v>29</v>
      </c>
      <c r="D2865" t="s">
        <v>20</v>
      </c>
      <c r="E2865">
        <v>30233.56</v>
      </c>
      <c r="F2865">
        <v>12</v>
      </c>
      <c r="G2865" t="s">
        <v>26</v>
      </c>
      <c r="H2865">
        <v>747.46</v>
      </c>
      <c r="I2865">
        <v>3451.32</v>
      </c>
      <c r="J2865" t="s">
        <v>17</v>
      </c>
      <c r="K2865">
        <v>0.27</v>
      </c>
      <c r="L2865" t="s">
        <v>25</v>
      </c>
      <c r="M2865" t="s">
        <v>19</v>
      </c>
    </row>
    <row r="2866" spans="1:13" x14ac:dyDescent="0.35">
      <c r="A2866">
        <v>1061</v>
      </c>
      <c r="B2866" s="1">
        <v>45541</v>
      </c>
      <c r="C2866" t="s">
        <v>14</v>
      </c>
      <c r="D2866" t="s">
        <v>30</v>
      </c>
      <c r="E2866">
        <v>2641.32</v>
      </c>
      <c r="F2866">
        <v>8</v>
      </c>
      <c r="G2866" t="s">
        <v>24</v>
      </c>
      <c r="H2866">
        <v>312.57</v>
      </c>
      <c r="I2866">
        <v>366.85</v>
      </c>
      <c r="J2866" t="s">
        <v>27</v>
      </c>
      <c r="K2866">
        <v>0.1</v>
      </c>
      <c r="L2866" t="s">
        <v>28</v>
      </c>
      <c r="M2866" t="s">
        <v>19</v>
      </c>
    </row>
    <row r="2867" spans="1:13" x14ac:dyDescent="0.35">
      <c r="A2867">
        <v>1060</v>
      </c>
      <c r="B2867" s="1">
        <v>45541</v>
      </c>
      <c r="C2867" t="s">
        <v>14</v>
      </c>
      <c r="D2867" t="s">
        <v>30</v>
      </c>
      <c r="E2867">
        <v>17758.599999999999</v>
      </c>
      <c r="F2867">
        <v>6</v>
      </c>
      <c r="G2867" t="s">
        <v>16</v>
      </c>
      <c r="H2867">
        <v>1464.82</v>
      </c>
      <c r="I2867">
        <v>3083.09</v>
      </c>
      <c r="J2867" t="s">
        <v>17</v>
      </c>
      <c r="K2867">
        <v>0.04</v>
      </c>
      <c r="L2867" t="s">
        <v>25</v>
      </c>
      <c r="M2867" t="s">
        <v>21</v>
      </c>
    </row>
    <row r="2868" spans="1:13" x14ac:dyDescent="0.35">
      <c r="A2868">
        <v>1036</v>
      </c>
      <c r="B2868" s="1">
        <v>45541</v>
      </c>
      <c r="C2868" t="s">
        <v>29</v>
      </c>
      <c r="D2868" t="s">
        <v>23</v>
      </c>
      <c r="E2868">
        <v>20171.52</v>
      </c>
      <c r="F2868">
        <v>10</v>
      </c>
      <c r="G2868" t="s">
        <v>24</v>
      </c>
      <c r="H2868">
        <v>679.68</v>
      </c>
      <c r="I2868">
        <v>2241.2800000000002</v>
      </c>
      <c r="J2868" t="s">
        <v>17</v>
      </c>
      <c r="K2868">
        <v>0.1</v>
      </c>
      <c r="L2868" t="s">
        <v>25</v>
      </c>
      <c r="M2868" t="s">
        <v>21</v>
      </c>
    </row>
    <row r="2869" spans="1:13" x14ac:dyDescent="0.35">
      <c r="A2869">
        <v>1068</v>
      </c>
      <c r="B2869" s="1">
        <v>45541</v>
      </c>
      <c r="C2869" t="s">
        <v>33</v>
      </c>
      <c r="D2869" t="s">
        <v>23</v>
      </c>
      <c r="E2869">
        <v>80995.199999999997</v>
      </c>
      <c r="F2869">
        <v>50</v>
      </c>
      <c r="G2869" t="s">
        <v>16</v>
      </c>
      <c r="H2869">
        <v>962.74</v>
      </c>
      <c r="I2869">
        <v>2076.8000000000002</v>
      </c>
      <c r="J2869" t="s">
        <v>27</v>
      </c>
      <c r="K2869">
        <v>0.22</v>
      </c>
      <c r="L2869" t="s">
        <v>25</v>
      </c>
      <c r="M2869" t="s">
        <v>21</v>
      </c>
    </row>
    <row r="2870" spans="1:13" x14ac:dyDescent="0.35">
      <c r="A2870">
        <v>1060</v>
      </c>
      <c r="B2870" s="1">
        <v>45541</v>
      </c>
      <c r="C2870" t="s">
        <v>29</v>
      </c>
      <c r="D2870" t="s">
        <v>30</v>
      </c>
      <c r="E2870">
        <v>166574.66</v>
      </c>
      <c r="F2870">
        <v>49</v>
      </c>
      <c r="G2870" t="s">
        <v>16</v>
      </c>
      <c r="H2870">
        <v>1246.1199999999999</v>
      </c>
      <c r="I2870">
        <v>3695.09</v>
      </c>
      <c r="J2870" t="s">
        <v>17</v>
      </c>
      <c r="K2870">
        <v>0.08</v>
      </c>
      <c r="L2870" t="s">
        <v>25</v>
      </c>
      <c r="M2870" t="s">
        <v>21</v>
      </c>
    </row>
    <row r="2871" spans="1:13" x14ac:dyDescent="0.35">
      <c r="A2871">
        <v>1078</v>
      </c>
      <c r="B2871" s="1">
        <v>45541</v>
      </c>
      <c r="C2871" t="s">
        <v>33</v>
      </c>
      <c r="D2871" t="s">
        <v>23</v>
      </c>
      <c r="E2871">
        <v>181776.5</v>
      </c>
      <c r="F2871">
        <v>40</v>
      </c>
      <c r="G2871" t="s">
        <v>31</v>
      </c>
      <c r="H2871">
        <v>1800.35</v>
      </c>
      <c r="I2871">
        <v>4993.8599999999997</v>
      </c>
      <c r="J2871" t="s">
        <v>17</v>
      </c>
      <c r="K2871">
        <v>0.09</v>
      </c>
      <c r="L2871" t="s">
        <v>28</v>
      </c>
      <c r="M2871" t="s">
        <v>21</v>
      </c>
    </row>
    <row r="2872" spans="1:13" x14ac:dyDescent="0.35">
      <c r="A2872">
        <v>1064</v>
      </c>
      <c r="B2872" s="1">
        <v>45542</v>
      </c>
      <c r="C2872" t="s">
        <v>33</v>
      </c>
      <c r="D2872" t="s">
        <v>23</v>
      </c>
      <c r="E2872">
        <v>4059.03</v>
      </c>
      <c r="F2872">
        <v>2</v>
      </c>
      <c r="G2872" t="s">
        <v>31</v>
      </c>
      <c r="H2872">
        <v>467.21</v>
      </c>
      <c r="I2872">
        <v>2601.94</v>
      </c>
      <c r="J2872" t="s">
        <v>17</v>
      </c>
      <c r="K2872">
        <v>0.22</v>
      </c>
      <c r="L2872" t="s">
        <v>28</v>
      </c>
      <c r="M2872" t="s">
        <v>21</v>
      </c>
    </row>
    <row r="2873" spans="1:13" x14ac:dyDescent="0.35">
      <c r="A2873">
        <v>1021</v>
      </c>
      <c r="B2873" s="1">
        <v>45542</v>
      </c>
      <c r="C2873" t="s">
        <v>33</v>
      </c>
      <c r="D2873" t="s">
        <v>23</v>
      </c>
      <c r="E2873">
        <v>31313.02</v>
      </c>
      <c r="F2873">
        <v>12</v>
      </c>
      <c r="G2873" t="s">
        <v>16</v>
      </c>
      <c r="H2873">
        <v>1813.24</v>
      </c>
      <c r="I2873">
        <v>3106.45</v>
      </c>
      <c r="J2873" t="s">
        <v>27</v>
      </c>
      <c r="K2873">
        <v>0.16</v>
      </c>
      <c r="L2873" t="s">
        <v>28</v>
      </c>
      <c r="M2873" t="s">
        <v>19</v>
      </c>
    </row>
    <row r="2874" spans="1:13" x14ac:dyDescent="0.35">
      <c r="A2874">
        <v>1099</v>
      </c>
      <c r="B2874" s="1">
        <v>45542</v>
      </c>
      <c r="C2874" t="s">
        <v>33</v>
      </c>
      <c r="D2874" t="s">
        <v>20</v>
      </c>
      <c r="E2874">
        <v>129898.36</v>
      </c>
      <c r="F2874">
        <v>41</v>
      </c>
      <c r="G2874" t="s">
        <v>16</v>
      </c>
      <c r="H2874">
        <v>1884.57</v>
      </c>
      <c r="I2874">
        <v>3266.24</v>
      </c>
      <c r="J2874" t="s">
        <v>27</v>
      </c>
      <c r="K2874">
        <v>0.03</v>
      </c>
      <c r="L2874" t="s">
        <v>28</v>
      </c>
      <c r="M2874" t="s">
        <v>21</v>
      </c>
    </row>
    <row r="2875" spans="1:13" x14ac:dyDescent="0.35">
      <c r="A2875">
        <v>1024</v>
      </c>
      <c r="B2875" s="1">
        <v>45543</v>
      </c>
      <c r="C2875" t="s">
        <v>33</v>
      </c>
      <c r="D2875" t="s">
        <v>23</v>
      </c>
      <c r="E2875">
        <v>9188.0300000000007</v>
      </c>
      <c r="F2875">
        <v>3</v>
      </c>
      <c r="G2875" t="s">
        <v>31</v>
      </c>
      <c r="H2875">
        <v>2214.62</v>
      </c>
      <c r="I2875">
        <v>4313.63</v>
      </c>
      <c r="J2875" t="s">
        <v>17</v>
      </c>
      <c r="K2875">
        <v>0.28999999999999998</v>
      </c>
      <c r="L2875" t="s">
        <v>28</v>
      </c>
      <c r="M2875" t="s">
        <v>21</v>
      </c>
    </row>
    <row r="2876" spans="1:13" x14ac:dyDescent="0.35">
      <c r="A2876">
        <v>1060</v>
      </c>
      <c r="B2876" s="1">
        <v>45543</v>
      </c>
      <c r="C2876" t="s">
        <v>22</v>
      </c>
      <c r="D2876" t="s">
        <v>30</v>
      </c>
      <c r="E2876">
        <v>22604.73</v>
      </c>
      <c r="F2876">
        <v>5</v>
      </c>
      <c r="G2876" t="s">
        <v>24</v>
      </c>
      <c r="H2876">
        <v>3832.45</v>
      </c>
      <c r="I2876">
        <v>4696.42</v>
      </c>
      <c r="J2876" t="s">
        <v>17</v>
      </c>
      <c r="K2876">
        <v>0.04</v>
      </c>
      <c r="L2876" t="s">
        <v>25</v>
      </c>
      <c r="M2876" t="s">
        <v>19</v>
      </c>
    </row>
    <row r="2877" spans="1:13" x14ac:dyDescent="0.35">
      <c r="A2877">
        <v>1061</v>
      </c>
      <c r="B2877" s="1">
        <v>45543</v>
      </c>
      <c r="C2877" t="s">
        <v>22</v>
      </c>
      <c r="D2877" t="s">
        <v>23</v>
      </c>
      <c r="E2877">
        <v>34185.14</v>
      </c>
      <c r="F2877">
        <v>12</v>
      </c>
      <c r="G2877" t="s">
        <v>16</v>
      </c>
      <c r="H2877">
        <v>2500.4899999999998</v>
      </c>
      <c r="I2877">
        <v>3096.48</v>
      </c>
      <c r="J2877" t="s">
        <v>27</v>
      </c>
      <c r="K2877">
        <v>0.08</v>
      </c>
      <c r="L2877" t="s">
        <v>18</v>
      </c>
      <c r="M2877" t="s">
        <v>21</v>
      </c>
    </row>
    <row r="2878" spans="1:13" x14ac:dyDescent="0.35">
      <c r="A2878">
        <v>1004</v>
      </c>
      <c r="B2878" s="1">
        <v>45543</v>
      </c>
      <c r="C2878" t="s">
        <v>33</v>
      </c>
      <c r="D2878" t="s">
        <v>30</v>
      </c>
      <c r="E2878">
        <v>60837.06</v>
      </c>
      <c r="F2878">
        <v>38</v>
      </c>
      <c r="G2878" t="s">
        <v>24</v>
      </c>
      <c r="H2878">
        <v>1400.41</v>
      </c>
      <c r="I2878">
        <v>1650.49</v>
      </c>
      <c r="J2878" t="s">
        <v>17</v>
      </c>
      <c r="K2878">
        <v>0.03</v>
      </c>
      <c r="L2878" t="s">
        <v>28</v>
      </c>
      <c r="M2878" t="s">
        <v>21</v>
      </c>
    </row>
    <row r="2879" spans="1:13" x14ac:dyDescent="0.35">
      <c r="A2879">
        <v>1089</v>
      </c>
      <c r="B2879" s="1">
        <v>45543</v>
      </c>
      <c r="C2879" t="s">
        <v>14</v>
      </c>
      <c r="D2879" t="s">
        <v>30</v>
      </c>
      <c r="E2879">
        <v>137413.12</v>
      </c>
      <c r="F2879">
        <v>37</v>
      </c>
      <c r="G2879" t="s">
        <v>16</v>
      </c>
      <c r="H2879">
        <v>2660.93</v>
      </c>
      <c r="I2879">
        <v>4126.5200000000004</v>
      </c>
      <c r="J2879" t="s">
        <v>27</v>
      </c>
      <c r="K2879">
        <v>0.1</v>
      </c>
      <c r="L2879" t="s">
        <v>25</v>
      </c>
      <c r="M2879" t="s">
        <v>21</v>
      </c>
    </row>
    <row r="2880" spans="1:13" x14ac:dyDescent="0.35">
      <c r="A2880">
        <v>1047</v>
      </c>
      <c r="B2880" s="1">
        <v>45543</v>
      </c>
      <c r="C2880" t="s">
        <v>22</v>
      </c>
      <c r="D2880" t="s">
        <v>23</v>
      </c>
      <c r="E2880">
        <v>106438.29</v>
      </c>
      <c r="F2880">
        <v>23</v>
      </c>
      <c r="G2880" t="s">
        <v>31</v>
      </c>
      <c r="H2880">
        <v>1844.53</v>
      </c>
      <c r="I2880">
        <v>4923.1400000000003</v>
      </c>
      <c r="J2880" t="s">
        <v>17</v>
      </c>
      <c r="K2880">
        <v>0.06</v>
      </c>
      <c r="L2880" t="s">
        <v>18</v>
      </c>
      <c r="M2880" t="s">
        <v>21</v>
      </c>
    </row>
    <row r="2881" spans="1:13" x14ac:dyDescent="0.35">
      <c r="A2881">
        <v>1084</v>
      </c>
      <c r="B2881" s="1">
        <v>45544</v>
      </c>
      <c r="C2881" t="s">
        <v>14</v>
      </c>
      <c r="D2881" t="s">
        <v>23</v>
      </c>
      <c r="E2881">
        <v>124540.67</v>
      </c>
      <c r="F2881">
        <v>28</v>
      </c>
      <c r="G2881" t="s">
        <v>16</v>
      </c>
      <c r="H2881">
        <v>3818.9</v>
      </c>
      <c r="I2881">
        <v>4942.09</v>
      </c>
      <c r="J2881" t="s">
        <v>17</v>
      </c>
      <c r="K2881">
        <v>0.1</v>
      </c>
      <c r="L2881" t="s">
        <v>18</v>
      </c>
      <c r="M2881" t="s">
        <v>19</v>
      </c>
    </row>
    <row r="2882" spans="1:13" x14ac:dyDescent="0.35">
      <c r="A2882">
        <v>1083</v>
      </c>
      <c r="B2882" s="1">
        <v>45544</v>
      </c>
      <c r="C2882" t="s">
        <v>32</v>
      </c>
      <c r="D2882" t="s">
        <v>23</v>
      </c>
      <c r="E2882">
        <v>110409.03</v>
      </c>
      <c r="F2882">
        <v>35</v>
      </c>
      <c r="G2882" t="s">
        <v>26</v>
      </c>
      <c r="H2882">
        <v>2482.89</v>
      </c>
      <c r="I2882">
        <v>4096.8100000000004</v>
      </c>
      <c r="J2882" t="s">
        <v>27</v>
      </c>
      <c r="K2882">
        <v>0.23</v>
      </c>
      <c r="L2882" t="s">
        <v>18</v>
      </c>
      <c r="M2882" t="s">
        <v>19</v>
      </c>
    </row>
    <row r="2883" spans="1:13" x14ac:dyDescent="0.35">
      <c r="A2883">
        <v>1043</v>
      </c>
      <c r="B2883" s="1">
        <v>45544</v>
      </c>
      <c r="C2883" t="s">
        <v>14</v>
      </c>
      <c r="D2883" t="s">
        <v>15</v>
      </c>
      <c r="E2883">
        <v>50092.85</v>
      </c>
      <c r="F2883">
        <v>15</v>
      </c>
      <c r="G2883" t="s">
        <v>26</v>
      </c>
      <c r="H2883">
        <v>1676.06</v>
      </c>
      <c r="I2883">
        <v>3478.67</v>
      </c>
      <c r="J2883" t="s">
        <v>27</v>
      </c>
      <c r="K2883">
        <v>0.04</v>
      </c>
      <c r="L2883" t="s">
        <v>25</v>
      </c>
      <c r="M2883" t="s">
        <v>21</v>
      </c>
    </row>
    <row r="2884" spans="1:13" x14ac:dyDescent="0.35">
      <c r="A2884">
        <v>1014</v>
      </c>
      <c r="B2884" s="1">
        <v>45544</v>
      </c>
      <c r="C2884" t="s">
        <v>29</v>
      </c>
      <c r="D2884" t="s">
        <v>23</v>
      </c>
      <c r="E2884">
        <v>63742.63</v>
      </c>
      <c r="F2884">
        <v>27</v>
      </c>
      <c r="G2884" t="s">
        <v>24</v>
      </c>
      <c r="H2884">
        <v>1165.23</v>
      </c>
      <c r="I2884">
        <v>2511.5300000000002</v>
      </c>
      <c r="J2884" t="s">
        <v>27</v>
      </c>
      <c r="K2884">
        <v>0.06</v>
      </c>
      <c r="L2884" t="s">
        <v>25</v>
      </c>
      <c r="M2884" t="s">
        <v>19</v>
      </c>
    </row>
    <row r="2885" spans="1:13" x14ac:dyDescent="0.35">
      <c r="A2885">
        <v>1041</v>
      </c>
      <c r="B2885" s="1">
        <v>45545</v>
      </c>
      <c r="C2885" t="s">
        <v>14</v>
      </c>
      <c r="D2885" t="s">
        <v>23</v>
      </c>
      <c r="E2885">
        <v>53059.79</v>
      </c>
      <c r="F2885">
        <v>13</v>
      </c>
      <c r="G2885" t="s">
        <v>31</v>
      </c>
      <c r="H2885">
        <v>667.37</v>
      </c>
      <c r="I2885">
        <v>4585.9799999999996</v>
      </c>
      <c r="J2885" t="s">
        <v>17</v>
      </c>
      <c r="K2885">
        <v>0.11</v>
      </c>
      <c r="L2885" t="s">
        <v>25</v>
      </c>
      <c r="M2885" t="s">
        <v>19</v>
      </c>
    </row>
    <row r="2886" spans="1:13" x14ac:dyDescent="0.35">
      <c r="A2886">
        <v>1071</v>
      </c>
      <c r="B2886" s="1">
        <v>45545</v>
      </c>
      <c r="C2886" t="s">
        <v>29</v>
      </c>
      <c r="D2886" t="s">
        <v>23</v>
      </c>
      <c r="E2886">
        <v>169040.22</v>
      </c>
      <c r="F2886">
        <v>40</v>
      </c>
      <c r="G2886" t="s">
        <v>26</v>
      </c>
      <c r="H2886">
        <v>2542</v>
      </c>
      <c r="I2886">
        <v>4913.96</v>
      </c>
      <c r="J2886" t="s">
        <v>17</v>
      </c>
      <c r="K2886">
        <v>0.14000000000000001</v>
      </c>
      <c r="L2886" t="s">
        <v>18</v>
      </c>
      <c r="M2886" t="s">
        <v>21</v>
      </c>
    </row>
    <row r="2887" spans="1:13" x14ac:dyDescent="0.35">
      <c r="A2887">
        <v>1040</v>
      </c>
      <c r="B2887" s="1">
        <v>45546</v>
      </c>
      <c r="C2887" t="s">
        <v>14</v>
      </c>
      <c r="D2887" t="s">
        <v>23</v>
      </c>
      <c r="E2887">
        <v>61976.160000000003</v>
      </c>
      <c r="F2887">
        <v>36</v>
      </c>
      <c r="G2887" t="s">
        <v>16</v>
      </c>
      <c r="H2887">
        <v>1106.55</v>
      </c>
      <c r="I2887">
        <v>2179.19</v>
      </c>
      <c r="J2887" t="s">
        <v>27</v>
      </c>
      <c r="K2887">
        <v>0.21</v>
      </c>
      <c r="L2887" t="s">
        <v>25</v>
      </c>
      <c r="M2887" t="s">
        <v>21</v>
      </c>
    </row>
    <row r="2888" spans="1:13" x14ac:dyDescent="0.35">
      <c r="A2888">
        <v>1051</v>
      </c>
      <c r="B2888" s="1">
        <v>45546</v>
      </c>
      <c r="C2888" t="s">
        <v>32</v>
      </c>
      <c r="D2888" t="s">
        <v>23</v>
      </c>
      <c r="E2888">
        <v>41851.620000000003</v>
      </c>
      <c r="F2888">
        <v>10</v>
      </c>
      <c r="G2888" t="s">
        <v>31</v>
      </c>
      <c r="H2888">
        <v>336.04</v>
      </c>
      <c r="I2888">
        <v>4314.6000000000004</v>
      </c>
      <c r="J2888" t="s">
        <v>27</v>
      </c>
      <c r="K2888">
        <v>0.03</v>
      </c>
      <c r="L2888" t="s">
        <v>25</v>
      </c>
      <c r="M2888" t="s">
        <v>21</v>
      </c>
    </row>
    <row r="2889" spans="1:13" x14ac:dyDescent="0.35">
      <c r="A2889">
        <v>1061</v>
      </c>
      <c r="B2889" s="1">
        <v>45546</v>
      </c>
      <c r="C2889" t="s">
        <v>29</v>
      </c>
      <c r="D2889" t="s">
        <v>15</v>
      </c>
      <c r="E2889">
        <v>117198.55</v>
      </c>
      <c r="F2889">
        <v>34</v>
      </c>
      <c r="G2889" t="s">
        <v>31</v>
      </c>
      <c r="H2889">
        <v>1116.45</v>
      </c>
      <c r="I2889">
        <v>4658.13</v>
      </c>
      <c r="J2889" t="s">
        <v>17</v>
      </c>
      <c r="K2889">
        <v>0.26</v>
      </c>
      <c r="L2889" t="s">
        <v>28</v>
      </c>
      <c r="M2889" t="s">
        <v>19</v>
      </c>
    </row>
    <row r="2890" spans="1:13" x14ac:dyDescent="0.35">
      <c r="A2890">
        <v>1067</v>
      </c>
      <c r="B2890" s="1">
        <v>45547</v>
      </c>
      <c r="C2890" t="s">
        <v>29</v>
      </c>
      <c r="D2890" t="s">
        <v>23</v>
      </c>
      <c r="E2890">
        <v>14845.12</v>
      </c>
      <c r="F2890">
        <v>17</v>
      </c>
      <c r="G2890" t="s">
        <v>31</v>
      </c>
      <c r="H2890">
        <v>511.65</v>
      </c>
      <c r="I2890">
        <v>1105.3699999999999</v>
      </c>
      <c r="J2890" t="s">
        <v>17</v>
      </c>
      <c r="K2890">
        <v>0.21</v>
      </c>
      <c r="L2890" t="s">
        <v>28</v>
      </c>
      <c r="M2890" t="s">
        <v>19</v>
      </c>
    </row>
    <row r="2891" spans="1:13" x14ac:dyDescent="0.35">
      <c r="A2891">
        <v>1090</v>
      </c>
      <c r="B2891" s="1">
        <v>45547</v>
      </c>
      <c r="C2891" t="s">
        <v>14</v>
      </c>
      <c r="D2891" t="s">
        <v>30</v>
      </c>
      <c r="E2891">
        <v>84632.69</v>
      </c>
      <c r="F2891">
        <v>35</v>
      </c>
      <c r="G2891" t="s">
        <v>24</v>
      </c>
      <c r="H2891">
        <v>1026.04</v>
      </c>
      <c r="I2891">
        <v>3181.68</v>
      </c>
      <c r="J2891" t="s">
        <v>27</v>
      </c>
      <c r="K2891">
        <v>0.24</v>
      </c>
      <c r="L2891" t="s">
        <v>18</v>
      </c>
      <c r="M2891" t="s">
        <v>21</v>
      </c>
    </row>
    <row r="2892" spans="1:13" x14ac:dyDescent="0.35">
      <c r="A2892">
        <v>1084</v>
      </c>
      <c r="B2892" s="1">
        <v>45548</v>
      </c>
      <c r="C2892" t="s">
        <v>32</v>
      </c>
      <c r="D2892" t="s">
        <v>23</v>
      </c>
      <c r="E2892">
        <v>3978.67</v>
      </c>
      <c r="F2892">
        <v>1</v>
      </c>
      <c r="G2892" t="s">
        <v>26</v>
      </c>
      <c r="H2892">
        <v>973.21</v>
      </c>
      <c r="I2892">
        <v>4059.87</v>
      </c>
      <c r="J2892" t="s">
        <v>27</v>
      </c>
      <c r="K2892">
        <v>0.02</v>
      </c>
      <c r="L2892" t="s">
        <v>25</v>
      </c>
      <c r="M2892" t="s">
        <v>21</v>
      </c>
    </row>
    <row r="2893" spans="1:13" x14ac:dyDescent="0.35">
      <c r="A2893">
        <v>1071</v>
      </c>
      <c r="B2893" s="1">
        <v>45548</v>
      </c>
      <c r="C2893" t="s">
        <v>32</v>
      </c>
      <c r="D2893" t="s">
        <v>23</v>
      </c>
      <c r="E2893">
        <v>70470.05</v>
      </c>
      <c r="F2893">
        <v>20</v>
      </c>
      <c r="G2893" t="s">
        <v>24</v>
      </c>
      <c r="H2893">
        <v>206.66</v>
      </c>
      <c r="I2893">
        <v>3708.95</v>
      </c>
      <c r="J2893" t="s">
        <v>17</v>
      </c>
      <c r="K2893">
        <v>0.05</v>
      </c>
      <c r="L2893" t="s">
        <v>25</v>
      </c>
      <c r="M2893" t="s">
        <v>19</v>
      </c>
    </row>
    <row r="2894" spans="1:13" x14ac:dyDescent="0.35">
      <c r="A2894">
        <v>1032</v>
      </c>
      <c r="B2894" s="1">
        <v>45549</v>
      </c>
      <c r="C2894" t="s">
        <v>32</v>
      </c>
      <c r="D2894" t="s">
        <v>20</v>
      </c>
      <c r="E2894">
        <v>5884.44</v>
      </c>
      <c r="F2894">
        <v>2</v>
      </c>
      <c r="G2894" t="s">
        <v>26</v>
      </c>
      <c r="H2894">
        <v>1664.78</v>
      </c>
      <c r="I2894">
        <v>3871.34</v>
      </c>
      <c r="J2894" t="s">
        <v>17</v>
      </c>
      <c r="K2894">
        <v>0.24</v>
      </c>
      <c r="L2894" t="s">
        <v>25</v>
      </c>
      <c r="M2894" t="s">
        <v>21</v>
      </c>
    </row>
    <row r="2895" spans="1:13" x14ac:dyDescent="0.35">
      <c r="A2895">
        <v>1078</v>
      </c>
      <c r="B2895" s="1">
        <v>45549</v>
      </c>
      <c r="C2895" t="s">
        <v>32</v>
      </c>
      <c r="D2895" t="s">
        <v>15</v>
      </c>
      <c r="E2895">
        <v>54251.54</v>
      </c>
      <c r="F2895">
        <v>27</v>
      </c>
      <c r="G2895" t="s">
        <v>26</v>
      </c>
      <c r="H2895">
        <v>1833.71</v>
      </c>
      <c r="I2895">
        <v>2071.46</v>
      </c>
      <c r="J2895" t="s">
        <v>27</v>
      </c>
      <c r="K2895">
        <v>0.03</v>
      </c>
      <c r="L2895" t="s">
        <v>18</v>
      </c>
      <c r="M2895" t="s">
        <v>21</v>
      </c>
    </row>
    <row r="2896" spans="1:13" x14ac:dyDescent="0.35">
      <c r="A2896">
        <v>1072</v>
      </c>
      <c r="B2896" s="1">
        <v>45549</v>
      </c>
      <c r="C2896" t="s">
        <v>22</v>
      </c>
      <c r="D2896" t="s">
        <v>15</v>
      </c>
      <c r="E2896">
        <v>37416.82</v>
      </c>
      <c r="F2896">
        <v>17</v>
      </c>
      <c r="G2896" t="s">
        <v>26</v>
      </c>
      <c r="H2896">
        <v>476.53</v>
      </c>
      <c r="I2896">
        <v>2974.31</v>
      </c>
      <c r="J2896" t="s">
        <v>17</v>
      </c>
      <c r="K2896">
        <v>0.26</v>
      </c>
      <c r="L2896" t="s">
        <v>25</v>
      </c>
      <c r="M2896" t="s">
        <v>21</v>
      </c>
    </row>
    <row r="2897" spans="1:13" x14ac:dyDescent="0.35">
      <c r="A2897">
        <v>1058</v>
      </c>
      <c r="B2897" s="1">
        <v>45549</v>
      </c>
      <c r="C2897" t="s">
        <v>32</v>
      </c>
      <c r="D2897" t="s">
        <v>23</v>
      </c>
      <c r="E2897">
        <v>78033.460000000006</v>
      </c>
      <c r="F2897">
        <v>44</v>
      </c>
      <c r="G2897" t="s">
        <v>16</v>
      </c>
      <c r="H2897">
        <v>1087.8</v>
      </c>
      <c r="I2897">
        <v>2497.87</v>
      </c>
      <c r="J2897" t="s">
        <v>27</v>
      </c>
      <c r="K2897">
        <v>0.28999999999999998</v>
      </c>
      <c r="L2897" t="s">
        <v>25</v>
      </c>
      <c r="M2897" t="s">
        <v>19</v>
      </c>
    </row>
    <row r="2898" spans="1:13" x14ac:dyDescent="0.35">
      <c r="A2898">
        <v>1008</v>
      </c>
      <c r="B2898" s="1">
        <v>45550</v>
      </c>
      <c r="C2898" t="s">
        <v>22</v>
      </c>
      <c r="D2898" t="s">
        <v>20</v>
      </c>
      <c r="E2898">
        <v>21667.61</v>
      </c>
      <c r="F2898">
        <v>10</v>
      </c>
      <c r="G2898" t="s">
        <v>31</v>
      </c>
      <c r="H2898">
        <v>1912.74</v>
      </c>
      <c r="I2898">
        <v>2519.4899999999998</v>
      </c>
      <c r="J2898" t="s">
        <v>27</v>
      </c>
      <c r="K2898">
        <v>0.14000000000000001</v>
      </c>
      <c r="L2898" t="s">
        <v>18</v>
      </c>
      <c r="M2898" t="s">
        <v>19</v>
      </c>
    </row>
    <row r="2899" spans="1:13" x14ac:dyDescent="0.35">
      <c r="A2899">
        <v>1026</v>
      </c>
      <c r="B2899" s="1">
        <v>45550</v>
      </c>
      <c r="C2899" t="s">
        <v>32</v>
      </c>
      <c r="D2899" t="s">
        <v>30</v>
      </c>
      <c r="E2899">
        <v>81654.97</v>
      </c>
      <c r="F2899">
        <v>18</v>
      </c>
      <c r="G2899" t="s">
        <v>24</v>
      </c>
      <c r="H2899">
        <v>4045.92</v>
      </c>
      <c r="I2899">
        <v>4672.3500000000004</v>
      </c>
      <c r="J2899" t="s">
        <v>17</v>
      </c>
      <c r="K2899">
        <v>0.03</v>
      </c>
      <c r="L2899" t="s">
        <v>25</v>
      </c>
      <c r="M2899" t="s">
        <v>21</v>
      </c>
    </row>
    <row r="2900" spans="1:13" x14ac:dyDescent="0.35">
      <c r="A2900">
        <v>1022</v>
      </c>
      <c r="B2900" s="1">
        <v>45550</v>
      </c>
      <c r="C2900" t="s">
        <v>33</v>
      </c>
      <c r="D2900" t="s">
        <v>30</v>
      </c>
      <c r="E2900">
        <v>116975.17</v>
      </c>
      <c r="F2900">
        <v>24</v>
      </c>
      <c r="G2900" t="s">
        <v>16</v>
      </c>
      <c r="H2900">
        <v>4306.3100000000004</v>
      </c>
      <c r="I2900">
        <v>4876.1400000000003</v>
      </c>
      <c r="J2900" t="s">
        <v>27</v>
      </c>
      <c r="K2900">
        <v>0</v>
      </c>
      <c r="L2900" t="s">
        <v>18</v>
      </c>
      <c r="M2900" t="s">
        <v>21</v>
      </c>
    </row>
    <row r="2901" spans="1:13" x14ac:dyDescent="0.35">
      <c r="A2901">
        <v>1005</v>
      </c>
      <c r="B2901" s="1">
        <v>45550</v>
      </c>
      <c r="C2901" t="s">
        <v>22</v>
      </c>
      <c r="D2901" t="s">
        <v>15</v>
      </c>
      <c r="E2901">
        <v>75145.649999999994</v>
      </c>
      <c r="F2901">
        <v>15</v>
      </c>
      <c r="G2901" t="s">
        <v>16</v>
      </c>
      <c r="H2901">
        <v>2093.58</v>
      </c>
      <c r="I2901">
        <v>5009.71</v>
      </c>
      <c r="J2901" t="s">
        <v>17</v>
      </c>
      <c r="K2901">
        <v>0</v>
      </c>
      <c r="L2901" t="s">
        <v>25</v>
      </c>
      <c r="M2901" t="s">
        <v>21</v>
      </c>
    </row>
    <row r="2902" spans="1:13" x14ac:dyDescent="0.35">
      <c r="A2902">
        <v>1030</v>
      </c>
      <c r="B2902" s="1">
        <v>45550</v>
      </c>
      <c r="C2902" t="s">
        <v>32</v>
      </c>
      <c r="D2902" t="s">
        <v>20</v>
      </c>
      <c r="E2902">
        <v>222447.72</v>
      </c>
      <c r="F2902">
        <v>46</v>
      </c>
      <c r="G2902" t="s">
        <v>24</v>
      </c>
      <c r="H2902">
        <v>1453.35</v>
      </c>
      <c r="I2902">
        <v>5495.25</v>
      </c>
      <c r="J2902" t="s">
        <v>27</v>
      </c>
      <c r="K2902">
        <v>0.12</v>
      </c>
      <c r="L2902" t="s">
        <v>28</v>
      </c>
      <c r="M2902" t="s">
        <v>21</v>
      </c>
    </row>
    <row r="2903" spans="1:13" x14ac:dyDescent="0.35">
      <c r="A2903">
        <v>1079</v>
      </c>
      <c r="B2903" s="1">
        <v>45551</v>
      </c>
      <c r="C2903" t="s">
        <v>14</v>
      </c>
      <c r="D2903" t="s">
        <v>23</v>
      </c>
      <c r="E2903">
        <v>57633.98</v>
      </c>
      <c r="F2903">
        <v>21</v>
      </c>
      <c r="G2903" t="s">
        <v>24</v>
      </c>
      <c r="H2903">
        <v>818.33</v>
      </c>
      <c r="I2903">
        <v>3191.25</v>
      </c>
      <c r="J2903" t="s">
        <v>27</v>
      </c>
      <c r="K2903">
        <v>0.14000000000000001</v>
      </c>
      <c r="L2903" t="s">
        <v>25</v>
      </c>
      <c r="M2903" t="s">
        <v>21</v>
      </c>
    </row>
    <row r="2904" spans="1:13" x14ac:dyDescent="0.35">
      <c r="A2904">
        <v>1070</v>
      </c>
      <c r="B2904" s="1">
        <v>45551</v>
      </c>
      <c r="C2904" t="s">
        <v>22</v>
      </c>
      <c r="D2904" t="s">
        <v>15</v>
      </c>
      <c r="E2904">
        <v>94315.74</v>
      </c>
      <c r="F2904">
        <v>22</v>
      </c>
      <c r="G2904" t="s">
        <v>26</v>
      </c>
      <c r="H2904">
        <v>634.09</v>
      </c>
      <c r="I2904">
        <v>5292.69</v>
      </c>
      <c r="J2904" t="s">
        <v>17</v>
      </c>
      <c r="K2904">
        <v>0.19</v>
      </c>
      <c r="L2904" t="s">
        <v>18</v>
      </c>
      <c r="M2904" t="s">
        <v>19</v>
      </c>
    </row>
    <row r="2905" spans="1:13" x14ac:dyDescent="0.35">
      <c r="A2905">
        <v>1022</v>
      </c>
      <c r="B2905" s="1">
        <v>45552</v>
      </c>
      <c r="C2905" t="s">
        <v>29</v>
      </c>
      <c r="D2905" t="s">
        <v>23</v>
      </c>
      <c r="E2905">
        <v>159441.73000000001</v>
      </c>
      <c r="F2905">
        <v>34</v>
      </c>
      <c r="G2905" t="s">
        <v>16</v>
      </c>
      <c r="H2905">
        <v>4571.2</v>
      </c>
      <c r="I2905">
        <v>4814.3999999999996</v>
      </c>
      <c r="J2905" t="s">
        <v>27</v>
      </c>
      <c r="K2905">
        <v>0.03</v>
      </c>
      <c r="L2905" t="s">
        <v>25</v>
      </c>
      <c r="M2905" t="s">
        <v>21</v>
      </c>
    </row>
    <row r="2906" spans="1:13" x14ac:dyDescent="0.35">
      <c r="A2906">
        <v>1015</v>
      </c>
      <c r="B2906" s="1">
        <v>45552</v>
      </c>
      <c r="C2906" t="s">
        <v>29</v>
      </c>
      <c r="D2906" t="s">
        <v>30</v>
      </c>
      <c r="E2906">
        <v>30843.16</v>
      </c>
      <c r="F2906">
        <v>12</v>
      </c>
      <c r="G2906" t="s">
        <v>26</v>
      </c>
      <c r="H2906">
        <v>1944</v>
      </c>
      <c r="I2906">
        <v>3569.81</v>
      </c>
      <c r="J2906" t="s">
        <v>27</v>
      </c>
      <c r="K2906">
        <v>0.28000000000000003</v>
      </c>
      <c r="L2906" t="s">
        <v>18</v>
      </c>
      <c r="M2906" t="s">
        <v>21</v>
      </c>
    </row>
    <row r="2907" spans="1:13" x14ac:dyDescent="0.35">
      <c r="A2907">
        <v>1094</v>
      </c>
      <c r="B2907" s="1">
        <v>45553</v>
      </c>
      <c r="C2907" t="s">
        <v>29</v>
      </c>
      <c r="D2907" t="s">
        <v>20</v>
      </c>
      <c r="E2907">
        <v>55068.38</v>
      </c>
      <c r="F2907">
        <v>15</v>
      </c>
      <c r="G2907" t="s">
        <v>31</v>
      </c>
      <c r="H2907">
        <v>1960.42</v>
      </c>
      <c r="I2907">
        <v>4830.5600000000004</v>
      </c>
      <c r="J2907" t="s">
        <v>17</v>
      </c>
      <c r="K2907">
        <v>0.24</v>
      </c>
      <c r="L2907" t="s">
        <v>18</v>
      </c>
      <c r="M2907" t="s">
        <v>19</v>
      </c>
    </row>
    <row r="2908" spans="1:13" x14ac:dyDescent="0.35">
      <c r="A2908">
        <v>1044</v>
      </c>
      <c r="B2908" s="1">
        <v>45553</v>
      </c>
      <c r="C2908" t="s">
        <v>14</v>
      </c>
      <c r="D2908" t="s">
        <v>30</v>
      </c>
      <c r="E2908">
        <v>100311.22</v>
      </c>
      <c r="F2908">
        <v>33</v>
      </c>
      <c r="G2908" t="s">
        <v>31</v>
      </c>
      <c r="H2908">
        <v>191.86</v>
      </c>
      <c r="I2908">
        <v>3662.33</v>
      </c>
      <c r="J2908" t="s">
        <v>27</v>
      </c>
      <c r="K2908">
        <v>0.17</v>
      </c>
      <c r="L2908" t="s">
        <v>25</v>
      </c>
      <c r="M2908" t="s">
        <v>21</v>
      </c>
    </row>
    <row r="2909" spans="1:13" x14ac:dyDescent="0.35">
      <c r="A2909">
        <v>1025</v>
      </c>
      <c r="B2909" s="1">
        <v>45554</v>
      </c>
      <c r="C2909" t="s">
        <v>33</v>
      </c>
      <c r="D2909" t="s">
        <v>15</v>
      </c>
      <c r="E2909">
        <v>4190.91</v>
      </c>
      <c r="F2909">
        <v>16</v>
      </c>
      <c r="G2909" t="s">
        <v>26</v>
      </c>
      <c r="H2909">
        <v>177.99</v>
      </c>
      <c r="I2909">
        <v>335.81</v>
      </c>
      <c r="J2909" t="s">
        <v>27</v>
      </c>
      <c r="K2909">
        <v>0.22</v>
      </c>
      <c r="L2909" t="s">
        <v>18</v>
      </c>
      <c r="M2909" t="s">
        <v>19</v>
      </c>
    </row>
    <row r="2910" spans="1:13" x14ac:dyDescent="0.35">
      <c r="A2910">
        <v>1098</v>
      </c>
      <c r="B2910" s="1">
        <v>45554</v>
      </c>
      <c r="C2910" t="s">
        <v>33</v>
      </c>
      <c r="D2910" t="s">
        <v>30</v>
      </c>
      <c r="E2910">
        <v>3551.6</v>
      </c>
      <c r="F2910">
        <v>1</v>
      </c>
      <c r="G2910" t="s">
        <v>31</v>
      </c>
      <c r="H2910">
        <v>1116.4100000000001</v>
      </c>
      <c r="I2910">
        <v>3860.43</v>
      </c>
      <c r="J2910" t="s">
        <v>17</v>
      </c>
      <c r="K2910">
        <v>0.08</v>
      </c>
      <c r="L2910" t="s">
        <v>28</v>
      </c>
      <c r="M2910" t="s">
        <v>19</v>
      </c>
    </row>
    <row r="2911" spans="1:13" x14ac:dyDescent="0.35">
      <c r="A2911">
        <v>1072</v>
      </c>
      <c r="B2911" s="1">
        <v>45554</v>
      </c>
      <c r="C2911" t="s">
        <v>32</v>
      </c>
      <c r="D2911" t="s">
        <v>23</v>
      </c>
      <c r="E2911">
        <v>209781.26</v>
      </c>
      <c r="F2911">
        <v>49</v>
      </c>
      <c r="G2911" t="s">
        <v>24</v>
      </c>
      <c r="H2911">
        <v>601.59</v>
      </c>
      <c r="I2911">
        <v>4413.66</v>
      </c>
      <c r="J2911" t="s">
        <v>17</v>
      </c>
      <c r="K2911">
        <v>0.03</v>
      </c>
      <c r="L2911" t="s">
        <v>18</v>
      </c>
      <c r="M2911" t="s">
        <v>21</v>
      </c>
    </row>
    <row r="2912" spans="1:13" x14ac:dyDescent="0.35">
      <c r="A2912">
        <v>1006</v>
      </c>
      <c r="B2912" s="1">
        <v>45555</v>
      </c>
      <c r="C2912" t="s">
        <v>14</v>
      </c>
      <c r="D2912" t="s">
        <v>15</v>
      </c>
      <c r="E2912">
        <v>26784.38</v>
      </c>
      <c r="F2912">
        <v>7</v>
      </c>
      <c r="G2912" t="s">
        <v>31</v>
      </c>
      <c r="H2912">
        <v>3360.7</v>
      </c>
      <c r="I2912">
        <v>5170.7299999999996</v>
      </c>
      <c r="J2912" t="s">
        <v>17</v>
      </c>
      <c r="K2912">
        <v>0.26</v>
      </c>
      <c r="L2912" t="s">
        <v>18</v>
      </c>
      <c r="M2912" t="s">
        <v>19</v>
      </c>
    </row>
    <row r="2913" spans="1:13" x14ac:dyDescent="0.35">
      <c r="A2913">
        <v>1093</v>
      </c>
      <c r="B2913" s="1">
        <v>45555</v>
      </c>
      <c r="C2913" t="s">
        <v>33</v>
      </c>
      <c r="D2913" t="s">
        <v>30</v>
      </c>
      <c r="E2913">
        <v>111529.23</v>
      </c>
      <c r="F2913">
        <v>31</v>
      </c>
      <c r="G2913" t="s">
        <v>31</v>
      </c>
      <c r="H2913">
        <v>1374.22</v>
      </c>
      <c r="I2913">
        <v>4861.78</v>
      </c>
      <c r="J2913" t="s">
        <v>27</v>
      </c>
      <c r="K2913">
        <v>0.26</v>
      </c>
      <c r="L2913" t="s">
        <v>28</v>
      </c>
      <c r="M2913" t="s">
        <v>19</v>
      </c>
    </row>
    <row r="2914" spans="1:13" x14ac:dyDescent="0.35">
      <c r="A2914">
        <v>1067</v>
      </c>
      <c r="B2914" s="1">
        <v>45556</v>
      </c>
      <c r="C2914" t="s">
        <v>22</v>
      </c>
      <c r="D2914" t="s">
        <v>30</v>
      </c>
      <c r="E2914">
        <v>46077.02</v>
      </c>
      <c r="F2914">
        <v>33</v>
      </c>
      <c r="G2914" t="s">
        <v>24</v>
      </c>
      <c r="H2914">
        <v>1165.3599999999999</v>
      </c>
      <c r="I2914">
        <v>1428.84</v>
      </c>
      <c r="J2914" t="s">
        <v>27</v>
      </c>
      <c r="K2914">
        <v>0.02</v>
      </c>
      <c r="L2914" t="s">
        <v>28</v>
      </c>
      <c r="M2914" t="s">
        <v>21</v>
      </c>
    </row>
    <row r="2915" spans="1:13" x14ac:dyDescent="0.35">
      <c r="A2915">
        <v>1025</v>
      </c>
      <c r="B2915" s="1">
        <v>45556</v>
      </c>
      <c r="C2915" t="s">
        <v>22</v>
      </c>
      <c r="D2915" t="s">
        <v>15</v>
      </c>
      <c r="E2915">
        <v>123446.24</v>
      </c>
      <c r="F2915">
        <v>30</v>
      </c>
      <c r="G2915" t="s">
        <v>26</v>
      </c>
      <c r="H2915">
        <v>3346.92</v>
      </c>
      <c r="I2915">
        <v>4472.6899999999996</v>
      </c>
      <c r="J2915" t="s">
        <v>17</v>
      </c>
      <c r="K2915">
        <v>0.08</v>
      </c>
      <c r="L2915" t="s">
        <v>18</v>
      </c>
      <c r="M2915" t="s">
        <v>21</v>
      </c>
    </row>
    <row r="2916" spans="1:13" x14ac:dyDescent="0.35">
      <c r="A2916">
        <v>1092</v>
      </c>
      <c r="B2916" s="1">
        <v>45556</v>
      </c>
      <c r="C2916" t="s">
        <v>22</v>
      </c>
      <c r="D2916" t="s">
        <v>20</v>
      </c>
      <c r="E2916">
        <v>56824.76</v>
      </c>
      <c r="F2916">
        <v>26</v>
      </c>
      <c r="G2916" t="s">
        <v>16</v>
      </c>
      <c r="H2916">
        <v>762.78</v>
      </c>
      <c r="I2916">
        <v>2914.09</v>
      </c>
      <c r="J2916" t="s">
        <v>17</v>
      </c>
      <c r="K2916">
        <v>0.25</v>
      </c>
      <c r="L2916" t="s">
        <v>18</v>
      </c>
      <c r="M2916" t="s">
        <v>21</v>
      </c>
    </row>
    <row r="2917" spans="1:13" x14ac:dyDescent="0.35">
      <c r="A2917">
        <v>1060</v>
      </c>
      <c r="B2917" s="1">
        <v>45556</v>
      </c>
      <c r="C2917" t="s">
        <v>33</v>
      </c>
      <c r="D2917" t="s">
        <v>30</v>
      </c>
      <c r="E2917">
        <v>72903.5</v>
      </c>
      <c r="F2917">
        <v>18</v>
      </c>
      <c r="G2917" t="s">
        <v>24</v>
      </c>
      <c r="H2917">
        <v>221.91</v>
      </c>
      <c r="I2917">
        <v>4821.66</v>
      </c>
      <c r="J2917" t="s">
        <v>27</v>
      </c>
      <c r="K2917">
        <v>0.16</v>
      </c>
      <c r="L2917" t="s">
        <v>25</v>
      </c>
      <c r="M2917" t="s">
        <v>21</v>
      </c>
    </row>
    <row r="2918" spans="1:13" x14ac:dyDescent="0.35">
      <c r="A2918">
        <v>1044</v>
      </c>
      <c r="B2918" s="1">
        <v>45556</v>
      </c>
      <c r="C2918" t="s">
        <v>29</v>
      </c>
      <c r="D2918" t="s">
        <v>20</v>
      </c>
      <c r="E2918">
        <v>112285.8</v>
      </c>
      <c r="F2918">
        <v>38</v>
      </c>
      <c r="G2918" t="s">
        <v>16</v>
      </c>
      <c r="H2918">
        <v>397.99</v>
      </c>
      <c r="I2918">
        <v>3788.32</v>
      </c>
      <c r="J2918" t="s">
        <v>17</v>
      </c>
      <c r="K2918">
        <v>0.22</v>
      </c>
      <c r="L2918" t="s">
        <v>28</v>
      </c>
      <c r="M2918" t="s">
        <v>19</v>
      </c>
    </row>
    <row r="2919" spans="1:13" x14ac:dyDescent="0.35">
      <c r="A2919">
        <v>1073</v>
      </c>
      <c r="B2919" s="1">
        <v>45557</v>
      </c>
      <c r="C2919" t="s">
        <v>33</v>
      </c>
      <c r="D2919" t="s">
        <v>23</v>
      </c>
      <c r="E2919">
        <v>133761.48000000001</v>
      </c>
      <c r="F2919">
        <v>43</v>
      </c>
      <c r="G2919" t="s">
        <v>26</v>
      </c>
      <c r="H2919">
        <v>3072.11</v>
      </c>
      <c r="I2919">
        <v>3840.41</v>
      </c>
      <c r="J2919" t="s">
        <v>17</v>
      </c>
      <c r="K2919">
        <v>0.19</v>
      </c>
      <c r="L2919" t="s">
        <v>25</v>
      </c>
      <c r="M2919" t="s">
        <v>21</v>
      </c>
    </row>
    <row r="2920" spans="1:13" x14ac:dyDescent="0.35">
      <c r="A2920">
        <v>1095</v>
      </c>
      <c r="B2920" s="1">
        <v>45557</v>
      </c>
      <c r="C2920" t="s">
        <v>33</v>
      </c>
      <c r="D2920" t="s">
        <v>20</v>
      </c>
      <c r="E2920">
        <v>59698.97</v>
      </c>
      <c r="F2920">
        <v>21</v>
      </c>
      <c r="G2920" t="s">
        <v>16</v>
      </c>
      <c r="H2920">
        <v>801.51</v>
      </c>
      <c r="I2920">
        <v>3425.07</v>
      </c>
      <c r="J2920" t="s">
        <v>17</v>
      </c>
      <c r="K2920">
        <v>0.17</v>
      </c>
      <c r="L2920" t="s">
        <v>28</v>
      </c>
      <c r="M2920" t="s">
        <v>19</v>
      </c>
    </row>
    <row r="2921" spans="1:13" x14ac:dyDescent="0.35">
      <c r="A2921">
        <v>1027</v>
      </c>
      <c r="B2921" s="1">
        <v>45558</v>
      </c>
      <c r="C2921" t="s">
        <v>32</v>
      </c>
      <c r="D2921" t="s">
        <v>20</v>
      </c>
      <c r="E2921">
        <v>18544.580000000002</v>
      </c>
      <c r="F2921">
        <v>11</v>
      </c>
      <c r="G2921" t="s">
        <v>24</v>
      </c>
      <c r="H2921">
        <v>1591.2</v>
      </c>
      <c r="I2921">
        <v>2031.17</v>
      </c>
      <c r="J2921" t="s">
        <v>27</v>
      </c>
      <c r="K2921">
        <v>0.17</v>
      </c>
      <c r="L2921" t="s">
        <v>28</v>
      </c>
      <c r="M2921" t="s">
        <v>19</v>
      </c>
    </row>
    <row r="2922" spans="1:13" x14ac:dyDescent="0.35">
      <c r="A2922">
        <v>1097</v>
      </c>
      <c r="B2922" s="1">
        <v>45558</v>
      </c>
      <c r="C2922" t="s">
        <v>14</v>
      </c>
      <c r="D2922" t="s">
        <v>15</v>
      </c>
      <c r="E2922">
        <v>83622.87</v>
      </c>
      <c r="F2922">
        <v>17</v>
      </c>
      <c r="G2922" t="s">
        <v>24</v>
      </c>
      <c r="H2922">
        <v>4846.6400000000003</v>
      </c>
      <c r="I2922">
        <v>5019.38</v>
      </c>
      <c r="J2922" t="s">
        <v>17</v>
      </c>
      <c r="K2922">
        <v>0.02</v>
      </c>
      <c r="L2922" t="s">
        <v>28</v>
      </c>
      <c r="M2922" t="s">
        <v>19</v>
      </c>
    </row>
    <row r="2923" spans="1:13" x14ac:dyDescent="0.35">
      <c r="A2923">
        <v>1043</v>
      </c>
      <c r="B2923" s="1">
        <v>45558</v>
      </c>
      <c r="C2923" t="s">
        <v>32</v>
      </c>
      <c r="D2923" t="s">
        <v>23</v>
      </c>
      <c r="E2923">
        <v>77061.97</v>
      </c>
      <c r="F2923">
        <v>18</v>
      </c>
      <c r="G2923" t="s">
        <v>26</v>
      </c>
      <c r="H2923">
        <v>3271.25</v>
      </c>
      <c r="I2923">
        <v>4810.3599999999997</v>
      </c>
      <c r="J2923" t="s">
        <v>17</v>
      </c>
      <c r="K2923">
        <v>0.11</v>
      </c>
      <c r="L2923" t="s">
        <v>28</v>
      </c>
      <c r="M2923" t="s">
        <v>21</v>
      </c>
    </row>
    <row r="2924" spans="1:13" x14ac:dyDescent="0.35">
      <c r="A2924">
        <v>1064</v>
      </c>
      <c r="B2924" s="1">
        <v>45559</v>
      </c>
      <c r="C2924" t="s">
        <v>29</v>
      </c>
      <c r="D2924" t="s">
        <v>30</v>
      </c>
      <c r="E2924">
        <v>70662.429999999993</v>
      </c>
      <c r="F2924">
        <v>19</v>
      </c>
      <c r="G2924" t="s">
        <v>31</v>
      </c>
      <c r="H2924">
        <v>3244.14</v>
      </c>
      <c r="I2924">
        <v>4707.6899999999996</v>
      </c>
      <c r="J2924" t="s">
        <v>27</v>
      </c>
      <c r="K2924">
        <v>0.21</v>
      </c>
      <c r="L2924" t="s">
        <v>18</v>
      </c>
      <c r="M2924" t="s">
        <v>21</v>
      </c>
    </row>
    <row r="2925" spans="1:13" x14ac:dyDescent="0.35">
      <c r="A2925">
        <v>1015</v>
      </c>
      <c r="B2925" s="1">
        <v>45559</v>
      </c>
      <c r="C2925" t="s">
        <v>14</v>
      </c>
      <c r="D2925" t="s">
        <v>30</v>
      </c>
      <c r="E2925">
        <v>83922.43</v>
      </c>
      <c r="F2925">
        <v>24</v>
      </c>
      <c r="G2925" t="s">
        <v>24</v>
      </c>
      <c r="H2925">
        <v>595.63</v>
      </c>
      <c r="I2925">
        <v>3973.6</v>
      </c>
      <c r="J2925" t="s">
        <v>17</v>
      </c>
      <c r="K2925">
        <v>0.12</v>
      </c>
      <c r="L2925" t="s">
        <v>28</v>
      </c>
      <c r="M2925" t="s">
        <v>19</v>
      </c>
    </row>
    <row r="2926" spans="1:13" x14ac:dyDescent="0.35">
      <c r="A2926">
        <v>1091</v>
      </c>
      <c r="B2926" s="1">
        <v>45560</v>
      </c>
      <c r="C2926" t="s">
        <v>33</v>
      </c>
      <c r="D2926" t="s">
        <v>30</v>
      </c>
      <c r="E2926">
        <v>129567.45</v>
      </c>
      <c r="F2926">
        <v>44</v>
      </c>
      <c r="G2926" t="s">
        <v>24</v>
      </c>
      <c r="H2926">
        <v>775.76</v>
      </c>
      <c r="I2926">
        <v>3166.36</v>
      </c>
      <c r="J2926" t="s">
        <v>17</v>
      </c>
      <c r="K2926">
        <v>7.0000000000000007E-2</v>
      </c>
      <c r="L2926" t="s">
        <v>28</v>
      </c>
      <c r="M2926" t="s">
        <v>21</v>
      </c>
    </row>
    <row r="2927" spans="1:13" x14ac:dyDescent="0.35">
      <c r="A2927">
        <v>1043</v>
      </c>
      <c r="B2927" s="1">
        <v>45561</v>
      </c>
      <c r="C2927" t="s">
        <v>22</v>
      </c>
      <c r="D2927" t="s">
        <v>23</v>
      </c>
      <c r="E2927">
        <v>8898.2000000000007</v>
      </c>
      <c r="F2927">
        <v>5</v>
      </c>
      <c r="G2927" t="s">
        <v>24</v>
      </c>
      <c r="H2927">
        <v>799.18</v>
      </c>
      <c r="I2927">
        <v>2118.62</v>
      </c>
      <c r="J2927" t="s">
        <v>17</v>
      </c>
      <c r="K2927">
        <v>0.16</v>
      </c>
      <c r="L2927" t="s">
        <v>18</v>
      </c>
      <c r="M2927" t="s">
        <v>21</v>
      </c>
    </row>
    <row r="2928" spans="1:13" x14ac:dyDescent="0.35">
      <c r="A2928">
        <v>1024</v>
      </c>
      <c r="B2928" s="1">
        <v>45561</v>
      </c>
      <c r="C2928" t="s">
        <v>32</v>
      </c>
      <c r="D2928" t="s">
        <v>15</v>
      </c>
      <c r="E2928">
        <v>102143.81</v>
      </c>
      <c r="F2928">
        <v>30</v>
      </c>
      <c r="G2928" t="s">
        <v>26</v>
      </c>
      <c r="H2928">
        <v>2434.48</v>
      </c>
      <c r="I2928">
        <v>4728.88</v>
      </c>
      <c r="J2928" t="s">
        <v>27</v>
      </c>
      <c r="K2928">
        <v>0.28000000000000003</v>
      </c>
      <c r="L2928" t="s">
        <v>18</v>
      </c>
      <c r="M2928" t="s">
        <v>21</v>
      </c>
    </row>
    <row r="2929" spans="1:13" x14ac:dyDescent="0.35">
      <c r="A2929">
        <v>1076</v>
      </c>
      <c r="B2929" s="1">
        <v>45561</v>
      </c>
      <c r="C2929" t="s">
        <v>29</v>
      </c>
      <c r="D2929" t="s">
        <v>30</v>
      </c>
      <c r="E2929">
        <v>62850.67</v>
      </c>
      <c r="F2929">
        <v>43</v>
      </c>
      <c r="G2929" t="s">
        <v>31</v>
      </c>
      <c r="H2929">
        <v>245.62</v>
      </c>
      <c r="I2929">
        <v>1680.05</v>
      </c>
      <c r="J2929" t="s">
        <v>17</v>
      </c>
      <c r="K2929">
        <v>0.13</v>
      </c>
      <c r="L2929" t="s">
        <v>25</v>
      </c>
      <c r="M2929" t="s">
        <v>19</v>
      </c>
    </row>
    <row r="2930" spans="1:13" x14ac:dyDescent="0.35">
      <c r="A2930">
        <v>1010</v>
      </c>
      <c r="B2930" s="1">
        <v>45561</v>
      </c>
      <c r="C2930" t="s">
        <v>14</v>
      </c>
      <c r="D2930" t="s">
        <v>23</v>
      </c>
      <c r="E2930">
        <v>127397.54</v>
      </c>
      <c r="F2930">
        <v>42</v>
      </c>
      <c r="G2930" t="s">
        <v>31</v>
      </c>
      <c r="H2930">
        <v>1671.63</v>
      </c>
      <c r="I2930">
        <v>4099.0200000000004</v>
      </c>
      <c r="J2930" t="s">
        <v>17</v>
      </c>
      <c r="K2930">
        <v>0.26</v>
      </c>
      <c r="L2930" t="s">
        <v>18</v>
      </c>
      <c r="M2930" t="s">
        <v>21</v>
      </c>
    </row>
    <row r="2931" spans="1:13" x14ac:dyDescent="0.35">
      <c r="A2931">
        <v>1021</v>
      </c>
      <c r="B2931" s="1">
        <v>45561</v>
      </c>
      <c r="C2931" t="s">
        <v>32</v>
      </c>
      <c r="D2931" t="s">
        <v>23</v>
      </c>
      <c r="E2931">
        <v>79806.720000000001</v>
      </c>
      <c r="F2931">
        <v>20</v>
      </c>
      <c r="G2931" t="s">
        <v>31</v>
      </c>
      <c r="H2931">
        <v>1102.32</v>
      </c>
      <c r="I2931">
        <v>4750.3999999999996</v>
      </c>
      <c r="J2931" t="s">
        <v>17</v>
      </c>
      <c r="K2931">
        <v>0.16</v>
      </c>
      <c r="L2931" t="s">
        <v>28</v>
      </c>
      <c r="M2931" t="s">
        <v>19</v>
      </c>
    </row>
    <row r="2932" spans="1:13" x14ac:dyDescent="0.35">
      <c r="A2932">
        <v>1005</v>
      </c>
      <c r="B2932" s="1">
        <v>45562</v>
      </c>
      <c r="C2932" t="s">
        <v>22</v>
      </c>
      <c r="D2932" t="s">
        <v>15</v>
      </c>
      <c r="E2932">
        <v>152039</v>
      </c>
      <c r="F2932">
        <v>39</v>
      </c>
      <c r="G2932" t="s">
        <v>24</v>
      </c>
      <c r="H2932">
        <v>1857.91</v>
      </c>
      <c r="I2932">
        <v>4754.1899999999996</v>
      </c>
      <c r="J2932" t="s">
        <v>27</v>
      </c>
      <c r="K2932">
        <v>0.18</v>
      </c>
      <c r="L2932" t="s">
        <v>25</v>
      </c>
      <c r="M2932" t="s">
        <v>21</v>
      </c>
    </row>
    <row r="2933" spans="1:13" x14ac:dyDescent="0.35">
      <c r="A2933">
        <v>1068</v>
      </c>
      <c r="B2933" s="1">
        <v>45563</v>
      </c>
      <c r="C2933" t="s">
        <v>22</v>
      </c>
      <c r="D2933" t="s">
        <v>15</v>
      </c>
      <c r="E2933">
        <v>6227.37</v>
      </c>
      <c r="F2933">
        <v>3</v>
      </c>
      <c r="G2933" t="s">
        <v>16</v>
      </c>
      <c r="H2933">
        <v>1942.6</v>
      </c>
      <c r="I2933">
        <v>2116.6799999999998</v>
      </c>
      <c r="J2933" t="s">
        <v>17</v>
      </c>
      <c r="K2933">
        <v>0.02</v>
      </c>
      <c r="L2933" t="s">
        <v>25</v>
      </c>
      <c r="M2933" t="s">
        <v>19</v>
      </c>
    </row>
    <row r="2934" spans="1:13" x14ac:dyDescent="0.35">
      <c r="A2934">
        <v>1078</v>
      </c>
      <c r="B2934" s="1">
        <v>45563</v>
      </c>
      <c r="C2934" t="s">
        <v>22</v>
      </c>
      <c r="D2934" t="s">
        <v>15</v>
      </c>
      <c r="E2934">
        <v>51963.12</v>
      </c>
      <c r="F2934">
        <v>19</v>
      </c>
      <c r="G2934" t="s">
        <v>16</v>
      </c>
      <c r="H2934">
        <v>1659.98</v>
      </c>
      <c r="I2934">
        <v>3461.9</v>
      </c>
      <c r="J2934" t="s">
        <v>27</v>
      </c>
      <c r="K2934">
        <v>0.21</v>
      </c>
      <c r="L2934" t="s">
        <v>28</v>
      </c>
      <c r="M2934" t="s">
        <v>19</v>
      </c>
    </row>
    <row r="2935" spans="1:13" x14ac:dyDescent="0.35">
      <c r="A2935">
        <v>1088</v>
      </c>
      <c r="B2935" s="1">
        <v>45563</v>
      </c>
      <c r="C2935" t="s">
        <v>33</v>
      </c>
      <c r="D2935" t="s">
        <v>30</v>
      </c>
      <c r="E2935">
        <v>127050.3</v>
      </c>
      <c r="F2935">
        <v>37</v>
      </c>
      <c r="G2935" t="s">
        <v>26</v>
      </c>
      <c r="H2935">
        <v>2088.19</v>
      </c>
      <c r="I2935">
        <v>3652.97</v>
      </c>
      <c r="J2935" t="s">
        <v>17</v>
      </c>
      <c r="K2935">
        <v>0.06</v>
      </c>
      <c r="L2935" t="s">
        <v>28</v>
      </c>
      <c r="M2935" t="s">
        <v>19</v>
      </c>
    </row>
    <row r="2936" spans="1:13" x14ac:dyDescent="0.35">
      <c r="A2936">
        <v>1039</v>
      </c>
      <c r="B2936" s="1">
        <v>45563</v>
      </c>
      <c r="C2936" t="s">
        <v>29</v>
      </c>
      <c r="D2936" t="s">
        <v>30</v>
      </c>
      <c r="E2936">
        <v>91714.95</v>
      </c>
      <c r="F2936">
        <v>22</v>
      </c>
      <c r="G2936" t="s">
        <v>24</v>
      </c>
      <c r="H2936">
        <v>152.66</v>
      </c>
      <c r="I2936">
        <v>4962.93</v>
      </c>
      <c r="J2936" t="s">
        <v>27</v>
      </c>
      <c r="K2936">
        <v>0.16</v>
      </c>
      <c r="L2936" t="s">
        <v>28</v>
      </c>
      <c r="M2936" t="s">
        <v>21</v>
      </c>
    </row>
    <row r="2937" spans="1:13" x14ac:dyDescent="0.35">
      <c r="A2937">
        <v>1083</v>
      </c>
      <c r="B2937" s="1">
        <v>45563</v>
      </c>
      <c r="C2937" t="s">
        <v>22</v>
      </c>
      <c r="D2937" t="s">
        <v>23</v>
      </c>
      <c r="E2937">
        <v>185095.44</v>
      </c>
      <c r="F2937">
        <v>45</v>
      </c>
      <c r="G2937" t="s">
        <v>24</v>
      </c>
      <c r="H2937">
        <v>227.39</v>
      </c>
      <c r="I2937">
        <v>4422.83</v>
      </c>
      <c r="J2937" t="s">
        <v>27</v>
      </c>
      <c r="K2937">
        <v>7.0000000000000007E-2</v>
      </c>
      <c r="L2937" t="s">
        <v>18</v>
      </c>
      <c r="M2937" t="s">
        <v>19</v>
      </c>
    </row>
    <row r="2938" spans="1:13" x14ac:dyDescent="0.35">
      <c r="A2938">
        <v>1024</v>
      </c>
      <c r="B2938" s="1">
        <v>45564</v>
      </c>
      <c r="C2938" t="s">
        <v>14</v>
      </c>
      <c r="D2938" t="s">
        <v>30</v>
      </c>
      <c r="E2938">
        <v>2918.68</v>
      </c>
      <c r="F2938">
        <v>1</v>
      </c>
      <c r="G2938" t="s">
        <v>31</v>
      </c>
      <c r="H2938">
        <v>385.25</v>
      </c>
      <c r="I2938">
        <v>3944.16</v>
      </c>
      <c r="J2938" t="s">
        <v>27</v>
      </c>
      <c r="K2938">
        <v>0.26</v>
      </c>
      <c r="L2938" t="s">
        <v>28</v>
      </c>
      <c r="M2938" t="s">
        <v>19</v>
      </c>
    </row>
    <row r="2939" spans="1:13" x14ac:dyDescent="0.35">
      <c r="A2939">
        <v>1092</v>
      </c>
      <c r="B2939" s="1">
        <v>45564</v>
      </c>
      <c r="C2939" t="s">
        <v>14</v>
      </c>
      <c r="D2939" t="s">
        <v>30</v>
      </c>
      <c r="E2939">
        <v>27240.15</v>
      </c>
      <c r="F2939">
        <v>8</v>
      </c>
      <c r="G2939" t="s">
        <v>26</v>
      </c>
      <c r="H2939">
        <v>1918.18</v>
      </c>
      <c r="I2939">
        <v>3869.34</v>
      </c>
      <c r="J2939" t="s">
        <v>27</v>
      </c>
      <c r="K2939">
        <v>0.12</v>
      </c>
      <c r="L2939" t="s">
        <v>25</v>
      </c>
      <c r="M2939" t="s">
        <v>19</v>
      </c>
    </row>
    <row r="2940" spans="1:13" x14ac:dyDescent="0.35">
      <c r="A2940">
        <v>1090</v>
      </c>
      <c r="B2940" s="1">
        <v>45564</v>
      </c>
      <c r="C2940" t="s">
        <v>32</v>
      </c>
      <c r="D2940" t="s">
        <v>15</v>
      </c>
      <c r="E2940">
        <v>151366.71</v>
      </c>
      <c r="F2940">
        <v>38</v>
      </c>
      <c r="G2940" t="s">
        <v>26</v>
      </c>
      <c r="H2940">
        <v>2824.4</v>
      </c>
      <c r="I2940">
        <v>4237.59</v>
      </c>
      <c r="J2940" t="s">
        <v>17</v>
      </c>
      <c r="K2940">
        <v>0.06</v>
      </c>
      <c r="L2940" t="s">
        <v>18</v>
      </c>
      <c r="M2940" t="s">
        <v>21</v>
      </c>
    </row>
    <row r="2941" spans="1:13" x14ac:dyDescent="0.35">
      <c r="A2941">
        <v>1076</v>
      </c>
      <c r="B2941" s="1">
        <v>45565</v>
      </c>
      <c r="C2941" t="s">
        <v>14</v>
      </c>
      <c r="D2941" t="s">
        <v>20</v>
      </c>
      <c r="E2941">
        <v>1629.9</v>
      </c>
      <c r="F2941">
        <v>2</v>
      </c>
      <c r="G2941" t="s">
        <v>31</v>
      </c>
      <c r="H2941">
        <v>755.02</v>
      </c>
      <c r="I2941">
        <v>829.39</v>
      </c>
      <c r="J2941" t="s">
        <v>17</v>
      </c>
      <c r="K2941">
        <v>0.02</v>
      </c>
      <c r="L2941" t="s">
        <v>25</v>
      </c>
      <c r="M2941" t="s">
        <v>21</v>
      </c>
    </row>
    <row r="2942" spans="1:13" x14ac:dyDescent="0.35">
      <c r="A2942">
        <v>1001</v>
      </c>
      <c r="B2942" s="1">
        <v>45565</v>
      </c>
      <c r="C2942" t="s">
        <v>32</v>
      </c>
      <c r="D2942" t="s">
        <v>30</v>
      </c>
      <c r="E2942">
        <v>21689.89</v>
      </c>
      <c r="F2942">
        <v>6</v>
      </c>
      <c r="G2942" t="s">
        <v>31</v>
      </c>
      <c r="H2942">
        <v>2792</v>
      </c>
      <c r="I2942">
        <v>5164.26</v>
      </c>
      <c r="J2942" t="s">
        <v>27</v>
      </c>
      <c r="K2942">
        <v>0.3</v>
      </c>
      <c r="L2942" t="s">
        <v>28</v>
      </c>
      <c r="M2942" t="s">
        <v>19</v>
      </c>
    </row>
    <row r="2943" spans="1:13" x14ac:dyDescent="0.35">
      <c r="A2943">
        <v>1021</v>
      </c>
      <c r="B2943" s="1">
        <v>45565</v>
      </c>
      <c r="C2943" t="s">
        <v>29</v>
      </c>
      <c r="D2943" t="s">
        <v>23</v>
      </c>
      <c r="E2943">
        <v>21035.279999999999</v>
      </c>
      <c r="F2943">
        <v>5</v>
      </c>
      <c r="G2943" t="s">
        <v>24</v>
      </c>
      <c r="H2943">
        <v>1532.14</v>
      </c>
      <c r="I2943">
        <v>4727.03</v>
      </c>
      <c r="J2943" t="s">
        <v>17</v>
      </c>
      <c r="K2943">
        <v>0.11</v>
      </c>
      <c r="L2943" t="s">
        <v>18</v>
      </c>
      <c r="M2943" t="s">
        <v>19</v>
      </c>
    </row>
    <row r="2944" spans="1:13" x14ac:dyDescent="0.35">
      <c r="A2944">
        <v>1085</v>
      </c>
      <c r="B2944" s="1">
        <v>45565</v>
      </c>
      <c r="C2944" t="s">
        <v>33</v>
      </c>
      <c r="D2944" t="s">
        <v>20</v>
      </c>
      <c r="E2944">
        <v>88592.95</v>
      </c>
      <c r="F2944">
        <v>25</v>
      </c>
      <c r="G2944" t="s">
        <v>16</v>
      </c>
      <c r="H2944">
        <v>2371.1</v>
      </c>
      <c r="I2944">
        <v>4169.08</v>
      </c>
      <c r="J2944" t="s">
        <v>17</v>
      </c>
      <c r="K2944">
        <v>0.15</v>
      </c>
      <c r="L2944" t="s">
        <v>18</v>
      </c>
      <c r="M2944" t="s">
        <v>19</v>
      </c>
    </row>
    <row r="2945" spans="1:13" x14ac:dyDescent="0.35">
      <c r="A2945">
        <v>1053</v>
      </c>
      <c r="B2945" s="1">
        <v>45565</v>
      </c>
      <c r="C2945" t="s">
        <v>22</v>
      </c>
      <c r="D2945" t="s">
        <v>15</v>
      </c>
      <c r="E2945">
        <v>69772.37</v>
      </c>
      <c r="F2945">
        <v>15</v>
      </c>
      <c r="G2945" t="s">
        <v>24</v>
      </c>
      <c r="H2945">
        <v>1476.76</v>
      </c>
      <c r="I2945">
        <v>4746.42</v>
      </c>
      <c r="J2945" t="s">
        <v>27</v>
      </c>
      <c r="K2945">
        <v>0.02</v>
      </c>
      <c r="L2945" t="s">
        <v>25</v>
      </c>
      <c r="M2945" t="s">
        <v>21</v>
      </c>
    </row>
    <row r="2946" spans="1:13" x14ac:dyDescent="0.35">
      <c r="A2946">
        <v>1077</v>
      </c>
      <c r="B2946" s="1">
        <v>45565</v>
      </c>
      <c r="C2946" t="s">
        <v>32</v>
      </c>
      <c r="D2946" t="s">
        <v>20</v>
      </c>
      <c r="E2946">
        <v>85648.98</v>
      </c>
      <c r="F2946">
        <v>46</v>
      </c>
      <c r="G2946" t="s">
        <v>26</v>
      </c>
      <c r="H2946">
        <v>317.32</v>
      </c>
      <c r="I2946">
        <v>1919.52</v>
      </c>
      <c r="J2946" t="s">
        <v>27</v>
      </c>
      <c r="K2946">
        <v>0.03</v>
      </c>
      <c r="L2946" t="s">
        <v>18</v>
      </c>
      <c r="M2946" t="s">
        <v>21</v>
      </c>
    </row>
    <row r="2947" spans="1:13" x14ac:dyDescent="0.35">
      <c r="A2947">
        <v>1099</v>
      </c>
      <c r="B2947" s="1">
        <v>45566</v>
      </c>
      <c r="C2947" t="s">
        <v>29</v>
      </c>
      <c r="D2947" t="s">
        <v>20</v>
      </c>
      <c r="E2947">
        <v>18400.52</v>
      </c>
      <c r="F2947">
        <v>9</v>
      </c>
      <c r="G2947" t="s">
        <v>26</v>
      </c>
      <c r="H2947">
        <v>1544.5</v>
      </c>
      <c r="I2947">
        <v>2198.39</v>
      </c>
      <c r="J2947" t="s">
        <v>27</v>
      </c>
      <c r="K2947">
        <v>7.0000000000000007E-2</v>
      </c>
      <c r="L2947" t="s">
        <v>25</v>
      </c>
      <c r="M2947" t="s">
        <v>19</v>
      </c>
    </row>
    <row r="2948" spans="1:13" x14ac:dyDescent="0.35">
      <c r="A2948">
        <v>1088</v>
      </c>
      <c r="B2948" s="1">
        <v>45566</v>
      </c>
      <c r="C2948" t="s">
        <v>29</v>
      </c>
      <c r="D2948" t="s">
        <v>30</v>
      </c>
      <c r="E2948">
        <v>82932.2</v>
      </c>
      <c r="F2948">
        <v>28</v>
      </c>
      <c r="G2948" t="s">
        <v>16</v>
      </c>
      <c r="H2948">
        <v>252.73</v>
      </c>
      <c r="I2948">
        <v>3897.19</v>
      </c>
      <c r="J2948" t="s">
        <v>27</v>
      </c>
      <c r="K2948">
        <v>0.24</v>
      </c>
      <c r="L2948" t="s">
        <v>28</v>
      </c>
      <c r="M2948" t="s">
        <v>19</v>
      </c>
    </row>
    <row r="2949" spans="1:13" x14ac:dyDescent="0.35">
      <c r="A2949">
        <v>1097</v>
      </c>
      <c r="B2949" s="1">
        <v>45567</v>
      </c>
      <c r="C2949" t="s">
        <v>22</v>
      </c>
      <c r="D2949" t="s">
        <v>30</v>
      </c>
      <c r="E2949">
        <v>205533.77</v>
      </c>
      <c r="F2949">
        <v>46</v>
      </c>
      <c r="G2949" t="s">
        <v>24</v>
      </c>
      <c r="H2949">
        <v>4033.74</v>
      </c>
      <c r="I2949">
        <v>4703.29</v>
      </c>
      <c r="J2949" t="s">
        <v>27</v>
      </c>
      <c r="K2949">
        <v>0.05</v>
      </c>
      <c r="L2949" t="s">
        <v>25</v>
      </c>
      <c r="M2949" t="s">
        <v>19</v>
      </c>
    </row>
    <row r="2950" spans="1:13" x14ac:dyDescent="0.35">
      <c r="A2950">
        <v>1030</v>
      </c>
      <c r="B2950" s="1">
        <v>45567</v>
      </c>
      <c r="C2950" t="s">
        <v>29</v>
      </c>
      <c r="D2950" t="s">
        <v>30</v>
      </c>
      <c r="E2950">
        <v>83242.289999999994</v>
      </c>
      <c r="F2950">
        <v>48</v>
      </c>
      <c r="G2950" t="s">
        <v>24</v>
      </c>
      <c r="H2950">
        <v>1135.01</v>
      </c>
      <c r="I2950">
        <v>1905.73</v>
      </c>
      <c r="J2950" t="s">
        <v>17</v>
      </c>
      <c r="K2950">
        <v>0.09</v>
      </c>
      <c r="L2950" t="s">
        <v>18</v>
      </c>
      <c r="M2950" t="s">
        <v>19</v>
      </c>
    </row>
    <row r="2951" spans="1:13" x14ac:dyDescent="0.35">
      <c r="A2951">
        <v>1090</v>
      </c>
      <c r="B2951" s="1">
        <v>45567</v>
      </c>
      <c r="C2951" t="s">
        <v>33</v>
      </c>
      <c r="D2951" t="s">
        <v>23</v>
      </c>
      <c r="E2951">
        <v>63149</v>
      </c>
      <c r="F2951">
        <v>25</v>
      </c>
      <c r="G2951" t="s">
        <v>26</v>
      </c>
      <c r="H2951">
        <v>1355.53</v>
      </c>
      <c r="I2951">
        <v>2775.78</v>
      </c>
      <c r="J2951" t="s">
        <v>17</v>
      </c>
      <c r="K2951">
        <v>0.09</v>
      </c>
      <c r="L2951" t="s">
        <v>25</v>
      </c>
      <c r="M2951" t="s">
        <v>21</v>
      </c>
    </row>
    <row r="2952" spans="1:13" x14ac:dyDescent="0.35">
      <c r="A2952">
        <v>1031</v>
      </c>
      <c r="B2952" s="1">
        <v>45567</v>
      </c>
      <c r="C2952" t="s">
        <v>14</v>
      </c>
      <c r="D2952" t="s">
        <v>20</v>
      </c>
      <c r="E2952">
        <v>98886.06</v>
      </c>
      <c r="F2952">
        <v>30</v>
      </c>
      <c r="G2952" t="s">
        <v>16</v>
      </c>
      <c r="H2952">
        <v>2186.5500000000002</v>
      </c>
      <c r="I2952">
        <v>3622.2</v>
      </c>
      <c r="J2952" t="s">
        <v>27</v>
      </c>
      <c r="K2952">
        <v>0.09</v>
      </c>
      <c r="L2952" t="s">
        <v>28</v>
      </c>
      <c r="M2952" t="s">
        <v>21</v>
      </c>
    </row>
    <row r="2953" spans="1:13" x14ac:dyDescent="0.35">
      <c r="A2953">
        <v>1070</v>
      </c>
      <c r="B2953" s="1">
        <v>45567</v>
      </c>
      <c r="C2953" t="s">
        <v>32</v>
      </c>
      <c r="D2953" t="s">
        <v>23</v>
      </c>
      <c r="E2953">
        <v>108974.92</v>
      </c>
      <c r="F2953">
        <v>35</v>
      </c>
      <c r="G2953" t="s">
        <v>26</v>
      </c>
      <c r="H2953">
        <v>331.88</v>
      </c>
      <c r="I2953">
        <v>3706.63</v>
      </c>
      <c r="J2953" t="s">
        <v>17</v>
      </c>
      <c r="K2953">
        <v>0.16</v>
      </c>
      <c r="L2953" t="s">
        <v>18</v>
      </c>
      <c r="M2953" t="s">
        <v>21</v>
      </c>
    </row>
    <row r="2954" spans="1:13" x14ac:dyDescent="0.35">
      <c r="A2954">
        <v>1024</v>
      </c>
      <c r="B2954" s="1">
        <v>45568</v>
      </c>
      <c r="C2954" t="s">
        <v>32</v>
      </c>
      <c r="D2954" t="s">
        <v>20</v>
      </c>
      <c r="E2954">
        <v>67610.67</v>
      </c>
      <c r="F2954">
        <v>26</v>
      </c>
      <c r="G2954" t="s">
        <v>26</v>
      </c>
      <c r="H2954">
        <v>2379.66</v>
      </c>
      <c r="I2954">
        <v>2796.14</v>
      </c>
      <c r="J2954" t="s">
        <v>27</v>
      </c>
      <c r="K2954">
        <v>7.0000000000000007E-2</v>
      </c>
      <c r="L2954" t="s">
        <v>28</v>
      </c>
      <c r="M2954" t="s">
        <v>21</v>
      </c>
    </row>
    <row r="2955" spans="1:13" x14ac:dyDescent="0.35">
      <c r="A2955">
        <v>1066</v>
      </c>
      <c r="B2955" s="1">
        <v>45568</v>
      </c>
      <c r="C2955" t="s">
        <v>33</v>
      </c>
      <c r="D2955" t="s">
        <v>15</v>
      </c>
      <c r="E2955">
        <v>92637.04</v>
      </c>
      <c r="F2955">
        <v>32</v>
      </c>
      <c r="G2955" t="s">
        <v>16</v>
      </c>
      <c r="H2955">
        <v>1269.44</v>
      </c>
      <c r="I2955">
        <v>3759.62</v>
      </c>
      <c r="J2955" t="s">
        <v>27</v>
      </c>
      <c r="K2955">
        <v>0.23</v>
      </c>
      <c r="L2955" t="s">
        <v>18</v>
      </c>
      <c r="M2955" t="s">
        <v>21</v>
      </c>
    </row>
    <row r="2956" spans="1:13" x14ac:dyDescent="0.35">
      <c r="A2956">
        <v>1057</v>
      </c>
      <c r="B2956" s="1">
        <v>45569</v>
      </c>
      <c r="C2956" t="s">
        <v>29</v>
      </c>
      <c r="D2956" t="s">
        <v>30</v>
      </c>
      <c r="E2956">
        <v>157992.54</v>
      </c>
      <c r="F2956">
        <v>47</v>
      </c>
      <c r="G2956" t="s">
        <v>16</v>
      </c>
      <c r="H2956">
        <v>2557.48</v>
      </c>
      <c r="I2956">
        <v>3576.11</v>
      </c>
      <c r="J2956" t="s">
        <v>17</v>
      </c>
      <c r="K2956">
        <v>0.06</v>
      </c>
      <c r="L2956" t="s">
        <v>28</v>
      </c>
      <c r="M2956" t="s">
        <v>21</v>
      </c>
    </row>
    <row r="2957" spans="1:13" x14ac:dyDescent="0.35">
      <c r="A2957">
        <v>1097</v>
      </c>
      <c r="B2957" s="1">
        <v>45569</v>
      </c>
      <c r="C2957" t="s">
        <v>29</v>
      </c>
      <c r="D2957" t="s">
        <v>23</v>
      </c>
      <c r="E2957">
        <v>231289.03</v>
      </c>
      <c r="F2957">
        <v>46</v>
      </c>
      <c r="G2957" t="s">
        <v>24</v>
      </c>
      <c r="H2957">
        <v>2585.25</v>
      </c>
      <c r="I2957">
        <v>5348.96</v>
      </c>
      <c r="J2957" t="s">
        <v>17</v>
      </c>
      <c r="K2957">
        <v>0.06</v>
      </c>
      <c r="L2957" t="s">
        <v>25</v>
      </c>
      <c r="M2957" t="s">
        <v>19</v>
      </c>
    </row>
    <row r="2958" spans="1:13" x14ac:dyDescent="0.35">
      <c r="A2958">
        <v>1061</v>
      </c>
      <c r="B2958" s="1">
        <v>45569</v>
      </c>
      <c r="C2958" t="s">
        <v>22</v>
      </c>
      <c r="D2958" t="s">
        <v>15</v>
      </c>
      <c r="E2958">
        <v>148368.4</v>
      </c>
      <c r="F2958">
        <v>32</v>
      </c>
      <c r="G2958" t="s">
        <v>26</v>
      </c>
      <c r="H2958">
        <v>1017.56</v>
      </c>
      <c r="I2958">
        <v>4932.46</v>
      </c>
      <c r="J2958" t="s">
        <v>17</v>
      </c>
      <c r="K2958">
        <v>0.06</v>
      </c>
      <c r="L2958" t="s">
        <v>28</v>
      </c>
      <c r="M2958" t="s">
        <v>19</v>
      </c>
    </row>
    <row r="2959" spans="1:13" x14ac:dyDescent="0.35">
      <c r="A2959">
        <v>1088</v>
      </c>
      <c r="B2959" s="1">
        <v>45570</v>
      </c>
      <c r="C2959" t="s">
        <v>22</v>
      </c>
      <c r="D2959" t="s">
        <v>20</v>
      </c>
      <c r="E2959">
        <v>22094.14</v>
      </c>
      <c r="F2959">
        <v>5</v>
      </c>
      <c r="G2959" t="s">
        <v>26</v>
      </c>
      <c r="H2959">
        <v>4318.96</v>
      </c>
      <c r="I2959">
        <v>4526.09</v>
      </c>
      <c r="J2959" t="s">
        <v>27</v>
      </c>
      <c r="K2959">
        <v>0.02</v>
      </c>
      <c r="L2959" t="s">
        <v>25</v>
      </c>
      <c r="M2959" t="s">
        <v>21</v>
      </c>
    </row>
    <row r="2960" spans="1:13" x14ac:dyDescent="0.35">
      <c r="A2960">
        <v>1088</v>
      </c>
      <c r="B2960" s="1">
        <v>45570</v>
      </c>
      <c r="C2960" t="s">
        <v>29</v>
      </c>
      <c r="D2960" t="s">
        <v>30</v>
      </c>
      <c r="E2960">
        <v>12229.39</v>
      </c>
      <c r="F2960">
        <v>8</v>
      </c>
      <c r="G2960" t="s">
        <v>16</v>
      </c>
      <c r="H2960">
        <v>418.42</v>
      </c>
      <c r="I2960">
        <v>1609.13</v>
      </c>
      <c r="J2960" t="s">
        <v>27</v>
      </c>
      <c r="K2960">
        <v>0.05</v>
      </c>
      <c r="L2960" t="s">
        <v>18</v>
      </c>
      <c r="M2960" t="s">
        <v>19</v>
      </c>
    </row>
    <row r="2961" spans="1:13" x14ac:dyDescent="0.35">
      <c r="A2961">
        <v>1083</v>
      </c>
      <c r="B2961" s="1">
        <v>45570</v>
      </c>
      <c r="C2961" t="s">
        <v>33</v>
      </c>
      <c r="D2961" t="s">
        <v>20</v>
      </c>
      <c r="E2961">
        <v>86776.3</v>
      </c>
      <c r="F2961">
        <v>48</v>
      </c>
      <c r="G2961" t="s">
        <v>31</v>
      </c>
      <c r="H2961">
        <v>1161.72</v>
      </c>
      <c r="I2961">
        <v>2152.19</v>
      </c>
      <c r="J2961" t="s">
        <v>27</v>
      </c>
      <c r="K2961">
        <v>0.16</v>
      </c>
      <c r="L2961" t="s">
        <v>18</v>
      </c>
      <c r="M2961" t="s">
        <v>19</v>
      </c>
    </row>
    <row r="2962" spans="1:13" x14ac:dyDescent="0.35">
      <c r="A2962">
        <v>1011</v>
      </c>
      <c r="B2962" s="1">
        <v>45571</v>
      </c>
      <c r="C2962" t="s">
        <v>32</v>
      </c>
      <c r="D2962" t="s">
        <v>20</v>
      </c>
      <c r="E2962">
        <v>168379.09</v>
      </c>
      <c r="F2962">
        <v>41</v>
      </c>
      <c r="G2962" t="s">
        <v>26</v>
      </c>
      <c r="H2962">
        <v>3918</v>
      </c>
      <c r="I2962">
        <v>5198.49</v>
      </c>
      <c r="J2962" t="s">
        <v>27</v>
      </c>
      <c r="K2962">
        <v>0.21</v>
      </c>
      <c r="L2962" t="s">
        <v>25</v>
      </c>
      <c r="M2962" t="s">
        <v>21</v>
      </c>
    </row>
    <row r="2963" spans="1:13" x14ac:dyDescent="0.35">
      <c r="A2963">
        <v>1014</v>
      </c>
      <c r="B2963" s="1">
        <v>45571</v>
      </c>
      <c r="C2963" t="s">
        <v>32</v>
      </c>
      <c r="D2963" t="s">
        <v>15</v>
      </c>
      <c r="E2963">
        <v>21187.53</v>
      </c>
      <c r="F2963">
        <v>16</v>
      </c>
      <c r="G2963" t="s">
        <v>31</v>
      </c>
      <c r="H2963">
        <v>705.07</v>
      </c>
      <c r="I2963">
        <v>1439.37</v>
      </c>
      <c r="J2963" t="s">
        <v>17</v>
      </c>
      <c r="K2963">
        <v>0.08</v>
      </c>
      <c r="L2963" t="s">
        <v>18</v>
      </c>
      <c r="M2963" t="s">
        <v>19</v>
      </c>
    </row>
    <row r="2964" spans="1:13" x14ac:dyDescent="0.35">
      <c r="A2964">
        <v>1006</v>
      </c>
      <c r="B2964" s="1">
        <v>45571</v>
      </c>
      <c r="C2964" t="s">
        <v>14</v>
      </c>
      <c r="D2964" t="s">
        <v>23</v>
      </c>
      <c r="E2964">
        <v>27608.75</v>
      </c>
      <c r="F2964">
        <v>24</v>
      </c>
      <c r="G2964" t="s">
        <v>31</v>
      </c>
      <c r="H2964">
        <v>329.07</v>
      </c>
      <c r="I2964">
        <v>1353.37</v>
      </c>
      <c r="J2964" t="s">
        <v>27</v>
      </c>
      <c r="K2964">
        <v>0.15</v>
      </c>
      <c r="L2964" t="s">
        <v>25</v>
      </c>
      <c r="M2964" t="s">
        <v>21</v>
      </c>
    </row>
    <row r="2965" spans="1:13" x14ac:dyDescent="0.35">
      <c r="A2965">
        <v>1100</v>
      </c>
      <c r="B2965" s="1">
        <v>45571</v>
      </c>
      <c r="C2965" t="s">
        <v>22</v>
      </c>
      <c r="D2965" t="s">
        <v>20</v>
      </c>
      <c r="E2965">
        <v>130135.3</v>
      </c>
      <c r="F2965">
        <v>47</v>
      </c>
      <c r="G2965" t="s">
        <v>31</v>
      </c>
      <c r="H2965">
        <v>585.36</v>
      </c>
      <c r="I2965">
        <v>3549.79</v>
      </c>
      <c r="J2965" t="s">
        <v>27</v>
      </c>
      <c r="K2965">
        <v>0.22</v>
      </c>
      <c r="L2965" t="s">
        <v>28</v>
      </c>
      <c r="M2965" t="s">
        <v>19</v>
      </c>
    </row>
    <row r="2966" spans="1:13" x14ac:dyDescent="0.35">
      <c r="A2966">
        <v>1042</v>
      </c>
      <c r="B2966" s="1">
        <v>45571</v>
      </c>
      <c r="C2966" t="s">
        <v>22</v>
      </c>
      <c r="D2966" t="s">
        <v>23</v>
      </c>
      <c r="E2966">
        <v>211713.9</v>
      </c>
      <c r="F2966">
        <v>49</v>
      </c>
      <c r="G2966" t="s">
        <v>24</v>
      </c>
      <c r="H2966">
        <v>1390.02</v>
      </c>
      <c r="I2966">
        <v>4854.71</v>
      </c>
      <c r="J2966" t="s">
        <v>17</v>
      </c>
      <c r="K2966">
        <v>0.11</v>
      </c>
      <c r="L2966" t="s">
        <v>28</v>
      </c>
      <c r="M2966" t="s">
        <v>19</v>
      </c>
    </row>
    <row r="2967" spans="1:13" x14ac:dyDescent="0.35">
      <c r="A2967">
        <v>1051</v>
      </c>
      <c r="B2967" s="1">
        <v>45572</v>
      </c>
      <c r="C2967" t="s">
        <v>14</v>
      </c>
      <c r="D2967" t="s">
        <v>20</v>
      </c>
      <c r="E2967">
        <v>62539.15</v>
      </c>
      <c r="F2967">
        <v>17</v>
      </c>
      <c r="G2967" t="s">
        <v>16</v>
      </c>
      <c r="H2967">
        <v>3568.29</v>
      </c>
      <c r="I2967">
        <v>3792.55</v>
      </c>
      <c r="J2967" t="s">
        <v>17</v>
      </c>
      <c r="K2967">
        <v>0.03</v>
      </c>
      <c r="L2967" t="s">
        <v>28</v>
      </c>
      <c r="M2967" t="s">
        <v>21</v>
      </c>
    </row>
    <row r="2968" spans="1:13" x14ac:dyDescent="0.35">
      <c r="A2968">
        <v>1026</v>
      </c>
      <c r="B2968" s="1">
        <v>45572</v>
      </c>
      <c r="C2968" t="s">
        <v>33</v>
      </c>
      <c r="D2968" t="s">
        <v>23</v>
      </c>
      <c r="E2968">
        <v>104055.98</v>
      </c>
      <c r="F2968">
        <v>34</v>
      </c>
      <c r="G2968" t="s">
        <v>24</v>
      </c>
      <c r="H2968">
        <v>2754.68</v>
      </c>
      <c r="I2968">
        <v>4372.1000000000004</v>
      </c>
      <c r="J2968" t="s">
        <v>27</v>
      </c>
      <c r="K2968">
        <v>0.3</v>
      </c>
      <c r="L2968" t="s">
        <v>18</v>
      </c>
      <c r="M2968" t="s">
        <v>19</v>
      </c>
    </row>
    <row r="2969" spans="1:13" x14ac:dyDescent="0.35">
      <c r="A2969">
        <v>1011</v>
      </c>
      <c r="B2969" s="1">
        <v>45572</v>
      </c>
      <c r="C2969" t="s">
        <v>22</v>
      </c>
      <c r="D2969" t="s">
        <v>30</v>
      </c>
      <c r="E2969">
        <v>95129.14</v>
      </c>
      <c r="F2969">
        <v>36</v>
      </c>
      <c r="G2969" t="s">
        <v>24</v>
      </c>
      <c r="H2969">
        <v>247.25</v>
      </c>
      <c r="I2969">
        <v>2903.82</v>
      </c>
      <c r="J2969" t="s">
        <v>17</v>
      </c>
      <c r="K2969">
        <v>0.09</v>
      </c>
      <c r="L2969" t="s">
        <v>25</v>
      </c>
      <c r="M2969" t="s">
        <v>19</v>
      </c>
    </row>
    <row r="2970" spans="1:13" x14ac:dyDescent="0.35">
      <c r="A2970">
        <v>1013</v>
      </c>
      <c r="B2970" s="1">
        <v>45573</v>
      </c>
      <c r="C2970" t="s">
        <v>22</v>
      </c>
      <c r="D2970" t="s">
        <v>23</v>
      </c>
      <c r="E2970">
        <v>106404.48</v>
      </c>
      <c r="F2970">
        <v>28</v>
      </c>
      <c r="G2970" t="s">
        <v>24</v>
      </c>
      <c r="H2970">
        <v>3530.03</v>
      </c>
      <c r="I2970">
        <v>4750.2</v>
      </c>
      <c r="J2970" t="s">
        <v>27</v>
      </c>
      <c r="K2970">
        <v>0.2</v>
      </c>
      <c r="L2970" t="s">
        <v>25</v>
      </c>
      <c r="M2970" t="s">
        <v>19</v>
      </c>
    </row>
    <row r="2971" spans="1:13" x14ac:dyDescent="0.35">
      <c r="A2971">
        <v>1077</v>
      </c>
      <c r="B2971" s="1">
        <v>45573</v>
      </c>
      <c r="C2971" t="s">
        <v>22</v>
      </c>
      <c r="D2971" t="s">
        <v>23</v>
      </c>
      <c r="E2971">
        <v>159811.68</v>
      </c>
      <c r="F2971">
        <v>40</v>
      </c>
      <c r="G2971" t="s">
        <v>31</v>
      </c>
      <c r="H2971">
        <v>3485.41</v>
      </c>
      <c r="I2971">
        <v>4756.3</v>
      </c>
      <c r="J2971" t="s">
        <v>17</v>
      </c>
      <c r="K2971">
        <v>0.16</v>
      </c>
      <c r="L2971" t="s">
        <v>18</v>
      </c>
      <c r="M2971" t="s">
        <v>19</v>
      </c>
    </row>
    <row r="2972" spans="1:13" x14ac:dyDescent="0.35">
      <c r="A2972">
        <v>1100</v>
      </c>
      <c r="B2972" s="1">
        <v>45573</v>
      </c>
      <c r="C2972" t="s">
        <v>29</v>
      </c>
      <c r="D2972" t="s">
        <v>20</v>
      </c>
      <c r="E2972">
        <v>98698.75</v>
      </c>
      <c r="F2972">
        <v>20</v>
      </c>
      <c r="G2972" t="s">
        <v>16</v>
      </c>
      <c r="H2972">
        <v>2005</v>
      </c>
      <c r="I2972">
        <v>5140.5600000000004</v>
      </c>
      <c r="J2972" t="s">
        <v>27</v>
      </c>
      <c r="K2972">
        <v>0.04</v>
      </c>
      <c r="L2972" t="s">
        <v>18</v>
      </c>
      <c r="M2972" t="s">
        <v>21</v>
      </c>
    </row>
    <row r="2973" spans="1:13" x14ac:dyDescent="0.35">
      <c r="A2973">
        <v>1081</v>
      </c>
      <c r="B2973" s="1">
        <v>45574</v>
      </c>
      <c r="C2973" t="s">
        <v>33</v>
      </c>
      <c r="D2973" t="s">
        <v>20</v>
      </c>
      <c r="E2973">
        <v>73258.67</v>
      </c>
      <c r="F2973">
        <v>21</v>
      </c>
      <c r="G2973" t="s">
        <v>24</v>
      </c>
      <c r="H2973">
        <v>2975.3</v>
      </c>
      <c r="I2973">
        <v>3876.12</v>
      </c>
      <c r="J2973" t="s">
        <v>27</v>
      </c>
      <c r="K2973">
        <v>0.1</v>
      </c>
      <c r="L2973" t="s">
        <v>25</v>
      </c>
      <c r="M2973" t="s">
        <v>21</v>
      </c>
    </row>
    <row r="2974" spans="1:13" x14ac:dyDescent="0.35">
      <c r="A2974">
        <v>1048</v>
      </c>
      <c r="B2974" s="1">
        <v>45574</v>
      </c>
      <c r="C2974" t="s">
        <v>33</v>
      </c>
      <c r="D2974" t="s">
        <v>20</v>
      </c>
      <c r="E2974">
        <v>87272.73</v>
      </c>
      <c r="F2974">
        <v>35</v>
      </c>
      <c r="G2974" t="s">
        <v>31</v>
      </c>
      <c r="H2974">
        <v>1714.63</v>
      </c>
      <c r="I2974">
        <v>2681.19</v>
      </c>
      <c r="J2974" t="s">
        <v>27</v>
      </c>
      <c r="K2974">
        <v>7.0000000000000007E-2</v>
      </c>
      <c r="L2974" t="s">
        <v>18</v>
      </c>
      <c r="M2974" t="s">
        <v>21</v>
      </c>
    </row>
    <row r="2975" spans="1:13" x14ac:dyDescent="0.35">
      <c r="A2975">
        <v>1038</v>
      </c>
      <c r="B2975" s="1">
        <v>45575</v>
      </c>
      <c r="C2975" t="s">
        <v>29</v>
      </c>
      <c r="D2975" t="s">
        <v>23</v>
      </c>
      <c r="E2975">
        <v>23793.040000000001</v>
      </c>
      <c r="F2975">
        <v>7</v>
      </c>
      <c r="G2975" t="s">
        <v>31</v>
      </c>
      <c r="H2975">
        <v>3312.17</v>
      </c>
      <c r="I2975">
        <v>3412.44</v>
      </c>
      <c r="J2975" t="s">
        <v>17</v>
      </c>
      <c r="K2975">
        <v>0</v>
      </c>
      <c r="L2975" t="s">
        <v>18</v>
      </c>
      <c r="M2975" t="s">
        <v>21</v>
      </c>
    </row>
    <row r="2976" spans="1:13" x14ac:dyDescent="0.35">
      <c r="A2976">
        <v>1077</v>
      </c>
      <c r="B2976" s="1">
        <v>45575</v>
      </c>
      <c r="C2976" t="s">
        <v>14</v>
      </c>
      <c r="D2976" t="s">
        <v>23</v>
      </c>
      <c r="E2976">
        <v>57180.18</v>
      </c>
      <c r="F2976">
        <v>38</v>
      </c>
      <c r="G2976" t="s">
        <v>31</v>
      </c>
      <c r="H2976">
        <v>1418.42</v>
      </c>
      <c r="I2976">
        <v>1954.21</v>
      </c>
      <c r="J2976" t="s">
        <v>27</v>
      </c>
      <c r="K2976">
        <v>0.23</v>
      </c>
      <c r="L2976" t="s">
        <v>28</v>
      </c>
      <c r="M2976" t="s">
        <v>19</v>
      </c>
    </row>
    <row r="2977" spans="1:13" x14ac:dyDescent="0.35">
      <c r="A2977">
        <v>1045</v>
      </c>
      <c r="B2977" s="1">
        <v>45575</v>
      </c>
      <c r="C2977" t="s">
        <v>32</v>
      </c>
      <c r="D2977" t="s">
        <v>20</v>
      </c>
      <c r="E2977">
        <v>32721.25</v>
      </c>
      <c r="F2977">
        <v>9</v>
      </c>
      <c r="G2977" t="s">
        <v>16</v>
      </c>
      <c r="H2977">
        <v>2644.64</v>
      </c>
      <c r="I2977">
        <v>3867.76</v>
      </c>
      <c r="J2977" t="s">
        <v>27</v>
      </c>
      <c r="K2977">
        <v>0.06</v>
      </c>
      <c r="L2977" t="s">
        <v>28</v>
      </c>
      <c r="M2977" t="s">
        <v>19</v>
      </c>
    </row>
    <row r="2978" spans="1:13" x14ac:dyDescent="0.35">
      <c r="A2978">
        <v>1069</v>
      </c>
      <c r="B2978" s="1">
        <v>45575</v>
      </c>
      <c r="C2978" t="s">
        <v>22</v>
      </c>
      <c r="D2978" t="s">
        <v>30</v>
      </c>
      <c r="E2978">
        <v>181964.72</v>
      </c>
      <c r="F2978">
        <v>42</v>
      </c>
      <c r="G2978" t="s">
        <v>16</v>
      </c>
      <c r="H2978">
        <v>2504.3000000000002</v>
      </c>
      <c r="I2978">
        <v>4867.97</v>
      </c>
      <c r="J2978" t="s">
        <v>27</v>
      </c>
      <c r="K2978">
        <v>0.11</v>
      </c>
      <c r="L2978" t="s">
        <v>28</v>
      </c>
      <c r="M2978" t="s">
        <v>21</v>
      </c>
    </row>
    <row r="2979" spans="1:13" x14ac:dyDescent="0.35">
      <c r="A2979">
        <v>1010</v>
      </c>
      <c r="B2979" s="1">
        <v>45576</v>
      </c>
      <c r="C2979" t="s">
        <v>33</v>
      </c>
      <c r="D2979" t="s">
        <v>20</v>
      </c>
      <c r="E2979">
        <v>3210.44</v>
      </c>
      <c r="F2979">
        <v>1</v>
      </c>
      <c r="G2979" t="s">
        <v>24</v>
      </c>
      <c r="H2979">
        <v>533.04</v>
      </c>
      <c r="I2979">
        <v>3344.21</v>
      </c>
      <c r="J2979" t="s">
        <v>17</v>
      </c>
      <c r="K2979">
        <v>0.04</v>
      </c>
      <c r="L2979" t="s">
        <v>18</v>
      </c>
      <c r="M2979" t="s">
        <v>19</v>
      </c>
    </row>
    <row r="2980" spans="1:13" x14ac:dyDescent="0.35">
      <c r="A2980">
        <v>1016</v>
      </c>
      <c r="B2980" s="1">
        <v>45576</v>
      </c>
      <c r="C2980" t="s">
        <v>32</v>
      </c>
      <c r="D2980" t="s">
        <v>30</v>
      </c>
      <c r="E2980">
        <v>36285.17</v>
      </c>
      <c r="F2980">
        <v>31</v>
      </c>
      <c r="G2980" t="s">
        <v>26</v>
      </c>
      <c r="H2980">
        <v>179.94</v>
      </c>
      <c r="I2980">
        <v>1603.41</v>
      </c>
      <c r="J2980" t="s">
        <v>27</v>
      </c>
      <c r="K2980">
        <v>0.27</v>
      </c>
      <c r="L2980" t="s">
        <v>25</v>
      </c>
      <c r="M2980" t="s">
        <v>19</v>
      </c>
    </row>
    <row r="2981" spans="1:13" x14ac:dyDescent="0.35">
      <c r="A2981">
        <v>1027</v>
      </c>
      <c r="B2981" s="1">
        <v>45576</v>
      </c>
      <c r="C2981" t="s">
        <v>22</v>
      </c>
      <c r="D2981" t="s">
        <v>20</v>
      </c>
      <c r="E2981">
        <v>47910.17</v>
      </c>
      <c r="F2981">
        <v>13</v>
      </c>
      <c r="G2981" t="s">
        <v>16</v>
      </c>
      <c r="H2981">
        <v>1225.81</v>
      </c>
      <c r="I2981">
        <v>4665.0600000000004</v>
      </c>
      <c r="J2981" t="s">
        <v>17</v>
      </c>
      <c r="K2981">
        <v>0.21</v>
      </c>
      <c r="L2981" t="s">
        <v>25</v>
      </c>
      <c r="M2981" t="s">
        <v>21</v>
      </c>
    </row>
    <row r="2982" spans="1:13" x14ac:dyDescent="0.35">
      <c r="A2982">
        <v>1100</v>
      </c>
      <c r="B2982" s="1">
        <v>45576</v>
      </c>
      <c r="C2982" t="s">
        <v>14</v>
      </c>
      <c r="D2982" t="s">
        <v>20</v>
      </c>
      <c r="E2982">
        <v>62858.27</v>
      </c>
      <c r="F2982">
        <v>18</v>
      </c>
      <c r="G2982" t="s">
        <v>16</v>
      </c>
      <c r="H2982">
        <v>489.29</v>
      </c>
      <c r="I2982">
        <v>3527.4</v>
      </c>
      <c r="J2982" t="s">
        <v>17</v>
      </c>
      <c r="K2982">
        <v>0.01</v>
      </c>
      <c r="L2982" t="s">
        <v>28</v>
      </c>
      <c r="M2982" t="s">
        <v>19</v>
      </c>
    </row>
    <row r="2983" spans="1:13" x14ac:dyDescent="0.35">
      <c r="A2983">
        <v>1060</v>
      </c>
      <c r="B2983" s="1">
        <v>45576</v>
      </c>
      <c r="C2983" t="s">
        <v>32</v>
      </c>
      <c r="D2983" t="s">
        <v>15</v>
      </c>
      <c r="E2983">
        <v>106438.43</v>
      </c>
      <c r="F2983">
        <v>26</v>
      </c>
      <c r="G2983" t="s">
        <v>31</v>
      </c>
      <c r="H2983">
        <v>1637.36</v>
      </c>
      <c r="I2983">
        <v>5386.56</v>
      </c>
      <c r="J2983" t="s">
        <v>17</v>
      </c>
      <c r="K2983">
        <v>0.24</v>
      </c>
      <c r="L2983" t="s">
        <v>25</v>
      </c>
      <c r="M2983" t="s">
        <v>19</v>
      </c>
    </row>
    <row r="2984" spans="1:13" x14ac:dyDescent="0.35">
      <c r="A2984">
        <v>1090</v>
      </c>
      <c r="B2984" s="1">
        <v>45576</v>
      </c>
      <c r="C2984" t="s">
        <v>14</v>
      </c>
      <c r="D2984" t="s">
        <v>23</v>
      </c>
      <c r="E2984">
        <v>110770.45</v>
      </c>
      <c r="F2984">
        <v>35</v>
      </c>
      <c r="G2984" t="s">
        <v>26</v>
      </c>
      <c r="H2984">
        <v>1081.48</v>
      </c>
      <c r="I2984">
        <v>3164.87</v>
      </c>
      <c r="J2984" t="s">
        <v>17</v>
      </c>
      <c r="K2984">
        <v>0</v>
      </c>
      <c r="L2984" t="s">
        <v>28</v>
      </c>
      <c r="M2984" t="s">
        <v>19</v>
      </c>
    </row>
    <row r="2985" spans="1:13" x14ac:dyDescent="0.35">
      <c r="A2985">
        <v>1082</v>
      </c>
      <c r="B2985" s="1">
        <v>45576</v>
      </c>
      <c r="C2985" t="s">
        <v>32</v>
      </c>
      <c r="D2985" t="s">
        <v>15</v>
      </c>
      <c r="E2985">
        <v>163765.51999999999</v>
      </c>
      <c r="F2985">
        <v>46</v>
      </c>
      <c r="G2985" t="s">
        <v>26</v>
      </c>
      <c r="H2985">
        <v>1677.77</v>
      </c>
      <c r="I2985">
        <v>4450.1499999999996</v>
      </c>
      <c r="J2985" t="s">
        <v>17</v>
      </c>
      <c r="K2985">
        <v>0.2</v>
      </c>
      <c r="L2985" t="s">
        <v>18</v>
      </c>
      <c r="M2985" t="s">
        <v>21</v>
      </c>
    </row>
    <row r="2986" spans="1:13" x14ac:dyDescent="0.35">
      <c r="A2986">
        <v>1053</v>
      </c>
      <c r="B2986" s="1">
        <v>45577</v>
      </c>
      <c r="C2986" t="s">
        <v>14</v>
      </c>
      <c r="D2986" t="s">
        <v>23</v>
      </c>
      <c r="E2986">
        <v>8980.1</v>
      </c>
      <c r="F2986">
        <v>3</v>
      </c>
      <c r="G2986" t="s">
        <v>16</v>
      </c>
      <c r="H2986">
        <v>2036.79</v>
      </c>
      <c r="I2986">
        <v>3741.71</v>
      </c>
      <c r="J2986" t="s">
        <v>27</v>
      </c>
      <c r="K2986">
        <v>0.2</v>
      </c>
      <c r="L2986" t="s">
        <v>28</v>
      </c>
      <c r="M2986" t="s">
        <v>21</v>
      </c>
    </row>
    <row r="2987" spans="1:13" x14ac:dyDescent="0.35">
      <c r="A2987">
        <v>1090</v>
      </c>
      <c r="B2987" s="1">
        <v>45577</v>
      </c>
      <c r="C2987" t="s">
        <v>32</v>
      </c>
      <c r="D2987" t="s">
        <v>15</v>
      </c>
      <c r="E2987">
        <v>104401.26</v>
      </c>
      <c r="F2987">
        <v>46</v>
      </c>
      <c r="G2987" t="s">
        <v>31</v>
      </c>
      <c r="H2987">
        <v>1991.36</v>
      </c>
      <c r="I2987">
        <v>2319.9299999999998</v>
      </c>
      <c r="J2987" t="s">
        <v>27</v>
      </c>
      <c r="K2987">
        <v>0.02</v>
      </c>
      <c r="L2987" t="s">
        <v>18</v>
      </c>
      <c r="M2987" t="s">
        <v>21</v>
      </c>
    </row>
    <row r="2988" spans="1:13" x14ac:dyDescent="0.35">
      <c r="A2988">
        <v>1054</v>
      </c>
      <c r="B2988" s="1">
        <v>45577</v>
      </c>
      <c r="C2988" t="s">
        <v>29</v>
      </c>
      <c r="D2988" t="s">
        <v>20</v>
      </c>
      <c r="E2988">
        <v>146248.54</v>
      </c>
      <c r="F2988">
        <v>29</v>
      </c>
      <c r="G2988" t="s">
        <v>24</v>
      </c>
      <c r="H2988">
        <v>2361.4499999999998</v>
      </c>
      <c r="I2988">
        <v>5364.95</v>
      </c>
      <c r="J2988" t="s">
        <v>27</v>
      </c>
      <c r="K2988">
        <v>0.06</v>
      </c>
      <c r="L2988" t="s">
        <v>18</v>
      </c>
      <c r="M2988" t="s">
        <v>19</v>
      </c>
    </row>
    <row r="2989" spans="1:13" x14ac:dyDescent="0.35">
      <c r="A2989">
        <v>1089</v>
      </c>
      <c r="B2989" s="1">
        <v>45578</v>
      </c>
      <c r="C2989" t="s">
        <v>22</v>
      </c>
      <c r="D2989" t="s">
        <v>30</v>
      </c>
      <c r="E2989">
        <v>21671.98</v>
      </c>
      <c r="F2989">
        <v>5</v>
      </c>
      <c r="G2989" t="s">
        <v>26</v>
      </c>
      <c r="H2989">
        <v>3975.31</v>
      </c>
      <c r="I2989">
        <v>4711.3</v>
      </c>
      <c r="J2989" t="s">
        <v>17</v>
      </c>
      <c r="K2989">
        <v>0.08</v>
      </c>
      <c r="L2989" t="s">
        <v>28</v>
      </c>
      <c r="M2989" t="s">
        <v>21</v>
      </c>
    </row>
    <row r="2990" spans="1:13" x14ac:dyDescent="0.35">
      <c r="A2990">
        <v>1020</v>
      </c>
      <c r="B2990" s="1">
        <v>45579</v>
      </c>
      <c r="C2990" t="s">
        <v>14</v>
      </c>
      <c r="D2990" t="s">
        <v>15</v>
      </c>
      <c r="E2990">
        <v>175309.71</v>
      </c>
      <c r="F2990">
        <v>37</v>
      </c>
      <c r="G2990" t="s">
        <v>24</v>
      </c>
      <c r="H2990">
        <v>4644.51</v>
      </c>
      <c r="I2990">
        <v>4760.37</v>
      </c>
      <c r="J2990" t="s">
        <v>27</v>
      </c>
      <c r="K2990">
        <v>0</v>
      </c>
      <c r="L2990" t="s">
        <v>25</v>
      </c>
      <c r="M2990" t="s">
        <v>19</v>
      </c>
    </row>
    <row r="2991" spans="1:13" x14ac:dyDescent="0.35">
      <c r="A2991">
        <v>1084</v>
      </c>
      <c r="B2991" s="1">
        <v>45579</v>
      </c>
      <c r="C2991" t="s">
        <v>14</v>
      </c>
      <c r="D2991" t="s">
        <v>30</v>
      </c>
      <c r="E2991">
        <v>65152.08</v>
      </c>
      <c r="F2991">
        <v>45</v>
      </c>
      <c r="G2991" t="s">
        <v>26</v>
      </c>
      <c r="H2991">
        <v>1148.68</v>
      </c>
      <c r="I2991">
        <v>1508.15</v>
      </c>
      <c r="J2991" t="s">
        <v>27</v>
      </c>
      <c r="K2991">
        <v>0.04</v>
      </c>
      <c r="L2991" t="s">
        <v>18</v>
      </c>
      <c r="M2991" t="s">
        <v>21</v>
      </c>
    </row>
    <row r="2992" spans="1:13" x14ac:dyDescent="0.35">
      <c r="A2992">
        <v>1003</v>
      </c>
      <c r="B2992" s="1">
        <v>45579</v>
      </c>
      <c r="C2992" t="s">
        <v>22</v>
      </c>
      <c r="D2992" t="s">
        <v>20</v>
      </c>
      <c r="E2992">
        <v>123575.42</v>
      </c>
      <c r="F2992">
        <v>35</v>
      </c>
      <c r="G2992" t="s">
        <v>16</v>
      </c>
      <c r="H2992">
        <v>2676.59</v>
      </c>
      <c r="I2992">
        <v>3556.81</v>
      </c>
      <c r="J2992" t="s">
        <v>27</v>
      </c>
      <c r="K2992">
        <v>0.01</v>
      </c>
      <c r="L2992" t="s">
        <v>25</v>
      </c>
      <c r="M2992" t="s">
        <v>19</v>
      </c>
    </row>
    <row r="2993" spans="1:13" x14ac:dyDescent="0.35">
      <c r="A2993">
        <v>1086</v>
      </c>
      <c r="B2993" s="1">
        <v>45579</v>
      </c>
      <c r="C2993" t="s">
        <v>33</v>
      </c>
      <c r="D2993" t="s">
        <v>23</v>
      </c>
      <c r="E2993">
        <v>134431.72</v>
      </c>
      <c r="F2993">
        <v>41</v>
      </c>
      <c r="G2993" t="s">
        <v>31</v>
      </c>
      <c r="H2993">
        <v>205.27</v>
      </c>
      <c r="I2993">
        <v>3903.36</v>
      </c>
      <c r="J2993" t="s">
        <v>17</v>
      </c>
      <c r="K2993">
        <v>0.16</v>
      </c>
      <c r="L2993" t="s">
        <v>28</v>
      </c>
      <c r="M2993" t="s">
        <v>19</v>
      </c>
    </row>
    <row r="2994" spans="1:13" x14ac:dyDescent="0.35">
      <c r="A2994">
        <v>1038</v>
      </c>
      <c r="B2994" s="1">
        <v>45580</v>
      </c>
      <c r="C2994" t="s">
        <v>29</v>
      </c>
      <c r="D2994" t="s">
        <v>15</v>
      </c>
      <c r="E2994">
        <v>29692.41</v>
      </c>
      <c r="F2994">
        <v>10</v>
      </c>
      <c r="G2994" t="s">
        <v>16</v>
      </c>
      <c r="H2994">
        <v>2558.2399999999998</v>
      </c>
      <c r="I2994">
        <v>3665.73</v>
      </c>
      <c r="J2994" t="s">
        <v>17</v>
      </c>
      <c r="K2994">
        <v>0.19</v>
      </c>
      <c r="L2994" t="s">
        <v>28</v>
      </c>
      <c r="M2994" t="s">
        <v>21</v>
      </c>
    </row>
    <row r="2995" spans="1:13" x14ac:dyDescent="0.35">
      <c r="A2995">
        <v>1035</v>
      </c>
      <c r="B2995" s="1">
        <v>45580</v>
      </c>
      <c r="C2995" t="s">
        <v>33</v>
      </c>
      <c r="D2995" t="s">
        <v>23</v>
      </c>
      <c r="E2995">
        <v>50184.27</v>
      </c>
      <c r="F2995">
        <v>14</v>
      </c>
      <c r="G2995" t="s">
        <v>26</v>
      </c>
      <c r="H2995">
        <v>2241.85</v>
      </c>
      <c r="I2995">
        <v>4027.63</v>
      </c>
      <c r="J2995" t="s">
        <v>27</v>
      </c>
      <c r="K2995">
        <v>0.11</v>
      </c>
      <c r="L2995" t="s">
        <v>25</v>
      </c>
      <c r="M2995" t="s">
        <v>21</v>
      </c>
    </row>
    <row r="2996" spans="1:13" x14ac:dyDescent="0.35">
      <c r="A2996">
        <v>1039</v>
      </c>
      <c r="B2996" s="1">
        <v>45580</v>
      </c>
      <c r="C2996" t="s">
        <v>22</v>
      </c>
      <c r="D2996" t="s">
        <v>20</v>
      </c>
      <c r="E2996">
        <v>164960.34</v>
      </c>
      <c r="F2996">
        <v>49</v>
      </c>
      <c r="G2996" t="s">
        <v>26</v>
      </c>
      <c r="H2996">
        <v>2686.73</v>
      </c>
      <c r="I2996">
        <v>3659.28</v>
      </c>
      <c r="J2996" t="s">
        <v>17</v>
      </c>
      <c r="K2996">
        <v>0.08</v>
      </c>
      <c r="L2996" t="s">
        <v>28</v>
      </c>
      <c r="M2996" t="s">
        <v>21</v>
      </c>
    </row>
    <row r="2997" spans="1:13" x14ac:dyDescent="0.35">
      <c r="A2997">
        <v>1073</v>
      </c>
      <c r="B2997" s="1">
        <v>45580</v>
      </c>
      <c r="C2997" t="s">
        <v>33</v>
      </c>
      <c r="D2997" t="s">
        <v>20</v>
      </c>
      <c r="E2997">
        <v>55471.48</v>
      </c>
      <c r="F2997">
        <v>20</v>
      </c>
      <c r="G2997" t="s">
        <v>24</v>
      </c>
      <c r="H2997">
        <v>964.39</v>
      </c>
      <c r="I2997">
        <v>2801.59</v>
      </c>
      <c r="J2997" t="s">
        <v>27</v>
      </c>
      <c r="K2997">
        <v>0.01</v>
      </c>
      <c r="L2997" t="s">
        <v>18</v>
      </c>
      <c r="M2997" t="s">
        <v>21</v>
      </c>
    </row>
    <row r="2998" spans="1:13" x14ac:dyDescent="0.35">
      <c r="A2998">
        <v>1099</v>
      </c>
      <c r="B2998" s="1">
        <v>45581</v>
      </c>
      <c r="C2998" t="s">
        <v>29</v>
      </c>
      <c r="D2998" t="s">
        <v>30</v>
      </c>
      <c r="E2998">
        <v>13531.01</v>
      </c>
      <c r="F2998">
        <v>4</v>
      </c>
      <c r="G2998" t="s">
        <v>31</v>
      </c>
      <c r="H2998">
        <v>784.47</v>
      </c>
      <c r="I2998">
        <v>4764.4399999999996</v>
      </c>
      <c r="J2998" t="s">
        <v>17</v>
      </c>
      <c r="K2998">
        <v>0.28999999999999998</v>
      </c>
      <c r="L2998" t="s">
        <v>25</v>
      </c>
      <c r="M2998" t="s">
        <v>21</v>
      </c>
    </row>
    <row r="2999" spans="1:13" x14ac:dyDescent="0.35">
      <c r="A2999">
        <v>1016</v>
      </c>
      <c r="B2999" s="1">
        <v>45581</v>
      </c>
      <c r="C2999" t="s">
        <v>14</v>
      </c>
      <c r="D2999" t="s">
        <v>20</v>
      </c>
      <c r="E2999">
        <v>105933.95</v>
      </c>
      <c r="F2999">
        <v>37</v>
      </c>
      <c r="G2999" t="s">
        <v>24</v>
      </c>
      <c r="H2999">
        <v>2202.52</v>
      </c>
      <c r="I2999">
        <v>3767.21</v>
      </c>
      <c r="J2999" t="s">
        <v>27</v>
      </c>
      <c r="K2999">
        <v>0.24</v>
      </c>
      <c r="L2999" t="s">
        <v>28</v>
      </c>
      <c r="M2999" t="s">
        <v>19</v>
      </c>
    </row>
    <row r="3000" spans="1:13" x14ac:dyDescent="0.35">
      <c r="A3000">
        <v>1059</v>
      </c>
      <c r="B3000" s="1">
        <v>45581</v>
      </c>
      <c r="C3000" t="s">
        <v>14</v>
      </c>
      <c r="D3000" t="s">
        <v>20</v>
      </c>
      <c r="E3000">
        <v>67402.710000000006</v>
      </c>
      <c r="F3000">
        <v>23</v>
      </c>
      <c r="G3000" t="s">
        <v>26</v>
      </c>
      <c r="H3000">
        <v>1351.9</v>
      </c>
      <c r="I3000">
        <v>2990.36</v>
      </c>
      <c r="J3000" t="s">
        <v>17</v>
      </c>
      <c r="K3000">
        <v>0.02</v>
      </c>
      <c r="L3000" t="s">
        <v>18</v>
      </c>
      <c r="M3000" t="s">
        <v>21</v>
      </c>
    </row>
    <row r="3001" spans="1:13" x14ac:dyDescent="0.35">
      <c r="A3001">
        <v>1058</v>
      </c>
      <c r="B3001" s="1">
        <v>45581</v>
      </c>
      <c r="C3001" t="s">
        <v>14</v>
      </c>
      <c r="D3001" t="s">
        <v>30</v>
      </c>
      <c r="E3001">
        <v>98755.83</v>
      </c>
      <c r="F3001">
        <v>24</v>
      </c>
      <c r="G3001" t="s">
        <v>24</v>
      </c>
      <c r="H3001">
        <v>598.79999999999995</v>
      </c>
      <c r="I3001">
        <v>5343.93</v>
      </c>
      <c r="J3001" t="s">
        <v>17</v>
      </c>
      <c r="K3001">
        <v>0.23</v>
      </c>
      <c r="L3001" t="s">
        <v>18</v>
      </c>
      <c r="M3001" t="s">
        <v>19</v>
      </c>
    </row>
    <row r="3002" spans="1:13" x14ac:dyDescent="0.35">
      <c r="A3002">
        <v>1012</v>
      </c>
      <c r="B3002" s="1">
        <v>45581</v>
      </c>
      <c r="C3002" t="s">
        <v>32</v>
      </c>
      <c r="D3002" t="s">
        <v>20</v>
      </c>
      <c r="E3002">
        <v>134994.66</v>
      </c>
      <c r="F3002">
        <v>36</v>
      </c>
      <c r="G3002" t="s">
        <v>26</v>
      </c>
      <c r="H3002">
        <v>664.53</v>
      </c>
      <c r="I3002">
        <v>4572.99</v>
      </c>
      <c r="J3002" t="s">
        <v>17</v>
      </c>
      <c r="K3002">
        <v>0.18</v>
      </c>
      <c r="L3002" t="s">
        <v>25</v>
      </c>
      <c r="M3002" t="s">
        <v>21</v>
      </c>
    </row>
    <row r="3003" spans="1:13" x14ac:dyDescent="0.35">
      <c r="A3003">
        <v>1080</v>
      </c>
      <c r="B3003" s="1">
        <v>45582</v>
      </c>
      <c r="C3003" t="s">
        <v>29</v>
      </c>
      <c r="D3003" t="s">
        <v>15</v>
      </c>
      <c r="E3003">
        <v>32992.04</v>
      </c>
      <c r="F3003">
        <v>7</v>
      </c>
      <c r="G3003" t="s">
        <v>24</v>
      </c>
      <c r="H3003">
        <v>4581.12</v>
      </c>
      <c r="I3003">
        <v>4720.6400000000003</v>
      </c>
      <c r="J3003" t="s">
        <v>17</v>
      </c>
      <c r="K3003">
        <v>0</v>
      </c>
      <c r="L3003" t="s">
        <v>18</v>
      </c>
      <c r="M3003" t="s">
        <v>19</v>
      </c>
    </row>
    <row r="3004" spans="1:13" x14ac:dyDescent="0.35">
      <c r="A3004">
        <v>1094</v>
      </c>
      <c r="B3004" s="1">
        <v>45582</v>
      </c>
      <c r="C3004" t="s">
        <v>33</v>
      </c>
      <c r="D3004" t="s">
        <v>30</v>
      </c>
      <c r="E3004">
        <v>43486.31</v>
      </c>
      <c r="F3004">
        <v>12</v>
      </c>
      <c r="G3004" t="s">
        <v>31</v>
      </c>
      <c r="H3004">
        <v>398.73</v>
      </c>
      <c r="I3004">
        <v>4419.34</v>
      </c>
      <c r="J3004" t="s">
        <v>17</v>
      </c>
      <c r="K3004">
        <v>0.18</v>
      </c>
      <c r="L3004" t="s">
        <v>18</v>
      </c>
      <c r="M3004" t="s">
        <v>19</v>
      </c>
    </row>
    <row r="3005" spans="1:13" x14ac:dyDescent="0.35">
      <c r="A3005">
        <v>1096</v>
      </c>
      <c r="B3005" s="1">
        <v>45582</v>
      </c>
      <c r="C3005" t="s">
        <v>32</v>
      </c>
      <c r="D3005" t="s">
        <v>15</v>
      </c>
      <c r="E3005">
        <v>60161.45</v>
      </c>
      <c r="F3005">
        <v>25</v>
      </c>
      <c r="G3005" t="s">
        <v>26</v>
      </c>
      <c r="H3005">
        <v>627.07000000000005</v>
      </c>
      <c r="I3005">
        <v>3251.97</v>
      </c>
      <c r="J3005" t="s">
        <v>27</v>
      </c>
      <c r="K3005">
        <v>0.26</v>
      </c>
      <c r="L3005" t="s">
        <v>18</v>
      </c>
      <c r="M3005" t="s">
        <v>19</v>
      </c>
    </row>
    <row r="3006" spans="1:13" x14ac:dyDescent="0.35">
      <c r="A3006">
        <v>1063</v>
      </c>
      <c r="B3006" s="1">
        <v>45583</v>
      </c>
      <c r="C3006" t="s">
        <v>33</v>
      </c>
      <c r="D3006" t="s">
        <v>20</v>
      </c>
      <c r="E3006">
        <v>2177.08</v>
      </c>
      <c r="F3006">
        <v>9</v>
      </c>
      <c r="G3006" t="s">
        <v>16</v>
      </c>
      <c r="H3006">
        <v>230.5</v>
      </c>
      <c r="I3006">
        <v>247.44</v>
      </c>
      <c r="J3006" t="s">
        <v>27</v>
      </c>
      <c r="K3006">
        <v>0.02</v>
      </c>
      <c r="L3006" t="s">
        <v>18</v>
      </c>
      <c r="M3006" t="s">
        <v>21</v>
      </c>
    </row>
    <row r="3007" spans="1:13" x14ac:dyDescent="0.35">
      <c r="A3007">
        <v>1035</v>
      </c>
      <c r="B3007" s="1">
        <v>45583</v>
      </c>
      <c r="C3007" t="s">
        <v>32</v>
      </c>
      <c r="D3007" t="s">
        <v>23</v>
      </c>
      <c r="E3007">
        <v>92425.63</v>
      </c>
      <c r="F3007">
        <v>41</v>
      </c>
      <c r="G3007" t="s">
        <v>31</v>
      </c>
      <c r="H3007">
        <v>1911.47</v>
      </c>
      <c r="I3007">
        <v>2621.2600000000002</v>
      </c>
      <c r="J3007" t="s">
        <v>17</v>
      </c>
      <c r="K3007">
        <v>0.14000000000000001</v>
      </c>
      <c r="L3007" t="s">
        <v>18</v>
      </c>
      <c r="M3007" t="s">
        <v>21</v>
      </c>
    </row>
    <row r="3008" spans="1:13" x14ac:dyDescent="0.35">
      <c r="A3008">
        <v>1095</v>
      </c>
      <c r="B3008" s="1">
        <v>45583</v>
      </c>
      <c r="C3008" t="s">
        <v>32</v>
      </c>
      <c r="D3008" t="s">
        <v>23</v>
      </c>
      <c r="E3008">
        <v>29132.93</v>
      </c>
      <c r="F3008">
        <v>17</v>
      </c>
      <c r="G3008" t="s">
        <v>31</v>
      </c>
      <c r="H3008">
        <v>366.53</v>
      </c>
      <c r="I3008">
        <v>1842.69</v>
      </c>
      <c r="J3008" t="s">
        <v>17</v>
      </c>
      <c r="K3008">
        <v>7.0000000000000007E-2</v>
      </c>
      <c r="L3008" t="s">
        <v>28</v>
      </c>
      <c r="M3008" t="s">
        <v>19</v>
      </c>
    </row>
    <row r="3009" spans="1:13" x14ac:dyDescent="0.35">
      <c r="A3009">
        <v>1020</v>
      </c>
      <c r="B3009" s="1">
        <v>45583</v>
      </c>
      <c r="C3009" t="s">
        <v>29</v>
      </c>
      <c r="D3009" t="s">
        <v>30</v>
      </c>
      <c r="E3009">
        <v>29567.39</v>
      </c>
      <c r="F3009">
        <v>8</v>
      </c>
      <c r="G3009" t="s">
        <v>24</v>
      </c>
      <c r="H3009">
        <v>305.56</v>
      </c>
      <c r="I3009">
        <v>4452.92</v>
      </c>
      <c r="J3009" t="s">
        <v>17</v>
      </c>
      <c r="K3009">
        <v>0.17</v>
      </c>
      <c r="L3009" t="s">
        <v>18</v>
      </c>
      <c r="M3009" t="s">
        <v>19</v>
      </c>
    </row>
    <row r="3010" spans="1:13" x14ac:dyDescent="0.35">
      <c r="A3010">
        <v>1032</v>
      </c>
      <c r="B3010" s="1">
        <v>45584</v>
      </c>
      <c r="C3010" t="s">
        <v>33</v>
      </c>
      <c r="D3010" t="s">
        <v>20</v>
      </c>
      <c r="E3010">
        <v>19359.849999999999</v>
      </c>
      <c r="F3010">
        <v>5</v>
      </c>
      <c r="G3010" t="s">
        <v>24</v>
      </c>
      <c r="H3010">
        <v>3518.11</v>
      </c>
      <c r="I3010">
        <v>4502.29</v>
      </c>
      <c r="J3010" t="s">
        <v>27</v>
      </c>
      <c r="K3010">
        <v>0.14000000000000001</v>
      </c>
      <c r="L3010" t="s">
        <v>18</v>
      </c>
      <c r="M3010" t="s">
        <v>21</v>
      </c>
    </row>
    <row r="3011" spans="1:13" x14ac:dyDescent="0.35">
      <c r="A3011">
        <v>1092</v>
      </c>
      <c r="B3011" s="1">
        <v>45584</v>
      </c>
      <c r="C3011" t="s">
        <v>32</v>
      </c>
      <c r="D3011" t="s">
        <v>20</v>
      </c>
      <c r="E3011">
        <v>49331.37</v>
      </c>
      <c r="F3011">
        <v>12</v>
      </c>
      <c r="G3011" t="s">
        <v>26</v>
      </c>
      <c r="H3011">
        <v>3524.64</v>
      </c>
      <c r="I3011">
        <v>4238.09</v>
      </c>
      <c r="J3011" t="s">
        <v>17</v>
      </c>
      <c r="K3011">
        <v>0.03</v>
      </c>
      <c r="L3011" t="s">
        <v>18</v>
      </c>
      <c r="M3011" t="s">
        <v>19</v>
      </c>
    </row>
    <row r="3012" spans="1:13" x14ac:dyDescent="0.35">
      <c r="A3012">
        <v>1078</v>
      </c>
      <c r="B3012" s="1">
        <v>45584</v>
      </c>
      <c r="C3012" t="s">
        <v>14</v>
      </c>
      <c r="D3012" t="s">
        <v>20</v>
      </c>
      <c r="E3012">
        <v>55685.19</v>
      </c>
      <c r="F3012">
        <v>17</v>
      </c>
      <c r="G3012" t="s">
        <v>26</v>
      </c>
      <c r="H3012">
        <v>2405.6799999999998</v>
      </c>
      <c r="I3012">
        <v>3599.56</v>
      </c>
      <c r="J3012" t="s">
        <v>17</v>
      </c>
      <c r="K3012">
        <v>0.09</v>
      </c>
      <c r="L3012" t="s">
        <v>28</v>
      </c>
      <c r="M3012" t="s">
        <v>21</v>
      </c>
    </row>
    <row r="3013" spans="1:13" x14ac:dyDescent="0.35">
      <c r="A3013">
        <v>1078</v>
      </c>
      <c r="B3013" s="1">
        <v>45584</v>
      </c>
      <c r="C3013" t="s">
        <v>32</v>
      </c>
      <c r="D3013" t="s">
        <v>15</v>
      </c>
      <c r="E3013">
        <v>30954.25</v>
      </c>
      <c r="F3013">
        <v>16</v>
      </c>
      <c r="G3013" t="s">
        <v>16</v>
      </c>
      <c r="H3013">
        <v>911.27</v>
      </c>
      <c r="I3013">
        <v>2545.58</v>
      </c>
      <c r="J3013" t="s">
        <v>27</v>
      </c>
      <c r="K3013">
        <v>0.24</v>
      </c>
      <c r="L3013" t="s">
        <v>25</v>
      </c>
      <c r="M3013" t="s">
        <v>19</v>
      </c>
    </row>
    <row r="3014" spans="1:13" x14ac:dyDescent="0.35">
      <c r="A3014">
        <v>1069</v>
      </c>
      <c r="B3014" s="1">
        <v>45584</v>
      </c>
      <c r="C3014" t="s">
        <v>32</v>
      </c>
      <c r="D3014" t="s">
        <v>20</v>
      </c>
      <c r="E3014">
        <v>244549.06</v>
      </c>
      <c r="F3014">
        <v>49</v>
      </c>
      <c r="G3014" t="s">
        <v>24</v>
      </c>
      <c r="H3014">
        <v>4084.24</v>
      </c>
      <c r="I3014">
        <v>4997.5200000000004</v>
      </c>
      <c r="J3014" t="s">
        <v>27</v>
      </c>
      <c r="K3014">
        <v>0</v>
      </c>
      <c r="L3014" t="s">
        <v>18</v>
      </c>
      <c r="M3014" t="s">
        <v>19</v>
      </c>
    </row>
    <row r="3015" spans="1:13" x14ac:dyDescent="0.35">
      <c r="A3015">
        <v>1028</v>
      </c>
      <c r="B3015" s="1">
        <v>45584</v>
      </c>
      <c r="C3015" t="s">
        <v>33</v>
      </c>
      <c r="D3015" t="s">
        <v>15</v>
      </c>
      <c r="E3015">
        <v>184178.97</v>
      </c>
      <c r="F3015">
        <v>43</v>
      </c>
      <c r="G3015" t="s">
        <v>24</v>
      </c>
      <c r="H3015">
        <v>1619.31</v>
      </c>
      <c r="I3015">
        <v>4812.62</v>
      </c>
      <c r="J3015" t="s">
        <v>17</v>
      </c>
      <c r="K3015">
        <v>0.11</v>
      </c>
      <c r="L3015" t="s">
        <v>18</v>
      </c>
      <c r="M3015" t="s">
        <v>21</v>
      </c>
    </row>
    <row r="3016" spans="1:13" x14ac:dyDescent="0.35">
      <c r="A3016">
        <v>1012</v>
      </c>
      <c r="B3016" s="1">
        <v>45585</v>
      </c>
      <c r="C3016" t="s">
        <v>22</v>
      </c>
      <c r="D3016" t="s">
        <v>20</v>
      </c>
      <c r="E3016">
        <v>33864.39</v>
      </c>
      <c r="F3016">
        <v>12</v>
      </c>
      <c r="G3016" t="s">
        <v>26</v>
      </c>
      <c r="H3016">
        <v>2207.48</v>
      </c>
      <c r="I3016">
        <v>3617.99</v>
      </c>
      <c r="J3016" t="s">
        <v>27</v>
      </c>
      <c r="K3016">
        <v>0.22</v>
      </c>
      <c r="L3016" t="s">
        <v>28</v>
      </c>
      <c r="M3016" t="s">
        <v>21</v>
      </c>
    </row>
    <row r="3017" spans="1:13" x14ac:dyDescent="0.35">
      <c r="A3017">
        <v>1037</v>
      </c>
      <c r="B3017" s="1">
        <v>45585</v>
      </c>
      <c r="C3017" t="s">
        <v>33</v>
      </c>
      <c r="D3017" t="s">
        <v>15</v>
      </c>
      <c r="E3017">
        <v>134219.25</v>
      </c>
      <c r="F3017">
        <v>33</v>
      </c>
      <c r="G3017" t="s">
        <v>16</v>
      </c>
      <c r="H3017">
        <v>580.41999999999996</v>
      </c>
      <c r="I3017">
        <v>4067.25</v>
      </c>
      <c r="J3017" t="s">
        <v>17</v>
      </c>
      <c r="K3017">
        <v>0</v>
      </c>
      <c r="L3017" t="s">
        <v>28</v>
      </c>
      <c r="M3017" t="s">
        <v>19</v>
      </c>
    </row>
    <row r="3018" spans="1:13" x14ac:dyDescent="0.35">
      <c r="A3018">
        <v>1041</v>
      </c>
      <c r="B3018" s="1">
        <v>45586</v>
      </c>
      <c r="C3018" t="s">
        <v>32</v>
      </c>
      <c r="D3018" t="s">
        <v>23</v>
      </c>
      <c r="E3018">
        <v>220606.12</v>
      </c>
      <c r="F3018">
        <v>47</v>
      </c>
      <c r="G3018" t="s">
        <v>16</v>
      </c>
      <c r="H3018">
        <v>3381.14</v>
      </c>
      <c r="I3018">
        <v>4889.32</v>
      </c>
      <c r="J3018" t="s">
        <v>27</v>
      </c>
      <c r="K3018">
        <v>0.04</v>
      </c>
      <c r="L3018" t="s">
        <v>28</v>
      </c>
      <c r="M3018" t="s">
        <v>21</v>
      </c>
    </row>
    <row r="3019" spans="1:13" x14ac:dyDescent="0.35">
      <c r="A3019">
        <v>1047</v>
      </c>
      <c r="B3019" s="1">
        <v>45586</v>
      </c>
      <c r="C3019" t="s">
        <v>22</v>
      </c>
      <c r="D3019" t="s">
        <v>23</v>
      </c>
      <c r="E3019">
        <v>81259.149999999994</v>
      </c>
      <c r="F3019">
        <v>22</v>
      </c>
      <c r="G3019" t="s">
        <v>26</v>
      </c>
      <c r="H3019">
        <v>850.66</v>
      </c>
      <c r="I3019">
        <v>4397.1400000000003</v>
      </c>
      <c r="J3019" t="s">
        <v>27</v>
      </c>
      <c r="K3019">
        <v>0.16</v>
      </c>
      <c r="L3019" t="s">
        <v>25</v>
      </c>
      <c r="M3019" t="s">
        <v>19</v>
      </c>
    </row>
    <row r="3020" spans="1:13" x14ac:dyDescent="0.35">
      <c r="A3020">
        <v>1043</v>
      </c>
      <c r="B3020" s="1">
        <v>45587</v>
      </c>
      <c r="C3020" t="s">
        <v>14</v>
      </c>
      <c r="D3020" t="s">
        <v>23</v>
      </c>
      <c r="E3020">
        <v>77450.399999999994</v>
      </c>
      <c r="F3020">
        <v>19</v>
      </c>
      <c r="G3020" t="s">
        <v>24</v>
      </c>
      <c r="H3020">
        <v>3298.39</v>
      </c>
      <c r="I3020">
        <v>5159.92</v>
      </c>
      <c r="J3020" t="s">
        <v>17</v>
      </c>
      <c r="K3020">
        <v>0.21</v>
      </c>
      <c r="L3020" t="s">
        <v>25</v>
      </c>
      <c r="M3020" t="s">
        <v>19</v>
      </c>
    </row>
    <row r="3021" spans="1:13" x14ac:dyDescent="0.35">
      <c r="A3021">
        <v>1028</v>
      </c>
      <c r="B3021" s="1">
        <v>45587</v>
      </c>
      <c r="C3021" t="s">
        <v>14</v>
      </c>
      <c r="D3021" t="s">
        <v>15</v>
      </c>
      <c r="E3021">
        <v>97681.66</v>
      </c>
      <c r="F3021">
        <v>28</v>
      </c>
      <c r="G3021" t="s">
        <v>31</v>
      </c>
      <c r="H3021">
        <v>2953.08</v>
      </c>
      <c r="I3021">
        <v>3791.99</v>
      </c>
      <c r="J3021" t="s">
        <v>27</v>
      </c>
      <c r="K3021">
        <v>0.08</v>
      </c>
      <c r="L3021" t="s">
        <v>28</v>
      </c>
      <c r="M3021" t="s">
        <v>21</v>
      </c>
    </row>
    <row r="3022" spans="1:13" x14ac:dyDescent="0.35">
      <c r="A3022">
        <v>1011</v>
      </c>
      <c r="B3022" s="1">
        <v>45587</v>
      </c>
      <c r="C3022" t="s">
        <v>33</v>
      </c>
      <c r="D3022" t="s">
        <v>15</v>
      </c>
      <c r="E3022">
        <v>83747.47</v>
      </c>
      <c r="F3022">
        <v>32</v>
      </c>
      <c r="G3022" t="s">
        <v>24</v>
      </c>
      <c r="H3022">
        <v>700.03</v>
      </c>
      <c r="I3022">
        <v>2698.05</v>
      </c>
      <c r="J3022" t="s">
        <v>27</v>
      </c>
      <c r="K3022">
        <v>0.03</v>
      </c>
      <c r="L3022" t="s">
        <v>28</v>
      </c>
      <c r="M3022" t="s">
        <v>21</v>
      </c>
    </row>
    <row r="3023" spans="1:13" x14ac:dyDescent="0.35">
      <c r="A3023">
        <v>1038</v>
      </c>
      <c r="B3023" s="1">
        <v>45587</v>
      </c>
      <c r="C3023" t="s">
        <v>29</v>
      </c>
      <c r="D3023" t="s">
        <v>30</v>
      </c>
      <c r="E3023">
        <v>235186.52</v>
      </c>
      <c r="F3023">
        <v>49</v>
      </c>
      <c r="G3023" t="s">
        <v>31</v>
      </c>
      <c r="H3023">
        <v>2595.15</v>
      </c>
      <c r="I3023">
        <v>4948.17</v>
      </c>
      <c r="J3023" t="s">
        <v>27</v>
      </c>
      <c r="K3023">
        <v>0.03</v>
      </c>
      <c r="L3023" t="s">
        <v>28</v>
      </c>
      <c r="M3023" t="s">
        <v>21</v>
      </c>
    </row>
    <row r="3024" spans="1:13" x14ac:dyDescent="0.35">
      <c r="A3024">
        <v>1076</v>
      </c>
      <c r="B3024" s="1">
        <v>45589</v>
      </c>
      <c r="C3024" t="s">
        <v>22</v>
      </c>
      <c r="D3024" t="s">
        <v>30</v>
      </c>
      <c r="E3024">
        <v>110190.02</v>
      </c>
      <c r="F3024">
        <v>24</v>
      </c>
      <c r="G3024" t="s">
        <v>31</v>
      </c>
      <c r="H3024">
        <v>3516.82</v>
      </c>
      <c r="I3024">
        <v>4684.95</v>
      </c>
      <c r="J3024" t="s">
        <v>27</v>
      </c>
      <c r="K3024">
        <v>0.02</v>
      </c>
      <c r="L3024" t="s">
        <v>18</v>
      </c>
      <c r="M3024" t="s">
        <v>21</v>
      </c>
    </row>
    <row r="3025" spans="1:13" x14ac:dyDescent="0.35">
      <c r="A3025">
        <v>1078</v>
      </c>
      <c r="B3025" s="1">
        <v>45589</v>
      </c>
      <c r="C3025" t="s">
        <v>33</v>
      </c>
      <c r="D3025" t="s">
        <v>30</v>
      </c>
      <c r="E3025">
        <v>42901.279999999999</v>
      </c>
      <c r="F3025">
        <v>23</v>
      </c>
      <c r="G3025" t="s">
        <v>16</v>
      </c>
      <c r="H3025">
        <v>422.4</v>
      </c>
      <c r="I3025">
        <v>1903.34</v>
      </c>
      <c r="J3025" t="s">
        <v>27</v>
      </c>
      <c r="K3025">
        <v>0.02</v>
      </c>
      <c r="L3025" t="s">
        <v>28</v>
      </c>
      <c r="M3025" t="s">
        <v>19</v>
      </c>
    </row>
    <row r="3026" spans="1:13" x14ac:dyDescent="0.35">
      <c r="A3026">
        <v>1053</v>
      </c>
      <c r="B3026" s="1">
        <v>45589</v>
      </c>
      <c r="C3026" t="s">
        <v>29</v>
      </c>
      <c r="D3026" t="s">
        <v>23</v>
      </c>
      <c r="E3026">
        <v>179991.07</v>
      </c>
      <c r="F3026">
        <v>47</v>
      </c>
      <c r="G3026" t="s">
        <v>26</v>
      </c>
      <c r="H3026">
        <v>383.05</v>
      </c>
      <c r="I3026">
        <v>4909.74</v>
      </c>
      <c r="J3026" t="s">
        <v>17</v>
      </c>
      <c r="K3026">
        <v>0.22</v>
      </c>
      <c r="L3026" t="s">
        <v>25</v>
      </c>
      <c r="M3026" t="s">
        <v>19</v>
      </c>
    </row>
    <row r="3027" spans="1:13" x14ac:dyDescent="0.35">
      <c r="A3027">
        <v>1075</v>
      </c>
      <c r="B3027" s="1">
        <v>45590</v>
      </c>
      <c r="C3027" t="s">
        <v>32</v>
      </c>
      <c r="D3027" t="s">
        <v>30</v>
      </c>
      <c r="E3027">
        <v>6107.08</v>
      </c>
      <c r="F3027">
        <v>4</v>
      </c>
      <c r="G3027" t="s">
        <v>16</v>
      </c>
      <c r="H3027">
        <v>515.62</v>
      </c>
      <c r="I3027">
        <v>2150.38</v>
      </c>
      <c r="J3027" t="s">
        <v>27</v>
      </c>
      <c r="K3027">
        <v>0.28999999999999998</v>
      </c>
      <c r="L3027" t="s">
        <v>28</v>
      </c>
      <c r="M3027" t="s">
        <v>19</v>
      </c>
    </row>
    <row r="3028" spans="1:13" x14ac:dyDescent="0.35">
      <c r="A3028">
        <v>1042</v>
      </c>
      <c r="B3028" s="1">
        <v>45591</v>
      </c>
      <c r="C3028" t="s">
        <v>33</v>
      </c>
      <c r="D3028" t="s">
        <v>23</v>
      </c>
      <c r="E3028">
        <v>60233.52</v>
      </c>
      <c r="F3028">
        <v>19</v>
      </c>
      <c r="G3028" t="s">
        <v>24</v>
      </c>
      <c r="H3028">
        <v>892.83</v>
      </c>
      <c r="I3028">
        <v>3819.5</v>
      </c>
      <c r="J3028" t="s">
        <v>17</v>
      </c>
      <c r="K3028">
        <v>0.17</v>
      </c>
      <c r="L3028" t="s">
        <v>25</v>
      </c>
      <c r="M3028" t="s">
        <v>21</v>
      </c>
    </row>
    <row r="3029" spans="1:13" x14ac:dyDescent="0.35">
      <c r="A3029">
        <v>1054</v>
      </c>
      <c r="B3029" s="1">
        <v>45591</v>
      </c>
      <c r="C3029" t="s">
        <v>22</v>
      </c>
      <c r="D3029" t="s">
        <v>23</v>
      </c>
      <c r="E3029">
        <v>128341.09</v>
      </c>
      <c r="F3029">
        <v>37</v>
      </c>
      <c r="G3029" t="s">
        <v>24</v>
      </c>
      <c r="H3029">
        <v>1564.85</v>
      </c>
      <c r="I3029">
        <v>4564.05</v>
      </c>
      <c r="J3029" t="s">
        <v>17</v>
      </c>
      <c r="K3029">
        <v>0.24</v>
      </c>
      <c r="L3029" t="s">
        <v>25</v>
      </c>
      <c r="M3029" t="s">
        <v>21</v>
      </c>
    </row>
    <row r="3030" spans="1:13" x14ac:dyDescent="0.35">
      <c r="A3030">
        <v>1003</v>
      </c>
      <c r="B3030" s="1">
        <v>45592</v>
      </c>
      <c r="C3030" t="s">
        <v>22</v>
      </c>
      <c r="D3030" t="s">
        <v>30</v>
      </c>
      <c r="E3030">
        <v>12816.23</v>
      </c>
      <c r="F3030">
        <v>4</v>
      </c>
      <c r="G3030" t="s">
        <v>26</v>
      </c>
      <c r="H3030">
        <v>3170.65</v>
      </c>
      <c r="I3030">
        <v>4389.12</v>
      </c>
      <c r="J3030" t="s">
        <v>27</v>
      </c>
      <c r="K3030">
        <v>0.27</v>
      </c>
      <c r="L3030" t="s">
        <v>25</v>
      </c>
      <c r="M3030" t="s">
        <v>21</v>
      </c>
    </row>
    <row r="3031" spans="1:13" x14ac:dyDescent="0.35">
      <c r="A3031">
        <v>1063</v>
      </c>
      <c r="B3031" s="1">
        <v>45592</v>
      </c>
      <c r="C3031" t="s">
        <v>14</v>
      </c>
      <c r="D3031" t="s">
        <v>23</v>
      </c>
      <c r="E3031">
        <v>33660.910000000003</v>
      </c>
      <c r="F3031">
        <v>22</v>
      </c>
      <c r="G3031" t="s">
        <v>26</v>
      </c>
      <c r="H3031">
        <v>750.84</v>
      </c>
      <c r="I3031">
        <v>1610.57</v>
      </c>
      <c r="J3031" t="s">
        <v>17</v>
      </c>
      <c r="K3031">
        <v>0.05</v>
      </c>
      <c r="L3031" t="s">
        <v>18</v>
      </c>
      <c r="M3031" t="s">
        <v>21</v>
      </c>
    </row>
    <row r="3032" spans="1:13" x14ac:dyDescent="0.35">
      <c r="A3032">
        <v>1018</v>
      </c>
      <c r="B3032" s="1">
        <v>45592</v>
      </c>
      <c r="C3032" t="s">
        <v>14</v>
      </c>
      <c r="D3032" t="s">
        <v>15</v>
      </c>
      <c r="E3032">
        <v>82158.91</v>
      </c>
      <c r="F3032">
        <v>21</v>
      </c>
      <c r="G3032" t="s">
        <v>16</v>
      </c>
      <c r="H3032">
        <v>1766.26</v>
      </c>
      <c r="I3032">
        <v>4496.93</v>
      </c>
      <c r="J3032" t="s">
        <v>27</v>
      </c>
      <c r="K3032">
        <v>0.13</v>
      </c>
      <c r="L3032" t="s">
        <v>28</v>
      </c>
      <c r="M3032" t="s">
        <v>21</v>
      </c>
    </row>
    <row r="3033" spans="1:13" x14ac:dyDescent="0.35">
      <c r="A3033">
        <v>1043</v>
      </c>
      <c r="B3033" s="1">
        <v>45594</v>
      </c>
      <c r="C3033" t="s">
        <v>33</v>
      </c>
      <c r="D3033" t="s">
        <v>15</v>
      </c>
      <c r="E3033">
        <v>14949.57</v>
      </c>
      <c r="F3033">
        <v>5</v>
      </c>
      <c r="G3033" t="s">
        <v>31</v>
      </c>
      <c r="H3033">
        <v>2080.09</v>
      </c>
      <c r="I3033">
        <v>3285.62</v>
      </c>
      <c r="J3033" t="s">
        <v>27</v>
      </c>
      <c r="K3033">
        <v>0.09</v>
      </c>
      <c r="L3033" t="s">
        <v>18</v>
      </c>
      <c r="M3033" t="s">
        <v>21</v>
      </c>
    </row>
    <row r="3034" spans="1:13" x14ac:dyDescent="0.35">
      <c r="A3034">
        <v>1021</v>
      </c>
      <c r="B3034" s="1">
        <v>45595</v>
      </c>
      <c r="C3034" t="s">
        <v>14</v>
      </c>
      <c r="D3034" t="s">
        <v>20</v>
      </c>
      <c r="E3034">
        <v>6393.15</v>
      </c>
      <c r="F3034">
        <v>2</v>
      </c>
      <c r="G3034" t="s">
        <v>26</v>
      </c>
      <c r="H3034">
        <v>525.17999999999995</v>
      </c>
      <c r="I3034">
        <v>3632.47</v>
      </c>
      <c r="J3034" t="s">
        <v>27</v>
      </c>
      <c r="K3034">
        <v>0.12</v>
      </c>
      <c r="L3034" t="s">
        <v>25</v>
      </c>
      <c r="M3034" t="s">
        <v>21</v>
      </c>
    </row>
    <row r="3035" spans="1:13" x14ac:dyDescent="0.35">
      <c r="A3035">
        <v>1047</v>
      </c>
      <c r="B3035" s="1">
        <v>45595</v>
      </c>
      <c r="C3035" t="s">
        <v>33</v>
      </c>
      <c r="D3035" t="s">
        <v>15</v>
      </c>
      <c r="E3035">
        <v>127208.59</v>
      </c>
      <c r="F3035">
        <v>49</v>
      </c>
      <c r="G3035" t="s">
        <v>26</v>
      </c>
      <c r="H3035">
        <v>510.48</v>
      </c>
      <c r="I3035">
        <v>3656.47</v>
      </c>
      <c r="J3035" t="s">
        <v>27</v>
      </c>
      <c r="K3035">
        <v>0.28999999999999998</v>
      </c>
      <c r="L3035" t="s">
        <v>28</v>
      </c>
      <c r="M3035" t="s">
        <v>19</v>
      </c>
    </row>
    <row r="3036" spans="1:13" x14ac:dyDescent="0.35">
      <c r="A3036">
        <v>1069</v>
      </c>
      <c r="B3036" s="1">
        <v>45596</v>
      </c>
      <c r="C3036" t="s">
        <v>22</v>
      </c>
      <c r="D3036" t="s">
        <v>15</v>
      </c>
      <c r="E3036">
        <v>40253.300000000003</v>
      </c>
      <c r="F3036">
        <v>37</v>
      </c>
      <c r="G3036" t="s">
        <v>24</v>
      </c>
      <c r="H3036">
        <v>775.72</v>
      </c>
      <c r="I3036">
        <v>1222.3900000000001</v>
      </c>
      <c r="J3036" t="s">
        <v>27</v>
      </c>
      <c r="K3036">
        <v>0.11</v>
      </c>
      <c r="L3036" t="s">
        <v>18</v>
      </c>
      <c r="M3036" t="s">
        <v>21</v>
      </c>
    </row>
    <row r="3037" spans="1:13" x14ac:dyDescent="0.35">
      <c r="A3037">
        <v>1021</v>
      </c>
      <c r="B3037" s="1">
        <v>45596</v>
      </c>
      <c r="C3037" t="s">
        <v>14</v>
      </c>
      <c r="D3037" t="s">
        <v>15</v>
      </c>
      <c r="E3037">
        <v>29478.74</v>
      </c>
      <c r="F3037">
        <v>11</v>
      </c>
      <c r="G3037" t="s">
        <v>16</v>
      </c>
      <c r="H3037">
        <v>1470.96</v>
      </c>
      <c r="I3037">
        <v>3308.5</v>
      </c>
      <c r="J3037" t="s">
        <v>17</v>
      </c>
      <c r="K3037">
        <v>0.19</v>
      </c>
      <c r="L3037" t="s">
        <v>18</v>
      </c>
      <c r="M3037" t="s">
        <v>19</v>
      </c>
    </row>
    <row r="3038" spans="1:13" x14ac:dyDescent="0.35">
      <c r="A3038">
        <v>1019</v>
      </c>
      <c r="B3038" s="1">
        <v>45596</v>
      </c>
      <c r="C3038" t="s">
        <v>29</v>
      </c>
      <c r="D3038" t="s">
        <v>15</v>
      </c>
      <c r="E3038">
        <v>101584.56</v>
      </c>
      <c r="F3038">
        <v>46</v>
      </c>
      <c r="G3038" t="s">
        <v>26</v>
      </c>
      <c r="H3038">
        <v>1200.3900000000001</v>
      </c>
      <c r="I3038">
        <v>2208.36</v>
      </c>
      <c r="J3038" t="s">
        <v>17</v>
      </c>
      <c r="K3038">
        <v>0</v>
      </c>
      <c r="L3038" t="s">
        <v>25</v>
      </c>
      <c r="M3038" t="s">
        <v>19</v>
      </c>
    </row>
    <row r="3039" spans="1:13" x14ac:dyDescent="0.35">
      <c r="A3039">
        <v>1049</v>
      </c>
      <c r="B3039" s="1">
        <v>45597</v>
      </c>
      <c r="C3039" t="s">
        <v>14</v>
      </c>
      <c r="D3039" t="s">
        <v>15</v>
      </c>
      <c r="E3039">
        <v>33646.03</v>
      </c>
      <c r="F3039">
        <v>11</v>
      </c>
      <c r="G3039" t="s">
        <v>16</v>
      </c>
      <c r="H3039">
        <v>2171.48</v>
      </c>
      <c r="I3039">
        <v>3153.33</v>
      </c>
      <c r="J3039" t="s">
        <v>17</v>
      </c>
      <c r="K3039">
        <v>0.03</v>
      </c>
      <c r="L3039" t="s">
        <v>25</v>
      </c>
      <c r="M3039" t="s">
        <v>21</v>
      </c>
    </row>
    <row r="3040" spans="1:13" x14ac:dyDescent="0.35">
      <c r="A3040">
        <v>1011</v>
      </c>
      <c r="B3040" s="1">
        <v>45598</v>
      </c>
      <c r="C3040" t="s">
        <v>14</v>
      </c>
      <c r="D3040" t="s">
        <v>23</v>
      </c>
      <c r="E3040">
        <v>27697.279999999999</v>
      </c>
      <c r="F3040">
        <v>8</v>
      </c>
      <c r="G3040" t="s">
        <v>16</v>
      </c>
      <c r="H3040">
        <v>2837.71</v>
      </c>
      <c r="I3040">
        <v>3462.16</v>
      </c>
      <c r="J3040" t="s">
        <v>27</v>
      </c>
      <c r="K3040">
        <v>0</v>
      </c>
      <c r="L3040" t="s">
        <v>25</v>
      </c>
      <c r="M3040" t="s">
        <v>21</v>
      </c>
    </row>
    <row r="3041" spans="1:13" x14ac:dyDescent="0.35">
      <c r="A3041">
        <v>1043</v>
      </c>
      <c r="B3041" s="1">
        <v>45598</v>
      </c>
      <c r="C3041" t="s">
        <v>29</v>
      </c>
      <c r="D3041" t="s">
        <v>20</v>
      </c>
      <c r="E3041">
        <v>25718.92</v>
      </c>
      <c r="F3041">
        <v>13</v>
      </c>
      <c r="G3041" t="s">
        <v>31</v>
      </c>
      <c r="H3041">
        <v>1404.73</v>
      </c>
      <c r="I3041">
        <v>2300.44</v>
      </c>
      <c r="J3041" t="s">
        <v>17</v>
      </c>
      <c r="K3041">
        <v>0.14000000000000001</v>
      </c>
      <c r="L3041" t="s">
        <v>18</v>
      </c>
      <c r="M3041" t="s">
        <v>19</v>
      </c>
    </row>
    <row r="3042" spans="1:13" x14ac:dyDescent="0.35">
      <c r="A3042">
        <v>1083</v>
      </c>
      <c r="B3042" s="1">
        <v>45598</v>
      </c>
      <c r="C3042" t="s">
        <v>33</v>
      </c>
      <c r="D3042" t="s">
        <v>23</v>
      </c>
      <c r="E3042">
        <v>29955.9</v>
      </c>
      <c r="F3042">
        <v>8</v>
      </c>
      <c r="G3042" t="s">
        <v>26</v>
      </c>
      <c r="H3042">
        <v>1566.25</v>
      </c>
      <c r="I3042">
        <v>4207.29</v>
      </c>
      <c r="J3042" t="s">
        <v>27</v>
      </c>
      <c r="K3042">
        <v>0.11</v>
      </c>
      <c r="L3042" t="s">
        <v>28</v>
      </c>
      <c r="M3042" t="s">
        <v>19</v>
      </c>
    </row>
    <row r="3043" spans="1:13" x14ac:dyDescent="0.35">
      <c r="A3043">
        <v>1055</v>
      </c>
      <c r="B3043" s="1">
        <v>45598</v>
      </c>
      <c r="C3043" t="s">
        <v>33</v>
      </c>
      <c r="D3043" t="s">
        <v>30</v>
      </c>
      <c r="E3043">
        <v>62495.92</v>
      </c>
      <c r="F3043">
        <v>37</v>
      </c>
      <c r="G3043" t="s">
        <v>24</v>
      </c>
      <c r="H3043">
        <v>715.32</v>
      </c>
      <c r="I3043">
        <v>1941.47</v>
      </c>
      <c r="J3043" t="s">
        <v>27</v>
      </c>
      <c r="K3043">
        <v>0.13</v>
      </c>
      <c r="L3043" t="s">
        <v>18</v>
      </c>
      <c r="M3043" t="s">
        <v>21</v>
      </c>
    </row>
    <row r="3044" spans="1:13" x14ac:dyDescent="0.35">
      <c r="A3044">
        <v>1043</v>
      </c>
      <c r="B3044" s="1">
        <v>45599</v>
      </c>
      <c r="C3044" t="s">
        <v>32</v>
      </c>
      <c r="D3044" t="s">
        <v>15</v>
      </c>
      <c r="E3044">
        <v>119217.89</v>
      </c>
      <c r="F3044">
        <v>29</v>
      </c>
      <c r="G3044" t="s">
        <v>31</v>
      </c>
      <c r="H3044">
        <v>3160.61</v>
      </c>
      <c r="I3044">
        <v>4150.03</v>
      </c>
      <c r="J3044" t="s">
        <v>27</v>
      </c>
      <c r="K3044">
        <v>0.01</v>
      </c>
      <c r="L3044" t="s">
        <v>28</v>
      </c>
      <c r="M3044" t="s">
        <v>19</v>
      </c>
    </row>
    <row r="3045" spans="1:13" x14ac:dyDescent="0.35">
      <c r="A3045">
        <v>1082</v>
      </c>
      <c r="B3045" s="1">
        <v>45599</v>
      </c>
      <c r="C3045" t="s">
        <v>32</v>
      </c>
      <c r="D3045" t="s">
        <v>15</v>
      </c>
      <c r="E3045">
        <v>78630.92</v>
      </c>
      <c r="F3045">
        <v>20</v>
      </c>
      <c r="G3045" t="s">
        <v>26</v>
      </c>
      <c r="H3045">
        <v>467.92</v>
      </c>
      <c r="I3045">
        <v>4320.38</v>
      </c>
      <c r="J3045" t="s">
        <v>27</v>
      </c>
      <c r="K3045">
        <v>0.09</v>
      </c>
      <c r="L3045" t="s">
        <v>28</v>
      </c>
      <c r="M3045" t="s">
        <v>19</v>
      </c>
    </row>
    <row r="3046" spans="1:13" x14ac:dyDescent="0.35">
      <c r="A3046">
        <v>1056</v>
      </c>
      <c r="B3046" s="1">
        <v>45599</v>
      </c>
      <c r="C3046" t="s">
        <v>32</v>
      </c>
      <c r="D3046" t="s">
        <v>23</v>
      </c>
      <c r="E3046">
        <v>111131.95</v>
      </c>
      <c r="F3046">
        <v>43</v>
      </c>
      <c r="G3046" t="s">
        <v>16</v>
      </c>
      <c r="H3046">
        <v>424.99</v>
      </c>
      <c r="I3046">
        <v>2692.15</v>
      </c>
      <c r="J3046" t="s">
        <v>17</v>
      </c>
      <c r="K3046">
        <v>0.04</v>
      </c>
      <c r="L3046" t="s">
        <v>18</v>
      </c>
      <c r="M3046" t="s">
        <v>21</v>
      </c>
    </row>
    <row r="3047" spans="1:13" x14ac:dyDescent="0.35">
      <c r="A3047">
        <v>1063</v>
      </c>
      <c r="B3047" s="1">
        <v>45600</v>
      </c>
      <c r="C3047" t="s">
        <v>29</v>
      </c>
      <c r="D3047" t="s">
        <v>15</v>
      </c>
      <c r="E3047">
        <v>141189.18</v>
      </c>
      <c r="F3047">
        <v>46</v>
      </c>
      <c r="G3047" t="s">
        <v>24</v>
      </c>
      <c r="H3047">
        <v>2529.8000000000002</v>
      </c>
      <c r="I3047">
        <v>4092.44</v>
      </c>
      <c r="J3047" t="s">
        <v>27</v>
      </c>
      <c r="K3047">
        <v>0.25</v>
      </c>
      <c r="L3047" t="s">
        <v>28</v>
      </c>
      <c r="M3047" t="s">
        <v>21</v>
      </c>
    </row>
    <row r="3048" spans="1:13" x14ac:dyDescent="0.35">
      <c r="A3048">
        <v>1037</v>
      </c>
      <c r="B3048" s="1">
        <v>45600</v>
      </c>
      <c r="C3048" t="s">
        <v>32</v>
      </c>
      <c r="D3048" t="s">
        <v>23</v>
      </c>
      <c r="E3048">
        <v>59343.91</v>
      </c>
      <c r="F3048">
        <v>25</v>
      </c>
      <c r="G3048" t="s">
        <v>24</v>
      </c>
      <c r="H3048">
        <v>1313.46</v>
      </c>
      <c r="I3048">
        <v>2580.17</v>
      </c>
      <c r="J3048" t="s">
        <v>17</v>
      </c>
      <c r="K3048">
        <v>0.08</v>
      </c>
      <c r="L3048" t="s">
        <v>18</v>
      </c>
      <c r="M3048" t="s">
        <v>19</v>
      </c>
    </row>
    <row r="3049" spans="1:13" x14ac:dyDescent="0.35">
      <c r="A3049">
        <v>1026</v>
      </c>
      <c r="B3049" s="1">
        <v>45600</v>
      </c>
      <c r="C3049" t="s">
        <v>22</v>
      </c>
      <c r="D3049" t="s">
        <v>30</v>
      </c>
      <c r="E3049">
        <v>79510.14</v>
      </c>
      <c r="F3049">
        <v>24</v>
      </c>
      <c r="G3049" t="s">
        <v>16</v>
      </c>
      <c r="H3049">
        <v>1642.41</v>
      </c>
      <c r="I3049">
        <v>4538.25</v>
      </c>
      <c r="J3049" t="s">
        <v>27</v>
      </c>
      <c r="K3049">
        <v>0.27</v>
      </c>
      <c r="L3049" t="s">
        <v>18</v>
      </c>
      <c r="M3049" t="s">
        <v>19</v>
      </c>
    </row>
    <row r="3050" spans="1:13" x14ac:dyDescent="0.35">
      <c r="A3050">
        <v>1051</v>
      </c>
      <c r="B3050" s="1">
        <v>45601</v>
      </c>
      <c r="C3050" t="s">
        <v>32</v>
      </c>
      <c r="D3050" t="s">
        <v>30</v>
      </c>
      <c r="E3050">
        <v>122203.46</v>
      </c>
      <c r="F3050">
        <v>43</v>
      </c>
      <c r="G3050" t="s">
        <v>24</v>
      </c>
      <c r="H3050">
        <v>2800</v>
      </c>
      <c r="I3050">
        <v>3343.46</v>
      </c>
      <c r="J3050" t="s">
        <v>27</v>
      </c>
      <c r="K3050">
        <v>0.15</v>
      </c>
      <c r="L3050" t="s">
        <v>25</v>
      </c>
      <c r="M3050" t="s">
        <v>21</v>
      </c>
    </row>
    <row r="3051" spans="1:13" x14ac:dyDescent="0.35">
      <c r="A3051">
        <v>1068</v>
      </c>
      <c r="B3051" s="1">
        <v>45602</v>
      </c>
      <c r="C3051" t="s">
        <v>33</v>
      </c>
      <c r="D3051" t="s">
        <v>30</v>
      </c>
      <c r="E3051">
        <v>30989.759999999998</v>
      </c>
      <c r="F3051">
        <v>13</v>
      </c>
      <c r="G3051" t="s">
        <v>26</v>
      </c>
      <c r="H3051">
        <v>1558.13</v>
      </c>
      <c r="I3051">
        <v>2837.89</v>
      </c>
      <c r="J3051" t="s">
        <v>17</v>
      </c>
      <c r="K3051">
        <v>0.16</v>
      </c>
      <c r="L3051" t="s">
        <v>25</v>
      </c>
      <c r="M3051" t="s">
        <v>19</v>
      </c>
    </row>
    <row r="3052" spans="1:13" x14ac:dyDescent="0.35">
      <c r="A3052">
        <v>1082</v>
      </c>
      <c r="B3052" s="1">
        <v>45603</v>
      </c>
      <c r="C3052" t="s">
        <v>32</v>
      </c>
      <c r="D3052" t="s">
        <v>20</v>
      </c>
      <c r="E3052">
        <v>82065.67</v>
      </c>
      <c r="F3052">
        <v>29</v>
      </c>
      <c r="G3052" t="s">
        <v>26</v>
      </c>
      <c r="H3052">
        <v>1677.31</v>
      </c>
      <c r="I3052">
        <v>3368.87</v>
      </c>
      <c r="J3052" t="s">
        <v>27</v>
      </c>
      <c r="K3052">
        <v>0.16</v>
      </c>
      <c r="L3052" t="s">
        <v>28</v>
      </c>
      <c r="M3052" t="s">
        <v>19</v>
      </c>
    </row>
    <row r="3053" spans="1:13" x14ac:dyDescent="0.35">
      <c r="A3053">
        <v>1082</v>
      </c>
      <c r="B3053" s="1">
        <v>45604</v>
      </c>
      <c r="C3053" t="s">
        <v>32</v>
      </c>
      <c r="D3053" t="s">
        <v>15</v>
      </c>
      <c r="E3053">
        <v>204653.67</v>
      </c>
      <c r="F3053">
        <v>40</v>
      </c>
      <c r="G3053" t="s">
        <v>24</v>
      </c>
      <c r="H3053">
        <v>4902.53</v>
      </c>
      <c r="I3053">
        <v>5207.3599999999997</v>
      </c>
      <c r="J3053" t="s">
        <v>27</v>
      </c>
      <c r="K3053">
        <v>0.02</v>
      </c>
      <c r="L3053" t="s">
        <v>25</v>
      </c>
      <c r="M3053" t="s">
        <v>21</v>
      </c>
    </row>
    <row r="3054" spans="1:13" x14ac:dyDescent="0.35">
      <c r="A3054">
        <v>1062</v>
      </c>
      <c r="B3054" s="1">
        <v>45604</v>
      </c>
      <c r="C3054" t="s">
        <v>33</v>
      </c>
      <c r="D3054" t="s">
        <v>30</v>
      </c>
      <c r="E3054">
        <v>29223.84</v>
      </c>
      <c r="F3054">
        <v>9</v>
      </c>
      <c r="G3054" t="s">
        <v>16</v>
      </c>
      <c r="H3054">
        <v>1149</v>
      </c>
      <c r="I3054">
        <v>4162.9399999999996</v>
      </c>
      <c r="J3054" t="s">
        <v>27</v>
      </c>
      <c r="K3054">
        <v>0.22</v>
      </c>
      <c r="L3054" t="s">
        <v>28</v>
      </c>
      <c r="M3054" t="s">
        <v>19</v>
      </c>
    </row>
    <row r="3055" spans="1:13" x14ac:dyDescent="0.35">
      <c r="A3055">
        <v>1073</v>
      </c>
      <c r="B3055" s="1">
        <v>45604</v>
      </c>
      <c r="C3055" t="s">
        <v>33</v>
      </c>
      <c r="D3055" t="s">
        <v>30</v>
      </c>
      <c r="E3055">
        <v>138892.03</v>
      </c>
      <c r="F3055">
        <v>32</v>
      </c>
      <c r="G3055" t="s">
        <v>16</v>
      </c>
      <c r="H3055">
        <v>1554.85</v>
      </c>
      <c r="I3055">
        <v>4822.6400000000003</v>
      </c>
      <c r="J3055" t="s">
        <v>17</v>
      </c>
      <c r="K3055">
        <v>0.1</v>
      </c>
      <c r="L3055" t="s">
        <v>25</v>
      </c>
      <c r="M3055" t="s">
        <v>21</v>
      </c>
    </row>
    <row r="3056" spans="1:13" x14ac:dyDescent="0.35">
      <c r="A3056">
        <v>1064</v>
      </c>
      <c r="B3056" s="1">
        <v>45606</v>
      </c>
      <c r="C3056" t="s">
        <v>29</v>
      </c>
      <c r="D3056" t="s">
        <v>20</v>
      </c>
      <c r="E3056">
        <v>77028.649999999994</v>
      </c>
      <c r="F3056">
        <v>35</v>
      </c>
      <c r="G3056" t="s">
        <v>31</v>
      </c>
      <c r="H3056">
        <v>1530.04</v>
      </c>
      <c r="I3056">
        <v>3014.82</v>
      </c>
      <c r="J3056" t="s">
        <v>17</v>
      </c>
      <c r="K3056">
        <v>0.27</v>
      </c>
      <c r="L3056" t="s">
        <v>25</v>
      </c>
      <c r="M3056" t="s">
        <v>21</v>
      </c>
    </row>
    <row r="3057" spans="1:13" x14ac:dyDescent="0.35">
      <c r="A3057">
        <v>1076</v>
      </c>
      <c r="B3057" s="1">
        <v>45606</v>
      </c>
      <c r="C3057" t="s">
        <v>22</v>
      </c>
      <c r="D3057" t="s">
        <v>20</v>
      </c>
      <c r="E3057">
        <v>96299.78</v>
      </c>
      <c r="F3057">
        <v>45</v>
      </c>
      <c r="G3057" t="s">
        <v>24</v>
      </c>
      <c r="H3057">
        <v>949.17</v>
      </c>
      <c r="I3057">
        <v>2931.5</v>
      </c>
      <c r="J3057" t="s">
        <v>27</v>
      </c>
      <c r="K3057">
        <v>0.27</v>
      </c>
      <c r="L3057" t="s">
        <v>18</v>
      </c>
      <c r="M3057" t="s">
        <v>21</v>
      </c>
    </row>
    <row r="3058" spans="1:13" x14ac:dyDescent="0.35">
      <c r="A3058">
        <v>1052</v>
      </c>
      <c r="B3058" s="1">
        <v>45606</v>
      </c>
      <c r="C3058" t="s">
        <v>14</v>
      </c>
      <c r="D3058" t="s">
        <v>23</v>
      </c>
      <c r="E3058">
        <v>107435.46</v>
      </c>
      <c r="F3058">
        <v>30</v>
      </c>
      <c r="G3058" t="s">
        <v>24</v>
      </c>
      <c r="H3058">
        <v>1583.41</v>
      </c>
      <c r="I3058">
        <v>4023.8</v>
      </c>
      <c r="J3058" t="s">
        <v>27</v>
      </c>
      <c r="K3058">
        <v>0.11</v>
      </c>
      <c r="L3058" t="s">
        <v>25</v>
      </c>
      <c r="M3058" t="s">
        <v>21</v>
      </c>
    </row>
    <row r="3059" spans="1:13" x14ac:dyDescent="0.35">
      <c r="A3059">
        <v>1004</v>
      </c>
      <c r="B3059" s="1">
        <v>45606</v>
      </c>
      <c r="C3059" t="s">
        <v>29</v>
      </c>
      <c r="D3059" t="s">
        <v>15</v>
      </c>
      <c r="E3059">
        <v>178487.76</v>
      </c>
      <c r="F3059">
        <v>41</v>
      </c>
      <c r="G3059" t="s">
        <v>24</v>
      </c>
      <c r="H3059">
        <v>2004.2</v>
      </c>
      <c r="I3059">
        <v>5121.6000000000004</v>
      </c>
      <c r="J3059" t="s">
        <v>27</v>
      </c>
      <c r="K3059">
        <v>0.15</v>
      </c>
      <c r="L3059" t="s">
        <v>25</v>
      </c>
      <c r="M3059" t="s">
        <v>21</v>
      </c>
    </row>
    <row r="3060" spans="1:13" x14ac:dyDescent="0.35">
      <c r="A3060">
        <v>1055</v>
      </c>
      <c r="B3060" s="1">
        <v>45608</v>
      </c>
      <c r="C3060" t="s">
        <v>29</v>
      </c>
      <c r="D3060" t="s">
        <v>30</v>
      </c>
      <c r="E3060">
        <v>90557.06</v>
      </c>
      <c r="F3060">
        <v>40</v>
      </c>
      <c r="G3060" t="s">
        <v>16</v>
      </c>
      <c r="H3060">
        <v>1269.6199999999999</v>
      </c>
      <c r="I3060">
        <v>3059.36</v>
      </c>
      <c r="J3060" t="s">
        <v>17</v>
      </c>
      <c r="K3060">
        <v>0.26</v>
      </c>
      <c r="L3060" t="s">
        <v>18</v>
      </c>
      <c r="M3060" t="s">
        <v>21</v>
      </c>
    </row>
    <row r="3061" spans="1:13" x14ac:dyDescent="0.35">
      <c r="A3061">
        <v>1078</v>
      </c>
      <c r="B3061" s="1">
        <v>45609</v>
      </c>
      <c r="C3061" t="s">
        <v>32</v>
      </c>
      <c r="D3061" t="s">
        <v>30</v>
      </c>
      <c r="E3061">
        <v>38647.599999999999</v>
      </c>
      <c r="F3061">
        <v>10</v>
      </c>
      <c r="G3061" t="s">
        <v>24</v>
      </c>
      <c r="H3061">
        <v>3828.19</v>
      </c>
      <c r="I3061">
        <v>3864.76</v>
      </c>
      <c r="J3061" t="s">
        <v>17</v>
      </c>
      <c r="K3061">
        <v>0</v>
      </c>
      <c r="L3061" t="s">
        <v>18</v>
      </c>
      <c r="M3061" t="s">
        <v>21</v>
      </c>
    </row>
    <row r="3062" spans="1:13" x14ac:dyDescent="0.35">
      <c r="A3062">
        <v>1078</v>
      </c>
      <c r="B3062" s="1">
        <v>45609</v>
      </c>
      <c r="C3062" t="s">
        <v>29</v>
      </c>
      <c r="D3062" t="s">
        <v>30</v>
      </c>
      <c r="E3062">
        <v>94325.13</v>
      </c>
      <c r="F3062">
        <v>27</v>
      </c>
      <c r="G3062" t="s">
        <v>24</v>
      </c>
      <c r="H3062">
        <v>3400.3</v>
      </c>
      <c r="I3062">
        <v>3515.1</v>
      </c>
      <c r="J3062" t="s">
        <v>27</v>
      </c>
      <c r="K3062">
        <v>0.01</v>
      </c>
      <c r="L3062" t="s">
        <v>18</v>
      </c>
      <c r="M3062" t="s">
        <v>19</v>
      </c>
    </row>
    <row r="3063" spans="1:13" x14ac:dyDescent="0.35">
      <c r="A3063">
        <v>1096</v>
      </c>
      <c r="B3063" s="1">
        <v>45609</v>
      </c>
      <c r="C3063" t="s">
        <v>33</v>
      </c>
      <c r="D3063" t="s">
        <v>30</v>
      </c>
      <c r="E3063">
        <v>178239.11</v>
      </c>
      <c r="F3063">
        <v>47</v>
      </c>
      <c r="G3063" t="s">
        <v>24</v>
      </c>
      <c r="H3063">
        <v>3627.87</v>
      </c>
      <c r="I3063">
        <v>3815.67</v>
      </c>
      <c r="J3063" t="s">
        <v>17</v>
      </c>
      <c r="K3063">
        <v>0.01</v>
      </c>
      <c r="L3063" t="s">
        <v>18</v>
      </c>
      <c r="M3063" t="s">
        <v>21</v>
      </c>
    </row>
    <row r="3064" spans="1:13" x14ac:dyDescent="0.35">
      <c r="A3064">
        <v>1035</v>
      </c>
      <c r="B3064" s="1">
        <v>45609</v>
      </c>
      <c r="C3064" t="s">
        <v>29</v>
      </c>
      <c r="D3064" t="s">
        <v>30</v>
      </c>
      <c r="E3064">
        <v>179012.68</v>
      </c>
      <c r="F3064">
        <v>45</v>
      </c>
      <c r="G3064" t="s">
        <v>26</v>
      </c>
      <c r="H3064">
        <v>3055.38</v>
      </c>
      <c r="I3064">
        <v>4680.07</v>
      </c>
      <c r="J3064" t="s">
        <v>27</v>
      </c>
      <c r="K3064">
        <v>0.15</v>
      </c>
      <c r="L3064" t="s">
        <v>25</v>
      </c>
      <c r="M3064" t="s">
        <v>21</v>
      </c>
    </row>
    <row r="3065" spans="1:13" x14ac:dyDescent="0.35">
      <c r="A3065">
        <v>1039</v>
      </c>
      <c r="B3065" s="1">
        <v>45609</v>
      </c>
      <c r="C3065" t="s">
        <v>33</v>
      </c>
      <c r="D3065" t="s">
        <v>15</v>
      </c>
      <c r="E3065">
        <v>51099.15</v>
      </c>
      <c r="F3065">
        <v>13</v>
      </c>
      <c r="G3065" t="s">
        <v>16</v>
      </c>
      <c r="H3065">
        <v>79.22</v>
      </c>
      <c r="I3065">
        <v>4518.05</v>
      </c>
      <c r="J3065" t="s">
        <v>17</v>
      </c>
      <c r="K3065">
        <v>0.13</v>
      </c>
      <c r="L3065" t="s">
        <v>18</v>
      </c>
      <c r="M3065" t="s">
        <v>21</v>
      </c>
    </row>
    <row r="3066" spans="1:13" x14ac:dyDescent="0.35">
      <c r="A3066">
        <v>1059</v>
      </c>
      <c r="B3066" s="1">
        <v>45609</v>
      </c>
      <c r="C3066" t="s">
        <v>29</v>
      </c>
      <c r="D3066" t="s">
        <v>20</v>
      </c>
      <c r="E3066">
        <v>162452.01999999999</v>
      </c>
      <c r="F3066">
        <v>47</v>
      </c>
      <c r="G3066" t="s">
        <v>24</v>
      </c>
      <c r="H3066">
        <v>341</v>
      </c>
      <c r="I3066">
        <v>4019.1</v>
      </c>
      <c r="J3066" t="s">
        <v>27</v>
      </c>
      <c r="K3066">
        <v>0.14000000000000001</v>
      </c>
      <c r="L3066" t="s">
        <v>28</v>
      </c>
      <c r="M3066" t="s">
        <v>19</v>
      </c>
    </row>
    <row r="3067" spans="1:13" x14ac:dyDescent="0.35">
      <c r="A3067">
        <v>1068</v>
      </c>
      <c r="B3067" s="1">
        <v>45610</v>
      </c>
      <c r="C3067" t="s">
        <v>33</v>
      </c>
      <c r="D3067" t="s">
        <v>23</v>
      </c>
      <c r="E3067">
        <v>68979.240000000005</v>
      </c>
      <c r="F3067">
        <v>28</v>
      </c>
      <c r="G3067" t="s">
        <v>16</v>
      </c>
      <c r="H3067">
        <v>1445.64</v>
      </c>
      <c r="I3067">
        <v>3158.39</v>
      </c>
      <c r="J3067" t="s">
        <v>17</v>
      </c>
      <c r="K3067">
        <v>0.22</v>
      </c>
      <c r="L3067" t="s">
        <v>18</v>
      </c>
      <c r="M3067" t="s">
        <v>19</v>
      </c>
    </row>
    <row r="3068" spans="1:13" x14ac:dyDescent="0.35">
      <c r="A3068">
        <v>1030</v>
      </c>
      <c r="B3068" s="1">
        <v>45610</v>
      </c>
      <c r="C3068" t="s">
        <v>22</v>
      </c>
      <c r="D3068" t="s">
        <v>30</v>
      </c>
      <c r="E3068">
        <v>106714.24000000001</v>
      </c>
      <c r="F3068">
        <v>27</v>
      </c>
      <c r="G3068" t="s">
        <v>26</v>
      </c>
      <c r="H3068">
        <v>2707.76</v>
      </c>
      <c r="I3068">
        <v>4033.04</v>
      </c>
      <c r="J3068" t="s">
        <v>17</v>
      </c>
      <c r="K3068">
        <v>0.02</v>
      </c>
      <c r="L3068" t="s">
        <v>28</v>
      </c>
      <c r="M3068" t="s">
        <v>19</v>
      </c>
    </row>
    <row r="3069" spans="1:13" x14ac:dyDescent="0.35">
      <c r="A3069">
        <v>1020</v>
      </c>
      <c r="B3069" s="1">
        <v>45611</v>
      </c>
      <c r="C3069" t="s">
        <v>33</v>
      </c>
      <c r="D3069" t="s">
        <v>20</v>
      </c>
      <c r="E3069">
        <v>33950.800000000003</v>
      </c>
      <c r="F3069">
        <v>7</v>
      </c>
      <c r="G3069" t="s">
        <v>31</v>
      </c>
      <c r="H3069">
        <v>4822.74</v>
      </c>
      <c r="I3069">
        <v>4871.1099999999997</v>
      </c>
      <c r="J3069" t="s">
        <v>27</v>
      </c>
      <c r="K3069">
        <v>0</v>
      </c>
      <c r="L3069" t="s">
        <v>28</v>
      </c>
      <c r="M3069" t="s">
        <v>21</v>
      </c>
    </row>
    <row r="3070" spans="1:13" x14ac:dyDescent="0.35">
      <c r="A3070">
        <v>1025</v>
      </c>
      <c r="B3070" s="1">
        <v>45611</v>
      </c>
      <c r="C3070" t="s">
        <v>29</v>
      </c>
      <c r="D3070" t="s">
        <v>23</v>
      </c>
      <c r="E3070">
        <v>16989.080000000002</v>
      </c>
      <c r="F3070">
        <v>10</v>
      </c>
      <c r="G3070" t="s">
        <v>24</v>
      </c>
      <c r="H3070">
        <v>1163.7</v>
      </c>
      <c r="I3070">
        <v>2022.51</v>
      </c>
      <c r="J3070" t="s">
        <v>17</v>
      </c>
      <c r="K3070">
        <v>0.16</v>
      </c>
      <c r="L3070" t="s">
        <v>28</v>
      </c>
      <c r="M3070" t="s">
        <v>19</v>
      </c>
    </row>
    <row r="3071" spans="1:13" x14ac:dyDescent="0.35">
      <c r="A3071">
        <v>1082</v>
      </c>
      <c r="B3071" s="1">
        <v>45611</v>
      </c>
      <c r="C3071" t="s">
        <v>22</v>
      </c>
      <c r="D3071" t="s">
        <v>23</v>
      </c>
      <c r="E3071">
        <v>24212.71</v>
      </c>
      <c r="F3071">
        <v>49</v>
      </c>
      <c r="G3071" t="s">
        <v>26</v>
      </c>
      <c r="H3071">
        <v>331.34</v>
      </c>
      <c r="I3071">
        <v>531.33000000000004</v>
      </c>
      <c r="J3071" t="s">
        <v>27</v>
      </c>
      <c r="K3071">
        <v>7.0000000000000007E-2</v>
      </c>
      <c r="L3071" t="s">
        <v>28</v>
      </c>
      <c r="M3071" t="s">
        <v>21</v>
      </c>
    </row>
    <row r="3072" spans="1:13" x14ac:dyDescent="0.35">
      <c r="A3072">
        <v>1031</v>
      </c>
      <c r="B3072" s="1">
        <v>45612</v>
      </c>
      <c r="C3072" t="s">
        <v>14</v>
      </c>
      <c r="D3072" t="s">
        <v>30</v>
      </c>
      <c r="E3072">
        <v>99499.96</v>
      </c>
      <c r="F3072">
        <v>29</v>
      </c>
      <c r="G3072" t="s">
        <v>31</v>
      </c>
      <c r="H3072">
        <v>3295.38</v>
      </c>
      <c r="I3072">
        <v>3437.65</v>
      </c>
      <c r="J3072" t="s">
        <v>27</v>
      </c>
      <c r="K3072">
        <v>0</v>
      </c>
      <c r="L3072" t="s">
        <v>28</v>
      </c>
      <c r="M3072" t="s">
        <v>19</v>
      </c>
    </row>
    <row r="3073" spans="1:13" x14ac:dyDescent="0.35">
      <c r="A3073">
        <v>1080</v>
      </c>
      <c r="B3073" s="1">
        <v>45612</v>
      </c>
      <c r="C3073" t="s">
        <v>32</v>
      </c>
      <c r="D3073" t="s">
        <v>20</v>
      </c>
      <c r="E3073">
        <v>107201.03</v>
      </c>
      <c r="F3073">
        <v>25</v>
      </c>
      <c r="G3073" t="s">
        <v>16</v>
      </c>
      <c r="H3073">
        <v>3991.44</v>
      </c>
      <c r="I3073">
        <v>4414.8</v>
      </c>
      <c r="J3073" t="s">
        <v>17</v>
      </c>
      <c r="K3073">
        <v>0.03</v>
      </c>
      <c r="L3073" t="s">
        <v>18</v>
      </c>
      <c r="M3073" t="s">
        <v>19</v>
      </c>
    </row>
    <row r="3074" spans="1:13" x14ac:dyDescent="0.35">
      <c r="A3074">
        <v>1002</v>
      </c>
      <c r="B3074" s="1">
        <v>45612</v>
      </c>
      <c r="C3074" t="s">
        <v>14</v>
      </c>
      <c r="D3074" t="s">
        <v>15</v>
      </c>
      <c r="E3074">
        <v>20003.759999999998</v>
      </c>
      <c r="F3074">
        <v>9</v>
      </c>
      <c r="G3074" t="s">
        <v>16</v>
      </c>
      <c r="H3074">
        <v>891.91</v>
      </c>
      <c r="I3074">
        <v>2315.25</v>
      </c>
      <c r="J3074" t="s">
        <v>17</v>
      </c>
      <c r="K3074">
        <v>0.04</v>
      </c>
      <c r="L3074" t="s">
        <v>25</v>
      </c>
      <c r="M3074" t="s">
        <v>19</v>
      </c>
    </row>
    <row r="3075" spans="1:13" x14ac:dyDescent="0.35">
      <c r="A3075">
        <v>1058</v>
      </c>
      <c r="B3075" s="1">
        <v>45612</v>
      </c>
      <c r="C3075" t="s">
        <v>32</v>
      </c>
      <c r="D3075" t="s">
        <v>30</v>
      </c>
      <c r="E3075">
        <v>137804.20000000001</v>
      </c>
      <c r="F3075">
        <v>43</v>
      </c>
      <c r="G3075" t="s">
        <v>16</v>
      </c>
      <c r="H3075">
        <v>1530.37</v>
      </c>
      <c r="I3075">
        <v>3338.28</v>
      </c>
      <c r="J3075" t="s">
        <v>17</v>
      </c>
      <c r="K3075">
        <v>0.04</v>
      </c>
      <c r="L3075" t="s">
        <v>25</v>
      </c>
      <c r="M3075" t="s">
        <v>19</v>
      </c>
    </row>
    <row r="3076" spans="1:13" x14ac:dyDescent="0.35">
      <c r="A3076">
        <v>1036</v>
      </c>
      <c r="B3076" s="1">
        <v>45612</v>
      </c>
      <c r="C3076" t="s">
        <v>32</v>
      </c>
      <c r="D3076" t="s">
        <v>15</v>
      </c>
      <c r="E3076">
        <v>97952.59</v>
      </c>
      <c r="F3076">
        <v>24</v>
      </c>
      <c r="G3076" t="s">
        <v>31</v>
      </c>
      <c r="H3076">
        <v>1058.98</v>
      </c>
      <c r="I3076">
        <v>5232.51</v>
      </c>
      <c r="J3076" t="s">
        <v>17</v>
      </c>
      <c r="K3076">
        <v>0.22</v>
      </c>
      <c r="L3076" t="s">
        <v>28</v>
      </c>
      <c r="M3076" t="s">
        <v>21</v>
      </c>
    </row>
    <row r="3077" spans="1:13" x14ac:dyDescent="0.35">
      <c r="A3077">
        <v>1075</v>
      </c>
      <c r="B3077" s="1">
        <v>45612</v>
      </c>
      <c r="C3077" t="s">
        <v>22</v>
      </c>
      <c r="D3077" t="s">
        <v>15</v>
      </c>
      <c r="E3077">
        <v>145004.51</v>
      </c>
      <c r="F3077">
        <v>40</v>
      </c>
      <c r="G3077" t="s">
        <v>26</v>
      </c>
      <c r="H3077">
        <v>739.28</v>
      </c>
      <c r="I3077">
        <v>3940.34</v>
      </c>
      <c r="J3077" t="s">
        <v>17</v>
      </c>
      <c r="K3077">
        <v>0.08</v>
      </c>
      <c r="L3077" t="s">
        <v>18</v>
      </c>
      <c r="M3077" t="s">
        <v>19</v>
      </c>
    </row>
    <row r="3078" spans="1:13" x14ac:dyDescent="0.35">
      <c r="A3078">
        <v>1066</v>
      </c>
      <c r="B3078" s="1">
        <v>45613</v>
      </c>
      <c r="C3078" t="s">
        <v>22</v>
      </c>
      <c r="D3078" t="s">
        <v>15</v>
      </c>
      <c r="E3078">
        <v>41882.61</v>
      </c>
      <c r="F3078">
        <v>32</v>
      </c>
      <c r="G3078" t="s">
        <v>16</v>
      </c>
      <c r="H3078">
        <v>1200.23</v>
      </c>
      <c r="I3078">
        <v>1792.92</v>
      </c>
      <c r="J3078" t="s">
        <v>17</v>
      </c>
      <c r="K3078">
        <v>0.27</v>
      </c>
      <c r="L3078" t="s">
        <v>25</v>
      </c>
      <c r="M3078" t="s">
        <v>21</v>
      </c>
    </row>
    <row r="3079" spans="1:13" x14ac:dyDescent="0.35">
      <c r="A3079">
        <v>1082</v>
      </c>
      <c r="B3079" s="1">
        <v>45613</v>
      </c>
      <c r="C3079" t="s">
        <v>22</v>
      </c>
      <c r="D3079" t="s">
        <v>15</v>
      </c>
      <c r="E3079">
        <v>74697.73</v>
      </c>
      <c r="F3079">
        <v>28</v>
      </c>
      <c r="G3079" t="s">
        <v>16</v>
      </c>
      <c r="H3079">
        <v>1476.35</v>
      </c>
      <c r="I3079">
        <v>3334.72</v>
      </c>
      <c r="J3079" t="s">
        <v>17</v>
      </c>
      <c r="K3079">
        <v>0.2</v>
      </c>
      <c r="L3079" t="s">
        <v>25</v>
      </c>
      <c r="M3079" t="s">
        <v>19</v>
      </c>
    </row>
    <row r="3080" spans="1:13" x14ac:dyDescent="0.35">
      <c r="A3080">
        <v>1079</v>
      </c>
      <c r="B3080" s="1">
        <v>45613</v>
      </c>
      <c r="C3080" t="s">
        <v>29</v>
      </c>
      <c r="D3080" t="s">
        <v>23</v>
      </c>
      <c r="E3080">
        <v>116731.88</v>
      </c>
      <c r="F3080">
        <v>24</v>
      </c>
      <c r="G3080" t="s">
        <v>26</v>
      </c>
      <c r="H3080">
        <v>2052.0700000000002</v>
      </c>
      <c r="I3080">
        <v>5286.77</v>
      </c>
      <c r="J3080" t="s">
        <v>17</v>
      </c>
      <c r="K3080">
        <v>0.08</v>
      </c>
      <c r="L3080" t="s">
        <v>18</v>
      </c>
      <c r="M3080" t="s">
        <v>19</v>
      </c>
    </row>
    <row r="3081" spans="1:13" x14ac:dyDescent="0.35">
      <c r="A3081">
        <v>1017</v>
      </c>
      <c r="B3081" s="1">
        <v>45613</v>
      </c>
      <c r="C3081" t="s">
        <v>22</v>
      </c>
      <c r="D3081" t="s">
        <v>23</v>
      </c>
      <c r="E3081">
        <v>109875.3</v>
      </c>
      <c r="F3081">
        <v>31</v>
      </c>
      <c r="G3081" t="s">
        <v>16</v>
      </c>
      <c r="H3081">
        <v>779.65</v>
      </c>
      <c r="I3081">
        <v>3852.57</v>
      </c>
      <c r="J3081" t="s">
        <v>17</v>
      </c>
      <c r="K3081">
        <v>0.08</v>
      </c>
      <c r="L3081" t="s">
        <v>18</v>
      </c>
      <c r="M3081" t="s">
        <v>19</v>
      </c>
    </row>
    <row r="3082" spans="1:13" x14ac:dyDescent="0.35">
      <c r="A3082">
        <v>1036</v>
      </c>
      <c r="B3082" s="1">
        <v>45614</v>
      </c>
      <c r="C3082" t="s">
        <v>22</v>
      </c>
      <c r="D3082" t="s">
        <v>23</v>
      </c>
      <c r="E3082">
        <v>9948.8700000000008</v>
      </c>
      <c r="F3082">
        <v>4</v>
      </c>
      <c r="G3082" t="s">
        <v>31</v>
      </c>
      <c r="H3082">
        <v>2090.5300000000002</v>
      </c>
      <c r="I3082">
        <v>2522.6799999999998</v>
      </c>
      <c r="J3082" t="s">
        <v>27</v>
      </c>
      <c r="K3082">
        <v>0.01</v>
      </c>
      <c r="L3082" t="s">
        <v>25</v>
      </c>
      <c r="M3082" t="s">
        <v>19</v>
      </c>
    </row>
    <row r="3083" spans="1:13" x14ac:dyDescent="0.35">
      <c r="A3083">
        <v>1073</v>
      </c>
      <c r="B3083" s="1">
        <v>45614</v>
      </c>
      <c r="C3083" t="s">
        <v>32</v>
      </c>
      <c r="D3083" t="s">
        <v>20</v>
      </c>
      <c r="E3083">
        <v>46005.73</v>
      </c>
      <c r="F3083">
        <v>40</v>
      </c>
      <c r="G3083" t="s">
        <v>31</v>
      </c>
      <c r="H3083">
        <v>412.58</v>
      </c>
      <c r="I3083">
        <v>1419.93</v>
      </c>
      <c r="J3083" t="s">
        <v>27</v>
      </c>
      <c r="K3083">
        <v>0.19</v>
      </c>
      <c r="L3083" t="s">
        <v>28</v>
      </c>
      <c r="M3083" t="s">
        <v>21</v>
      </c>
    </row>
    <row r="3084" spans="1:13" x14ac:dyDescent="0.35">
      <c r="A3084">
        <v>1033</v>
      </c>
      <c r="B3084" s="1">
        <v>45615</v>
      </c>
      <c r="C3084" t="s">
        <v>33</v>
      </c>
      <c r="D3084" t="s">
        <v>20</v>
      </c>
      <c r="E3084">
        <v>92329.57</v>
      </c>
      <c r="F3084">
        <v>24</v>
      </c>
      <c r="G3084" t="s">
        <v>26</v>
      </c>
      <c r="H3084">
        <v>3753.86</v>
      </c>
      <c r="I3084">
        <v>4579.84</v>
      </c>
      <c r="J3084" t="s">
        <v>27</v>
      </c>
      <c r="K3084">
        <v>0.16</v>
      </c>
      <c r="L3084" t="s">
        <v>18</v>
      </c>
      <c r="M3084" t="s">
        <v>19</v>
      </c>
    </row>
    <row r="3085" spans="1:13" x14ac:dyDescent="0.35">
      <c r="A3085">
        <v>1069</v>
      </c>
      <c r="B3085" s="1">
        <v>45616</v>
      </c>
      <c r="C3085" t="s">
        <v>33</v>
      </c>
      <c r="D3085" t="s">
        <v>30</v>
      </c>
      <c r="E3085">
        <v>11880.24</v>
      </c>
      <c r="F3085">
        <v>3</v>
      </c>
      <c r="G3085" t="s">
        <v>31</v>
      </c>
      <c r="H3085">
        <v>3805.9</v>
      </c>
      <c r="I3085">
        <v>3985.39</v>
      </c>
      <c r="J3085" t="s">
        <v>27</v>
      </c>
      <c r="K3085">
        <v>0.01</v>
      </c>
      <c r="L3085" t="s">
        <v>18</v>
      </c>
      <c r="M3085" t="s">
        <v>19</v>
      </c>
    </row>
    <row r="3086" spans="1:13" x14ac:dyDescent="0.35">
      <c r="A3086">
        <v>1085</v>
      </c>
      <c r="B3086" s="1">
        <v>45616</v>
      </c>
      <c r="C3086" t="s">
        <v>29</v>
      </c>
      <c r="D3086" t="s">
        <v>23</v>
      </c>
      <c r="E3086">
        <v>30410.71</v>
      </c>
      <c r="F3086">
        <v>17</v>
      </c>
      <c r="G3086" t="s">
        <v>24</v>
      </c>
      <c r="H3086">
        <v>1062.96</v>
      </c>
      <c r="I3086">
        <v>2353.77</v>
      </c>
      <c r="J3086" t="s">
        <v>27</v>
      </c>
      <c r="K3086">
        <v>0.24</v>
      </c>
      <c r="L3086" t="s">
        <v>25</v>
      </c>
      <c r="M3086" t="s">
        <v>21</v>
      </c>
    </row>
    <row r="3087" spans="1:13" x14ac:dyDescent="0.35">
      <c r="A3087">
        <v>1068</v>
      </c>
      <c r="B3087" s="1">
        <v>45616</v>
      </c>
      <c r="C3087" t="s">
        <v>22</v>
      </c>
      <c r="D3087" t="s">
        <v>15</v>
      </c>
      <c r="E3087">
        <v>121635.07</v>
      </c>
      <c r="F3087">
        <v>32</v>
      </c>
      <c r="G3087" t="s">
        <v>24</v>
      </c>
      <c r="H3087">
        <v>103.33</v>
      </c>
      <c r="I3087">
        <v>4087.2</v>
      </c>
      <c r="J3087" t="s">
        <v>17</v>
      </c>
      <c r="K3087">
        <v>7.0000000000000007E-2</v>
      </c>
      <c r="L3087" t="s">
        <v>18</v>
      </c>
      <c r="M3087" t="s">
        <v>19</v>
      </c>
    </row>
    <row r="3088" spans="1:13" x14ac:dyDescent="0.35">
      <c r="A3088">
        <v>1079</v>
      </c>
      <c r="B3088" s="1">
        <v>45617</v>
      </c>
      <c r="C3088" t="s">
        <v>33</v>
      </c>
      <c r="D3088" t="s">
        <v>23</v>
      </c>
      <c r="E3088">
        <v>4343</v>
      </c>
      <c r="F3088">
        <v>3</v>
      </c>
      <c r="G3088" t="s">
        <v>31</v>
      </c>
      <c r="H3088">
        <v>1250.6300000000001</v>
      </c>
      <c r="I3088">
        <v>1477.21</v>
      </c>
      <c r="J3088" t="s">
        <v>17</v>
      </c>
      <c r="K3088">
        <v>0.02</v>
      </c>
      <c r="L3088" t="s">
        <v>18</v>
      </c>
      <c r="M3088" t="s">
        <v>19</v>
      </c>
    </row>
    <row r="3089" spans="1:13" x14ac:dyDescent="0.35">
      <c r="A3089">
        <v>1002</v>
      </c>
      <c r="B3089" s="1">
        <v>45617</v>
      </c>
      <c r="C3089" t="s">
        <v>32</v>
      </c>
      <c r="D3089" t="s">
        <v>23</v>
      </c>
      <c r="E3089">
        <v>8117.63</v>
      </c>
      <c r="F3089">
        <v>7</v>
      </c>
      <c r="G3089" t="s">
        <v>31</v>
      </c>
      <c r="H3089">
        <v>274.82</v>
      </c>
      <c r="I3089">
        <v>1525.87</v>
      </c>
      <c r="J3089" t="s">
        <v>27</v>
      </c>
      <c r="K3089">
        <v>0.24</v>
      </c>
      <c r="L3089" t="s">
        <v>18</v>
      </c>
      <c r="M3089" t="s">
        <v>21</v>
      </c>
    </row>
    <row r="3090" spans="1:13" x14ac:dyDescent="0.35">
      <c r="A3090">
        <v>1047</v>
      </c>
      <c r="B3090" s="1">
        <v>45618</v>
      </c>
      <c r="C3090" t="s">
        <v>22</v>
      </c>
      <c r="D3090" t="s">
        <v>23</v>
      </c>
      <c r="E3090">
        <v>73675.520000000004</v>
      </c>
      <c r="F3090">
        <v>34</v>
      </c>
      <c r="G3090" t="s">
        <v>16</v>
      </c>
      <c r="H3090">
        <v>2150.37</v>
      </c>
      <c r="I3090">
        <v>3052.01</v>
      </c>
      <c r="J3090" t="s">
        <v>27</v>
      </c>
      <c r="K3090">
        <v>0.28999999999999998</v>
      </c>
      <c r="L3090" t="s">
        <v>18</v>
      </c>
      <c r="M3090" t="s">
        <v>19</v>
      </c>
    </row>
    <row r="3091" spans="1:13" x14ac:dyDescent="0.35">
      <c r="A3091">
        <v>1022</v>
      </c>
      <c r="B3091" s="1">
        <v>45618</v>
      </c>
      <c r="C3091" t="s">
        <v>33</v>
      </c>
      <c r="D3091" t="s">
        <v>23</v>
      </c>
      <c r="E3091">
        <v>141964.53</v>
      </c>
      <c r="F3091">
        <v>44</v>
      </c>
      <c r="G3091" t="s">
        <v>16</v>
      </c>
      <c r="H3091">
        <v>2748.22</v>
      </c>
      <c r="I3091">
        <v>4360.09</v>
      </c>
      <c r="J3091" t="s">
        <v>27</v>
      </c>
      <c r="K3091">
        <v>0.26</v>
      </c>
      <c r="L3091" t="s">
        <v>25</v>
      </c>
      <c r="M3091" t="s">
        <v>21</v>
      </c>
    </row>
    <row r="3092" spans="1:13" x14ac:dyDescent="0.35">
      <c r="A3092">
        <v>1023</v>
      </c>
      <c r="B3092" s="1">
        <v>45618</v>
      </c>
      <c r="C3092" t="s">
        <v>22</v>
      </c>
      <c r="D3092" t="s">
        <v>20</v>
      </c>
      <c r="E3092">
        <v>211976.35</v>
      </c>
      <c r="F3092">
        <v>49</v>
      </c>
      <c r="G3092" t="s">
        <v>24</v>
      </c>
      <c r="H3092">
        <v>2476.94</v>
      </c>
      <c r="I3092">
        <v>5476.01</v>
      </c>
      <c r="J3092" t="s">
        <v>17</v>
      </c>
      <c r="K3092">
        <v>0.21</v>
      </c>
      <c r="L3092" t="s">
        <v>18</v>
      </c>
      <c r="M3092" t="s">
        <v>19</v>
      </c>
    </row>
    <row r="3093" spans="1:13" x14ac:dyDescent="0.35">
      <c r="A3093">
        <v>1030</v>
      </c>
      <c r="B3093" s="1">
        <v>45619</v>
      </c>
      <c r="C3093" t="s">
        <v>22</v>
      </c>
      <c r="D3093" t="s">
        <v>23</v>
      </c>
      <c r="E3093">
        <v>39442.120000000003</v>
      </c>
      <c r="F3093">
        <v>12</v>
      </c>
      <c r="G3093" t="s">
        <v>31</v>
      </c>
      <c r="H3093">
        <v>1721.23</v>
      </c>
      <c r="I3093">
        <v>4441.68</v>
      </c>
      <c r="J3093" t="s">
        <v>17</v>
      </c>
      <c r="K3093">
        <v>0.26</v>
      </c>
      <c r="L3093" t="s">
        <v>25</v>
      </c>
      <c r="M3093" t="s">
        <v>19</v>
      </c>
    </row>
    <row r="3094" spans="1:13" x14ac:dyDescent="0.35">
      <c r="A3094">
        <v>1093</v>
      </c>
      <c r="B3094" s="1">
        <v>45619</v>
      </c>
      <c r="C3094" t="s">
        <v>22</v>
      </c>
      <c r="D3094" t="s">
        <v>30</v>
      </c>
      <c r="E3094">
        <v>119243.02</v>
      </c>
      <c r="F3094">
        <v>43</v>
      </c>
      <c r="G3094" t="s">
        <v>31</v>
      </c>
      <c r="H3094">
        <v>2156.64</v>
      </c>
      <c r="I3094">
        <v>3601.42</v>
      </c>
      <c r="J3094" t="s">
        <v>27</v>
      </c>
      <c r="K3094">
        <v>0.23</v>
      </c>
      <c r="L3094" t="s">
        <v>18</v>
      </c>
      <c r="M3094" t="s">
        <v>21</v>
      </c>
    </row>
    <row r="3095" spans="1:13" x14ac:dyDescent="0.35">
      <c r="A3095">
        <v>1029</v>
      </c>
      <c r="B3095" s="1">
        <v>45619</v>
      </c>
      <c r="C3095" t="s">
        <v>32</v>
      </c>
      <c r="D3095" t="s">
        <v>15</v>
      </c>
      <c r="E3095">
        <v>167596.10999999999</v>
      </c>
      <c r="F3095">
        <v>48</v>
      </c>
      <c r="G3095" t="s">
        <v>31</v>
      </c>
      <c r="H3095">
        <v>2931.78</v>
      </c>
      <c r="I3095">
        <v>3923.13</v>
      </c>
      <c r="J3095" t="s">
        <v>17</v>
      </c>
      <c r="K3095">
        <v>0.11</v>
      </c>
      <c r="L3095" t="s">
        <v>25</v>
      </c>
      <c r="M3095" t="s">
        <v>19</v>
      </c>
    </row>
    <row r="3096" spans="1:13" x14ac:dyDescent="0.35">
      <c r="A3096">
        <v>1002</v>
      </c>
      <c r="B3096" s="1">
        <v>45619</v>
      </c>
      <c r="C3096" t="s">
        <v>14</v>
      </c>
      <c r="D3096" t="s">
        <v>23</v>
      </c>
      <c r="E3096">
        <v>72329.06</v>
      </c>
      <c r="F3096">
        <v>46</v>
      </c>
      <c r="G3096" t="s">
        <v>31</v>
      </c>
      <c r="H3096">
        <v>251.09</v>
      </c>
      <c r="I3096">
        <v>2042.04</v>
      </c>
      <c r="J3096" t="s">
        <v>27</v>
      </c>
      <c r="K3096">
        <v>0.23</v>
      </c>
      <c r="L3096" t="s">
        <v>18</v>
      </c>
      <c r="M3096" t="s">
        <v>19</v>
      </c>
    </row>
    <row r="3097" spans="1:13" x14ac:dyDescent="0.35">
      <c r="A3097">
        <v>1019</v>
      </c>
      <c r="B3097" s="1">
        <v>45619</v>
      </c>
      <c r="C3097" t="s">
        <v>33</v>
      </c>
      <c r="D3097" t="s">
        <v>30</v>
      </c>
      <c r="E3097">
        <v>108747.23</v>
      </c>
      <c r="F3097">
        <v>32</v>
      </c>
      <c r="G3097" t="s">
        <v>26</v>
      </c>
      <c r="H3097">
        <v>122.53</v>
      </c>
      <c r="I3097">
        <v>4301.71</v>
      </c>
      <c r="J3097" t="s">
        <v>17</v>
      </c>
      <c r="K3097">
        <v>0.21</v>
      </c>
      <c r="L3097" t="s">
        <v>25</v>
      </c>
      <c r="M3097" t="s">
        <v>21</v>
      </c>
    </row>
    <row r="3098" spans="1:13" x14ac:dyDescent="0.35">
      <c r="A3098">
        <v>1046</v>
      </c>
      <c r="B3098" s="1">
        <v>45619</v>
      </c>
      <c r="C3098" t="s">
        <v>32</v>
      </c>
      <c r="D3098" t="s">
        <v>15</v>
      </c>
      <c r="E3098">
        <v>196298.94</v>
      </c>
      <c r="F3098">
        <v>48</v>
      </c>
      <c r="G3098" t="s">
        <v>16</v>
      </c>
      <c r="H3098">
        <v>1901.86</v>
      </c>
      <c r="I3098">
        <v>4130.87</v>
      </c>
      <c r="J3098" t="s">
        <v>27</v>
      </c>
      <c r="K3098">
        <v>0.01</v>
      </c>
      <c r="L3098" t="s">
        <v>25</v>
      </c>
      <c r="M3098" t="s">
        <v>19</v>
      </c>
    </row>
    <row r="3099" spans="1:13" x14ac:dyDescent="0.35">
      <c r="A3099">
        <v>1017</v>
      </c>
      <c r="B3099" s="1">
        <v>45620</v>
      </c>
      <c r="C3099" t="s">
        <v>14</v>
      </c>
      <c r="D3099" t="s">
        <v>30</v>
      </c>
      <c r="E3099">
        <v>107385.34</v>
      </c>
      <c r="F3099">
        <v>40</v>
      </c>
      <c r="G3099" t="s">
        <v>16</v>
      </c>
      <c r="H3099">
        <v>474.94</v>
      </c>
      <c r="I3099">
        <v>3677.58</v>
      </c>
      <c r="J3099" t="s">
        <v>27</v>
      </c>
      <c r="K3099">
        <v>0.27</v>
      </c>
      <c r="L3099" t="s">
        <v>18</v>
      </c>
      <c r="M3099" t="s">
        <v>19</v>
      </c>
    </row>
    <row r="3100" spans="1:13" x14ac:dyDescent="0.35">
      <c r="A3100">
        <v>1028</v>
      </c>
      <c r="B3100" s="1">
        <v>45621</v>
      </c>
      <c r="C3100" t="s">
        <v>29</v>
      </c>
      <c r="D3100" t="s">
        <v>23</v>
      </c>
      <c r="E3100">
        <v>48892.6</v>
      </c>
      <c r="F3100">
        <v>10</v>
      </c>
      <c r="G3100" t="s">
        <v>16</v>
      </c>
      <c r="H3100">
        <v>4433.13</v>
      </c>
      <c r="I3100">
        <v>5201.34</v>
      </c>
      <c r="J3100" t="s">
        <v>17</v>
      </c>
      <c r="K3100">
        <v>0.06</v>
      </c>
      <c r="L3100" t="s">
        <v>28</v>
      </c>
      <c r="M3100" t="s">
        <v>21</v>
      </c>
    </row>
    <row r="3101" spans="1:13" x14ac:dyDescent="0.35">
      <c r="A3101">
        <v>1069</v>
      </c>
      <c r="B3101" s="1">
        <v>45621</v>
      </c>
      <c r="C3101" t="s">
        <v>33</v>
      </c>
      <c r="D3101" t="s">
        <v>23</v>
      </c>
      <c r="E3101">
        <v>52400.07</v>
      </c>
      <c r="F3101">
        <v>14</v>
      </c>
      <c r="G3101" t="s">
        <v>16</v>
      </c>
      <c r="H3101">
        <v>2749.36</v>
      </c>
      <c r="I3101">
        <v>4860.8599999999997</v>
      </c>
      <c r="J3101" t="s">
        <v>17</v>
      </c>
      <c r="K3101">
        <v>0.23</v>
      </c>
      <c r="L3101" t="s">
        <v>18</v>
      </c>
      <c r="M3101" t="s">
        <v>19</v>
      </c>
    </row>
    <row r="3102" spans="1:13" x14ac:dyDescent="0.35">
      <c r="A3102">
        <v>1070</v>
      </c>
      <c r="B3102" s="1">
        <v>45621</v>
      </c>
      <c r="C3102" t="s">
        <v>33</v>
      </c>
      <c r="D3102" t="s">
        <v>30</v>
      </c>
      <c r="E3102">
        <v>93080.28</v>
      </c>
      <c r="F3102">
        <v>24</v>
      </c>
      <c r="G3102" t="s">
        <v>26</v>
      </c>
      <c r="H3102">
        <v>1509.77</v>
      </c>
      <c r="I3102">
        <v>4788.08</v>
      </c>
      <c r="J3102" t="s">
        <v>27</v>
      </c>
      <c r="K3102">
        <v>0.19</v>
      </c>
      <c r="L3102" t="s">
        <v>18</v>
      </c>
      <c r="M3102" t="s">
        <v>21</v>
      </c>
    </row>
    <row r="3103" spans="1:13" x14ac:dyDescent="0.35">
      <c r="A3103">
        <v>1087</v>
      </c>
      <c r="B3103" s="1">
        <v>45621</v>
      </c>
      <c r="C3103" t="s">
        <v>32</v>
      </c>
      <c r="D3103" t="s">
        <v>15</v>
      </c>
      <c r="E3103">
        <v>139947.92000000001</v>
      </c>
      <c r="F3103">
        <v>40</v>
      </c>
      <c r="G3103" t="s">
        <v>26</v>
      </c>
      <c r="H3103">
        <v>1970.67</v>
      </c>
      <c r="I3103">
        <v>4998.1400000000003</v>
      </c>
      <c r="J3103" t="s">
        <v>27</v>
      </c>
      <c r="K3103">
        <v>0.3</v>
      </c>
      <c r="L3103" t="s">
        <v>25</v>
      </c>
      <c r="M3103" t="s">
        <v>19</v>
      </c>
    </row>
    <row r="3104" spans="1:13" x14ac:dyDescent="0.35">
      <c r="A3104">
        <v>1093</v>
      </c>
      <c r="B3104" s="1">
        <v>45621</v>
      </c>
      <c r="C3104" t="s">
        <v>14</v>
      </c>
      <c r="D3104" t="s">
        <v>15</v>
      </c>
      <c r="E3104">
        <v>206479.8</v>
      </c>
      <c r="F3104">
        <v>45</v>
      </c>
      <c r="G3104" t="s">
        <v>24</v>
      </c>
      <c r="H3104">
        <v>2672.57</v>
      </c>
      <c r="I3104">
        <v>4588.4399999999996</v>
      </c>
      <c r="J3104" t="s">
        <v>17</v>
      </c>
      <c r="K3104">
        <v>0</v>
      </c>
      <c r="L3104" t="s">
        <v>28</v>
      </c>
      <c r="M3104" t="s">
        <v>19</v>
      </c>
    </row>
    <row r="3105" spans="1:13" x14ac:dyDescent="0.35">
      <c r="A3105">
        <v>1067</v>
      </c>
      <c r="B3105" s="1">
        <v>45623</v>
      </c>
      <c r="C3105" t="s">
        <v>29</v>
      </c>
      <c r="D3105" t="s">
        <v>23</v>
      </c>
      <c r="E3105">
        <v>10046.11</v>
      </c>
      <c r="F3105">
        <v>2</v>
      </c>
      <c r="G3105" t="s">
        <v>26</v>
      </c>
      <c r="H3105">
        <v>4617.9399999999996</v>
      </c>
      <c r="I3105">
        <v>5127.07</v>
      </c>
      <c r="J3105" t="s">
        <v>27</v>
      </c>
      <c r="K3105">
        <v>0.02</v>
      </c>
      <c r="L3105" t="s">
        <v>25</v>
      </c>
      <c r="M3105" t="s">
        <v>21</v>
      </c>
    </row>
    <row r="3106" spans="1:13" x14ac:dyDescent="0.35">
      <c r="A3106">
        <v>1097</v>
      </c>
      <c r="B3106" s="1">
        <v>45623</v>
      </c>
      <c r="C3106" t="s">
        <v>14</v>
      </c>
      <c r="D3106" t="s">
        <v>23</v>
      </c>
      <c r="E3106">
        <v>17069.09</v>
      </c>
      <c r="F3106">
        <v>4</v>
      </c>
      <c r="G3106" t="s">
        <v>26</v>
      </c>
      <c r="H3106">
        <v>2577.14</v>
      </c>
      <c r="I3106">
        <v>5020.32</v>
      </c>
      <c r="J3106" t="s">
        <v>17</v>
      </c>
      <c r="K3106">
        <v>0.15</v>
      </c>
      <c r="L3106" t="s">
        <v>28</v>
      </c>
      <c r="M3106" t="s">
        <v>21</v>
      </c>
    </row>
    <row r="3107" spans="1:13" x14ac:dyDescent="0.35">
      <c r="A3107">
        <v>1071</v>
      </c>
      <c r="B3107" s="1">
        <v>45623</v>
      </c>
      <c r="C3107" t="s">
        <v>32</v>
      </c>
      <c r="D3107" t="s">
        <v>23</v>
      </c>
      <c r="E3107">
        <v>44121.78</v>
      </c>
      <c r="F3107">
        <v>19</v>
      </c>
      <c r="G3107" t="s">
        <v>16</v>
      </c>
      <c r="H3107">
        <v>1680.69</v>
      </c>
      <c r="I3107">
        <v>2444.42</v>
      </c>
      <c r="J3107" t="s">
        <v>17</v>
      </c>
      <c r="K3107">
        <v>0.05</v>
      </c>
      <c r="L3107" t="s">
        <v>25</v>
      </c>
      <c r="M3107" t="s">
        <v>21</v>
      </c>
    </row>
    <row r="3108" spans="1:13" x14ac:dyDescent="0.35">
      <c r="A3108">
        <v>1086</v>
      </c>
      <c r="B3108" s="1">
        <v>45623</v>
      </c>
      <c r="C3108" t="s">
        <v>32</v>
      </c>
      <c r="D3108" t="s">
        <v>23</v>
      </c>
      <c r="E3108">
        <v>77004.38</v>
      </c>
      <c r="F3108">
        <v>33</v>
      </c>
      <c r="G3108" t="s">
        <v>26</v>
      </c>
      <c r="H3108">
        <v>618.98</v>
      </c>
      <c r="I3108">
        <v>3070.35</v>
      </c>
      <c r="J3108" t="s">
        <v>17</v>
      </c>
      <c r="K3108">
        <v>0.24</v>
      </c>
      <c r="L3108" t="s">
        <v>25</v>
      </c>
      <c r="M3108" t="s">
        <v>19</v>
      </c>
    </row>
    <row r="3109" spans="1:13" x14ac:dyDescent="0.35">
      <c r="A3109">
        <v>1100</v>
      </c>
      <c r="B3109" s="1">
        <v>45625</v>
      </c>
      <c r="C3109" t="s">
        <v>29</v>
      </c>
      <c r="D3109" t="s">
        <v>23</v>
      </c>
      <c r="E3109">
        <v>53656.43</v>
      </c>
      <c r="F3109">
        <v>19</v>
      </c>
      <c r="G3109" t="s">
        <v>31</v>
      </c>
      <c r="H3109">
        <v>703.92</v>
      </c>
      <c r="I3109">
        <v>3443.93</v>
      </c>
      <c r="J3109" t="s">
        <v>17</v>
      </c>
      <c r="K3109">
        <v>0.18</v>
      </c>
      <c r="L3109" t="s">
        <v>28</v>
      </c>
      <c r="M3109" t="s">
        <v>19</v>
      </c>
    </row>
    <row r="3110" spans="1:13" x14ac:dyDescent="0.35">
      <c r="A3110">
        <v>1097</v>
      </c>
      <c r="B3110" s="1">
        <v>45625</v>
      </c>
      <c r="C3110" t="s">
        <v>22</v>
      </c>
      <c r="D3110" t="s">
        <v>15</v>
      </c>
      <c r="E3110">
        <v>145123.70000000001</v>
      </c>
      <c r="F3110">
        <v>44</v>
      </c>
      <c r="G3110" t="s">
        <v>31</v>
      </c>
      <c r="H3110">
        <v>1285.6099999999999</v>
      </c>
      <c r="I3110">
        <v>4175.0200000000004</v>
      </c>
      <c r="J3110" t="s">
        <v>17</v>
      </c>
      <c r="K3110">
        <v>0.21</v>
      </c>
      <c r="L3110" t="s">
        <v>28</v>
      </c>
      <c r="M3110" t="s">
        <v>21</v>
      </c>
    </row>
    <row r="3111" spans="1:13" x14ac:dyDescent="0.35">
      <c r="A3111">
        <v>1031</v>
      </c>
      <c r="B3111" s="1">
        <v>45626</v>
      </c>
      <c r="C3111" t="s">
        <v>22</v>
      </c>
      <c r="D3111" t="s">
        <v>23</v>
      </c>
      <c r="E3111">
        <v>21233.439999999999</v>
      </c>
      <c r="F3111">
        <v>26</v>
      </c>
      <c r="G3111" t="s">
        <v>24</v>
      </c>
      <c r="H3111">
        <v>316.7</v>
      </c>
      <c r="I3111">
        <v>995.94</v>
      </c>
      <c r="J3111" t="s">
        <v>27</v>
      </c>
      <c r="K3111">
        <v>0.18</v>
      </c>
      <c r="L3111" t="s">
        <v>18</v>
      </c>
      <c r="M3111" t="s">
        <v>21</v>
      </c>
    </row>
    <row r="3112" spans="1:13" x14ac:dyDescent="0.35">
      <c r="A3112">
        <v>1041</v>
      </c>
      <c r="B3112" s="1">
        <v>45626</v>
      </c>
      <c r="C3112" t="s">
        <v>14</v>
      </c>
      <c r="D3112" t="s">
        <v>15</v>
      </c>
      <c r="E3112">
        <v>127300.67</v>
      </c>
      <c r="F3112">
        <v>27</v>
      </c>
      <c r="G3112" t="s">
        <v>24</v>
      </c>
      <c r="H3112">
        <v>3482.46</v>
      </c>
      <c r="I3112">
        <v>5069.72</v>
      </c>
      <c r="J3112" t="s">
        <v>27</v>
      </c>
      <c r="K3112">
        <v>7.0000000000000007E-2</v>
      </c>
      <c r="L3112" t="s">
        <v>25</v>
      </c>
      <c r="M3112" t="s">
        <v>21</v>
      </c>
    </row>
    <row r="3113" spans="1:13" x14ac:dyDescent="0.35">
      <c r="A3113">
        <v>1059</v>
      </c>
      <c r="B3113" s="1">
        <v>45626</v>
      </c>
      <c r="C3113" t="s">
        <v>14</v>
      </c>
      <c r="D3113" t="s">
        <v>30</v>
      </c>
      <c r="E3113">
        <v>88411.78</v>
      </c>
      <c r="F3113">
        <v>37</v>
      </c>
      <c r="G3113" t="s">
        <v>31</v>
      </c>
      <c r="H3113">
        <v>938.7</v>
      </c>
      <c r="I3113">
        <v>2684.84</v>
      </c>
      <c r="J3113" t="s">
        <v>17</v>
      </c>
      <c r="K3113">
        <v>0.11</v>
      </c>
      <c r="L3113" t="s">
        <v>25</v>
      </c>
      <c r="M3113" t="s">
        <v>21</v>
      </c>
    </row>
    <row r="3114" spans="1:13" x14ac:dyDescent="0.35">
      <c r="A3114">
        <v>1010</v>
      </c>
      <c r="B3114" s="1">
        <v>45627</v>
      </c>
      <c r="C3114" t="s">
        <v>33</v>
      </c>
      <c r="D3114" t="s">
        <v>15</v>
      </c>
      <c r="E3114">
        <v>84292.66</v>
      </c>
      <c r="F3114">
        <v>45</v>
      </c>
      <c r="G3114" t="s">
        <v>24</v>
      </c>
      <c r="H3114">
        <v>1798.68</v>
      </c>
      <c r="I3114">
        <v>1914.92</v>
      </c>
      <c r="J3114" t="s">
        <v>17</v>
      </c>
      <c r="K3114">
        <v>0.02</v>
      </c>
      <c r="L3114" t="s">
        <v>25</v>
      </c>
      <c r="M3114" t="s">
        <v>19</v>
      </c>
    </row>
    <row r="3115" spans="1:13" x14ac:dyDescent="0.35">
      <c r="A3115">
        <v>1046</v>
      </c>
      <c r="B3115" s="1">
        <v>45627</v>
      </c>
      <c r="C3115" t="s">
        <v>32</v>
      </c>
      <c r="D3115" t="s">
        <v>15</v>
      </c>
      <c r="E3115">
        <v>46011.34</v>
      </c>
      <c r="F3115">
        <v>29</v>
      </c>
      <c r="G3115" t="s">
        <v>31</v>
      </c>
      <c r="H3115">
        <v>1081.07</v>
      </c>
      <c r="I3115">
        <v>1687.87</v>
      </c>
      <c r="J3115" t="s">
        <v>27</v>
      </c>
      <c r="K3115">
        <v>0.06</v>
      </c>
      <c r="L3115" t="s">
        <v>28</v>
      </c>
      <c r="M3115" t="s">
        <v>21</v>
      </c>
    </row>
    <row r="3116" spans="1:13" x14ac:dyDescent="0.35">
      <c r="A3116">
        <v>1032</v>
      </c>
      <c r="B3116" s="1">
        <v>45627</v>
      </c>
      <c r="C3116" t="s">
        <v>33</v>
      </c>
      <c r="D3116" t="s">
        <v>20</v>
      </c>
      <c r="E3116">
        <v>33332.15</v>
      </c>
      <c r="F3116">
        <v>8</v>
      </c>
      <c r="G3116" t="s">
        <v>16</v>
      </c>
      <c r="H3116">
        <v>2264.84</v>
      </c>
      <c r="I3116">
        <v>4251.55</v>
      </c>
      <c r="J3116" t="s">
        <v>17</v>
      </c>
      <c r="K3116">
        <v>0.02</v>
      </c>
      <c r="L3116" t="s">
        <v>28</v>
      </c>
      <c r="M3116" t="s">
        <v>19</v>
      </c>
    </row>
    <row r="3117" spans="1:13" x14ac:dyDescent="0.35">
      <c r="A3117">
        <v>1100</v>
      </c>
      <c r="B3117" s="1">
        <v>45627</v>
      </c>
      <c r="C3117" t="s">
        <v>14</v>
      </c>
      <c r="D3117" t="s">
        <v>20</v>
      </c>
      <c r="E3117">
        <v>29805.17</v>
      </c>
      <c r="F3117">
        <v>7</v>
      </c>
      <c r="G3117" t="s">
        <v>16</v>
      </c>
      <c r="H3117">
        <v>1524.87</v>
      </c>
      <c r="I3117">
        <v>4678.99</v>
      </c>
      <c r="J3117" t="s">
        <v>17</v>
      </c>
      <c r="K3117">
        <v>0.09</v>
      </c>
      <c r="L3117" t="s">
        <v>18</v>
      </c>
      <c r="M3117" t="s">
        <v>21</v>
      </c>
    </row>
    <row r="3118" spans="1:13" x14ac:dyDescent="0.35">
      <c r="A3118">
        <v>1015</v>
      </c>
      <c r="B3118" s="1">
        <v>45628</v>
      </c>
      <c r="C3118" t="s">
        <v>29</v>
      </c>
      <c r="D3118" t="s">
        <v>23</v>
      </c>
      <c r="E3118">
        <v>29778.11</v>
      </c>
      <c r="F3118">
        <v>9</v>
      </c>
      <c r="G3118" t="s">
        <v>24</v>
      </c>
      <c r="H3118">
        <v>2851.77</v>
      </c>
      <c r="I3118">
        <v>3596.39</v>
      </c>
      <c r="J3118" t="s">
        <v>27</v>
      </c>
      <c r="K3118">
        <v>0.08</v>
      </c>
      <c r="L3118" t="s">
        <v>28</v>
      </c>
      <c r="M3118" t="s">
        <v>21</v>
      </c>
    </row>
    <row r="3119" spans="1:13" x14ac:dyDescent="0.35">
      <c r="A3119">
        <v>1064</v>
      </c>
      <c r="B3119" s="1">
        <v>45628</v>
      </c>
      <c r="C3119" t="s">
        <v>14</v>
      </c>
      <c r="D3119" t="s">
        <v>30</v>
      </c>
      <c r="E3119">
        <v>87587.63</v>
      </c>
      <c r="F3119">
        <v>30</v>
      </c>
      <c r="G3119" t="s">
        <v>31</v>
      </c>
      <c r="H3119">
        <v>482.76</v>
      </c>
      <c r="I3119">
        <v>3073.25</v>
      </c>
      <c r="J3119" t="s">
        <v>17</v>
      </c>
      <c r="K3119">
        <v>0.05</v>
      </c>
      <c r="L3119" t="s">
        <v>18</v>
      </c>
      <c r="M3119" t="s">
        <v>19</v>
      </c>
    </row>
    <row r="3120" spans="1:13" x14ac:dyDescent="0.35">
      <c r="A3120">
        <v>1029</v>
      </c>
      <c r="B3120" s="1">
        <v>45629</v>
      </c>
      <c r="C3120" t="s">
        <v>32</v>
      </c>
      <c r="D3120" t="s">
        <v>20</v>
      </c>
      <c r="E3120">
        <v>9803.8799999999992</v>
      </c>
      <c r="F3120">
        <v>7</v>
      </c>
      <c r="G3120" t="s">
        <v>26</v>
      </c>
      <c r="H3120">
        <v>1356.28</v>
      </c>
      <c r="I3120">
        <v>1436.86</v>
      </c>
      <c r="J3120" t="s">
        <v>17</v>
      </c>
      <c r="K3120">
        <v>0.03</v>
      </c>
      <c r="L3120" t="s">
        <v>25</v>
      </c>
      <c r="M3120" t="s">
        <v>19</v>
      </c>
    </row>
    <row r="3121" spans="1:13" x14ac:dyDescent="0.35">
      <c r="A3121">
        <v>1085</v>
      </c>
      <c r="B3121" s="1">
        <v>45629</v>
      </c>
      <c r="C3121" t="s">
        <v>29</v>
      </c>
      <c r="D3121" t="s">
        <v>20</v>
      </c>
      <c r="E3121">
        <v>6773.34</v>
      </c>
      <c r="F3121">
        <v>2</v>
      </c>
      <c r="G3121" t="s">
        <v>26</v>
      </c>
      <c r="H3121">
        <v>961.13</v>
      </c>
      <c r="I3121">
        <v>4398.2700000000004</v>
      </c>
      <c r="J3121" t="s">
        <v>17</v>
      </c>
      <c r="K3121">
        <v>0.23</v>
      </c>
      <c r="L3121" t="s">
        <v>25</v>
      </c>
      <c r="M3121" t="s">
        <v>21</v>
      </c>
    </row>
    <row r="3122" spans="1:13" x14ac:dyDescent="0.35">
      <c r="A3122">
        <v>1030</v>
      </c>
      <c r="B3122" s="1">
        <v>45629</v>
      </c>
      <c r="C3122" t="s">
        <v>14</v>
      </c>
      <c r="D3122" t="s">
        <v>20</v>
      </c>
      <c r="E3122">
        <v>17147.29</v>
      </c>
      <c r="F3122">
        <v>5</v>
      </c>
      <c r="G3122" t="s">
        <v>26</v>
      </c>
      <c r="H3122">
        <v>2157.9299999999998</v>
      </c>
      <c r="I3122">
        <v>3648.36</v>
      </c>
      <c r="J3122" t="s">
        <v>17</v>
      </c>
      <c r="K3122">
        <v>0.06</v>
      </c>
      <c r="L3122" t="s">
        <v>18</v>
      </c>
      <c r="M3122" t="s">
        <v>21</v>
      </c>
    </row>
    <row r="3123" spans="1:13" x14ac:dyDescent="0.35">
      <c r="A3123">
        <v>1063</v>
      </c>
      <c r="B3123" s="1">
        <v>45629</v>
      </c>
      <c r="C3123" t="s">
        <v>14</v>
      </c>
      <c r="D3123" t="s">
        <v>30</v>
      </c>
      <c r="E3123">
        <v>48379.46</v>
      </c>
      <c r="F3123">
        <v>45</v>
      </c>
      <c r="G3123" t="s">
        <v>16</v>
      </c>
      <c r="H3123">
        <v>779.55</v>
      </c>
      <c r="I3123">
        <v>1295.3</v>
      </c>
      <c r="J3123" t="s">
        <v>27</v>
      </c>
      <c r="K3123">
        <v>0.17</v>
      </c>
      <c r="L3123" t="s">
        <v>18</v>
      </c>
      <c r="M3123" t="s">
        <v>21</v>
      </c>
    </row>
    <row r="3124" spans="1:13" x14ac:dyDescent="0.35">
      <c r="A3124">
        <v>1051</v>
      </c>
      <c r="B3124" s="1">
        <v>45630</v>
      </c>
      <c r="C3124" t="s">
        <v>32</v>
      </c>
      <c r="D3124" t="s">
        <v>20</v>
      </c>
      <c r="E3124">
        <v>62560.06</v>
      </c>
      <c r="F3124">
        <v>21</v>
      </c>
      <c r="G3124" t="s">
        <v>31</v>
      </c>
      <c r="H3124">
        <v>2670.24</v>
      </c>
      <c r="I3124">
        <v>3203.28</v>
      </c>
      <c r="J3124" t="s">
        <v>17</v>
      </c>
      <c r="K3124">
        <v>7.0000000000000007E-2</v>
      </c>
      <c r="L3124" t="s">
        <v>18</v>
      </c>
      <c r="M3124" t="s">
        <v>19</v>
      </c>
    </row>
    <row r="3125" spans="1:13" x14ac:dyDescent="0.35">
      <c r="A3125">
        <v>1060</v>
      </c>
      <c r="B3125" s="1">
        <v>45631</v>
      </c>
      <c r="C3125" t="s">
        <v>14</v>
      </c>
      <c r="D3125" t="s">
        <v>20</v>
      </c>
      <c r="E3125">
        <v>108641.55</v>
      </c>
      <c r="F3125">
        <v>44</v>
      </c>
      <c r="G3125" t="s">
        <v>16</v>
      </c>
      <c r="H3125">
        <v>1453.22</v>
      </c>
      <c r="I3125">
        <v>2626.73</v>
      </c>
      <c r="J3125" t="s">
        <v>17</v>
      </c>
      <c r="K3125">
        <v>0.06</v>
      </c>
      <c r="L3125" t="s">
        <v>28</v>
      </c>
      <c r="M3125" t="s">
        <v>19</v>
      </c>
    </row>
    <row r="3126" spans="1:13" x14ac:dyDescent="0.35">
      <c r="A3126">
        <v>1085</v>
      </c>
      <c r="B3126" s="1">
        <v>45631</v>
      </c>
      <c r="C3126" t="s">
        <v>14</v>
      </c>
      <c r="D3126" t="s">
        <v>15</v>
      </c>
      <c r="E3126">
        <v>81752.06</v>
      </c>
      <c r="F3126">
        <v>25</v>
      </c>
      <c r="G3126" t="s">
        <v>26</v>
      </c>
      <c r="H3126">
        <v>973.7</v>
      </c>
      <c r="I3126">
        <v>4605.75</v>
      </c>
      <c r="J3126" t="s">
        <v>17</v>
      </c>
      <c r="K3126">
        <v>0.28999999999999998</v>
      </c>
      <c r="L3126" t="s">
        <v>28</v>
      </c>
      <c r="M3126" t="s">
        <v>21</v>
      </c>
    </row>
    <row r="3127" spans="1:13" x14ac:dyDescent="0.35">
      <c r="A3127">
        <v>1068</v>
      </c>
      <c r="B3127" s="1">
        <v>45632</v>
      </c>
      <c r="C3127" t="s">
        <v>29</v>
      </c>
      <c r="D3127" t="s">
        <v>15</v>
      </c>
      <c r="E3127">
        <v>79234.87</v>
      </c>
      <c r="F3127">
        <v>18</v>
      </c>
      <c r="G3127" t="s">
        <v>24</v>
      </c>
      <c r="H3127">
        <v>4335.7700000000004</v>
      </c>
      <c r="I3127">
        <v>4576.09</v>
      </c>
      <c r="J3127" t="s">
        <v>27</v>
      </c>
      <c r="K3127">
        <v>0.04</v>
      </c>
      <c r="L3127" t="s">
        <v>25</v>
      </c>
      <c r="M3127" t="s">
        <v>19</v>
      </c>
    </row>
    <row r="3128" spans="1:13" x14ac:dyDescent="0.35">
      <c r="A3128">
        <v>1033</v>
      </c>
      <c r="B3128" s="1">
        <v>45632</v>
      </c>
      <c r="C3128" t="s">
        <v>32</v>
      </c>
      <c r="D3128" t="s">
        <v>23</v>
      </c>
      <c r="E3128">
        <v>113513.46</v>
      </c>
      <c r="F3128">
        <v>23</v>
      </c>
      <c r="G3128" t="s">
        <v>16</v>
      </c>
      <c r="H3128">
        <v>4294.17</v>
      </c>
      <c r="I3128">
        <v>4955.8500000000004</v>
      </c>
      <c r="J3128" t="s">
        <v>17</v>
      </c>
      <c r="K3128">
        <v>0</v>
      </c>
      <c r="L3128" t="s">
        <v>25</v>
      </c>
      <c r="M3128" t="s">
        <v>21</v>
      </c>
    </row>
    <row r="3129" spans="1:13" x14ac:dyDescent="0.35">
      <c r="A3129">
        <v>1013</v>
      </c>
      <c r="B3129" s="1">
        <v>45633</v>
      </c>
      <c r="C3129" t="s">
        <v>33</v>
      </c>
      <c r="D3129" t="s">
        <v>20</v>
      </c>
      <c r="E3129">
        <v>85296.3</v>
      </c>
      <c r="F3129">
        <v>21</v>
      </c>
      <c r="G3129" t="s">
        <v>26</v>
      </c>
      <c r="H3129">
        <v>3526.06</v>
      </c>
      <c r="I3129">
        <v>4563.74</v>
      </c>
      <c r="J3129" t="s">
        <v>17</v>
      </c>
      <c r="K3129">
        <v>0.11</v>
      </c>
      <c r="L3129" t="s">
        <v>25</v>
      </c>
      <c r="M3129" t="s">
        <v>21</v>
      </c>
    </row>
    <row r="3130" spans="1:13" x14ac:dyDescent="0.35">
      <c r="A3130">
        <v>1028</v>
      </c>
      <c r="B3130" s="1">
        <v>45633</v>
      </c>
      <c r="C3130" t="s">
        <v>33</v>
      </c>
      <c r="D3130" t="s">
        <v>23</v>
      </c>
      <c r="E3130">
        <v>112548.5</v>
      </c>
      <c r="F3130">
        <v>39</v>
      </c>
      <c r="G3130" t="s">
        <v>31</v>
      </c>
      <c r="H3130">
        <v>1145.4000000000001</v>
      </c>
      <c r="I3130">
        <v>3206.51</v>
      </c>
      <c r="J3130" t="s">
        <v>27</v>
      </c>
      <c r="K3130">
        <v>0.1</v>
      </c>
      <c r="L3130" t="s">
        <v>18</v>
      </c>
      <c r="M3130" t="s">
        <v>19</v>
      </c>
    </row>
    <row r="3131" spans="1:13" x14ac:dyDescent="0.35">
      <c r="A3131">
        <v>1080</v>
      </c>
      <c r="B3131" s="1">
        <v>45634</v>
      </c>
      <c r="C3131" t="s">
        <v>14</v>
      </c>
      <c r="D3131" t="s">
        <v>30</v>
      </c>
      <c r="E3131">
        <v>219053.74</v>
      </c>
      <c r="F3131">
        <v>48</v>
      </c>
      <c r="G3131" t="s">
        <v>31</v>
      </c>
      <c r="H3131">
        <v>1483.16</v>
      </c>
      <c r="I3131">
        <v>4803.8100000000004</v>
      </c>
      <c r="J3131" t="s">
        <v>27</v>
      </c>
      <c r="K3131">
        <v>0.05</v>
      </c>
      <c r="L3131" t="s">
        <v>25</v>
      </c>
      <c r="M3131" t="s">
        <v>21</v>
      </c>
    </row>
    <row r="3132" spans="1:13" x14ac:dyDescent="0.35">
      <c r="A3132">
        <v>1060</v>
      </c>
      <c r="B3132" s="1">
        <v>45635</v>
      </c>
      <c r="C3132" t="s">
        <v>14</v>
      </c>
      <c r="D3132" t="s">
        <v>23</v>
      </c>
      <c r="E3132">
        <v>85621.74</v>
      </c>
      <c r="F3132">
        <v>42</v>
      </c>
      <c r="G3132" t="s">
        <v>24</v>
      </c>
      <c r="H3132">
        <v>665.78</v>
      </c>
      <c r="I3132">
        <v>2370.48</v>
      </c>
      <c r="J3132" t="s">
        <v>17</v>
      </c>
      <c r="K3132">
        <v>0.14000000000000001</v>
      </c>
      <c r="L3132" t="s">
        <v>18</v>
      </c>
      <c r="M3132" t="s">
        <v>19</v>
      </c>
    </row>
    <row r="3133" spans="1:13" x14ac:dyDescent="0.35">
      <c r="A3133">
        <v>1052</v>
      </c>
      <c r="B3133" s="1">
        <v>45636</v>
      </c>
      <c r="C3133" t="s">
        <v>22</v>
      </c>
      <c r="D3133" t="s">
        <v>23</v>
      </c>
      <c r="E3133">
        <v>71577.73</v>
      </c>
      <c r="F3133">
        <v>24</v>
      </c>
      <c r="G3133" t="s">
        <v>24</v>
      </c>
      <c r="H3133">
        <v>1270.77</v>
      </c>
      <c r="I3133">
        <v>3637.08</v>
      </c>
      <c r="J3133" t="s">
        <v>17</v>
      </c>
      <c r="K3133">
        <v>0.18</v>
      </c>
      <c r="L3133" t="s">
        <v>18</v>
      </c>
      <c r="M3133" t="s">
        <v>19</v>
      </c>
    </row>
    <row r="3134" spans="1:13" x14ac:dyDescent="0.35">
      <c r="A3134">
        <v>1068</v>
      </c>
      <c r="B3134" s="1">
        <v>45637</v>
      </c>
      <c r="C3134" t="s">
        <v>33</v>
      </c>
      <c r="D3134" t="s">
        <v>15</v>
      </c>
      <c r="E3134">
        <v>41992.2</v>
      </c>
      <c r="F3134">
        <v>33</v>
      </c>
      <c r="G3134" t="s">
        <v>26</v>
      </c>
      <c r="H3134">
        <v>1252.4000000000001</v>
      </c>
      <c r="I3134">
        <v>1298.46</v>
      </c>
      <c r="J3134" t="s">
        <v>17</v>
      </c>
      <c r="K3134">
        <v>0.02</v>
      </c>
      <c r="L3134" t="s">
        <v>28</v>
      </c>
      <c r="M3134" t="s">
        <v>21</v>
      </c>
    </row>
    <row r="3135" spans="1:13" x14ac:dyDescent="0.35">
      <c r="A3135">
        <v>1040</v>
      </c>
      <c r="B3135" s="1">
        <v>45637</v>
      </c>
      <c r="C3135" t="s">
        <v>14</v>
      </c>
      <c r="D3135" t="s">
        <v>20</v>
      </c>
      <c r="E3135">
        <v>17662.71</v>
      </c>
      <c r="F3135">
        <v>16</v>
      </c>
      <c r="G3135" t="s">
        <v>16</v>
      </c>
      <c r="H3135">
        <v>766.72</v>
      </c>
      <c r="I3135">
        <v>1187.01</v>
      </c>
      <c r="J3135" t="s">
        <v>27</v>
      </c>
      <c r="K3135">
        <v>7.0000000000000007E-2</v>
      </c>
      <c r="L3135" t="s">
        <v>28</v>
      </c>
      <c r="M3135" t="s">
        <v>21</v>
      </c>
    </row>
    <row r="3136" spans="1:13" x14ac:dyDescent="0.35">
      <c r="A3136">
        <v>1034</v>
      </c>
      <c r="B3136" s="1">
        <v>45637</v>
      </c>
      <c r="C3136" t="s">
        <v>29</v>
      </c>
      <c r="D3136" t="s">
        <v>30</v>
      </c>
      <c r="E3136">
        <v>148005.93</v>
      </c>
      <c r="F3136">
        <v>30</v>
      </c>
      <c r="G3136" t="s">
        <v>31</v>
      </c>
      <c r="H3136">
        <v>4270.79</v>
      </c>
      <c r="I3136">
        <v>4957.1000000000004</v>
      </c>
      <c r="J3136" t="s">
        <v>27</v>
      </c>
      <c r="K3136">
        <v>0</v>
      </c>
      <c r="L3136" t="s">
        <v>25</v>
      </c>
      <c r="M3136" t="s">
        <v>21</v>
      </c>
    </row>
    <row r="3137" spans="1:13" x14ac:dyDescent="0.35">
      <c r="A3137">
        <v>1062</v>
      </c>
      <c r="B3137" s="1">
        <v>45637</v>
      </c>
      <c r="C3137" t="s">
        <v>22</v>
      </c>
      <c r="D3137" t="s">
        <v>15</v>
      </c>
      <c r="E3137">
        <v>44391.38</v>
      </c>
      <c r="F3137">
        <v>31</v>
      </c>
      <c r="G3137" t="s">
        <v>26</v>
      </c>
      <c r="H3137">
        <v>603.29</v>
      </c>
      <c r="I3137">
        <v>1556.5</v>
      </c>
      <c r="J3137" t="s">
        <v>27</v>
      </c>
      <c r="K3137">
        <v>0.08</v>
      </c>
      <c r="L3137" t="s">
        <v>25</v>
      </c>
      <c r="M3137" t="s">
        <v>19</v>
      </c>
    </row>
    <row r="3138" spans="1:13" x14ac:dyDescent="0.35">
      <c r="A3138">
        <v>1099</v>
      </c>
      <c r="B3138" s="1">
        <v>45637</v>
      </c>
      <c r="C3138" t="s">
        <v>22</v>
      </c>
      <c r="D3138" t="s">
        <v>15</v>
      </c>
      <c r="E3138">
        <v>173812.02</v>
      </c>
      <c r="F3138">
        <v>36</v>
      </c>
      <c r="G3138" t="s">
        <v>24</v>
      </c>
      <c r="H3138">
        <v>3547.73</v>
      </c>
      <c r="I3138">
        <v>4895.82</v>
      </c>
      <c r="J3138" t="s">
        <v>17</v>
      </c>
      <c r="K3138">
        <v>0.01</v>
      </c>
      <c r="L3138" t="s">
        <v>25</v>
      </c>
      <c r="M3138" t="s">
        <v>19</v>
      </c>
    </row>
    <row r="3139" spans="1:13" x14ac:dyDescent="0.35">
      <c r="A3139">
        <v>1059</v>
      </c>
      <c r="B3139" s="1">
        <v>45638</v>
      </c>
      <c r="C3139" t="s">
        <v>33</v>
      </c>
      <c r="D3139" t="s">
        <v>15</v>
      </c>
      <c r="E3139">
        <v>41285.39</v>
      </c>
      <c r="F3139">
        <v>13</v>
      </c>
      <c r="G3139" t="s">
        <v>26</v>
      </c>
      <c r="H3139">
        <v>2643.14</v>
      </c>
      <c r="I3139">
        <v>3692.79</v>
      </c>
      <c r="J3139" t="s">
        <v>17</v>
      </c>
      <c r="K3139">
        <v>0.14000000000000001</v>
      </c>
      <c r="L3139" t="s">
        <v>25</v>
      </c>
      <c r="M3139" t="s">
        <v>21</v>
      </c>
    </row>
    <row r="3140" spans="1:13" x14ac:dyDescent="0.35">
      <c r="A3140">
        <v>1011</v>
      </c>
      <c r="B3140" s="1">
        <v>45638</v>
      </c>
      <c r="C3140" t="s">
        <v>29</v>
      </c>
      <c r="D3140" t="s">
        <v>15</v>
      </c>
      <c r="E3140">
        <v>94200.85</v>
      </c>
      <c r="F3140">
        <v>29</v>
      </c>
      <c r="G3140" t="s">
        <v>26</v>
      </c>
      <c r="H3140">
        <v>2136.79</v>
      </c>
      <c r="I3140">
        <v>3867.03</v>
      </c>
      <c r="J3140" t="s">
        <v>27</v>
      </c>
      <c r="K3140">
        <v>0.16</v>
      </c>
      <c r="L3140" t="s">
        <v>25</v>
      </c>
      <c r="M3140" t="s">
        <v>21</v>
      </c>
    </row>
    <row r="3141" spans="1:13" x14ac:dyDescent="0.35">
      <c r="A3141">
        <v>1073</v>
      </c>
      <c r="B3141" s="1">
        <v>45638</v>
      </c>
      <c r="C3141" t="s">
        <v>29</v>
      </c>
      <c r="D3141" t="s">
        <v>20</v>
      </c>
      <c r="E3141">
        <v>102045.02</v>
      </c>
      <c r="F3141">
        <v>50</v>
      </c>
      <c r="G3141" t="s">
        <v>16</v>
      </c>
      <c r="H3141">
        <v>1202.26</v>
      </c>
      <c r="I3141">
        <v>2650.52</v>
      </c>
      <c r="J3141" t="s">
        <v>17</v>
      </c>
      <c r="K3141">
        <v>0.23</v>
      </c>
      <c r="L3141" t="s">
        <v>18</v>
      </c>
      <c r="M3141" t="s">
        <v>21</v>
      </c>
    </row>
    <row r="3142" spans="1:13" x14ac:dyDescent="0.35">
      <c r="A3142">
        <v>1019</v>
      </c>
      <c r="B3142" s="1">
        <v>45639</v>
      </c>
      <c r="C3142" t="s">
        <v>14</v>
      </c>
      <c r="D3142" t="s">
        <v>23</v>
      </c>
      <c r="E3142">
        <v>18300.669999999998</v>
      </c>
      <c r="F3142">
        <v>9</v>
      </c>
      <c r="G3142" t="s">
        <v>26</v>
      </c>
      <c r="H3142">
        <v>441.05</v>
      </c>
      <c r="I3142">
        <v>2541.7600000000002</v>
      </c>
      <c r="J3142" t="s">
        <v>27</v>
      </c>
      <c r="K3142">
        <v>0.2</v>
      </c>
      <c r="L3142" t="s">
        <v>28</v>
      </c>
      <c r="M3142" t="s">
        <v>21</v>
      </c>
    </row>
    <row r="3143" spans="1:13" x14ac:dyDescent="0.35">
      <c r="A3143">
        <v>1022</v>
      </c>
      <c r="B3143" s="1">
        <v>45639</v>
      </c>
      <c r="C3143" t="s">
        <v>14</v>
      </c>
      <c r="D3143" t="s">
        <v>30</v>
      </c>
      <c r="E3143">
        <v>260345.76</v>
      </c>
      <c r="F3143">
        <v>50</v>
      </c>
      <c r="G3143" t="s">
        <v>26</v>
      </c>
      <c r="H3143">
        <v>695</v>
      </c>
      <c r="I3143">
        <v>5423.87</v>
      </c>
      <c r="J3143" t="s">
        <v>17</v>
      </c>
      <c r="K3143">
        <v>0.04</v>
      </c>
      <c r="L3143" t="s">
        <v>18</v>
      </c>
      <c r="M3143" t="s">
        <v>21</v>
      </c>
    </row>
    <row r="3144" spans="1:13" x14ac:dyDescent="0.35">
      <c r="A3144">
        <v>1071</v>
      </c>
      <c r="B3144" s="1">
        <v>45640</v>
      </c>
      <c r="C3144" t="s">
        <v>14</v>
      </c>
      <c r="D3144" t="s">
        <v>30</v>
      </c>
      <c r="E3144">
        <v>14509.87</v>
      </c>
      <c r="F3144">
        <v>13</v>
      </c>
      <c r="G3144" t="s">
        <v>24</v>
      </c>
      <c r="H3144">
        <v>431.74</v>
      </c>
      <c r="I3144">
        <v>1213.2</v>
      </c>
      <c r="J3144" t="s">
        <v>27</v>
      </c>
      <c r="K3144">
        <v>0.08</v>
      </c>
      <c r="L3144" t="s">
        <v>25</v>
      </c>
      <c r="M3144" t="s">
        <v>21</v>
      </c>
    </row>
    <row r="3145" spans="1:13" x14ac:dyDescent="0.35">
      <c r="A3145">
        <v>1083</v>
      </c>
      <c r="B3145" s="1">
        <v>45640</v>
      </c>
      <c r="C3145" t="s">
        <v>14</v>
      </c>
      <c r="D3145" t="s">
        <v>15</v>
      </c>
      <c r="E3145">
        <v>155960.79999999999</v>
      </c>
      <c r="F3145">
        <v>50</v>
      </c>
      <c r="G3145" t="s">
        <v>26</v>
      </c>
      <c r="H3145">
        <v>2410.2399999999998</v>
      </c>
      <c r="I3145">
        <v>3899.02</v>
      </c>
      <c r="J3145" t="s">
        <v>17</v>
      </c>
      <c r="K3145">
        <v>0.2</v>
      </c>
      <c r="L3145" t="s">
        <v>18</v>
      </c>
      <c r="M3145" t="s">
        <v>19</v>
      </c>
    </row>
    <row r="3146" spans="1:13" x14ac:dyDescent="0.35">
      <c r="A3146">
        <v>1035</v>
      </c>
      <c r="B3146" s="1">
        <v>45641</v>
      </c>
      <c r="C3146" t="s">
        <v>14</v>
      </c>
      <c r="D3146" t="s">
        <v>15</v>
      </c>
      <c r="E3146">
        <v>3156.98</v>
      </c>
      <c r="F3146">
        <v>4</v>
      </c>
      <c r="G3146" t="s">
        <v>31</v>
      </c>
      <c r="H3146">
        <v>499.71</v>
      </c>
      <c r="I3146">
        <v>896.87</v>
      </c>
      <c r="J3146" t="s">
        <v>17</v>
      </c>
      <c r="K3146">
        <v>0.12</v>
      </c>
      <c r="L3146" t="s">
        <v>18</v>
      </c>
      <c r="M3146" t="s">
        <v>19</v>
      </c>
    </row>
    <row r="3147" spans="1:13" x14ac:dyDescent="0.35">
      <c r="A3147">
        <v>1033</v>
      </c>
      <c r="B3147" s="1">
        <v>45641</v>
      </c>
      <c r="C3147" t="s">
        <v>22</v>
      </c>
      <c r="D3147" t="s">
        <v>30</v>
      </c>
      <c r="E3147">
        <v>69664.28</v>
      </c>
      <c r="F3147">
        <v>49</v>
      </c>
      <c r="G3147" t="s">
        <v>24</v>
      </c>
      <c r="H3147">
        <v>704.23</v>
      </c>
      <c r="I3147">
        <v>1755.21</v>
      </c>
      <c r="J3147" t="s">
        <v>27</v>
      </c>
      <c r="K3147">
        <v>0.19</v>
      </c>
      <c r="L3147" t="s">
        <v>28</v>
      </c>
      <c r="M3147" t="s">
        <v>21</v>
      </c>
    </row>
    <row r="3148" spans="1:13" x14ac:dyDescent="0.35">
      <c r="A3148">
        <v>1052</v>
      </c>
      <c r="B3148" s="1">
        <v>45641</v>
      </c>
      <c r="C3148" t="s">
        <v>22</v>
      </c>
      <c r="D3148" t="s">
        <v>15</v>
      </c>
      <c r="E3148">
        <v>93789.119999999995</v>
      </c>
      <c r="F3148">
        <v>45</v>
      </c>
      <c r="G3148" t="s">
        <v>16</v>
      </c>
      <c r="H3148">
        <v>1299.03</v>
      </c>
      <c r="I3148">
        <v>2816.49</v>
      </c>
      <c r="J3148" t="s">
        <v>17</v>
      </c>
      <c r="K3148">
        <v>0.26</v>
      </c>
      <c r="L3148" t="s">
        <v>18</v>
      </c>
      <c r="M3148" t="s">
        <v>21</v>
      </c>
    </row>
    <row r="3149" spans="1:13" x14ac:dyDescent="0.35">
      <c r="A3149">
        <v>1021</v>
      </c>
      <c r="B3149" s="1">
        <v>45641</v>
      </c>
      <c r="C3149" t="s">
        <v>22</v>
      </c>
      <c r="D3149" t="s">
        <v>23</v>
      </c>
      <c r="E3149">
        <v>116354.98</v>
      </c>
      <c r="F3149">
        <v>33</v>
      </c>
      <c r="G3149" t="s">
        <v>16</v>
      </c>
      <c r="H3149">
        <v>2183.2600000000002</v>
      </c>
      <c r="I3149">
        <v>4197.51</v>
      </c>
      <c r="J3149" t="s">
        <v>17</v>
      </c>
      <c r="K3149">
        <v>0.16</v>
      </c>
      <c r="L3149" t="s">
        <v>28</v>
      </c>
      <c r="M3149" t="s">
        <v>19</v>
      </c>
    </row>
    <row r="3150" spans="1:13" x14ac:dyDescent="0.35">
      <c r="A3150">
        <v>1087</v>
      </c>
      <c r="B3150" s="1">
        <v>45641</v>
      </c>
      <c r="C3150" t="s">
        <v>32</v>
      </c>
      <c r="D3150" t="s">
        <v>15</v>
      </c>
      <c r="E3150">
        <v>160964.32999999999</v>
      </c>
      <c r="F3150">
        <v>43</v>
      </c>
      <c r="G3150" t="s">
        <v>24</v>
      </c>
      <c r="H3150">
        <v>166.14</v>
      </c>
      <c r="I3150">
        <v>4352.74</v>
      </c>
      <c r="J3150" t="s">
        <v>27</v>
      </c>
      <c r="K3150">
        <v>0.14000000000000001</v>
      </c>
      <c r="L3150" t="s">
        <v>28</v>
      </c>
      <c r="M3150" t="s">
        <v>21</v>
      </c>
    </row>
    <row r="3151" spans="1:13" x14ac:dyDescent="0.35">
      <c r="A3151">
        <v>1006</v>
      </c>
      <c r="B3151" s="1">
        <v>45642</v>
      </c>
      <c r="C3151" t="s">
        <v>33</v>
      </c>
      <c r="D3151" t="s">
        <v>15</v>
      </c>
      <c r="E3151">
        <v>138892.97</v>
      </c>
      <c r="F3151">
        <v>49</v>
      </c>
      <c r="G3151" t="s">
        <v>26</v>
      </c>
      <c r="H3151">
        <v>1419.79</v>
      </c>
      <c r="I3151">
        <v>3221.08</v>
      </c>
      <c r="J3151" t="s">
        <v>27</v>
      </c>
      <c r="K3151">
        <v>0.12</v>
      </c>
      <c r="L3151" t="s">
        <v>28</v>
      </c>
      <c r="M3151" t="s">
        <v>19</v>
      </c>
    </row>
    <row r="3152" spans="1:13" x14ac:dyDescent="0.35">
      <c r="A3152">
        <v>1040</v>
      </c>
      <c r="B3152" s="1">
        <v>45642</v>
      </c>
      <c r="C3152" t="s">
        <v>14</v>
      </c>
      <c r="D3152" t="s">
        <v>20</v>
      </c>
      <c r="E3152">
        <v>168916.34</v>
      </c>
      <c r="F3152">
        <v>44</v>
      </c>
      <c r="G3152" t="s">
        <v>26</v>
      </c>
      <c r="H3152">
        <v>1298.67</v>
      </c>
      <c r="I3152">
        <v>3957.74</v>
      </c>
      <c r="J3152" t="s">
        <v>27</v>
      </c>
      <c r="K3152">
        <v>0.03</v>
      </c>
      <c r="L3152" t="s">
        <v>25</v>
      </c>
      <c r="M3152" t="s">
        <v>19</v>
      </c>
    </row>
    <row r="3153" spans="1:13" x14ac:dyDescent="0.35">
      <c r="A3153">
        <v>1061</v>
      </c>
      <c r="B3153" s="1">
        <v>45643</v>
      </c>
      <c r="C3153" t="s">
        <v>33</v>
      </c>
      <c r="D3153" t="s">
        <v>20</v>
      </c>
      <c r="E3153">
        <v>23267.45</v>
      </c>
      <c r="F3153">
        <v>7</v>
      </c>
      <c r="G3153" t="s">
        <v>26</v>
      </c>
      <c r="H3153">
        <v>2914.8</v>
      </c>
      <c r="I3153">
        <v>3957.05</v>
      </c>
      <c r="J3153" t="s">
        <v>27</v>
      </c>
      <c r="K3153">
        <v>0.16</v>
      </c>
      <c r="L3153" t="s">
        <v>18</v>
      </c>
      <c r="M3153" t="s">
        <v>19</v>
      </c>
    </row>
    <row r="3154" spans="1:13" x14ac:dyDescent="0.35">
      <c r="A3154">
        <v>1022</v>
      </c>
      <c r="B3154" s="1">
        <v>45643</v>
      </c>
      <c r="C3154" t="s">
        <v>29</v>
      </c>
      <c r="D3154" t="s">
        <v>15</v>
      </c>
      <c r="E3154">
        <v>67916.820000000007</v>
      </c>
      <c r="F3154">
        <v>37</v>
      </c>
      <c r="G3154" t="s">
        <v>16</v>
      </c>
      <c r="H3154">
        <v>1495.67</v>
      </c>
      <c r="I3154">
        <v>2353.3200000000002</v>
      </c>
      <c r="J3154" t="s">
        <v>17</v>
      </c>
      <c r="K3154">
        <v>0.22</v>
      </c>
      <c r="L3154" t="s">
        <v>28</v>
      </c>
      <c r="M3154" t="s">
        <v>21</v>
      </c>
    </row>
    <row r="3155" spans="1:13" x14ac:dyDescent="0.35">
      <c r="A3155">
        <v>1007</v>
      </c>
      <c r="B3155" s="1">
        <v>45643</v>
      </c>
      <c r="C3155" t="s">
        <v>32</v>
      </c>
      <c r="D3155" t="s">
        <v>30</v>
      </c>
      <c r="E3155">
        <v>34557.03</v>
      </c>
      <c r="F3155">
        <v>30</v>
      </c>
      <c r="G3155" t="s">
        <v>16</v>
      </c>
      <c r="H3155">
        <v>682.21</v>
      </c>
      <c r="I3155">
        <v>1279.8900000000001</v>
      </c>
      <c r="J3155" t="s">
        <v>27</v>
      </c>
      <c r="K3155">
        <v>0.1</v>
      </c>
      <c r="L3155" t="s">
        <v>28</v>
      </c>
      <c r="M3155" t="s">
        <v>19</v>
      </c>
    </row>
    <row r="3156" spans="1:13" x14ac:dyDescent="0.35">
      <c r="A3156">
        <v>1072</v>
      </c>
      <c r="B3156" s="1">
        <v>45643</v>
      </c>
      <c r="C3156" t="s">
        <v>22</v>
      </c>
      <c r="D3156" t="s">
        <v>23</v>
      </c>
      <c r="E3156">
        <v>60014.75</v>
      </c>
      <c r="F3156">
        <v>16</v>
      </c>
      <c r="G3156" t="s">
        <v>24</v>
      </c>
      <c r="H3156">
        <v>1512.81</v>
      </c>
      <c r="I3156">
        <v>3907.21</v>
      </c>
      <c r="J3156" t="s">
        <v>17</v>
      </c>
      <c r="K3156">
        <v>0.04</v>
      </c>
      <c r="L3156" t="s">
        <v>28</v>
      </c>
      <c r="M3156" t="s">
        <v>19</v>
      </c>
    </row>
    <row r="3157" spans="1:13" x14ac:dyDescent="0.35">
      <c r="A3157">
        <v>1080</v>
      </c>
      <c r="B3157" s="1">
        <v>45644</v>
      </c>
      <c r="C3157" t="s">
        <v>29</v>
      </c>
      <c r="D3157" t="s">
        <v>15</v>
      </c>
      <c r="E3157">
        <v>51050.01</v>
      </c>
      <c r="F3157">
        <v>22</v>
      </c>
      <c r="G3157" t="s">
        <v>31</v>
      </c>
      <c r="H3157">
        <v>2301.83</v>
      </c>
      <c r="I3157">
        <v>2326.9499999999998</v>
      </c>
      <c r="J3157" t="s">
        <v>17</v>
      </c>
      <c r="K3157">
        <v>0</v>
      </c>
      <c r="L3157" t="s">
        <v>18</v>
      </c>
      <c r="M3157" t="s">
        <v>19</v>
      </c>
    </row>
    <row r="3158" spans="1:13" x14ac:dyDescent="0.35">
      <c r="A3158">
        <v>1007</v>
      </c>
      <c r="B3158" s="1">
        <v>45644</v>
      </c>
      <c r="C3158" t="s">
        <v>32</v>
      </c>
      <c r="D3158" t="s">
        <v>15</v>
      </c>
      <c r="E3158">
        <v>115936.93</v>
      </c>
      <c r="F3158">
        <v>41</v>
      </c>
      <c r="G3158" t="s">
        <v>31</v>
      </c>
      <c r="H3158">
        <v>2255.7199999999998</v>
      </c>
      <c r="I3158">
        <v>3040.57</v>
      </c>
      <c r="J3158" t="s">
        <v>17</v>
      </c>
      <c r="K3158">
        <v>7.0000000000000007E-2</v>
      </c>
      <c r="L3158" t="s">
        <v>28</v>
      </c>
      <c r="M3158" t="s">
        <v>19</v>
      </c>
    </row>
    <row r="3159" spans="1:13" x14ac:dyDescent="0.35">
      <c r="A3159">
        <v>1013</v>
      </c>
      <c r="B3159" s="1">
        <v>45644</v>
      </c>
      <c r="C3159" t="s">
        <v>29</v>
      </c>
      <c r="D3159" t="s">
        <v>23</v>
      </c>
      <c r="E3159">
        <v>64640.12</v>
      </c>
      <c r="F3159">
        <v>16</v>
      </c>
      <c r="G3159" t="s">
        <v>24</v>
      </c>
      <c r="H3159">
        <v>1155.98</v>
      </c>
      <c r="I3159">
        <v>4297.88</v>
      </c>
      <c r="J3159" t="s">
        <v>27</v>
      </c>
      <c r="K3159">
        <v>0.06</v>
      </c>
      <c r="L3159" t="s">
        <v>28</v>
      </c>
      <c r="M3159" t="s">
        <v>19</v>
      </c>
    </row>
    <row r="3160" spans="1:13" x14ac:dyDescent="0.35">
      <c r="A3160">
        <v>1005</v>
      </c>
      <c r="B3160" s="1">
        <v>45644</v>
      </c>
      <c r="C3160" t="s">
        <v>32</v>
      </c>
      <c r="D3160" t="s">
        <v>15</v>
      </c>
      <c r="E3160">
        <v>73444.58</v>
      </c>
      <c r="F3160">
        <v>18</v>
      </c>
      <c r="G3160" t="s">
        <v>16</v>
      </c>
      <c r="H3160">
        <v>661.81</v>
      </c>
      <c r="I3160">
        <v>4975.92</v>
      </c>
      <c r="J3160" t="s">
        <v>17</v>
      </c>
      <c r="K3160">
        <v>0.18</v>
      </c>
      <c r="L3160" t="s">
        <v>18</v>
      </c>
      <c r="M3160" t="s">
        <v>21</v>
      </c>
    </row>
    <row r="3161" spans="1:13" x14ac:dyDescent="0.35">
      <c r="A3161">
        <v>1005</v>
      </c>
      <c r="B3161" s="1">
        <v>45644</v>
      </c>
      <c r="C3161" t="s">
        <v>29</v>
      </c>
      <c r="D3161" t="s">
        <v>15</v>
      </c>
      <c r="E3161">
        <v>109554.03</v>
      </c>
      <c r="F3161">
        <v>33</v>
      </c>
      <c r="G3161" t="s">
        <v>31</v>
      </c>
      <c r="H3161">
        <v>1052.1400000000001</v>
      </c>
      <c r="I3161">
        <v>4610.8599999999997</v>
      </c>
      <c r="J3161" t="s">
        <v>17</v>
      </c>
      <c r="K3161">
        <v>0.28000000000000003</v>
      </c>
      <c r="L3161" t="s">
        <v>18</v>
      </c>
      <c r="M3161" t="s">
        <v>19</v>
      </c>
    </row>
    <row r="3162" spans="1:13" x14ac:dyDescent="0.35">
      <c r="A3162">
        <v>1071</v>
      </c>
      <c r="B3162" s="1">
        <v>45645</v>
      </c>
      <c r="C3162" t="s">
        <v>29</v>
      </c>
      <c r="D3162" t="s">
        <v>30</v>
      </c>
      <c r="E3162">
        <v>2946.16</v>
      </c>
      <c r="F3162">
        <v>1</v>
      </c>
      <c r="G3162" t="s">
        <v>26</v>
      </c>
      <c r="H3162">
        <v>387.59</v>
      </c>
      <c r="I3162">
        <v>3167.91</v>
      </c>
      <c r="J3162" t="s">
        <v>27</v>
      </c>
      <c r="K3162">
        <v>7.0000000000000007E-2</v>
      </c>
      <c r="L3162" t="s">
        <v>28</v>
      </c>
      <c r="M3162" t="s">
        <v>21</v>
      </c>
    </row>
    <row r="3163" spans="1:13" x14ac:dyDescent="0.35">
      <c r="A3163">
        <v>1017</v>
      </c>
      <c r="B3163" s="1">
        <v>45645</v>
      </c>
      <c r="C3163" t="s">
        <v>32</v>
      </c>
      <c r="D3163" t="s">
        <v>30</v>
      </c>
      <c r="E3163">
        <v>45963.81</v>
      </c>
      <c r="F3163">
        <v>11</v>
      </c>
      <c r="G3163" t="s">
        <v>24</v>
      </c>
      <c r="H3163">
        <v>837.16</v>
      </c>
      <c r="I3163">
        <v>5426.66</v>
      </c>
      <c r="J3163" t="s">
        <v>17</v>
      </c>
      <c r="K3163">
        <v>0.23</v>
      </c>
      <c r="L3163" t="s">
        <v>18</v>
      </c>
      <c r="M3163" t="s">
        <v>19</v>
      </c>
    </row>
    <row r="3164" spans="1:13" x14ac:dyDescent="0.35">
      <c r="A3164">
        <v>1043</v>
      </c>
      <c r="B3164" s="1">
        <v>45645</v>
      </c>
      <c r="C3164" t="s">
        <v>33</v>
      </c>
      <c r="D3164" t="s">
        <v>15</v>
      </c>
      <c r="E3164">
        <v>99949.95</v>
      </c>
      <c r="F3164">
        <v>29</v>
      </c>
      <c r="G3164" t="s">
        <v>26</v>
      </c>
      <c r="H3164">
        <v>1334.15</v>
      </c>
      <c r="I3164">
        <v>4152.47</v>
      </c>
      <c r="J3164" t="s">
        <v>27</v>
      </c>
      <c r="K3164">
        <v>0.17</v>
      </c>
      <c r="L3164" t="s">
        <v>25</v>
      </c>
      <c r="M3164" t="s">
        <v>21</v>
      </c>
    </row>
    <row r="3165" spans="1:13" x14ac:dyDescent="0.35">
      <c r="A3165">
        <v>1028</v>
      </c>
      <c r="B3165" s="1">
        <v>45646</v>
      </c>
      <c r="C3165" t="s">
        <v>33</v>
      </c>
      <c r="D3165" t="s">
        <v>20</v>
      </c>
      <c r="E3165">
        <v>6586.84</v>
      </c>
      <c r="F3165">
        <v>24</v>
      </c>
      <c r="G3165" t="s">
        <v>16</v>
      </c>
      <c r="H3165">
        <v>73.540000000000006</v>
      </c>
      <c r="I3165">
        <v>319.13</v>
      </c>
      <c r="J3165" t="s">
        <v>27</v>
      </c>
      <c r="K3165">
        <v>0.14000000000000001</v>
      </c>
      <c r="L3165" t="s">
        <v>28</v>
      </c>
      <c r="M3165" t="s">
        <v>19</v>
      </c>
    </row>
    <row r="3166" spans="1:13" x14ac:dyDescent="0.35">
      <c r="A3166">
        <v>1023</v>
      </c>
      <c r="B3166" s="1">
        <v>45646</v>
      </c>
      <c r="C3166" t="s">
        <v>29</v>
      </c>
      <c r="D3166" t="s">
        <v>20</v>
      </c>
      <c r="E3166">
        <v>67066.69</v>
      </c>
      <c r="F3166">
        <v>42</v>
      </c>
      <c r="G3166" t="s">
        <v>31</v>
      </c>
      <c r="H3166">
        <v>1251.69</v>
      </c>
      <c r="I3166">
        <v>2281.1799999999998</v>
      </c>
      <c r="J3166" t="s">
        <v>27</v>
      </c>
      <c r="K3166">
        <v>0.3</v>
      </c>
      <c r="L3166" t="s">
        <v>28</v>
      </c>
      <c r="M3166" t="s">
        <v>21</v>
      </c>
    </row>
    <row r="3167" spans="1:13" x14ac:dyDescent="0.35">
      <c r="A3167">
        <v>1033</v>
      </c>
      <c r="B3167" s="1">
        <v>45646</v>
      </c>
      <c r="C3167" t="s">
        <v>33</v>
      </c>
      <c r="D3167" t="s">
        <v>30</v>
      </c>
      <c r="E3167">
        <v>101747.15</v>
      </c>
      <c r="F3167">
        <v>23</v>
      </c>
      <c r="G3167" t="s">
        <v>16</v>
      </c>
      <c r="H3167">
        <v>3613.12</v>
      </c>
      <c r="I3167">
        <v>4656.62</v>
      </c>
      <c r="J3167" t="s">
        <v>27</v>
      </c>
      <c r="K3167">
        <v>0.05</v>
      </c>
      <c r="L3167" t="s">
        <v>18</v>
      </c>
      <c r="M3167" t="s">
        <v>21</v>
      </c>
    </row>
    <row r="3168" spans="1:13" x14ac:dyDescent="0.35">
      <c r="A3168">
        <v>1097</v>
      </c>
      <c r="B3168" s="1">
        <v>45647</v>
      </c>
      <c r="C3168" t="s">
        <v>14</v>
      </c>
      <c r="D3168" t="s">
        <v>30</v>
      </c>
      <c r="E3168">
        <v>99214.32</v>
      </c>
      <c r="F3168">
        <v>24</v>
      </c>
      <c r="G3168" t="s">
        <v>26</v>
      </c>
      <c r="H3168">
        <v>1740.44</v>
      </c>
      <c r="I3168">
        <v>4542.78</v>
      </c>
      <c r="J3168" t="s">
        <v>17</v>
      </c>
      <c r="K3168">
        <v>0.09</v>
      </c>
      <c r="L3168" t="s">
        <v>18</v>
      </c>
      <c r="M3168" t="s">
        <v>21</v>
      </c>
    </row>
    <row r="3169" spans="1:13" x14ac:dyDescent="0.35">
      <c r="A3169">
        <v>1070</v>
      </c>
      <c r="B3169" s="1">
        <v>45647</v>
      </c>
      <c r="C3169" t="s">
        <v>32</v>
      </c>
      <c r="D3169" t="s">
        <v>20</v>
      </c>
      <c r="E3169">
        <v>185693.65</v>
      </c>
      <c r="F3169">
        <v>45</v>
      </c>
      <c r="G3169" t="s">
        <v>31</v>
      </c>
      <c r="H3169">
        <v>354.34</v>
      </c>
      <c r="I3169">
        <v>5223.45</v>
      </c>
      <c r="J3169" t="s">
        <v>27</v>
      </c>
      <c r="K3169">
        <v>0.21</v>
      </c>
      <c r="L3169" t="s">
        <v>25</v>
      </c>
      <c r="M3169" t="s">
        <v>21</v>
      </c>
    </row>
    <row r="3170" spans="1:13" x14ac:dyDescent="0.35">
      <c r="A3170">
        <v>1064</v>
      </c>
      <c r="B3170" s="1">
        <v>45648</v>
      </c>
      <c r="C3170" t="s">
        <v>29</v>
      </c>
      <c r="D3170" t="s">
        <v>20</v>
      </c>
      <c r="E3170">
        <v>111625.37</v>
      </c>
      <c r="F3170">
        <v>40</v>
      </c>
      <c r="G3170" t="s">
        <v>26</v>
      </c>
      <c r="H3170">
        <v>2750.15</v>
      </c>
      <c r="I3170">
        <v>3362.21</v>
      </c>
      <c r="J3170" t="s">
        <v>17</v>
      </c>
      <c r="K3170">
        <v>0.17</v>
      </c>
      <c r="L3170" t="s">
        <v>28</v>
      </c>
      <c r="M3170" t="s">
        <v>19</v>
      </c>
    </row>
    <row r="3171" spans="1:13" x14ac:dyDescent="0.35">
      <c r="A3171">
        <v>1026</v>
      </c>
      <c r="B3171" s="1">
        <v>45648</v>
      </c>
      <c r="C3171" t="s">
        <v>29</v>
      </c>
      <c r="D3171" t="s">
        <v>30</v>
      </c>
      <c r="E3171">
        <v>9604.52</v>
      </c>
      <c r="F3171">
        <v>4</v>
      </c>
      <c r="G3171" t="s">
        <v>16</v>
      </c>
      <c r="H3171">
        <v>362.76</v>
      </c>
      <c r="I3171">
        <v>2824.86</v>
      </c>
      <c r="J3171" t="s">
        <v>27</v>
      </c>
      <c r="K3171">
        <v>0.15</v>
      </c>
      <c r="L3171" t="s">
        <v>18</v>
      </c>
      <c r="M3171" t="s">
        <v>19</v>
      </c>
    </row>
    <row r="3172" spans="1:13" x14ac:dyDescent="0.35">
      <c r="A3172">
        <v>1059</v>
      </c>
      <c r="B3172" s="1">
        <v>45648</v>
      </c>
      <c r="C3172" t="s">
        <v>29</v>
      </c>
      <c r="D3172" t="s">
        <v>20</v>
      </c>
      <c r="E3172">
        <v>16535.14</v>
      </c>
      <c r="F3172">
        <v>6</v>
      </c>
      <c r="G3172" t="s">
        <v>26</v>
      </c>
      <c r="H3172">
        <v>173.56</v>
      </c>
      <c r="I3172">
        <v>3360.8</v>
      </c>
      <c r="J3172" t="s">
        <v>27</v>
      </c>
      <c r="K3172">
        <v>0.18</v>
      </c>
      <c r="L3172" t="s">
        <v>18</v>
      </c>
      <c r="M3172" t="s">
        <v>21</v>
      </c>
    </row>
    <row r="3173" spans="1:13" x14ac:dyDescent="0.35">
      <c r="A3173">
        <v>1028</v>
      </c>
      <c r="B3173" s="1">
        <v>45648</v>
      </c>
      <c r="C3173" t="s">
        <v>33</v>
      </c>
      <c r="D3173" t="s">
        <v>30</v>
      </c>
      <c r="E3173">
        <v>228735.84</v>
      </c>
      <c r="F3173">
        <v>50</v>
      </c>
      <c r="G3173" t="s">
        <v>26</v>
      </c>
      <c r="H3173">
        <v>3585.15</v>
      </c>
      <c r="I3173">
        <v>4866.72</v>
      </c>
      <c r="J3173" t="s">
        <v>17</v>
      </c>
      <c r="K3173">
        <v>0.06</v>
      </c>
      <c r="L3173" t="s">
        <v>18</v>
      </c>
      <c r="M3173" t="s">
        <v>19</v>
      </c>
    </row>
    <row r="3174" spans="1:13" x14ac:dyDescent="0.35">
      <c r="A3174">
        <v>1008</v>
      </c>
      <c r="B3174" s="1">
        <v>45649</v>
      </c>
      <c r="C3174" t="s">
        <v>29</v>
      </c>
      <c r="D3174" t="s">
        <v>23</v>
      </c>
      <c r="E3174">
        <v>58874.57</v>
      </c>
      <c r="F3174">
        <v>20</v>
      </c>
      <c r="G3174" t="s">
        <v>26</v>
      </c>
      <c r="H3174">
        <v>1458.76</v>
      </c>
      <c r="I3174">
        <v>3422.94</v>
      </c>
      <c r="J3174" t="s">
        <v>27</v>
      </c>
      <c r="K3174">
        <v>0.14000000000000001</v>
      </c>
      <c r="L3174" t="s">
        <v>25</v>
      </c>
      <c r="M3174" t="s">
        <v>21</v>
      </c>
    </row>
    <row r="3175" spans="1:13" x14ac:dyDescent="0.35">
      <c r="A3175">
        <v>1019</v>
      </c>
      <c r="B3175" s="1">
        <v>45650</v>
      </c>
      <c r="C3175" t="s">
        <v>32</v>
      </c>
      <c r="D3175" t="s">
        <v>30</v>
      </c>
      <c r="E3175">
        <v>92295.48</v>
      </c>
      <c r="F3175">
        <v>37</v>
      </c>
      <c r="G3175" t="s">
        <v>24</v>
      </c>
      <c r="H3175">
        <v>1124.3900000000001</v>
      </c>
      <c r="I3175">
        <v>2545.38</v>
      </c>
      <c r="J3175" t="s">
        <v>27</v>
      </c>
      <c r="K3175">
        <v>0.02</v>
      </c>
      <c r="L3175" t="s">
        <v>25</v>
      </c>
      <c r="M3175" t="s">
        <v>19</v>
      </c>
    </row>
    <row r="3176" spans="1:13" x14ac:dyDescent="0.35">
      <c r="A3176">
        <v>1067</v>
      </c>
      <c r="B3176" s="1">
        <v>45650</v>
      </c>
      <c r="C3176" t="s">
        <v>14</v>
      </c>
      <c r="D3176" t="s">
        <v>23</v>
      </c>
      <c r="E3176">
        <v>105068.67</v>
      </c>
      <c r="F3176">
        <v>35</v>
      </c>
      <c r="G3176" t="s">
        <v>31</v>
      </c>
      <c r="H3176">
        <v>126.24</v>
      </c>
      <c r="I3176">
        <v>3531.72</v>
      </c>
      <c r="J3176" t="s">
        <v>27</v>
      </c>
      <c r="K3176">
        <v>0.15</v>
      </c>
      <c r="L3176" t="s">
        <v>18</v>
      </c>
      <c r="M3176" t="s">
        <v>19</v>
      </c>
    </row>
    <row r="3177" spans="1:13" x14ac:dyDescent="0.35">
      <c r="A3177">
        <v>1090</v>
      </c>
      <c r="B3177" s="1">
        <v>45651</v>
      </c>
      <c r="C3177" t="s">
        <v>14</v>
      </c>
      <c r="D3177" t="s">
        <v>30</v>
      </c>
      <c r="E3177">
        <v>5370.37</v>
      </c>
      <c r="F3177">
        <v>2</v>
      </c>
      <c r="G3177" t="s">
        <v>31</v>
      </c>
      <c r="H3177">
        <v>1807.59</v>
      </c>
      <c r="I3177">
        <v>2856.58</v>
      </c>
      <c r="J3177" t="s">
        <v>17</v>
      </c>
      <c r="K3177">
        <v>0.06</v>
      </c>
      <c r="L3177" t="s">
        <v>18</v>
      </c>
      <c r="M3177" t="s">
        <v>21</v>
      </c>
    </row>
    <row r="3178" spans="1:13" x14ac:dyDescent="0.35">
      <c r="A3178">
        <v>1093</v>
      </c>
      <c r="B3178" s="1">
        <v>45651</v>
      </c>
      <c r="C3178" t="s">
        <v>32</v>
      </c>
      <c r="D3178" t="s">
        <v>30</v>
      </c>
      <c r="E3178">
        <v>31575.19</v>
      </c>
      <c r="F3178">
        <v>14</v>
      </c>
      <c r="G3178" t="s">
        <v>16</v>
      </c>
      <c r="H3178">
        <v>1942.85</v>
      </c>
      <c r="I3178">
        <v>2592.38</v>
      </c>
      <c r="J3178" t="s">
        <v>17</v>
      </c>
      <c r="K3178">
        <v>0.13</v>
      </c>
      <c r="L3178" t="s">
        <v>28</v>
      </c>
      <c r="M3178" t="s">
        <v>21</v>
      </c>
    </row>
    <row r="3179" spans="1:13" x14ac:dyDescent="0.35">
      <c r="A3179">
        <v>1026</v>
      </c>
      <c r="B3179" s="1">
        <v>45651</v>
      </c>
      <c r="C3179" t="s">
        <v>33</v>
      </c>
      <c r="D3179" t="s">
        <v>30</v>
      </c>
      <c r="E3179">
        <v>46323.27</v>
      </c>
      <c r="F3179">
        <v>29</v>
      </c>
      <c r="G3179" t="s">
        <v>26</v>
      </c>
      <c r="H3179">
        <v>1327.25</v>
      </c>
      <c r="I3179">
        <v>1879.24</v>
      </c>
      <c r="J3179" t="s">
        <v>17</v>
      </c>
      <c r="K3179">
        <v>0.15</v>
      </c>
      <c r="L3179" t="s">
        <v>18</v>
      </c>
      <c r="M3179" t="s">
        <v>21</v>
      </c>
    </row>
    <row r="3180" spans="1:13" x14ac:dyDescent="0.35">
      <c r="A3180">
        <v>1044</v>
      </c>
      <c r="B3180" s="1">
        <v>45652</v>
      </c>
      <c r="C3180" t="s">
        <v>32</v>
      </c>
      <c r="D3180" t="s">
        <v>23</v>
      </c>
      <c r="E3180">
        <v>5323.65</v>
      </c>
      <c r="F3180">
        <v>12</v>
      </c>
      <c r="G3180" t="s">
        <v>31</v>
      </c>
      <c r="H3180">
        <v>299.88</v>
      </c>
      <c r="I3180">
        <v>477.03</v>
      </c>
      <c r="J3180" t="s">
        <v>17</v>
      </c>
      <c r="K3180">
        <v>7.0000000000000007E-2</v>
      </c>
      <c r="L3180" t="s">
        <v>28</v>
      </c>
      <c r="M3180" t="s">
        <v>19</v>
      </c>
    </row>
    <row r="3181" spans="1:13" x14ac:dyDescent="0.35">
      <c r="A3181">
        <v>1084</v>
      </c>
      <c r="B3181" s="1">
        <v>45652</v>
      </c>
      <c r="C3181" t="s">
        <v>22</v>
      </c>
      <c r="D3181" t="s">
        <v>15</v>
      </c>
      <c r="E3181">
        <v>82550.02</v>
      </c>
      <c r="F3181">
        <v>18</v>
      </c>
      <c r="G3181" t="s">
        <v>16</v>
      </c>
      <c r="H3181">
        <v>1258.21</v>
      </c>
      <c r="I3181">
        <v>4777.2</v>
      </c>
      <c r="J3181" t="s">
        <v>17</v>
      </c>
      <c r="K3181">
        <v>0.04</v>
      </c>
      <c r="L3181" t="s">
        <v>25</v>
      </c>
      <c r="M3181" t="s">
        <v>19</v>
      </c>
    </row>
    <row r="3182" spans="1:13" x14ac:dyDescent="0.35">
      <c r="A3182">
        <v>1016</v>
      </c>
      <c r="B3182" s="1">
        <v>45653</v>
      </c>
      <c r="C3182" t="s">
        <v>29</v>
      </c>
      <c r="D3182" t="s">
        <v>20</v>
      </c>
      <c r="E3182">
        <v>515.27</v>
      </c>
      <c r="F3182">
        <v>1</v>
      </c>
      <c r="G3182" t="s">
        <v>31</v>
      </c>
      <c r="H3182">
        <v>91.24</v>
      </c>
      <c r="I3182">
        <v>644.09</v>
      </c>
      <c r="J3182" t="s">
        <v>27</v>
      </c>
      <c r="K3182">
        <v>0.2</v>
      </c>
      <c r="L3182" t="s">
        <v>25</v>
      </c>
      <c r="M3182" t="s">
        <v>19</v>
      </c>
    </row>
    <row r="3183" spans="1:13" x14ac:dyDescent="0.35">
      <c r="A3183">
        <v>1051</v>
      </c>
      <c r="B3183" s="1">
        <v>45653</v>
      </c>
      <c r="C3183" t="s">
        <v>33</v>
      </c>
      <c r="D3183" t="s">
        <v>23</v>
      </c>
      <c r="E3183">
        <v>23351.21</v>
      </c>
      <c r="F3183">
        <v>9</v>
      </c>
      <c r="G3183" t="s">
        <v>26</v>
      </c>
      <c r="H3183">
        <v>1055.07</v>
      </c>
      <c r="I3183">
        <v>3413.92</v>
      </c>
      <c r="J3183" t="s">
        <v>17</v>
      </c>
      <c r="K3183">
        <v>0.24</v>
      </c>
      <c r="L3183" t="s">
        <v>28</v>
      </c>
      <c r="M3183" t="s">
        <v>19</v>
      </c>
    </row>
    <row r="3184" spans="1:13" x14ac:dyDescent="0.35">
      <c r="A3184">
        <v>1041</v>
      </c>
      <c r="B3184" s="1">
        <v>45653</v>
      </c>
      <c r="C3184" t="s">
        <v>22</v>
      </c>
      <c r="D3184" t="s">
        <v>20</v>
      </c>
      <c r="E3184">
        <v>128201.69</v>
      </c>
      <c r="F3184">
        <v>35</v>
      </c>
      <c r="G3184" t="s">
        <v>26</v>
      </c>
      <c r="H3184">
        <v>3234.88</v>
      </c>
      <c r="I3184">
        <v>3855.69</v>
      </c>
      <c r="J3184" t="s">
        <v>17</v>
      </c>
      <c r="K3184">
        <v>0.05</v>
      </c>
      <c r="L3184" t="s">
        <v>18</v>
      </c>
      <c r="M3184" t="s">
        <v>19</v>
      </c>
    </row>
    <row r="3185" spans="1:13" x14ac:dyDescent="0.35">
      <c r="A3185">
        <v>1062</v>
      </c>
      <c r="B3185" s="1">
        <v>45653</v>
      </c>
      <c r="C3185" t="s">
        <v>29</v>
      </c>
      <c r="D3185" t="s">
        <v>20</v>
      </c>
      <c r="E3185">
        <v>61915.32</v>
      </c>
      <c r="F3185">
        <v>29</v>
      </c>
      <c r="G3185" t="s">
        <v>24</v>
      </c>
      <c r="H3185">
        <v>1542.94</v>
      </c>
      <c r="I3185">
        <v>2223.9699999999998</v>
      </c>
      <c r="J3185" t="s">
        <v>27</v>
      </c>
      <c r="K3185">
        <v>0.04</v>
      </c>
      <c r="L3185" t="s">
        <v>18</v>
      </c>
      <c r="M3185" t="s">
        <v>21</v>
      </c>
    </row>
    <row r="3186" spans="1:13" x14ac:dyDescent="0.35">
      <c r="A3186">
        <v>1082</v>
      </c>
      <c r="B3186" s="1">
        <v>45653</v>
      </c>
      <c r="C3186" t="s">
        <v>32</v>
      </c>
      <c r="D3186" t="s">
        <v>30</v>
      </c>
      <c r="E3186">
        <v>112470.15</v>
      </c>
      <c r="F3186">
        <v>49</v>
      </c>
      <c r="G3186" t="s">
        <v>24</v>
      </c>
      <c r="H3186">
        <v>1756.94</v>
      </c>
      <c r="I3186">
        <v>2415.5500000000002</v>
      </c>
      <c r="J3186" t="s">
        <v>27</v>
      </c>
      <c r="K3186">
        <v>0.05</v>
      </c>
      <c r="L3186" t="s">
        <v>18</v>
      </c>
      <c r="M3186" t="s">
        <v>19</v>
      </c>
    </row>
    <row r="3187" spans="1:13" x14ac:dyDescent="0.35">
      <c r="A3187">
        <v>1059</v>
      </c>
      <c r="B3187" s="1">
        <v>45653</v>
      </c>
      <c r="C3187" t="s">
        <v>33</v>
      </c>
      <c r="D3187" t="s">
        <v>20</v>
      </c>
      <c r="E3187">
        <v>49599.01</v>
      </c>
      <c r="F3187">
        <v>17</v>
      </c>
      <c r="G3187" t="s">
        <v>24</v>
      </c>
      <c r="H3187">
        <v>1047</v>
      </c>
      <c r="I3187">
        <v>4109.28</v>
      </c>
      <c r="J3187" t="s">
        <v>17</v>
      </c>
      <c r="K3187">
        <v>0.28999999999999998</v>
      </c>
      <c r="L3187" t="s">
        <v>28</v>
      </c>
      <c r="M3187" t="s">
        <v>21</v>
      </c>
    </row>
    <row r="3188" spans="1:13" x14ac:dyDescent="0.35">
      <c r="A3188">
        <v>1061</v>
      </c>
      <c r="B3188" s="1">
        <v>45653</v>
      </c>
      <c r="C3188" t="s">
        <v>14</v>
      </c>
      <c r="D3188" t="s">
        <v>20</v>
      </c>
      <c r="E3188">
        <v>44700.62</v>
      </c>
      <c r="F3188">
        <v>16</v>
      </c>
      <c r="G3188" t="s">
        <v>26</v>
      </c>
      <c r="H3188">
        <v>104.47</v>
      </c>
      <c r="I3188">
        <v>2940.83</v>
      </c>
      <c r="J3188" t="s">
        <v>27</v>
      </c>
      <c r="K3188">
        <v>0.05</v>
      </c>
      <c r="L3188" t="s">
        <v>28</v>
      </c>
      <c r="M3188" t="s">
        <v>19</v>
      </c>
    </row>
    <row r="3189" spans="1:13" x14ac:dyDescent="0.35">
      <c r="A3189">
        <v>1066</v>
      </c>
      <c r="B3189" s="1">
        <v>45654</v>
      </c>
      <c r="C3189" t="s">
        <v>22</v>
      </c>
      <c r="D3189" t="s">
        <v>20</v>
      </c>
      <c r="E3189">
        <v>17245.95</v>
      </c>
      <c r="F3189">
        <v>37</v>
      </c>
      <c r="G3189" t="s">
        <v>16</v>
      </c>
      <c r="H3189">
        <v>387.65</v>
      </c>
      <c r="I3189">
        <v>501.19</v>
      </c>
      <c r="J3189" t="s">
        <v>17</v>
      </c>
      <c r="K3189">
        <v>7.0000000000000007E-2</v>
      </c>
      <c r="L3189" t="s">
        <v>18</v>
      </c>
      <c r="M3189" t="s">
        <v>21</v>
      </c>
    </row>
    <row r="3190" spans="1:13" x14ac:dyDescent="0.35">
      <c r="A3190">
        <v>1061</v>
      </c>
      <c r="B3190" s="1">
        <v>45654</v>
      </c>
      <c r="C3190" t="s">
        <v>14</v>
      </c>
      <c r="D3190" t="s">
        <v>15</v>
      </c>
      <c r="E3190">
        <v>67712.91</v>
      </c>
      <c r="F3190">
        <v>38</v>
      </c>
      <c r="G3190" t="s">
        <v>16</v>
      </c>
      <c r="H3190">
        <v>990.58</v>
      </c>
      <c r="I3190">
        <v>2146.89</v>
      </c>
      <c r="J3190" t="s">
        <v>27</v>
      </c>
      <c r="K3190">
        <v>0.17</v>
      </c>
      <c r="L3190" t="s">
        <v>28</v>
      </c>
      <c r="M3190" t="s">
        <v>19</v>
      </c>
    </row>
    <row r="3191" spans="1:13" x14ac:dyDescent="0.35">
      <c r="A3191">
        <v>1064</v>
      </c>
      <c r="B3191" s="1">
        <v>45654</v>
      </c>
      <c r="C3191" t="s">
        <v>32</v>
      </c>
      <c r="D3191" t="s">
        <v>30</v>
      </c>
      <c r="E3191">
        <v>146192.29</v>
      </c>
      <c r="F3191">
        <v>41</v>
      </c>
      <c r="G3191" t="s">
        <v>24</v>
      </c>
      <c r="H3191">
        <v>2574.5</v>
      </c>
      <c r="I3191">
        <v>4244.84</v>
      </c>
      <c r="J3191" t="s">
        <v>17</v>
      </c>
      <c r="K3191">
        <v>0.16</v>
      </c>
      <c r="L3191" t="s">
        <v>25</v>
      </c>
      <c r="M3191" t="s">
        <v>21</v>
      </c>
    </row>
    <row r="3192" spans="1:13" x14ac:dyDescent="0.35">
      <c r="A3192">
        <v>1082</v>
      </c>
      <c r="B3192" s="1">
        <v>45654</v>
      </c>
      <c r="C3192" t="s">
        <v>22</v>
      </c>
      <c r="D3192" t="s">
        <v>30</v>
      </c>
      <c r="E3192">
        <v>85753.15</v>
      </c>
      <c r="F3192">
        <v>24</v>
      </c>
      <c r="G3192" t="s">
        <v>31</v>
      </c>
      <c r="H3192">
        <v>1481.93</v>
      </c>
      <c r="I3192">
        <v>4466.3100000000004</v>
      </c>
      <c r="J3192" t="s">
        <v>27</v>
      </c>
      <c r="K3192">
        <v>0.2</v>
      </c>
      <c r="L3192" t="s">
        <v>18</v>
      </c>
      <c r="M3192" t="s">
        <v>19</v>
      </c>
    </row>
    <row r="3193" spans="1:13" x14ac:dyDescent="0.35">
      <c r="A3193">
        <v>1053</v>
      </c>
      <c r="B3193" s="1">
        <v>45655</v>
      </c>
      <c r="C3193" t="s">
        <v>33</v>
      </c>
      <c r="D3193" t="s">
        <v>23</v>
      </c>
      <c r="E3193">
        <v>60151.26</v>
      </c>
      <c r="F3193">
        <v>36</v>
      </c>
      <c r="G3193" t="s">
        <v>16</v>
      </c>
      <c r="H3193">
        <v>1636.99</v>
      </c>
      <c r="I3193">
        <v>1677.99</v>
      </c>
      <c r="J3193" t="s">
        <v>27</v>
      </c>
      <c r="K3193">
        <v>0</v>
      </c>
      <c r="L3193" t="s">
        <v>28</v>
      </c>
      <c r="M3193" t="s">
        <v>21</v>
      </c>
    </row>
    <row r="3194" spans="1:13" x14ac:dyDescent="0.35">
      <c r="A3194">
        <v>1010</v>
      </c>
      <c r="B3194" s="1">
        <v>45655</v>
      </c>
      <c r="C3194" t="s">
        <v>32</v>
      </c>
      <c r="D3194" t="s">
        <v>20</v>
      </c>
      <c r="E3194">
        <v>238311.26</v>
      </c>
      <c r="F3194">
        <v>49</v>
      </c>
      <c r="G3194" t="s">
        <v>16</v>
      </c>
      <c r="H3194">
        <v>4743.46</v>
      </c>
      <c r="I3194">
        <v>4867.22</v>
      </c>
      <c r="J3194" t="s">
        <v>17</v>
      </c>
      <c r="K3194">
        <v>0</v>
      </c>
      <c r="L3194" t="s">
        <v>25</v>
      </c>
      <c r="M3194" t="s">
        <v>21</v>
      </c>
    </row>
    <row r="3195" spans="1:13" x14ac:dyDescent="0.35">
      <c r="A3195">
        <v>1066</v>
      </c>
      <c r="B3195" s="1">
        <v>45655</v>
      </c>
      <c r="C3195" t="s">
        <v>32</v>
      </c>
      <c r="D3195" t="s">
        <v>23</v>
      </c>
      <c r="E3195">
        <v>77209.289999999994</v>
      </c>
      <c r="F3195">
        <v>21</v>
      </c>
      <c r="G3195" t="s">
        <v>16</v>
      </c>
      <c r="H3195">
        <v>3374.87</v>
      </c>
      <c r="I3195">
        <v>3870.14</v>
      </c>
      <c r="J3195" t="s">
        <v>17</v>
      </c>
      <c r="K3195">
        <v>0.05</v>
      </c>
      <c r="L3195" t="s">
        <v>28</v>
      </c>
      <c r="M3195" t="s">
        <v>21</v>
      </c>
    </row>
    <row r="3196" spans="1:13" x14ac:dyDescent="0.35">
      <c r="A3196">
        <v>1096</v>
      </c>
      <c r="B3196" s="1">
        <v>45655</v>
      </c>
      <c r="C3196" t="s">
        <v>22</v>
      </c>
      <c r="D3196" t="s">
        <v>20</v>
      </c>
      <c r="E3196">
        <v>43639.38</v>
      </c>
      <c r="F3196">
        <v>17</v>
      </c>
      <c r="G3196" t="s">
        <v>24</v>
      </c>
      <c r="H3196">
        <v>690.87</v>
      </c>
      <c r="I3196">
        <v>2984.91</v>
      </c>
      <c r="J3196" t="s">
        <v>27</v>
      </c>
      <c r="K3196">
        <v>0.14000000000000001</v>
      </c>
      <c r="L3196" t="s">
        <v>28</v>
      </c>
      <c r="M3196" t="s">
        <v>21</v>
      </c>
    </row>
    <row r="3197" spans="1:13" x14ac:dyDescent="0.35">
      <c r="A3197">
        <v>1082</v>
      </c>
      <c r="B3197" s="1">
        <v>45655</v>
      </c>
      <c r="C3197" t="s">
        <v>14</v>
      </c>
      <c r="D3197" t="s">
        <v>30</v>
      </c>
      <c r="E3197">
        <v>246070.33</v>
      </c>
      <c r="F3197">
        <v>49</v>
      </c>
      <c r="G3197" t="s">
        <v>31</v>
      </c>
      <c r="H3197">
        <v>2301.23</v>
      </c>
      <c r="I3197">
        <v>5124.33</v>
      </c>
      <c r="J3197" t="s">
        <v>17</v>
      </c>
      <c r="K3197">
        <v>0.02</v>
      </c>
      <c r="L3197" t="s">
        <v>25</v>
      </c>
      <c r="M3197" t="s">
        <v>19</v>
      </c>
    </row>
    <row r="3198" spans="1:13" x14ac:dyDescent="0.35">
      <c r="A3198">
        <v>1040</v>
      </c>
      <c r="B3198" s="1">
        <v>45656</v>
      </c>
      <c r="C3198" t="s">
        <v>32</v>
      </c>
      <c r="D3198" t="s">
        <v>15</v>
      </c>
      <c r="E3198">
        <v>16939.5</v>
      </c>
      <c r="F3198">
        <v>11</v>
      </c>
      <c r="G3198" t="s">
        <v>31</v>
      </c>
      <c r="H3198">
        <v>870.72</v>
      </c>
      <c r="I3198">
        <v>2168.9499999999998</v>
      </c>
      <c r="J3198" t="s">
        <v>17</v>
      </c>
      <c r="K3198">
        <v>0.28999999999999998</v>
      </c>
      <c r="L3198" t="s">
        <v>28</v>
      </c>
      <c r="M3198" t="s">
        <v>19</v>
      </c>
    </row>
    <row r="3199" spans="1:13" x14ac:dyDescent="0.35">
      <c r="A3199">
        <v>1078</v>
      </c>
      <c r="B3199" s="1">
        <v>45656</v>
      </c>
      <c r="C3199" t="s">
        <v>14</v>
      </c>
      <c r="D3199" t="s">
        <v>23</v>
      </c>
      <c r="E3199">
        <v>152113.81</v>
      </c>
      <c r="F3199">
        <v>44</v>
      </c>
      <c r="G3199" t="s">
        <v>16</v>
      </c>
      <c r="H3199">
        <v>1806.61</v>
      </c>
      <c r="I3199">
        <v>4869.2</v>
      </c>
      <c r="J3199" t="s">
        <v>27</v>
      </c>
      <c r="K3199">
        <v>0.28999999999999998</v>
      </c>
      <c r="L3199" t="s">
        <v>28</v>
      </c>
      <c r="M3199" t="s">
        <v>19</v>
      </c>
    </row>
    <row r="3200" spans="1:13" x14ac:dyDescent="0.35">
      <c r="A3200">
        <v>1083</v>
      </c>
      <c r="B3200" s="1">
        <v>45657</v>
      </c>
      <c r="C3200" t="s">
        <v>29</v>
      </c>
      <c r="D3200" t="s">
        <v>23</v>
      </c>
      <c r="E3200">
        <v>22771.95</v>
      </c>
      <c r="F3200">
        <v>9</v>
      </c>
      <c r="G3200" t="s">
        <v>31</v>
      </c>
      <c r="H3200">
        <v>1450.3</v>
      </c>
      <c r="I3200">
        <v>2842.94</v>
      </c>
      <c r="J3200" t="s">
        <v>17</v>
      </c>
      <c r="K3200">
        <v>0.11</v>
      </c>
      <c r="L3200" t="s">
        <v>18</v>
      </c>
      <c r="M3200" t="s">
        <v>21</v>
      </c>
    </row>
    <row r="3201" spans="1:13" x14ac:dyDescent="0.35">
      <c r="A3201">
        <v>1057</v>
      </c>
      <c r="B3201" s="1">
        <v>45657</v>
      </c>
      <c r="C3201" t="s">
        <v>29</v>
      </c>
      <c r="D3201" t="s">
        <v>15</v>
      </c>
      <c r="E3201">
        <v>57812.84</v>
      </c>
      <c r="F3201">
        <v>29</v>
      </c>
      <c r="G3201" t="s">
        <v>31</v>
      </c>
      <c r="H3201">
        <v>1154.21</v>
      </c>
      <c r="I3201">
        <v>2190.71</v>
      </c>
      <c r="J3201" t="s">
        <v>27</v>
      </c>
      <c r="K3201">
        <v>0.09</v>
      </c>
      <c r="L3201" t="s">
        <v>28</v>
      </c>
      <c r="M3201" t="s">
        <v>21</v>
      </c>
    </row>
    <row r="3202" spans="1:13" x14ac:dyDescent="0.35">
      <c r="A3202">
        <v>1071</v>
      </c>
      <c r="B3202" s="1">
        <v>45657</v>
      </c>
      <c r="C3202" t="s">
        <v>14</v>
      </c>
      <c r="D3202" t="s">
        <v>30</v>
      </c>
      <c r="E3202">
        <v>142402.99</v>
      </c>
      <c r="F3202">
        <v>38</v>
      </c>
      <c r="G3202" t="s">
        <v>24</v>
      </c>
      <c r="H3202">
        <v>2894.96</v>
      </c>
      <c r="I3202">
        <v>3785.3</v>
      </c>
      <c r="J3202" t="s">
        <v>27</v>
      </c>
      <c r="K3202">
        <v>0.01</v>
      </c>
      <c r="L3202" t="s">
        <v>18</v>
      </c>
      <c r="M3202" t="s">
        <v>19</v>
      </c>
    </row>
    <row r="3203" spans="1:13" x14ac:dyDescent="0.35">
      <c r="A3203">
        <v>1088</v>
      </c>
      <c r="B3203" s="1">
        <v>45657</v>
      </c>
      <c r="C3203" t="s">
        <v>33</v>
      </c>
      <c r="D3203" t="s">
        <v>30</v>
      </c>
      <c r="E3203">
        <v>129827.08</v>
      </c>
      <c r="F3203">
        <v>32</v>
      </c>
      <c r="G3203" t="s">
        <v>26</v>
      </c>
      <c r="H3203">
        <v>3034.43</v>
      </c>
      <c r="I3203">
        <v>4316.0600000000004</v>
      </c>
      <c r="J3203" t="s">
        <v>17</v>
      </c>
      <c r="K3203">
        <v>0.06</v>
      </c>
      <c r="L3203" t="s">
        <v>28</v>
      </c>
      <c r="M3203" t="s">
        <v>21</v>
      </c>
    </row>
    <row r="3204" spans="1:13" x14ac:dyDescent="0.35">
      <c r="A3204">
        <v>1089</v>
      </c>
      <c r="B3204" s="1">
        <v>45657</v>
      </c>
      <c r="C3204" t="s">
        <v>14</v>
      </c>
      <c r="D3204" t="s">
        <v>15</v>
      </c>
      <c r="E3204">
        <v>86603.74</v>
      </c>
      <c r="F3204">
        <v>31</v>
      </c>
      <c r="G3204" t="s">
        <v>26</v>
      </c>
      <c r="H3204">
        <v>1172.4000000000001</v>
      </c>
      <c r="I3204">
        <v>3536.29</v>
      </c>
      <c r="J3204" t="s">
        <v>27</v>
      </c>
      <c r="K3204">
        <v>0.21</v>
      </c>
      <c r="L3204" t="s">
        <v>25</v>
      </c>
      <c r="M3204"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83272-A166-4E79-BB9C-3F5E67377140}">
  <dimension ref="A3:G9"/>
  <sheetViews>
    <sheetView workbookViewId="0">
      <selection activeCell="G29" sqref="G29"/>
    </sheetView>
  </sheetViews>
  <sheetFormatPr defaultRowHeight="14.5" x14ac:dyDescent="0.35"/>
  <cols>
    <col min="1" max="1" width="19.6328125" bestFit="1" customWidth="1"/>
    <col min="2" max="2" width="16.1796875" bestFit="1" customWidth="1"/>
    <col min="3" max="3" width="5.81640625" bestFit="1" customWidth="1"/>
    <col min="4" max="4" width="7.1796875" bestFit="1" customWidth="1"/>
    <col min="5" max="6" width="5.81640625" bestFit="1" customWidth="1"/>
    <col min="7" max="7" width="10.7265625" bestFit="1" customWidth="1"/>
    <col min="8" max="8" width="19.6328125" bestFit="1" customWidth="1"/>
    <col min="9" max="9" width="11.1796875" bestFit="1" customWidth="1"/>
    <col min="10" max="10" width="19.6328125" bestFit="1" customWidth="1"/>
    <col min="11" max="11" width="11.1796875" bestFit="1" customWidth="1"/>
    <col min="12" max="12" width="24.54296875" bestFit="1" customWidth="1"/>
    <col min="13" max="13" width="15.90625" bestFit="1" customWidth="1"/>
    <col min="14" max="14" width="6" bestFit="1" customWidth="1"/>
    <col min="15" max="15" width="5.453125" bestFit="1" customWidth="1"/>
    <col min="16" max="16" width="11.81640625" bestFit="1" customWidth="1"/>
    <col min="17" max="17" width="7.36328125" bestFit="1" customWidth="1"/>
    <col min="18" max="18" width="5.81640625" bestFit="1" customWidth="1"/>
    <col min="19" max="19" width="6" bestFit="1" customWidth="1"/>
    <col min="20" max="20" width="5.453125" bestFit="1" customWidth="1"/>
    <col min="21" max="21" width="10.453125" bestFit="1" customWidth="1"/>
    <col min="22" max="22" width="5.6328125" bestFit="1" customWidth="1"/>
    <col min="23" max="23" width="5.81640625" bestFit="1" customWidth="1"/>
    <col min="24" max="24" width="6" bestFit="1" customWidth="1"/>
    <col min="25" max="25" width="5.453125" bestFit="1" customWidth="1"/>
    <col min="27" max="27" width="10.7265625" bestFit="1" customWidth="1"/>
  </cols>
  <sheetData>
    <row r="3" spans="1:7" x14ac:dyDescent="0.35">
      <c r="A3" s="2" t="s">
        <v>85</v>
      </c>
      <c r="B3" s="2" t="s">
        <v>84</v>
      </c>
    </row>
    <row r="4" spans="1:7" x14ac:dyDescent="0.35">
      <c r="A4" s="2" t="s">
        <v>34</v>
      </c>
      <c r="B4" t="s">
        <v>33</v>
      </c>
      <c r="C4" t="s">
        <v>14</v>
      </c>
      <c r="D4" t="s">
        <v>29</v>
      </c>
      <c r="E4" t="s">
        <v>22</v>
      </c>
      <c r="F4" t="s">
        <v>32</v>
      </c>
      <c r="G4" t="s">
        <v>35</v>
      </c>
    </row>
    <row r="5" spans="1:7" x14ac:dyDescent="0.35">
      <c r="A5" s="3" t="s">
        <v>30</v>
      </c>
      <c r="B5" s="40">
        <v>4259</v>
      </c>
      <c r="C5" s="40">
        <v>3853</v>
      </c>
      <c r="D5" s="40">
        <v>4004</v>
      </c>
      <c r="E5" s="40">
        <v>3981</v>
      </c>
      <c r="F5" s="40">
        <v>3959</v>
      </c>
      <c r="G5" s="40">
        <v>20056</v>
      </c>
    </row>
    <row r="6" spans="1:7" x14ac:dyDescent="0.35">
      <c r="A6" s="3" t="s">
        <v>15</v>
      </c>
      <c r="B6" s="40">
        <v>4879</v>
      </c>
      <c r="C6" s="40">
        <v>4002</v>
      </c>
      <c r="D6" s="40">
        <v>3996</v>
      </c>
      <c r="E6" s="40">
        <v>4556</v>
      </c>
      <c r="F6" s="40">
        <v>5215</v>
      </c>
      <c r="G6" s="40">
        <v>22648</v>
      </c>
    </row>
    <row r="7" spans="1:7" x14ac:dyDescent="0.35">
      <c r="A7" s="3" t="s">
        <v>23</v>
      </c>
      <c r="B7" s="40">
        <v>3839</v>
      </c>
      <c r="C7" s="40">
        <v>3840</v>
      </c>
      <c r="D7" s="40">
        <v>3332</v>
      </c>
      <c r="E7" s="40">
        <v>3932</v>
      </c>
      <c r="F7" s="40">
        <v>3693</v>
      </c>
      <c r="G7" s="40">
        <v>18636</v>
      </c>
    </row>
    <row r="8" spans="1:7" x14ac:dyDescent="0.35">
      <c r="A8" s="3" t="s">
        <v>20</v>
      </c>
      <c r="B8" s="40">
        <v>4021</v>
      </c>
      <c r="C8" s="40">
        <v>3848</v>
      </c>
      <c r="D8" s="40">
        <v>3552</v>
      </c>
      <c r="E8" s="40">
        <v>4164</v>
      </c>
      <c r="F8" s="40">
        <v>4235</v>
      </c>
      <c r="G8" s="40">
        <v>19820</v>
      </c>
    </row>
    <row r="9" spans="1:7" x14ac:dyDescent="0.35">
      <c r="A9" s="3" t="s">
        <v>35</v>
      </c>
      <c r="B9" s="40">
        <v>16998</v>
      </c>
      <c r="C9" s="40">
        <v>15543</v>
      </c>
      <c r="D9" s="40">
        <v>14884</v>
      </c>
      <c r="E9" s="40">
        <v>16633</v>
      </c>
      <c r="F9" s="40">
        <v>17102</v>
      </c>
      <c r="G9" s="40">
        <v>81160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26E84-8079-42F7-A4E7-228394DB227F}">
  <dimension ref="A1:T3204"/>
  <sheetViews>
    <sheetView zoomScale="112" zoomScaleNormal="112" workbookViewId="0">
      <selection activeCell="S1" sqref="A1:S1"/>
    </sheetView>
  </sheetViews>
  <sheetFormatPr defaultRowHeight="14.5" x14ac:dyDescent="0.35"/>
  <cols>
    <col min="2" max="2" width="12.6328125" bestFit="1" customWidth="1"/>
    <col min="3" max="3" width="16.36328125" customWidth="1"/>
    <col min="4" max="4" width="11.81640625" bestFit="1" customWidth="1"/>
    <col min="5" max="6" width="11.81640625" customWidth="1"/>
    <col min="7" max="7" width="12.08984375" bestFit="1" customWidth="1"/>
    <col min="8" max="8" width="9.26953125" style="16" bestFit="1" customWidth="1"/>
    <col min="9" max="9" width="15.54296875" bestFit="1" customWidth="1"/>
    <col min="10" max="10" width="15.36328125" bestFit="1" customWidth="1"/>
    <col min="11" max="11" width="18.81640625" style="16" bestFit="1" customWidth="1"/>
    <col min="12" max="12" width="11.7265625" bestFit="1" customWidth="1"/>
    <col min="13" max="13" width="12" bestFit="1" customWidth="1"/>
    <col min="14" max="14" width="15.453125" bestFit="1" customWidth="1"/>
    <col min="15" max="15" width="16.90625" bestFit="1" customWidth="1"/>
    <col min="16" max="16" width="11" bestFit="1" customWidth="1"/>
    <col min="17" max="17" width="16.08984375" style="16" bestFit="1" customWidth="1"/>
    <col min="18" max="18" width="23.26953125" style="16" bestFit="1" customWidth="1"/>
    <col min="19" max="19" width="22.7265625" style="16" bestFit="1" customWidth="1"/>
    <col min="20" max="20" width="22.7265625" style="16" customWidth="1"/>
    <col min="27" max="27" width="15.6328125" bestFit="1" customWidth="1"/>
    <col min="29" max="29" width="20.453125" bestFit="1" customWidth="1"/>
    <col min="30" max="30" width="10.453125" bestFit="1" customWidth="1"/>
  </cols>
  <sheetData>
    <row r="1" spans="1:20" x14ac:dyDescent="0.35">
      <c r="A1" s="11" t="s">
        <v>521</v>
      </c>
      <c r="B1" s="10" t="s">
        <v>0</v>
      </c>
      <c r="C1" s="11" t="s">
        <v>36</v>
      </c>
      <c r="D1" s="12" t="s">
        <v>1</v>
      </c>
      <c r="E1" s="11" t="s">
        <v>44</v>
      </c>
      <c r="F1" s="11" t="s">
        <v>43</v>
      </c>
      <c r="G1" s="12" t="s">
        <v>2</v>
      </c>
      <c r="H1" s="30" t="s">
        <v>3</v>
      </c>
      <c r="I1" s="12" t="s">
        <v>4</v>
      </c>
      <c r="J1" s="12" t="s">
        <v>5</v>
      </c>
      <c r="K1" s="30" t="s">
        <v>6</v>
      </c>
      <c r="L1" s="12" t="s">
        <v>7</v>
      </c>
      <c r="M1" s="12" t="s">
        <v>8</v>
      </c>
      <c r="N1" s="11" t="s">
        <v>72</v>
      </c>
      <c r="O1" s="12" t="s">
        <v>9</v>
      </c>
      <c r="P1" s="12" t="s">
        <v>10</v>
      </c>
      <c r="Q1" s="30" t="s">
        <v>11</v>
      </c>
      <c r="R1" s="30" t="s">
        <v>12</v>
      </c>
      <c r="S1" s="36" t="s">
        <v>13</v>
      </c>
      <c r="T1" s="60" t="s">
        <v>522</v>
      </c>
    </row>
    <row r="2" spans="1:20" x14ac:dyDescent="0.35">
      <c r="A2" s="7">
        <v>1</v>
      </c>
      <c r="B2" s="9">
        <v>1042</v>
      </c>
      <c r="C2" s="7" t="str">
        <f>IFERROR(_xlfn.TEXTJOIN("-", TRUE, _xlfn.XLOOKUP(K2, product_category_id_lookup!$A$2:$A$5, product_category_id_lookup!$B$2:$B$5), B2), "Unknown Category")</f>
        <v>fnt-1042</v>
      </c>
      <c r="D2" s="8">
        <v>44562</v>
      </c>
      <c r="E2" s="7">
        <f t="shared" ref="E2:E65" si="0">YEAR(D2)</f>
        <v>2022</v>
      </c>
      <c r="F2" s="28" t="str">
        <f t="shared" ref="F2:F65" si="1">LEFT(TEXT(D2,"mmmm"),3)</f>
        <v>Jan</v>
      </c>
      <c r="G2" s="17" t="s">
        <v>32</v>
      </c>
      <c r="H2" s="17" t="s">
        <v>23</v>
      </c>
      <c r="I2" s="24">
        <v>166149.79919999998</v>
      </c>
      <c r="J2" s="32">
        <v>34</v>
      </c>
      <c r="K2" s="17" t="s">
        <v>16</v>
      </c>
      <c r="L2" s="24">
        <v>4831.3500000000004</v>
      </c>
      <c r="M2" s="24">
        <v>4936.12</v>
      </c>
      <c r="N2" s="34">
        <f>((sales_data_1[[#This Row],[Unit_Price]]*(1-sales_data_1[[#This Row],[Discount]]))-sales_data_1[[#This Row],[Unit_Cost]])*sales_data_1[[#This Row],[Quantity_Sold]]</f>
        <v>1883.8991999999744</v>
      </c>
      <c r="O2" s="17" t="s">
        <v>17</v>
      </c>
      <c r="P2" s="26">
        <v>0.01</v>
      </c>
      <c r="Q2" s="17" t="s">
        <v>28</v>
      </c>
      <c r="R2" s="17" t="s">
        <v>21</v>
      </c>
      <c r="S2" s="49" t="str">
        <f t="shared" ref="S2:S65" si="2">_xlfn.CONCAT(G2,"-",H2)</f>
        <v>Eve-South</v>
      </c>
      <c r="T2" s="59" t="str">
        <f>IF(ROUND(sales_data_1[[#This Row],[Profit_Margin]],2)=ROUND((sales_data_1[[#This Row],[Unit_Price]]*(1-sales_data_1[[#This Row],[Discount]]) - sales_data_1[[#This Row],[Unit_Cost]])*sales_data_1[[#This Row],[Quantity_Sold]],2), "PASS", "CHECK")</f>
        <v>PASS</v>
      </c>
    </row>
    <row r="3" spans="1:20" x14ac:dyDescent="0.35">
      <c r="A3" s="7">
        <v>2</v>
      </c>
      <c r="B3" s="9">
        <v>1092</v>
      </c>
      <c r="C3" s="7" t="str">
        <f>IFERROR(_xlfn.TEXTJOIN("-", TRUE, _xlfn.XLOOKUP(K3, product_category_id_lookup!$A$2:$A$5, product_category_id_lookup!$B$2:$B$5), B3), "Unknown Category")</f>
        <v>ctg-1092</v>
      </c>
      <c r="D3" s="8">
        <v>44562</v>
      </c>
      <c r="E3" s="7">
        <f t="shared" si="0"/>
        <v>2022</v>
      </c>
      <c r="F3" s="28" t="str">
        <f t="shared" si="1"/>
        <v>Jan</v>
      </c>
      <c r="G3" s="17" t="s">
        <v>29</v>
      </c>
      <c r="H3" s="17" t="s">
        <v>30</v>
      </c>
      <c r="I3" s="24">
        <v>4685.2892999999995</v>
      </c>
      <c r="J3" s="32">
        <v>3</v>
      </c>
      <c r="K3" s="17" t="s">
        <v>26</v>
      </c>
      <c r="L3" s="24">
        <v>178.88</v>
      </c>
      <c r="M3" s="24">
        <v>1754.79</v>
      </c>
      <c r="N3" s="34">
        <f>((sales_data_1[[#This Row],[Unit_Price]]*(1-sales_data_1[[#This Row],[Discount]]))-sales_data_1[[#This Row],[Unit_Cost]])*sales_data_1[[#This Row],[Quantity_Sold]]</f>
        <v>4148.6493</v>
      </c>
      <c r="O3" s="17" t="s">
        <v>27</v>
      </c>
      <c r="P3" s="26">
        <v>0.11</v>
      </c>
      <c r="Q3" s="17" t="s">
        <v>25</v>
      </c>
      <c r="R3" s="17" t="s">
        <v>21</v>
      </c>
      <c r="S3" s="49" t="str">
        <f t="shared" si="2"/>
        <v>Charlie-East</v>
      </c>
      <c r="T3" s="59" t="str">
        <f>IF(ROUND(sales_data_1[[#This Row],[Profit_Margin]],2)=ROUND((sales_data_1[[#This Row],[Unit_Price]]*(1-sales_data_1[[#This Row],[Discount]]) - sales_data_1[[#This Row],[Unit_Cost]])*sales_data_1[[#This Row],[Quantity_Sold]],2), "PASS", "CHECK")</f>
        <v>PASS</v>
      </c>
    </row>
    <row r="4" spans="1:20" x14ac:dyDescent="0.35">
      <c r="A4" s="7">
        <v>3</v>
      </c>
      <c r="B4" s="9">
        <v>1063</v>
      </c>
      <c r="C4" s="7" t="str">
        <f>IFERROR(_xlfn.TEXTJOIN("-", TRUE, _xlfn.XLOOKUP(K4, product_category_id_lookup!$A$2:$A$5, product_category_id_lookup!$B$2:$B$5), B4), "Unknown Category")</f>
        <v>etc-1063</v>
      </c>
      <c r="D4" s="8">
        <v>44562</v>
      </c>
      <c r="E4" s="7">
        <f t="shared" si="0"/>
        <v>2022</v>
      </c>
      <c r="F4" s="28" t="str">
        <f t="shared" si="1"/>
        <v>Jan</v>
      </c>
      <c r="G4" s="17" t="s">
        <v>32</v>
      </c>
      <c r="H4" s="17" t="s">
        <v>20</v>
      </c>
      <c r="I4" s="24">
        <v>11096.1978</v>
      </c>
      <c r="J4" s="32">
        <v>6</v>
      </c>
      <c r="K4" s="17" t="s">
        <v>31</v>
      </c>
      <c r="L4" s="24">
        <v>380.57</v>
      </c>
      <c r="M4" s="24">
        <v>2340.9699999999998</v>
      </c>
      <c r="N4" s="34">
        <f>((sales_data_1[[#This Row],[Unit_Price]]*(1-sales_data_1[[#This Row],[Discount]]))-sales_data_1[[#This Row],[Unit_Cost]])*sales_data_1[[#This Row],[Quantity_Sold]]</f>
        <v>8812.7777999999998</v>
      </c>
      <c r="O4" s="17" t="s">
        <v>27</v>
      </c>
      <c r="P4" s="26">
        <v>0.21</v>
      </c>
      <c r="Q4" s="17" t="s">
        <v>18</v>
      </c>
      <c r="R4" s="17" t="s">
        <v>21</v>
      </c>
      <c r="S4" s="49" t="str">
        <f t="shared" si="2"/>
        <v>Eve-West</v>
      </c>
      <c r="T4" s="59" t="str">
        <f>IF(ROUND(sales_data_1[[#This Row],[Profit_Margin]],2)=ROUND((sales_data_1[[#This Row],[Unit_Price]]*(1-sales_data_1[[#This Row],[Discount]]) - sales_data_1[[#This Row],[Unit_Cost]])*sales_data_1[[#This Row],[Quantity_Sold]],2), "PASS", "CHECK")</f>
        <v>PASS</v>
      </c>
    </row>
    <row r="5" spans="1:20" x14ac:dyDescent="0.35">
      <c r="A5" s="7">
        <v>4</v>
      </c>
      <c r="B5" s="9">
        <v>1027</v>
      </c>
      <c r="C5" s="7" t="str">
        <f>IFERROR(_xlfn.TEXTJOIN("-", TRUE, _xlfn.XLOOKUP(K5, product_category_id_lookup!$A$2:$A$5, product_category_id_lookup!$B$2:$B$5), B5), "Unknown Category")</f>
        <v>fd-1027</v>
      </c>
      <c r="D5" s="8">
        <v>44562</v>
      </c>
      <c r="E5" s="7">
        <f t="shared" si="0"/>
        <v>2022</v>
      </c>
      <c r="F5" s="28" t="str">
        <f t="shared" si="1"/>
        <v>Jan</v>
      </c>
      <c r="G5" s="17" t="s">
        <v>14</v>
      </c>
      <c r="H5" s="17" t="s">
        <v>15</v>
      </c>
      <c r="I5" s="24">
        <v>10712.79</v>
      </c>
      <c r="J5" s="32">
        <v>5</v>
      </c>
      <c r="K5" s="17" t="s">
        <v>24</v>
      </c>
      <c r="L5" s="24">
        <v>263.35000000000002</v>
      </c>
      <c r="M5" s="24">
        <v>2380.62</v>
      </c>
      <c r="N5" s="34">
        <f>((sales_data_1[[#This Row],[Unit_Price]]*(1-sales_data_1[[#This Row],[Discount]]))-sales_data_1[[#This Row],[Unit_Cost]])*sales_data_1[[#This Row],[Quantity_Sold]]</f>
        <v>9396.0400000000009</v>
      </c>
      <c r="O5" s="17" t="s">
        <v>17</v>
      </c>
      <c r="P5" s="26">
        <v>0.1</v>
      </c>
      <c r="Q5" s="17" t="s">
        <v>25</v>
      </c>
      <c r="R5" s="17" t="s">
        <v>21</v>
      </c>
      <c r="S5" s="49" t="str">
        <f t="shared" si="2"/>
        <v>Bob-North</v>
      </c>
      <c r="T5" s="59" t="str">
        <f>IF(ROUND(sales_data_1[[#This Row],[Profit_Margin]],2)=ROUND((sales_data_1[[#This Row],[Unit_Price]]*(1-sales_data_1[[#This Row],[Discount]]) - sales_data_1[[#This Row],[Unit_Cost]])*sales_data_1[[#This Row],[Quantity_Sold]],2), "PASS", "CHECK")</f>
        <v>PASS</v>
      </c>
    </row>
    <row r="6" spans="1:20" x14ac:dyDescent="0.35">
      <c r="A6" s="7">
        <v>5</v>
      </c>
      <c r="B6" s="9">
        <v>1053</v>
      </c>
      <c r="C6" s="7" t="str">
        <f>IFERROR(_xlfn.TEXTJOIN("-", TRUE, _xlfn.XLOOKUP(K6, product_category_id_lookup!$A$2:$A$5, product_category_id_lookup!$B$2:$B$5), B6), "Unknown Category")</f>
        <v>etc-1053</v>
      </c>
      <c r="D6" s="8">
        <v>44562</v>
      </c>
      <c r="E6" s="7">
        <f t="shared" si="0"/>
        <v>2022</v>
      </c>
      <c r="F6" s="28" t="str">
        <f t="shared" si="1"/>
        <v>Jan</v>
      </c>
      <c r="G6" s="17" t="s">
        <v>29</v>
      </c>
      <c r="H6" s="17" t="s">
        <v>30</v>
      </c>
      <c r="I6" s="24">
        <v>74506.824000000008</v>
      </c>
      <c r="J6" s="32">
        <v>27</v>
      </c>
      <c r="K6" s="17" t="s">
        <v>31</v>
      </c>
      <c r="L6" s="24">
        <v>1172.99</v>
      </c>
      <c r="M6" s="24">
        <v>3449.39</v>
      </c>
      <c r="N6" s="34">
        <f>((sales_data_1[[#This Row],[Unit_Price]]*(1-sales_data_1[[#This Row],[Discount]]))-sales_data_1[[#This Row],[Unit_Cost]])*sales_data_1[[#This Row],[Quantity_Sold]]</f>
        <v>42836.094000000005</v>
      </c>
      <c r="O6" s="17" t="s">
        <v>17</v>
      </c>
      <c r="P6" s="26">
        <v>0.2</v>
      </c>
      <c r="Q6" s="17" t="s">
        <v>18</v>
      </c>
      <c r="R6" s="17" t="s">
        <v>19</v>
      </c>
      <c r="S6" s="49" t="str">
        <f t="shared" si="2"/>
        <v>Charlie-East</v>
      </c>
      <c r="T6" s="59" t="str">
        <f>IF(ROUND(sales_data_1[[#This Row],[Profit_Margin]],2)=ROUND((sales_data_1[[#This Row],[Unit_Price]]*(1-sales_data_1[[#This Row],[Discount]]) - sales_data_1[[#This Row],[Unit_Cost]])*sales_data_1[[#This Row],[Quantity_Sold]],2), "PASS", "CHECK")</f>
        <v>PASS</v>
      </c>
    </row>
    <row r="7" spans="1:20" x14ac:dyDescent="0.35">
      <c r="A7" s="7">
        <v>6</v>
      </c>
      <c r="B7" s="9">
        <v>1085</v>
      </c>
      <c r="C7" s="7" t="str">
        <f>IFERROR(_xlfn.TEXTJOIN("-", TRUE, _xlfn.XLOOKUP(K7, product_category_id_lookup!$A$2:$A$5, product_category_id_lookup!$B$2:$B$5), B7), "Unknown Category")</f>
        <v>fnt-1085</v>
      </c>
      <c r="D7" s="8">
        <v>44563</v>
      </c>
      <c r="E7" s="7">
        <f t="shared" si="0"/>
        <v>2022</v>
      </c>
      <c r="F7" s="28" t="str">
        <f t="shared" si="1"/>
        <v>Jan</v>
      </c>
      <c r="G7" s="17" t="s">
        <v>33</v>
      </c>
      <c r="H7" s="17" t="s">
        <v>15</v>
      </c>
      <c r="I7" s="24">
        <v>13032.784</v>
      </c>
      <c r="J7" s="32">
        <v>40</v>
      </c>
      <c r="K7" s="17" t="s">
        <v>16</v>
      </c>
      <c r="L7" s="24">
        <v>192.71</v>
      </c>
      <c r="M7" s="24">
        <v>378.86</v>
      </c>
      <c r="N7" s="34">
        <f>((sales_data_1[[#This Row],[Unit_Price]]*(1-sales_data_1[[#This Row],[Discount]]))-sales_data_1[[#This Row],[Unit_Cost]])*sales_data_1[[#This Row],[Quantity_Sold]]</f>
        <v>5324.3839999999991</v>
      </c>
      <c r="O7" s="17" t="s">
        <v>17</v>
      </c>
      <c r="P7" s="26">
        <v>0.14000000000000001</v>
      </c>
      <c r="Q7" s="17" t="s">
        <v>25</v>
      </c>
      <c r="R7" s="17" t="s">
        <v>19</v>
      </c>
      <c r="S7" s="49" t="str">
        <f t="shared" si="2"/>
        <v>Alice-North</v>
      </c>
      <c r="T7" s="59" t="str">
        <f>IF(ROUND(sales_data_1[[#This Row],[Profit_Margin]],2)=ROUND((sales_data_1[[#This Row],[Unit_Price]]*(1-sales_data_1[[#This Row],[Discount]]) - sales_data_1[[#This Row],[Unit_Cost]])*sales_data_1[[#This Row],[Quantity_Sold]],2), "PASS", "CHECK")</f>
        <v>PASS</v>
      </c>
    </row>
    <row r="8" spans="1:20" x14ac:dyDescent="0.35">
      <c r="A8" s="7">
        <v>7</v>
      </c>
      <c r="B8" s="9">
        <v>1038</v>
      </c>
      <c r="C8" s="7" t="str">
        <f>IFERROR(_xlfn.TEXTJOIN("-", TRUE, _xlfn.XLOOKUP(K8, product_category_id_lookup!$A$2:$A$5, product_category_id_lookup!$B$2:$B$5), B8), "Unknown Category")</f>
        <v>fnt-1038</v>
      </c>
      <c r="D8" s="8">
        <v>44563</v>
      </c>
      <c r="E8" s="7">
        <f t="shared" si="0"/>
        <v>2022</v>
      </c>
      <c r="F8" s="28" t="str">
        <f t="shared" si="1"/>
        <v>Jan</v>
      </c>
      <c r="G8" s="17" t="s">
        <v>32</v>
      </c>
      <c r="H8" s="17" t="s">
        <v>15</v>
      </c>
      <c r="I8" s="24">
        <v>25738.445599999999</v>
      </c>
      <c r="J8" s="32">
        <v>7</v>
      </c>
      <c r="K8" s="17" t="s">
        <v>16</v>
      </c>
      <c r="L8" s="24">
        <v>438.38</v>
      </c>
      <c r="M8" s="24">
        <v>3751.96</v>
      </c>
      <c r="N8" s="34">
        <f>((sales_data_1[[#This Row],[Unit_Price]]*(1-sales_data_1[[#This Row],[Discount]]))-sales_data_1[[#This Row],[Unit_Cost]])*sales_data_1[[#This Row],[Quantity_Sold]]</f>
        <v>22669.785599999999</v>
      </c>
      <c r="O8" s="17" t="s">
        <v>17</v>
      </c>
      <c r="P8" s="26">
        <v>0.02</v>
      </c>
      <c r="Q8" s="17" t="s">
        <v>25</v>
      </c>
      <c r="R8" s="17" t="s">
        <v>21</v>
      </c>
      <c r="S8" s="49" t="str">
        <f t="shared" si="2"/>
        <v>Eve-North</v>
      </c>
      <c r="T8" s="59" t="str">
        <f>IF(ROUND(sales_data_1[[#This Row],[Profit_Margin]],2)=ROUND((sales_data_1[[#This Row],[Unit_Price]]*(1-sales_data_1[[#This Row],[Discount]]) - sales_data_1[[#This Row],[Unit_Cost]])*sales_data_1[[#This Row],[Quantity_Sold]],2), "PASS", "CHECK")</f>
        <v>PASS</v>
      </c>
    </row>
    <row r="9" spans="1:20" x14ac:dyDescent="0.35">
      <c r="A9" s="7">
        <v>8</v>
      </c>
      <c r="B9" s="9">
        <v>1025</v>
      </c>
      <c r="C9" s="7" t="str">
        <f>IFERROR(_xlfn.TEXTJOIN("-", TRUE, _xlfn.XLOOKUP(K9, product_category_id_lookup!$A$2:$A$5, product_category_id_lookup!$B$2:$B$5), B9), "Unknown Category")</f>
        <v>fd-1025</v>
      </c>
      <c r="D9" s="8">
        <v>44563</v>
      </c>
      <c r="E9" s="7">
        <f t="shared" si="0"/>
        <v>2022</v>
      </c>
      <c r="F9" s="28" t="str">
        <f t="shared" si="1"/>
        <v>Jan</v>
      </c>
      <c r="G9" s="17" t="s">
        <v>22</v>
      </c>
      <c r="H9" s="17" t="s">
        <v>30</v>
      </c>
      <c r="I9" s="24">
        <v>139348.23240000001</v>
      </c>
      <c r="J9" s="32">
        <v>46</v>
      </c>
      <c r="K9" s="17" t="s">
        <v>24</v>
      </c>
      <c r="L9" s="24">
        <v>689.7</v>
      </c>
      <c r="M9" s="24">
        <v>3883.73</v>
      </c>
      <c r="N9" s="34">
        <f>((sales_data_1[[#This Row],[Unit_Price]]*(1-sales_data_1[[#This Row],[Discount]]))-sales_data_1[[#This Row],[Unit_Cost]])*sales_data_1[[#This Row],[Quantity_Sold]]</f>
        <v>107622.03240000001</v>
      </c>
      <c r="O9" s="17" t="s">
        <v>17</v>
      </c>
      <c r="P9" s="26">
        <v>0.22</v>
      </c>
      <c r="Q9" s="17" t="s">
        <v>28</v>
      </c>
      <c r="R9" s="17" t="s">
        <v>21</v>
      </c>
      <c r="S9" s="49" t="str">
        <f t="shared" si="2"/>
        <v>David-East</v>
      </c>
      <c r="T9" s="59" t="str">
        <f>IF(ROUND(sales_data_1[[#This Row],[Profit_Margin]],2)=ROUND((sales_data_1[[#This Row],[Unit_Price]]*(1-sales_data_1[[#This Row],[Discount]]) - sales_data_1[[#This Row],[Unit_Cost]])*sales_data_1[[#This Row],[Quantity_Sold]],2), "PASS", "CHECK")</f>
        <v>PASS</v>
      </c>
    </row>
    <row r="10" spans="1:20" x14ac:dyDescent="0.35">
      <c r="A10" s="7">
        <v>9</v>
      </c>
      <c r="B10" s="9">
        <v>1001</v>
      </c>
      <c r="C10" s="7" t="str">
        <f>IFERROR(_xlfn.TEXTJOIN("-", TRUE, _xlfn.XLOOKUP(K10, product_category_id_lookup!$A$2:$A$5, product_category_id_lookup!$B$2:$B$5), B10), "Unknown Category")</f>
        <v>fnt-1001</v>
      </c>
      <c r="D10" s="8">
        <v>44563</v>
      </c>
      <c r="E10" s="7">
        <f t="shared" si="0"/>
        <v>2022</v>
      </c>
      <c r="F10" s="28" t="str">
        <f t="shared" si="1"/>
        <v>Jan</v>
      </c>
      <c r="G10" s="17" t="s">
        <v>14</v>
      </c>
      <c r="H10" s="17" t="s">
        <v>15</v>
      </c>
      <c r="I10" s="24">
        <v>167477.28599999999</v>
      </c>
      <c r="J10" s="32">
        <v>38</v>
      </c>
      <c r="K10" s="17" t="s">
        <v>16</v>
      </c>
      <c r="L10" s="24">
        <v>252.49</v>
      </c>
      <c r="M10" s="24">
        <v>4639.26</v>
      </c>
      <c r="N10" s="34">
        <f>((sales_data_1[[#This Row],[Unit_Price]]*(1-sales_data_1[[#This Row],[Discount]]))-sales_data_1[[#This Row],[Unit_Cost]])*sales_data_1[[#This Row],[Quantity_Sold]]</f>
        <v>157882.666</v>
      </c>
      <c r="O10" s="17" t="s">
        <v>17</v>
      </c>
      <c r="P10" s="26">
        <v>0.05</v>
      </c>
      <c r="Q10" s="17" t="s">
        <v>25</v>
      </c>
      <c r="R10" s="17" t="s">
        <v>21</v>
      </c>
      <c r="S10" s="49" t="str">
        <f t="shared" si="2"/>
        <v>Bob-North</v>
      </c>
      <c r="T10" s="59" t="str">
        <f>IF(ROUND(sales_data_1[[#This Row],[Profit_Margin]],2)=ROUND((sales_data_1[[#This Row],[Unit_Price]]*(1-sales_data_1[[#This Row],[Discount]]) - sales_data_1[[#This Row],[Unit_Cost]])*sales_data_1[[#This Row],[Quantity_Sold]],2), "PASS", "CHECK")</f>
        <v>PASS</v>
      </c>
    </row>
    <row r="11" spans="1:20" x14ac:dyDescent="0.35">
      <c r="A11" s="7">
        <v>10</v>
      </c>
      <c r="B11" s="9">
        <v>1076</v>
      </c>
      <c r="C11" s="7" t="str">
        <f>IFERROR(_xlfn.TEXTJOIN("-", TRUE, _xlfn.XLOOKUP(K11, product_category_id_lookup!$A$2:$A$5, product_category_id_lookup!$B$2:$B$5), B11), "Unknown Category")</f>
        <v>fd-1076</v>
      </c>
      <c r="D11" s="8">
        <v>44564</v>
      </c>
      <c r="E11" s="7">
        <f t="shared" si="0"/>
        <v>2022</v>
      </c>
      <c r="F11" s="28" t="str">
        <f t="shared" si="1"/>
        <v>Jan</v>
      </c>
      <c r="G11" s="17" t="s">
        <v>29</v>
      </c>
      <c r="H11" s="17" t="s">
        <v>15</v>
      </c>
      <c r="I11" s="24">
        <v>9721.0960000000014</v>
      </c>
      <c r="J11" s="32">
        <v>5</v>
      </c>
      <c r="K11" s="17" t="s">
        <v>24</v>
      </c>
      <c r="L11" s="24">
        <v>1014.39</v>
      </c>
      <c r="M11" s="24">
        <v>2209.34</v>
      </c>
      <c r="N11" s="34">
        <f>((sales_data_1[[#This Row],[Unit_Price]]*(1-sales_data_1[[#This Row],[Discount]]))-sales_data_1[[#This Row],[Unit_Cost]])*sales_data_1[[#This Row],[Quantity_Sold]]</f>
        <v>4649.1460000000015</v>
      </c>
      <c r="O11" s="17" t="s">
        <v>17</v>
      </c>
      <c r="P11" s="26">
        <v>0.12</v>
      </c>
      <c r="Q11" s="17" t="s">
        <v>18</v>
      </c>
      <c r="R11" s="17" t="s">
        <v>19</v>
      </c>
      <c r="S11" s="49" t="str">
        <f t="shared" si="2"/>
        <v>Charlie-North</v>
      </c>
      <c r="T11" s="59" t="str">
        <f>IF(ROUND(sales_data_1[[#This Row],[Profit_Margin]],2)=ROUND((sales_data_1[[#This Row],[Unit_Price]]*(1-sales_data_1[[#This Row],[Discount]]) - sales_data_1[[#This Row],[Unit_Cost]])*sales_data_1[[#This Row],[Quantity_Sold]],2), "PASS", "CHECK")</f>
        <v>PASS</v>
      </c>
    </row>
    <row r="12" spans="1:20" x14ac:dyDescent="0.35">
      <c r="A12" s="7">
        <v>11</v>
      </c>
      <c r="B12" s="9">
        <v>1093</v>
      </c>
      <c r="C12" s="7" t="str">
        <f>IFERROR(_xlfn.TEXTJOIN("-", TRUE, _xlfn.XLOOKUP(K12, product_category_id_lookup!$A$2:$A$5, product_category_id_lookup!$B$2:$B$5), B12), "Unknown Category")</f>
        <v>etc-1093</v>
      </c>
      <c r="D12" s="8">
        <v>44564</v>
      </c>
      <c r="E12" s="7">
        <f t="shared" si="0"/>
        <v>2022</v>
      </c>
      <c r="F12" s="28" t="str">
        <f t="shared" si="1"/>
        <v>Jan</v>
      </c>
      <c r="G12" s="17" t="s">
        <v>14</v>
      </c>
      <c r="H12" s="17" t="s">
        <v>15</v>
      </c>
      <c r="I12" s="24">
        <v>129259.31776954758</v>
      </c>
      <c r="J12" s="32">
        <v>29</v>
      </c>
      <c r="K12" s="17" t="s">
        <v>31</v>
      </c>
      <c r="L12" s="24">
        <v>4192.33</v>
      </c>
      <c r="M12" s="24">
        <v>4608.8100000000004</v>
      </c>
      <c r="N12" s="34">
        <f>((sales_data_1[[#This Row],[Unit_Price]]*(1-sales_data_1[[#This Row],[Discount]]))-sales_data_1[[#This Row],[Unit_Cost]])*sales_data_1[[#This Row],[Quantity_Sold]]</f>
        <v>8068.2553000000189</v>
      </c>
      <c r="O12" s="17" t="s">
        <v>27</v>
      </c>
      <c r="P12" s="26">
        <v>0.03</v>
      </c>
      <c r="Q12" s="17" t="s">
        <v>18</v>
      </c>
      <c r="R12" s="17" t="s">
        <v>19</v>
      </c>
      <c r="S12" s="49" t="str">
        <f t="shared" si="2"/>
        <v>Bob-North</v>
      </c>
      <c r="T12" s="59" t="str">
        <f>IF(ROUND(sales_data_1[[#This Row],[Profit_Margin]],2)=ROUND((sales_data_1[[#This Row],[Unit_Price]]*(1-sales_data_1[[#This Row],[Discount]]) - sales_data_1[[#This Row],[Unit_Cost]])*sales_data_1[[#This Row],[Quantity_Sold]],2), "PASS", "CHECK")</f>
        <v>PASS</v>
      </c>
    </row>
    <row r="13" spans="1:20" x14ac:dyDescent="0.35">
      <c r="A13" s="7">
        <v>12</v>
      </c>
      <c r="B13" s="9">
        <v>1085</v>
      </c>
      <c r="C13" s="7" t="str">
        <f>IFERROR(_xlfn.TEXTJOIN("-", TRUE, _xlfn.XLOOKUP(K13, product_category_id_lookup!$A$2:$A$5, product_category_id_lookup!$B$2:$B$5), B13), "Unknown Category")</f>
        <v>ctg-1085</v>
      </c>
      <c r="D13" s="8">
        <v>44564</v>
      </c>
      <c r="E13" s="7">
        <f t="shared" si="0"/>
        <v>2022</v>
      </c>
      <c r="F13" s="28" t="str">
        <f t="shared" si="1"/>
        <v>Jan</v>
      </c>
      <c r="G13" s="17" t="s">
        <v>14</v>
      </c>
      <c r="H13" s="17" t="s">
        <v>30</v>
      </c>
      <c r="I13" s="24">
        <v>78482.59199999999</v>
      </c>
      <c r="J13" s="32">
        <v>32</v>
      </c>
      <c r="K13" s="17" t="s">
        <v>26</v>
      </c>
      <c r="L13" s="24">
        <v>1235.78</v>
      </c>
      <c r="M13" s="24">
        <v>3359.7</v>
      </c>
      <c r="N13" s="34">
        <f>((sales_data_1[[#This Row],[Unit_Price]]*(1-sales_data_1[[#This Row],[Discount]]))-sales_data_1[[#This Row],[Unit_Cost]])*sales_data_1[[#This Row],[Quantity_Sold]]</f>
        <v>38937.631999999991</v>
      </c>
      <c r="O13" s="17" t="s">
        <v>27</v>
      </c>
      <c r="P13" s="26">
        <v>0.27</v>
      </c>
      <c r="Q13" s="17" t="s">
        <v>28</v>
      </c>
      <c r="R13" s="17" t="s">
        <v>21</v>
      </c>
      <c r="S13" s="49" t="str">
        <f t="shared" si="2"/>
        <v>Bob-East</v>
      </c>
      <c r="T13" s="59" t="str">
        <f>IF(ROUND(sales_data_1[[#This Row],[Profit_Margin]],2)=ROUND((sales_data_1[[#This Row],[Unit_Price]]*(1-sales_data_1[[#This Row],[Discount]]) - sales_data_1[[#This Row],[Unit_Cost]])*sales_data_1[[#This Row],[Quantity_Sold]],2), "PASS", "CHECK")</f>
        <v>PASS</v>
      </c>
    </row>
    <row r="14" spans="1:20" x14ac:dyDescent="0.35">
      <c r="A14" s="7">
        <v>13</v>
      </c>
      <c r="B14" s="9">
        <v>1007</v>
      </c>
      <c r="C14" s="7" t="str">
        <f>IFERROR(_xlfn.TEXTJOIN("-", TRUE, _xlfn.XLOOKUP(K14, product_category_id_lookup!$A$2:$A$5, product_category_id_lookup!$B$2:$B$5), B14), "Unknown Category")</f>
        <v>etc-1007</v>
      </c>
      <c r="D14" s="8">
        <v>44564</v>
      </c>
      <c r="E14" s="7">
        <f t="shared" si="0"/>
        <v>2022</v>
      </c>
      <c r="F14" s="28" t="str">
        <f t="shared" si="1"/>
        <v>Jan</v>
      </c>
      <c r="G14" s="17" t="s">
        <v>33</v>
      </c>
      <c r="H14" s="17" t="s">
        <v>20</v>
      </c>
      <c r="I14" s="24">
        <v>78764.092199999999</v>
      </c>
      <c r="J14" s="32">
        <v>18</v>
      </c>
      <c r="K14" s="17" t="s">
        <v>31</v>
      </c>
      <c r="L14" s="24">
        <v>613.42999999999995</v>
      </c>
      <c r="M14" s="24">
        <v>4916.6099999999997</v>
      </c>
      <c r="N14" s="34">
        <f>((sales_data_1[[#This Row],[Unit_Price]]*(1-sales_data_1[[#This Row],[Discount]]))-sales_data_1[[#This Row],[Unit_Cost]])*sales_data_1[[#This Row],[Quantity_Sold]]</f>
        <v>67722.352200000008</v>
      </c>
      <c r="O14" s="17" t="s">
        <v>17</v>
      </c>
      <c r="P14" s="26">
        <v>0.11</v>
      </c>
      <c r="Q14" s="17" t="s">
        <v>28</v>
      </c>
      <c r="R14" s="17" t="s">
        <v>21</v>
      </c>
      <c r="S14" s="49" t="str">
        <f t="shared" si="2"/>
        <v>Alice-West</v>
      </c>
      <c r="T14" s="59" t="str">
        <f>IF(ROUND(sales_data_1[[#This Row],[Profit_Margin]],2)=ROUND((sales_data_1[[#This Row],[Unit_Price]]*(1-sales_data_1[[#This Row],[Discount]]) - sales_data_1[[#This Row],[Unit_Cost]])*sales_data_1[[#This Row],[Quantity_Sold]],2), "PASS", "CHECK")</f>
        <v>PASS</v>
      </c>
    </row>
    <row r="15" spans="1:20" x14ac:dyDescent="0.35">
      <c r="A15" s="7">
        <v>14</v>
      </c>
      <c r="B15" s="9">
        <v>1037</v>
      </c>
      <c r="C15" s="7" t="str">
        <f>IFERROR(_xlfn.TEXTJOIN("-", TRUE, _xlfn.XLOOKUP(K15, product_category_id_lookup!$A$2:$A$5, product_category_id_lookup!$B$2:$B$5), B15), "Unknown Category")</f>
        <v>etc-1037</v>
      </c>
      <c r="D15" s="8">
        <v>44565</v>
      </c>
      <c r="E15" s="7">
        <f t="shared" si="0"/>
        <v>2022</v>
      </c>
      <c r="F15" s="28" t="str">
        <f t="shared" si="1"/>
        <v>Jan</v>
      </c>
      <c r="G15" s="17" t="s">
        <v>14</v>
      </c>
      <c r="H15" s="17" t="s">
        <v>15</v>
      </c>
      <c r="I15" s="24">
        <v>72898.76999999999</v>
      </c>
      <c r="J15" s="32">
        <v>25</v>
      </c>
      <c r="K15" s="17" t="s">
        <v>31</v>
      </c>
      <c r="L15" s="24">
        <v>2748.89</v>
      </c>
      <c r="M15" s="24">
        <v>3471.37</v>
      </c>
      <c r="N15" s="34">
        <f>((sales_data_1[[#This Row],[Unit_Price]]*(1-sales_data_1[[#This Row],[Discount]]))-sales_data_1[[#This Row],[Unit_Cost]])*sales_data_1[[#This Row],[Quantity_Sold]]</f>
        <v>4176.5199999999932</v>
      </c>
      <c r="O15" s="17" t="s">
        <v>17</v>
      </c>
      <c r="P15" s="26">
        <v>0.16</v>
      </c>
      <c r="Q15" s="17" t="s">
        <v>18</v>
      </c>
      <c r="R15" s="17" t="s">
        <v>19</v>
      </c>
      <c r="S15" s="49" t="str">
        <f t="shared" si="2"/>
        <v>Bob-North</v>
      </c>
      <c r="T15" s="59" t="str">
        <f>IF(ROUND(sales_data_1[[#This Row],[Profit_Margin]],2)=ROUND((sales_data_1[[#This Row],[Unit_Price]]*(1-sales_data_1[[#This Row],[Discount]]) - sales_data_1[[#This Row],[Unit_Cost]])*sales_data_1[[#This Row],[Quantity_Sold]],2), "PASS", "CHECK")</f>
        <v>PASS</v>
      </c>
    </row>
    <row r="16" spans="1:20" x14ac:dyDescent="0.35">
      <c r="A16" s="7">
        <v>15</v>
      </c>
      <c r="B16" s="9">
        <v>1091</v>
      </c>
      <c r="C16" s="7" t="str">
        <f>IFERROR(_xlfn.TEXTJOIN("-", TRUE, _xlfn.XLOOKUP(K16, product_category_id_lookup!$A$2:$A$5, product_category_id_lookup!$B$2:$B$5), B16), "Unknown Category")</f>
        <v>fd-1091</v>
      </c>
      <c r="D16" s="8">
        <v>44565</v>
      </c>
      <c r="E16" s="7">
        <f t="shared" si="0"/>
        <v>2022</v>
      </c>
      <c r="F16" s="28" t="str">
        <f t="shared" si="1"/>
        <v>Jan</v>
      </c>
      <c r="G16" s="17" t="s">
        <v>29</v>
      </c>
      <c r="H16" s="17" t="s">
        <v>23</v>
      </c>
      <c r="I16" s="24">
        <v>30939.051000000003</v>
      </c>
      <c r="J16" s="32">
        <v>13</v>
      </c>
      <c r="K16" s="17" t="s">
        <v>24</v>
      </c>
      <c r="L16" s="24">
        <v>1357.52</v>
      </c>
      <c r="M16" s="24">
        <v>2902.35</v>
      </c>
      <c r="N16" s="34">
        <f>((sales_data_1[[#This Row],[Unit_Price]]*(1-sales_data_1[[#This Row],[Discount]]))-sales_data_1[[#This Row],[Unit_Cost]])*sales_data_1[[#This Row],[Quantity_Sold]]</f>
        <v>13291.291000000001</v>
      </c>
      <c r="O16" s="17" t="s">
        <v>27</v>
      </c>
      <c r="P16" s="26">
        <v>0.18</v>
      </c>
      <c r="Q16" s="17" t="s">
        <v>28</v>
      </c>
      <c r="R16" s="17" t="s">
        <v>19</v>
      </c>
      <c r="S16" s="49" t="str">
        <f t="shared" si="2"/>
        <v>Charlie-South</v>
      </c>
      <c r="T16" s="59" t="str">
        <f>IF(ROUND(sales_data_1[[#This Row],[Profit_Margin]],2)=ROUND((sales_data_1[[#This Row],[Unit_Price]]*(1-sales_data_1[[#This Row],[Discount]]) - sales_data_1[[#This Row],[Unit_Cost]])*sales_data_1[[#This Row],[Quantity_Sold]],2), "PASS", "CHECK")</f>
        <v>PASS</v>
      </c>
    </row>
    <row r="17" spans="1:20" x14ac:dyDescent="0.35">
      <c r="A17" s="7">
        <v>16</v>
      </c>
      <c r="B17" s="9">
        <v>1013</v>
      </c>
      <c r="C17" s="7" t="str">
        <f>IFERROR(_xlfn.TEXTJOIN("-", TRUE, _xlfn.XLOOKUP(K17, product_category_id_lookup!$A$2:$A$5, product_category_id_lookup!$B$2:$B$5), B17), "Unknown Category")</f>
        <v>fnt-1013</v>
      </c>
      <c r="D17" s="8">
        <v>44565</v>
      </c>
      <c r="E17" s="7">
        <f t="shared" si="0"/>
        <v>2022</v>
      </c>
      <c r="F17" s="28" t="str">
        <f t="shared" si="1"/>
        <v>Jan</v>
      </c>
      <c r="G17" s="17" t="s">
        <v>33</v>
      </c>
      <c r="H17" s="17" t="s">
        <v>23</v>
      </c>
      <c r="I17" s="24">
        <v>37892.157599999999</v>
      </c>
      <c r="J17" s="32">
        <v>8</v>
      </c>
      <c r="K17" s="17" t="s">
        <v>16</v>
      </c>
      <c r="L17" s="24">
        <v>3017.1</v>
      </c>
      <c r="M17" s="24">
        <v>4883.01</v>
      </c>
      <c r="N17" s="34">
        <f>((sales_data_1[[#This Row],[Unit_Price]]*(1-sales_data_1[[#This Row],[Discount]]))-sales_data_1[[#This Row],[Unit_Cost]])*sales_data_1[[#This Row],[Quantity_Sold]]</f>
        <v>13755.357599999999</v>
      </c>
      <c r="O17" s="17" t="s">
        <v>27</v>
      </c>
      <c r="P17" s="26">
        <v>0.03</v>
      </c>
      <c r="Q17" s="17" t="s">
        <v>28</v>
      </c>
      <c r="R17" s="17" t="s">
        <v>21</v>
      </c>
      <c r="S17" s="49" t="str">
        <f t="shared" si="2"/>
        <v>Alice-South</v>
      </c>
      <c r="T17" s="59" t="str">
        <f>IF(ROUND(sales_data_1[[#This Row],[Profit_Margin]],2)=ROUND((sales_data_1[[#This Row],[Unit_Price]]*(1-sales_data_1[[#This Row],[Discount]]) - sales_data_1[[#This Row],[Unit_Cost]])*sales_data_1[[#This Row],[Quantity_Sold]],2), "PASS", "CHECK")</f>
        <v>PASS</v>
      </c>
    </row>
    <row r="18" spans="1:20" x14ac:dyDescent="0.35">
      <c r="A18" s="7">
        <v>17</v>
      </c>
      <c r="B18" s="9">
        <v>1099</v>
      </c>
      <c r="C18" s="7" t="str">
        <f>IFERROR(_xlfn.TEXTJOIN("-", TRUE, _xlfn.XLOOKUP(K18, product_category_id_lookup!$A$2:$A$5, product_category_id_lookup!$B$2:$B$5), B18), "Unknown Category")</f>
        <v>ctg-1099</v>
      </c>
      <c r="D18" s="8">
        <v>44565</v>
      </c>
      <c r="E18" s="7">
        <f t="shared" si="0"/>
        <v>2022</v>
      </c>
      <c r="F18" s="28" t="str">
        <f t="shared" si="1"/>
        <v>Jan</v>
      </c>
      <c r="G18" s="17" t="s">
        <v>29</v>
      </c>
      <c r="H18" s="17" t="s">
        <v>23</v>
      </c>
      <c r="I18" s="24">
        <v>184529.4528</v>
      </c>
      <c r="J18" s="32">
        <v>49</v>
      </c>
      <c r="K18" s="17" t="s">
        <v>26</v>
      </c>
      <c r="L18" s="24">
        <v>2827.29</v>
      </c>
      <c r="M18" s="24">
        <v>3922.82</v>
      </c>
      <c r="N18" s="34">
        <f>((sales_data_1[[#This Row],[Unit_Price]]*(1-sales_data_1[[#This Row],[Discount]]))-sales_data_1[[#This Row],[Unit_Cost]])*sales_data_1[[#This Row],[Quantity_Sold]]</f>
        <v>45992.242800000007</v>
      </c>
      <c r="O18" s="17" t="s">
        <v>17</v>
      </c>
      <c r="P18" s="26">
        <v>0.04</v>
      </c>
      <c r="Q18" s="17" t="s">
        <v>25</v>
      </c>
      <c r="R18" s="17" t="s">
        <v>21</v>
      </c>
      <c r="S18" s="49" t="str">
        <f t="shared" si="2"/>
        <v>Charlie-South</v>
      </c>
      <c r="T18" s="59" t="str">
        <f>IF(ROUND(sales_data_1[[#This Row],[Profit_Margin]],2)=ROUND((sales_data_1[[#This Row],[Unit_Price]]*(1-sales_data_1[[#This Row],[Discount]]) - sales_data_1[[#This Row],[Unit_Cost]])*sales_data_1[[#This Row],[Quantity_Sold]],2), "PASS", "CHECK")</f>
        <v>PASS</v>
      </c>
    </row>
    <row r="19" spans="1:20" x14ac:dyDescent="0.35">
      <c r="A19" s="7">
        <v>18</v>
      </c>
      <c r="B19" s="9">
        <v>1074</v>
      </c>
      <c r="C19" s="7" t="str">
        <f>IFERROR(_xlfn.TEXTJOIN("-", TRUE, _xlfn.XLOOKUP(K19, product_category_id_lookup!$A$2:$A$5, product_category_id_lookup!$B$2:$B$5), B19), "Unknown Category")</f>
        <v>ctg-1074</v>
      </c>
      <c r="D19" s="8">
        <v>44565</v>
      </c>
      <c r="E19" s="7">
        <f t="shared" si="0"/>
        <v>2022</v>
      </c>
      <c r="F19" s="28" t="str">
        <f t="shared" si="1"/>
        <v>Jan</v>
      </c>
      <c r="G19" s="17" t="s">
        <v>22</v>
      </c>
      <c r="H19" s="17" t="s">
        <v>15</v>
      </c>
      <c r="I19" s="24">
        <v>82391.817600000009</v>
      </c>
      <c r="J19" s="32">
        <v>24</v>
      </c>
      <c r="K19" s="17" t="s">
        <v>26</v>
      </c>
      <c r="L19" s="24">
        <v>1363.68</v>
      </c>
      <c r="M19" s="24">
        <v>4345.5600000000004</v>
      </c>
      <c r="N19" s="34">
        <f>((sales_data_1[[#This Row],[Unit_Price]]*(1-sales_data_1[[#This Row],[Discount]]))-sales_data_1[[#This Row],[Unit_Cost]])*sales_data_1[[#This Row],[Quantity_Sold]]</f>
        <v>49663.497600000017</v>
      </c>
      <c r="O19" s="17" t="s">
        <v>27</v>
      </c>
      <c r="P19" s="26">
        <v>0.21</v>
      </c>
      <c r="Q19" s="17" t="s">
        <v>25</v>
      </c>
      <c r="R19" s="17" t="s">
        <v>21</v>
      </c>
      <c r="S19" s="49" t="str">
        <f t="shared" si="2"/>
        <v>David-North</v>
      </c>
      <c r="T19" s="59" t="str">
        <f>IF(ROUND(sales_data_1[[#This Row],[Profit_Margin]],2)=ROUND((sales_data_1[[#This Row],[Unit_Price]]*(1-sales_data_1[[#This Row],[Discount]]) - sales_data_1[[#This Row],[Unit_Cost]])*sales_data_1[[#This Row],[Quantity_Sold]],2), "PASS", "CHECK")</f>
        <v>PASS</v>
      </c>
    </row>
    <row r="20" spans="1:20" x14ac:dyDescent="0.35">
      <c r="A20" s="7">
        <v>19</v>
      </c>
      <c r="B20" s="9">
        <v>1062</v>
      </c>
      <c r="C20" s="7" t="str">
        <f>IFERROR(_xlfn.TEXTJOIN("-", TRUE, _xlfn.XLOOKUP(K20, product_category_id_lookup!$A$2:$A$5, product_category_id_lookup!$B$2:$B$5), B20), "Unknown Category")</f>
        <v>fnt-1062</v>
      </c>
      <c r="D20" s="8">
        <v>44565</v>
      </c>
      <c r="E20" s="7">
        <f t="shared" si="0"/>
        <v>2022</v>
      </c>
      <c r="F20" s="28" t="str">
        <f t="shared" si="1"/>
        <v>Jan</v>
      </c>
      <c r="G20" s="17" t="s">
        <v>32</v>
      </c>
      <c r="H20" s="17" t="s">
        <v>20</v>
      </c>
      <c r="I20" s="24">
        <v>177697.90079999994</v>
      </c>
      <c r="J20" s="32">
        <v>42</v>
      </c>
      <c r="K20" s="17" t="s">
        <v>16</v>
      </c>
      <c r="L20" s="24">
        <v>2796.61</v>
      </c>
      <c r="M20" s="24">
        <v>4407.1899999999996</v>
      </c>
      <c r="N20" s="34">
        <f>((sales_data_1[[#This Row],[Unit_Price]]*(1-sales_data_1[[#This Row],[Discount]]))-sales_data_1[[#This Row],[Unit_Cost]])*sales_data_1[[#This Row],[Quantity_Sold]]</f>
        <v>60240.280799999957</v>
      </c>
      <c r="O20" s="17" t="s">
        <v>27</v>
      </c>
      <c r="P20" s="26">
        <v>0.04</v>
      </c>
      <c r="Q20" s="17" t="s">
        <v>18</v>
      </c>
      <c r="R20" s="17" t="s">
        <v>19</v>
      </c>
      <c r="S20" s="49" t="str">
        <f t="shared" si="2"/>
        <v>Eve-West</v>
      </c>
      <c r="T20" s="59" t="str">
        <f>IF(ROUND(sales_data_1[[#This Row],[Profit_Margin]],2)=ROUND((sales_data_1[[#This Row],[Unit_Price]]*(1-sales_data_1[[#This Row],[Discount]]) - sales_data_1[[#This Row],[Unit_Cost]])*sales_data_1[[#This Row],[Quantity_Sold]],2), "PASS", "CHECK")</f>
        <v>PASS</v>
      </c>
    </row>
    <row r="21" spans="1:20" x14ac:dyDescent="0.35">
      <c r="A21" s="7">
        <v>20</v>
      </c>
      <c r="B21" s="9">
        <v>1075</v>
      </c>
      <c r="C21" s="7" t="str">
        <f>IFERROR(_xlfn.TEXTJOIN("-", TRUE, _xlfn.XLOOKUP(K21, product_category_id_lookup!$A$2:$A$5, product_category_id_lookup!$B$2:$B$5), B21), "Unknown Category")</f>
        <v>fd-1075</v>
      </c>
      <c r="D21" s="8">
        <v>44566</v>
      </c>
      <c r="E21" s="7">
        <f t="shared" si="0"/>
        <v>2022</v>
      </c>
      <c r="F21" s="28" t="str">
        <f t="shared" si="1"/>
        <v>Jan</v>
      </c>
      <c r="G21" s="17" t="s">
        <v>22</v>
      </c>
      <c r="H21" s="17" t="s">
        <v>23</v>
      </c>
      <c r="I21" s="24">
        <v>36160.914900000003</v>
      </c>
      <c r="J21" s="32">
        <v>33</v>
      </c>
      <c r="K21" s="17" t="s">
        <v>24</v>
      </c>
      <c r="L21" s="24">
        <v>905.16</v>
      </c>
      <c r="M21" s="24">
        <v>1387.07</v>
      </c>
      <c r="N21" s="34">
        <f>((sales_data_1[[#This Row],[Unit_Price]]*(1-sales_data_1[[#This Row],[Discount]]))-sales_data_1[[#This Row],[Unit_Cost]])*sales_data_1[[#This Row],[Quantity_Sold]]</f>
        <v>6290.6349000000009</v>
      </c>
      <c r="O21" s="17" t="s">
        <v>17</v>
      </c>
      <c r="P21" s="26">
        <v>0.21</v>
      </c>
      <c r="Q21" s="17" t="s">
        <v>25</v>
      </c>
      <c r="R21" s="17" t="s">
        <v>19</v>
      </c>
      <c r="S21" s="49" t="str">
        <f t="shared" si="2"/>
        <v>David-South</v>
      </c>
      <c r="T21" s="59" t="str">
        <f>IF(ROUND(sales_data_1[[#This Row],[Profit_Margin]],2)=ROUND((sales_data_1[[#This Row],[Unit_Price]]*(1-sales_data_1[[#This Row],[Discount]]) - sales_data_1[[#This Row],[Unit_Cost]])*sales_data_1[[#This Row],[Quantity_Sold]],2), "PASS", "CHECK")</f>
        <v>PASS</v>
      </c>
    </row>
    <row r="22" spans="1:20" x14ac:dyDescent="0.35">
      <c r="A22" s="7">
        <v>21</v>
      </c>
      <c r="B22" s="9">
        <v>1094</v>
      </c>
      <c r="C22" s="7" t="str">
        <f>IFERROR(_xlfn.TEXTJOIN("-", TRUE, _xlfn.XLOOKUP(K22, product_category_id_lookup!$A$2:$A$5, product_category_id_lookup!$B$2:$B$5), B22), "Unknown Category")</f>
        <v>etc-1094</v>
      </c>
      <c r="D22" s="8">
        <v>44566</v>
      </c>
      <c r="E22" s="7">
        <f t="shared" si="0"/>
        <v>2022</v>
      </c>
      <c r="F22" s="28" t="str">
        <f t="shared" si="1"/>
        <v>Jan</v>
      </c>
      <c r="G22" s="17" t="s">
        <v>14</v>
      </c>
      <c r="H22" s="17" t="s">
        <v>20</v>
      </c>
      <c r="I22" s="24">
        <v>15973.642799999998</v>
      </c>
      <c r="J22" s="32">
        <v>4</v>
      </c>
      <c r="K22" s="17" t="s">
        <v>31</v>
      </c>
      <c r="L22" s="24">
        <v>2375.9</v>
      </c>
      <c r="M22" s="24">
        <v>4293.99</v>
      </c>
      <c r="N22" s="34">
        <f>((sales_data_1[[#This Row],[Unit_Price]]*(1-sales_data_1[[#This Row],[Discount]]))-sales_data_1[[#This Row],[Unit_Cost]])*sales_data_1[[#This Row],[Quantity_Sold]]</f>
        <v>6470.0427999999974</v>
      </c>
      <c r="O22" s="17" t="s">
        <v>27</v>
      </c>
      <c r="P22" s="26">
        <v>7.0000000000000007E-2</v>
      </c>
      <c r="Q22" s="17" t="s">
        <v>18</v>
      </c>
      <c r="R22" s="17" t="s">
        <v>21</v>
      </c>
      <c r="S22" s="49" t="str">
        <f t="shared" si="2"/>
        <v>Bob-West</v>
      </c>
      <c r="T22" s="59" t="str">
        <f>IF(ROUND(sales_data_1[[#This Row],[Profit_Margin]],2)=ROUND((sales_data_1[[#This Row],[Unit_Price]]*(1-sales_data_1[[#This Row],[Discount]]) - sales_data_1[[#This Row],[Unit_Cost]])*sales_data_1[[#This Row],[Quantity_Sold]],2), "PASS", "CHECK")</f>
        <v>PASS</v>
      </c>
    </row>
    <row r="23" spans="1:20" x14ac:dyDescent="0.35">
      <c r="A23" s="7">
        <v>22</v>
      </c>
      <c r="B23" s="9">
        <v>1078</v>
      </c>
      <c r="C23" s="7" t="str">
        <f>IFERROR(_xlfn.TEXTJOIN("-", TRUE, _xlfn.XLOOKUP(K23, product_category_id_lookup!$A$2:$A$5, product_category_id_lookup!$B$2:$B$5), B23), "Unknown Category")</f>
        <v>etc-1078</v>
      </c>
      <c r="D23" s="8">
        <v>44567</v>
      </c>
      <c r="E23" s="7">
        <f t="shared" si="0"/>
        <v>2022</v>
      </c>
      <c r="F23" s="28" t="str">
        <f t="shared" si="1"/>
        <v>Jan</v>
      </c>
      <c r="G23" s="17" t="s">
        <v>22</v>
      </c>
      <c r="H23" s="17" t="s">
        <v>15</v>
      </c>
      <c r="I23" s="24">
        <v>25621.2264</v>
      </c>
      <c r="J23" s="32">
        <v>8</v>
      </c>
      <c r="K23" s="17" t="s">
        <v>31</v>
      </c>
      <c r="L23" s="24">
        <v>3006.08</v>
      </c>
      <c r="M23" s="24">
        <v>4159.29</v>
      </c>
      <c r="N23" s="34">
        <f>((sales_data_1[[#This Row],[Unit_Price]]*(1-sales_data_1[[#This Row],[Discount]]))-sales_data_1[[#This Row],[Unit_Cost]])*sales_data_1[[#This Row],[Quantity_Sold]]</f>
        <v>1572.5864000000001</v>
      </c>
      <c r="O23" s="17" t="s">
        <v>27</v>
      </c>
      <c r="P23" s="26">
        <v>0.23</v>
      </c>
      <c r="Q23" s="17" t="s">
        <v>25</v>
      </c>
      <c r="R23" s="17" t="s">
        <v>21</v>
      </c>
      <c r="S23" s="49" t="str">
        <f t="shared" si="2"/>
        <v>David-North</v>
      </c>
      <c r="T23" s="59" t="str">
        <f>IF(ROUND(sales_data_1[[#This Row],[Profit_Margin]],2)=ROUND((sales_data_1[[#This Row],[Unit_Price]]*(1-sales_data_1[[#This Row],[Discount]]) - sales_data_1[[#This Row],[Unit_Cost]])*sales_data_1[[#This Row],[Quantity_Sold]],2), "PASS", "CHECK")</f>
        <v>PASS</v>
      </c>
    </row>
    <row r="24" spans="1:20" x14ac:dyDescent="0.35">
      <c r="A24" s="7">
        <v>23</v>
      </c>
      <c r="B24" s="9">
        <v>1079</v>
      </c>
      <c r="C24" s="7" t="str">
        <f>IFERROR(_xlfn.TEXTJOIN("-", TRUE, _xlfn.XLOOKUP(K24, product_category_id_lookup!$A$2:$A$5, product_category_id_lookup!$B$2:$B$5), B24), "Unknown Category")</f>
        <v>etc-1079</v>
      </c>
      <c r="D24" s="8">
        <v>44567</v>
      </c>
      <c r="E24" s="7">
        <f t="shared" si="0"/>
        <v>2022</v>
      </c>
      <c r="F24" s="28" t="str">
        <f t="shared" si="1"/>
        <v>Jan</v>
      </c>
      <c r="G24" s="17" t="s">
        <v>22</v>
      </c>
      <c r="H24" s="17" t="s">
        <v>23</v>
      </c>
      <c r="I24" s="24">
        <v>133141.05479999998</v>
      </c>
      <c r="J24" s="32">
        <v>41</v>
      </c>
      <c r="K24" s="17" t="s">
        <v>31</v>
      </c>
      <c r="L24" s="24">
        <v>3171.51</v>
      </c>
      <c r="M24" s="24">
        <v>3775.98</v>
      </c>
      <c r="N24" s="34">
        <f>((sales_data_1[[#This Row],[Unit_Price]]*(1-sales_data_1[[#This Row],[Discount]]))-sales_data_1[[#This Row],[Unit_Cost]])*sales_data_1[[#This Row],[Quantity_Sold]]</f>
        <v>3109.1447999999868</v>
      </c>
      <c r="O24" s="17" t="s">
        <v>27</v>
      </c>
      <c r="P24" s="26">
        <v>0.14000000000000001</v>
      </c>
      <c r="Q24" s="17" t="s">
        <v>28</v>
      </c>
      <c r="R24" s="17" t="s">
        <v>21</v>
      </c>
      <c r="S24" s="49" t="str">
        <f t="shared" si="2"/>
        <v>David-South</v>
      </c>
      <c r="T24" s="59" t="str">
        <f>IF(ROUND(sales_data_1[[#This Row],[Profit_Margin]],2)=ROUND((sales_data_1[[#This Row],[Unit_Price]]*(1-sales_data_1[[#This Row],[Discount]]) - sales_data_1[[#This Row],[Unit_Cost]])*sales_data_1[[#This Row],[Quantity_Sold]],2), "PASS", "CHECK")</f>
        <v>PASS</v>
      </c>
    </row>
    <row r="25" spans="1:20" x14ac:dyDescent="0.35">
      <c r="A25" s="7">
        <v>24</v>
      </c>
      <c r="B25" s="9">
        <v>1086</v>
      </c>
      <c r="C25" s="7" t="str">
        <f>IFERROR(_xlfn.TEXTJOIN("-", TRUE, _xlfn.XLOOKUP(K25, product_category_id_lookup!$A$2:$A$5, product_category_id_lookup!$B$2:$B$5), B25), "Unknown Category")</f>
        <v>ctg-1086</v>
      </c>
      <c r="D25" s="8">
        <v>44567</v>
      </c>
      <c r="E25" s="7">
        <f t="shared" si="0"/>
        <v>2022</v>
      </c>
      <c r="F25" s="28" t="str">
        <f t="shared" si="1"/>
        <v>Jan</v>
      </c>
      <c r="G25" s="17" t="s">
        <v>29</v>
      </c>
      <c r="H25" s="17" t="s">
        <v>15</v>
      </c>
      <c r="I25" s="24">
        <v>37635.1976</v>
      </c>
      <c r="J25" s="32">
        <v>11</v>
      </c>
      <c r="K25" s="17" t="s">
        <v>26</v>
      </c>
      <c r="L25" s="24">
        <v>419.02</v>
      </c>
      <c r="M25" s="24">
        <v>3759.76</v>
      </c>
      <c r="N25" s="34">
        <f>((sales_data_1[[#This Row],[Unit_Price]]*(1-sales_data_1[[#This Row],[Discount]]))-sales_data_1[[#This Row],[Unit_Cost]])*sales_data_1[[#This Row],[Quantity_Sold]]</f>
        <v>33025.977599999998</v>
      </c>
      <c r="O25" s="17" t="s">
        <v>27</v>
      </c>
      <c r="P25" s="26">
        <v>0.09</v>
      </c>
      <c r="Q25" s="17" t="s">
        <v>25</v>
      </c>
      <c r="R25" s="17" t="s">
        <v>19</v>
      </c>
      <c r="S25" s="49" t="str">
        <f t="shared" si="2"/>
        <v>Charlie-North</v>
      </c>
      <c r="T25" s="59" t="str">
        <f>IF(ROUND(sales_data_1[[#This Row],[Profit_Margin]],2)=ROUND((sales_data_1[[#This Row],[Unit_Price]]*(1-sales_data_1[[#This Row],[Discount]]) - sales_data_1[[#This Row],[Unit_Cost]])*sales_data_1[[#This Row],[Quantity_Sold]],2), "PASS", "CHECK")</f>
        <v>PASS</v>
      </c>
    </row>
    <row r="26" spans="1:20" x14ac:dyDescent="0.35">
      <c r="A26" s="7">
        <v>25</v>
      </c>
      <c r="B26" s="9">
        <v>1053</v>
      </c>
      <c r="C26" s="7" t="str">
        <f>IFERROR(_xlfn.TEXTJOIN("-", TRUE, _xlfn.XLOOKUP(K26, product_category_id_lookup!$A$2:$A$5, product_category_id_lookup!$B$2:$B$5), B26), "Unknown Category")</f>
        <v>etc-1053</v>
      </c>
      <c r="D26" s="8">
        <v>44567</v>
      </c>
      <c r="E26" s="7">
        <f t="shared" si="0"/>
        <v>2022</v>
      </c>
      <c r="F26" s="28" t="str">
        <f t="shared" si="1"/>
        <v>Jan</v>
      </c>
      <c r="G26" s="17" t="s">
        <v>29</v>
      </c>
      <c r="H26" s="17" t="s">
        <v>23</v>
      </c>
      <c r="I26" s="24">
        <v>83277.532800000001</v>
      </c>
      <c r="J26" s="32">
        <v>22</v>
      </c>
      <c r="K26" s="17" t="s">
        <v>31</v>
      </c>
      <c r="L26" s="24">
        <v>1633.09</v>
      </c>
      <c r="M26" s="24">
        <v>5257.42</v>
      </c>
      <c r="N26" s="34">
        <f>((sales_data_1[[#This Row],[Unit_Price]]*(1-sales_data_1[[#This Row],[Discount]]))-sales_data_1[[#This Row],[Unit_Cost]])*sales_data_1[[#This Row],[Quantity_Sold]]</f>
        <v>47349.552800000005</v>
      </c>
      <c r="O26" s="17" t="s">
        <v>27</v>
      </c>
      <c r="P26" s="26">
        <v>0.28000000000000003</v>
      </c>
      <c r="Q26" s="17" t="s">
        <v>18</v>
      </c>
      <c r="R26" s="17" t="s">
        <v>19</v>
      </c>
      <c r="S26" s="49" t="str">
        <f t="shared" si="2"/>
        <v>Charlie-South</v>
      </c>
      <c r="T26" s="59" t="str">
        <f>IF(ROUND(sales_data_1[[#This Row],[Profit_Margin]],2)=ROUND((sales_data_1[[#This Row],[Unit_Price]]*(1-sales_data_1[[#This Row],[Discount]]) - sales_data_1[[#This Row],[Unit_Cost]])*sales_data_1[[#This Row],[Quantity_Sold]],2), "PASS", "CHECK")</f>
        <v>PASS</v>
      </c>
    </row>
    <row r="27" spans="1:20" x14ac:dyDescent="0.35">
      <c r="A27" s="7">
        <v>26</v>
      </c>
      <c r="B27" s="9">
        <v>1041</v>
      </c>
      <c r="C27" s="7" t="str">
        <f>IFERROR(_xlfn.TEXTJOIN("-", TRUE, _xlfn.XLOOKUP(K27, product_category_id_lookup!$A$2:$A$5, product_category_id_lookup!$B$2:$B$5), B27), "Unknown Category")</f>
        <v>ctg-1041</v>
      </c>
      <c r="D27" s="8">
        <v>44567</v>
      </c>
      <c r="E27" s="7">
        <f t="shared" si="0"/>
        <v>2022</v>
      </c>
      <c r="F27" s="28" t="str">
        <f t="shared" si="1"/>
        <v>Jan</v>
      </c>
      <c r="G27" s="17" t="s">
        <v>29</v>
      </c>
      <c r="H27" s="17" t="s">
        <v>20</v>
      </c>
      <c r="I27" s="24">
        <v>81942.042600000001</v>
      </c>
      <c r="J27" s="32">
        <v>33</v>
      </c>
      <c r="K27" s="17" t="s">
        <v>26</v>
      </c>
      <c r="L27" s="24">
        <v>135.24</v>
      </c>
      <c r="M27" s="24">
        <v>3355.53</v>
      </c>
      <c r="N27" s="34">
        <f>((sales_data_1[[#This Row],[Unit_Price]]*(1-sales_data_1[[#This Row],[Discount]]))-sales_data_1[[#This Row],[Unit_Cost]])*sales_data_1[[#This Row],[Quantity_Sold]]</f>
        <v>77479.122600000002</v>
      </c>
      <c r="O27" s="17" t="s">
        <v>17</v>
      </c>
      <c r="P27" s="26">
        <v>0.26</v>
      </c>
      <c r="Q27" s="17" t="s">
        <v>18</v>
      </c>
      <c r="R27" s="17" t="s">
        <v>21</v>
      </c>
      <c r="S27" s="49" t="str">
        <f t="shared" si="2"/>
        <v>Charlie-West</v>
      </c>
      <c r="T27" s="59" t="str">
        <f>IF(ROUND(sales_data_1[[#This Row],[Profit_Margin]],2)=ROUND((sales_data_1[[#This Row],[Unit_Price]]*(1-sales_data_1[[#This Row],[Discount]]) - sales_data_1[[#This Row],[Unit_Cost]])*sales_data_1[[#This Row],[Quantity_Sold]],2), "PASS", "CHECK")</f>
        <v>PASS</v>
      </c>
    </row>
    <row r="28" spans="1:20" x14ac:dyDescent="0.35">
      <c r="A28" s="7">
        <v>27</v>
      </c>
      <c r="B28" s="9">
        <v>1088</v>
      </c>
      <c r="C28" s="7" t="str">
        <f>IFERROR(_xlfn.TEXTJOIN("-", TRUE, _xlfn.XLOOKUP(K28, product_category_id_lookup!$A$2:$A$5, product_category_id_lookup!$B$2:$B$5), B28), "Unknown Category")</f>
        <v>ctg-1088</v>
      </c>
      <c r="D28" s="8">
        <v>44570</v>
      </c>
      <c r="E28" s="7">
        <f t="shared" si="0"/>
        <v>2022</v>
      </c>
      <c r="F28" s="28" t="str">
        <f t="shared" si="1"/>
        <v>Jan</v>
      </c>
      <c r="G28" s="17" t="s">
        <v>32</v>
      </c>
      <c r="H28" s="17" t="s">
        <v>23</v>
      </c>
      <c r="I28" s="24">
        <v>17045.112000000001</v>
      </c>
      <c r="J28" s="32">
        <v>10</v>
      </c>
      <c r="K28" s="17" t="s">
        <v>26</v>
      </c>
      <c r="L28" s="24">
        <v>1305.01</v>
      </c>
      <c r="M28" s="24">
        <v>2029.18</v>
      </c>
      <c r="N28" s="34">
        <f>((sales_data_1[[#This Row],[Unit_Price]]*(1-sales_data_1[[#This Row],[Discount]]))-sales_data_1[[#This Row],[Unit_Cost]])*sales_data_1[[#This Row],[Quantity_Sold]]</f>
        <v>3995.0119999999993</v>
      </c>
      <c r="O28" s="17" t="s">
        <v>27</v>
      </c>
      <c r="P28" s="26">
        <v>0.16</v>
      </c>
      <c r="Q28" s="17" t="s">
        <v>18</v>
      </c>
      <c r="R28" s="17" t="s">
        <v>21</v>
      </c>
      <c r="S28" s="49" t="str">
        <f t="shared" si="2"/>
        <v>Eve-South</v>
      </c>
      <c r="T28" s="59" t="str">
        <f>IF(ROUND(sales_data_1[[#This Row],[Profit_Margin]],2)=ROUND((sales_data_1[[#This Row],[Unit_Price]]*(1-sales_data_1[[#This Row],[Discount]]) - sales_data_1[[#This Row],[Unit_Cost]])*sales_data_1[[#This Row],[Quantity_Sold]],2), "PASS", "CHECK")</f>
        <v>PASS</v>
      </c>
    </row>
    <row r="29" spans="1:20" x14ac:dyDescent="0.35">
      <c r="A29" s="7">
        <v>28</v>
      </c>
      <c r="B29" s="9">
        <v>1089</v>
      </c>
      <c r="C29" s="7" t="str">
        <f>IFERROR(_xlfn.TEXTJOIN("-", TRUE, _xlfn.XLOOKUP(K29, product_category_id_lookup!$A$2:$A$5, product_category_id_lookup!$B$2:$B$5), B29), "Unknown Category")</f>
        <v>fd-1089</v>
      </c>
      <c r="D29" s="8">
        <v>44570</v>
      </c>
      <c r="E29" s="7">
        <f t="shared" si="0"/>
        <v>2022</v>
      </c>
      <c r="F29" s="28" t="str">
        <f t="shared" si="1"/>
        <v>Jan</v>
      </c>
      <c r="G29" s="17" t="s">
        <v>29</v>
      </c>
      <c r="H29" s="17" t="s">
        <v>30</v>
      </c>
      <c r="I29" s="24">
        <v>91465.248599999992</v>
      </c>
      <c r="J29" s="32">
        <v>18</v>
      </c>
      <c r="K29" s="17" t="s">
        <v>24</v>
      </c>
      <c r="L29" s="24">
        <v>2964.41</v>
      </c>
      <c r="M29" s="24">
        <v>5132.7299999999996</v>
      </c>
      <c r="N29" s="34">
        <f>((sales_data_1[[#This Row],[Unit_Price]]*(1-sales_data_1[[#This Row],[Discount]]))-sales_data_1[[#This Row],[Unit_Cost]])*sales_data_1[[#This Row],[Quantity_Sold]]</f>
        <v>38105.868599999994</v>
      </c>
      <c r="O29" s="17" t="s">
        <v>27</v>
      </c>
      <c r="P29" s="26">
        <v>0.01</v>
      </c>
      <c r="Q29" s="17" t="s">
        <v>18</v>
      </c>
      <c r="R29" s="17" t="s">
        <v>19</v>
      </c>
      <c r="S29" s="49" t="str">
        <f t="shared" si="2"/>
        <v>Charlie-East</v>
      </c>
      <c r="T29" s="59" t="str">
        <f>IF(ROUND(sales_data_1[[#This Row],[Profit_Margin]],2)=ROUND((sales_data_1[[#This Row],[Unit_Price]]*(1-sales_data_1[[#This Row],[Discount]]) - sales_data_1[[#This Row],[Unit_Cost]])*sales_data_1[[#This Row],[Quantity_Sold]],2), "PASS", "CHECK")</f>
        <v>PASS</v>
      </c>
    </row>
    <row r="30" spans="1:20" x14ac:dyDescent="0.35">
      <c r="A30" s="7">
        <v>29</v>
      </c>
      <c r="B30" s="9">
        <v>1096</v>
      </c>
      <c r="C30" s="7" t="str">
        <f>IFERROR(_xlfn.TEXTJOIN("-", TRUE, _xlfn.XLOOKUP(K30, product_category_id_lookup!$A$2:$A$5, product_category_id_lookup!$B$2:$B$5), B30), "Unknown Category")</f>
        <v>fnt-1096</v>
      </c>
      <c r="D30" s="8">
        <v>44570</v>
      </c>
      <c r="E30" s="7">
        <f t="shared" si="0"/>
        <v>2022</v>
      </c>
      <c r="F30" s="28" t="str">
        <f t="shared" si="1"/>
        <v>Jan</v>
      </c>
      <c r="G30" s="17" t="s">
        <v>33</v>
      </c>
      <c r="H30" s="17" t="s">
        <v>15</v>
      </c>
      <c r="I30" s="24">
        <v>124485.9847</v>
      </c>
      <c r="J30" s="32">
        <v>49</v>
      </c>
      <c r="K30" s="17" t="s">
        <v>16</v>
      </c>
      <c r="L30" s="24">
        <v>1411.18</v>
      </c>
      <c r="M30" s="24">
        <v>3299.39</v>
      </c>
      <c r="N30" s="34">
        <f>((sales_data_1[[#This Row],[Unit_Price]]*(1-sales_data_1[[#This Row],[Discount]]))-sales_data_1[[#This Row],[Unit_Cost]])*sales_data_1[[#This Row],[Quantity_Sold]]</f>
        <v>55338.164699999994</v>
      </c>
      <c r="O30" s="17" t="s">
        <v>17</v>
      </c>
      <c r="P30" s="26">
        <v>0.23</v>
      </c>
      <c r="Q30" s="17" t="s">
        <v>25</v>
      </c>
      <c r="R30" s="17" t="s">
        <v>21</v>
      </c>
      <c r="S30" s="49" t="str">
        <f t="shared" si="2"/>
        <v>Alice-North</v>
      </c>
      <c r="T30" s="59" t="str">
        <f>IF(ROUND(sales_data_1[[#This Row],[Profit_Margin]],2)=ROUND((sales_data_1[[#This Row],[Unit_Price]]*(1-sales_data_1[[#This Row],[Discount]]) - sales_data_1[[#This Row],[Unit_Cost]])*sales_data_1[[#This Row],[Quantity_Sold]],2), "PASS", "CHECK")</f>
        <v>PASS</v>
      </c>
    </row>
    <row r="31" spans="1:20" x14ac:dyDescent="0.35">
      <c r="A31" s="7">
        <v>30</v>
      </c>
      <c r="B31" s="9">
        <v>1075</v>
      </c>
      <c r="C31" s="7" t="str">
        <f>IFERROR(_xlfn.TEXTJOIN("-", TRUE, _xlfn.XLOOKUP(K31, product_category_id_lookup!$A$2:$A$5, product_category_id_lookup!$B$2:$B$5), B31), "Unknown Category")</f>
        <v>fnt-1075</v>
      </c>
      <c r="D31" s="8">
        <v>44570</v>
      </c>
      <c r="E31" s="7">
        <f t="shared" si="0"/>
        <v>2022</v>
      </c>
      <c r="F31" s="28" t="str">
        <f t="shared" si="1"/>
        <v>Jan</v>
      </c>
      <c r="G31" s="17" t="s">
        <v>22</v>
      </c>
      <c r="H31" s="17" t="s">
        <v>15</v>
      </c>
      <c r="I31" s="24">
        <v>84183.7788</v>
      </c>
      <c r="J31" s="32">
        <v>19</v>
      </c>
      <c r="K31" s="17" t="s">
        <v>16</v>
      </c>
      <c r="L31" s="24">
        <v>419.8</v>
      </c>
      <c r="M31" s="24">
        <v>4475.4799999999996</v>
      </c>
      <c r="N31" s="34">
        <f>((sales_data_1[[#This Row],[Unit_Price]]*(1-sales_data_1[[#This Row],[Discount]]))-sales_data_1[[#This Row],[Unit_Cost]])*sales_data_1[[#This Row],[Quantity_Sold]]</f>
        <v>76207.578799999988</v>
      </c>
      <c r="O31" s="17" t="s">
        <v>17</v>
      </c>
      <c r="P31" s="26">
        <v>0.01</v>
      </c>
      <c r="Q31" s="17" t="s">
        <v>18</v>
      </c>
      <c r="R31" s="17" t="s">
        <v>21</v>
      </c>
      <c r="S31" s="49" t="str">
        <f t="shared" si="2"/>
        <v>David-North</v>
      </c>
      <c r="T31" s="59" t="str">
        <f>IF(ROUND(sales_data_1[[#This Row],[Profit_Margin]],2)=ROUND((sales_data_1[[#This Row],[Unit_Price]]*(1-sales_data_1[[#This Row],[Discount]]) - sales_data_1[[#This Row],[Unit_Cost]])*sales_data_1[[#This Row],[Quantity_Sold]],2), "PASS", "CHECK")</f>
        <v>PASS</v>
      </c>
    </row>
    <row r="32" spans="1:20" x14ac:dyDescent="0.35">
      <c r="A32" s="7">
        <v>31</v>
      </c>
      <c r="B32" s="9">
        <v>1010</v>
      </c>
      <c r="C32" s="7" t="str">
        <f>IFERROR(_xlfn.TEXTJOIN("-", TRUE, _xlfn.XLOOKUP(K32, product_category_id_lookup!$A$2:$A$5, product_category_id_lookup!$B$2:$B$5), B32), "Unknown Category")</f>
        <v>fnt-1010</v>
      </c>
      <c r="D32" s="8">
        <v>44570</v>
      </c>
      <c r="E32" s="7">
        <f t="shared" si="0"/>
        <v>2022</v>
      </c>
      <c r="F32" s="28" t="str">
        <f t="shared" si="1"/>
        <v>Jan</v>
      </c>
      <c r="G32" s="17" t="s">
        <v>29</v>
      </c>
      <c r="H32" s="17" t="s">
        <v>15</v>
      </c>
      <c r="I32" s="24">
        <v>134715.50050000002</v>
      </c>
      <c r="J32" s="32">
        <v>35</v>
      </c>
      <c r="K32" s="17" t="s">
        <v>16</v>
      </c>
      <c r="L32" s="24">
        <v>1047.03</v>
      </c>
      <c r="M32" s="24">
        <v>4872.17</v>
      </c>
      <c r="N32" s="34">
        <f>((sales_data_1[[#This Row],[Unit_Price]]*(1-sales_data_1[[#This Row],[Discount]]))-sales_data_1[[#This Row],[Unit_Cost]])*sales_data_1[[#This Row],[Quantity_Sold]]</f>
        <v>98069.450500000006</v>
      </c>
      <c r="O32" s="17" t="s">
        <v>17</v>
      </c>
      <c r="P32" s="26">
        <v>0.21</v>
      </c>
      <c r="Q32" s="17" t="s">
        <v>18</v>
      </c>
      <c r="R32" s="17" t="s">
        <v>19</v>
      </c>
      <c r="S32" s="49" t="str">
        <f t="shared" si="2"/>
        <v>Charlie-North</v>
      </c>
      <c r="T32" s="59" t="str">
        <f>IF(ROUND(sales_data_1[[#This Row],[Profit_Margin]],2)=ROUND((sales_data_1[[#This Row],[Unit_Price]]*(1-sales_data_1[[#This Row],[Discount]]) - sales_data_1[[#This Row],[Unit_Cost]])*sales_data_1[[#This Row],[Quantity_Sold]],2), "PASS", "CHECK")</f>
        <v>PASS</v>
      </c>
    </row>
    <row r="33" spans="1:20" x14ac:dyDescent="0.35">
      <c r="A33" s="7">
        <v>32</v>
      </c>
      <c r="B33" s="9">
        <v>1098</v>
      </c>
      <c r="C33" s="7" t="str">
        <f>IFERROR(_xlfn.TEXTJOIN("-", TRUE, _xlfn.XLOOKUP(K33, product_category_id_lookup!$A$2:$A$5, product_category_id_lookup!$B$2:$B$5), B33), "Unknown Category")</f>
        <v>fd-1098</v>
      </c>
      <c r="D33" s="8">
        <v>44571</v>
      </c>
      <c r="E33" s="7">
        <f t="shared" si="0"/>
        <v>2022</v>
      </c>
      <c r="F33" s="28" t="str">
        <f t="shared" si="1"/>
        <v>Jan</v>
      </c>
      <c r="G33" s="17" t="s">
        <v>33</v>
      </c>
      <c r="H33" s="17" t="s">
        <v>20</v>
      </c>
      <c r="I33" s="24">
        <v>48583.296000000002</v>
      </c>
      <c r="J33" s="32">
        <v>24</v>
      </c>
      <c r="K33" s="17" t="s">
        <v>24</v>
      </c>
      <c r="L33" s="24">
        <v>2021.59</v>
      </c>
      <c r="M33" s="24">
        <v>2108.65</v>
      </c>
      <c r="N33" s="34">
        <f>((sales_data_1[[#This Row],[Unit_Price]]*(1-sales_data_1[[#This Row],[Discount]]))-sales_data_1[[#This Row],[Unit_Cost]])*sales_data_1[[#This Row],[Quantity_Sold]]</f>
        <v>65.13600000000406</v>
      </c>
      <c r="O33" s="17" t="s">
        <v>27</v>
      </c>
      <c r="P33" s="26">
        <v>0.04</v>
      </c>
      <c r="Q33" s="17" t="s">
        <v>28</v>
      </c>
      <c r="R33" s="17" t="s">
        <v>21</v>
      </c>
      <c r="S33" s="49" t="str">
        <f t="shared" si="2"/>
        <v>Alice-West</v>
      </c>
      <c r="T33" s="59" t="str">
        <f>IF(ROUND(sales_data_1[[#This Row],[Profit_Margin]],2)=ROUND((sales_data_1[[#This Row],[Unit_Price]]*(1-sales_data_1[[#This Row],[Discount]]) - sales_data_1[[#This Row],[Unit_Cost]])*sales_data_1[[#This Row],[Quantity_Sold]],2), "PASS", "CHECK")</f>
        <v>PASS</v>
      </c>
    </row>
    <row r="34" spans="1:20" x14ac:dyDescent="0.35">
      <c r="A34" s="7">
        <v>33</v>
      </c>
      <c r="B34" s="9">
        <v>1050</v>
      </c>
      <c r="C34" s="7" t="str">
        <f>IFERROR(_xlfn.TEXTJOIN("-", TRUE, _xlfn.XLOOKUP(K34, product_category_id_lookup!$A$2:$A$5, product_category_id_lookup!$B$2:$B$5), B34), "Unknown Category")</f>
        <v>fnt-1050</v>
      </c>
      <c r="D34" s="8">
        <v>44572</v>
      </c>
      <c r="E34" s="7">
        <f t="shared" si="0"/>
        <v>2022</v>
      </c>
      <c r="F34" s="28" t="str">
        <f t="shared" si="1"/>
        <v>Jan</v>
      </c>
      <c r="G34" s="17" t="s">
        <v>33</v>
      </c>
      <c r="H34" s="17" t="s">
        <v>20</v>
      </c>
      <c r="I34" s="24">
        <v>1064.4342336853781</v>
      </c>
      <c r="J34" s="32">
        <v>1</v>
      </c>
      <c r="K34" s="17" t="s">
        <v>16</v>
      </c>
      <c r="L34" s="24">
        <v>927.71</v>
      </c>
      <c r="M34" s="24">
        <v>1083.6500000000001</v>
      </c>
      <c r="N34" s="34">
        <f>((sales_data_1[[#This Row],[Unit_Price]]*(1-sales_data_1[[#This Row],[Discount]]))-sales_data_1[[#This Row],[Unit_Cost]])*sales_data_1[[#This Row],[Quantity_Sold]]</f>
        <v>134.26700000000005</v>
      </c>
      <c r="O34" s="17" t="s">
        <v>17</v>
      </c>
      <c r="P34" s="26">
        <v>0.02</v>
      </c>
      <c r="Q34" s="17" t="s">
        <v>25</v>
      </c>
      <c r="R34" s="17" t="s">
        <v>21</v>
      </c>
      <c r="S34" s="49" t="str">
        <f t="shared" si="2"/>
        <v>Alice-West</v>
      </c>
      <c r="T34" s="59" t="str">
        <f>IF(ROUND(sales_data_1[[#This Row],[Profit_Margin]],2)=ROUND((sales_data_1[[#This Row],[Unit_Price]]*(1-sales_data_1[[#This Row],[Discount]]) - sales_data_1[[#This Row],[Unit_Cost]])*sales_data_1[[#This Row],[Quantity_Sold]],2), "PASS", "CHECK")</f>
        <v>PASS</v>
      </c>
    </row>
    <row r="35" spans="1:20" x14ac:dyDescent="0.35">
      <c r="A35" s="7">
        <v>34</v>
      </c>
      <c r="B35" s="9">
        <v>1019</v>
      </c>
      <c r="C35" s="7" t="str">
        <f>IFERROR(_xlfn.TEXTJOIN("-", TRUE, _xlfn.XLOOKUP(K35, product_category_id_lookup!$A$2:$A$5, product_category_id_lookup!$B$2:$B$5), B35), "Unknown Category")</f>
        <v>fd-1019</v>
      </c>
      <c r="D35" s="8">
        <v>44572</v>
      </c>
      <c r="E35" s="7">
        <f t="shared" si="0"/>
        <v>2022</v>
      </c>
      <c r="F35" s="28" t="str">
        <f t="shared" si="1"/>
        <v>Jan</v>
      </c>
      <c r="G35" s="17" t="s">
        <v>33</v>
      </c>
      <c r="H35" s="17" t="s">
        <v>30</v>
      </c>
      <c r="I35" s="24">
        <v>21791.037043648168</v>
      </c>
      <c r="J35" s="32">
        <v>6</v>
      </c>
      <c r="K35" s="17" t="s">
        <v>24</v>
      </c>
      <c r="L35" s="24">
        <v>2972.07</v>
      </c>
      <c r="M35" s="24">
        <v>3652.6</v>
      </c>
      <c r="N35" s="34">
        <f>((sales_data_1[[#This Row],[Unit_Price]]*(1-sales_data_1[[#This Row],[Discount]]))-sales_data_1[[#This Row],[Unit_Cost]])*sales_data_1[[#This Row],[Quantity_Sold]]</f>
        <v>3864.0239999999994</v>
      </c>
      <c r="O35" s="17" t="s">
        <v>27</v>
      </c>
      <c r="P35" s="26">
        <v>0.01</v>
      </c>
      <c r="Q35" s="17" t="s">
        <v>18</v>
      </c>
      <c r="R35" s="17" t="s">
        <v>21</v>
      </c>
      <c r="S35" s="49" t="str">
        <f t="shared" si="2"/>
        <v>Alice-East</v>
      </c>
      <c r="T35" s="59" t="str">
        <f>IF(ROUND(sales_data_1[[#This Row],[Profit_Margin]],2)=ROUND((sales_data_1[[#This Row],[Unit_Price]]*(1-sales_data_1[[#This Row],[Discount]]) - sales_data_1[[#This Row],[Unit_Cost]])*sales_data_1[[#This Row],[Quantity_Sold]],2), "PASS", "CHECK")</f>
        <v>PASS</v>
      </c>
    </row>
    <row r="36" spans="1:20" x14ac:dyDescent="0.35">
      <c r="A36" s="7">
        <v>35</v>
      </c>
      <c r="B36" s="9">
        <v>1063</v>
      </c>
      <c r="C36" s="7" t="str">
        <f>IFERROR(_xlfn.TEXTJOIN("-", TRUE, _xlfn.XLOOKUP(K36, product_category_id_lookup!$A$2:$A$5, product_category_id_lookup!$B$2:$B$5), B36), "Unknown Category")</f>
        <v>ctg-1063</v>
      </c>
      <c r="D36" s="8">
        <v>44572</v>
      </c>
      <c r="E36" s="7">
        <f t="shared" si="0"/>
        <v>2022</v>
      </c>
      <c r="F36" s="28" t="str">
        <f t="shared" si="1"/>
        <v>Jan</v>
      </c>
      <c r="G36" s="17" t="s">
        <v>29</v>
      </c>
      <c r="H36" s="17" t="s">
        <v>30</v>
      </c>
      <c r="I36" s="24">
        <v>90351.62</v>
      </c>
      <c r="J36" s="32">
        <v>25</v>
      </c>
      <c r="K36" s="17" t="s">
        <v>26</v>
      </c>
      <c r="L36" s="24">
        <v>560.39</v>
      </c>
      <c r="M36" s="24">
        <v>3725.84</v>
      </c>
      <c r="N36" s="34">
        <f>((sales_data_1[[#This Row],[Unit_Price]]*(1-sales_data_1[[#This Row],[Discount]]))-sales_data_1[[#This Row],[Unit_Cost]])*sales_data_1[[#This Row],[Quantity_Sold]]</f>
        <v>76341.87000000001</v>
      </c>
      <c r="O36" s="17" t="s">
        <v>27</v>
      </c>
      <c r="P36" s="26">
        <v>0.03</v>
      </c>
      <c r="Q36" s="17" t="s">
        <v>25</v>
      </c>
      <c r="R36" s="17" t="s">
        <v>21</v>
      </c>
      <c r="S36" s="49" t="str">
        <f t="shared" si="2"/>
        <v>Charlie-East</v>
      </c>
      <c r="T36" s="59" t="str">
        <f>IF(ROUND(sales_data_1[[#This Row],[Profit_Margin]],2)=ROUND((sales_data_1[[#This Row],[Unit_Price]]*(1-sales_data_1[[#This Row],[Discount]]) - sales_data_1[[#This Row],[Unit_Cost]])*sales_data_1[[#This Row],[Quantity_Sold]],2), "PASS", "CHECK")</f>
        <v>PASS</v>
      </c>
    </row>
    <row r="37" spans="1:20" x14ac:dyDescent="0.35">
      <c r="A37" s="7">
        <v>36</v>
      </c>
      <c r="B37" s="9">
        <v>1085</v>
      </c>
      <c r="C37" s="7" t="str">
        <f>IFERROR(_xlfn.TEXTJOIN("-", TRUE, _xlfn.XLOOKUP(K37, product_category_id_lookup!$A$2:$A$5, product_category_id_lookup!$B$2:$B$5), B37), "Unknown Category")</f>
        <v>etc-1085</v>
      </c>
      <c r="D37" s="8">
        <v>44572</v>
      </c>
      <c r="E37" s="7">
        <f t="shared" si="0"/>
        <v>2022</v>
      </c>
      <c r="F37" s="28" t="str">
        <f t="shared" si="1"/>
        <v>Jan</v>
      </c>
      <c r="G37" s="17" t="s">
        <v>32</v>
      </c>
      <c r="H37" s="17" t="s">
        <v>20</v>
      </c>
      <c r="I37" s="24">
        <v>92001.35</v>
      </c>
      <c r="J37" s="32">
        <v>25</v>
      </c>
      <c r="K37" s="17" t="s">
        <v>31</v>
      </c>
      <c r="L37" s="24">
        <v>391.31</v>
      </c>
      <c r="M37" s="24">
        <v>5257.22</v>
      </c>
      <c r="N37" s="34">
        <f>((sales_data_1[[#This Row],[Unit_Price]]*(1-sales_data_1[[#This Row],[Discount]]))-sales_data_1[[#This Row],[Unit_Cost]])*sales_data_1[[#This Row],[Quantity_Sold]]</f>
        <v>82218.600000000006</v>
      </c>
      <c r="O37" s="17" t="s">
        <v>27</v>
      </c>
      <c r="P37" s="26">
        <v>0.3</v>
      </c>
      <c r="Q37" s="17" t="s">
        <v>25</v>
      </c>
      <c r="R37" s="17" t="s">
        <v>19</v>
      </c>
      <c r="S37" s="49" t="str">
        <f t="shared" si="2"/>
        <v>Eve-West</v>
      </c>
      <c r="T37" s="59" t="str">
        <f>IF(ROUND(sales_data_1[[#This Row],[Profit_Margin]],2)=ROUND((sales_data_1[[#This Row],[Unit_Price]]*(1-sales_data_1[[#This Row],[Discount]]) - sales_data_1[[#This Row],[Unit_Cost]])*sales_data_1[[#This Row],[Quantity_Sold]],2), "PASS", "CHECK")</f>
        <v>PASS</v>
      </c>
    </row>
    <row r="38" spans="1:20" x14ac:dyDescent="0.35">
      <c r="A38" s="7">
        <v>37</v>
      </c>
      <c r="B38" s="9">
        <v>1077</v>
      </c>
      <c r="C38" s="7" t="str">
        <f>IFERROR(_xlfn.TEXTJOIN("-", TRUE, _xlfn.XLOOKUP(K38, product_category_id_lookup!$A$2:$A$5, product_category_id_lookup!$B$2:$B$5), B38), "Unknown Category")</f>
        <v>fnt-1077</v>
      </c>
      <c r="D38" s="8">
        <v>44572</v>
      </c>
      <c r="E38" s="7">
        <f t="shared" si="0"/>
        <v>2022</v>
      </c>
      <c r="F38" s="28" t="str">
        <f t="shared" si="1"/>
        <v>Jan</v>
      </c>
      <c r="G38" s="17" t="s">
        <v>22</v>
      </c>
      <c r="H38" s="17" t="s">
        <v>30</v>
      </c>
      <c r="I38" s="24">
        <v>102061.15920000001</v>
      </c>
      <c r="J38" s="32">
        <v>33</v>
      </c>
      <c r="K38" s="17" t="s">
        <v>16</v>
      </c>
      <c r="L38" s="24">
        <v>383.51</v>
      </c>
      <c r="M38" s="24">
        <v>3155.88</v>
      </c>
      <c r="N38" s="34">
        <f>((sales_data_1[[#This Row],[Unit_Price]]*(1-sales_data_1[[#This Row],[Discount]]))-sales_data_1[[#This Row],[Unit_Cost]])*sales_data_1[[#This Row],[Quantity_Sold]]</f>
        <v>89405.329200000007</v>
      </c>
      <c r="O38" s="17" t="s">
        <v>27</v>
      </c>
      <c r="P38" s="26">
        <v>0.02</v>
      </c>
      <c r="Q38" s="17" t="s">
        <v>25</v>
      </c>
      <c r="R38" s="17" t="s">
        <v>19</v>
      </c>
      <c r="S38" s="49" t="str">
        <f t="shared" si="2"/>
        <v>David-East</v>
      </c>
      <c r="T38" s="59" t="str">
        <f>IF(ROUND(sales_data_1[[#This Row],[Profit_Margin]],2)=ROUND((sales_data_1[[#This Row],[Unit_Price]]*(1-sales_data_1[[#This Row],[Discount]]) - sales_data_1[[#This Row],[Unit_Cost]])*sales_data_1[[#This Row],[Quantity_Sold]],2), "PASS", "CHECK")</f>
        <v>PASS</v>
      </c>
    </row>
    <row r="39" spans="1:20" x14ac:dyDescent="0.35">
      <c r="A39" s="7">
        <v>38</v>
      </c>
      <c r="B39" s="9">
        <v>1091</v>
      </c>
      <c r="C39" s="7" t="str">
        <f>IFERROR(_xlfn.TEXTJOIN("-", TRUE, _xlfn.XLOOKUP(K39, product_category_id_lookup!$A$2:$A$5, product_category_id_lookup!$B$2:$B$5), B39), "Unknown Category")</f>
        <v>etc-1091</v>
      </c>
      <c r="D39" s="8">
        <v>44573</v>
      </c>
      <c r="E39" s="7">
        <f t="shared" si="0"/>
        <v>2022</v>
      </c>
      <c r="F39" s="28" t="str">
        <f t="shared" si="1"/>
        <v>Jan</v>
      </c>
      <c r="G39" s="17" t="s">
        <v>22</v>
      </c>
      <c r="H39" s="17" t="s">
        <v>20</v>
      </c>
      <c r="I39" s="24">
        <v>66827.942999999999</v>
      </c>
      <c r="J39" s="32">
        <v>30</v>
      </c>
      <c r="K39" s="17" t="s">
        <v>31</v>
      </c>
      <c r="L39" s="24">
        <v>2090.5</v>
      </c>
      <c r="M39" s="24">
        <v>2447.91</v>
      </c>
      <c r="N39" s="34">
        <f>((sales_data_1[[#This Row],[Unit_Price]]*(1-sales_data_1[[#This Row],[Discount]]))-sales_data_1[[#This Row],[Unit_Cost]])*sales_data_1[[#This Row],[Quantity_Sold]]</f>
        <v>4112.9430000000048</v>
      </c>
      <c r="O39" s="17" t="s">
        <v>27</v>
      </c>
      <c r="P39" s="26">
        <v>0.09</v>
      </c>
      <c r="Q39" s="17" t="s">
        <v>25</v>
      </c>
      <c r="R39" s="17" t="s">
        <v>21</v>
      </c>
      <c r="S39" s="49" t="str">
        <f t="shared" si="2"/>
        <v>David-West</v>
      </c>
      <c r="T39" s="59" t="str">
        <f>IF(ROUND(sales_data_1[[#This Row],[Profit_Margin]],2)=ROUND((sales_data_1[[#This Row],[Unit_Price]]*(1-sales_data_1[[#This Row],[Discount]]) - sales_data_1[[#This Row],[Unit_Cost]])*sales_data_1[[#This Row],[Quantity_Sold]],2), "PASS", "CHECK")</f>
        <v>PASS</v>
      </c>
    </row>
    <row r="40" spans="1:20" x14ac:dyDescent="0.35">
      <c r="A40" s="7">
        <v>39</v>
      </c>
      <c r="B40" s="9">
        <v>1090</v>
      </c>
      <c r="C40" s="7" t="str">
        <f>IFERROR(_xlfn.TEXTJOIN("-", TRUE, _xlfn.XLOOKUP(K40, product_category_id_lookup!$A$2:$A$5, product_category_id_lookup!$B$2:$B$5), B40), "Unknown Category")</f>
        <v>ctg-1090</v>
      </c>
      <c r="D40" s="8">
        <v>44573</v>
      </c>
      <c r="E40" s="7">
        <f t="shared" si="0"/>
        <v>2022</v>
      </c>
      <c r="F40" s="28" t="str">
        <f t="shared" si="1"/>
        <v>Jan</v>
      </c>
      <c r="G40" s="17" t="s">
        <v>22</v>
      </c>
      <c r="H40" s="17" t="s">
        <v>23</v>
      </c>
      <c r="I40" s="24">
        <v>23509.912499999999</v>
      </c>
      <c r="J40" s="32">
        <v>15</v>
      </c>
      <c r="K40" s="17" t="s">
        <v>26</v>
      </c>
      <c r="L40" s="24">
        <v>1239.02</v>
      </c>
      <c r="M40" s="24">
        <v>2089.77</v>
      </c>
      <c r="N40" s="34">
        <f>((sales_data_1[[#This Row],[Unit_Price]]*(1-sales_data_1[[#This Row],[Discount]]))-sales_data_1[[#This Row],[Unit_Cost]])*sales_data_1[[#This Row],[Quantity_Sold]]</f>
        <v>4924.6124999999984</v>
      </c>
      <c r="O40" s="17" t="s">
        <v>17</v>
      </c>
      <c r="P40" s="26">
        <v>0.25</v>
      </c>
      <c r="Q40" s="17" t="s">
        <v>18</v>
      </c>
      <c r="R40" s="17" t="s">
        <v>21</v>
      </c>
      <c r="S40" s="49" t="str">
        <f t="shared" si="2"/>
        <v>David-South</v>
      </c>
      <c r="T40" s="59" t="str">
        <f>IF(ROUND(sales_data_1[[#This Row],[Profit_Margin]],2)=ROUND((sales_data_1[[#This Row],[Unit_Price]]*(1-sales_data_1[[#This Row],[Discount]]) - sales_data_1[[#This Row],[Unit_Cost]])*sales_data_1[[#This Row],[Quantity_Sold]],2), "PASS", "CHECK")</f>
        <v>PASS</v>
      </c>
    </row>
    <row r="41" spans="1:20" x14ac:dyDescent="0.35">
      <c r="A41" s="7">
        <v>40</v>
      </c>
      <c r="B41" s="9">
        <v>1021</v>
      </c>
      <c r="C41" s="7" t="str">
        <f>IFERROR(_xlfn.TEXTJOIN("-", TRUE, _xlfn.XLOOKUP(K41, product_category_id_lookup!$A$2:$A$5, product_category_id_lookup!$B$2:$B$5), B41), "Unknown Category")</f>
        <v>etc-1021</v>
      </c>
      <c r="D41" s="8">
        <v>44573</v>
      </c>
      <c r="E41" s="7">
        <f t="shared" si="0"/>
        <v>2022</v>
      </c>
      <c r="F41" s="28" t="str">
        <f t="shared" si="1"/>
        <v>Jan</v>
      </c>
      <c r="G41" s="17" t="s">
        <v>32</v>
      </c>
      <c r="H41" s="17" t="s">
        <v>20</v>
      </c>
      <c r="I41" s="24">
        <v>201119.18338193381</v>
      </c>
      <c r="J41" s="32">
        <v>41</v>
      </c>
      <c r="K41" s="17" t="s">
        <v>31</v>
      </c>
      <c r="L41" s="24">
        <v>3565.28</v>
      </c>
      <c r="M41" s="24">
        <v>4971.2299999999996</v>
      </c>
      <c r="N41" s="34">
        <f>((sales_data_1[[#This Row],[Unit_Price]]*(1-sales_data_1[[#This Row],[Discount]]))-sales_data_1[[#This Row],[Unit_Cost]])*sales_data_1[[#This Row],[Quantity_Sold]]</f>
        <v>55605.74569999997</v>
      </c>
      <c r="O41" s="17" t="s">
        <v>17</v>
      </c>
      <c r="P41" s="26">
        <v>0.01</v>
      </c>
      <c r="Q41" s="17" t="s">
        <v>25</v>
      </c>
      <c r="R41" s="17" t="s">
        <v>19</v>
      </c>
      <c r="S41" s="49" t="str">
        <f t="shared" si="2"/>
        <v>Eve-West</v>
      </c>
      <c r="T41" s="59" t="str">
        <f>IF(ROUND(sales_data_1[[#This Row],[Profit_Margin]],2)=ROUND((sales_data_1[[#This Row],[Unit_Price]]*(1-sales_data_1[[#This Row],[Discount]]) - sales_data_1[[#This Row],[Unit_Cost]])*sales_data_1[[#This Row],[Quantity_Sold]],2), "PASS", "CHECK")</f>
        <v>PASS</v>
      </c>
    </row>
    <row r="42" spans="1:20" x14ac:dyDescent="0.35">
      <c r="A42" s="7">
        <v>41</v>
      </c>
      <c r="B42" s="9">
        <v>1009</v>
      </c>
      <c r="C42" s="7" t="str">
        <f>IFERROR(_xlfn.TEXTJOIN("-", TRUE, _xlfn.XLOOKUP(K42, product_category_id_lookup!$A$2:$A$5, product_category_id_lookup!$B$2:$B$5), B42), "Unknown Category")</f>
        <v>fd-1009</v>
      </c>
      <c r="D42" s="8">
        <v>44573</v>
      </c>
      <c r="E42" s="7">
        <f t="shared" si="0"/>
        <v>2022</v>
      </c>
      <c r="F42" s="28" t="str">
        <f t="shared" si="1"/>
        <v>Jan</v>
      </c>
      <c r="G42" s="17" t="s">
        <v>33</v>
      </c>
      <c r="H42" s="17" t="s">
        <v>20</v>
      </c>
      <c r="I42" s="24">
        <v>115947.24959999998</v>
      </c>
      <c r="J42" s="32">
        <v>24</v>
      </c>
      <c r="K42" s="17" t="s">
        <v>24</v>
      </c>
      <c r="L42" s="24">
        <v>1282.5899999999999</v>
      </c>
      <c r="M42" s="24">
        <v>4929.7299999999996</v>
      </c>
      <c r="N42" s="34">
        <f>((sales_data_1[[#This Row],[Unit_Price]]*(1-sales_data_1[[#This Row],[Discount]]))-sales_data_1[[#This Row],[Unit_Cost]])*sales_data_1[[#This Row],[Quantity_Sold]]</f>
        <v>85165.089599999978</v>
      </c>
      <c r="O42" s="17" t="s">
        <v>27</v>
      </c>
      <c r="P42" s="26">
        <v>0.02</v>
      </c>
      <c r="Q42" s="17" t="s">
        <v>18</v>
      </c>
      <c r="R42" s="17" t="s">
        <v>19</v>
      </c>
      <c r="S42" s="49" t="str">
        <f t="shared" si="2"/>
        <v>Alice-West</v>
      </c>
      <c r="T42" s="59" t="str">
        <f>IF(ROUND(sales_data_1[[#This Row],[Profit_Margin]],2)=ROUND((sales_data_1[[#This Row],[Unit_Price]]*(1-sales_data_1[[#This Row],[Discount]]) - sales_data_1[[#This Row],[Unit_Cost]])*sales_data_1[[#This Row],[Quantity_Sold]],2), "PASS", "CHECK")</f>
        <v>PASS</v>
      </c>
    </row>
    <row r="43" spans="1:20" x14ac:dyDescent="0.35">
      <c r="A43" s="7">
        <v>42</v>
      </c>
      <c r="B43" s="9">
        <v>1095</v>
      </c>
      <c r="C43" s="7" t="str">
        <f>IFERROR(_xlfn.TEXTJOIN("-", TRUE, _xlfn.XLOOKUP(K43, product_category_id_lookup!$A$2:$A$5, product_category_id_lookup!$B$2:$B$5), B43), "Unknown Category")</f>
        <v>ctg-1095</v>
      </c>
      <c r="D43" s="8">
        <v>44574</v>
      </c>
      <c r="E43" s="7">
        <f t="shared" si="0"/>
        <v>2022</v>
      </c>
      <c r="F43" s="28" t="str">
        <f t="shared" si="1"/>
        <v>Jan</v>
      </c>
      <c r="G43" s="17" t="s">
        <v>29</v>
      </c>
      <c r="H43" s="17" t="s">
        <v>15</v>
      </c>
      <c r="I43" s="24">
        <v>30869.769845106341</v>
      </c>
      <c r="J43" s="32">
        <v>12</v>
      </c>
      <c r="K43" s="17" t="s">
        <v>26</v>
      </c>
      <c r="L43" s="24">
        <v>2485.41</v>
      </c>
      <c r="M43" s="24">
        <v>2574.56</v>
      </c>
      <c r="N43" s="34">
        <f>((sales_data_1[[#This Row],[Unit_Price]]*(1-sales_data_1[[#This Row],[Discount]]))-sales_data_1[[#This Row],[Unit_Cost]])*sales_data_1[[#This Row],[Quantity_Sold]]</f>
        <v>1069.8000000000011</v>
      </c>
      <c r="O43" s="17" t="s">
        <v>17</v>
      </c>
      <c r="P43" s="26">
        <v>0</v>
      </c>
      <c r="Q43" s="17" t="s">
        <v>25</v>
      </c>
      <c r="R43" s="17" t="s">
        <v>19</v>
      </c>
      <c r="S43" s="49" t="str">
        <f t="shared" si="2"/>
        <v>Charlie-North</v>
      </c>
      <c r="T43" s="59" t="str">
        <f>IF(ROUND(sales_data_1[[#This Row],[Profit_Margin]],2)=ROUND((sales_data_1[[#This Row],[Unit_Price]]*(1-sales_data_1[[#This Row],[Discount]]) - sales_data_1[[#This Row],[Unit_Cost]])*sales_data_1[[#This Row],[Quantity_Sold]],2), "PASS", "CHECK")</f>
        <v>PASS</v>
      </c>
    </row>
    <row r="44" spans="1:20" x14ac:dyDescent="0.35">
      <c r="A44" s="7">
        <v>43</v>
      </c>
      <c r="B44" s="9">
        <v>1057</v>
      </c>
      <c r="C44" s="7" t="str">
        <f>IFERROR(_xlfn.TEXTJOIN("-", TRUE, _xlfn.XLOOKUP(K44, product_category_id_lookup!$A$2:$A$5, product_category_id_lookup!$B$2:$B$5), B44), "Unknown Category")</f>
        <v>ctg-1057</v>
      </c>
      <c r="D44" s="8">
        <v>44574</v>
      </c>
      <c r="E44" s="7">
        <f t="shared" si="0"/>
        <v>2022</v>
      </c>
      <c r="F44" s="28" t="str">
        <f t="shared" si="1"/>
        <v>Jan</v>
      </c>
      <c r="G44" s="17" t="s">
        <v>33</v>
      </c>
      <c r="H44" s="17" t="s">
        <v>15</v>
      </c>
      <c r="I44" s="24">
        <v>161600.88937936077</v>
      </c>
      <c r="J44" s="32">
        <v>45</v>
      </c>
      <c r="K44" s="17" t="s">
        <v>26</v>
      </c>
      <c r="L44" s="24">
        <v>3316.21</v>
      </c>
      <c r="M44" s="24">
        <v>3734.86</v>
      </c>
      <c r="N44" s="34">
        <f>((sales_data_1[[#This Row],[Unit_Price]]*(1-sales_data_1[[#This Row],[Discount]]))-sales_data_1[[#This Row],[Unit_Cost]])*sales_data_1[[#This Row],[Quantity_Sold]]</f>
        <v>12116.501999999999</v>
      </c>
      <c r="O44" s="17" t="s">
        <v>17</v>
      </c>
      <c r="P44" s="26">
        <v>0.04</v>
      </c>
      <c r="Q44" s="17" t="s">
        <v>25</v>
      </c>
      <c r="R44" s="17" t="s">
        <v>21</v>
      </c>
      <c r="S44" s="49" t="str">
        <f t="shared" si="2"/>
        <v>Alice-North</v>
      </c>
      <c r="T44" s="59" t="str">
        <f>IF(ROUND(sales_data_1[[#This Row],[Profit_Margin]],2)=ROUND((sales_data_1[[#This Row],[Unit_Price]]*(1-sales_data_1[[#This Row],[Discount]]) - sales_data_1[[#This Row],[Unit_Cost]])*sales_data_1[[#This Row],[Quantity_Sold]],2), "PASS", "CHECK")</f>
        <v>PASS</v>
      </c>
    </row>
    <row r="45" spans="1:20" x14ac:dyDescent="0.35">
      <c r="A45" s="7">
        <v>44</v>
      </c>
      <c r="B45" s="9">
        <v>1097</v>
      </c>
      <c r="C45" s="7" t="str">
        <f>IFERROR(_xlfn.TEXTJOIN("-", TRUE, _xlfn.XLOOKUP(K45, product_category_id_lookup!$A$2:$A$5, product_category_id_lookup!$B$2:$B$5), B45), "Unknown Category")</f>
        <v>ctg-1097</v>
      </c>
      <c r="D45" s="8">
        <v>44574</v>
      </c>
      <c r="E45" s="7">
        <f t="shared" si="0"/>
        <v>2022</v>
      </c>
      <c r="F45" s="28" t="str">
        <f t="shared" si="1"/>
        <v>Jan</v>
      </c>
      <c r="G45" s="17" t="s">
        <v>29</v>
      </c>
      <c r="H45" s="17" t="s">
        <v>30</v>
      </c>
      <c r="I45" s="24">
        <v>43072.479000000007</v>
      </c>
      <c r="J45" s="32">
        <v>15</v>
      </c>
      <c r="K45" s="17" t="s">
        <v>26</v>
      </c>
      <c r="L45" s="24">
        <v>2002.38</v>
      </c>
      <c r="M45" s="24">
        <v>3545.06</v>
      </c>
      <c r="N45" s="34">
        <f>((sales_data_1[[#This Row],[Unit_Price]]*(1-sales_data_1[[#This Row],[Discount]]))-sales_data_1[[#This Row],[Unit_Cost]])*sales_data_1[[#This Row],[Quantity_Sold]]</f>
        <v>13036.779000000004</v>
      </c>
      <c r="O45" s="17" t="s">
        <v>17</v>
      </c>
      <c r="P45" s="26">
        <v>0.19</v>
      </c>
      <c r="Q45" s="17" t="s">
        <v>28</v>
      </c>
      <c r="R45" s="17" t="s">
        <v>19</v>
      </c>
      <c r="S45" s="49" t="str">
        <f t="shared" si="2"/>
        <v>Charlie-East</v>
      </c>
      <c r="T45" s="59" t="str">
        <f>IF(ROUND(sales_data_1[[#This Row],[Profit_Margin]],2)=ROUND((sales_data_1[[#This Row],[Unit_Price]]*(1-sales_data_1[[#This Row],[Discount]]) - sales_data_1[[#This Row],[Unit_Cost]])*sales_data_1[[#This Row],[Quantity_Sold]],2), "PASS", "CHECK")</f>
        <v>PASS</v>
      </c>
    </row>
    <row r="46" spans="1:20" x14ac:dyDescent="0.35">
      <c r="A46" s="7">
        <v>45</v>
      </c>
      <c r="B46" s="9">
        <v>1005</v>
      </c>
      <c r="C46" s="7" t="str">
        <f>IFERROR(_xlfn.TEXTJOIN("-", TRUE, _xlfn.XLOOKUP(K46, product_category_id_lookup!$A$2:$A$5, product_category_id_lookup!$B$2:$B$5), B46), "Unknown Category")</f>
        <v>fd-1005</v>
      </c>
      <c r="D46" s="8">
        <v>44574</v>
      </c>
      <c r="E46" s="7">
        <f t="shared" si="0"/>
        <v>2022</v>
      </c>
      <c r="F46" s="28" t="str">
        <f t="shared" si="1"/>
        <v>Jan</v>
      </c>
      <c r="G46" s="17" t="s">
        <v>33</v>
      </c>
      <c r="H46" s="17" t="s">
        <v>20</v>
      </c>
      <c r="I46" s="24">
        <v>122728.62420000001</v>
      </c>
      <c r="J46" s="32">
        <v>27</v>
      </c>
      <c r="K46" s="17" t="s">
        <v>24</v>
      </c>
      <c r="L46" s="24">
        <v>3962.83</v>
      </c>
      <c r="M46" s="24">
        <v>4995.0600000000004</v>
      </c>
      <c r="N46" s="34">
        <f>((sales_data_1[[#This Row],[Unit_Price]]*(1-sales_data_1[[#This Row],[Discount]]))-sales_data_1[[#This Row],[Unit_Cost]])*sales_data_1[[#This Row],[Quantity_Sold]]</f>
        <v>15732.214200000008</v>
      </c>
      <c r="O46" s="17" t="s">
        <v>27</v>
      </c>
      <c r="P46" s="26">
        <v>0.09</v>
      </c>
      <c r="Q46" s="17" t="s">
        <v>25</v>
      </c>
      <c r="R46" s="17" t="s">
        <v>21</v>
      </c>
      <c r="S46" s="49" t="str">
        <f t="shared" si="2"/>
        <v>Alice-West</v>
      </c>
      <c r="T46" s="59" t="str">
        <f>IF(ROUND(sales_data_1[[#This Row],[Profit_Margin]],2)=ROUND((sales_data_1[[#This Row],[Unit_Price]]*(1-sales_data_1[[#This Row],[Discount]]) - sales_data_1[[#This Row],[Unit_Cost]])*sales_data_1[[#This Row],[Quantity_Sold]],2), "PASS", "CHECK")</f>
        <v>PASS</v>
      </c>
    </row>
    <row r="47" spans="1:20" x14ac:dyDescent="0.35">
      <c r="A47" s="7">
        <v>46</v>
      </c>
      <c r="B47" s="9">
        <v>1050</v>
      </c>
      <c r="C47" s="7" t="str">
        <f>IFERROR(_xlfn.TEXTJOIN("-", TRUE, _xlfn.XLOOKUP(K47, product_category_id_lookup!$A$2:$A$5, product_category_id_lookup!$B$2:$B$5), B47), "Unknown Category")</f>
        <v>ctg-1050</v>
      </c>
      <c r="D47" s="8">
        <v>44574</v>
      </c>
      <c r="E47" s="7">
        <f t="shared" si="0"/>
        <v>2022</v>
      </c>
      <c r="F47" s="28" t="str">
        <f t="shared" si="1"/>
        <v>Jan</v>
      </c>
      <c r="G47" s="17" t="s">
        <v>14</v>
      </c>
      <c r="H47" s="17" t="s">
        <v>23</v>
      </c>
      <c r="I47" s="24">
        <v>63746.256000000001</v>
      </c>
      <c r="J47" s="32">
        <v>35</v>
      </c>
      <c r="K47" s="17" t="s">
        <v>26</v>
      </c>
      <c r="L47" s="24">
        <v>313.88</v>
      </c>
      <c r="M47" s="24">
        <v>1897.21</v>
      </c>
      <c r="N47" s="34">
        <f>((sales_data_1[[#This Row],[Unit_Price]]*(1-sales_data_1[[#This Row],[Discount]]))-sales_data_1[[#This Row],[Unit_Cost]])*sales_data_1[[#This Row],[Quantity_Sold]]</f>
        <v>52760.456000000006</v>
      </c>
      <c r="O47" s="17" t="s">
        <v>27</v>
      </c>
      <c r="P47" s="26">
        <v>0.04</v>
      </c>
      <c r="Q47" s="17" t="s">
        <v>28</v>
      </c>
      <c r="R47" s="17" t="s">
        <v>21</v>
      </c>
      <c r="S47" s="49" t="str">
        <f t="shared" si="2"/>
        <v>Bob-South</v>
      </c>
      <c r="T47" s="59" t="str">
        <f>IF(ROUND(sales_data_1[[#This Row],[Profit_Margin]],2)=ROUND((sales_data_1[[#This Row],[Unit_Price]]*(1-sales_data_1[[#This Row],[Discount]]) - sales_data_1[[#This Row],[Unit_Cost]])*sales_data_1[[#This Row],[Quantity_Sold]],2), "PASS", "CHECK")</f>
        <v>PASS</v>
      </c>
    </row>
    <row r="48" spans="1:20" x14ac:dyDescent="0.35">
      <c r="A48" s="7">
        <v>47</v>
      </c>
      <c r="B48" s="9">
        <v>1040</v>
      </c>
      <c r="C48" s="7" t="str">
        <f>IFERROR(_xlfn.TEXTJOIN("-", TRUE, _xlfn.XLOOKUP(K48, product_category_id_lookup!$A$2:$A$5, product_category_id_lookup!$B$2:$B$5), B48), "Unknown Category")</f>
        <v>ctg-1040</v>
      </c>
      <c r="D48" s="8">
        <v>44574</v>
      </c>
      <c r="E48" s="7">
        <f t="shared" si="0"/>
        <v>2022</v>
      </c>
      <c r="F48" s="28" t="str">
        <f t="shared" si="1"/>
        <v>Jan</v>
      </c>
      <c r="G48" s="17" t="s">
        <v>29</v>
      </c>
      <c r="H48" s="17" t="s">
        <v>15</v>
      </c>
      <c r="I48" s="24">
        <v>73940.233500000002</v>
      </c>
      <c r="J48" s="32">
        <v>21</v>
      </c>
      <c r="K48" s="17" t="s">
        <v>26</v>
      </c>
      <c r="L48" s="24">
        <v>797.86</v>
      </c>
      <c r="M48" s="24">
        <v>4142.3100000000004</v>
      </c>
      <c r="N48" s="34">
        <f>((sales_data_1[[#This Row],[Unit_Price]]*(1-sales_data_1[[#This Row],[Discount]]))-sales_data_1[[#This Row],[Unit_Cost]])*sales_data_1[[#This Row],[Quantity_Sold]]</f>
        <v>57185.173500000004</v>
      </c>
      <c r="O48" s="17" t="s">
        <v>17</v>
      </c>
      <c r="P48" s="26">
        <v>0.15</v>
      </c>
      <c r="Q48" s="17" t="s">
        <v>18</v>
      </c>
      <c r="R48" s="17" t="s">
        <v>21</v>
      </c>
      <c r="S48" s="49" t="str">
        <f t="shared" si="2"/>
        <v>Charlie-North</v>
      </c>
      <c r="T48" s="59" t="str">
        <f>IF(ROUND(sales_data_1[[#This Row],[Profit_Margin]],2)=ROUND((sales_data_1[[#This Row],[Unit_Price]]*(1-sales_data_1[[#This Row],[Discount]]) - sales_data_1[[#This Row],[Unit_Cost]])*sales_data_1[[#This Row],[Quantity_Sold]],2), "PASS", "CHECK")</f>
        <v>PASS</v>
      </c>
    </row>
    <row r="49" spans="1:20" x14ac:dyDescent="0.35">
      <c r="A49" s="7">
        <v>48</v>
      </c>
      <c r="B49" s="9">
        <v>1097</v>
      </c>
      <c r="C49" s="7" t="str">
        <f>IFERROR(_xlfn.TEXTJOIN("-", TRUE, _xlfn.XLOOKUP(K49, product_category_id_lookup!$A$2:$A$5, product_category_id_lookup!$B$2:$B$5), B49), "Unknown Category")</f>
        <v>fnt-1097</v>
      </c>
      <c r="D49" s="8">
        <v>44575</v>
      </c>
      <c r="E49" s="7">
        <f t="shared" si="0"/>
        <v>2022</v>
      </c>
      <c r="F49" s="28" t="str">
        <f t="shared" si="1"/>
        <v>Jan</v>
      </c>
      <c r="G49" s="17" t="s">
        <v>33</v>
      </c>
      <c r="H49" s="17" t="s">
        <v>15</v>
      </c>
      <c r="I49" s="24">
        <v>4603.4459999999999</v>
      </c>
      <c r="J49" s="32">
        <v>3</v>
      </c>
      <c r="K49" s="17" t="s">
        <v>16</v>
      </c>
      <c r="L49" s="24">
        <v>1155.55</v>
      </c>
      <c r="M49" s="24">
        <v>1704.98</v>
      </c>
      <c r="N49" s="34">
        <f>((sales_data_1[[#This Row],[Unit_Price]]*(1-sales_data_1[[#This Row],[Discount]]))-sales_data_1[[#This Row],[Unit_Cost]])*sales_data_1[[#This Row],[Quantity_Sold]]</f>
        <v>1136.796</v>
      </c>
      <c r="O49" s="17" t="s">
        <v>17</v>
      </c>
      <c r="P49" s="26">
        <v>0.1</v>
      </c>
      <c r="Q49" s="17" t="s">
        <v>28</v>
      </c>
      <c r="R49" s="17" t="s">
        <v>21</v>
      </c>
      <c r="S49" s="49" t="str">
        <f t="shared" si="2"/>
        <v>Alice-North</v>
      </c>
      <c r="T49" s="59" t="str">
        <f>IF(ROUND(sales_data_1[[#This Row],[Profit_Margin]],2)=ROUND((sales_data_1[[#This Row],[Unit_Price]]*(1-sales_data_1[[#This Row],[Discount]]) - sales_data_1[[#This Row],[Unit_Cost]])*sales_data_1[[#This Row],[Quantity_Sold]],2), "PASS", "CHECK")</f>
        <v>PASS</v>
      </c>
    </row>
    <row r="50" spans="1:20" x14ac:dyDescent="0.35">
      <c r="A50" s="7">
        <v>49</v>
      </c>
      <c r="B50" s="9">
        <v>1073</v>
      </c>
      <c r="C50" s="7" t="str">
        <f>IFERROR(_xlfn.TEXTJOIN("-", TRUE, _xlfn.XLOOKUP(K50, product_category_id_lookup!$A$2:$A$5, product_category_id_lookup!$B$2:$B$5), B50), "Unknown Category")</f>
        <v>fd-1073</v>
      </c>
      <c r="D50" s="8">
        <v>44576</v>
      </c>
      <c r="E50" s="7">
        <f t="shared" si="0"/>
        <v>2022</v>
      </c>
      <c r="F50" s="28" t="str">
        <f t="shared" si="1"/>
        <v>Jan</v>
      </c>
      <c r="G50" s="17" t="s">
        <v>22</v>
      </c>
      <c r="H50" s="17" t="s">
        <v>20</v>
      </c>
      <c r="I50" s="24">
        <v>39801.144</v>
      </c>
      <c r="J50" s="32">
        <v>15</v>
      </c>
      <c r="K50" s="17" t="s">
        <v>24</v>
      </c>
      <c r="L50" s="24">
        <v>2127.4499999999998</v>
      </c>
      <c r="M50" s="24">
        <v>3085.36</v>
      </c>
      <c r="N50" s="34">
        <f>((sales_data_1[[#This Row],[Unit_Price]]*(1-sales_data_1[[#This Row],[Discount]]))-sales_data_1[[#This Row],[Unit_Cost]])*sales_data_1[[#This Row],[Quantity_Sold]]</f>
        <v>7889.3940000000021</v>
      </c>
      <c r="O50" s="17" t="s">
        <v>17</v>
      </c>
      <c r="P50" s="26">
        <v>0.14000000000000001</v>
      </c>
      <c r="Q50" s="17" t="s">
        <v>18</v>
      </c>
      <c r="R50" s="17" t="s">
        <v>19</v>
      </c>
      <c r="S50" s="49" t="str">
        <f t="shared" si="2"/>
        <v>David-West</v>
      </c>
      <c r="T50" s="59" t="str">
        <f>IF(ROUND(sales_data_1[[#This Row],[Profit_Margin]],2)=ROUND((sales_data_1[[#This Row],[Unit_Price]]*(1-sales_data_1[[#This Row],[Discount]]) - sales_data_1[[#This Row],[Unit_Cost]])*sales_data_1[[#This Row],[Quantity_Sold]],2), "PASS", "CHECK")</f>
        <v>PASS</v>
      </c>
    </row>
    <row r="51" spans="1:20" x14ac:dyDescent="0.35">
      <c r="A51" s="7">
        <v>50</v>
      </c>
      <c r="B51" s="9">
        <v>1020</v>
      </c>
      <c r="C51" s="7" t="str">
        <f>IFERROR(_xlfn.TEXTJOIN("-", TRUE, _xlfn.XLOOKUP(K51, product_category_id_lookup!$A$2:$A$5, product_category_id_lookup!$B$2:$B$5), B51), "Unknown Category")</f>
        <v>fd-1020</v>
      </c>
      <c r="D51" s="8">
        <v>44576</v>
      </c>
      <c r="E51" s="7">
        <f t="shared" si="0"/>
        <v>2022</v>
      </c>
      <c r="F51" s="28" t="str">
        <f t="shared" si="1"/>
        <v>Jan</v>
      </c>
      <c r="G51" s="17" t="s">
        <v>29</v>
      </c>
      <c r="H51" s="17" t="s">
        <v>30</v>
      </c>
      <c r="I51" s="24">
        <v>67761.200999999986</v>
      </c>
      <c r="J51" s="32">
        <v>17</v>
      </c>
      <c r="K51" s="17" t="s">
        <v>24</v>
      </c>
      <c r="L51" s="24">
        <v>2408.56</v>
      </c>
      <c r="M51" s="24">
        <v>4195.74</v>
      </c>
      <c r="N51" s="34">
        <f>((sales_data_1[[#This Row],[Unit_Price]]*(1-sales_data_1[[#This Row],[Discount]]))-sales_data_1[[#This Row],[Unit_Cost]])*sales_data_1[[#This Row],[Quantity_Sold]]</f>
        <v>26815.680999999993</v>
      </c>
      <c r="O51" s="17" t="s">
        <v>27</v>
      </c>
      <c r="P51" s="26">
        <v>0.05</v>
      </c>
      <c r="Q51" s="17" t="s">
        <v>28</v>
      </c>
      <c r="R51" s="17" t="s">
        <v>19</v>
      </c>
      <c r="S51" s="49" t="str">
        <f t="shared" si="2"/>
        <v>Charlie-East</v>
      </c>
      <c r="T51" s="59" t="str">
        <f>IF(ROUND(sales_data_1[[#This Row],[Profit_Margin]],2)=ROUND((sales_data_1[[#This Row],[Unit_Price]]*(1-sales_data_1[[#This Row],[Discount]]) - sales_data_1[[#This Row],[Unit_Cost]])*sales_data_1[[#This Row],[Quantity_Sold]],2), "PASS", "CHECK")</f>
        <v>PASS</v>
      </c>
    </row>
    <row r="52" spans="1:20" x14ac:dyDescent="0.35">
      <c r="A52" s="7">
        <v>51</v>
      </c>
      <c r="B52" s="9">
        <v>1080</v>
      </c>
      <c r="C52" s="7" t="str">
        <f>IFERROR(_xlfn.TEXTJOIN("-", TRUE, _xlfn.XLOOKUP(K52, product_category_id_lookup!$A$2:$A$5, product_category_id_lookup!$B$2:$B$5), B52), "Unknown Category")</f>
        <v>etc-1080</v>
      </c>
      <c r="D52" s="8">
        <v>44576</v>
      </c>
      <c r="E52" s="7">
        <f t="shared" si="0"/>
        <v>2022</v>
      </c>
      <c r="F52" s="28" t="str">
        <f t="shared" si="1"/>
        <v>Jan</v>
      </c>
      <c r="G52" s="17" t="s">
        <v>29</v>
      </c>
      <c r="H52" s="17" t="s">
        <v>20</v>
      </c>
      <c r="I52" s="24">
        <v>54863.423999999999</v>
      </c>
      <c r="J52" s="32">
        <v>40</v>
      </c>
      <c r="K52" s="17" t="s">
        <v>31</v>
      </c>
      <c r="L52" s="24">
        <v>419.03</v>
      </c>
      <c r="M52" s="24">
        <v>1558.62</v>
      </c>
      <c r="N52" s="34">
        <f>((sales_data_1[[#This Row],[Unit_Price]]*(1-sales_data_1[[#This Row],[Discount]]))-sales_data_1[[#This Row],[Unit_Cost]])*sales_data_1[[#This Row],[Quantity_Sold]]</f>
        <v>38102.223999999995</v>
      </c>
      <c r="O52" s="17" t="s">
        <v>27</v>
      </c>
      <c r="P52" s="26">
        <v>0.12</v>
      </c>
      <c r="Q52" s="17" t="s">
        <v>25</v>
      </c>
      <c r="R52" s="17" t="s">
        <v>19</v>
      </c>
      <c r="S52" s="49" t="str">
        <f t="shared" si="2"/>
        <v>Charlie-West</v>
      </c>
      <c r="T52" s="59" t="str">
        <f>IF(ROUND(sales_data_1[[#This Row],[Profit_Margin]],2)=ROUND((sales_data_1[[#This Row],[Unit_Price]]*(1-sales_data_1[[#This Row],[Discount]]) - sales_data_1[[#This Row],[Unit_Cost]])*sales_data_1[[#This Row],[Quantity_Sold]],2), "PASS", "CHECK")</f>
        <v>PASS</v>
      </c>
    </row>
    <row r="53" spans="1:20" x14ac:dyDescent="0.35">
      <c r="A53" s="7">
        <v>52</v>
      </c>
      <c r="B53" s="9">
        <v>1026</v>
      </c>
      <c r="C53" s="7" t="str">
        <f>IFERROR(_xlfn.TEXTJOIN("-", TRUE, _xlfn.XLOOKUP(K53, product_category_id_lookup!$A$2:$A$5, product_category_id_lookup!$B$2:$B$5), B53), "Unknown Category")</f>
        <v>ctg-1026</v>
      </c>
      <c r="D53" s="8">
        <v>44576</v>
      </c>
      <c r="E53" s="7">
        <f t="shared" si="0"/>
        <v>2022</v>
      </c>
      <c r="F53" s="28" t="str">
        <f t="shared" si="1"/>
        <v>Jan</v>
      </c>
      <c r="G53" s="17" t="s">
        <v>33</v>
      </c>
      <c r="H53" s="17" t="s">
        <v>23</v>
      </c>
      <c r="I53" s="24">
        <v>88580.368800000011</v>
      </c>
      <c r="J53" s="32">
        <v>44</v>
      </c>
      <c r="K53" s="17" t="s">
        <v>26</v>
      </c>
      <c r="L53" s="24">
        <v>309.67</v>
      </c>
      <c r="M53" s="24">
        <v>2455.11</v>
      </c>
      <c r="N53" s="34">
        <f>((sales_data_1[[#This Row],[Unit_Price]]*(1-sales_data_1[[#This Row],[Discount]]))-sales_data_1[[#This Row],[Unit_Cost]])*sales_data_1[[#This Row],[Quantity_Sold]]</f>
        <v>74954.888800000001</v>
      </c>
      <c r="O53" s="17" t="s">
        <v>27</v>
      </c>
      <c r="P53" s="26">
        <v>0.18</v>
      </c>
      <c r="Q53" s="17" t="s">
        <v>25</v>
      </c>
      <c r="R53" s="17" t="s">
        <v>19</v>
      </c>
      <c r="S53" s="49" t="str">
        <f t="shared" si="2"/>
        <v>Alice-South</v>
      </c>
      <c r="T53" s="59" t="str">
        <f>IF(ROUND(sales_data_1[[#This Row],[Profit_Margin]],2)=ROUND((sales_data_1[[#This Row],[Unit_Price]]*(1-sales_data_1[[#This Row],[Discount]]) - sales_data_1[[#This Row],[Unit_Cost]])*sales_data_1[[#This Row],[Quantity_Sold]],2), "PASS", "CHECK")</f>
        <v>PASS</v>
      </c>
    </row>
    <row r="54" spans="1:20" x14ac:dyDescent="0.35">
      <c r="A54" s="7">
        <v>53</v>
      </c>
      <c r="B54" s="9">
        <v>1094</v>
      </c>
      <c r="C54" s="7" t="str">
        <f>IFERROR(_xlfn.TEXTJOIN("-", TRUE, _xlfn.XLOOKUP(K54, product_category_id_lookup!$A$2:$A$5, product_category_id_lookup!$B$2:$B$5), B54), "Unknown Category")</f>
        <v>fnt-1094</v>
      </c>
      <c r="D54" s="8">
        <v>44577</v>
      </c>
      <c r="E54" s="7">
        <f t="shared" si="0"/>
        <v>2022</v>
      </c>
      <c r="F54" s="28" t="str">
        <f t="shared" si="1"/>
        <v>Jan</v>
      </c>
      <c r="G54" s="17" t="s">
        <v>29</v>
      </c>
      <c r="H54" s="17" t="s">
        <v>20</v>
      </c>
      <c r="I54" s="24">
        <v>58782.811500000003</v>
      </c>
      <c r="J54" s="32">
        <v>35</v>
      </c>
      <c r="K54" s="17" t="s">
        <v>16</v>
      </c>
      <c r="L54" s="24">
        <v>1105.18</v>
      </c>
      <c r="M54" s="24">
        <v>1930.47</v>
      </c>
      <c r="N54" s="34">
        <f>((sales_data_1[[#This Row],[Unit_Price]]*(1-sales_data_1[[#This Row],[Discount]]))-sales_data_1[[#This Row],[Unit_Cost]])*sales_data_1[[#This Row],[Quantity_Sold]]</f>
        <v>20101.511500000001</v>
      </c>
      <c r="O54" s="17" t="s">
        <v>17</v>
      </c>
      <c r="P54" s="26">
        <v>0.13</v>
      </c>
      <c r="Q54" s="17" t="s">
        <v>28</v>
      </c>
      <c r="R54" s="17" t="s">
        <v>19</v>
      </c>
      <c r="S54" s="49" t="str">
        <f t="shared" si="2"/>
        <v>Charlie-West</v>
      </c>
      <c r="T54" s="59" t="str">
        <f>IF(ROUND(sales_data_1[[#This Row],[Profit_Margin]],2)=ROUND((sales_data_1[[#This Row],[Unit_Price]]*(1-sales_data_1[[#This Row],[Discount]]) - sales_data_1[[#This Row],[Unit_Cost]])*sales_data_1[[#This Row],[Quantity_Sold]],2), "PASS", "CHECK")</f>
        <v>PASS</v>
      </c>
    </row>
    <row r="55" spans="1:20" x14ac:dyDescent="0.35">
      <c r="A55" s="7">
        <v>54</v>
      </c>
      <c r="B55" s="9">
        <v>1007</v>
      </c>
      <c r="C55" s="7" t="str">
        <f>IFERROR(_xlfn.TEXTJOIN("-", TRUE, _xlfn.XLOOKUP(K55, product_category_id_lookup!$A$2:$A$5, product_category_id_lookup!$B$2:$B$5), B55), "Unknown Category")</f>
        <v>etc-1007</v>
      </c>
      <c r="D55" s="8">
        <v>44577</v>
      </c>
      <c r="E55" s="7">
        <f t="shared" si="0"/>
        <v>2022</v>
      </c>
      <c r="F55" s="28" t="str">
        <f t="shared" si="1"/>
        <v>Jan</v>
      </c>
      <c r="G55" s="17" t="s">
        <v>29</v>
      </c>
      <c r="H55" s="17" t="s">
        <v>15</v>
      </c>
      <c r="I55" s="24">
        <v>126609.47200000001</v>
      </c>
      <c r="J55" s="32">
        <v>32</v>
      </c>
      <c r="K55" s="17" t="s">
        <v>31</v>
      </c>
      <c r="L55" s="24">
        <v>2299.08</v>
      </c>
      <c r="M55" s="24">
        <v>4654.76</v>
      </c>
      <c r="N55" s="34">
        <f>((sales_data_1[[#This Row],[Unit_Price]]*(1-sales_data_1[[#This Row],[Discount]]))-sales_data_1[[#This Row],[Unit_Cost]])*sales_data_1[[#This Row],[Quantity_Sold]]</f>
        <v>53038.912000000011</v>
      </c>
      <c r="O55" s="17" t="s">
        <v>17</v>
      </c>
      <c r="P55" s="26">
        <v>0.15</v>
      </c>
      <c r="Q55" s="17" t="s">
        <v>18</v>
      </c>
      <c r="R55" s="17" t="s">
        <v>19</v>
      </c>
      <c r="S55" s="49" t="str">
        <f t="shared" si="2"/>
        <v>Charlie-North</v>
      </c>
      <c r="T55" s="59" t="str">
        <f>IF(ROUND(sales_data_1[[#This Row],[Profit_Margin]],2)=ROUND((sales_data_1[[#This Row],[Unit_Price]]*(1-sales_data_1[[#This Row],[Discount]]) - sales_data_1[[#This Row],[Unit_Cost]])*sales_data_1[[#This Row],[Quantity_Sold]],2), "PASS", "CHECK")</f>
        <v>PASS</v>
      </c>
    </row>
    <row r="56" spans="1:20" x14ac:dyDescent="0.35">
      <c r="A56" s="7">
        <v>55</v>
      </c>
      <c r="B56" s="9">
        <v>1052</v>
      </c>
      <c r="C56" s="7" t="str">
        <f>IFERROR(_xlfn.TEXTJOIN("-", TRUE, _xlfn.XLOOKUP(K56, product_category_id_lookup!$A$2:$A$5, product_category_id_lookup!$B$2:$B$5), B56), "Unknown Category")</f>
        <v>ctg-1052</v>
      </c>
      <c r="D56" s="8">
        <v>44579</v>
      </c>
      <c r="E56" s="7">
        <f t="shared" si="0"/>
        <v>2022</v>
      </c>
      <c r="F56" s="28" t="str">
        <f t="shared" si="1"/>
        <v>Jan</v>
      </c>
      <c r="G56" s="17" t="s">
        <v>29</v>
      </c>
      <c r="H56" s="17" t="s">
        <v>23</v>
      </c>
      <c r="I56" s="24">
        <v>40925.778264544751</v>
      </c>
      <c r="J56" s="32">
        <v>9</v>
      </c>
      <c r="K56" s="17" t="s">
        <v>26</v>
      </c>
      <c r="L56" s="24">
        <v>3977.96</v>
      </c>
      <c r="M56" s="24">
        <v>4660.5</v>
      </c>
      <c r="N56" s="34">
        <f>((sales_data_1[[#This Row],[Unit_Price]]*(1-sales_data_1[[#This Row],[Discount]]))-sales_data_1[[#This Row],[Unit_Cost]])*sales_data_1[[#This Row],[Quantity_Sold]]</f>
        <v>5303.9699999999993</v>
      </c>
      <c r="O56" s="17" t="s">
        <v>27</v>
      </c>
      <c r="P56" s="26">
        <v>0.02</v>
      </c>
      <c r="Q56" s="17" t="s">
        <v>28</v>
      </c>
      <c r="R56" s="17" t="s">
        <v>19</v>
      </c>
      <c r="S56" s="49" t="str">
        <f t="shared" si="2"/>
        <v>Charlie-South</v>
      </c>
      <c r="T56" s="59" t="str">
        <f>IF(ROUND(sales_data_1[[#This Row],[Profit_Margin]],2)=ROUND((sales_data_1[[#This Row],[Unit_Price]]*(1-sales_data_1[[#This Row],[Discount]]) - sales_data_1[[#This Row],[Unit_Cost]])*sales_data_1[[#This Row],[Quantity_Sold]],2), "PASS", "CHECK")</f>
        <v>PASS</v>
      </c>
    </row>
    <row r="57" spans="1:20" x14ac:dyDescent="0.35">
      <c r="A57" s="7">
        <v>56</v>
      </c>
      <c r="B57" s="9">
        <v>1002</v>
      </c>
      <c r="C57" s="7" t="str">
        <f>IFERROR(_xlfn.TEXTJOIN("-", TRUE, _xlfn.XLOOKUP(K57, product_category_id_lookup!$A$2:$A$5, product_category_id_lookup!$B$2:$B$5), B57), "Unknown Category")</f>
        <v>fnt-1002</v>
      </c>
      <c r="D57" s="8">
        <v>44580</v>
      </c>
      <c r="E57" s="7">
        <f t="shared" si="0"/>
        <v>2022</v>
      </c>
      <c r="F57" s="28" t="str">
        <f t="shared" si="1"/>
        <v>Jan</v>
      </c>
      <c r="G57" s="17" t="s">
        <v>22</v>
      </c>
      <c r="H57" s="17" t="s">
        <v>23</v>
      </c>
      <c r="I57" s="24">
        <v>28237.951999999997</v>
      </c>
      <c r="J57" s="32">
        <v>8</v>
      </c>
      <c r="K57" s="17" t="s">
        <v>16</v>
      </c>
      <c r="L57" s="24">
        <v>1122.8</v>
      </c>
      <c r="M57" s="24">
        <v>3715.52</v>
      </c>
      <c r="N57" s="34">
        <f>((sales_data_1[[#This Row],[Unit_Price]]*(1-sales_data_1[[#This Row],[Discount]]))-sales_data_1[[#This Row],[Unit_Cost]])*sales_data_1[[#This Row],[Quantity_Sold]]</f>
        <v>19255.551999999996</v>
      </c>
      <c r="O57" s="17" t="s">
        <v>27</v>
      </c>
      <c r="P57" s="26">
        <v>0.05</v>
      </c>
      <c r="Q57" s="17" t="s">
        <v>25</v>
      </c>
      <c r="R57" s="17" t="s">
        <v>21</v>
      </c>
      <c r="S57" s="49" t="str">
        <f t="shared" si="2"/>
        <v>David-South</v>
      </c>
      <c r="T57" s="59" t="str">
        <f>IF(ROUND(sales_data_1[[#This Row],[Profit_Margin]],2)=ROUND((sales_data_1[[#This Row],[Unit_Price]]*(1-sales_data_1[[#This Row],[Discount]]) - sales_data_1[[#This Row],[Unit_Cost]])*sales_data_1[[#This Row],[Quantity_Sold]],2), "PASS", "CHECK")</f>
        <v>PASS</v>
      </c>
    </row>
    <row r="58" spans="1:20" x14ac:dyDescent="0.35">
      <c r="A58" s="7">
        <v>57</v>
      </c>
      <c r="B58" s="9">
        <v>1025</v>
      </c>
      <c r="C58" s="7" t="str">
        <f>IFERROR(_xlfn.TEXTJOIN("-", TRUE, _xlfn.XLOOKUP(K58, product_category_id_lookup!$A$2:$A$5, product_category_id_lookup!$B$2:$B$5), B58), "Unknown Category")</f>
        <v>fnt-1025</v>
      </c>
      <c r="D58" s="8">
        <v>44580</v>
      </c>
      <c r="E58" s="7">
        <f t="shared" si="0"/>
        <v>2022</v>
      </c>
      <c r="F58" s="28" t="str">
        <f t="shared" si="1"/>
        <v>Jan</v>
      </c>
      <c r="G58" s="17" t="s">
        <v>32</v>
      </c>
      <c r="H58" s="17" t="s">
        <v>30</v>
      </c>
      <c r="I58" s="24">
        <v>47149.257599999997</v>
      </c>
      <c r="J58" s="32">
        <v>36</v>
      </c>
      <c r="K58" s="17" t="s">
        <v>16</v>
      </c>
      <c r="L58" s="24">
        <v>756.9</v>
      </c>
      <c r="M58" s="24">
        <v>1819.03</v>
      </c>
      <c r="N58" s="34">
        <f>((sales_data_1[[#This Row],[Unit_Price]]*(1-sales_data_1[[#This Row],[Discount]]))-sales_data_1[[#This Row],[Unit_Cost]])*sales_data_1[[#This Row],[Quantity_Sold]]</f>
        <v>19900.857599999996</v>
      </c>
      <c r="O58" s="17" t="s">
        <v>17</v>
      </c>
      <c r="P58" s="26">
        <v>0.28000000000000003</v>
      </c>
      <c r="Q58" s="17" t="s">
        <v>18</v>
      </c>
      <c r="R58" s="17" t="s">
        <v>21</v>
      </c>
      <c r="S58" s="49" t="str">
        <f t="shared" si="2"/>
        <v>Eve-East</v>
      </c>
      <c r="T58" s="59" t="str">
        <f>IF(ROUND(sales_data_1[[#This Row],[Profit_Margin]],2)=ROUND((sales_data_1[[#This Row],[Unit_Price]]*(1-sales_data_1[[#This Row],[Discount]]) - sales_data_1[[#This Row],[Unit_Cost]])*sales_data_1[[#This Row],[Quantity_Sold]],2), "PASS", "CHECK")</f>
        <v>PASS</v>
      </c>
    </row>
    <row r="59" spans="1:20" x14ac:dyDescent="0.35">
      <c r="A59" s="7">
        <v>58</v>
      </c>
      <c r="B59" s="9">
        <v>1090</v>
      </c>
      <c r="C59" s="7" t="str">
        <f>IFERROR(_xlfn.TEXTJOIN("-", TRUE, _xlfn.XLOOKUP(K59, product_category_id_lookup!$A$2:$A$5, product_category_id_lookup!$B$2:$B$5), B59), "Unknown Category")</f>
        <v>fd-1090</v>
      </c>
      <c r="D59" s="8">
        <v>44580</v>
      </c>
      <c r="E59" s="7">
        <f t="shared" si="0"/>
        <v>2022</v>
      </c>
      <c r="F59" s="28" t="str">
        <f t="shared" si="1"/>
        <v>Jan</v>
      </c>
      <c r="G59" s="17" t="s">
        <v>29</v>
      </c>
      <c r="H59" s="17" t="s">
        <v>20</v>
      </c>
      <c r="I59" s="24">
        <v>126511.1539</v>
      </c>
      <c r="J59" s="32">
        <v>41</v>
      </c>
      <c r="K59" s="17" t="s">
        <v>24</v>
      </c>
      <c r="L59" s="24">
        <v>2425.4899999999998</v>
      </c>
      <c r="M59" s="24">
        <v>3181.07</v>
      </c>
      <c r="N59" s="34">
        <f>((sales_data_1[[#This Row],[Unit_Price]]*(1-sales_data_1[[#This Row],[Discount]]))-sales_data_1[[#This Row],[Unit_Cost]])*sales_data_1[[#This Row],[Quantity_Sold]]</f>
        <v>27066.063900000016</v>
      </c>
      <c r="O59" s="17" t="s">
        <v>27</v>
      </c>
      <c r="P59" s="26">
        <v>0.03</v>
      </c>
      <c r="Q59" s="17" t="s">
        <v>28</v>
      </c>
      <c r="R59" s="17" t="s">
        <v>21</v>
      </c>
      <c r="S59" s="49" t="str">
        <f t="shared" si="2"/>
        <v>Charlie-West</v>
      </c>
      <c r="T59" s="59" t="str">
        <f>IF(ROUND(sales_data_1[[#This Row],[Profit_Margin]],2)=ROUND((sales_data_1[[#This Row],[Unit_Price]]*(1-sales_data_1[[#This Row],[Discount]]) - sales_data_1[[#This Row],[Unit_Cost]])*sales_data_1[[#This Row],[Quantity_Sold]],2), "PASS", "CHECK")</f>
        <v>PASS</v>
      </c>
    </row>
    <row r="60" spans="1:20" x14ac:dyDescent="0.35">
      <c r="A60" s="7">
        <v>59</v>
      </c>
      <c r="B60" s="9">
        <v>1070</v>
      </c>
      <c r="C60" s="7" t="str">
        <f>IFERROR(_xlfn.TEXTJOIN("-", TRUE, _xlfn.XLOOKUP(K60, product_category_id_lookup!$A$2:$A$5, product_category_id_lookup!$B$2:$B$5), B60), "Unknown Category")</f>
        <v>etc-1070</v>
      </c>
      <c r="D60" s="8">
        <v>44580</v>
      </c>
      <c r="E60" s="7">
        <f t="shared" si="0"/>
        <v>2022</v>
      </c>
      <c r="F60" s="28" t="str">
        <f t="shared" si="1"/>
        <v>Jan</v>
      </c>
      <c r="G60" s="17" t="s">
        <v>22</v>
      </c>
      <c r="H60" s="17" t="s">
        <v>30</v>
      </c>
      <c r="I60" s="24">
        <v>221210.14359999998</v>
      </c>
      <c r="J60" s="32">
        <v>47</v>
      </c>
      <c r="K60" s="17" t="s">
        <v>31</v>
      </c>
      <c r="L60" s="24">
        <v>1433.22</v>
      </c>
      <c r="M60" s="24">
        <v>5007.0200000000004</v>
      </c>
      <c r="N60" s="34">
        <f>((sales_data_1[[#This Row],[Unit_Price]]*(1-sales_data_1[[#This Row],[Discount]]))-sales_data_1[[#This Row],[Unit_Cost]])*sales_data_1[[#This Row],[Quantity_Sold]]</f>
        <v>153848.80359999998</v>
      </c>
      <c r="O60" s="17" t="s">
        <v>17</v>
      </c>
      <c r="P60" s="26">
        <v>0.06</v>
      </c>
      <c r="Q60" s="17" t="s">
        <v>28</v>
      </c>
      <c r="R60" s="17" t="s">
        <v>21</v>
      </c>
      <c r="S60" s="49" t="str">
        <f t="shared" si="2"/>
        <v>David-East</v>
      </c>
      <c r="T60" s="59" t="str">
        <f>IF(ROUND(sales_data_1[[#This Row],[Profit_Margin]],2)=ROUND((sales_data_1[[#This Row],[Unit_Price]]*(1-sales_data_1[[#This Row],[Discount]]) - sales_data_1[[#This Row],[Unit_Cost]])*sales_data_1[[#This Row],[Quantity_Sold]],2), "PASS", "CHECK")</f>
        <v>PASS</v>
      </c>
    </row>
    <row r="61" spans="1:20" x14ac:dyDescent="0.35">
      <c r="A61" s="7">
        <v>60</v>
      </c>
      <c r="B61" s="9">
        <v>1081</v>
      </c>
      <c r="C61" s="7" t="str">
        <f>IFERROR(_xlfn.TEXTJOIN("-", TRUE, _xlfn.XLOOKUP(K61, product_category_id_lookup!$A$2:$A$5, product_category_id_lookup!$B$2:$B$5), B61), "Unknown Category")</f>
        <v>ctg-1081</v>
      </c>
      <c r="D61" s="8">
        <v>44581</v>
      </c>
      <c r="E61" s="7">
        <f t="shared" si="0"/>
        <v>2022</v>
      </c>
      <c r="F61" s="28" t="str">
        <f t="shared" si="1"/>
        <v>Jan</v>
      </c>
      <c r="G61" s="17" t="s">
        <v>22</v>
      </c>
      <c r="H61" s="17" t="s">
        <v>30</v>
      </c>
      <c r="I61" s="24">
        <v>7889.8031999999994</v>
      </c>
      <c r="J61" s="32">
        <v>2</v>
      </c>
      <c r="K61" s="17" t="s">
        <v>26</v>
      </c>
      <c r="L61" s="24">
        <v>2724.36</v>
      </c>
      <c r="M61" s="24">
        <v>5479.03</v>
      </c>
      <c r="N61" s="34">
        <f>((sales_data_1[[#This Row],[Unit_Price]]*(1-sales_data_1[[#This Row],[Discount]]))-sales_data_1[[#This Row],[Unit_Cost]])*sales_data_1[[#This Row],[Quantity_Sold]]</f>
        <v>2441.0831999999991</v>
      </c>
      <c r="O61" s="17" t="s">
        <v>27</v>
      </c>
      <c r="P61" s="26">
        <v>0.28000000000000003</v>
      </c>
      <c r="Q61" s="17" t="s">
        <v>28</v>
      </c>
      <c r="R61" s="17" t="s">
        <v>19</v>
      </c>
      <c r="S61" s="49" t="str">
        <f t="shared" si="2"/>
        <v>David-East</v>
      </c>
      <c r="T61" s="59" t="str">
        <f>IF(ROUND(sales_data_1[[#This Row],[Profit_Margin]],2)=ROUND((sales_data_1[[#This Row],[Unit_Price]]*(1-sales_data_1[[#This Row],[Discount]]) - sales_data_1[[#This Row],[Unit_Cost]])*sales_data_1[[#This Row],[Quantity_Sold]],2), "PASS", "CHECK")</f>
        <v>PASS</v>
      </c>
    </row>
    <row r="62" spans="1:20" x14ac:dyDescent="0.35">
      <c r="A62" s="7">
        <v>61</v>
      </c>
      <c r="B62" s="9">
        <v>1042</v>
      </c>
      <c r="C62" s="7" t="str">
        <f>IFERROR(_xlfn.TEXTJOIN("-", TRUE, _xlfn.XLOOKUP(K62, product_category_id_lookup!$A$2:$A$5, product_category_id_lookup!$B$2:$B$5), B62), "Unknown Category")</f>
        <v>fd-1042</v>
      </c>
      <c r="D62" s="8">
        <v>44582</v>
      </c>
      <c r="E62" s="7">
        <f t="shared" si="0"/>
        <v>2022</v>
      </c>
      <c r="F62" s="28" t="str">
        <f t="shared" si="1"/>
        <v>Jan</v>
      </c>
      <c r="G62" s="17" t="s">
        <v>14</v>
      </c>
      <c r="H62" s="17" t="s">
        <v>20</v>
      </c>
      <c r="I62" s="24">
        <v>6886.6289027588455</v>
      </c>
      <c r="J62" s="32">
        <v>2</v>
      </c>
      <c r="K62" s="17" t="s">
        <v>24</v>
      </c>
      <c r="L62" s="24">
        <v>2947.67</v>
      </c>
      <c r="M62" s="24">
        <v>3525.62</v>
      </c>
      <c r="N62" s="34">
        <f>((sales_data_1[[#This Row],[Unit_Price]]*(1-sales_data_1[[#This Row],[Discount]]))-sales_data_1[[#This Row],[Unit_Cost]])*sales_data_1[[#This Row],[Quantity_Sold]]</f>
        <v>1014.8751999999995</v>
      </c>
      <c r="O62" s="17" t="s">
        <v>17</v>
      </c>
      <c r="P62" s="26">
        <v>0.02</v>
      </c>
      <c r="Q62" s="17" t="s">
        <v>25</v>
      </c>
      <c r="R62" s="17" t="s">
        <v>21</v>
      </c>
      <c r="S62" s="49" t="str">
        <f t="shared" si="2"/>
        <v>Bob-West</v>
      </c>
      <c r="T62" s="59" t="str">
        <f>IF(ROUND(sales_data_1[[#This Row],[Profit_Margin]],2)=ROUND((sales_data_1[[#This Row],[Unit_Price]]*(1-sales_data_1[[#This Row],[Discount]]) - sales_data_1[[#This Row],[Unit_Cost]])*sales_data_1[[#This Row],[Quantity_Sold]],2), "PASS", "CHECK")</f>
        <v>PASS</v>
      </c>
    </row>
    <row r="63" spans="1:20" x14ac:dyDescent="0.35">
      <c r="A63" s="7">
        <v>62</v>
      </c>
      <c r="B63" s="9">
        <v>1024</v>
      </c>
      <c r="C63" s="7" t="str">
        <f>IFERROR(_xlfn.TEXTJOIN("-", TRUE, _xlfn.XLOOKUP(K63, product_category_id_lookup!$A$2:$A$5, product_category_id_lookup!$B$2:$B$5), B63), "Unknown Category")</f>
        <v>ctg-1024</v>
      </c>
      <c r="D63" s="8">
        <v>44582</v>
      </c>
      <c r="E63" s="7">
        <f t="shared" si="0"/>
        <v>2022</v>
      </c>
      <c r="F63" s="28" t="str">
        <f t="shared" si="1"/>
        <v>Jan</v>
      </c>
      <c r="G63" s="17" t="s">
        <v>14</v>
      </c>
      <c r="H63" s="17" t="s">
        <v>23</v>
      </c>
      <c r="I63" s="24">
        <v>144453.64500000002</v>
      </c>
      <c r="J63" s="32">
        <v>35</v>
      </c>
      <c r="K63" s="17" t="s">
        <v>26</v>
      </c>
      <c r="L63" s="24">
        <v>4011.22</v>
      </c>
      <c r="M63" s="24">
        <v>4585.83</v>
      </c>
      <c r="N63" s="34">
        <f>((sales_data_1[[#This Row],[Unit_Price]]*(1-sales_data_1[[#This Row],[Discount]]))-sales_data_1[[#This Row],[Unit_Cost]])*sales_data_1[[#This Row],[Quantity_Sold]]</f>
        <v>4060.9450000000174</v>
      </c>
      <c r="O63" s="17" t="s">
        <v>27</v>
      </c>
      <c r="P63" s="26">
        <v>0.1</v>
      </c>
      <c r="Q63" s="17" t="s">
        <v>25</v>
      </c>
      <c r="R63" s="17" t="s">
        <v>21</v>
      </c>
      <c r="S63" s="49" t="str">
        <f t="shared" si="2"/>
        <v>Bob-South</v>
      </c>
      <c r="T63" s="59" t="str">
        <f>IF(ROUND(sales_data_1[[#This Row],[Profit_Margin]],2)=ROUND((sales_data_1[[#This Row],[Unit_Price]]*(1-sales_data_1[[#This Row],[Discount]]) - sales_data_1[[#This Row],[Unit_Cost]])*sales_data_1[[#This Row],[Quantity_Sold]],2), "PASS", "CHECK")</f>
        <v>PASS</v>
      </c>
    </row>
    <row r="64" spans="1:20" x14ac:dyDescent="0.35">
      <c r="A64" s="7">
        <v>63</v>
      </c>
      <c r="B64" s="9">
        <v>1091</v>
      </c>
      <c r="C64" s="7" t="str">
        <f>IFERROR(_xlfn.TEXTJOIN("-", TRUE, _xlfn.XLOOKUP(K64, product_category_id_lookup!$A$2:$A$5, product_category_id_lookup!$B$2:$B$5), B64), "Unknown Category")</f>
        <v>ctg-1091</v>
      </c>
      <c r="D64" s="8">
        <v>44582</v>
      </c>
      <c r="E64" s="7">
        <f t="shared" si="0"/>
        <v>2022</v>
      </c>
      <c r="F64" s="28" t="str">
        <f t="shared" si="1"/>
        <v>Jan</v>
      </c>
      <c r="G64" s="17" t="s">
        <v>14</v>
      </c>
      <c r="H64" s="17" t="s">
        <v>15</v>
      </c>
      <c r="I64" s="24">
        <v>24148.079999999998</v>
      </c>
      <c r="J64" s="32">
        <v>18</v>
      </c>
      <c r="K64" s="17" t="s">
        <v>26</v>
      </c>
      <c r="L64" s="24">
        <v>713.46</v>
      </c>
      <c r="M64" s="24">
        <v>1341.56</v>
      </c>
      <c r="N64" s="34">
        <f>((sales_data_1[[#This Row],[Unit_Price]]*(1-sales_data_1[[#This Row],[Discount]]))-sales_data_1[[#This Row],[Unit_Cost]])*sales_data_1[[#This Row],[Quantity_Sold]]</f>
        <v>11305.8</v>
      </c>
      <c r="O64" s="17" t="s">
        <v>17</v>
      </c>
      <c r="P64" s="26">
        <v>0</v>
      </c>
      <c r="Q64" s="17" t="s">
        <v>18</v>
      </c>
      <c r="R64" s="17" t="s">
        <v>21</v>
      </c>
      <c r="S64" s="49" t="str">
        <f t="shared" si="2"/>
        <v>Bob-North</v>
      </c>
      <c r="T64" s="59" t="str">
        <f>IF(ROUND(sales_data_1[[#This Row],[Profit_Margin]],2)=ROUND((sales_data_1[[#This Row],[Unit_Price]]*(1-sales_data_1[[#This Row],[Discount]]) - sales_data_1[[#This Row],[Unit_Cost]])*sales_data_1[[#This Row],[Quantity_Sold]],2), "PASS", "CHECK")</f>
        <v>PASS</v>
      </c>
    </row>
    <row r="65" spans="1:20" x14ac:dyDescent="0.35">
      <c r="A65" s="7">
        <v>64</v>
      </c>
      <c r="B65" s="9">
        <v>1084</v>
      </c>
      <c r="C65" s="7" t="str">
        <f>IFERROR(_xlfn.TEXTJOIN("-", TRUE, _xlfn.XLOOKUP(K65, product_category_id_lookup!$A$2:$A$5, product_category_id_lookup!$B$2:$B$5), B65), "Unknown Category")</f>
        <v>fd-1084</v>
      </c>
      <c r="D65" s="8">
        <v>44582</v>
      </c>
      <c r="E65" s="7">
        <f t="shared" si="0"/>
        <v>2022</v>
      </c>
      <c r="F65" s="28" t="str">
        <f t="shared" si="1"/>
        <v>Jan</v>
      </c>
      <c r="G65" s="17" t="s">
        <v>22</v>
      </c>
      <c r="H65" s="17" t="s">
        <v>23</v>
      </c>
      <c r="I65" s="24">
        <v>71442.05720000001</v>
      </c>
      <c r="J65" s="32">
        <v>23</v>
      </c>
      <c r="K65" s="17" t="s">
        <v>24</v>
      </c>
      <c r="L65" s="24">
        <v>2192.75</v>
      </c>
      <c r="M65" s="24">
        <v>3788.02</v>
      </c>
      <c r="N65" s="34">
        <f>((sales_data_1[[#This Row],[Unit_Price]]*(1-sales_data_1[[#This Row],[Discount]]))-sales_data_1[[#This Row],[Unit_Cost]])*sales_data_1[[#This Row],[Quantity_Sold]]</f>
        <v>21008.807200000007</v>
      </c>
      <c r="O65" s="17" t="s">
        <v>17</v>
      </c>
      <c r="P65" s="26">
        <v>0.18</v>
      </c>
      <c r="Q65" s="17" t="s">
        <v>28</v>
      </c>
      <c r="R65" s="17" t="s">
        <v>21</v>
      </c>
      <c r="S65" s="49" t="str">
        <f t="shared" si="2"/>
        <v>David-South</v>
      </c>
      <c r="T65" s="59" t="str">
        <f>IF(ROUND(sales_data_1[[#This Row],[Profit_Margin]],2)=ROUND((sales_data_1[[#This Row],[Unit_Price]]*(1-sales_data_1[[#This Row],[Discount]]) - sales_data_1[[#This Row],[Unit_Cost]])*sales_data_1[[#This Row],[Quantity_Sold]],2), "PASS", "CHECK")</f>
        <v>PASS</v>
      </c>
    </row>
    <row r="66" spans="1:20" x14ac:dyDescent="0.35">
      <c r="A66" s="7">
        <v>65</v>
      </c>
      <c r="B66" s="9">
        <v>1070</v>
      </c>
      <c r="C66" s="7" t="str">
        <f>IFERROR(_xlfn.TEXTJOIN("-", TRUE, _xlfn.XLOOKUP(K66, product_category_id_lookup!$A$2:$A$5, product_category_id_lookup!$B$2:$B$5), B66), "Unknown Category")</f>
        <v>fnt-1070</v>
      </c>
      <c r="D66" s="8">
        <v>44582</v>
      </c>
      <c r="E66" s="7">
        <f t="shared" ref="E66:E129" si="3">YEAR(D66)</f>
        <v>2022</v>
      </c>
      <c r="F66" s="28" t="str">
        <f t="shared" ref="F66:F129" si="4">LEFT(TEXT(D66,"mmmm"),3)</f>
        <v>Jan</v>
      </c>
      <c r="G66" s="17" t="s">
        <v>32</v>
      </c>
      <c r="H66" s="17" t="s">
        <v>23</v>
      </c>
      <c r="I66" s="24">
        <v>97122.547200000001</v>
      </c>
      <c r="J66" s="32">
        <v>42</v>
      </c>
      <c r="K66" s="17" t="s">
        <v>16</v>
      </c>
      <c r="L66" s="24">
        <v>1159.5999999999999</v>
      </c>
      <c r="M66" s="24">
        <v>3256.96</v>
      </c>
      <c r="N66" s="34">
        <f>((sales_data_1[[#This Row],[Unit_Price]]*(1-sales_data_1[[#This Row],[Discount]]))-sales_data_1[[#This Row],[Unit_Cost]])*sales_data_1[[#This Row],[Quantity_Sold]]</f>
        <v>48419.347200000011</v>
      </c>
      <c r="O66" s="17" t="s">
        <v>27</v>
      </c>
      <c r="P66" s="26">
        <v>0.28999999999999998</v>
      </c>
      <c r="Q66" s="17" t="s">
        <v>28</v>
      </c>
      <c r="R66" s="17" t="s">
        <v>21</v>
      </c>
      <c r="S66" s="49" t="str">
        <f t="shared" ref="S66:S129" si="5">_xlfn.CONCAT(G66,"-",H66)</f>
        <v>Eve-South</v>
      </c>
      <c r="T66" s="59" t="str">
        <f>IF(ROUND(sales_data_1[[#This Row],[Profit_Margin]],2)=ROUND((sales_data_1[[#This Row],[Unit_Price]]*(1-sales_data_1[[#This Row],[Discount]]) - sales_data_1[[#This Row],[Unit_Cost]])*sales_data_1[[#This Row],[Quantity_Sold]],2), "PASS", "CHECK")</f>
        <v>PASS</v>
      </c>
    </row>
    <row r="67" spans="1:20" x14ac:dyDescent="0.35">
      <c r="A67" s="7">
        <v>66</v>
      </c>
      <c r="B67" s="9">
        <v>1019</v>
      </c>
      <c r="C67" s="7" t="str">
        <f>IFERROR(_xlfn.TEXTJOIN("-", TRUE, _xlfn.XLOOKUP(K67, product_category_id_lookup!$A$2:$A$5, product_category_id_lookup!$B$2:$B$5), B67), "Unknown Category")</f>
        <v>ctg-1019</v>
      </c>
      <c r="D67" s="8">
        <v>44583</v>
      </c>
      <c r="E67" s="7">
        <f t="shared" si="3"/>
        <v>2022</v>
      </c>
      <c r="F67" s="28" t="str">
        <f t="shared" si="4"/>
        <v>Jan</v>
      </c>
      <c r="G67" s="17" t="s">
        <v>32</v>
      </c>
      <c r="H67" s="17" t="s">
        <v>15</v>
      </c>
      <c r="I67" s="24">
        <v>3267.8009999999999</v>
      </c>
      <c r="J67" s="32">
        <v>1</v>
      </c>
      <c r="K67" s="17" t="s">
        <v>26</v>
      </c>
      <c r="L67" s="24">
        <v>952.3</v>
      </c>
      <c r="M67" s="24">
        <v>3630.89</v>
      </c>
      <c r="N67" s="34">
        <f>((sales_data_1[[#This Row],[Unit_Price]]*(1-sales_data_1[[#This Row],[Discount]]))-sales_data_1[[#This Row],[Unit_Cost]])*sales_data_1[[#This Row],[Quantity_Sold]]</f>
        <v>2315.5010000000002</v>
      </c>
      <c r="O67" s="17" t="s">
        <v>27</v>
      </c>
      <c r="P67" s="26">
        <v>0.1</v>
      </c>
      <c r="Q67" s="17" t="s">
        <v>18</v>
      </c>
      <c r="R67" s="17" t="s">
        <v>21</v>
      </c>
      <c r="S67" s="49" t="str">
        <f t="shared" si="5"/>
        <v>Eve-North</v>
      </c>
      <c r="T67" s="59" t="str">
        <f>IF(ROUND(sales_data_1[[#This Row],[Profit_Margin]],2)=ROUND((sales_data_1[[#This Row],[Unit_Price]]*(1-sales_data_1[[#This Row],[Discount]]) - sales_data_1[[#This Row],[Unit_Cost]])*sales_data_1[[#This Row],[Quantity_Sold]],2), "PASS", "CHECK")</f>
        <v>PASS</v>
      </c>
    </row>
    <row r="68" spans="1:20" x14ac:dyDescent="0.35">
      <c r="A68" s="7">
        <v>67</v>
      </c>
      <c r="B68" s="9">
        <v>1084</v>
      </c>
      <c r="C68" s="7" t="str">
        <f>IFERROR(_xlfn.TEXTJOIN("-", TRUE, _xlfn.XLOOKUP(K68, product_category_id_lookup!$A$2:$A$5, product_category_id_lookup!$B$2:$B$5), B68), "Unknown Category")</f>
        <v>ctg-1084</v>
      </c>
      <c r="D68" s="8">
        <v>44583</v>
      </c>
      <c r="E68" s="7">
        <f t="shared" si="3"/>
        <v>2022</v>
      </c>
      <c r="F68" s="28" t="str">
        <f t="shared" si="4"/>
        <v>Jan</v>
      </c>
      <c r="G68" s="17" t="s">
        <v>33</v>
      </c>
      <c r="H68" s="17" t="s">
        <v>15</v>
      </c>
      <c r="I68" s="24">
        <v>71634.340262798229</v>
      </c>
      <c r="J68" s="32">
        <v>17</v>
      </c>
      <c r="K68" s="17" t="s">
        <v>26</v>
      </c>
      <c r="L68" s="24">
        <v>3750.72</v>
      </c>
      <c r="M68" s="24">
        <v>4218.92</v>
      </c>
      <c r="N68" s="34">
        <f>((sales_data_1[[#This Row],[Unit_Price]]*(1-sales_data_1[[#This Row],[Discount]]))-sales_data_1[[#This Row],[Unit_Cost]])*sales_data_1[[#This Row],[Quantity_Sold]]</f>
        <v>7959.4000000000051</v>
      </c>
      <c r="O68" s="17" t="s">
        <v>27</v>
      </c>
      <c r="P68" s="26">
        <v>0</v>
      </c>
      <c r="Q68" s="17" t="s">
        <v>28</v>
      </c>
      <c r="R68" s="17" t="s">
        <v>19</v>
      </c>
      <c r="S68" s="49" t="str">
        <f t="shared" si="5"/>
        <v>Alice-North</v>
      </c>
      <c r="T68" s="59" t="str">
        <f>IF(ROUND(sales_data_1[[#This Row],[Profit_Margin]],2)=ROUND((sales_data_1[[#This Row],[Unit_Price]]*(1-sales_data_1[[#This Row],[Discount]]) - sales_data_1[[#This Row],[Unit_Cost]])*sales_data_1[[#This Row],[Quantity_Sold]],2), "PASS", "CHECK")</f>
        <v>PASS</v>
      </c>
    </row>
    <row r="69" spans="1:20" x14ac:dyDescent="0.35">
      <c r="A69" s="7">
        <v>68</v>
      </c>
      <c r="B69" s="9">
        <v>1063</v>
      </c>
      <c r="C69" s="7" t="str">
        <f>IFERROR(_xlfn.TEXTJOIN("-", TRUE, _xlfn.XLOOKUP(K69, product_category_id_lookup!$A$2:$A$5, product_category_id_lookup!$B$2:$B$5), B69), "Unknown Category")</f>
        <v>ctg-1063</v>
      </c>
      <c r="D69" s="8">
        <v>44583</v>
      </c>
      <c r="E69" s="7">
        <f t="shared" si="3"/>
        <v>2022</v>
      </c>
      <c r="F69" s="28" t="str">
        <f t="shared" si="4"/>
        <v>Jan</v>
      </c>
      <c r="G69" s="17" t="s">
        <v>22</v>
      </c>
      <c r="H69" s="17" t="s">
        <v>23</v>
      </c>
      <c r="I69" s="24">
        <v>96569.055000000008</v>
      </c>
      <c r="J69" s="32">
        <v>50</v>
      </c>
      <c r="K69" s="17" t="s">
        <v>26</v>
      </c>
      <c r="L69" s="24">
        <v>596.16999999999996</v>
      </c>
      <c r="M69" s="24">
        <v>1950.89</v>
      </c>
      <c r="N69" s="34">
        <f>((sales_data_1[[#This Row],[Unit_Price]]*(1-sales_data_1[[#This Row],[Discount]]))-sales_data_1[[#This Row],[Unit_Cost]])*sales_data_1[[#This Row],[Quantity_Sold]]</f>
        <v>66760.554999999993</v>
      </c>
      <c r="O69" s="17" t="s">
        <v>27</v>
      </c>
      <c r="P69" s="26">
        <v>0.01</v>
      </c>
      <c r="Q69" s="17" t="s">
        <v>28</v>
      </c>
      <c r="R69" s="17" t="s">
        <v>19</v>
      </c>
      <c r="S69" s="49" t="str">
        <f t="shared" si="5"/>
        <v>David-South</v>
      </c>
      <c r="T69" s="59" t="str">
        <f>IF(ROUND(sales_data_1[[#This Row],[Profit_Margin]],2)=ROUND((sales_data_1[[#This Row],[Unit_Price]]*(1-sales_data_1[[#This Row],[Discount]]) - sales_data_1[[#This Row],[Unit_Cost]])*sales_data_1[[#This Row],[Quantity_Sold]],2), "PASS", "CHECK")</f>
        <v>PASS</v>
      </c>
    </row>
    <row r="70" spans="1:20" x14ac:dyDescent="0.35">
      <c r="A70" s="7">
        <v>69</v>
      </c>
      <c r="B70" s="9">
        <v>1010</v>
      </c>
      <c r="C70" s="7" t="str">
        <f>IFERROR(_xlfn.TEXTJOIN("-", TRUE, _xlfn.XLOOKUP(K70, product_category_id_lookup!$A$2:$A$5, product_category_id_lookup!$B$2:$B$5), B70), "Unknown Category")</f>
        <v>fd-1010</v>
      </c>
      <c r="D70" s="8">
        <v>44583</v>
      </c>
      <c r="E70" s="7">
        <f t="shared" si="3"/>
        <v>2022</v>
      </c>
      <c r="F70" s="28" t="str">
        <f t="shared" si="4"/>
        <v>Jan</v>
      </c>
      <c r="G70" s="17" t="s">
        <v>33</v>
      </c>
      <c r="H70" s="17" t="s">
        <v>23</v>
      </c>
      <c r="I70" s="24">
        <v>85859.135999999999</v>
      </c>
      <c r="J70" s="32">
        <v>30</v>
      </c>
      <c r="K70" s="17" t="s">
        <v>24</v>
      </c>
      <c r="L70" s="24">
        <v>635.46</v>
      </c>
      <c r="M70" s="24">
        <v>3974.96</v>
      </c>
      <c r="N70" s="34">
        <f>((sales_data_1[[#This Row],[Unit_Price]]*(1-sales_data_1[[#This Row],[Discount]]))-sales_data_1[[#This Row],[Unit_Cost]])*sales_data_1[[#This Row],[Quantity_Sold]]</f>
        <v>66795.335999999996</v>
      </c>
      <c r="O70" s="17" t="s">
        <v>27</v>
      </c>
      <c r="P70" s="26">
        <v>0.28000000000000003</v>
      </c>
      <c r="Q70" s="17" t="s">
        <v>18</v>
      </c>
      <c r="R70" s="17" t="s">
        <v>21</v>
      </c>
      <c r="S70" s="49" t="str">
        <f t="shared" si="5"/>
        <v>Alice-South</v>
      </c>
      <c r="T70" s="59" t="str">
        <f>IF(ROUND(sales_data_1[[#This Row],[Profit_Margin]],2)=ROUND((sales_data_1[[#This Row],[Unit_Price]]*(1-sales_data_1[[#This Row],[Discount]]) - sales_data_1[[#This Row],[Unit_Cost]])*sales_data_1[[#This Row],[Quantity_Sold]],2), "PASS", "CHECK")</f>
        <v>PASS</v>
      </c>
    </row>
    <row r="71" spans="1:20" x14ac:dyDescent="0.35">
      <c r="A71" s="7">
        <v>70</v>
      </c>
      <c r="B71" s="9">
        <v>1003</v>
      </c>
      <c r="C71" s="7" t="str">
        <f>IFERROR(_xlfn.TEXTJOIN("-", TRUE, _xlfn.XLOOKUP(K71, product_category_id_lookup!$A$2:$A$5, product_category_id_lookup!$B$2:$B$5), B71), "Unknown Category")</f>
        <v>fd-1003</v>
      </c>
      <c r="D71" s="8">
        <v>44584</v>
      </c>
      <c r="E71" s="7">
        <f t="shared" si="3"/>
        <v>2022</v>
      </c>
      <c r="F71" s="28" t="str">
        <f t="shared" si="4"/>
        <v>Jan</v>
      </c>
      <c r="G71" s="17" t="s">
        <v>22</v>
      </c>
      <c r="H71" s="17" t="s">
        <v>15</v>
      </c>
      <c r="I71" s="24">
        <v>53393.087999999996</v>
      </c>
      <c r="J71" s="32">
        <v>14</v>
      </c>
      <c r="K71" s="17" t="s">
        <v>24</v>
      </c>
      <c r="L71" s="24">
        <v>3340.75</v>
      </c>
      <c r="M71" s="24">
        <v>4767.24</v>
      </c>
      <c r="N71" s="34">
        <f>((sales_data_1[[#This Row],[Unit_Price]]*(1-sales_data_1[[#This Row],[Discount]]))-sales_data_1[[#This Row],[Unit_Cost]])*sales_data_1[[#This Row],[Quantity_Sold]]</f>
        <v>6622.5879999999988</v>
      </c>
      <c r="O71" s="17" t="s">
        <v>17</v>
      </c>
      <c r="P71" s="26">
        <v>0.2</v>
      </c>
      <c r="Q71" s="17" t="s">
        <v>28</v>
      </c>
      <c r="R71" s="17" t="s">
        <v>19</v>
      </c>
      <c r="S71" s="49" t="str">
        <f t="shared" si="5"/>
        <v>David-North</v>
      </c>
      <c r="T71" s="59" t="str">
        <f>IF(ROUND(sales_data_1[[#This Row],[Profit_Margin]],2)=ROUND((sales_data_1[[#This Row],[Unit_Price]]*(1-sales_data_1[[#This Row],[Discount]]) - sales_data_1[[#This Row],[Unit_Cost]])*sales_data_1[[#This Row],[Quantity_Sold]],2), "PASS", "CHECK")</f>
        <v>PASS</v>
      </c>
    </row>
    <row r="72" spans="1:20" x14ac:dyDescent="0.35">
      <c r="A72" s="7">
        <v>71</v>
      </c>
      <c r="B72" s="9">
        <v>1079</v>
      </c>
      <c r="C72" s="7" t="str">
        <f>IFERROR(_xlfn.TEXTJOIN("-", TRUE, _xlfn.XLOOKUP(K72, product_category_id_lookup!$A$2:$A$5, product_category_id_lookup!$B$2:$B$5), B72), "Unknown Category")</f>
        <v>fnt-1079</v>
      </c>
      <c r="D72" s="8">
        <v>44584</v>
      </c>
      <c r="E72" s="7">
        <f t="shared" si="3"/>
        <v>2022</v>
      </c>
      <c r="F72" s="28" t="str">
        <f t="shared" si="4"/>
        <v>Jan</v>
      </c>
      <c r="G72" s="17" t="s">
        <v>32</v>
      </c>
      <c r="H72" s="17" t="s">
        <v>30</v>
      </c>
      <c r="I72" s="24">
        <v>192129.51870806501</v>
      </c>
      <c r="J72" s="32">
        <v>44</v>
      </c>
      <c r="K72" s="17" t="s">
        <v>16</v>
      </c>
      <c r="L72" s="24">
        <v>4051.42</v>
      </c>
      <c r="M72" s="24">
        <v>4389.68</v>
      </c>
      <c r="N72" s="34">
        <f>((sales_data_1[[#This Row],[Unit_Price]]*(1-sales_data_1[[#This Row],[Discount]]))-sales_data_1[[#This Row],[Unit_Cost]])*sales_data_1[[#This Row],[Quantity_Sold]]</f>
        <v>12951.98079999999</v>
      </c>
      <c r="O72" s="17" t="s">
        <v>27</v>
      </c>
      <c r="P72" s="26">
        <v>0.01</v>
      </c>
      <c r="Q72" s="17" t="s">
        <v>18</v>
      </c>
      <c r="R72" s="17" t="s">
        <v>19</v>
      </c>
      <c r="S72" s="49" t="str">
        <f t="shared" si="5"/>
        <v>Eve-East</v>
      </c>
      <c r="T72" s="59" t="str">
        <f>IF(ROUND(sales_data_1[[#This Row],[Profit_Margin]],2)=ROUND((sales_data_1[[#This Row],[Unit_Price]]*(1-sales_data_1[[#This Row],[Discount]]) - sales_data_1[[#This Row],[Unit_Cost]])*sales_data_1[[#This Row],[Quantity_Sold]],2), "PASS", "CHECK")</f>
        <v>PASS</v>
      </c>
    </row>
    <row r="73" spans="1:20" x14ac:dyDescent="0.35">
      <c r="A73" s="7">
        <v>72</v>
      </c>
      <c r="B73" s="9">
        <v>1020</v>
      </c>
      <c r="C73" s="7" t="str">
        <f>IFERROR(_xlfn.TEXTJOIN("-", TRUE, _xlfn.XLOOKUP(K73, product_category_id_lookup!$A$2:$A$5, product_category_id_lookup!$B$2:$B$5), B73), "Unknown Category")</f>
        <v>etc-1020</v>
      </c>
      <c r="D73" s="8">
        <v>44584</v>
      </c>
      <c r="E73" s="7">
        <f t="shared" si="3"/>
        <v>2022</v>
      </c>
      <c r="F73" s="28" t="str">
        <f t="shared" si="4"/>
        <v>Jan</v>
      </c>
      <c r="G73" s="17" t="s">
        <v>33</v>
      </c>
      <c r="H73" s="17" t="s">
        <v>23</v>
      </c>
      <c r="I73" s="24">
        <v>177646.97999999998</v>
      </c>
      <c r="J73" s="32">
        <v>42</v>
      </c>
      <c r="K73" s="17" t="s">
        <v>31</v>
      </c>
      <c r="L73" s="24">
        <v>3716.23</v>
      </c>
      <c r="M73" s="24">
        <v>4229.6899999999996</v>
      </c>
      <c r="N73" s="34">
        <f>((sales_data_1[[#This Row],[Unit_Price]]*(1-sales_data_1[[#This Row],[Discount]]))-sales_data_1[[#This Row],[Unit_Cost]])*sales_data_1[[#This Row],[Quantity_Sold]]</f>
        <v>21565.319999999982</v>
      </c>
      <c r="O73" s="17" t="s">
        <v>17</v>
      </c>
      <c r="P73" s="26">
        <v>0</v>
      </c>
      <c r="Q73" s="17" t="s">
        <v>25</v>
      </c>
      <c r="R73" s="17" t="s">
        <v>21</v>
      </c>
      <c r="S73" s="49" t="str">
        <f t="shared" si="5"/>
        <v>Alice-South</v>
      </c>
      <c r="T73" s="59" t="str">
        <f>IF(ROUND(sales_data_1[[#This Row],[Profit_Margin]],2)=ROUND((sales_data_1[[#This Row],[Unit_Price]]*(1-sales_data_1[[#This Row],[Discount]]) - sales_data_1[[#This Row],[Unit_Cost]])*sales_data_1[[#This Row],[Quantity_Sold]],2), "PASS", "CHECK")</f>
        <v>PASS</v>
      </c>
    </row>
    <row r="74" spans="1:20" x14ac:dyDescent="0.35">
      <c r="A74" s="7">
        <v>73</v>
      </c>
      <c r="B74" s="9">
        <v>1044</v>
      </c>
      <c r="C74" s="7" t="str">
        <f>IFERROR(_xlfn.TEXTJOIN("-", TRUE, _xlfn.XLOOKUP(K74, product_category_id_lookup!$A$2:$A$5, product_category_id_lookup!$B$2:$B$5), B74), "Unknown Category")</f>
        <v>fd-1044</v>
      </c>
      <c r="D74" s="8">
        <v>44585</v>
      </c>
      <c r="E74" s="7">
        <f t="shared" si="3"/>
        <v>2022</v>
      </c>
      <c r="F74" s="28" t="str">
        <f t="shared" si="4"/>
        <v>Jan</v>
      </c>
      <c r="G74" s="17" t="s">
        <v>29</v>
      </c>
      <c r="H74" s="17" t="s">
        <v>15</v>
      </c>
      <c r="I74" s="24">
        <v>73101.64499999999</v>
      </c>
      <c r="J74" s="32">
        <v>18</v>
      </c>
      <c r="K74" s="17" t="s">
        <v>24</v>
      </c>
      <c r="L74" s="24">
        <v>2249.73</v>
      </c>
      <c r="M74" s="24">
        <v>4274.95</v>
      </c>
      <c r="N74" s="34">
        <f>((sales_data_1[[#This Row],[Unit_Price]]*(1-sales_data_1[[#This Row],[Discount]]))-sales_data_1[[#This Row],[Unit_Cost]])*sales_data_1[[#This Row],[Quantity_Sold]]</f>
        <v>32606.50499999999</v>
      </c>
      <c r="O74" s="17" t="s">
        <v>17</v>
      </c>
      <c r="P74" s="26">
        <v>0.05</v>
      </c>
      <c r="Q74" s="17" t="s">
        <v>25</v>
      </c>
      <c r="R74" s="17" t="s">
        <v>19</v>
      </c>
      <c r="S74" s="49" t="str">
        <f t="shared" si="5"/>
        <v>Charlie-North</v>
      </c>
      <c r="T74" s="59" t="str">
        <f>IF(ROUND(sales_data_1[[#This Row],[Profit_Margin]],2)=ROUND((sales_data_1[[#This Row],[Unit_Price]]*(1-sales_data_1[[#This Row],[Discount]]) - sales_data_1[[#This Row],[Unit_Cost]])*sales_data_1[[#This Row],[Quantity_Sold]],2), "PASS", "CHECK")</f>
        <v>PASS</v>
      </c>
    </row>
    <row r="75" spans="1:20" x14ac:dyDescent="0.35">
      <c r="A75" s="7">
        <v>74</v>
      </c>
      <c r="B75" s="9">
        <v>1006</v>
      </c>
      <c r="C75" s="7" t="str">
        <f>IFERROR(_xlfn.TEXTJOIN("-", TRUE, _xlfn.XLOOKUP(K75, product_category_id_lookup!$A$2:$A$5, product_category_id_lookup!$B$2:$B$5), B75), "Unknown Category")</f>
        <v>fd-1006</v>
      </c>
      <c r="D75" s="8">
        <v>44586</v>
      </c>
      <c r="E75" s="7">
        <f t="shared" si="3"/>
        <v>2022</v>
      </c>
      <c r="F75" s="28" t="str">
        <f t="shared" si="4"/>
        <v>Jan</v>
      </c>
      <c r="G75" s="17" t="s">
        <v>29</v>
      </c>
      <c r="H75" s="17" t="s">
        <v>30</v>
      </c>
      <c r="I75" s="24">
        <v>7494.8720000000003</v>
      </c>
      <c r="J75" s="32">
        <v>4</v>
      </c>
      <c r="K75" s="17" t="s">
        <v>24</v>
      </c>
      <c r="L75" s="24">
        <v>548.08000000000004</v>
      </c>
      <c r="M75" s="24">
        <v>2433.4</v>
      </c>
      <c r="N75" s="34">
        <f>((sales_data_1[[#This Row],[Unit_Price]]*(1-sales_data_1[[#This Row],[Discount]]))-sales_data_1[[#This Row],[Unit_Cost]])*sales_data_1[[#This Row],[Quantity_Sold]]</f>
        <v>5302.5519999999997</v>
      </c>
      <c r="O75" s="17" t="s">
        <v>17</v>
      </c>
      <c r="P75" s="26">
        <v>0.23</v>
      </c>
      <c r="Q75" s="17" t="s">
        <v>25</v>
      </c>
      <c r="R75" s="17" t="s">
        <v>21</v>
      </c>
      <c r="S75" s="49" t="str">
        <f t="shared" si="5"/>
        <v>Charlie-East</v>
      </c>
      <c r="T75" s="59" t="str">
        <f>IF(ROUND(sales_data_1[[#This Row],[Profit_Margin]],2)=ROUND((sales_data_1[[#This Row],[Unit_Price]]*(1-sales_data_1[[#This Row],[Discount]]) - sales_data_1[[#This Row],[Unit_Cost]])*sales_data_1[[#This Row],[Quantity_Sold]],2), "PASS", "CHECK")</f>
        <v>PASS</v>
      </c>
    </row>
    <row r="76" spans="1:20" x14ac:dyDescent="0.35">
      <c r="A76" s="7">
        <v>75</v>
      </c>
      <c r="B76" s="9">
        <v>1065</v>
      </c>
      <c r="C76" s="7" t="str">
        <f>IFERROR(_xlfn.TEXTJOIN("-", TRUE, _xlfn.XLOOKUP(K76, product_category_id_lookup!$A$2:$A$5, product_category_id_lookup!$B$2:$B$5), B76), "Unknown Category")</f>
        <v>etc-1065</v>
      </c>
      <c r="D76" s="8">
        <v>44586</v>
      </c>
      <c r="E76" s="7">
        <f t="shared" si="3"/>
        <v>2022</v>
      </c>
      <c r="F76" s="28" t="str">
        <f t="shared" si="4"/>
        <v>Jan</v>
      </c>
      <c r="G76" s="17" t="s">
        <v>14</v>
      </c>
      <c r="H76" s="17" t="s">
        <v>20</v>
      </c>
      <c r="I76" s="24">
        <v>32304.132000000001</v>
      </c>
      <c r="J76" s="32">
        <v>14</v>
      </c>
      <c r="K76" s="17" t="s">
        <v>31</v>
      </c>
      <c r="L76" s="24">
        <v>290.74</v>
      </c>
      <c r="M76" s="24">
        <v>2563.8200000000002</v>
      </c>
      <c r="N76" s="34">
        <f>((sales_data_1[[#This Row],[Unit_Price]]*(1-sales_data_1[[#This Row],[Discount]]))-sales_data_1[[#This Row],[Unit_Cost]])*sales_data_1[[#This Row],[Quantity_Sold]]</f>
        <v>28233.772000000001</v>
      </c>
      <c r="O76" s="17" t="s">
        <v>27</v>
      </c>
      <c r="P76" s="26">
        <v>0.1</v>
      </c>
      <c r="Q76" s="17" t="s">
        <v>18</v>
      </c>
      <c r="R76" s="17" t="s">
        <v>19</v>
      </c>
      <c r="S76" s="49" t="str">
        <f t="shared" si="5"/>
        <v>Bob-West</v>
      </c>
      <c r="T76" s="59" t="str">
        <f>IF(ROUND(sales_data_1[[#This Row],[Profit_Margin]],2)=ROUND((sales_data_1[[#This Row],[Unit_Price]]*(1-sales_data_1[[#This Row],[Discount]]) - sales_data_1[[#This Row],[Unit_Cost]])*sales_data_1[[#This Row],[Quantity_Sold]],2), "PASS", "CHECK")</f>
        <v>PASS</v>
      </c>
    </row>
    <row r="77" spans="1:20" x14ac:dyDescent="0.35">
      <c r="A77" s="7">
        <v>76</v>
      </c>
      <c r="B77" s="9">
        <v>1090</v>
      </c>
      <c r="C77" s="7" t="str">
        <f>IFERROR(_xlfn.TEXTJOIN("-", TRUE, _xlfn.XLOOKUP(K77, product_category_id_lookup!$A$2:$A$5, product_category_id_lookup!$B$2:$B$5), B77), "Unknown Category")</f>
        <v>ctg-1090</v>
      </c>
      <c r="D77" s="8">
        <v>44587</v>
      </c>
      <c r="E77" s="7">
        <f t="shared" si="3"/>
        <v>2022</v>
      </c>
      <c r="F77" s="28" t="str">
        <f t="shared" si="4"/>
        <v>Jan</v>
      </c>
      <c r="G77" s="17" t="s">
        <v>14</v>
      </c>
      <c r="H77" s="17" t="s">
        <v>20</v>
      </c>
      <c r="I77" s="24">
        <v>9561.2945999999993</v>
      </c>
      <c r="J77" s="32">
        <v>3</v>
      </c>
      <c r="K77" s="17" t="s">
        <v>26</v>
      </c>
      <c r="L77" s="24">
        <v>2180.34</v>
      </c>
      <c r="M77" s="24">
        <v>3390.53</v>
      </c>
      <c r="N77" s="34">
        <f>((sales_data_1[[#This Row],[Unit_Price]]*(1-sales_data_1[[#This Row],[Discount]]))-sales_data_1[[#This Row],[Unit_Cost]])*sales_data_1[[#This Row],[Quantity_Sold]]</f>
        <v>3020.2745999999993</v>
      </c>
      <c r="O77" s="17" t="s">
        <v>27</v>
      </c>
      <c r="P77" s="26">
        <v>0.06</v>
      </c>
      <c r="Q77" s="17" t="s">
        <v>28</v>
      </c>
      <c r="R77" s="17" t="s">
        <v>19</v>
      </c>
      <c r="S77" s="49" t="str">
        <f t="shared" si="5"/>
        <v>Bob-West</v>
      </c>
      <c r="T77" s="59" t="str">
        <f>IF(ROUND(sales_data_1[[#This Row],[Profit_Margin]],2)=ROUND((sales_data_1[[#This Row],[Unit_Price]]*(1-sales_data_1[[#This Row],[Discount]]) - sales_data_1[[#This Row],[Unit_Cost]])*sales_data_1[[#This Row],[Quantity_Sold]],2), "PASS", "CHECK")</f>
        <v>PASS</v>
      </c>
    </row>
    <row r="78" spans="1:20" x14ac:dyDescent="0.35">
      <c r="A78" s="7">
        <v>77</v>
      </c>
      <c r="B78" s="9">
        <v>1043</v>
      </c>
      <c r="C78" s="7" t="str">
        <f>IFERROR(_xlfn.TEXTJOIN("-", TRUE, _xlfn.XLOOKUP(K78, product_category_id_lookup!$A$2:$A$5, product_category_id_lookup!$B$2:$B$5), B78), "Unknown Category")</f>
        <v>ctg-1043</v>
      </c>
      <c r="D78" s="8">
        <v>44587</v>
      </c>
      <c r="E78" s="7">
        <f t="shared" si="3"/>
        <v>2022</v>
      </c>
      <c r="F78" s="28" t="str">
        <f t="shared" si="4"/>
        <v>Jan</v>
      </c>
      <c r="G78" s="17" t="s">
        <v>29</v>
      </c>
      <c r="H78" s="17" t="s">
        <v>30</v>
      </c>
      <c r="I78" s="24">
        <v>5401.5120000000006</v>
      </c>
      <c r="J78" s="32">
        <v>2</v>
      </c>
      <c r="K78" s="17" t="s">
        <v>26</v>
      </c>
      <c r="L78" s="24">
        <v>285.33999999999997</v>
      </c>
      <c r="M78" s="24">
        <v>3000.84</v>
      </c>
      <c r="N78" s="34">
        <f>((sales_data_1[[#This Row],[Unit_Price]]*(1-sales_data_1[[#This Row],[Discount]]))-sales_data_1[[#This Row],[Unit_Cost]])*sales_data_1[[#This Row],[Quantity_Sold]]</f>
        <v>4830.8320000000003</v>
      </c>
      <c r="O78" s="17" t="s">
        <v>27</v>
      </c>
      <c r="P78" s="26">
        <v>0.1</v>
      </c>
      <c r="Q78" s="17" t="s">
        <v>25</v>
      </c>
      <c r="R78" s="17" t="s">
        <v>19</v>
      </c>
      <c r="S78" s="49" t="str">
        <f t="shared" si="5"/>
        <v>Charlie-East</v>
      </c>
      <c r="T78" s="59" t="str">
        <f>IF(ROUND(sales_data_1[[#This Row],[Profit_Margin]],2)=ROUND((sales_data_1[[#This Row],[Unit_Price]]*(1-sales_data_1[[#This Row],[Discount]]) - sales_data_1[[#This Row],[Unit_Cost]])*sales_data_1[[#This Row],[Quantity_Sold]],2), "PASS", "CHECK")</f>
        <v>PASS</v>
      </c>
    </row>
    <row r="79" spans="1:20" x14ac:dyDescent="0.35">
      <c r="A79" s="7">
        <v>78</v>
      </c>
      <c r="B79" s="9">
        <v>1040</v>
      </c>
      <c r="C79" s="7" t="str">
        <f>IFERROR(_xlfn.TEXTJOIN("-", TRUE, _xlfn.XLOOKUP(K79, product_category_id_lookup!$A$2:$A$5, product_category_id_lookup!$B$2:$B$5), B79), "Unknown Category")</f>
        <v>fd-1040</v>
      </c>
      <c r="D79" s="8">
        <v>44588</v>
      </c>
      <c r="E79" s="7">
        <f t="shared" si="3"/>
        <v>2022</v>
      </c>
      <c r="F79" s="28" t="str">
        <f t="shared" si="4"/>
        <v>Jan</v>
      </c>
      <c r="G79" s="17" t="s">
        <v>29</v>
      </c>
      <c r="H79" s="17" t="s">
        <v>30</v>
      </c>
      <c r="I79" s="24">
        <v>46140.517800000001</v>
      </c>
      <c r="J79" s="32">
        <v>13</v>
      </c>
      <c r="K79" s="17" t="s">
        <v>24</v>
      </c>
      <c r="L79" s="24">
        <v>3310.57</v>
      </c>
      <c r="M79" s="24">
        <v>3816.42</v>
      </c>
      <c r="N79" s="34">
        <f>((sales_data_1[[#This Row],[Unit_Price]]*(1-sales_data_1[[#This Row],[Discount]]))-sales_data_1[[#This Row],[Unit_Cost]])*sales_data_1[[#This Row],[Quantity_Sold]]</f>
        <v>3103.1077999999957</v>
      </c>
      <c r="O79" s="17" t="s">
        <v>27</v>
      </c>
      <c r="P79" s="26">
        <v>7.0000000000000007E-2</v>
      </c>
      <c r="Q79" s="17" t="s">
        <v>25</v>
      </c>
      <c r="R79" s="17" t="s">
        <v>19</v>
      </c>
      <c r="S79" s="49" t="str">
        <f t="shared" si="5"/>
        <v>Charlie-East</v>
      </c>
      <c r="T79" s="59" t="str">
        <f>IF(ROUND(sales_data_1[[#This Row],[Profit_Margin]],2)=ROUND((sales_data_1[[#This Row],[Unit_Price]]*(1-sales_data_1[[#This Row],[Discount]]) - sales_data_1[[#This Row],[Unit_Cost]])*sales_data_1[[#This Row],[Quantity_Sold]],2), "PASS", "CHECK")</f>
        <v>PASS</v>
      </c>
    </row>
    <row r="80" spans="1:20" x14ac:dyDescent="0.35">
      <c r="A80" s="7">
        <v>79</v>
      </c>
      <c r="B80" s="9">
        <v>1035</v>
      </c>
      <c r="C80" s="7" t="str">
        <f>IFERROR(_xlfn.TEXTJOIN("-", TRUE, _xlfn.XLOOKUP(K80, product_category_id_lookup!$A$2:$A$5, product_category_id_lookup!$B$2:$B$5), B80), "Unknown Category")</f>
        <v>fd-1035</v>
      </c>
      <c r="D80" s="8">
        <v>44588</v>
      </c>
      <c r="E80" s="7">
        <f t="shared" si="3"/>
        <v>2022</v>
      </c>
      <c r="F80" s="28" t="str">
        <f t="shared" si="4"/>
        <v>Jan</v>
      </c>
      <c r="G80" s="17" t="s">
        <v>29</v>
      </c>
      <c r="H80" s="17" t="s">
        <v>15</v>
      </c>
      <c r="I80" s="24">
        <v>39595.328000000001</v>
      </c>
      <c r="J80" s="32">
        <v>37</v>
      </c>
      <c r="K80" s="17" t="s">
        <v>24</v>
      </c>
      <c r="L80" s="24">
        <v>725.42</v>
      </c>
      <c r="M80" s="24">
        <v>1337.68</v>
      </c>
      <c r="N80" s="34">
        <f>((sales_data_1[[#This Row],[Unit_Price]]*(1-sales_data_1[[#This Row],[Discount]]))-sales_data_1[[#This Row],[Unit_Cost]])*sales_data_1[[#This Row],[Quantity_Sold]]</f>
        <v>12754.788000000002</v>
      </c>
      <c r="O80" s="17" t="s">
        <v>17</v>
      </c>
      <c r="P80" s="26">
        <v>0.2</v>
      </c>
      <c r="Q80" s="17" t="s">
        <v>18</v>
      </c>
      <c r="R80" s="17" t="s">
        <v>21</v>
      </c>
      <c r="S80" s="49" t="str">
        <f t="shared" si="5"/>
        <v>Charlie-North</v>
      </c>
      <c r="T80" s="59" t="str">
        <f>IF(ROUND(sales_data_1[[#This Row],[Profit_Margin]],2)=ROUND((sales_data_1[[#This Row],[Unit_Price]]*(1-sales_data_1[[#This Row],[Discount]]) - sales_data_1[[#This Row],[Unit_Cost]])*sales_data_1[[#This Row],[Quantity_Sold]],2), "PASS", "CHECK")</f>
        <v>PASS</v>
      </c>
    </row>
    <row r="81" spans="1:20" x14ac:dyDescent="0.35">
      <c r="A81" s="7">
        <v>80</v>
      </c>
      <c r="B81" s="9">
        <v>1017</v>
      </c>
      <c r="C81" s="7" t="str">
        <f>IFERROR(_xlfn.TEXTJOIN("-", TRUE, _xlfn.XLOOKUP(K81, product_category_id_lookup!$A$2:$A$5, product_category_id_lookup!$B$2:$B$5), B81), "Unknown Category")</f>
        <v>fnt-1017</v>
      </c>
      <c r="D81" s="8">
        <v>44588</v>
      </c>
      <c r="E81" s="7">
        <f t="shared" si="3"/>
        <v>2022</v>
      </c>
      <c r="F81" s="28" t="str">
        <f t="shared" si="4"/>
        <v>Jan</v>
      </c>
      <c r="G81" s="17" t="s">
        <v>22</v>
      </c>
      <c r="H81" s="17" t="s">
        <v>20</v>
      </c>
      <c r="I81" s="24">
        <v>151430.51520000002</v>
      </c>
      <c r="J81" s="32">
        <v>48</v>
      </c>
      <c r="K81" s="17" t="s">
        <v>16</v>
      </c>
      <c r="L81" s="24">
        <v>2015.57</v>
      </c>
      <c r="M81" s="24">
        <v>3847.32</v>
      </c>
      <c r="N81" s="34">
        <f>((sales_data_1[[#This Row],[Unit_Price]]*(1-sales_data_1[[#This Row],[Discount]]))-sales_data_1[[#This Row],[Unit_Cost]])*sales_data_1[[#This Row],[Quantity_Sold]]</f>
        <v>54683.155200000023</v>
      </c>
      <c r="O81" s="17" t="s">
        <v>27</v>
      </c>
      <c r="P81" s="26">
        <v>0.18</v>
      </c>
      <c r="Q81" s="17" t="s">
        <v>28</v>
      </c>
      <c r="R81" s="17" t="s">
        <v>19</v>
      </c>
      <c r="S81" s="49" t="str">
        <f t="shared" si="5"/>
        <v>David-West</v>
      </c>
      <c r="T81" s="59" t="str">
        <f>IF(ROUND(sales_data_1[[#This Row],[Profit_Margin]],2)=ROUND((sales_data_1[[#This Row],[Unit_Price]]*(1-sales_data_1[[#This Row],[Discount]]) - sales_data_1[[#This Row],[Unit_Cost]])*sales_data_1[[#This Row],[Quantity_Sold]],2), "PASS", "CHECK")</f>
        <v>PASS</v>
      </c>
    </row>
    <row r="82" spans="1:20" x14ac:dyDescent="0.35">
      <c r="A82" s="7">
        <v>81</v>
      </c>
      <c r="B82" s="9">
        <v>1035</v>
      </c>
      <c r="C82" s="7" t="str">
        <f>IFERROR(_xlfn.TEXTJOIN("-", TRUE, _xlfn.XLOOKUP(K82, product_category_id_lookup!$A$2:$A$5, product_category_id_lookup!$B$2:$B$5), B82), "Unknown Category")</f>
        <v>fnt-1035</v>
      </c>
      <c r="D82" s="8">
        <v>44588</v>
      </c>
      <c r="E82" s="7">
        <f t="shared" si="3"/>
        <v>2022</v>
      </c>
      <c r="F82" s="28" t="str">
        <f t="shared" si="4"/>
        <v>Jan</v>
      </c>
      <c r="G82" s="17" t="s">
        <v>33</v>
      </c>
      <c r="H82" s="17" t="s">
        <v>20</v>
      </c>
      <c r="I82" s="24">
        <v>144818.23399999997</v>
      </c>
      <c r="J82" s="32">
        <v>44</v>
      </c>
      <c r="K82" s="17" t="s">
        <v>16</v>
      </c>
      <c r="L82" s="24">
        <v>1864.78</v>
      </c>
      <c r="M82" s="24">
        <v>3965.45</v>
      </c>
      <c r="N82" s="34">
        <f>((sales_data_1[[#This Row],[Unit_Price]]*(1-sales_data_1[[#This Row],[Discount]]))-sales_data_1[[#This Row],[Unit_Cost]])*sales_data_1[[#This Row],[Quantity_Sold]]</f>
        <v>62767.913999999982</v>
      </c>
      <c r="O82" s="17" t="s">
        <v>17</v>
      </c>
      <c r="P82" s="26">
        <v>0.17</v>
      </c>
      <c r="Q82" s="17" t="s">
        <v>28</v>
      </c>
      <c r="R82" s="17" t="s">
        <v>19</v>
      </c>
      <c r="S82" s="49" t="str">
        <f t="shared" si="5"/>
        <v>Alice-West</v>
      </c>
      <c r="T82" s="59" t="str">
        <f>IF(ROUND(sales_data_1[[#This Row],[Profit_Margin]],2)=ROUND((sales_data_1[[#This Row],[Unit_Price]]*(1-sales_data_1[[#This Row],[Discount]]) - sales_data_1[[#This Row],[Unit_Cost]])*sales_data_1[[#This Row],[Quantity_Sold]],2), "PASS", "CHECK")</f>
        <v>PASS</v>
      </c>
    </row>
    <row r="83" spans="1:20" x14ac:dyDescent="0.35">
      <c r="A83" s="7">
        <v>82</v>
      </c>
      <c r="B83" s="9">
        <v>1055</v>
      </c>
      <c r="C83" s="7" t="str">
        <f>IFERROR(_xlfn.TEXTJOIN("-", TRUE, _xlfn.XLOOKUP(K83, product_category_id_lookup!$A$2:$A$5, product_category_id_lookup!$B$2:$B$5), B83), "Unknown Category")</f>
        <v>etc-1055</v>
      </c>
      <c r="D83" s="8">
        <v>44589</v>
      </c>
      <c r="E83" s="7">
        <f t="shared" si="3"/>
        <v>2022</v>
      </c>
      <c r="F83" s="28" t="str">
        <f t="shared" si="4"/>
        <v>Jan</v>
      </c>
      <c r="G83" s="17" t="s">
        <v>22</v>
      </c>
      <c r="H83" s="17" t="s">
        <v>15</v>
      </c>
      <c r="I83" s="24">
        <v>164840.90299999999</v>
      </c>
      <c r="J83" s="32">
        <v>38</v>
      </c>
      <c r="K83" s="17" t="s">
        <v>31</v>
      </c>
      <c r="L83" s="24">
        <v>3976.75</v>
      </c>
      <c r="M83" s="24">
        <v>4566.2299999999996</v>
      </c>
      <c r="N83" s="34">
        <f>((sales_data_1[[#This Row],[Unit_Price]]*(1-sales_data_1[[#This Row],[Discount]]))-sales_data_1[[#This Row],[Unit_Cost]])*sales_data_1[[#This Row],[Quantity_Sold]]</f>
        <v>13724.402999999991</v>
      </c>
      <c r="O83" s="17" t="s">
        <v>27</v>
      </c>
      <c r="P83" s="26">
        <v>0.05</v>
      </c>
      <c r="Q83" s="17" t="s">
        <v>18</v>
      </c>
      <c r="R83" s="17" t="s">
        <v>21</v>
      </c>
      <c r="S83" s="49" t="str">
        <f t="shared" si="5"/>
        <v>David-North</v>
      </c>
      <c r="T83" s="59" t="str">
        <f>IF(ROUND(sales_data_1[[#This Row],[Profit_Margin]],2)=ROUND((sales_data_1[[#This Row],[Unit_Price]]*(1-sales_data_1[[#This Row],[Discount]]) - sales_data_1[[#This Row],[Unit_Cost]])*sales_data_1[[#This Row],[Quantity_Sold]],2), "PASS", "CHECK")</f>
        <v>PASS</v>
      </c>
    </row>
    <row r="84" spans="1:20" x14ac:dyDescent="0.35">
      <c r="A84" s="7">
        <v>83</v>
      </c>
      <c r="B84" s="9">
        <v>1068</v>
      </c>
      <c r="C84" s="7" t="str">
        <f>IFERROR(_xlfn.TEXTJOIN("-", TRUE, _xlfn.XLOOKUP(K84, product_category_id_lookup!$A$2:$A$5, product_category_id_lookup!$B$2:$B$5), B84), "Unknown Category")</f>
        <v>ctg-1068</v>
      </c>
      <c r="D84" s="8">
        <v>44589</v>
      </c>
      <c r="E84" s="7">
        <f t="shared" si="3"/>
        <v>2022</v>
      </c>
      <c r="F84" s="28" t="str">
        <f t="shared" si="4"/>
        <v>Jan</v>
      </c>
      <c r="G84" s="17" t="s">
        <v>33</v>
      </c>
      <c r="H84" s="17" t="s">
        <v>20</v>
      </c>
      <c r="I84" s="24">
        <v>100268.18023615463</v>
      </c>
      <c r="J84" s="32">
        <v>42</v>
      </c>
      <c r="K84" s="17" t="s">
        <v>26</v>
      </c>
      <c r="L84" s="24">
        <v>1979.08</v>
      </c>
      <c r="M84" s="24">
        <v>2460.88</v>
      </c>
      <c r="N84" s="34">
        <f>((sales_data_1[[#This Row],[Unit_Price]]*(1-sales_data_1[[#This Row],[Discount]]))-sales_data_1[[#This Row],[Unit_Cost]])*sales_data_1[[#This Row],[Quantity_Sold]]</f>
        <v>17134.891200000013</v>
      </c>
      <c r="O84" s="17" t="s">
        <v>27</v>
      </c>
      <c r="P84" s="26">
        <v>0.03</v>
      </c>
      <c r="Q84" s="17" t="s">
        <v>25</v>
      </c>
      <c r="R84" s="17" t="s">
        <v>21</v>
      </c>
      <c r="S84" s="49" t="str">
        <f t="shared" si="5"/>
        <v>Alice-West</v>
      </c>
      <c r="T84" s="59" t="str">
        <f>IF(ROUND(sales_data_1[[#This Row],[Profit_Margin]],2)=ROUND((sales_data_1[[#This Row],[Unit_Price]]*(1-sales_data_1[[#This Row],[Discount]]) - sales_data_1[[#This Row],[Unit_Cost]])*sales_data_1[[#This Row],[Quantity_Sold]],2), "PASS", "CHECK")</f>
        <v>PASS</v>
      </c>
    </row>
    <row r="85" spans="1:20" x14ac:dyDescent="0.35">
      <c r="A85" s="7">
        <v>84</v>
      </c>
      <c r="B85" s="9">
        <v>1022</v>
      </c>
      <c r="C85" s="7" t="str">
        <f>IFERROR(_xlfn.TEXTJOIN("-", TRUE, _xlfn.XLOOKUP(K85, product_category_id_lookup!$A$2:$A$5, product_category_id_lookup!$B$2:$B$5), B85), "Unknown Category")</f>
        <v>fd-1022</v>
      </c>
      <c r="D85" s="8">
        <v>44589</v>
      </c>
      <c r="E85" s="7">
        <f t="shared" si="3"/>
        <v>2022</v>
      </c>
      <c r="F85" s="28" t="str">
        <f t="shared" si="4"/>
        <v>Jan</v>
      </c>
      <c r="G85" s="17" t="s">
        <v>29</v>
      </c>
      <c r="H85" s="17" t="s">
        <v>20</v>
      </c>
      <c r="I85" s="24">
        <v>83501.500799999994</v>
      </c>
      <c r="J85" s="32">
        <v>32</v>
      </c>
      <c r="K85" s="17" t="s">
        <v>24</v>
      </c>
      <c r="L85" s="24">
        <v>655.69</v>
      </c>
      <c r="M85" s="24">
        <v>2805.83</v>
      </c>
      <c r="N85" s="34">
        <f>((sales_data_1[[#This Row],[Unit_Price]]*(1-sales_data_1[[#This Row],[Discount]]))-sales_data_1[[#This Row],[Unit_Cost]])*sales_data_1[[#This Row],[Quantity_Sold]]</f>
        <v>62519.420799999993</v>
      </c>
      <c r="O85" s="17" t="s">
        <v>27</v>
      </c>
      <c r="P85" s="26">
        <v>7.0000000000000007E-2</v>
      </c>
      <c r="Q85" s="17" t="s">
        <v>25</v>
      </c>
      <c r="R85" s="17" t="s">
        <v>19</v>
      </c>
      <c r="S85" s="49" t="str">
        <f t="shared" si="5"/>
        <v>Charlie-West</v>
      </c>
      <c r="T85" s="59" t="str">
        <f>IF(ROUND(sales_data_1[[#This Row],[Profit_Margin]],2)=ROUND((sales_data_1[[#This Row],[Unit_Price]]*(1-sales_data_1[[#This Row],[Discount]]) - sales_data_1[[#This Row],[Unit_Cost]])*sales_data_1[[#This Row],[Quantity_Sold]],2), "PASS", "CHECK")</f>
        <v>PASS</v>
      </c>
    </row>
    <row r="86" spans="1:20" x14ac:dyDescent="0.35">
      <c r="A86" s="7">
        <v>85</v>
      </c>
      <c r="B86" s="9">
        <v>1074</v>
      </c>
      <c r="C86" s="7" t="str">
        <f>IFERROR(_xlfn.TEXTJOIN("-", TRUE, _xlfn.XLOOKUP(K86, product_category_id_lookup!$A$2:$A$5, product_category_id_lookup!$B$2:$B$5), B86), "Unknown Category")</f>
        <v>etc-1074</v>
      </c>
      <c r="D86" s="8">
        <v>44589</v>
      </c>
      <c r="E86" s="7">
        <f t="shared" si="3"/>
        <v>2022</v>
      </c>
      <c r="F86" s="28" t="str">
        <f t="shared" si="4"/>
        <v>Jan</v>
      </c>
      <c r="G86" s="17" t="s">
        <v>33</v>
      </c>
      <c r="H86" s="17" t="s">
        <v>23</v>
      </c>
      <c r="I86" s="24">
        <v>89011.553400000004</v>
      </c>
      <c r="J86" s="32">
        <v>19</v>
      </c>
      <c r="K86" s="17" t="s">
        <v>31</v>
      </c>
      <c r="L86" s="24">
        <v>880.36</v>
      </c>
      <c r="M86" s="24">
        <v>4732.1400000000003</v>
      </c>
      <c r="N86" s="34">
        <f>((sales_data_1[[#This Row],[Unit_Price]]*(1-sales_data_1[[#This Row],[Discount]]))-sales_data_1[[#This Row],[Unit_Cost]])*sales_data_1[[#This Row],[Quantity_Sold]]</f>
        <v>72284.713400000008</v>
      </c>
      <c r="O86" s="17" t="s">
        <v>27</v>
      </c>
      <c r="P86" s="26">
        <v>0.01</v>
      </c>
      <c r="Q86" s="17" t="s">
        <v>28</v>
      </c>
      <c r="R86" s="17" t="s">
        <v>21</v>
      </c>
      <c r="S86" s="49" t="str">
        <f t="shared" si="5"/>
        <v>Alice-South</v>
      </c>
      <c r="T86" s="59" t="str">
        <f>IF(ROUND(sales_data_1[[#This Row],[Profit_Margin]],2)=ROUND((sales_data_1[[#This Row],[Unit_Price]]*(1-sales_data_1[[#This Row],[Discount]]) - sales_data_1[[#This Row],[Unit_Cost]])*sales_data_1[[#This Row],[Quantity_Sold]],2), "PASS", "CHECK")</f>
        <v>PASS</v>
      </c>
    </row>
    <row r="87" spans="1:20" x14ac:dyDescent="0.35">
      <c r="A87" s="7">
        <v>86</v>
      </c>
      <c r="B87" s="9">
        <v>1085</v>
      </c>
      <c r="C87" s="7" t="str">
        <f>IFERROR(_xlfn.TEXTJOIN("-", TRUE, _xlfn.XLOOKUP(K87, product_category_id_lookup!$A$2:$A$5, product_category_id_lookup!$B$2:$B$5), B87), "Unknown Category")</f>
        <v>etc-1085</v>
      </c>
      <c r="D87" s="8">
        <v>44590</v>
      </c>
      <c r="E87" s="7">
        <f t="shared" si="3"/>
        <v>2022</v>
      </c>
      <c r="F87" s="28" t="str">
        <f t="shared" si="4"/>
        <v>Jan</v>
      </c>
      <c r="G87" s="17" t="s">
        <v>29</v>
      </c>
      <c r="H87" s="17" t="s">
        <v>30</v>
      </c>
      <c r="I87" s="24">
        <v>94069.595200000011</v>
      </c>
      <c r="J87" s="32">
        <v>34</v>
      </c>
      <c r="K87" s="17" t="s">
        <v>31</v>
      </c>
      <c r="L87" s="24">
        <v>2615.79</v>
      </c>
      <c r="M87" s="24">
        <v>3007.34</v>
      </c>
      <c r="N87" s="34">
        <f>((sales_data_1[[#This Row],[Unit_Price]]*(1-sales_data_1[[#This Row],[Discount]]))-sales_data_1[[#This Row],[Unit_Cost]])*sales_data_1[[#This Row],[Quantity_Sold]]</f>
        <v>5132.7352000000083</v>
      </c>
      <c r="O87" s="17" t="s">
        <v>27</v>
      </c>
      <c r="P87" s="26">
        <v>0.08</v>
      </c>
      <c r="Q87" s="17" t="s">
        <v>18</v>
      </c>
      <c r="R87" s="17" t="s">
        <v>21</v>
      </c>
      <c r="S87" s="49" t="str">
        <f t="shared" si="5"/>
        <v>Charlie-East</v>
      </c>
      <c r="T87" s="59" t="str">
        <f>IF(ROUND(sales_data_1[[#This Row],[Profit_Margin]],2)=ROUND((sales_data_1[[#This Row],[Unit_Price]]*(1-sales_data_1[[#This Row],[Discount]]) - sales_data_1[[#This Row],[Unit_Cost]])*sales_data_1[[#This Row],[Quantity_Sold]],2), "PASS", "CHECK")</f>
        <v>PASS</v>
      </c>
    </row>
    <row r="88" spans="1:20" x14ac:dyDescent="0.35">
      <c r="A88" s="7">
        <v>87</v>
      </c>
      <c r="B88" s="9">
        <v>1075</v>
      </c>
      <c r="C88" s="7" t="str">
        <f>IFERROR(_xlfn.TEXTJOIN("-", TRUE, _xlfn.XLOOKUP(K88, product_category_id_lookup!$A$2:$A$5, product_category_id_lookup!$B$2:$B$5), B88), "Unknown Category")</f>
        <v>fd-1075</v>
      </c>
      <c r="D88" s="8">
        <v>44590</v>
      </c>
      <c r="E88" s="7">
        <f t="shared" si="3"/>
        <v>2022</v>
      </c>
      <c r="F88" s="28" t="str">
        <f t="shared" si="4"/>
        <v>Jan</v>
      </c>
      <c r="G88" s="17" t="s">
        <v>32</v>
      </c>
      <c r="H88" s="17" t="s">
        <v>15</v>
      </c>
      <c r="I88" s="24">
        <v>164018.6379</v>
      </c>
      <c r="J88" s="32">
        <v>39</v>
      </c>
      <c r="K88" s="17" t="s">
        <v>24</v>
      </c>
      <c r="L88" s="24">
        <v>3757.94</v>
      </c>
      <c r="M88" s="24">
        <v>4834.03</v>
      </c>
      <c r="N88" s="34">
        <f>((sales_data_1[[#This Row],[Unit_Price]]*(1-sales_data_1[[#This Row],[Discount]]))-sales_data_1[[#This Row],[Unit_Cost]])*sales_data_1[[#This Row],[Quantity_Sold]]</f>
        <v>17458.977899999998</v>
      </c>
      <c r="O88" s="17" t="s">
        <v>17</v>
      </c>
      <c r="P88" s="26">
        <v>0.13</v>
      </c>
      <c r="Q88" s="17" t="s">
        <v>28</v>
      </c>
      <c r="R88" s="17" t="s">
        <v>21</v>
      </c>
      <c r="S88" s="49" t="str">
        <f t="shared" si="5"/>
        <v>Eve-North</v>
      </c>
      <c r="T88" s="59" t="str">
        <f>IF(ROUND(sales_data_1[[#This Row],[Profit_Margin]],2)=ROUND((sales_data_1[[#This Row],[Unit_Price]]*(1-sales_data_1[[#This Row],[Discount]]) - sales_data_1[[#This Row],[Unit_Cost]])*sales_data_1[[#This Row],[Quantity_Sold]],2), "PASS", "CHECK")</f>
        <v>PASS</v>
      </c>
    </row>
    <row r="89" spans="1:20" x14ac:dyDescent="0.35">
      <c r="A89" s="7">
        <v>88</v>
      </c>
      <c r="B89" s="9">
        <v>1065</v>
      </c>
      <c r="C89" s="7" t="str">
        <f>IFERROR(_xlfn.TEXTJOIN("-", TRUE, _xlfn.XLOOKUP(K89, product_category_id_lookup!$A$2:$A$5, product_category_id_lookup!$B$2:$B$5), B89), "Unknown Category")</f>
        <v>etc-1065</v>
      </c>
      <c r="D89" s="8">
        <v>44590</v>
      </c>
      <c r="E89" s="7">
        <f t="shared" si="3"/>
        <v>2022</v>
      </c>
      <c r="F89" s="28" t="str">
        <f t="shared" si="4"/>
        <v>Jan</v>
      </c>
      <c r="G89" s="17" t="s">
        <v>29</v>
      </c>
      <c r="H89" s="17" t="s">
        <v>30</v>
      </c>
      <c r="I89" s="24">
        <v>161726.535</v>
      </c>
      <c r="J89" s="32">
        <v>50</v>
      </c>
      <c r="K89" s="17" t="s">
        <v>31</v>
      </c>
      <c r="L89" s="24">
        <v>637.63</v>
      </c>
      <c r="M89" s="24">
        <v>3477.99</v>
      </c>
      <c r="N89" s="34">
        <f>((sales_data_1[[#This Row],[Unit_Price]]*(1-sales_data_1[[#This Row],[Discount]]))-sales_data_1[[#This Row],[Unit_Cost]])*sales_data_1[[#This Row],[Quantity_Sold]]</f>
        <v>129845.03499999999</v>
      </c>
      <c r="O89" s="17" t="s">
        <v>17</v>
      </c>
      <c r="P89" s="26">
        <v>7.0000000000000007E-2</v>
      </c>
      <c r="Q89" s="17" t="s">
        <v>25</v>
      </c>
      <c r="R89" s="17" t="s">
        <v>21</v>
      </c>
      <c r="S89" s="49" t="str">
        <f t="shared" si="5"/>
        <v>Charlie-East</v>
      </c>
      <c r="T89" s="59" t="str">
        <f>IF(ROUND(sales_data_1[[#This Row],[Profit_Margin]],2)=ROUND((sales_data_1[[#This Row],[Unit_Price]]*(1-sales_data_1[[#This Row],[Discount]]) - sales_data_1[[#This Row],[Unit_Cost]])*sales_data_1[[#This Row],[Quantity_Sold]],2), "PASS", "CHECK")</f>
        <v>PASS</v>
      </c>
    </row>
    <row r="90" spans="1:20" x14ac:dyDescent="0.35">
      <c r="A90" s="7">
        <v>89</v>
      </c>
      <c r="B90" s="9">
        <v>1006</v>
      </c>
      <c r="C90" s="7" t="str">
        <f>IFERROR(_xlfn.TEXTJOIN("-", TRUE, _xlfn.XLOOKUP(K90, product_category_id_lookup!$A$2:$A$5, product_category_id_lookup!$B$2:$B$5), B90), "Unknown Category")</f>
        <v>ctg-1006</v>
      </c>
      <c r="D90" s="8">
        <v>44592</v>
      </c>
      <c r="E90" s="7">
        <f t="shared" si="3"/>
        <v>2022</v>
      </c>
      <c r="F90" s="28" t="str">
        <f t="shared" si="4"/>
        <v>Jan</v>
      </c>
      <c r="G90" s="17" t="s">
        <v>14</v>
      </c>
      <c r="H90" s="17" t="s">
        <v>15</v>
      </c>
      <c r="I90" s="24">
        <v>2774.3970000000004</v>
      </c>
      <c r="J90" s="32">
        <v>1</v>
      </c>
      <c r="K90" s="17" t="s">
        <v>26</v>
      </c>
      <c r="L90" s="24">
        <v>1973.03</v>
      </c>
      <c r="M90" s="24">
        <v>3117.3</v>
      </c>
      <c r="N90" s="34">
        <f>((sales_data_1[[#This Row],[Unit_Price]]*(1-sales_data_1[[#This Row],[Discount]]))-sales_data_1[[#This Row],[Unit_Cost]])*sales_data_1[[#This Row],[Quantity_Sold]]</f>
        <v>801.36700000000042</v>
      </c>
      <c r="O90" s="17" t="s">
        <v>17</v>
      </c>
      <c r="P90" s="26">
        <v>0.11</v>
      </c>
      <c r="Q90" s="17" t="s">
        <v>18</v>
      </c>
      <c r="R90" s="17" t="s">
        <v>19</v>
      </c>
      <c r="S90" s="49" t="str">
        <f t="shared" si="5"/>
        <v>Bob-North</v>
      </c>
      <c r="T90" s="59" t="str">
        <f>IF(ROUND(sales_data_1[[#This Row],[Profit_Margin]],2)=ROUND((sales_data_1[[#This Row],[Unit_Price]]*(1-sales_data_1[[#This Row],[Discount]]) - sales_data_1[[#This Row],[Unit_Cost]])*sales_data_1[[#This Row],[Quantity_Sold]],2), "PASS", "CHECK")</f>
        <v>PASS</v>
      </c>
    </row>
    <row r="91" spans="1:20" x14ac:dyDescent="0.35">
      <c r="A91" s="7">
        <v>90</v>
      </c>
      <c r="B91" s="9">
        <v>1086</v>
      </c>
      <c r="C91" s="7" t="str">
        <f>IFERROR(_xlfn.TEXTJOIN("-", TRUE, _xlfn.XLOOKUP(K91, product_category_id_lookup!$A$2:$A$5, product_category_id_lookup!$B$2:$B$5), B91), "Unknown Category")</f>
        <v>ctg-1086</v>
      </c>
      <c r="D91" s="8">
        <v>44592</v>
      </c>
      <c r="E91" s="7">
        <f t="shared" si="3"/>
        <v>2022</v>
      </c>
      <c r="F91" s="28" t="str">
        <f t="shared" si="4"/>
        <v>Jan</v>
      </c>
      <c r="G91" s="17" t="s">
        <v>29</v>
      </c>
      <c r="H91" s="17" t="s">
        <v>30</v>
      </c>
      <c r="I91" s="24">
        <v>27973.133397911377</v>
      </c>
      <c r="J91" s="32">
        <v>9</v>
      </c>
      <c r="K91" s="17" t="s">
        <v>26</v>
      </c>
      <c r="L91" s="24">
        <v>2799.23</v>
      </c>
      <c r="M91" s="24">
        <v>3262.5</v>
      </c>
      <c r="N91" s="34">
        <f>((sales_data_1[[#This Row],[Unit_Price]]*(1-sales_data_1[[#This Row],[Discount]]))-sales_data_1[[#This Row],[Unit_Cost]])*sales_data_1[[#This Row],[Quantity_Sold]]</f>
        <v>2701.3049999999998</v>
      </c>
      <c r="O91" s="17" t="s">
        <v>27</v>
      </c>
      <c r="P91" s="26">
        <v>0.05</v>
      </c>
      <c r="Q91" s="17" t="s">
        <v>28</v>
      </c>
      <c r="R91" s="17" t="s">
        <v>19</v>
      </c>
      <c r="S91" s="49" t="str">
        <f t="shared" si="5"/>
        <v>Charlie-East</v>
      </c>
      <c r="T91" s="59" t="str">
        <f>IF(ROUND(sales_data_1[[#This Row],[Profit_Margin]],2)=ROUND((sales_data_1[[#This Row],[Unit_Price]]*(1-sales_data_1[[#This Row],[Discount]]) - sales_data_1[[#This Row],[Unit_Cost]])*sales_data_1[[#This Row],[Quantity_Sold]],2), "PASS", "CHECK")</f>
        <v>PASS</v>
      </c>
    </row>
    <row r="92" spans="1:20" x14ac:dyDescent="0.35">
      <c r="A92" s="7">
        <v>91</v>
      </c>
      <c r="B92" s="9">
        <v>1086</v>
      </c>
      <c r="C92" s="7" t="str">
        <f>IFERROR(_xlfn.TEXTJOIN("-", TRUE, _xlfn.XLOOKUP(K92, product_category_id_lookup!$A$2:$A$5, product_category_id_lookup!$B$2:$B$5), B92), "Unknown Category")</f>
        <v>fd-1086</v>
      </c>
      <c r="D92" s="8">
        <v>44592</v>
      </c>
      <c r="E92" s="7">
        <f t="shared" si="3"/>
        <v>2022</v>
      </c>
      <c r="F92" s="28" t="str">
        <f t="shared" si="4"/>
        <v>Jan</v>
      </c>
      <c r="G92" s="17" t="s">
        <v>32</v>
      </c>
      <c r="H92" s="17" t="s">
        <v>23</v>
      </c>
      <c r="I92" s="24">
        <v>6285.2352000000001</v>
      </c>
      <c r="J92" s="32">
        <v>4</v>
      </c>
      <c r="K92" s="17" t="s">
        <v>24</v>
      </c>
      <c r="L92" s="24">
        <v>339.33</v>
      </c>
      <c r="M92" s="24">
        <v>1636.78</v>
      </c>
      <c r="N92" s="34">
        <f>((sales_data_1[[#This Row],[Unit_Price]]*(1-sales_data_1[[#This Row],[Discount]]))-sales_data_1[[#This Row],[Unit_Cost]])*sales_data_1[[#This Row],[Quantity_Sold]]</f>
        <v>4927.9152000000004</v>
      </c>
      <c r="O92" s="17" t="s">
        <v>17</v>
      </c>
      <c r="P92" s="26">
        <v>0.04</v>
      </c>
      <c r="Q92" s="17" t="s">
        <v>25</v>
      </c>
      <c r="R92" s="17" t="s">
        <v>19</v>
      </c>
      <c r="S92" s="49" t="str">
        <f t="shared" si="5"/>
        <v>Eve-South</v>
      </c>
      <c r="T92" s="59" t="str">
        <f>IF(ROUND(sales_data_1[[#This Row],[Profit_Margin]],2)=ROUND((sales_data_1[[#This Row],[Unit_Price]]*(1-sales_data_1[[#This Row],[Discount]]) - sales_data_1[[#This Row],[Unit_Cost]])*sales_data_1[[#This Row],[Quantity_Sold]],2), "PASS", "CHECK")</f>
        <v>PASS</v>
      </c>
    </row>
    <row r="93" spans="1:20" x14ac:dyDescent="0.35">
      <c r="A93" s="7">
        <v>92</v>
      </c>
      <c r="B93" s="9">
        <v>1088</v>
      </c>
      <c r="C93" s="7" t="str">
        <f>IFERROR(_xlfn.TEXTJOIN("-", TRUE, _xlfn.XLOOKUP(K93, product_category_id_lookup!$A$2:$A$5, product_category_id_lookup!$B$2:$B$5), B93), "Unknown Category")</f>
        <v>fnt-1088</v>
      </c>
      <c r="D93" s="8">
        <v>44593</v>
      </c>
      <c r="E93" s="7">
        <f t="shared" si="3"/>
        <v>2022</v>
      </c>
      <c r="F93" s="28" t="str">
        <f t="shared" si="4"/>
        <v>Feb</v>
      </c>
      <c r="G93" s="17" t="s">
        <v>29</v>
      </c>
      <c r="H93" s="17" t="s">
        <v>15</v>
      </c>
      <c r="I93" s="24">
        <v>56052.928193731488</v>
      </c>
      <c r="J93" s="32">
        <v>12</v>
      </c>
      <c r="K93" s="17" t="s">
        <v>16</v>
      </c>
      <c r="L93" s="24">
        <v>4600.53</v>
      </c>
      <c r="M93" s="24">
        <v>4799.3100000000004</v>
      </c>
      <c r="N93" s="34">
        <f>((sales_data_1[[#This Row],[Unit_Price]]*(1-sales_data_1[[#This Row],[Discount]]))-sales_data_1[[#This Row],[Unit_Cost]])*sales_data_1[[#This Row],[Quantity_Sold]]</f>
        <v>657.60840000000826</v>
      </c>
      <c r="O93" s="17" t="s">
        <v>27</v>
      </c>
      <c r="P93" s="26">
        <v>0.03</v>
      </c>
      <c r="Q93" s="17" t="s">
        <v>25</v>
      </c>
      <c r="R93" s="17" t="s">
        <v>21</v>
      </c>
      <c r="S93" s="49" t="str">
        <f t="shared" si="5"/>
        <v>Charlie-North</v>
      </c>
      <c r="T93" s="59" t="str">
        <f>IF(ROUND(sales_data_1[[#This Row],[Profit_Margin]],2)=ROUND((sales_data_1[[#This Row],[Unit_Price]]*(1-sales_data_1[[#This Row],[Discount]]) - sales_data_1[[#This Row],[Unit_Cost]])*sales_data_1[[#This Row],[Quantity_Sold]],2), "PASS", "CHECK")</f>
        <v>PASS</v>
      </c>
    </row>
    <row r="94" spans="1:20" x14ac:dyDescent="0.35">
      <c r="A94" s="7">
        <v>93</v>
      </c>
      <c r="B94" s="9">
        <v>1062</v>
      </c>
      <c r="C94" s="7" t="str">
        <f>IFERROR(_xlfn.TEXTJOIN("-", TRUE, _xlfn.XLOOKUP(K94, product_category_id_lookup!$A$2:$A$5, product_category_id_lookup!$B$2:$B$5), B94), "Unknown Category")</f>
        <v>ctg-1062</v>
      </c>
      <c r="D94" s="8">
        <v>44593</v>
      </c>
      <c r="E94" s="7">
        <f t="shared" si="3"/>
        <v>2022</v>
      </c>
      <c r="F94" s="28" t="str">
        <f t="shared" si="4"/>
        <v>Feb</v>
      </c>
      <c r="G94" s="17" t="s">
        <v>22</v>
      </c>
      <c r="H94" s="17" t="s">
        <v>15</v>
      </c>
      <c r="I94" s="24">
        <v>106976.47499999999</v>
      </c>
      <c r="J94" s="32">
        <v>43</v>
      </c>
      <c r="K94" s="17" t="s">
        <v>26</v>
      </c>
      <c r="L94" s="24">
        <v>793.99</v>
      </c>
      <c r="M94" s="24">
        <v>3317.1</v>
      </c>
      <c r="N94" s="34">
        <f>((sales_data_1[[#This Row],[Unit_Price]]*(1-sales_data_1[[#This Row],[Discount]]))-sales_data_1[[#This Row],[Unit_Cost]])*sales_data_1[[#This Row],[Quantity_Sold]]</f>
        <v>72834.904999999999</v>
      </c>
      <c r="O94" s="17" t="s">
        <v>27</v>
      </c>
      <c r="P94" s="26">
        <v>0.25</v>
      </c>
      <c r="Q94" s="17" t="s">
        <v>28</v>
      </c>
      <c r="R94" s="17" t="s">
        <v>21</v>
      </c>
      <c r="S94" s="49" t="str">
        <f t="shared" si="5"/>
        <v>David-North</v>
      </c>
      <c r="T94" s="59" t="str">
        <f>IF(ROUND(sales_data_1[[#This Row],[Profit_Margin]],2)=ROUND((sales_data_1[[#This Row],[Unit_Price]]*(1-sales_data_1[[#This Row],[Discount]]) - sales_data_1[[#This Row],[Unit_Cost]])*sales_data_1[[#This Row],[Quantity_Sold]],2), "PASS", "CHECK")</f>
        <v>PASS</v>
      </c>
    </row>
    <row r="95" spans="1:20" x14ac:dyDescent="0.35">
      <c r="A95" s="7">
        <v>94</v>
      </c>
      <c r="B95" s="9">
        <v>1081</v>
      </c>
      <c r="C95" s="7" t="str">
        <f>IFERROR(_xlfn.TEXTJOIN("-", TRUE, _xlfn.XLOOKUP(K95, product_category_id_lookup!$A$2:$A$5, product_category_id_lookup!$B$2:$B$5), B95), "Unknown Category")</f>
        <v>etc-1081</v>
      </c>
      <c r="D95" s="8">
        <v>44594</v>
      </c>
      <c r="E95" s="7">
        <f t="shared" si="3"/>
        <v>2022</v>
      </c>
      <c r="F95" s="28" t="str">
        <f t="shared" si="4"/>
        <v>Feb</v>
      </c>
      <c r="G95" s="17" t="s">
        <v>14</v>
      </c>
      <c r="H95" s="17" t="s">
        <v>20</v>
      </c>
      <c r="I95" s="24">
        <v>3247.3732023665621</v>
      </c>
      <c r="J95" s="32">
        <v>1</v>
      </c>
      <c r="K95" s="17" t="s">
        <v>31</v>
      </c>
      <c r="L95" s="24">
        <v>3178.1</v>
      </c>
      <c r="M95" s="24">
        <v>3266</v>
      </c>
      <c r="N95" s="34">
        <f>((sales_data_1[[#This Row],[Unit_Price]]*(1-sales_data_1[[#This Row],[Discount]]))-sales_data_1[[#This Row],[Unit_Cost]])*sales_data_1[[#This Row],[Quantity_Sold]]</f>
        <v>55.240000000000236</v>
      </c>
      <c r="O95" s="17" t="s">
        <v>17</v>
      </c>
      <c r="P95" s="26">
        <v>0.01</v>
      </c>
      <c r="Q95" s="17" t="s">
        <v>28</v>
      </c>
      <c r="R95" s="17" t="s">
        <v>19</v>
      </c>
      <c r="S95" s="49" t="str">
        <f t="shared" si="5"/>
        <v>Bob-West</v>
      </c>
      <c r="T95" s="59" t="str">
        <f>IF(ROUND(sales_data_1[[#This Row],[Profit_Margin]],2)=ROUND((sales_data_1[[#This Row],[Unit_Price]]*(1-sales_data_1[[#This Row],[Discount]]) - sales_data_1[[#This Row],[Unit_Cost]])*sales_data_1[[#This Row],[Quantity_Sold]],2), "PASS", "CHECK")</f>
        <v>PASS</v>
      </c>
    </row>
    <row r="96" spans="1:20" x14ac:dyDescent="0.35">
      <c r="A96" s="7">
        <v>95</v>
      </c>
      <c r="B96" s="9">
        <v>1052</v>
      </c>
      <c r="C96" s="7" t="str">
        <f>IFERROR(_xlfn.TEXTJOIN("-", TRUE, _xlfn.XLOOKUP(K96, product_category_id_lookup!$A$2:$A$5, product_category_id_lookup!$B$2:$B$5), B96), "Unknown Category")</f>
        <v>etc-1052</v>
      </c>
      <c r="D96" s="8">
        <v>44594</v>
      </c>
      <c r="E96" s="7">
        <f t="shared" si="3"/>
        <v>2022</v>
      </c>
      <c r="F96" s="28" t="str">
        <f t="shared" si="4"/>
        <v>Feb</v>
      </c>
      <c r="G96" s="17" t="s">
        <v>29</v>
      </c>
      <c r="H96" s="17" t="s">
        <v>15</v>
      </c>
      <c r="I96" s="24">
        <v>17353.561600000001</v>
      </c>
      <c r="J96" s="32">
        <v>16</v>
      </c>
      <c r="K96" s="17" t="s">
        <v>31</v>
      </c>
      <c r="L96" s="24">
        <v>910.61</v>
      </c>
      <c r="M96" s="24">
        <v>1261.1600000000001</v>
      </c>
      <c r="N96" s="34">
        <f>((sales_data_1[[#This Row],[Unit_Price]]*(1-sales_data_1[[#This Row],[Discount]]))-sales_data_1[[#This Row],[Unit_Cost]])*sales_data_1[[#This Row],[Quantity_Sold]]</f>
        <v>2783.8016000000007</v>
      </c>
      <c r="O96" s="17" t="s">
        <v>17</v>
      </c>
      <c r="P96" s="26">
        <v>0.14000000000000001</v>
      </c>
      <c r="Q96" s="17" t="s">
        <v>18</v>
      </c>
      <c r="R96" s="17" t="s">
        <v>19</v>
      </c>
      <c r="S96" s="49" t="str">
        <f t="shared" si="5"/>
        <v>Charlie-North</v>
      </c>
      <c r="T96" s="59" t="str">
        <f>IF(ROUND(sales_data_1[[#This Row],[Profit_Margin]],2)=ROUND((sales_data_1[[#This Row],[Unit_Price]]*(1-sales_data_1[[#This Row],[Discount]]) - sales_data_1[[#This Row],[Unit_Cost]])*sales_data_1[[#This Row],[Quantity_Sold]],2), "PASS", "CHECK")</f>
        <v>PASS</v>
      </c>
    </row>
    <row r="97" spans="1:20" x14ac:dyDescent="0.35">
      <c r="A97" s="7">
        <v>96</v>
      </c>
      <c r="B97" s="9">
        <v>1086</v>
      </c>
      <c r="C97" s="7" t="str">
        <f>IFERROR(_xlfn.TEXTJOIN("-", TRUE, _xlfn.XLOOKUP(K97, product_category_id_lookup!$A$2:$A$5, product_category_id_lookup!$B$2:$B$5), B97), "Unknown Category")</f>
        <v>fnt-1086</v>
      </c>
      <c r="D97" s="8">
        <v>44594</v>
      </c>
      <c r="E97" s="7">
        <f t="shared" si="3"/>
        <v>2022</v>
      </c>
      <c r="F97" s="28" t="str">
        <f t="shared" si="4"/>
        <v>Feb</v>
      </c>
      <c r="G97" s="17" t="s">
        <v>33</v>
      </c>
      <c r="H97" s="17" t="s">
        <v>15</v>
      </c>
      <c r="I97" s="24">
        <v>163478.20019999999</v>
      </c>
      <c r="J97" s="32">
        <v>49</v>
      </c>
      <c r="K97" s="17" t="s">
        <v>16</v>
      </c>
      <c r="L97" s="24">
        <v>3163.57</v>
      </c>
      <c r="M97" s="24">
        <v>4570.26</v>
      </c>
      <c r="N97" s="34">
        <f>((sales_data_1[[#This Row],[Unit_Price]]*(1-sales_data_1[[#This Row],[Discount]]))-sales_data_1[[#This Row],[Unit_Cost]])*sales_data_1[[#This Row],[Quantity_Sold]]</f>
        <v>8463.2701999999917</v>
      </c>
      <c r="O97" s="17" t="s">
        <v>17</v>
      </c>
      <c r="P97" s="26">
        <v>0.27</v>
      </c>
      <c r="Q97" s="17" t="s">
        <v>25</v>
      </c>
      <c r="R97" s="17" t="s">
        <v>19</v>
      </c>
      <c r="S97" s="49" t="str">
        <f t="shared" si="5"/>
        <v>Alice-North</v>
      </c>
      <c r="T97" s="59" t="str">
        <f>IF(ROUND(sales_data_1[[#This Row],[Profit_Margin]],2)=ROUND((sales_data_1[[#This Row],[Unit_Price]]*(1-sales_data_1[[#This Row],[Discount]]) - sales_data_1[[#This Row],[Unit_Cost]])*sales_data_1[[#This Row],[Quantity_Sold]],2), "PASS", "CHECK")</f>
        <v>PASS</v>
      </c>
    </row>
    <row r="98" spans="1:20" x14ac:dyDescent="0.35">
      <c r="A98" s="7">
        <v>97</v>
      </c>
      <c r="B98" s="9">
        <v>1064</v>
      </c>
      <c r="C98" s="7" t="str">
        <f>IFERROR(_xlfn.TEXTJOIN("-", TRUE, _xlfn.XLOOKUP(K98, product_category_id_lookup!$A$2:$A$5, product_category_id_lookup!$B$2:$B$5), B98), "Unknown Category")</f>
        <v>fd-1064</v>
      </c>
      <c r="D98" s="8">
        <v>44594</v>
      </c>
      <c r="E98" s="7">
        <f t="shared" si="3"/>
        <v>2022</v>
      </c>
      <c r="F98" s="28" t="str">
        <f t="shared" si="4"/>
        <v>Feb</v>
      </c>
      <c r="G98" s="17" t="s">
        <v>33</v>
      </c>
      <c r="H98" s="17" t="s">
        <v>15</v>
      </c>
      <c r="I98" s="24">
        <v>37531.998000000007</v>
      </c>
      <c r="J98" s="32">
        <v>20</v>
      </c>
      <c r="K98" s="17" t="s">
        <v>24</v>
      </c>
      <c r="L98" s="24">
        <v>1112.92</v>
      </c>
      <c r="M98" s="24">
        <v>2316.79</v>
      </c>
      <c r="N98" s="34">
        <f>((sales_data_1[[#This Row],[Unit_Price]]*(1-sales_data_1[[#This Row],[Discount]]))-sales_data_1[[#This Row],[Unit_Cost]])*sales_data_1[[#This Row],[Quantity_Sold]]</f>
        <v>15273.598000000002</v>
      </c>
      <c r="O98" s="17" t="s">
        <v>27</v>
      </c>
      <c r="P98" s="26">
        <v>0.19</v>
      </c>
      <c r="Q98" s="17" t="s">
        <v>25</v>
      </c>
      <c r="R98" s="17" t="s">
        <v>21</v>
      </c>
      <c r="S98" s="49" t="str">
        <f t="shared" si="5"/>
        <v>Alice-North</v>
      </c>
      <c r="T98" s="59" t="str">
        <f>IF(ROUND(sales_data_1[[#This Row],[Profit_Margin]],2)=ROUND((sales_data_1[[#This Row],[Unit_Price]]*(1-sales_data_1[[#This Row],[Discount]]) - sales_data_1[[#This Row],[Unit_Cost]])*sales_data_1[[#This Row],[Quantity_Sold]],2), "PASS", "CHECK")</f>
        <v>PASS</v>
      </c>
    </row>
    <row r="99" spans="1:20" x14ac:dyDescent="0.35">
      <c r="A99" s="7">
        <v>98</v>
      </c>
      <c r="B99" s="9">
        <v>1088</v>
      </c>
      <c r="C99" s="7" t="str">
        <f>IFERROR(_xlfn.TEXTJOIN("-", TRUE, _xlfn.XLOOKUP(K99, product_category_id_lookup!$A$2:$A$5, product_category_id_lookup!$B$2:$B$5), B99), "Unknown Category")</f>
        <v>fnt-1088</v>
      </c>
      <c r="D99" s="8">
        <v>44594</v>
      </c>
      <c r="E99" s="7">
        <f t="shared" si="3"/>
        <v>2022</v>
      </c>
      <c r="F99" s="28" t="str">
        <f t="shared" si="4"/>
        <v>Feb</v>
      </c>
      <c r="G99" s="17" t="s">
        <v>32</v>
      </c>
      <c r="H99" s="17" t="s">
        <v>30</v>
      </c>
      <c r="I99" s="24">
        <v>97128.015599999999</v>
      </c>
      <c r="J99" s="32">
        <v>46</v>
      </c>
      <c r="K99" s="17" t="s">
        <v>16</v>
      </c>
      <c r="L99" s="24">
        <v>1421.94</v>
      </c>
      <c r="M99" s="24">
        <v>2154.5700000000002</v>
      </c>
      <c r="N99" s="34">
        <f>((sales_data_1[[#This Row],[Unit_Price]]*(1-sales_data_1[[#This Row],[Discount]]))-sales_data_1[[#This Row],[Unit_Cost]])*sales_data_1[[#This Row],[Quantity_Sold]]</f>
        <v>31718.775599999994</v>
      </c>
      <c r="O99" s="17" t="s">
        <v>27</v>
      </c>
      <c r="P99" s="26">
        <v>0.02</v>
      </c>
      <c r="Q99" s="17" t="s">
        <v>25</v>
      </c>
      <c r="R99" s="17" t="s">
        <v>21</v>
      </c>
      <c r="S99" s="49" t="str">
        <f t="shared" si="5"/>
        <v>Eve-East</v>
      </c>
      <c r="T99" s="59" t="str">
        <f>IF(ROUND(sales_data_1[[#This Row],[Profit_Margin]],2)=ROUND((sales_data_1[[#This Row],[Unit_Price]]*(1-sales_data_1[[#This Row],[Discount]]) - sales_data_1[[#This Row],[Unit_Cost]])*sales_data_1[[#This Row],[Quantity_Sold]],2), "PASS", "CHECK")</f>
        <v>PASS</v>
      </c>
    </row>
    <row r="100" spans="1:20" x14ac:dyDescent="0.35">
      <c r="A100" s="7">
        <v>99</v>
      </c>
      <c r="B100" s="9">
        <v>1091</v>
      </c>
      <c r="C100" s="7" t="str">
        <f>IFERROR(_xlfn.TEXTJOIN("-", TRUE, _xlfn.XLOOKUP(K100, product_category_id_lookup!$A$2:$A$5, product_category_id_lookup!$B$2:$B$5), B100), "Unknown Category")</f>
        <v>ctg-1091</v>
      </c>
      <c r="D100" s="8">
        <v>44594</v>
      </c>
      <c r="E100" s="7">
        <f t="shared" si="3"/>
        <v>2022</v>
      </c>
      <c r="F100" s="28" t="str">
        <f t="shared" si="4"/>
        <v>Feb</v>
      </c>
      <c r="G100" s="17" t="s">
        <v>29</v>
      </c>
      <c r="H100" s="17" t="s">
        <v>15</v>
      </c>
      <c r="I100" s="24">
        <v>145215.84479999999</v>
      </c>
      <c r="J100" s="32">
        <v>39</v>
      </c>
      <c r="K100" s="17" t="s">
        <v>26</v>
      </c>
      <c r="L100" s="24">
        <v>1923.59</v>
      </c>
      <c r="M100" s="24">
        <v>4899.32</v>
      </c>
      <c r="N100" s="34">
        <f>((sales_data_1[[#This Row],[Unit_Price]]*(1-sales_data_1[[#This Row],[Discount]]))-sales_data_1[[#This Row],[Unit_Cost]])*sales_data_1[[#This Row],[Quantity_Sold]]</f>
        <v>70195.834799999997</v>
      </c>
      <c r="O100" s="17" t="s">
        <v>17</v>
      </c>
      <c r="P100" s="26">
        <v>0.24</v>
      </c>
      <c r="Q100" s="17" t="s">
        <v>18</v>
      </c>
      <c r="R100" s="17" t="s">
        <v>21</v>
      </c>
      <c r="S100" s="49" t="str">
        <f t="shared" si="5"/>
        <v>Charlie-North</v>
      </c>
      <c r="T100" s="59" t="str">
        <f>IF(ROUND(sales_data_1[[#This Row],[Profit_Margin]],2)=ROUND((sales_data_1[[#This Row],[Unit_Price]]*(1-sales_data_1[[#This Row],[Discount]]) - sales_data_1[[#This Row],[Unit_Cost]])*sales_data_1[[#This Row],[Quantity_Sold]],2), "PASS", "CHECK")</f>
        <v>PASS</v>
      </c>
    </row>
    <row r="101" spans="1:20" x14ac:dyDescent="0.35">
      <c r="A101" s="7">
        <v>100</v>
      </c>
      <c r="B101" s="9">
        <v>1047</v>
      </c>
      <c r="C101" s="7" t="str">
        <f>IFERROR(_xlfn.TEXTJOIN("-", TRUE, _xlfn.XLOOKUP(K101, product_category_id_lookup!$A$2:$A$5, product_category_id_lookup!$B$2:$B$5), B101), "Unknown Category")</f>
        <v>fd-1047</v>
      </c>
      <c r="D101" s="8">
        <v>44594</v>
      </c>
      <c r="E101" s="7">
        <f t="shared" si="3"/>
        <v>2022</v>
      </c>
      <c r="F101" s="28" t="str">
        <f t="shared" si="4"/>
        <v>Feb</v>
      </c>
      <c r="G101" s="17" t="s">
        <v>32</v>
      </c>
      <c r="H101" s="17" t="s">
        <v>20</v>
      </c>
      <c r="I101" s="24">
        <v>174040.56</v>
      </c>
      <c r="J101" s="32">
        <v>34</v>
      </c>
      <c r="K101" s="17" t="s">
        <v>24</v>
      </c>
      <c r="L101" s="24">
        <v>414.2</v>
      </c>
      <c r="M101" s="24">
        <v>5118.84</v>
      </c>
      <c r="N101" s="34">
        <f>((sales_data_1[[#This Row],[Unit_Price]]*(1-sales_data_1[[#This Row],[Discount]]))-sales_data_1[[#This Row],[Unit_Cost]])*sales_data_1[[#This Row],[Quantity_Sold]]</f>
        <v>159957.76000000001</v>
      </c>
      <c r="O101" s="17" t="s">
        <v>27</v>
      </c>
      <c r="P101" s="26">
        <v>0</v>
      </c>
      <c r="Q101" s="17" t="s">
        <v>25</v>
      </c>
      <c r="R101" s="17" t="s">
        <v>21</v>
      </c>
      <c r="S101" s="49" t="str">
        <f t="shared" si="5"/>
        <v>Eve-West</v>
      </c>
      <c r="T101" s="59" t="str">
        <f>IF(ROUND(sales_data_1[[#This Row],[Profit_Margin]],2)=ROUND((sales_data_1[[#This Row],[Unit_Price]]*(1-sales_data_1[[#This Row],[Discount]]) - sales_data_1[[#This Row],[Unit_Cost]])*sales_data_1[[#This Row],[Quantity_Sold]],2), "PASS", "CHECK")</f>
        <v>PASS</v>
      </c>
    </row>
    <row r="102" spans="1:20" x14ac:dyDescent="0.35">
      <c r="A102" s="7">
        <v>101</v>
      </c>
      <c r="B102" s="9">
        <v>1040</v>
      </c>
      <c r="C102" s="7" t="str">
        <f>IFERROR(_xlfn.TEXTJOIN("-", TRUE, _xlfn.XLOOKUP(K102, product_category_id_lookup!$A$2:$A$5, product_category_id_lookup!$B$2:$B$5), B102), "Unknown Category")</f>
        <v>fd-1040</v>
      </c>
      <c r="D102" s="8">
        <v>44595</v>
      </c>
      <c r="E102" s="7">
        <f t="shared" si="3"/>
        <v>2022</v>
      </c>
      <c r="F102" s="28" t="str">
        <f t="shared" si="4"/>
        <v>Feb</v>
      </c>
      <c r="G102" s="17" t="s">
        <v>32</v>
      </c>
      <c r="H102" s="17" t="s">
        <v>20</v>
      </c>
      <c r="I102" s="24">
        <v>46360.38</v>
      </c>
      <c r="J102" s="32">
        <v>24</v>
      </c>
      <c r="K102" s="17" t="s">
        <v>24</v>
      </c>
      <c r="L102" s="24">
        <v>830.57</v>
      </c>
      <c r="M102" s="24">
        <v>2033.35</v>
      </c>
      <c r="N102" s="34">
        <f>((sales_data_1[[#This Row],[Unit_Price]]*(1-sales_data_1[[#This Row],[Discount]]))-sales_data_1[[#This Row],[Unit_Cost]])*sales_data_1[[#This Row],[Quantity_Sold]]</f>
        <v>26426.699999999993</v>
      </c>
      <c r="O102" s="17" t="s">
        <v>17</v>
      </c>
      <c r="P102" s="26">
        <v>0.05</v>
      </c>
      <c r="Q102" s="17" t="s">
        <v>18</v>
      </c>
      <c r="R102" s="17" t="s">
        <v>21</v>
      </c>
      <c r="S102" s="49" t="str">
        <f t="shared" si="5"/>
        <v>Eve-West</v>
      </c>
      <c r="T102" s="59" t="str">
        <f>IF(ROUND(sales_data_1[[#This Row],[Profit_Margin]],2)=ROUND((sales_data_1[[#This Row],[Unit_Price]]*(1-sales_data_1[[#This Row],[Discount]]) - sales_data_1[[#This Row],[Unit_Cost]])*sales_data_1[[#This Row],[Quantity_Sold]],2), "PASS", "CHECK")</f>
        <v>PASS</v>
      </c>
    </row>
    <row r="103" spans="1:20" x14ac:dyDescent="0.35">
      <c r="A103" s="7">
        <v>102</v>
      </c>
      <c r="B103" s="9">
        <v>1012</v>
      </c>
      <c r="C103" s="7" t="str">
        <f>IFERROR(_xlfn.TEXTJOIN("-", TRUE, _xlfn.XLOOKUP(K103, product_category_id_lookup!$A$2:$A$5, product_category_id_lookup!$B$2:$B$5), B103), "Unknown Category")</f>
        <v>etc-1012</v>
      </c>
      <c r="D103" s="8">
        <v>44595</v>
      </c>
      <c r="E103" s="7">
        <f t="shared" si="3"/>
        <v>2022</v>
      </c>
      <c r="F103" s="28" t="str">
        <f t="shared" si="4"/>
        <v>Feb</v>
      </c>
      <c r="G103" s="17" t="s">
        <v>33</v>
      </c>
      <c r="H103" s="17" t="s">
        <v>15</v>
      </c>
      <c r="I103" s="24">
        <v>50869.213199999998</v>
      </c>
      <c r="J103" s="32">
        <v>18</v>
      </c>
      <c r="K103" s="17" t="s">
        <v>31</v>
      </c>
      <c r="L103" s="24">
        <v>775.91</v>
      </c>
      <c r="M103" s="24">
        <v>3819.01</v>
      </c>
      <c r="N103" s="34">
        <f>((sales_data_1[[#This Row],[Unit_Price]]*(1-sales_data_1[[#This Row],[Discount]]))-sales_data_1[[#This Row],[Unit_Cost]])*sales_data_1[[#This Row],[Quantity_Sold]]</f>
        <v>36902.833200000001</v>
      </c>
      <c r="O103" s="17" t="s">
        <v>17</v>
      </c>
      <c r="P103" s="26">
        <v>0.26</v>
      </c>
      <c r="Q103" s="17" t="s">
        <v>18</v>
      </c>
      <c r="R103" s="17" t="s">
        <v>21</v>
      </c>
      <c r="S103" s="49" t="str">
        <f t="shared" si="5"/>
        <v>Alice-North</v>
      </c>
      <c r="T103" s="59" t="str">
        <f>IF(ROUND(sales_data_1[[#This Row],[Profit_Margin]],2)=ROUND((sales_data_1[[#This Row],[Unit_Price]]*(1-sales_data_1[[#This Row],[Discount]]) - sales_data_1[[#This Row],[Unit_Cost]])*sales_data_1[[#This Row],[Quantity_Sold]],2), "PASS", "CHECK")</f>
        <v>PASS</v>
      </c>
    </row>
    <row r="104" spans="1:20" x14ac:dyDescent="0.35">
      <c r="A104" s="7">
        <v>103</v>
      </c>
      <c r="B104" s="9">
        <v>1070</v>
      </c>
      <c r="C104" s="7" t="str">
        <f>IFERROR(_xlfn.TEXTJOIN("-", TRUE, _xlfn.XLOOKUP(K104, product_category_id_lookup!$A$2:$A$5, product_category_id_lookup!$B$2:$B$5), B104), "Unknown Category")</f>
        <v>fnt-1070</v>
      </c>
      <c r="D104" s="8">
        <v>44596</v>
      </c>
      <c r="E104" s="7">
        <f t="shared" si="3"/>
        <v>2022</v>
      </c>
      <c r="F104" s="28" t="str">
        <f t="shared" si="4"/>
        <v>Feb</v>
      </c>
      <c r="G104" s="17" t="s">
        <v>33</v>
      </c>
      <c r="H104" s="17" t="s">
        <v>15</v>
      </c>
      <c r="I104" s="24">
        <v>54861.9</v>
      </c>
      <c r="J104" s="32">
        <v>23</v>
      </c>
      <c r="K104" s="17" t="s">
        <v>16</v>
      </c>
      <c r="L104" s="24">
        <v>2368.65</v>
      </c>
      <c r="M104" s="24">
        <v>2385.3000000000002</v>
      </c>
      <c r="N104" s="34">
        <f>((sales_data_1[[#This Row],[Unit_Price]]*(1-sales_data_1[[#This Row],[Discount]]))-sales_data_1[[#This Row],[Unit_Cost]])*sales_data_1[[#This Row],[Quantity_Sold]]</f>
        <v>382.95000000000209</v>
      </c>
      <c r="O104" s="17" t="s">
        <v>17</v>
      </c>
      <c r="P104" s="26">
        <v>0</v>
      </c>
      <c r="Q104" s="17" t="s">
        <v>18</v>
      </c>
      <c r="R104" s="17" t="s">
        <v>21</v>
      </c>
      <c r="S104" s="49" t="str">
        <f t="shared" si="5"/>
        <v>Alice-North</v>
      </c>
      <c r="T104" s="59" t="str">
        <f>IF(ROUND(sales_data_1[[#This Row],[Profit_Margin]],2)=ROUND((sales_data_1[[#This Row],[Unit_Price]]*(1-sales_data_1[[#This Row],[Discount]]) - sales_data_1[[#This Row],[Unit_Cost]])*sales_data_1[[#This Row],[Quantity_Sold]],2), "PASS", "CHECK")</f>
        <v>PASS</v>
      </c>
    </row>
    <row r="105" spans="1:20" x14ac:dyDescent="0.35">
      <c r="A105" s="7">
        <v>104</v>
      </c>
      <c r="B105" s="9">
        <v>1015</v>
      </c>
      <c r="C105" s="7" t="str">
        <f>IFERROR(_xlfn.TEXTJOIN("-", TRUE, _xlfn.XLOOKUP(K105, product_category_id_lookup!$A$2:$A$5, product_category_id_lookup!$B$2:$B$5), B105), "Unknown Category")</f>
        <v>fnt-1015</v>
      </c>
      <c r="D105" s="8">
        <v>44596</v>
      </c>
      <c r="E105" s="7">
        <f t="shared" si="3"/>
        <v>2022</v>
      </c>
      <c r="F105" s="28" t="str">
        <f t="shared" si="4"/>
        <v>Feb</v>
      </c>
      <c r="G105" s="17" t="s">
        <v>32</v>
      </c>
      <c r="H105" s="17" t="s">
        <v>15</v>
      </c>
      <c r="I105" s="24">
        <v>116817.7297108473</v>
      </c>
      <c r="J105" s="32">
        <v>33</v>
      </c>
      <c r="K105" s="17" t="s">
        <v>16</v>
      </c>
      <c r="L105" s="24">
        <v>3426.59</v>
      </c>
      <c r="M105" s="24">
        <v>3629.69</v>
      </c>
      <c r="N105" s="34">
        <f>((sales_data_1[[#This Row],[Unit_Price]]*(1-sales_data_1[[#This Row],[Discount]]))-sales_data_1[[#This Row],[Unit_Cost]])*sales_data_1[[#This Row],[Quantity_Sold]]</f>
        <v>4306.7045999999937</v>
      </c>
      <c r="O105" s="17" t="s">
        <v>17</v>
      </c>
      <c r="P105" s="26">
        <v>0.02</v>
      </c>
      <c r="Q105" s="17" t="s">
        <v>18</v>
      </c>
      <c r="R105" s="17" t="s">
        <v>21</v>
      </c>
      <c r="S105" s="49" t="str">
        <f t="shared" si="5"/>
        <v>Eve-North</v>
      </c>
      <c r="T105" s="59" t="str">
        <f>IF(ROUND(sales_data_1[[#This Row],[Profit_Margin]],2)=ROUND((sales_data_1[[#This Row],[Unit_Price]]*(1-sales_data_1[[#This Row],[Discount]]) - sales_data_1[[#This Row],[Unit_Cost]])*sales_data_1[[#This Row],[Quantity_Sold]],2), "PASS", "CHECK")</f>
        <v>PASS</v>
      </c>
    </row>
    <row r="106" spans="1:20" x14ac:dyDescent="0.35">
      <c r="A106" s="7">
        <v>105</v>
      </c>
      <c r="B106" s="9">
        <v>1085</v>
      </c>
      <c r="C106" s="7" t="str">
        <f>IFERROR(_xlfn.TEXTJOIN("-", TRUE, _xlfn.XLOOKUP(K106, product_category_id_lookup!$A$2:$A$5, product_category_id_lookup!$B$2:$B$5), B106), "Unknown Category")</f>
        <v>etc-1085</v>
      </c>
      <c r="D106" s="8">
        <v>44596</v>
      </c>
      <c r="E106" s="7">
        <f t="shared" si="3"/>
        <v>2022</v>
      </c>
      <c r="F106" s="28" t="str">
        <f t="shared" si="4"/>
        <v>Feb</v>
      </c>
      <c r="G106" s="17" t="s">
        <v>22</v>
      </c>
      <c r="H106" s="17" t="s">
        <v>30</v>
      </c>
      <c r="I106" s="24">
        <v>11121.836000000001</v>
      </c>
      <c r="J106" s="32">
        <v>5</v>
      </c>
      <c r="K106" s="17" t="s">
        <v>31</v>
      </c>
      <c r="L106" s="24">
        <v>1344.04</v>
      </c>
      <c r="M106" s="24">
        <v>2527.69</v>
      </c>
      <c r="N106" s="34">
        <f>((sales_data_1[[#This Row],[Unit_Price]]*(1-sales_data_1[[#This Row],[Discount]]))-sales_data_1[[#This Row],[Unit_Cost]])*sales_data_1[[#This Row],[Quantity_Sold]]</f>
        <v>4401.6360000000004</v>
      </c>
      <c r="O106" s="17" t="s">
        <v>17</v>
      </c>
      <c r="P106" s="26">
        <v>0.12</v>
      </c>
      <c r="Q106" s="17" t="s">
        <v>25</v>
      </c>
      <c r="R106" s="17" t="s">
        <v>21</v>
      </c>
      <c r="S106" s="49" t="str">
        <f t="shared" si="5"/>
        <v>David-East</v>
      </c>
      <c r="T106" s="59" t="str">
        <f>IF(ROUND(sales_data_1[[#This Row],[Profit_Margin]],2)=ROUND((sales_data_1[[#This Row],[Unit_Price]]*(1-sales_data_1[[#This Row],[Discount]]) - sales_data_1[[#This Row],[Unit_Cost]])*sales_data_1[[#This Row],[Quantity_Sold]],2), "PASS", "CHECK")</f>
        <v>PASS</v>
      </c>
    </row>
    <row r="107" spans="1:20" x14ac:dyDescent="0.35">
      <c r="A107" s="7">
        <v>106</v>
      </c>
      <c r="B107" s="9">
        <v>1003</v>
      </c>
      <c r="C107" s="7" t="str">
        <f>IFERROR(_xlfn.TEXTJOIN("-", TRUE, _xlfn.XLOOKUP(K107, product_category_id_lookup!$A$2:$A$5, product_category_id_lookup!$B$2:$B$5), B107), "Unknown Category")</f>
        <v>fd-1003</v>
      </c>
      <c r="D107" s="8">
        <v>44596</v>
      </c>
      <c r="E107" s="7">
        <f t="shared" si="3"/>
        <v>2022</v>
      </c>
      <c r="F107" s="28" t="str">
        <f t="shared" si="4"/>
        <v>Feb</v>
      </c>
      <c r="G107" s="17" t="s">
        <v>33</v>
      </c>
      <c r="H107" s="17" t="s">
        <v>23</v>
      </c>
      <c r="I107" s="24">
        <v>167872.2696</v>
      </c>
      <c r="J107" s="32">
        <v>41</v>
      </c>
      <c r="K107" s="17" t="s">
        <v>24</v>
      </c>
      <c r="L107" s="24">
        <v>1575.11</v>
      </c>
      <c r="M107" s="24">
        <v>4874.34</v>
      </c>
      <c r="N107" s="34">
        <f>((sales_data_1[[#This Row],[Unit_Price]]*(1-sales_data_1[[#This Row],[Discount]]))-sales_data_1[[#This Row],[Unit_Cost]])*sales_data_1[[#This Row],[Quantity_Sold]]</f>
        <v>103292.75960000002</v>
      </c>
      <c r="O107" s="17" t="s">
        <v>17</v>
      </c>
      <c r="P107" s="26">
        <v>0.16</v>
      </c>
      <c r="Q107" s="17" t="s">
        <v>25</v>
      </c>
      <c r="R107" s="17" t="s">
        <v>21</v>
      </c>
      <c r="S107" s="49" t="str">
        <f t="shared" si="5"/>
        <v>Alice-South</v>
      </c>
      <c r="T107" s="59" t="str">
        <f>IF(ROUND(sales_data_1[[#This Row],[Profit_Margin]],2)=ROUND((sales_data_1[[#This Row],[Unit_Price]]*(1-sales_data_1[[#This Row],[Discount]]) - sales_data_1[[#This Row],[Unit_Cost]])*sales_data_1[[#This Row],[Quantity_Sold]],2), "PASS", "CHECK")</f>
        <v>PASS</v>
      </c>
    </row>
    <row r="108" spans="1:20" x14ac:dyDescent="0.35">
      <c r="A108" s="7">
        <v>107</v>
      </c>
      <c r="B108" s="9">
        <v>1036</v>
      </c>
      <c r="C108" s="7" t="str">
        <f>IFERROR(_xlfn.TEXTJOIN("-", TRUE, _xlfn.XLOOKUP(K108, product_category_id_lookup!$A$2:$A$5, product_category_id_lookup!$B$2:$B$5), B108), "Unknown Category")</f>
        <v>fnt-1036</v>
      </c>
      <c r="D108" s="8">
        <v>44597</v>
      </c>
      <c r="E108" s="7">
        <f t="shared" si="3"/>
        <v>2022</v>
      </c>
      <c r="F108" s="28" t="str">
        <f t="shared" si="4"/>
        <v>Feb</v>
      </c>
      <c r="G108" s="17" t="s">
        <v>14</v>
      </c>
      <c r="H108" s="17" t="s">
        <v>23</v>
      </c>
      <c r="I108" s="24">
        <v>105853.08761386496</v>
      </c>
      <c r="J108" s="32">
        <v>36</v>
      </c>
      <c r="K108" s="17" t="s">
        <v>16</v>
      </c>
      <c r="L108" s="24">
        <v>2924.26</v>
      </c>
      <c r="M108" s="24">
        <v>2950.92</v>
      </c>
      <c r="N108" s="34">
        <f>((sales_data_1[[#This Row],[Unit_Price]]*(1-sales_data_1[[#This Row],[Discount]]))-sales_data_1[[#This Row],[Unit_Cost]])*sales_data_1[[#This Row],[Quantity_Sold]]</f>
        <v>959.75999999999476</v>
      </c>
      <c r="O108" s="17" t="s">
        <v>17</v>
      </c>
      <c r="P108" s="26">
        <v>0</v>
      </c>
      <c r="Q108" s="17" t="s">
        <v>28</v>
      </c>
      <c r="R108" s="17" t="s">
        <v>19</v>
      </c>
      <c r="S108" s="49" t="str">
        <f t="shared" si="5"/>
        <v>Bob-South</v>
      </c>
      <c r="T108" s="59" t="str">
        <f>IF(ROUND(sales_data_1[[#This Row],[Profit_Margin]],2)=ROUND((sales_data_1[[#This Row],[Unit_Price]]*(1-sales_data_1[[#This Row],[Discount]]) - sales_data_1[[#This Row],[Unit_Cost]])*sales_data_1[[#This Row],[Quantity_Sold]],2), "PASS", "CHECK")</f>
        <v>PASS</v>
      </c>
    </row>
    <row r="109" spans="1:20" x14ac:dyDescent="0.35">
      <c r="A109" s="7">
        <v>108</v>
      </c>
      <c r="B109" s="9">
        <v>1095</v>
      </c>
      <c r="C109" s="7" t="str">
        <f>IFERROR(_xlfn.TEXTJOIN("-", TRUE, _xlfn.XLOOKUP(K109, product_category_id_lookup!$A$2:$A$5, product_category_id_lookup!$B$2:$B$5), B109), "Unknown Category")</f>
        <v>ctg-1095</v>
      </c>
      <c r="D109" s="8">
        <v>44597</v>
      </c>
      <c r="E109" s="7">
        <f t="shared" si="3"/>
        <v>2022</v>
      </c>
      <c r="F109" s="28" t="str">
        <f t="shared" si="4"/>
        <v>Feb</v>
      </c>
      <c r="G109" s="17" t="s">
        <v>32</v>
      </c>
      <c r="H109" s="17" t="s">
        <v>20</v>
      </c>
      <c r="I109" s="24">
        <v>10556.030099999998</v>
      </c>
      <c r="J109" s="32">
        <v>7</v>
      </c>
      <c r="K109" s="17" t="s">
        <v>26</v>
      </c>
      <c r="L109" s="24">
        <v>1242.1600000000001</v>
      </c>
      <c r="M109" s="24">
        <v>1621.51</v>
      </c>
      <c r="N109" s="34">
        <f>((sales_data_1[[#This Row],[Unit_Price]]*(1-sales_data_1[[#This Row],[Discount]]))-sales_data_1[[#This Row],[Unit_Cost]])*sales_data_1[[#This Row],[Quantity_Sold]]</f>
        <v>1860.9100999999982</v>
      </c>
      <c r="O109" s="17" t="s">
        <v>27</v>
      </c>
      <c r="P109" s="26">
        <v>7.0000000000000007E-2</v>
      </c>
      <c r="Q109" s="17" t="s">
        <v>25</v>
      </c>
      <c r="R109" s="17" t="s">
        <v>19</v>
      </c>
      <c r="S109" s="49" t="str">
        <f t="shared" si="5"/>
        <v>Eve-West</v>
      </c>
      <c r="T109" s="59" t="str">
        <f>IF(ROUND(sales_data_1[[#This Row],[Profit_Margin]],2)=ROUND((sales_data_1[[#This Row],[Unit_Price]]*(1-sales_data_1[[#This Row],[Discount]]) - sales_data_1[[#This Row],[Unit_Cost]])*sales_data_1[[#This Row],[Quantity_Sold]],2), "PASS", "CHECK")</f>
        <v>PASS</v>
      </c>
    </row>
    <row r="110" spans="1:20" x14ac:dyDescent="0.35">
      <c r="A110" s="7">
        <v>109</v>
      </c>
      <c r="B110" s="9">
        <v>1037</v>
      </c>
      <c r="C110" s="7" t="str">
        <f>IFERROR(_xlfn.TEXTJOIN("-", TRUE, _xlfn.XLOOKUP(K110, product_category_id_lookup!$A$2:$A$5, product_category_id_lookup!$B$2:$B$5), B110), "Unknown Category")</f>
        <v>fnt-1037</v>
      </c>
      <c r="D110" s="8">
        <v>44597</v>
      </c>
      <c r="E110" s="7">
        <f t="shared" si="3"/>
        <v>2022</v>
      </c>
      <c r="F110" s="28" t="str">
        <f t="shared" si="4"/>
        <v>Feb</v>
      </c>
      <c r="G110" s="17" t="s">
        <v>22</v>
      </c>
      <c r="H110" s="17" t="s">
        <v>23</v>
      </c>
      <c r="I110" s="24">
        <v>107368.67199999999</v>
      </c>
      <c r="J110" s="32">
        <v>29</v>
      </c>
      <c r="K110" s="17" t="s">
        <v>16</v>
      </c>
      <c r="L110" s="24">
        <v>746.02</v>
      </c>
      <c r="M110" s="24">
        <v>5003.2</v>
      </c>
      <c r="N110" s="34">
        <f>((sales_data_1[[#This Row],[Unit_Price]]*(1-sales_data_1[[#This Row],[Discount]]))-sales_data_1[[#This Row],[Unit_Cost]])*sales_data_1[[#This Row],[Quantity_Sold]]</f>
        <v>85734.092000000004</v>
      </c>
      <c r="O110" s="17" t="s">
        <v>17</v>
      </c>
      <c r="P110" s="26">
        <v>0.26</v>
      </c>
      <c r="Q110" s="17" t="s">
        <v>18</v>
      </c>
      <c r="R110" s="17" t="s">
        <v>19</v>
      </c>
      <c r="S110" s="49" t="str">
        <f t="shared" si="5"/>
        <v>David-South</v>
      </c>
      <c r="T110" s="59" t="str">
        <f>IF(ROUND(sales_data_1[[#This Row],[Profit_Margin]],2)=ROUND((sales_data_1[[#This Row],[Unit_Price]]*(1-sales_data_1[[#This Row],[Discount]]) - sales_data_1[[#This Row],[Unit_Cost]])*sales_data_1[[#This Row],[Quantity_Sold]],2), "PASS", "CHECK")</f>
        <v>PASS</v>
      </c>
    </row>
    <row r="111" spans="1:20" x14ac:dyDescent="0.35">
      <c r="A111" s="7">
        <v>110</v>
      </c>
      <c r="B111" s="9">
        <v>1043</v>
      </c>
      <c r="C111" s="7" t="str">
        <f>IFERROR(_xlfn.TEXTJOIN("-", TRUE, _xlfn.XLOOKUP(K111, product_category_id_lookup!$A$2:$A$5, product_category_id_lookup!$B$2:$B$5), B111), "Unknown Category")</f>
        <v>ctg-1043</v>
      </c>
      <c r="D111" s="8">
        <v>44598</v>
      </c>
      <c r="E111" s="7">
        <f t="shared" si="3"/>
        <v>2022</v>
      </c>
      <c r="F111" s="28" t="str">
        <f t="shared" si="4"/>
        <v>Feb</v>
      </c>
      <c r="G111" s="17" t="s">
        <v>29</v>
      </c>
      <c r="H111" s="17" t="s">
        <v>15</v>
      </c>
      <c r="I111" s="24">
        <v>109465.42108661456</v>
      </c>
      <c r="J111" s="32">
        <v>47</v>
      </c>
      <c r="K111" s="17" t="s">
        <v>26</v>
      </c>
      <c r="L111" s="24">
        <v>2008.15</v>
      </c>
      <c r="M111" s="24">
        <v>2348.36</v>
      </c>
      <c r="N111" s="34">
        <f>((sales_data_1[[#This Row],[Unit_Price]]*(1-sales_data_1[[#This Row],[Discount]]))-sales_data_1[[#This Row],[Unit_Cost]])*sales_data_1[[#This Row],[Quantity_Sold]]</f>
        <v>14886.140800000001</v>
      </c>
      <c r="O111" s="17" t="s">
        <v>27</v>
      </c>
      <c r="P111" s="26">
        <v>0.01</v>
      </c>
      <c r="Q111" s="17" t="s">
        <v>25</v>
      </c>
      <c r="R111" s="17" t="s">
        <v>19</v>
      </c>
      <c r="S111" s="49" t="str">
        <f t="shared" si="5"/>
        <v>Charlie-North</v>
      </c>
      <c r="T111" s="59" t="str">
        <f>IF(ROUND(sales_data_1[[#This Row],[Profit_Margin]],2)=ROUND((sales_data_1[[#This Row],[Unit_Price]]*(1-sales_data_1[[#This Row],[Discount]]) - sales_data_1[[#This Row],[Unit_Cost]])*sales_data_1[[#This Row],[Quantity_Sold]],2), "PASS", "CHECK")</f>
        <v>PASS</v>
      </c>
    </row>
    <row r="112" spans="1:20" x14ac:dyDescent="0.35">
      <c r="A112" s="7">
        <v>111</v>
      </c>
      <c r="B112" s="9">
        <v>1095</v>
      </c>
      <c r="C112" s="7" t="str">
        <f>IFERROR(_xlfn.TEXTJOIN("-", TRUE, _xlfn.XLOOKUP(K112, product_category_id_lookup!$A$2:$A$5, product_category_id_lookup!$B$2:$B$5), B112), "Unknown Category")</f>
        <v>etc-1095</v>
      </c>
      <c r="D112" s="8">
        <v>44598</v>
      </c>
      <c r="E112" s="7">
        <f t="shared" si="3"/>
        <v>2022</v>
      </c>
      <c r="F112" s="28" t="str">
        <f t="shared" si="4"/>
        <v>Feb</v>
      </c>
      <c r="G112" s="17" t="s">
        <v>14</v>
      </c>
      <c r="H112" s="17" t="s">
        <v>20</v>
      </c>
      <c r="I112" s="24">
        <v>109033.1040826375</v>
      </c>
      <c r="J112" s="32">
        <v>37</v>
      </c>
      <c r="K112" s="17" t="s">
        <v>31</v>
      </c>
      <c r="L112" s="24">
        <v>2401.6799999999998</v>
      </c>
      <c r="M112" s="24">
        <v>2971.66</v>
      </c>
      <c r="N112" s="34">
        <f>((sales_data_1[[#This Row],[Unit_Price]]*(1-sales_data_1[[#This Row],[Discount]]))-sales_data_1[[#This Row],[Unit_Cost]])*sales_data_1[[#This Row],[Quantity_Sold]]</f>
        <v>19989.745799999993</v>
      </c>
      <c r="O112" s="17" t="s">
        <v>17</v>
      </c>
      <c r="P112" s="26">
        <v>0.01</v>
      </c>
      <c r="Q112" s="17" t="s">
        <v>25</v>
      </c>
      <c r="R112" s="17" t="s">
        <v>21</v>
      </c>
      <c r="S112" s="49" t="str">
        <f t="shared" si="5"/>
        <v>Bob-West</v>
      </c>
      <c r="T112" s="59" t="str">
        <f>IF(ROUND(sales_data_1[[#This Row],[Profit_Margin]],2)=ROUND((sales_data_1[[#This Row],[Unit_Price]]*(1-sales_data_1[[#This Row],[Discount]]) - sales_data_1[[#This Row],[Unit_Cost]])*sales_data_1[[#This Row],[Quantity_Sold]],2), "PASS", "CHECK")</f>
        <v>PASS</v>
      </c>
    </row>
    <row r="113" spans="1:20" x14ac:dyDescent="0.35">
      <c r="A113" s="7">
        <v>112</v>
      </c>
      <c r="B113" s="9">
        <v>1008</v>
      </c>
      <c r="C113" s="7" t="str">
        <f>IFERROR(_xlfn.TEXTJOIN("-", TRUE, _xlfn.XLOOKUP(K113, product_category_id_lookup!$A$2:$A$5, product_category_id_lookup!$B$2:$B$5), B113), "Unknown Category")</f>
        <v>ctg-1008</v>
      </c>
      <c r="D113" s="8">
        <v>44598</v>
      </c>
      <c r="E113" s="7">
        <f t="shared" si="3"/>
        <v>2022</v>
      </c>
      <c r="F113" s="28" t="str">
        <f t="shared" si="4"/>
        <v>Feb</v>
      </c>
      <c r="G113" s="17" t="s">
        <v>32</v>
      </c>
      <c r="H113" s="17" t="s">
        <v>20</v>
      </c>
      <c r="I113" s="24">
        <v>32933.181599999996</v>
      </c>
      <c r="J113" s="32">
        <v>11</v>
      </c>
      <c r="K113" s="17" t="s">
        <v>26</v>
      </c>
      <c r="L113" s="24">
        <v>218.17</v>
      </c>
      <c r="M113" s="24">
        <v>4158.2299999999996</v>
      </c>
      <c r="N113" s="34">
        <f>((sales_data_1[[#This Row],[Unit_Price]]*(1-sales_data_1[[#This Row],[Discount]]))-sales_data_1[[#This Row],[Unit_Cost]])*sales_data_1[[#This Row],[Quantity_Sold]]</f>
        <v>30533.311599999994</v>
      </c>
      <c r="O113" s="17" t="s">
        <v>17</v>
      </c>
      <c r="P113" s="26">
        <v>0.28000000000000003</v>
      </c>
      <c r="Q113" s="17" t="s">
        <v>18</v>
      </c>
      <c r="R113" s="17" t="s">
        <v>21</v>
      </c>
      <c r="S113" s="49" t="str">
        <f t="shared" si="5"/>
        <v>Eve-West</v>
      </c>
      <c r="T113" s="59" t="str">
        <f>IF(ROUND(sales_data_1[[#This Row],[Profit_Margin]],2)=ROUND((sales_data_1[[#This Row],[Unit_Price]]*(1-sales_data_1[[#This Row],[Discount]]) - sales_data_1[[#This Row],[Unit_Cost]])*sales_data_1[[#This Row],[Quantity_Sold]],2), "PASS", "CHECK")</f>
        <v>PASS</v>
      </c>
    </row>
    <row r="114" spans="1:20" x14ac:dyDescent="0.35">
      <c r="A114" s="7">
        <v>113</v>
      </c>
      <c r="B114" s="9">
        <v>1088</v>
      </c>
      <c r="C114" s="7" t="str">
        <f>IFERROR(_xlfn.TEXTJOIN("-", TRUE, _xlfn.XLOOKUP(K114, product_category_id_lookup!$A$2:$A$5, product_category_id_lookup!$B$2:$B$5), B114), "Unknown Category")</f>
        <v>etc-1088</v>
      </c>
      <c r="D114" s="8">
        <v>44598</v>
      </c>
      <c r="E114" s="7">
        <f t="shared" si="3"/>
        <v>2022</v>
      </c>
      <c r="F114" s="28" t="str">
        <f t="shared" si="4"/>
        <v>Feb</v>
      </c>
      <c r="G114" s="17" t="s">
        <v>32</v>
      </c>
      <c r="H114" s="17" t="s">
        <v>15</v>
      </c>
      <c r="I114" s="24">
        <v>228930.24</v>
      </c>
      <c r="J114" s="32">
        <v>44</v>
      </c>
      <c r="K114" s="17" t="s">
        <v>31</v>
      </c>
      <c r="L114" s="24">
        <v>4170.8500000000004</v>
      </c>
      <c r="M114" s="24">
        <v>5476.8</v>
      </c>
      <c r="N114" s="34">
        <f>((sales_data_1[[#This Row],[Unit_Price]]*(1-sales_data_1[[#This Row],[Discount]]))-sales_data_1[[#This Row],[Unit_Cost]])*sales_data_1[[#This Row],[Quantity_Sold]]</f>
        <v>45412.839999999982</v>
      </c>
      <c r="O114" s="17" t="s">
        <v>17</v>
      </c>
      <c r="P114" s="26">
        <v>0.05</v>
      </c>
      <c r="Q114" s="17" t="s">
        <v>18</v>
      </c>
      <c r="R114" s="17" t="s">
        <v>21</v>
      </c>
      <c r="S114" s="49" t="str">
        <f t="shared" si="5"/>
        <v>Eve-North</v>
      </c>
      <c r="T114" s="59" t="str">
        <f>IF(ROUND(sales_data_1[[#This Row],[Profit_Margin]],2)=ROUND((sales_data_1[[#This Row],[Unit_Price]]*(1-sales_data_1[[#This Row],[Discount]]) - sales_data_1[[#This Row],[Unit_Cost]])*sales_data_1[[#This Row],[Quantity_Sold]],2), "PASS", "CHECK")</f>
        <v>PASS</v>
      </c>
    </row>
    <row r="115" spans="1:20" x14ac:dyDescent="0.35">
      <c r="A115" s="7">
        <v>114</v>
      </c>
      <c r="B115" s="9">
        <v>1036</v>
      </c>
      <c r="C115" s="7" t="str">
        <f>IFERROR(_xlfn.TEXTJOIN("-", TRUE, _xlfn.XLOOKUP(K115, product_category_id_lookup!$A$2:$A$5, product_category_id_lookup!$B$2:$B$5), B115), "Unknown Category")</f>
        <v>etc-1036</v>
      </c>
      <c r="D115" s="8">
        <v>44598</v>
      </c>
      <c r="E115" s="7">
        <f t="shared" si="3"/>
        <v>2022</v>
      </c>
      <c r="F115" s="28" t="str">
        <f t="shared" si="4"/>
        <v>Feb</v>
      </c>
      <c r="G115" s="17" t="s">
        <v>14</v>
      </c>
      <c r="H115" s="17" t="s">
        <v>30</v>
      </c>
      <c r="I115" s="24">
        <v>112394.26439999999</v>
      </c>
      <c r="J115" s="32">
        <v>38</v>
      </c>
      <c r="K115" s="17" t="s">
        <v>31</v>
      </c>
      <c r="L115" s="24">
        <v>997.16</v>
      </c>
      <c r="M115" s="24">
        <v>2987.62</v>
      </c>
      <c r="N115" s="34">
        <f>((sales_data_1[[#This Row],[Unit_Price]]*(1-sales_data_1[[#This Row],[Discount]]))-sales_data_1[[#This Row],[Unit_Cost]])*sales_data_1[[#This Row],[Quantity_Sold]]</f>
        <v>74502.184399999998</v>
      </c>
      <c r="O115" s="17" t="s">
        <v>17</v>
      </c>
      <c r="P115" s="26">
        <v>0.01</v>
      </c>
      <c r="Q115" s="17" t="s">
        <v>25</v>
      </c>
      <c r="R115" s="17" t="s">
        <v>21</v>
      </c>
      <c r="S115" s="49" t="str">
        <f t="shared" si="5"/>
        <v>Bob-East</v>
      </c>
      <c r="T115" s="59" t="str">
        <f>IF(ROUND(sales_data_1[[#This Row],[Profit_Margin]],2)=ROUND((sales_data_1[[#This Row],[Unit_Price]]*(1-sales_data_1[[#This Row],[Discount]]) - sales_data_1[[#This Row],[Unit_Cost]])*sales_data_1[[#This Row],[Quantity_Sold]],2), "PASS", "CHECK")</f>
        <v>PASS</v>
      </c>
    </row>
    <row r="116" spans="1:20" x14ac:dyDescent="0.35">
      <c r="A116" s="7">
        <v>115</v>
      </c>
      <c r="B116" s="9">
        <v>1014</v>
      </c>
      <c r="C116" s="7" t="str">
        <f>IFERROR(_xlfn.TEXTJOIN("-", TRUE, _xlfn.XLOOKUP(K116, product_category_id_lookup!$A$2:$A$5, product_category_id_lookup!$B$2:$B$5), B116), "Unknown Category")</f>
        <v>fnt-1014</v>
      </c>
      <c r="D116" s="8">
        <v>44599</v>
      </c>
      <c r="E116" s="7">
        <f t="shared" si="3"/>
        <v>2022</v>
      </c>
      <c r="F116" s="28" t="str">
        <f t="shared" si="4"/>
        <v>Feb</v>
      </c>
      <c r="G116" s="17" t="s">
        <v>22</v>
      </c>
      <c r="H116" s="17" t="s">
        <v>20</v>
      </c>
      <c r="I116" s="24">
        <v>18425.916999999998</v>
      </c>
      <c r="J116" s="32">
        <v>5</v>
      </c>
      <c r="K116" s="17" t="s">
        <v>16</v>
      </c>
      <c r="L116" s="24">
        <v>1793.04</v>
      </c>
      <c r="M116" s="24">
        <v>4439.9799999999996</v>
      </c>
      <c r="N116" s="34">
        <f>((sales_data_1[[#This Row],[Unit_Price]]*(1-sales_data_1[[#This Row],[Discount]]))-sales_data_1[[#This Row],[Unit_Cost]])*sales_data_1[[#This Row],[Quantity_Sold]]</f>
        <v>9460.7169999999969</v>
      </c>
      <c r="O116" s="17" t="s">
        <v>27</v>
      </c>
      <c r="P116" s="26">
        <v>0.17</v>
      </c>
      <c r="Q116" s="17" t="s">
        <v>25</v>
      </c>
      <c r="R116" s="17" t="s">
        <v>21</v>
      </c>
      <c r="S116" s="49" t="str">
        <f t="shared" si="5"/>
        <v>David-West</v>
      </c>
      <c r="T116" s="59" t="str">
        <f>IF(ROUND(sales_data_1[[#This Row],[Profit_Margin]],2)=ROUND((sales_data_1[[#This Row],[Unit_Price]]*(1-sales_data_1[[#This Row],[Discount]]) - sales_data_1[[#This Row],[Unit_Cost]])*sales_data_1[[#This Row],[Quantity_Sold]],2), "PASS", "CHECK")</f>
        <v>PASS</v>
      </c>
    </row>
    <row r="117" spans="1:20" x14ac:dyDescent="0.35">
      <c r="A117" s="7">
        <v>116</v>
      </c>
      <c r="B117" s="9">
        <v>1033</v>
      </c>
      <c r="C117" s="7" t="str">
        <f>IFERROR(_xlfn.TEXTJOIN("-", TRUE, _xlfn.XLOOKUP(K117, product_category_id_lookup!$A$2:$A$5, product_category_id_lookup!$B$2:$B$5), B117), "Unknown Category")</f>
        <v>fnt-1033</v>
      </c>
      <c r="D117" s="8">
        <v>44599</v>
      </c>
      <c r="E117" s="7">
        <f t="shared" si="3"/>
        <v>2022</v>
      </c>
      <c r="F117" s="28" t="str">
        <f t="shared" si="4"/>
        <v>Feb</v>
      </c>
      <c r="G117" s="17" t="s">
        <v>14</v>
      </c>
      <c r="H117" s="17" t="s">
        <v>20</v>
      </c>
      <c r="I117" s="24">
        <v>94591.2552</v>
      </c>
      <c r="J117" s="32">
        <v>39</v>
      </c>
      <c r="K117" s="17" t="s">
        <v>16</v>
      </c>
      <c r="L117" s="24">
        <v>1410.43</v>
      </c>
      <c r="M117" s="24">
        <v>3416.08</v>
      </c>
      <c r="N117" s="34">
        <f>((sales_data_1[[#This Row],[Unit_Price]]*(1-sales_data_1[[#This Row],[Discount]]))-sales_data_1[[#This Row],[Unit_Cost]])*sales_data_1[[#This Row],[Quantity_Sold]]</f>
        <v>39584.485199999996</v>
      </c>
      <c r="O117" s="17" t="s">
        <v>17</v>
      </c>
      <c r="P117" s="26">
        <v>0.28999999999999998</v>
      </c>
      <c r="Q117" s="17" t="s">
        <v>18</v>
      </c>
      <c r="R117" s="17" t="s">
        <v>19</v>
      </c>
      <c r="S117" s="49" t="str">
        <f t="shared" si="5"/>
        <v>Bob-West</v>
      </c>
      <c r="T117" s="59" t="str">
        <f>IF(ROUND(sales_data_1[[#This Row],[Profit_Margin]],2)=ROUND((sales_data_1[[#This Row],[Unit_Price]]*(1-sales_data_1[[#This Row],[Discount]]) - sales_data_1[[#This Row],[Unit_Cost]])*sales_data_1[[#This Row],[Quantity_Sold]],2), "PASS", "CHECK")</f>
        <v>PASS</v>
      </c>
    </row>
    <row r="118" spans="1:20" x14ac:dyDescent="0.35">
      <c r="A118" s="7">
        <v>117</v>
      </c>
      <c r="B118" s="9">
        <v>1064</v>
      </c>
      <c r="C118" s="7" t="str">
        <f>IFERROR(_xlfn.TEXTJOIN("-", TRUE, _xlfn.XLOOKUP(K118, product_category_id_lookup!$A$2:$A$5, product_category_id_lookup!$B$2:$B$5), B118), "Unknown Category")</f>
        <v>fd-1064</v>
      </c>
      <c r="D118" s="8">
        <v>44599</v>
      </c>
      <c r="E118" s="7">
        <f t="shared" si="3"/>
        <v>2022</v>
      </c>
      <c r="F118" s="28" t="str">
        <f t="shared" si="4"/>
        <v>Feb</v>
      </c>
      <c r="G118" s="17" t="s">
        <v>33</v>
      </c>
      <c r="H118" s="17" t="s">
        <v>15</v>
      </c>
      <c r="I118" s="24">
        <v>97581.024999999994</v>
      </c>
      <c r="J118" s="32">
        <v>25</v>
      </c>
      <c r="K118" s="17" t="s">
        <v>24</v>
      </c>
      <c r="L118" s="24">
        <v>2071.8000000000002</v>
      </c>
      <c r="M118" s="24">
        <v>4702.7</v>
      </c>
      <c r="N118" s="34">
        <f>((sales_data_1[[#This Row],[Unit_Price]]*(1-sales_data_1[[#This Row],[Discount]]))-sales_data_1[[#This Row],[Unit_Cost]])*sales_data_1[[#This Row],[Quantity_Sold]]</f>
        <v>45786.024999999987</v>
      </c>
      <c r="O118" s="17" t="s">
        <v>17</v>
      </c>
      <c r="P118" s="26">
        <v>0.17</v>
      </c>
      <c r="Q118" s="17" t="s">
        <v>25</v>
      </c>
      <c r="R118" s="17" t="s">
        <v>21</v>
      </c>
      <c r="S118" s="49" t="str">
        <f t="shared" si="5"/>
        <v>Alice-North</v>
      </c>
      <c r="T118" s="59" t="str">
        <f>IF(ROUND(sales_data_1[[#This Row],[Profit_Margin]],2)=ROUND((sales_data_1[[#This Row],[Unit_Price]]*(1-sales_data_1[[#This Row],[Discount]]) - sales_data_1[[#This Row],[Unit_Cost]])*sales_data_1[[#This Row],[Quantity_Sold]],2), "PASS", "CHECK")</f>
        <v>PASS</v>
      </c>
    </row>
    <row r="119" spans="1:20" x14ac:dyDescent="0.35">
      <c r="A119" s="7">
        <v>118</v>
      </c>
      <c r="B119" s="9">
        <v>1083</v>
      </c>
      <c r="C119" s="7" t="str">
        <f>IFERROR(_xlfn.TEXTJOIN("-", TRUE, _xlfn.XLOOKUP(K119, product_category_id_lookup!$A$2:$A$5, product_category_id_lookup!$B$2:$B$5), B119), "Unknown Category")</f>
        <v>fd-1083</v>
      </c>
      <c r="D119" s="8">
        <v>44599</v>
      </c>
      <c r="E119" s="7">
        <f t="shared" si="3"/>
        <v>2022</v>
      </c>
      <c r="F119" s="28" t="str">
        <f t="shared" si="4"/>
        <v>Feb</v>
      </c>
      <c r="G119" s="17" t="s">
        <v>29</v>
      </c>
      <c r="H119" s="17" t="s">
        <v>15</v>
      </c>
      <c r="I119" s="24">
        <v>91216.357199999999</v>
      </c>
      <c r="J119" s="32">
        <v>27</v>
      </c>
      <c r="K119" s="17" t="s">
        <v>24</v>
      </c>
      <c r="L119" s="24">
        <v>1574.51</v>
      </c>
      <c r="M119" s="24">
        <v>4119.9799999999996</v>
      </c>
      <c r="N119" s="34">
        <f>((sales_data_1[[#This Row],[Unit_Price]]*(1-sales_data_1[[#This Row],[Discount]]))-sales_data_1[[#This Row],[Unit_Cost]])*sales_data_1[[#This Row],[Quantity_Sold]]</f>
        <v>48704.587200000002</v>
      </c>
      <c r="O119" s="17" t="s">
        <v>17</v>
      </c>
      <c r="P119" s="26">
        <v>0.18</v>
      </c>
      <c r="Q119" s="17" t="s">
        <v>18</v>
      </c>
      <c r="R119" s="17" t="s">
        <v>21</v>
      </c>
      <c r="S119" s="49" t="str">
        <f t="shared" si="5"/>
        <v>Charlie-North</v>
      </c>
      <c r="T119" s="59" t="str">
        <f>IF(ROUND(sales_data_1[[#This Row],[Profit_Margin]],2)=ROUND((sales_data_1[[#This Row],[Unit_Price]]*(1-sales_data_1[[#This Row],[Discount]]) - sales_data_1[[#This Row],[Unit_Cost]])*sales_data_1[[#This Row],[Quantity_Sold]],2), "PASS", "CHECK")</f>
        <v>PASS</v>
      </c>
    </row>
    <row r="120" spans="1:20" x14ac:dyDescent="0.35">
      <c r="A120" s="7">
        <v>119</v>
      </c>
      <c r="B120" s="9">
        <v>1056</v>
      </c>
      <c r="C120" s="7" t="str">
        <f>IFERROR(_xlfn.TEXTJOIN("-", TRUE, _xlfn.XLOOKUP(K120, product_category_id_lookup!$A$2:$A$5, product_category_id_lookup!$B$2:$B$5), B120), "Unknown Category")</f>
        <v>ctg-1056</v>
      </c>
      <c r="D120" s="8">
        <v>44599</v>
      </c>
      <c r="E120" s="7">
        <f t="shared" si="3"/>
        <v>2022</v>
      </c>
      <c r="F120" s="28" t="str">
        <f t="shared" si="4"/>
        <v>Feb</v>
      </c>
      <c r="G120" s="17" t="s">
        <v>32</v>
      </c>
      <c r="H120" s="17" t="s">
        <v>20</v>
      </c>
      <c r="I120" s="24">
        <v>102398.43799999999</v>
      </c>
      <c r="J120" s="32">
        <v>46</v>
      </c>
      <c r="K120" s="17" t="s">
        <v>26</v>
      </c>
      <c r="L120" s="24">
        <v>971.88</v>
      </c>
      <c r="M120" s="24">
        <v>2294.9</v>
      </c>
      <c r="N120" s="34">
        <f>((sales_data_1[[#This Row],[Unit_Price]]*(1-sales_data_1[[#This Row],[Discount]]))-sales_data_1[[#This Row],[Unit_Cost]])*sales_data_1[[#This Row],[Quantity_Sold]]</f>
        <v>57691.957999999991</v>
      </c>
      <c r="O120" s="17" t="s">
        <v>17</v>
      </c>
      <c r="P120" s="26">
        <v>0.03</v>
      </c>
      <c r="Q120" s="17" t="s">
        <v>28</v>
      </c>
      <c r="R120" s="17" t="s">
        <v>19</v>
      </c>
      <c r="S120" s="49" t="str">
        <f t="shared" si="5"/>
        <v>Eve-West</v>
      </c>
      <c r="T120" s="59" t="str">
        <f>IF(ROUND(sales_data_1[[#This Row],[Profit_Margin]],2)=ROUND((sales_data_1[[#This Row],[Unit_Price]]*(1-sales_data_1[[#This Row],[Discount]]) - sales_data_1[[#This Row],[Unit_Cost]])*sales_data_1[[#This Row],[Quantity_Sold]],2), "PASS", "CHECK")</f>
        <v>PASS</v>
      </c>
    </row>
    <row r="121" spans="1:20" x14ac:dyDescent="0.35">
      <c r="A121" s="7">
        <v>120</v>
      </c>
      <c r="B121" s="9">
        <v>1004</v>
      </c>
      <c r="C121" s="7" t="str">
        <f>IFERROR(_xlfn.TEXTJOIN("-", TRUE, _xlfn.XLOOKUP(K121, product_category_id_lookup!$A$2:$A$5, product_category_id_lookup!$B$2:$B$5), B121), "Unknown Category")</f>
        <v>etc-1004</v>
      </c>
      <c r="D121" s="8">
        <v>44601</v>
      </c>
      <c r="E121" s="7">
        <f t="shared" si="3"/>
        <v>2022</v>
      </c>
      <c r="F121" s="28" t="str">
        <f t="shared" si="4"/>
        <v>Feb</v>
      </c>
      <c r="G121" s="17" t="s">
        <v>32</v>
      </c>
      <c r="H121" s="17" t="s">
        <v>23</v>
      </c>
      <c r="I121" s="24">
        <v>20560.608312835015</v>
      </c>
      <c r="J121" s="32">
        <v>4</v>
      </c>
      <c r="K121" s="17" t="s">
        <v>31</v>
      </c>
      <c r="L121" s="24">
        <v>4934.78</v>
      </c>
      <c r="M121" s="24">
        <v>5192.18</v>
      </c>
      <c r="N121" s="34">
        <f>((sales_data_1[[#This Row],[Unit_Price]]*(1-sales_data_1[[#This Row],[Discount]]))-sales_data_1[[#This Row],[Unit_Cost]])*sales_data_1[[#This Row],[Quantity_Sold]]</f>
        <v>821.91280000000188</v>
      </c>
      <c r="O121" s="17" t="s">
        <v>27</v>
      </c>
      <c r="P121" s="26">
        <v>0.01</v>
      </c>
      <c r="Q121" s="17" t="s">
        <v>25</v>
      </c>
      <c r="R121" s="17" t="s">
        <v>21</v>
      </c>
      <c r="S121" s="49" t="str">
        <f t="shared" si="5"/>
        <v>Eve-South</v>
      </c>
      <c r="T121" s="59" t="str">
        <f>IF(ROUND(sales_data_1[[#This Row],[Profit_Margin]],2)=ROUND((sales_data_1[[#This Row],[Unit_Price]]*(1-sales_data_1[[#This Row],[Discount]]) - sales_data_1[[#This Row],[Unit_Cost]])*sales_data_1[[#This Row],[Quantity_Sold]],2), "PASS", "CHECK")</f>
        <v>PASS</v>
      </c>
    </row>
    <row r="122" spans="1:20" x14ac:dyDescent="0.35">
      <c r="A122" s="7">
        <v>121</v>
      </c>
      <c r="B122" s="9">
        <v>1020</v>
      </c>
      <c r="C122" s="7" t="str">
        <f>IFERROR(_xlfn.TEXTJOIN("-", TRUE, _xlfn.XLOOKUP(K122, product_category_id_lookup!$A$2:$A$5, product_category_id_lookup!$B$2:$B$5), B122), "Unknown Category")</f>
        <v>etc-1020</v>
      </c>
      <c r="D122" s="8">
        <v>44601</v>
      </c>
      <c r="E122" s="7">
        <f t="shared" si="3"/>
        <v>2022</v>
      </c>
      <c r="F122" s="28" t="str">
        <f t="shared" si="4"/>
        <v>Feb</v>
      </c>
      <c r="G122" s="17" t="s">
        <v>29</v>
      </c>
      <c r="H122" s="17" t="s">
        <v>20</v>
      </c>
      <c r="I122" s="24">
        <v>17293.599999999999</v>
      </c>
      <c r="J122" s="32">
        <v>5</v>
      </c>
      <c r="K122" s="17" t="s">
        <v>31</v>
      </c>
      <c r="L122" s="24">
        <v>2966.15</v>
      </c>
      <c r="M122" s="24">
        <v>3458.72</v>
      </c>
      <c r="N122" s="34">
        <f>((sales_data_1[[#This Row],[Unit_Price]]*(1-sales_data_1[[#This Row],[Discount]]))-sales_data_1[[#This Row],[Unit_Cost]])*sales_data_1[[#This Row],[Quantity_Sold]]</f>
        <v>2462.8499999999985</v>
      </c>
      <c r="O122" s="17" t="s">
        <v>27</v>
      </c>
      <c r="P122" s="26">
        <v>0</v>
      </c>
      <c r="Q122" s="17" t="s">
        <v>25</v>
      </c>
      <c r="R122" s="17" t="s">
        <v>19</v>
      </c>
      <c r="S122" s="49" t="str">
        <f t="shared" si="5"/>
        <v>Charlie-West</v>
      </c>
      <c r="T122" s="59" t="str">
        <f>IF(ROUND(sales_data_1[[#This Row],[Profit_Margin]],2)=ROUND((sales_data_1[[#This Row],[Unit_Price]]*(1-sales_data_1[[#This Row],[Discount]]) - sales_data_1[[#This Row],[Unit_Cost]])*sales_data_1[[#This Row],[Quantity_Sold]],2), "PASS", "CHECK")</f>
        <v>PASS</v>
      </c>
    </row>
    <row r="123" spans="1:20" x14ac:dyDescent="0.35">
      <c r="A123" s="7">
        <v>122</v>
      </c>
      <c r="B123" s="9">
        <v>1002</v>
      </c>
      <c r="C123" s="7" t="str">
        <f>IFERROR(_xlfn.TEXTJOIN("-", TRUE, _xlfn.XLOOKUP(K123, product_category_id_lookup!$A$2:$A$5, product_category_id_lookup!$B$2:$B$5), B123), "Unknown Category")</f>
        <v>fnt-1002</v>
      </c>
      <c r="D123" s="8">
        <v>44601</v>
      </c>
      <c r="E123" s="7">
        <f t="shared" si="3"/>
        <v>2022</v>
      </c>
      <c r="F123" s="28" t="str">
        <f t="shared" si="4"/>
        <v>Feb</v>
      </c>
      <c r="G123" s="17" t="s">
        <v>14</v>
      </c>
      <c r="H123" s="17" t="s">
        <v>30</v>
      </c>
      <c r="I123" s="24">
        <v>47150.358</v>
      </c>
      <c r="J123" s="32">
        <v>30</v>
      </c>
      <c r="K123" s="17" t="s">
        <v>16</v>
      </c>
      <c r="L123" s="24">
        <v>694.5</v>
      </c>
      <c r="M123" s="24">
        <v>2123.89</v>
      </c>
      <c r="N123" s="34">
        <f>((sales_data_1[[#This Row],[Unit_Price]]*(1-sales_data_1[[#This Row],[Discount]]))-sales_data_1[[#This Row],[Unit_Cost]])*sales_data_1[[#This Row],[Quantity_Sold]]</f>
        <v>26315.358</v>
      </c>
      <c r="O123" s="17" t="s">
        <v>27</v>
      </c>
      <c r="P123" s="26">
        <v>0.26</v>
      </c>
      <c r="Q123" s="17" t="s">
        <v>18</v>
      </c>
      <c r="R123" s="17" t="s">
        <v>19</v>
      </c>
      <c r="S123" s="49" t="str">
        <f t="shared" si="5"/>
        <v>Bob-East</v>
      </c>
      <c r="T123" s="59" t="str">
        <f>IF(ROUND(sales_data_1[[#This Row],[Profit_Margin]],2)=ROUND((sales_data_1[[#This Row],[Unit_Price]]*(1-sales_data_1[[#This Row],[Discount]]) - sales_data_1[[#This Row],[Unit_Cost]])*sales_data_1[[#This Row],[Quantity_Sold]],2), "PASS", "CHECK")</f>
        <v>PASS</v>
      </c>
    </row>
    <row r="124" spans="1:20" x14ac:dyDescent="0.35">
      <c r="A124" s="7">
        <v>123</v>
      </c>
      <c r="B124" s="9">
        <v>1084</v>
      </c>
      <c r="C124" s="7" t="str">
        <f>IFERROR(_xlfn.TEXTJOIN("-", TRUE, _xlfn.XLOOKUP(K124, product_category_id_lookup!$A$2:$A$5, product_category_id_lookup!$B$2:$B$5), B124), "Unknown Category")</f>
        <v>fnt-1084</v>
      </c>
      <c r="D124" s="8">
        <v>44601</v>
      </c>
      <c r="E124" s="7">
        <f t="shared" si="3"/>
        <v>2022</v>
      </c>
      <c r="F124" s="28" t="str">
        <f t="shared" si="4"/>
        <v>Feb</v>
      </c>
      <c r="G124" s="17" t="s">
        <v>22</v>
      </c>
      <c r="H124" s="17" t="s">
        <v>20</v>
      </c>
      <c r="I124" s="24">
        <v>48062.67</v>
      </c>
      <c r="J124" s="32">
        <v>20</v>
      </c>
      <c r="K124" s="17" t="s">
        <v>16</v>
      </c>
      <c r="L124" s="24">
        <v>287.06</v>
      </c>
      <c r="M124" s="24">
        <v>2700.15</v>
      </c>
      <c r="N124" s="34">
        <f>((sales_data_1[[#This Row],[Unit_Price]]*(1-sales_data_1[[#This Row],[Discount]]))-sales_data_1[[#This Row],[Unit_Cost]])*sales_data_1[[#This Row],[Quantity_Sold]]</f>
        <v>42321.47</v>
      </c>
      <c r="O124" s="17" t="s">
        <v>27</v>
      </c>
      <c r="P124" s="26">
        <v>0.11</v>
      </c>
      <c r="Q124" s="17" t="s">
        <v>28</v>
      </c>
      <c r="R124" s="17" t="s">
        <v>19</v>
      </c>
      <c r="S124" s="49" t="str">
        <f t="shared" si="5"/>
        <v>David-West</v>
      </c>
      <c r="T124" s="59" t="str">
        <f>IF(ROUND(sales_data_1[[#This Row],[Profit_Margin]],2)=ROUND((sales_data_1[[#This Row],[Unit_Price]]*(1-sales_data_1[[#This Row],[Discount]]) - sales_data_1[[#This Row],[Unit_Cost]])*sales_data_1[[#This Row],[Quantity_Sold]],2), "PASS", "CHECK")</f>
        <v>PASS</v>
      </c>
    </row>
    <row r="125" spans="1:20" x14ac:dyDescent="0.35">
      <c r="A125" s="7">
        <v>124</v>
      </c>
      <c r="B125" s="9">
        <v>1003</v>
      </c>
      <c r="C125" s="7" t="str">
        <f>IFERROR(_xlfn.TEXTJOIN("-", TRUE, _xlfn.XLOOKUP(K125, product_category_id_lookup!$A$2:$A$5, product_category_id_lookup!$B$2:$B$5), B125), "Unknown Category")</f>
        <v>fd-1003</v>
      </c>
      <c r="D125" s="8">
        <v>44602</v>
      </c>
      <c r="E125" s="7">
        <f t="shared" si="3"/>
        <v>2022</v>
      </c>
      <c r="F125" s="28" t="str">
        <f t="shared" si="4"/>
        <v>Feb</v>
      </c>
      <c r="G125" s="17" t="s">
        <v>33</v>
      </c>
      <c r="H125" s="17" t="s">
        <v>30</v>
      </c>
      <c r="I125" s="24">
        <v>15877.980000000001</v>
      </c>
      <c r="J125" s="32">
        <v>4</v>
      </c>
      <c r="K125" s="17" t="s">
        <v>24</v>
      </c>
      <c r="L125" s="24">
        <v>845.48</v>
      </c>
      <c r="M125" s="24">
        <v>4410.55</v>
      </c>
      <c r="N125" s="34">
        <f>((sales_data_1[[#This Row],[Unit_Price]]*(1-sales_data_1[[#This Row],[Discount]]))-sales_data_1[[#This Row],[Unit_Cost]])*sales_data_1[[#This Row],[Quantity_Sold]]</f>
        <v>12496.060000000001</v>
      </c>
      <c r="O125" s="17" t="s">
        <v>17</v>
      </c>
      <c r="P125" s="26">
        <v>0.1</v>
      </c>
      <c r="Q125" s="17" t="s">
        <v>18</v>
      </c>
      <c r="R125" s="17" t="s">
        <v>21</v>
      </c>
      <c r="S125" s="49" t="str">
        <f t="shared" si="5"/>
        <v>Alice-East</v>
      </c>
      <c r="T125" s="59" t="str">
        <f>IF(ROUND(sales_data_1[[#This Row],[Profit_Margin]],2)=ROUND((sales_data_1[[#This Row],[Unit_Price]]*(1-sales_data_1[[#This Row],[Discount]]) - sales_data_1[[#This Row],[Unit_Cost]])*sales_data_1[[#This Row],[Quantity_Sold]],2), "PASS", "CHECK")</f>
        <v>PASS</v>
      </c>
    </row>
    <row r="126" spans="1:20" x14ac:dyDescent="0.35">
      <c r="A126" s="7">
        <v>125</v>
      </c>
      <c r="B126" s="9">
        <v>1003</v>
      </c>
      <c r="C126" s="7" t="str">
        <f>IFERROR(_xlfn.TEXTJOIN("-", TRUE, _xlfn.XLOOKUP(K126, product_category_id_lookup!$A$2:$A$5, product_category_id_lookup!$B$2:$B$5), B126), "Unknown Category")</f>
        <v>fnt-1003</v>
      </c>
      <c r="D126" s="8">
        <v>44602</v>
      </c>
      <c r="E126" s="7">
        <f t="shared" si="3"/>
        <v>2022</v>
      </c>
      <c r="F126" s="28" t="str">
        <f t="shared" si="4"/>
        <v>Feb</v>
      </c>
      <c r="G126" s="17" t="s">
        <v>22</v>
      </c>
      <c r="H126" s="17" t="s">
        <v>23</v>
      </c>
      <c r="I126" s="24">
        <v>79771.77</v>
      </c>
      <c r="J126" s="32">
        <v>26</v>
      </c>
      <c r="K126" s="17" t="s">
        <v>16</v>
      </c>
      <c r="L126" s="24">
        <v>1491.98</v>
      </c>
      <c r="M126" s="24">
        <v>4090.86</v>
      </c>
      <c r="N126" s="34">
        <f>((sales_data_1[[#This Row],[Unit_Price]]*(1-sales_data_1[[#This Row],[Discount]]))-sales_data_1[[#This Row],[Unit_Cost]])*sales_data_1[[#This Row],[Quantity_Sold]]</f>
        <v>40980.29</v>
      </c>
      <c r="O126" s="17" t="s">
        <v>27</v>
      </c>
      <c r="P126" s="26">
        <v>0.25</v>
      </c>
      <c r="Q126" s="17" t="s">
        <v>25</v>
      </c>
      <c r="R126" s="17" t="s">
        <v>21</v>
      </c>
      <c r="S126" s="49" t="str">
        <f t="shared" si="5"/>
        <v>David-South</v>
      </c>
      <c r="T126" s="59" t="str">
        <f>IF(ROUND(sales_data_1[[#This Row],[Profit_Margin]],2)=ROUND((sales_data_1[[#This Row],[Unit_Price]]*(1-sales_data_1[[#This Row],[Discount]]) - sales_data_1[[#This Row],[Unit_Cost]])*sales_data_1[[#This Row],[Quantity_Sold]],2), "PASS", "CHECK")</f>
        <v>PASS</v>
      </c>
    </row>
    <row r="127" spans="1:20" x14ac:dyDescent="0.35">
      <c r="A127" s="7">
        <v>126</v>
      </c>
      <c r="B127" s="9">
        <v>1039</v>
      </c>
      <c r="C127" s="7" t="str">
        <f>IFERROR(_xlfn.TEXTJOIN("-", TRUE, _xlfn.XLOOKUP(K127, product_category_id_lookup!$A$2:$A$5, product_category_id_lookup!$B$2:$B$5), B127), "Unknown Category")</f>
        <v>fnt-1039</v>
      </c>
      <c r="D127" s="8">
        <v>44602</v>
      </c>
      <c r="E127" s="7">
        <f t="shared" si="3"/>
        <v>2022</v>
      </c>
      <c r="F127" s="28" t="str">
        <f t="shared" si="4"/>
        <v>Feb</v>
      </c>
      <c r="G127" s="17" t="s">
        <v>33</v>
      </c>
      <c r="H127" s="17" t="s">
        <v>20</v>
      </c>
      <c r="I127" s="24">
        <v>60898.559999999998</v>
      </c>
      <c r="J127" s="32">
        <v>25</v>
      </c>
      <c r="K127" s="17" t="s">
        <v>16</v>
      </c>
      <c r="L127" s="24">
        <v>485.23</v>
      </c>
      <c r="M127" s="24">
        <v>2537.44</v>
      </c>
      <c r="N127" s="34">
        <f>((sales_data_1[[#This Row],[Unit_Price]]*(1-sales_data_1[[#This Row],[Discount]]))-sales_data_1[[#This Row],[Unit_Cost]])*sales_data_1[[#This Row],[Quantity_Sold]]</f>
        <v>48767.81</v>
      </c>
      <c r="O127" s="17" t="s">
        <v>17</v>
      </c>
      <c r="P127" s="26">
        <v>0.04</v>
      </c>
      <c r="Q127" s="17" t="s">
        <v>25</v>
      </c>
      <c r="R127" s="17" t="s">
        <v>19</v>
      </c>
      <c r="S127" s="49" t="str">
        <f t="shared" si="5"/>
        <v>Alice-West</v>
      </c>
      <c r="T127" s="59" t="str">
        <f>IF(ROUND(sales_data_1[[#This Row],[Profit_Margin]],2)=ROUND((sales_data_1[[#This Row],[Unit_Price]]*(1-sales_data_1[[#This Row],[Discount]]) - sales_data_1[[#This Row],[Unit_Cost]])*sales_data_1[[#This Row],[Quantity_Sold]],2), "PASS", "CHECK")</f>
        <v>PASS</v>
      </c>
    </row>
    <row r="128" spans="1:20" x14ac:dyDescent="0.35">
      <c r="A128" s="7">
        <v>127</v>
      </c>
      <c r="B128" s="9">
        <v>1098</v>
      </c>
      <c r="C128" s="7" t="str">
        <f>IFERROR(_xlfn.TEXTJOIN("-", TRUE, _xlfn.XLOOKUP(K128, product_category_id_lookup!$A$2:$A$5, product_category_id_lookup!$B$2:$B$5), B128), "Unknown Category")</f>
        <v>etc-1098</v>
      </c>
      <c r="D128" s="8">
        <v>44602</v>
      </c>
      <c r="E128" s="7">
        <f t="shared" si="3"/>
        <v>2022</v>
      </c>
      <c r="F128" s="28" t="str">
        <f t="shared" si="4"/>
        <v>Feb</v>
      </c>
      <c r="G128" s="17" t="s">
        <v>29</v>
      </c>
      <c r="H128" s="17" t="s">
        <v>23</v>
      </c>
      <c r="I128" s="24">
        <v>145620.85450000002</v>
      </c>
      <c r="J128" s="32">
        <v>43</v>
      </c>
      <c r="K128" s="17" t="s">
        <v>31</v>
      </c>
      <c r="L128" s="24">
        <v>1556.35</v>
      </c>
      <c r="M128" s="24">
        <v>3564.77</v>
      </c>
      <c r="N128" s="34">
        <f>((sales_data_1[[#This Row],[Unit_Price]]*(1-sales_data_1[[#This Row],[Discount]]))-sales_data_1[[#This Row],[Unit_Cost]])*sales_data_1[[#This Row],[Quantity_Sold]]</f>
        <v>78697.804500000013</v>
      </c>
      <c r="O128" s="17" t="s">
        <v>27</v>
      </c>
      <c r="P128" s="26">
        <v>0.05</v>
      </c>
      <c r="Q128" s="17" t="s">
        <v>25</v>
      </c>
      <c r="R128" s="17" t="s">
        <v>19</v>
      </c>
      <c r="S128" s="49" t="str">
        <f t="shared" si="5"/>
        <v>Charlie-South</v>
      </c>
      <c r="T128" s="59" t="str">
        <f>IF(ROUND(sales_data_1[[#This Row],[Profit_Margin]],2)=ROUND((sales_data_1[[#This Row],[Unit_Price]]*(1-sales_data_1[[#This Row],[Discount]]) - sales_data_1[[#This Row],[Unit_Cost]])*sales_data_1[[#This Row],[Quantity_Sold]],2), "PASS", "CHECK")</f>
        <v>PASS</v>
      </c>
    </row>
    <row r="129" spans="1:20" x14ac:dyDescent="0.35">
      <c r="A129" s="7">
        <v>128</v>
      </c>
      <c r="B129" s="9">
        <v>1074</v>
      </c>
      <c r="C129" s="7" t="str">
        <f>IFERROR(_xlfn.TEXTJOIN("-", TRUE, _xlfn.XLOOKUP(K129, product_category_id_lookup!$A$2:$A$5, product_category_id_lookup!$B$2:$B$5), B129), "Unknown Category")</f>
        <v>fnt-1074</v>
      </c>
      <c r="D129" s="8">
        <v>44603</v>
      </c>
      <c r="E129" s="7">
        <f t="shared" si="3"/>
        <v>2022</v>
      </c>
      <c r="F129" s="28" t="str">
        <f t="shared" si="4"/>
        <v>Feb</v>
      </c>
      <c r="G129" s="17" t="s">
        <v>29</v>
      </c>
      <c r="H129" s="17" t="s">
        <v>30</v>
      </c>
      <c r="I129" s="24">
        <v>57564.474046801741</v>
      </c>
      <c r="J129" s="32">
        <v>18</v>
      </c>
      <c r="K129" s="17" t="s">
        <v>16</v>
      </c>
      <c r="L129" s="24">
        <v>2573.23</v>
      </c>
      <c r="M129" s="24">
        <v>3256.99</v>
      </c>
      <c r="N129" s="34">
        <f>((sales_data_1[[#This Row],[Unit_Price]]*(1-sales_data_1[[#This Row],[Discount]]))-sales_data_1[[#This Row],[Unit_Cost]])*sales_data_1[[#This Row],[Quantity_Sold]]</f>
        <v>11135.163599999996</v>
      </c>
      <c r="O129" s="17" t="s">
        <v>17</v>
      </c>
      <c r="P129" s="26">
        <v>0.02</v>
      </c>
      <c r="Q129" s="17" t="s">
        <v>25</v>
      </c>
      <c r="R129" s="17" t="s">
        <v>19</v>
      </c>
      <c r="S129" s="49" t="str">
        <f t="shared" si="5"/>
        <v>Charlie-East</v>
      </c>
      <c r="T129" s="59" t="str">
        <f>IF(ROUND(sales_data_1[[#This Row],[Profit_Margin]],2)=ROUND((sales_data_1[[#This Row],[Unit_Price]]*(1-sales_data_1[[#This Row],[Discount]]) - sales_data_1[[#This Row],[Unit_Cost]])*sales_data_1[[#This Row],[Quantity_Sold]],2), "PASS", "CHECK")</f>
        <v>PASS</v>
      </c>
    </row>
    <row r="130" spans="1:20" x14ac:dyDescent="0.35">
      <c r="A130" s="7">
        <v>129</v>
      </c>
      <c r="B130" s="9">
        <v>1077</v>
      </c>
      <c r="C130" s="7" t="str">
        <f>IFERROR(_xlfn.TEXTJOIN("-", TRUE, _xlfn.XLOOKUP(K130, product_category_id_lookup!$A$2:$A$5, product_category_id_lookup!$B$2:$B$5), B130), "Unknown Category")</f>
        <v>fd-1077</v>
      </c>
      <c r="D130" s="8">
        <v>44603</v>
      </c>
      <c r="E130" s="7">
        <f t="shared" ref="E130:E193" si="6">YEAR(D130)</f>
        <v>2022</v>
      </c>
      <c r="F130" s="28" t="str">
        <f t="shared" ref="F130:F193" si="7">LEFT(TEXT(D130,"mmmm"),3)</f>
        <v>Feb</v>
      </c>
      <c r="G130" s="17" t="s">
        <v>22</v>
      </c>
      <c r="H130" s="17" t="s">
        <v>15</v>
      </c>
      <c r="I130" s="24">
        <v>200912.15187231288</v>
      </c>
      <c r="J130" s="32">
        <v>50</v>
      </c>
      <c r="K130" s="17" t="s">
        <v>24</v>
      </c>
      <c r="L130" s="24">
        <v>3728.96</v>
      </c>
      <c r="M130" s="24">
        <v>4095.24</v>
      </c>
      <c r="N130" s="34">
        <f>((sales_data_1[[#This Row],[Unit_Price]]*(1-sales_data_1[[#This Row],[Discount]]))-sales_data_1[[#This Row],[Unit_Cost]])*sales_data_1[[#This Row],[Quantity_Sold]]</f>
        <v>14218.759999999975</v>
      </c>
      <c r="O130" s="17" t="s">
        <v>17</v>
      </c>
      <c r="P130" s="26">
        <v>0.02</v>
      </c>
      <c r="Q130" s="17" t="s">
        <v>18</v>
      </c>
      <c r="R130" s="17" t="s">
        <v>19</v>
      </c>
      <c r="S130" s="49" t="str">
        <f t="shared" ref="S130:S193" si="8">_xlfn.CONCAT(G130,"-",H130)</f>
        <v>David-North</v>
      </c>
      <c r="T130" s="59" t="str">
        <f>IF(ROUND(sales_data_1[[#This Row],[Profit_Margin]],2)=ROUND((sales_data_1[[#This Row],[Unit_Price]]*(1-sales_data_1[[#This Row],[Discount]]) - sales_data_1[[#This Row],[Unit_Cost]])*sales_data_1[[#This Row],[Quantity_Sold]],2), "PASS", "CHECK")</f>
        <v>PASS</v>
      </c>
    </row>
    <row r="131" spans="1:20" x14ac:dyDescent="0.35">
      <c r="A131" s="7">
        <v>130</v>
      </c>
      <c r="B131" s="9">
        <v>1062</v>
      </c>
      <c r="C131" s="7" t="str">
        <f>IFERROR(_xlfn.TEXTJOIN("-", TRUE, _xlfn.XLOOKUP(K131, product_category_id_lookup!$A$2:$A$5, product_category_id_lookup!$B$2:$B$5), B131), "Unknown Category")</f>
        <v>etc-1062</v>
      </c>
      <c r="D131" s="8">
        <v>44604</v>
      </c>
      <c r="E131" s="7">
        <f t="shared" si="6"/>
        <v>2022</v>
      </c>
      <c r="F131" s="28" t="str">
        <f t="shared" si="7"/>
        <v>Feb</v>
      </c>
      <c r="G131" s="17" t="s">
        <v>22</v>
      </c>
      <c r="H131" s="17" t="s">
        <v>30</v>
      </c>
      <c r="I131" s="24">
        <v>10454.444000000001</v>
      </c>
      <c r="J131" s="32">
        <v>13</v>
      </c>
      <c r="K131" s="17" t="s">
        <v>31</v>
      </c>
      <c r="L131" s="24">
        <v>419.24</v>
      </c>
      <c r="M131" s="24">
        <v>1044.4000000000001</v>
      </c>
      <c r="N131" s="34">
        <f>((sales_data_1[[#This Row],[Unit_Price]]*(1-sales_data_1[[#This Row],[Discount]]))-sales_data_1[[#This Row],[Unit_Cost]])*sales_data_1[[#This Row],[Quantity_Sold]]</f>
        <v>5004.3240000000014</v>
      </c>
      <c r="O131" s="17" t="s">
        <v>27</v>
      </c>
      <c r="P131" s="26">
        <v>0.23</v>
      </c>
      <c r="Q131" s="17" t="s">
        <v>18</v>
      </c>
      <c r="R131" s="17" t="s">
        <v>19</v>
      </c>
      <c r="S131" s="49" t="str">
        <f t="shared" si="8"/>
        <v>David-East</v>
      </c>
      <c r="T131" s="59" t="str">
        <f>IF(ROUND(sales_data_1[[#This Row],[Profit_Margin]],2)=ROUND((sales_data_1[[#This Row],[Unit_Price]]*(1-sales_data_1[[#This Row],[Discount]]) - sales_data_1[[#This Row],[Unit_Cost]])*sales_data_1[[#This Row],[Quantity_Sold]],2), "PASS", "CHECK")</f>
        <v>PASS</v>
      </c>
    </row>
    <row r="132" spans="1:20" x14ac:dyDescent="0.35">
      <c r="A132" s="7">
        <v>131</v>
      </c>
      <c r="B132" s="9">
        <v>1077</v>
      </c>
      <c r="C132" s="7" t="str">
        <f>IFERROR(_xlfn.TEXTJOIN("-", TRUE, _xlfn.XLOOKUP(K132, product_category_id_lookup!$A$2:$A$5, product_category_id_lookup!$B$2:$B$5), B132), "Unknown Category")</f>
        <v>fnt-1077</v>
      </c>
      <c r="D132" s="8">
        <v>44604</v>
      </c>
      <c r="E132" s="7">
        <f t="shared" si="6"/>
        <v>2022</v>
      </c>
      <c r="F132" s="28" t="str">
        <f t="shared" si="7"/>
        <v>Feb</v>
      </c>
      <c r="G132" s="17" t="s">
        <v>29</v>
      </c>
      <c r="H132" s="17" t="s">
        <v>23</v>
      </c>
      <c r="I132" s="24">
        <v>154484.00091169702</v>
      </c>
      <c r="J132" s="32">
        <v>37</v>
      </c>
      <c r="K132" s="17" t="s">
        <v>16</v>
      </c>
      <c r="L132" s="24">
        <v>4036.28</v>
      </c>
      <c r="M132" s="24">
        <v>4211.43</v>
      </c>
      <c r="N132" s="34">
        <f>((sales_data_1[[#This Row],[Unit_Price]]*(1-sales_data_1[[#This Row],[Discount]]))-sales_data_1[[#This Row],[Unit_Cost]])*sales_data_1[[#This Row],[Quantity_Sold]]</f>
        <v>4922.320899999997</v>
      </c>
      <c r="O132" s="17" t="s">
        <v>17</v>
      </c>
      <c r="P132" s="26">
        <v>0.01</v>
      </c>
      <c r="Q132" s="17" t="s">
        <v>25</v>
      </c>
      <c r="R132" s="17" t="s">
        <v>19</v>
      </c>
      <c r="S132" s="49" t="str">
        <f t="shared" si="8"/>
        <v>Charlie-South</v>
      </c>
      <c r="T132" s="59" t="str">
        <f>IF(ROUND(sales_data_1[[#This Row],[Profit_Margin]],2)=ROUND((sales_data_1[[#This Row],[Unit_Price]]*(1-sales_data_1[[#This Row],[Discount]]) - sales_data_1[[#This Row],[Unit_Cost]])*sales_data_1[[#This Row],[Quantity_Sold]],2), "PASS", "CHECK")</f>
        <v>PASS</v>
      </c>
    </row>
    <row r="133" spans="1:20" x14ac:dyDescent="0.35">
      <c r="A133" s="7">
        <v>132</v>
      </c>
      <c r="B133" s="9">
        <v>1021</v>
      </c>
      <c r="C133" s="7" t="str">
        <f>IFERROR(_xlfn.TEXTJOIN("-", TRUE, _xlfn.XLOOKUP(K133, product_category_id_lookup!$A$2:$A$5, product_category_id_lookup!$B$2:$B$5), B133), "Unknown Category")</f>
        <v>fnt-1021</v>
      </c>
      <c r="D133" s="8">
        <v>44605</v>
      </c>
      <c r="E133" s="7">
        <f t="shared" si="6"/>
        <v>2022</v>
      </c>
      <c r="F133" s="28" t="str">
        <f t="shared" si="7"/>
        <v>Feb</v>
      </c>
      <c r="G133" s="17" t="s">
        <v>14</v>
      </c>
      <c r="H133" s="17" t="s">
        <v>30</v>
      </c>
      <c r="I133" s="24">
        <v>128000.71902748538</v>
      </c>
      <c r="J133" s="32">
        <v>26</v>
      </c>
      <c r="K133" s="17" t="s">
        <v>16</v>
      </c>
      <c r="L133" s="24">
        <v>4856.8999999999996</v>
      </c>
      <c r="M133" s="24">
        <v>4953.79</v>
      </c>
      <c r="N133" s="34">
        <f>((sales_data_1[[#This Row],[Unit_Price]]*(1-sales_data_1[[#This Row],[Discount]]))-sales_data_1[[#This Row],[Unit_Cost]])*sales_data_1[[#This Row],[Quantity_Sold]]</f>
        <v>1231.1546000000017</v>
      </c>
      <c r="O133" s="17" t="s">
        <v>27</v>
      </c>
      <c r="P133" s="26">
        <v>0.01</v>
      </c>
      <c r="Q133" s="17" t="s">
        <v>25</v>
      </c>
      <c r="R133" s="17" t="s">
        <v>19</v>
      </c>
      <c r="S133" s="49" t="str">
        <f t="shared" si="8"/>
        <v>Bob-East</v>
      </c>
      <c r="T133" s="59" t="str">
        <f>IF(ROUND(sales_data_1[[#This Row],[Profit_Margin]],2)=ROUND((sales_data_1[[#This Row],[Unit_Price]]*(1-sales_data_1[[#This Row],[Discount]]) - sales_data_1[[#This Row],[Unit_Cost]])*sales_data_1[[#This Row],[Quantity_Sold]],2), "PASS", "CHECK")</f>
        <v>PASS</v>
      </c>
    </row>
    <row r="134" spans="1:20" x14ac:dyDescent="0.35">
      <c r="A134" s="7">
        <v>133</v>
      </c>
      <c r="B134" s="9">
        <v>1021</v>
      </c>
      <c r="C134" s="7" t="str">
        <f>IFERROR(_xlfn.TEXTJOIN("-", TRUE, _xlfn.XLOOKUP(K134, product_category_id_lookup!$A$2:$A$5, product_category_id_lookup!$B$2:$B$5), B134), "Unknown Category")</f>
        <v>etc-1021</v>
      </c>
      <c r="D134" s="8">
        <v>44605</v>
      </c>
      <c r="E134" s="7">
        <f t="shared" si="6"/>
        <v>2022</v>
      </c>
      <c r="F134" s="28" t="str">
        <f t="shared" si="7"/>
        <v>Feb</v>
      </c>
      <c r="G134" s="17" t="s">
        <v>33</v>
      </c>
      <c r="H134" s="17" t="s">
        <v>30</v>
      </c>
      <c r="I134" s="24">
        <v>35107.559199999996</v>
      </c>
      <c r="J134" s="32">
        <v>49</v>
      </c>
      <c r="K134" s="17" t="s">
        <v>31</v>
      </c>
      <c r="L134" s="24">
        <v>410.83</v>
      </c>
      <c r="M134" s="24">
        <v>738.64</v>
      </c>
      <c r="N134" s="34">
        <f>((sales_data_1[[#This Row],[Unit_Price]]*(1-sales_data_1[[#This Row],[Discount]]))-sales_data_1[[#This Row],[Unit_Cost]])*sales_data_1[[#This Row],[Quantity_Sold]]</f>
        <v>14976.889199999998</v>
      </c>
      <c r="O134" s="17" t="s">
        <v>27</v>
      </c>
      <c r="P134" s="26">
        <v>0.03</v>
      </c>
      <c r="Q134" s="17" t="s">
        <v>28</v>
      </c>
      <c r="R134" s="17" t="s">
        <v>21</v>
      </c>
      <c r="S134" s="49" t="str">
        <f t="shared" si="8"/>
        <v>Alice-East</v>
      </c>
      <c r="T134" s="59" t="str">
        <f>IF(ROUND(sales_data_1[[#This Row],[Profit_Margin]],2)=ROUND((sales_data_1[[#This Row],[Unit_Price]]*(1-sales_data_1[[#This Row],[Discount]]) - sales_data_1[[#This Row],[Unit_Cost]])*sales_data_1[[#This Row],[Quantity_Sold]],2), "PASS", "CHECK")</f>
        <v>PASS</v>
      </c>
    </row>
    <row r="135" spans="1:20" x14ac:dyDescent="0.35">
      <c r="A135" s="7">
        <v>134</v>
      </c>
      <c r="B135" s="9">
        <v>1021</v>
      </c>
      <c r="C135" s="7" t="str">
        <f>IFERROR(_xlfn.TEXTJOIN("-", TRUE, _xlfn.XLOOKUP(K135, product_category_id_lookup!$A$2:$A$5, product_category_id_lookup!$B$2:$B$5), B135), "Unknown Category")</f>
        <v>etc-1021</v>
      </c>
      <c r="D135" s="8">
        <v>44605</v>
      </c>
      <c r="E135" s="7">
        <f t="shared" si="6"/>
        <v>2022</v>
      </c>
      <c r="F135" s="28" t="str">
        <f t="shared" si="7"/>
        <v>Feb</v>
      </c>
      <c r="G135" s="17" t="s">
        <v>32</v>
      </c>
      <c r="H135" s="17" t="s">
        <v>15</v>
      </c>
      <c r="I135" s="24">
        <v>42711.680000000008</v>
      </c>
      <c r="J135" s="32">
        <v>10</v>
      </c>
      <c r="K135" s="17" t="s">
        <v>31</v>
      </c>
      <c r="L135" s="24">
        <v>2043.48</v>
      </c>
      <c r="M135" s="24">
        <v>4853.6000000000004</v>
      </c>
      <c r="N135" s="34">
        <f>((sales_data_1[[#This Row],[Unit_Price]]*(1-sales_data_1[[#This Row],[Discount]]))-sales_data_1[[#This Row],[Unit_Cost]])*sales_data_1[[#This Row],[Quantity_Sold]]</f>
        <v>22276.880000000005</v>
      </c>
      <c r="O135" s="17" t="s">
        <v>17</v>
      </c>
      <c r="P135" s="26">
        <v>0.12</v>
      </c>
      <c r="Q135" s="17" t="s">
        <v>28</v>
      </c>
      <c r="R135" s="17" t="s">
        <v>21</v>
      </c>
      <c r="S135" s="49" t="str">
        <f t="shared" si="8"/>
        <v>Eve-North</v>
      </c>
      <c r="T135" s="59" t="str">
        <f>IF(ROUND(sales_data_1[[#This Row],[Profit_Margin]],2)=ROUND((sales_data_1[[#This Row],[Unit_Price]]*(1-sales_data_1[[#This Row],[Discount]]) - sales_data_1[[#This Row],[Unit_Cost]])*sales_data_1[[#This Row],[Quantity_Sold]],2), "PASS", "CHECK")</f>
        <v>PASS</v>
      </c>
    </row>
    <row r="136" spans="1:20" x14ac:dyDescent="0.35">
      <c r="A136" s="7">
        <v>135</v>
      </c>
      <c r="B136" s="9">
        <v>1089</v>
      </c>
      <c r="C136" s="7" t="str">
        <f>IFERROR(_xlfn.TEXTJOIN("-", TRUE, _xlfn.XLOOKUP(K136, product_category_id_lookup!$A$2:$A$5, product_category_id_lookup!$B$2:$B$5), B136), "Unknown Category")</f>
        <v>fnt-1089</v>
      </c>
      <c r="D136" s="8">
        <v>44605</v>
      </c>
      <c r="E136" s="7">
        <f t="shared" si="6"/>
        <v>2022</v>
      </c>
      <c r="F136" s="28" t="str">
        <f t="shared" si="7"/>
        <v>Feb</v>
      </c>
      <c r="G136" s="17" t="s">
        <v>33</v>
      </c>
      <c r="H136" s="17" t="s">
        <v>15</v>
      </c>
      <c r="I136" s="24">
        <v>89752.14</v>
      </c>
      <c r="J136" s="32">
        <v>30</v>
      </c>
      <c r="K136" s="17" t="s">
        <v>16</v>
      </c>
      <c r="L136" s="24">
        <v>1133.5899999999999</v>
      </c>
      <c r="M136" s="24">
        <v>3182.7</v>
      </c>
      <c r="N136" s="34">
        <f>((sales_data_1[[#This Row],[Unit_Price]]*(1-sales_data_1[[#This Row],[Discount]]))-sales_data_1[[#This Row],[Unit_Cost]])*sales_data_1[[#This Row],[Quantity_Sold]]</f>
        <v>55744.439999999995</v>
      </c>
      <c r="O136" s="17" t="s">
        <v>17</v>
      </c>
      <c r="P136" s="26">
        <v>0.06</v>
      </c>
      <c r="Q136" s="17" t="s">
        <v>25</v>
      </c>
      <c r="R136" s="17" t="s">
        <v>21</v>
      </c>
      <c r="S136" s="49" t="str">
        <f t="shared" si="8"/>
        <v>Alice-North</v>
      </c>
      <c r="T136" s="59" t="str">
        <f>IF(ROUND(sales_data_1[[#This Row],[Profit_Margin]],2)=ROUND((sales_data_1[[#This Row],[Unit_Price]]*(1-sales_data_1[[#This Row],[Discount]]) - sales_data_1[[#This Row],[Unit_Cost]])*sales_data_1[[#This Row],[Quantity_Sold]],2), "PASS", "CHECK")</f>
        <v>PASS</v>
      </c>
    </row>
    <row r="137" spans="1:20" x14ac:dyDescent="0.35">
      <c r="A137" s="7">
        <v>136</v>
      </c>
      <c r="B137" s="9">
        <v>1094</v>
      </c>
      <c r="C137" s="7" t="str">
        <f>IFERROR(_xlfn.TEXTJOIN("-", TRUE, _xlfn.XLOOKUP(K137, product_category_id_lookup!$A$2:$A$5, product_category_id_lookup!$B$2:$B$5), B137), "Unknown Category")</f>
        <v>fnt-1094</v>
      </c>
      <c r="D137" s="8">
        <v>44605</v>
      </c>
      <c r="E137" s="7">
        <f t="shared" si="6"/>
        <v>2022</v>
      </c>
      <c r="F137" s="28" t="str">
        <f t="shared" si="7"/>
        <v>Feb</v>
      </c>
      <c r="G137" s="17" t="s">
        <v>22</v>
      </c>
      <c r="H137" s="17" t="s">
        <v>23</v>
      </c>
      <c r="I137" s="24">
        <v>170253.06479999996</v>
      </c>
      <c r="J137" s="32">
        <v>39</v>
      </c>
      <c r="K137" s="17" t="s">
        <v>16</v>
      </c>
      <c r="L137" s="24">
        <v>1905.55</v>
      </c>
      <c r="M137" s="24">
        <v>5196.9799999999996</v>
      </c>
      <c r="N137" s="34">
        <f>((sales_data_1[[#This Row],[Unit_Price]]*(1-sales_data_1[[#This Row],[Discount]]))-sales_data_1[[#This Row],[Unit_Cost]])*sales_data_1[[#This Row],[Quantity_Sold]]</f>
        <v>95936.614799999967</v>
      </c>
      <c r="O137" s="17" t="s">
        <v>17</v>
      </c>
      <c r="P137" s="26">
        <v>0.16</v>
      </c>
      <c r="Q137" s="17" t="s">
        <v>25</v>
      </c>
      <c r="R137" s="17" t="s">
        <v>19</v>
      </c>
      <c r="S137" s="49" t="str">
        <f t="shared" si="8"/>
        <v>David-South</v>
      </c>
      <c r="T137" s="59" t="str">
        <f>IF(ROUND(sales_data_1[[#This Row],[Profit_Margin]],2)=ROUND((sales_data_1[[#This Row],[Unit_Price]]*(1-sales_data_1[[#This Row],[Discount]]) - sales_data_1[[#This Row],[Unit_Cost]])*sales_data_1[[#This Row],[Quantity_Sold]],2), "PASS", "CHECK")</f>
        <v>PASS</v>
      </c>
    </row>
    <row r="138" spans="1:20" x14ac:dyDescent="0.35">
      <c r="A138" s="7">
        <v>137</v>
      </c>
      <c r="B138" s="9">
        <v>1082</v>
      </c>
      <c r="C138" s="7" t="str">
        <f>IFERROR(_xlfn.TEXTJOIN("-", TRUE, _xlfn.XLOOKUP(K138, product_category_id_lookup!$A$2:$A$5, product_category_id_lookup!$B$2:$B$5), B138), "Unknown Category")</f>
        <v>etc-1082</v>
      </c>
      <c r="D138" s="8">
        <v>44606</v>
      </c>
      <c r="E138" s="7">
        <f t="shared" si="6"/>
        <v>2022</v>
      </c>
      <c r="F138" s="28" t="str">
        <f t="shared" si="7"/>
        <v>Feb</v>
      </c>
      <c r="G138" s="17" t="s">
        <v>29</v>
      </c>
      <c r="H138" s="17" t="s">
        <v>23</v>
      </c>
      <c r="I138" s="24">
        <v>21542.07</v>
      </c>
      <c r="J138" s="32">
        <v>5</v>
      </c>
      <c r="K138" s="17" t="s">
        <v>31</v>
      </c>
      <c r="L138" s="24">
        <v>3583.44</v>
      </c>
      <c r="M138" s="24">
        <v>4952.2</v>
      </c>
      <c r="N138" s="34">
        <f>((sales_data_1[[#This Row],[Unit_Price]]*(1-sales_data_1[[#This Row],[Discount]]))-sales_data_1[[#This Row],[Unit_Cost]])*sales_data_1[[#This Row],[Quantity_Sold]]</f>
        <v>3624.8699999999985</v>
      </c>
      <c r="O138" s="17" t="s">
        <v>17</v>
      </c>
      <c r="P138" s="26">
        <v>0.13</v>
      </c>
      <c r="Q138" s="17" t="s">
        <v>28</v>
      </c>
      <c r="R138" s="17" t="s">
        <v>21</v>
      </c>
      <c r="S138" s="49" t="str">
        <f t="shared" si="8"/>
        <v>Charlie-South</v>
      </c>
      <c r="T138" s="59" t="str">
        <f>IF(ROUND(sales_data_1[[#This Row],[Profit_Margin]],2)=ROUND((sales_data_1[[#This Row],[Unit_Price]]*(1-sales_data_1[[#This Row],[Discount]]) - sales_data_1[[#This Row],[Unit_Cost]])*sales_data_1[[#This Row],[Quantity_Sold]],2), "PASS", "CHECK")</f>
        <v>PASS</v>
      </c>
    </row>
    <row r="139" spans="1:20" x14ac:dyDescent="0.35">
      <c r="A139" s="7">
        <v>138</v>
      </c>
      <c r="B139" s="9">
        <v>1039</v>
      </c>
      <c r="C139" s="7" t="str">
        <f>IFERROR(_xlfn.TEXTJOIN("-", TRUE, _xlfn.XLOOKUP(K139, product_category_id_lookup!$A$2:$A$5, product_category_id_lookup!$B$2:$B$5), B139), "Unknown Category")</f>
        <v>etc-1039</v>
      </c>
      <c r="D139" s="8">
        <v>44606</v>
      </c>
      <c r="E139" s="7">
        <f t="shared" si="6"/>
        <v>2022</v>
      </c>
      <c r="F139" s="28" t="str">
        <f t="shared" si="7"/>
        <v>Feb</v>
      </c>
      <c r="G139" s="17" t="s">
        <v>32</v>
      </c>
      <c r="H139" s="17" t="s">
        <v>23</v>
      </c>
      <c r="I139" s="24">
        <v>30420.329999999994</v>
      </c>
      <c r="J139" s="32">
        <v>25</v>
      </c>
      <c r="K139" s="17" t="s">
        <v>31</v>
      </c>
      <c r="L139" s="24">
        <v>430.76</v>
      </c>
      <c r="M139" s="24">
        <v>1466.04</v>
      </c>
      <c r="N139" s="34">
        <f>((sales_data_1[[#This Row],[Unit_Price]]*(1-sales_data_1[[#This Row],[Discount]]))-sales_data_1[[#This Row],[Unit_Cost]])*sales_data_1[[#This Row],[Quantity_Sold]]</f>
        <v>19651.329999999994</v>
      </c>
      <c r="O139" s="17" t="s">
        <v>17</v>
      </c>
      <c r="P139" s="26">
        <v>0.17</v>
      </c>
      <c r="Q139" s="17" t="s">
        <v>25</v>
      </c>
      <c r="R139" s="17" t="s">
        <v>21</v>
      </c>
      <c r="S139" s="49" t="str">
        <f t="shared" si="8"/>
        <v>Eve-South</v>
      </c>
      <c r="T139" s="59" t="str">
        <f>IF(ROUND(sales_data_1[[#This Row],[Profit_Margin]],2)=ROUND((sales_data_1[[#This Row],[Unit_Price]]*(1-sales_data_1[[#This Row],[Discount]]) - sales_data_1[[#This Row],[Unit_Cost]])*sales_data_1[[#This Row],[Quantity_Sold]],2), "PASS", "CHECK")</f>
        <v>PASS</v>
      </c>
    </row>
    <row r="140" spans="1:20" x14ac:dyDescent="0.35">
      <c r="A140" s="7">
        <v>139</v>
      </c>
      <c r="B140" s="9">
        <v>1049</v>
      </c>
      <c r="C140" s="7" t="str">
        <f>IFERROR(_xlfn.TEXTJOIN("-", TRUE, _xlfn.XLOOKUP(K140, product_category_id_lookup!$A$2:$A$5, product_category_id_lookup!$B$2:$B$5), B140), "Unknown Category")</f>
        <v>etc-1049</v>
      </c>
      <c r="D140" s="8">
        <v>44606</v>
      </c>
      <c r="E140" s="7">
        <f t="shared" si="6"/>
        <v>2022</v>
      </c>
      <c r="F140" s="28" t="str">
        <f t="shared" si="7"/>
        <v>Feb</v>
      </c>
      <c r="G140" s="17" t="s">
        <v>22</v>
      </c>
      <c r="H140" s="17" t="s">
        <v>30</v>
      </c>
      <c r="I140" s="24">
        <v>23056.079400000002</v>
      </c>
      <c r="J140" s="32">
        <v>9</v>
      </c>
      <c r="K140" s="17" t="s">
        <v>31</v>
      </c>
      <c r="L140" s="24">
        <v>124.96</v>
      </c>
      <c r="M140" s="24">
        <v>3124.13</v>
      </c>
      <c r="N140" s="34">
        <f>((sales_data_1[[#This Row],[Unit_Price]]*(1-sales_data_1[[#This Row],[Discount]]))-sales_data_1[[#This Row],[Unit_Cost]])*sales_data_1[[#This Row],[Quantity_Sold]]</f>
        <v>21931.439400000003</v>
      </c>
      <c r="O140" s="17" t="s">
        <v>17</v>
      </c>
      <c r="P140" s="26">
        <v>0.18</v>
      </c>
      <c r="Q140" s="17" t="s">
        <v>25</v>
      </c>
      <c r="R140" s="17" t="s">
        <v>21</v>
      </c>
      <c r="S140" s="49" t="str">
        <f t="shared" si="8"/>
        <v>David-East</v>
      </c>
      <c r="T140" s="59" t="str">
        <f>IF(ROUND(sales_data_1[[#This Row],[Profit_Margin]],2)=ROUND((sales_data_1[[#This Row],[Unit_Price]]*(1-sales_data_1[[#This Row],[Discount]]) - sales_data_1[[#This Row],[Unit_Cost]])*sales_data_1[[#This Row],[Quantity_Sold]],2), "PASS", "CHECK")</f>
        <v>PASS</v>
      </c>
    </row>
    <row r="141" spans="1:20" x14ac:dyDescent="0.35">
      <c r="A141" s="7">
        <v>140</v>
      </c>
      <c r="B141" s="9">
        <v>1036</v>
      </c>
      <c r="C141" s="7" t="str">
        <f>IFERROR(_xlfn.TEXTJOIN("-", TRUE, _xlfn.XLOOKUP(K141, product_category_id_lookup!$A$2:$A$5, product_category_id_lookup!$B$2:$B$5), B141), "Unknown Category")</f>
        <v>etc-1036</v>
      </c>
      <c r="D141" s="8">
        <v>44607</v>
      </c>
      <c r="E141" s="7">
        <f t="shared" si="6"/>
        <v>2022</v>
      </c>
      <c r="F141" s="28" t="str">
        <f t="shared" si="7"/>
        <v>Feb</v>
      </c>
      <c r="G141" s="17" t="s">
        <v>33</v>
      </c>
      <c r="H141" s="17" t="s">
        <v>15</v>
      </c>
      <c r="I141" s="24">
        <v>46227.937499999993</v>
      </c>
      <c r="J141" s="32">
        <v>15</v>
      </c>
      <c r="K141" s="17" t="s">
        <v>31</v>
      </c>
      <c r="L141" s="24">
        <v>2490.6</v>
      </c>
      <c r="M141" s="24">
        <v>4109.1499999999996</v>
      </c>
      <c r="N141" s="34">
        <f>((sales_data_1[[#This Row],[Unit_Price]]*(1-sales_data_1[[#This Row],[Discount]]))-sales_data_1[[#This Row],[Unit_Cost]])*sales_data_1[[#This Row],[Quantity_Sold]]</f>
        <v>8868.9374999999964</v>
      </c>
      <c r="O141" s="17" t="s">
        <v>17</v>
      </c>
      <c r="P141" s="26">
        <v>0.25</v>
      </c>
      <c r="Q141" s="17" t="s">
        <v>28</v>
      </c>
      <c r="R141" s="17" t="s">
        <v>19</v>
      </c>
      <c r="S141" s="49" t="str">
        <f t="shared" si="8"/>
        <v>Alice-North</v>
      </c>
      <c r="T141" s="59" t="str">
        <f>IF(ROUND(sales_data_1[[#This Row],[Profit_Margin]],2)=ROUND((sales_data_1[[#This Row],[Unit_Price]]*(1-sales_data_1[[#This Row],[Discount]]) - sales_data_1[[#This Row],[Unit_Cost]])*sales_data_1[[#This Row],[Quantity_Sold]],2), "PASS", "CHECK")</f>
        <v>PASS</v>
      </c>
    </row>
    <row r="142" spans="1:20" x14ac:dyDescent="0.35">
      <c r="A142" s="7">
        <v>141</v>
      </c>
      <c r="B142" s="9">
        <v>1013</v>
      </c>
      <c r="C142" s="7" t="str">
        <f>IFERROR(_xlfn.TEXTJOIN("-", TRUE, _xlfn.XLOOKUP(K142, product_category_id_lookup!$A$2:$A$5, product_category_id_lookup!$B$2:$B$5), B142), "Unknown Category")</f>
        <v>ctg-1013</v>
      </c>
      <c r="D142" s="8">
        <v>44607</v>
      </c>
      <c r="E142" s="7">
        <f t="shared" si="6"/>
        <v>2022</v>
      </c>
      <c r="F142" s="28" t="str">
        <f t="shared" si="7"/>
        <v>Feb</v>
      </c>
      <c r="G142" s="17" t="s">
        <v>29</v>
      </c>
      <c r="H142" s="17" t="s">
        <v>20</v>
      </c>
      <c r="I142" s="24">
        <v>190730.34208127286</v>
      </c>
      <c r="J142" s="32">
        <v>48</v>
      </c>
      <c r="K142" s="17" t="s">
        <v>26</v>
      </c>
      <c r="L142" s="24">
        <v>3352.59</v>
      </c>
      <c r="M142" s="24">
        <v>4044.61</v>
      </c>
      <c r="N142" s="34">
        <f>((sales_data_1[[#This Row],[Unit_Price]]*(1-sales_data_1[[#This Row],[Discount]]))-sales_data_1[[#This Row],[Unit_Cost]])*sales_data_1[[#This Row],[Quantity_Sold]]</f>
        <v>29334.134399999988</v>
      </c>
      <c r="O142" s="17" t="s">
        <v>17</v>
      </c>
      <c r="P142" s="26">
        <v>0.02</v>
      </c>
      <c r="Q142" s="17" t="s">
        <v>25</v>
      </c>
      <c r="R142" s="17" t="s">
        <v>21</v>
      </c>
      <c r="S142" s="49" t="str">
        <f t="shared" si="8"/>
        <v>Charlie-West</v>
      </c>
      <c r="T142" s="59" t="str">
        <f>IF(ROUND(sales_data_1[[#This Row],[Profit_Margin]],2)=ROUND((sales_data_1[[#This Row],[Unit_Price]]*(1-sales_data_1[[#This Row],[Discount]]) - sales_data_1[[#This Row],[Unit_Cost]])*sales_data_1[[#This Row],[Quantity_Sold]],2), "PASS", "CHECK")</f>
        <v>PASS</v>
      </c>
    </row>
    <row r="143" spans="1:20" x14ac:dyDescent="0.35">
      <c r="A143" s="7">
        <v>142</v>
      </c>
      <c r="B143" s="9">
        <v>1024</v>
      </c>
      <c r="C143" s="7" t="str">
        <f>IFERROR(_xlfn.TEXTJOIN("-", TRUE, _xlfn.XLOOKUP(K143, product_category_id_lookup!$A$2:$A$5, product_category_id_lookup!$B$2:$B$5), B143), "Unknown Category")</f>
        <v>ctg-1024</v>
      </c>
      <c r="D143" s="8">
        <v>44607</v>
      </c>
      <c r="E143" s="7">
        <f t="shared" si="6"/>
        <v>2022</v>
      </c>
      <c r="F143" s="28" t="str">
        <f t="shared" si="7"/>
        <v>Feb</v>
      </c>
      <c r="G143" s="17" t="s">
        <v>22</v>
      </c>
      <c r="H143" s="17" t="s">
        <v>23</v>
      </c>
      <c r="I143" s="24">
        <v>117100.26240000001</v>
      </c>
      <c r="J143" s="32">
        <v>44</v>
      </c>
      <c r="K143" s="17" t="s">
        <v>26</v>
      </c>
      <c r="L143" s="24">
        <v>832.54</v>
      </c>
      <c r="M143" s="24">
        <v>2772.26</v>
      </c>
      <c r="N143" s="34">
        <f>((sales_data_1[[#This Row],[Unit_Price]]*(1-sales_data_1[[#This Row],[Discount]]))-sales_data_1[[#This Row],[Unit_Cost]])*sales_data_1[[#This Row],[Quantity_Sold]]</f>
        <v>80468.502399999998</v>
      </c>
      <c r="O143" s="17" t="s">
        <v>17</v>
      </c>
      <c r="P143" s="26">
        <v>0.04</v>
      </c>
      <c r="Q143" s="17" t="s">
        <v>18</v>
      </c>
      <c r="R143" s="17" t="s">
        <v>21</v>
      </c>
      <c r="S143" s="49" t="str">
        <f t="shared" si="8"/>
        <v>David-South</v>
      </c>
      <c r="T143" s="59" t="str">
        <f>IF(ROUND(sales_data_1[[#This Row],[Profit_Margin]],2)=ROUND((sales_data_1[[#This Row],[Unit_Price]]*(1-sales_data_1[[#This Row],[Discount]]) - sales_data_1[[#This Row],[Unit_Cost]])*sales_data_1[[#This Row],[Quantity_Sold]],2), "PASS", "CHECK")</f>
        <v>PASS</v>
      </c>
    </row>
    <row r="144" spans="1:20" x14ac:dyDescent="0.35">
      <c r="A144" s="7">
        <v>143</v>
      </c>
      <c r="B144" s="9">
        <v>1062</v>
      </c>
      <c r="C144" s="7" t="str">
        <f>IFERROR(_xlfn.TEXTJOIN("-", TRUE, _xlfn.XLOOKUP(K144, product_category_id_lookup!$A$2:$A$5, product_category_id_lookup!$B$2:$B$5), B144), "Unknown Category")</f>
        <v>etc-1062</v>
      </c>
      <c r="D144" s="8">
        <v>44608</v>
      </c>
      <c r="E144" s="7">
        <f t="shared" si="6"/>
        <v>2022</v>
      </c>
      <c r="F144" s="28" t="str">
        <f t="shared" si="7"/>
        <v>Feb</v>
      </c>
      <c r="G144" s="17" t="s">
        <v>33</v>
      </c>
      <c r="H144" s="17" t="s">
        <v>20</v>
      </c>
      <c r="I144" s="24">
        <v>8696.1252000000004</v>
      </c>
      <c r="J144" s="32">
        <v>19</v>
      </c>
      <c r="K144" s="17" t="s">
        <v>31</v>
      </c>
      <c r="L144" s="24">
        <v>140.46</v>
      </c>
      <c r="M144" s="24">
        <v>497.49</v>
      </c>
      <c r="N144" s="34">
        <f>((sales_data_1[[#This Row],[Unit_Price]]*(1-sales_data_1[[#This Row],[Discount]]))-sales_data_1[[#This Row],[Unit_Cost]])*sales_data_1[[#This Row],[Quantity_Sold]]</f>
        <v>6027.3852000000006</v>
      </c>
      <c r="O144" s="17" t="s">
        <v>17</v>
      </c>
      <c r="P144" s="26">
        <v>0.08</v>
      </c>
      <c r="Q144" s="17" t="s">
        <v>18</v>
      </c>
      <c r="R144" s="17" t="s">
        <v>19</v>
      </c>
      <c r="S144" s="49" t="str">
        <f t="shared" si="8"/>
        <v>Alice-West</v>
      </c>
      <c r="T144" s="59" t="str">
        <f>IF(ROUND(sales_data_1[[#This Row],[Profit_Margin]],2)=ROUND((sales_data_1[[#This Row],[Unit_Price]]*(1-sales_data_1[[#This Row],[Discount]]) - sales_data_1[[#This Row],[Unit_Cost]])*sales_data_1[[#This Row],[Quantity_Sold]],2), "PASS", "CHECK")</f>
        <v>PASS</v>
      </c>
    </row>
    <row r="145" spans="1:20" x14ac:dyDescent="0.35">
      <c r="A145" s="7">
        <v>144</v>
      </c>
      <c r="B145" s="9">
        <v>1064</v>
      </c>
      <c r="C145" s="7" t="str">
        <f>IFERROR(_xlfn.TEXTJOIN("-", TRUE, _xlfn.XLOOKUP(K145, product_category_id_lookup!$A$2:$A$5, product_category_id_lookup!$B$2:$B$5), B145), "Unknown Category")</f>
        <v>fd-1064</v>
      </c>
      <c r="D145" s="8">
        <v>44609</v>
      </c>
      <c r="E145" s="7">
        <f t="shared" si="6"/>
        <v>2022</v>
      </c>
      <c r="F145" s="28" t="str">
        <f t="shared" si="7"/>
        <v>Feb</v>
      </c>
      <c r="G145" s="17" t="s">
        <v>29</v>
      </c>
      <c r="H145" s="17" t="s">
        <v>30</v>
      </c>
      <c r="I145" s="24">
        <v>45103.304999999993</v>
      </c>
      <c r="J145" s="32">
        <v>26</v>
      </c>
      <c r="K145" s="17" t="s">
        <v>24</v>
      </c>
      <c r="L145" s="24">
        <v>1683.77</v>
      </c>
      <c r="M145" s="24">
        <v>2312.9899999999998</v>
      </c>
      <c r="N145" s="34">
        <f>((sales_data_1[[#This Row],[Unit_Price]]*(1-sales_data_1[[#This Row],[Discount]]))-sales_data_1[[#This Row],[Unit_Cost]])*sales_data_1[[#This Row],[Quantity_Sold]]</f>
        <v>1325.2849999999962</v>
      </c>
      <c r="O145" s="17" t="s">
        <v>27</v>
      </c>
      <c r="P145" s="26">
        <v>0.25</v>
      </c>
      <c r="Q145" s="17" t="s">
        <v>18</v>
      </c>
      <c r="R145" s="17" t="s">
        <v>19</v>
      </c>
      <c r="S145" s="49" t="str">
        <f t="shared" si="8"/>
        <v>Charlie-East</v>
      </c>
      <c r="T145" s="59" t="str">
        <f>IF(ROUND(sales_data_1[[#This Row],[Profit_Margin]],2)=ROUND((sales_data_1[[#This Row],[Unit_Price]]*(1-sales_data_1[[#This Row],[Discount]]) - sales_data_1[[#This Row],[Unit_Cost]])*sales_data_1[[#This Row],[Quantity_Sold]],2), "PASS", "CHECK")</f>
        <v>PASS</v>
      </c>
    </row>
    <row r="146" spans="1:20" x14ac:dyDescent="0.35">
      <c r="A146" s="7">
        <v>145</v>
      </c>
      <c r="B146" s="9">
        <v>1042</v>
      </c>
      <c r="C146" s="7" t="str">
        <f>IFERROR(_xlfn.TEXTJOIN("-", TRUE, _xlfn.XLOOKUP(K146, product_category_id_lookup!$A$2:$A$5, product_category_id_lookup!$B$2:$B$5), B146), "Unknown Category")</f>
        <v>fd-1042</v>
      </c>
      <c r="D146" s="8">
        <v>44609</v>
      </c>
      <c r="E146" s="7">
        <f t="shared" si="6"/>
        <v>2022</v>
      </c>
      <c r="F146" s="28" t="str">
        <f t="shared" si="7"/>
        <v>Feb</v>
      </c>
      <c r="G146" s="17" t="s">
        <v>22</v>
      </c>
      <c r="H146" s="17" t="s">
        <v>20</v>
      </c>
      <c r="I146" s="24">
        <v>132226.80239999999</v>
      </c>
      <c r="J146" s="32">
        <v>34</v>
      </c>
      <c r="K146" s="17" t="s">
        <v>24</v>
      </c>
      <c r="L146" s="24">
        <v>2124.9499999999998</v>
      </c>
      <c r="M146" s="24">
        <v>4629.79</v>
      </c>
      <c r="N146" s="34">
        <f>((sales_data_1[[#This Row],[Unit_Price]]*(1-sales_data_1[[#This Row],[Discount]]))-sales_data_1[[#This Row],[Unit_Cost]])*sales_data_1[[#This Row],[Quantity_Sold]]</f>
        <v>59978.502400000005</v>
      </c>
      <c r="O146" s="17" t="s">
        <v>27</v>
      </c>
      <c r="P146" s="26">
        <v>0.16</v>
      </c>
      <c r="Q146" s="17" t="s">
        <v>25</v>
      </c>
      <c r="R146" s="17" t="s">
        <v>21</v>
      </c>
      <c r="S146" s="49" t="str">
        <f t="shared" si="8"/>
        <v>David-West</v>
      </c>
      <c r="T146" s="59" t="str">
        <f>IF(ROUND(sales_data_1[[#This Row],[Profit_Margin]],2)=ROUND((sales_data_1[[#This Row],[Unit_Price]]*(1-sales_data_1[[#This Row],[Discount]]) - sales_data_1[[#This Row],[Unit_Cost]])*sales_data_1[[#This Row],[Quantity_Sold]],2), "PASS", "CHECK")</f>
        <v>PASS</v>
      </c>
    </row>
    <row r="147" spans="1:20" x14ac:dyDescent="0.35">
      <c r="A147" s="7">
        <v>146</v>
      </c>
      <c r="B147" s="9">
        <v>1022</v>
      </c>
      <c r="C147" s="7" t="str">
        <f>IFERROR(_xlfn.TEXTJOIN("-", TRUE, _xlfn.XLOOKUP(K147, product_category_id_lookup!$A$2:$A$5, product_category_id_lookup!$B$2:$B$5), B147), "Unknown Category")</f>
        <v>fd-1022</v>
      </c>
      <c r="D147" s="8">
        <v>44610</v>
      </c>
      <c r="E147" s="7">
        <f t="shared" si="6"/>
        <v>2022</v>
      </c>
      <c r="F147" s="28" t="str">
        <f t="shared" si="7"/>
        <v>Feb</v>
      </c>
      <c r="G147" s="17" t="s">
        <v>22</v>
      </c>
      <c r="H147" s="17" t="s">
        <v>15</v>
      </c>
      <c r="I147" s="24">
        <v>57352.839599999992</v>
      </c>
      <c r="J147" s="32">
        <v>14</v>
      </c>
      <c r="K147" s="17" t="s">
        <v>24</v>
      </c>
      <c r="L147" s="24">
        <v>3885.87</v>
      </c>
      <c r="M147" s="24">
        <v>4404.9799999999996</v>
      </c>
      <c r="N147" s="34">
        <f>((sales_data_1[[#This Row],[Unit_Price]]*(1-sales_data_1[[#This Row],[Discount]]))-sales_data_1[[#This Row],[Unit_Cost]])*sales_data_1[[#This Row],[Quantity_Sold]]</f>
        <v>2950.6595999999918</v>
      </c>
      <c r="O147" s="17" t="s">
        <v>27</v>
      </c>
      <c r="P147" s="26">
        <v>7.0000000000000007E-2</v>
      </c>
      <c r="Q147" s="17" t="s">
        <v>28</v>
      </c>
      <c r="R147" s="17" t="s">
        <v>19</v>
      </c>
      <c r="S147" s="49" t="str">
        <f t="shared" si="8"/>
        <v>David-North</v>
      </c>
      <c r="T147" s="59" t="str">
        <f>IF(ROUND(sales_data_1[[#This Row],[Profit_Margin]],2)=ROUND((sales_data_1[[#This Row],[Unit_Price]]*(1-sales_data_1[[#This Row],[Discount]]) - sales_data_1[[#This Row],[Unit_Cost]])*sales_data_1[[#This Row],[Quantity_Sold]],2), "PASS", "CHECK")</f>
        <v>PASS</v>
      </c>
    </row>
    <row r="148" spans="1:20" x14ac:dyDescent="0.35">
      <c r="A148" s="7">
        <v>147</v>
      </c>
      <c r="B148" s="9">
        <v>1022</v>
      </c>
      <c r="C148" s="7" t="str">
        <f>IFERROR(_xlfn.TEXTJOIN("-", TRUE, _xlfn.XLOOKUP(K148, product_category_id_lookup!$A$2:$A$5, product_category_id_lookup!$B$2:$B$5), B148), "Unknown Category")</f>
        <v>fnt-1022</v>
      </c>
      <c r="D148" s="8">
        <v>44610</v>
      </c>
      <c r="E148" s="7">
        <f t="shared" si="6"/>
        <v>2022</v>
      </c>
      <c r="F148" s="28" t="str">
        <f t="shared" si="7"/>
        <v>Feb</v>
      </c>
      <c r="G148" s="17" t="s">
        <v>22</v>
      </c>
      <c r="H148" s="17" t="s">
        <v>15</v>
      </c>
      <c r="I148" s="24">
        <v>63692.200471878488</v>
      </c>
      <c r="J148" s="32">
        <v>30</v>
      </c>
      <c r="K148" s="17" t="s">
        <v>16</v>
      </c>
      <c r="L148" s="24">
        <v>1835.94</v>
      </c>
      <c r="M148" s="24">
        <v>2131.1</v>
      </c>
      <c r="N148" s="34">
        <f>((sales_data_1[[#This Row],[Unit_Price]]*(1-sales_data_1[[#This Row],[Discount]]))-sales_data_1[[#This Row],[Unit_Cost]])*sales_data_1[[#This Row],[Quantity_Sold]]</f>
        <v>8854.7999999999956</v>
      </c>
      <c r="O148" s="17" t="s">
        <v>17</v>
      </c>
      <c r="P148" s="26">
        <v>0</v>
      </c>
      <c r="Q148" s="17" t="s">
        <v>25</v>
      </c>
      <c r="R148" s="17" t="s">
        <v>21</v>
      </c>
      <c r="S148" s="49" t="str">
        <f t="shared" si="8"/>
        <v>David-North</v>
      </c>
      <c r="T148" s="59" t="str">
        <f>IF(ROUND(sales_data_1[[#This Row],[Profit_Margin]],2)=ROUND((sales_data_1[[#This Row],[Unit_Price]]*(1-sales_data_1[[#This Row],[Discount]]) - sales_data_1[[#This Row],[Unit_Cost]])*sales_data_1[[#This Row],[Quantity_Sold]],2), "PASS", "CHECK")</f>
        <v>PASS</v>
      </c>
    </row>
    <row r="149" spans="1:20" x14ac:dyDescent="0.35">
      <c r="A149" s="7">
        <v>148</v>
      </c>
      <c r="B149" s="9">
        <v>1039</v>
      </c>
      <c r="C149" s="7" t="str">
        <f>IFERROR(_xlfn.TEXTJOIN("-", TRUE, _xlfn.XLOOKUP(K149, product_category_id_lookup!$A$2:$A$5, product_category_id_lookup!$B$2:$B$5), B149), "Unknown Category")</f>
        <v>fd-1039</v>
      </c>
      <c r="D149" s="8">
        <v>44610</v>
      </c>
      <c r="E149" s="7">
        <f t="shared" si="6"/>
        <v>2022</v>
      </c>
      <c r="F149" s="28" t="str">
        <f t="shared" si="7"/>
        <v>Feb</v>
      </c>
      <c r="G149" s="17" t="s">
        <v>22</v>
      </c>
      <c r="H149" s="17" t="s">
        <v>15</v>
      </c>
      <c r="I149" s="24">
        <v>88663.58</v>
      </c>
      <c r="J149" s="32">
        <v>25</v>
      </c>
      <c r="K149" s="17" t="s">
        <v>24</v>
      </c>
      <c r="L149" s="24">
        <v>2774.66</v>
      </c>
      <c r="M149" s="24">
        <v>3984.88</v>
      </c>
      <c r="N149" s="34">
        <f>((sales_data_1[[#This Row],[Unit_Price]]*(1-sales_data_1[[#This Row],[Discount]]))-sales_data_1[[#This Row],[Unit_Cost]])*sales_data_1[[#This Row],[Quantity_Sold]]</f>
        <v>19297.080000000005</v>
      </c>
      <c r="O149" s="17" t="s">
        <v>27</v>
      </c>
      <c r="P149" s="26">
        <v>0.11</v>
      </c>
      <c r="Q149" s="17" t="s">
        <v>25</v>
      </c>
      <c r="R149" s="17" t="s">
        <v>21</v>
      </c>
      <c r="S149" s="49" t="str">
        <f t="shared" si="8"/>
        <v>David-North</v>
      </c>
      <c r="T149" s="59" t="str">
        <f>IF(ROUND(sales_data_1[[#This Row],[Profit_Margin]],2)=ROUND((sales_data_1[[#This Row],[Unit_Price]]*(1-sales_data_1[[#This Row],[Discount]]) - sales_data_1[[#This Row],[Unit_Cost]])*sales_data_1[[#This Row],[Quantity_Sold]],2), "PASS", "CHECK")</f>
        <v>PASS</v>
      </c>
    </row>
    <row r="150" spans="1:20" x14ac:dyDescent="0.35">
      <c r="A150" s="7">
        <v>149</v>
      </c>
      <c r="B150" s="9">
        <v>1051</v>
      </c>
      <c r="C150" s="7" t="str">
        <f>IFERROR(_xlfn.TEXTJOIN("-", TRUE, _xlfn.XLOOKUP(K150, product_category_id_lookup!$A$2:$A$5, product_category_id_lookup!$B$2:$B$5), B150), "Unknown Category")</f>
        <v>fd-1051</v>
      </c>
      <c r="D150" s="8">
        <v>44610</v>
      </c>
      <c r="E150" s="7">
        <f t="shared" si="6"/>
        <v>2022</v>
      </c>
      <c r="F150" s="28" t="str">
        <f t="shared" si="7"/>
        <v>Feb</v>
      </c>
      <c r="G150" s="17" t="s">
        <v>32</v>
      </c>
      <c r="H150" s="17" t="s">
        <v>20</v>
      </c>
      <c r="I150" s="24">
        <v>91796.824999999997</v>
      </c>
      <c r="J150" s="32">
        <v>25</v>
      </c>
      <c r="K150" s="17" t="s">
        <v>24</v>
      </c>
      <c r="L150" s="24">
        <v>2653.66</v>
      </c>
      <c r="M150" s="24">
        <v>4125.7</v>
      </c>
      <c r="N150" s="34">
        <f>((sales_data_1[[#This Row],[Unit_Price]]*(1-sales_data_1[[#This Row],[Discount]]))-sales_data_1[[#This Row],[Unit_Cost]])*sales_data_1[[#This Row],[Quantity_Sold]]</f>
        <v>25455.325000000004</v>
      </c>
      <c r="O150" s="17" t="s">
        <v>17</v>
      </c>
      <c r="P150" s="26">
        <v>0.11</v>
      </c>
      <c r="Q150" s="17" t="s">
        <v>18</v>
      </c>
      <c r="R150" s="17" t="s">
        <v>21</v>
      </c>
      <c r="S150" s="49" t="str">
        <f t="shared" si="8"/>
        <v>Eve-West</v>
      </c>
      <c r="T150" s="59" t="str">
        <f>IF(ROUND(sales_data_1[[#This Row],[Profit_Margin]],2)=ROUND((sales_data_1[[#This Row],[Unit_Price]]*(1-sales_data_1[[#This Row],[Discount]]) - sales_data_1[[#This Row],[Unit_Cost]])*sales_data_1[[#This Row],[Quantity_Sold]],2), "PASS", "CHECK")</f>
        <v>PASS</v>
      </c>
    </row>
    <row r="151" spans="1:20" x14ac:dyDescent="0.35">
      <c r="A151" s="7">
        <v>150</v>
      </c>
      <c r="B151" s="9">
        <v>1088</v>
      </c>
      <c r="C151" s="7" t="str">
        <f>IFERROR(_xlfn.TEXTJOIN("-", TRUE, _xlfn.XLOOKUP(K151, product_category_id_lookup!$A$2:$A$5, product_category_id_lookup!$B$2:$B$5), B151), "Unknown Category")</f>
        <v>etc-1088</v>
      </c>
      <c r="D151" s="8">
        <v>44610</v>
      </c>
      <c r="E151" s="7">
        <f t="shared" si="6"/>
        <v>2022</v>
      </c>
      <c r="F151" s="28" t="str">
        <f t="shared" si="7"/>
        <v>Feb</v>
      </c>
      <c r="G151" s="17" t="s">
        <v>29</v>
      </c>
      <c r="H151" s="17" t="s">
        <v>15</v>
      </c>
      <c r="I151" s="24">
        <v>51792.787199999999</v>
      </c>
      <c r="J151" s="32">
        <v>12</v>
      </c>
      <c r="K151" s="17" t="s">
        <v>31</v>
      </c>
      <c r="L151" s="24">
        <v>1925.94</v>
      </c>
      <c r="M151" s="24">
        <v>4904.62</v>
      </c>
      <c r="N151" s="34">
        <f>((sales_data_1[[#This Row],[Unit_Price]]*(1-sales_data_1[[#This Row],[Discount]]))-sales_data_1[[#This Row],[Unit_Cost]])*sales_data_1[[#This Row],[Quantity_Sold]]</f>
        <v>28681.5072</v>
      </c>
      <c r="O151" s="17" t="s">
        <v>17</v>
      </c>
      <c r="P151" s="26">
        <v>0.12</v>
      </c>
      <c r="Q151" s="17" t="s">
        <v>28</v>
      </c>
      <c r="R151" s="17" t="s">
        <v>21</v>
      </c>
      <c r="S151" s="49" t="str">
        <f t="shared" si="8"/>
        <v>Charlie-North</v>
      </c>
      <c r="T151" s="59" t="str">
        <f>IF(ROUND(sales_data_1[[#This Row],[Profit_Margin]],2)=ROUND((sales_data_1[[#This Row],[Unit_Price]]*(1-sales_data_1[[#This Row],[Discount]]) - sales_data_1[[#This Row],[Unit_Cost]])*sales_data_1[[#This Row],[Quantity_Sold]],2), "PASS", "CHECK")</f>
        <v>PASS</v>
      </c>
    </row>
    <row r="152" spans="1:20" x14ac:dyDescent="0.35">
      <c r="A152" s="7">
        <v>151</v>
      </c>
      <c r="B152" s="9">
        <v>1067</v>
      </c>
      <c r="C152" s="7" t="str">
        <f>IFERROR(_xlfn.TEXTJOIN("-", TRUE, _xlfn.XLOOKUP(K152, product_category_id_lookup!$A$2:$A$5, product_category_id_lookup!$B$2:$B$5), B152), "Unknown Category")</f>
        <v>etc-1067</v>
      </c>
      <c r="D152" s="8">
        <v>44611</v>
      </c>
      <c r="E152" s="7">
        <f t="shared" si="6"/>
        <v>2022</v>
      </c>
      <c r="F152" s="28" t="str">
        <f t="shared" si="7"/>
        <v>Feb</v>
      </c>
      <c r="G152" s="17" t="s">
        <v>29</v>
      </c>
      <c r="H152" s="17" t="s">
        <v>30</v>
      </c>
      <c r="I152" s="24">
        <v>244476.57652180991</v>
      </c>
      <c r="J152" s="32">
        <v>47</v>
      </c>
      <c r="K152" s="17" t="s">
        <v>31</v>
      </c>
      <c r="L152" s="24">
        <v>4827.3500000000004</v>
      </c>
      <c r="M152" s="24">
        <v>5431.53</v>
      </c>
      <c r="N152" s="34">
        <f>((sales_data_1[[#This Row],[Unit_Price]]*(1-sales_data_1[[#This Row],[Discount]]))-sales_data_1[[#This Row],[Unit_Cost]])*sales_data_1[[#This Row],[Quantity_Sold]]</f>
        <v>18185.183599999975</v>
      </c>
      <c r="O152" s="17" t="s">
        <v>17</v>
      </c>
      <c r="P152" s="26">
        <v>0.04</v>
      </c>
      <c r="Q152" s="17" t="s">
        <v>18</v>
      </c>
      <c r="R152" s="17" t="s">
        <v>21</v>
      </c>
      <c r="S152" s="49" t="str">
        <f t="shared" si="8"/>
        <v>Charlie-East</v>
      </c>
      <c r="T152" s="59" t="str">
        <f>IF(ROUND(sales_data_1[[#This Row],[Profit_Margin]],2)=ROUND((sales_data_1[[#This Row],[Unit_Price]]*(1-sales_data_1[[#This Row],[Discount]]) - sales_data_1[[#This Row],[Unit_Cost]])*sales_data_1[[#This Row],[Quantity_Sold]],2), "PASS", "CHECK")</f>
        <v>PASS</v>
      </c>
    </row>
    <row r="153" spans="1:20" x14ac:dyDescent="0.35">
      <c r="A153" s="7">
        <v>152</v>
      </c>
      <c r="B153" s="9">
        <v>1063</v>
      </c>
      <c r="C153" s="7" t="str">
        <f>IFERROR(_xlfn.TEXTJOIN("-", TRUE, _xlfn.XLOOKUP(K153, product_category_id_lookup!$A$2:$A$5, product_category_id_lookup!$B$2:$B$5), B153), "Unknown Category")</f>
        <v>ctg-1063</v>
      </c>
      <c r="D153" s="8">
        <v>44611</v>
      </c>
      <c r="E153" s="7">
        <f t="shared" si="6"/>
        <v>2022</v>
      </c>
      <c r="F153" s="28" t="str">
        <f t="shared" si="7"/>
        <v>Feb</v>
      </c>
      <c r="G153" s="17" t="s">
        <v>29</v>
      </c>
      <c r="H153" s="17" t="s">
        <v>15</v>
      </c>
      <c r="I153" s="24">
        <v>34317.332000000002</v>
      </c>
      <c r="J153" s="32">
        <v>20</v>
      </c>
      <c r="K153" s="17" t="s">
        <v>26</v>
      </c>
      <c r="L153" s="24">
        <v>731.85</v>
      </c>
      <c r="M153" s="24">
        <v>1825.39</v>
      </c>
      <c r="N153" s="34">
        <f>((sales_data_1[[#This Row],[Unit_Price]]*(1-sales_data_1[[#This Row],[Discount]]))-sales_data_1[[#This Row],[Unit_Cost]])*sales_data_1[[#This Row],[Quantity_Sold]]</f>
        <v>19680.332000000002</v>
      </c>
      <c r="O153" s="17" t="s">
        <v>17</v>
      </c>
      <c r="P153" s="26">
        <v>0.06</v>
      </c>
      <c r="Q153" s="17" t="s">
        <v>18</v>
      </c>
      <c r="R153" s="17" t="s">
        <v>21</v>
      </c>
      <c r="S153" s="49" t="str">
        <f t="shared" si="8"/>
        <v>Charlie-North</v>
      </c>
      <c r="T153" s="59" t="str">
        <f>IF(ROUND(sales_data_1[[#This Row],[Profit_Margin]],2)=ROUND((sales_data_1[[#This Row],[Unit_Price]]*(1-sales_data_1[[#This Row],[Discount]]) - sales_data_1[[#This Row],[Unit_Cost]])*sales_data_1[[#This Row],[Quantity_Sold]],2), "PASS", "CHECK")</f>
        <v>PASS</v>
      </c>
    </row>
    <row r="154" spans="1:20" x14ac:dyDescent="0.35">
      <c r="A154" s="7">
        <v>153</v>
      </c>
      <c r="B154" s="9">
        <v>1035</v>
      </c>
      <c r="C154" s="7" t="str">
        <f>IFERROR(_xlfn.TEXTJOIN("-", TRUE, _xlfn.XLOOKUP(K154, product_category_id_lookup!$A$2:$A$5, product_category_id_lookup!$B$2:$B$5), B154), "Unknown Category")</f>
        <v>fd-1035</v>
      </c>
      <c r="D154" s="8">
        <v>44611</v>
      </c>
      <c r="E154" s="7">
        <f t="shared" si="6"/>
        <v>2022</v>
      </c>
      <c r="F154" s="28" t="str">
        <f t="shared" si="7"/>
        <v>Feb</v>
      </c>
      <c r="G154" s="17" t="s">
        <v>33</v>
      </c>
      <c r="H154" s="17" t="s">
        <v>20</v>
      </c>
      <c r="I154" s="24">
        <v>141265.80439999999</v>
      </c>
      <c r="J154" s="32">
        <v>34</v>
      </c>
      <c r="K154" s="17" t="s">
        <v>24</v>
      </c>
      <c r="L154" s="24">
        <v>2791.06</v>
      </c>
      <c r="M154" s="24">
        <v>4239.67</v>
      </c>
      <c r="N154" s="34">
        <f>((sales_data_1[[#This Row],[Unit_Price]]*(1-sales_data_1[[#This Row],[Discount]]))-sales_data_1[[#This Row],[Unit_Cost]])*sales_data_1[[#This Row],[Quantity_Sold]]</f>
        <v>46369.764399999985</v>
      </c>
      <c r="O154" s="17" t="s">
        <v>17</v>
      </c>
      <c r="P154" s="26">
        <v>0.02</v>
      </c>
      <c r="Q154" s="17" t="s">
        <v>18</v>
      </c>
      <c r="R154" s="17" t="s">
        <v>19</v>
      </c>
      <c r="S154" s="49" t="str">
        <f t="shared" si="8"/>
        <v>Alice-West</v>
      </c>
      <c r="T154" s="59" t="str">
        <f>IF(ROUND(sales_data_1[[#This Row],[Profit_Margin]],2)=ROUND((sales_data_1[[#This Row],[Unit_Price]]*(1-sales_data_1[[#This Row],[Discount]]) - sales_data_1[[#This Row],[Unit_Cost]])*sales_data_1[[#This Row],[Quantity_Sold]],2), "PASS", "CHECK")</f>
        <v>PASS</v>
      </c>
    </row>
    <row r="155" spans="1:20" x14ac:dyDescent="0.35">
      <c r="A155" s="7">
        <v>154</v>
      </c>
      <c r="B155" s="9">
        <v>1035</v>
      </c>
      <c r="C155" s="7" t="str">
        <f>IFERROR(_xlfn.TEXTJOIN("-", TRUE, _xlfn.XLOOKUP(K155, product_category_id_lookup!$A$2:$A$5, product_category_id_lookup!$B$2:$B$5), B155), "Unknown Category")</f>
        <v>ctg-1035</v>
      </c>
      <c r="D155" s="8">
        <v>44611</v>
      </c>
      <c r="E155" s="7">
        <f t="shared" si="6"/>
        <v>2022</v>
      </c>
      <c r="F155" s="28" t="str">
        <f t="shared" si="7"/>
        <v>Feb</v>
      </c>
      <c r="G155" s="17" t="s">
        <v>33</v>
      </c>
      <c r="H155" s="17" t="s">
        <v>23</v>
      </c>
      <c r="I155" s="24">
        <v>108389.65280000001</v>
      </c>
      <c r="J155" s="32">
        <v>44</v>
      </c>
      <c r="K155" s="17" t="s">
        <v>26</v>
      </c>
      <c r="L155" s="24">
        <v>224.71</v>
      </c>
      <c r="M155" s="24">
        <v>2677.61</v>
      </c>
      <c r="N155" s="34">
        <f>((sales_data_1[[#This Row],[Unit_Price]]*(1-sales_data_1[[#This Row],[Discount]]))-sales_data_1[[#This Row],[Unit_Cost]])*sales_data_1[[#This Row],[Quantity_Sold]]</f>
        <v>98502.412800000006</v>
      </c>
      <c r="O155" s="17" t="s">
        <v>17</v>
      </c>
      <c r="P155" s="26">
        <v>0.08</v>
      </c>
      <c r="Q155" s="17" t="s">
        <v>25</v>
      </c>
      <c r="R155" s="17" t="s">
        <v>21</v>
      </c>
      <c r="S155" s="49" t="str">
        <f t="shared" si="8"/>
        <v>Alice-South</v>
      </c>
      <c r="T155" s="59" t="str">
        <f>IF(ROUND(sales_data_1[[#This Row],[Profit_Margin]],2)=ROUND((sales_data_1[[#This Row],[Unit_Price]]*(1-sales_data_1[[#This Row],[Discount]]) - sales_data_1[[#This Row],[Unit_Cost]])*sales_data_1[[#This Row],[Quantity_Sold]],2), "PASS", "CHECK")</f>
        <v>PASS</v>
      </c>
    </row>
    <row r="156" spans="1:20" x14ac:dyDescent="0.35">
      <c r="A156" s="7">
        <v>155</v>
      </c>
      <c r="B156" s="9">
        <v>1045</v>
      </c>
      <c r="C156" s="7" t="str">
        <f>IFERROR(_xlfn.TEXTJOIN("-", TRUE, _xlfn.XLOOKUP(K156, product_category_id_lookup!$A$2:$A$5, product_category_id_lookup!$B$2:$B$5), B156), "Unknown Category")</f>
        <v>ctg-1045</v>
      </c>
      <c r="D156" s="8">
        <v>44612</v>
      </c>
      <c r="E156" s="7">
        <f t="shared" si="6"/>
        <v>2022</v>
      </c>
      <c r="F156" s="28" t="str">
        <f t="shared" si="7"/>
        <v>Feb</v>
      </c>
      <c r="G156" s="17" t="s">
        <v>29</v>
      </c>
      <c r="H156" s="17" t="s">
        <v>30</v>
      </c>
      <c r="I156" s="24">
        <v>131245.50190603369</v>
      </c>
      <c r="J156" s="32">
        <v>42</v>
      </c>
      <c r="K156" s="17" t="s">
        <v>26</v>
      </c>
      <c r="L156" s="24">
        <v>3085.6</v>
      </c>
      <c r="M156" s="24">
        <v>3163.7</v>
      </c>
      <c r="N156" s="34">
        <f>((sales_data_1[[#This Row],[Unit_Price]]*(1-sales_data_1[[#This Row],[Discount]]))-sales_data_1[[#This Row],[Unit_Cost]])*sales_data_1[[#This Row],[Quantity_Sold]]</f>
        <v>1951.445999999989</v>
      </c>
      <c r="O156" s="17" t="s">
        <v>17</v>
      </c>
      <c r="P156" s="26">
        <v>0.01</v>
      </c>
      <c r="Q156" s="17" t="s">
        <v>18</v>
      </c>
      <c r="R156" s="17" t="s">
        <v>19</v>
      </c>
      <c r="S156" s="49" t="str">
        <f t="shared" si="8"/>
        <v>Charlie-East</v>
      </c>
      <c r="T156" s="59" t="str">
        <f>IF(ROUND(sales_data_1[[#This Row],[Profit_Margin]],2)=ROUND((sales_data_1[[#This Row],[Unit_Price]]*(1-sales_data_1[[#This Row],[Discount]]) - sales_data_1[[#This Row],[Unit_Cost]])*sales_data_1[[#This Row],[Quantity_Sold]],2), "PASS", "CHECK")</f>
        <v>PASS</v>
      </c>
    </row>
    <row r="157" spans="1:20" x14ac:dyDescent="0.35">
      <c r="A157" s="7">
        <v>156</v>
      </c>
      <c r="B157" s="9">
        <v>1074</v>
      </c>
      <c r="C157" s="7" t="str">
        <f>IFERROR(_xlfn.TEXTJOIN("-", TRUE, _xlfn.XLOOKUP(K157, product_category_id_lookup!$A$2:$A$5, product_category_id_lookup!$B$2:$B$5), B157), "Unknown Category")</f>
        <v>ctg-1074</v>
      </c>
      <c r="D157" s="8">
        <v>44612</v>
      </c>
      <c r="E157" s="7">
        <f t="shared" si="6"/>
        <v>2022</v>
      </c>
      <c r="F157" s="28" t="str">
        <f t="shared" si="7"/>
        <v>Feb</v>
      </c>
      <c r="G157" s="17" t="s">
        <v>29</v>
      </c>
      <c r="H157" s="17" t="s">
        <v>15</v>
      </c>
      <c r="I157" s="24">
        <v>50245.809599999993</v>
      </c>
      <c r="J157" s="32">
        <v>28</v>
      </c>
      <c r="K157" s="17" t="s">
        <v>26</v>
      </c>
      <c r="L157" s="24">
        <v>1028.24</v>
      </c>
      <c r="M157" s="24">
        <v>2086.62</v>
      </c>
      <c r="N157" s="34">
        <f>((sales_data_1[[#This Row],[Unit_Price]]*(1-sales_data_1[[#This Row],[Discount]]))-sales_data_1[[#This Row],[Unit_Cost]])*sales_data_1[[#This Row],[Quantity_Sold]]</f>
        <v>21455.089599999996</v>
      </c>
      <c r="O157" s="17" t="s">
        <v>27</v>
      </c>
      <c r="P157" s="26">
        <v>0.14000000000000001</v>
      </c>
      <c r="Q157" s="17" t="s">
        <v>25</v>
      </c>
      <c r="R157" s="17" t="s">
        <v>19</v>
      </c>
      <c r="S157" s="49" t="str">
        <f t="shared" si="8"/>
        <v>Charlie-North</v>
      </c>
      <c r="T157" s="59" t="str">
        <f>IF(ROUND(sales_data_1[[#This Row],[Profit_Margin]],2)=ROUND((sales_data_1[[#This Row],[Unit_Price]]*(1-sales_data_1[[#This Row],[Discount]]) - sales_data_1[[#This Row],[Unit_Cost]])*sales_data_1[[#This Row],[Quantity_Sold]],2), "PASS", "CHECK")</f>
        <v>PASS</v>
      </c>
    </row>
    <row r="158" spans="1:20" x14ac:dyDescent="0.35">
      <c r="A158" s="7">
        <v>157</v>
      </c>
      <c r="B158" s="9">
        <v>1099</v>
      </c>
      <c r="C158" s="7" t="str">
        <f>IFERROR(_xlfn.TEXTJOIN("-", TRUE, _xlfn.XLOOKUP(K158, product_category_id_lookup!$A$2:$A$5, product_category_id_lookup!$B$2:$B$5), B158), "Unknown Category")</f>
        <v>fnt-1099</v>
      </c>
      <c r="D158" s="8">
        <v>44612</v>
      </c>
      <c r="E158" s="7">
        <f t="shared" si="6"/>
        <v>2022</v>
      </c>
      <c r="F158" s="28" t="str">
        <f t="shared" si="7"/>
        <v>Feb</v>
      </c>
      <c r="G158" s="17" t="s">
        <v>22</v>
      </c>
      <c r="H158" s="17" t="s">
        <v>30</v>
      </c>
      <c r="I158" s="24">
        <v>216832.53900000002</v>
      </c>
      <c r="J158" s="32">
        <v>42</v>
      </c>
      <c r="K158" s="17" t="s">
        <v>16</v>
      </c>
      <c r="L158" s="24">
        <v>1284.23</v>
      </c>
      <c r="M158" s="24">
        <v>5322.35</v>
      </c>
      <c r="N158" s="34">
        <f>((sales_data_1[[#This Row],[Unit_Price]]*(1-sales_data_1[[#This Row],[Discount]]))-sales_data_1[[#This Row],[Unit_Cost]])*sales_data_1[[#This Row],[Quantity_Sold]]</f>
        <v>162894.87900000002</v>
      </c>
      <c r="O158" s="17" t="s">
        <v>17</v>
      </c>
      <c r="P158" s="26">
        <v>0.03</v>
      </c>
      <c r="Q158" s="17" t="s">
        <v>25</v>
      </c>
      <c r="R158" s="17" t="s">
        <v>19</v>
      </c>
      <c r="S158" s="49" t="str">
        <f t="shared" si="8"/>
        <v>David-East</v>
      </c>
      <c r="T158" s="59" t="str">
        <f>IF(ROUND(sales_data_1[[#This Row],[Profit_Margin]],2)=ROUND((sales_data_1[[#This Row],[Unit_Price]]*(1-sales_data_1[[#This Row],[Discount]]) - sales_data_1[[#This Row],[Unit_Cost]])*sales_data_1[[#This Row],[Quantity_Sold]],2), "PASS", "CHECK")</f>
        <v>PASS</v>
      </c>
    </row>
    <row r="159" spans="1:20" x14ac:dyDescent="0.35">
      <c r="A159" s="7">
        <v>158</v>
      </c>
      <c r="B159" s="9">
        <v>1084</v>
      </c>
      <c r="C159" s="7" t="str">
        <f>IFERROR(_xlfn.TEXTJOIN("-", TRUE, _xlfn.XLOOKUP(K159, product_category_id_lookup!$A$2:$A$5, product_category_id_lookup!$B$2:$B$5), B159), "Unknown Category")</f>
        <v>etc-1084</v>
      </c>
      <c r="D159" s="8">
        <v>44614</v>
      </c>
      <c r="E159" s="7">
        <f t="shared" si="6"/>
        <v>2022</v>
      </c>
      <c r="F159" s="28" t="str">
        <f t="shared" si="7"/>
        <v>Feb</v>
      </c>
      <c r="G159" s="17" t="s">
        <v>22</v>
      </c>
      <c r="H159" s="17" t="s">
        <v>20</v>
      </c>
      <c r="I159" s="24">
        <v>43239.893308918618</v>
      </c>
      <c r="J159" s="32">
        <v>37</v>
      </c>
      <c r="K159" s="17" t="s">
        <v>31</v>
      </c>
      <c r="L159" s="24">
        <v>1148.82</v>
      </c>
      <c r="M159" s="24">
        <v>1205.3900000000001</v>
      </c>
      <c r="N159" s="34">
        <f>((sales_data_1[[#This Row],[Unit_Price]]*(1-sales_data_1[[#This Row],[Discount]]))-sales_data_1[[#This Row],[Unit_Cost]])*sales_data_1[[#This Row],[Quantity_Sold]]</f>
        <v>755.10710000000199</v>
      </c>
      <c r="O159" s="17" t="s">
        <v>27</v>
      </c>
      <c r="P159" s="26">
        <v>0.03</v>
      </c>
      <c r="Q159" s="17" t="s">
        <v>25</v>
      </c>
      <c r="R159" s="17" t="s">
        <v>19</v>
      </c>
      <c r="S159" s="49" t="str">
        <f t="shared" si="8"/>
        <v>David-West</v>
      </c>
      <c r="T159" s="59" t="str">
        <f>IF(ROUND(sales_data_1[[#This Row],[Profit_Margin]],2)=ROUND((sales_data_1[[#This Row],[Unit_Price]]*(1-sales_data_1[[#This Row],[Discount]]) - sales_data_1[[#This Row],[Unit_Cost]])*sales_data_1[[#This Row],[Quantity_Sold]],2), "PASS", "CHECK")</f>
        <v>PASS</v>
      </c>
    </row>
    <row r="160" spans="1:20" x14ac:dyDescent="0.35">
      <c r="A160" s="7">
        <v>159</v>
      </c>
      <c r="B160" s="9">
        <v>1073</v>
      </c>
      <c r="C160" s="7" t="str">
        <f>IFERROR(_xlfn.TEXTJOIN("-", TRUE, _xlfn.XLOOKUP(K160, product_category_id_lookup!$A$2:$A$5, product_category_id_lookup!$B$2:$B$5), B160), "Unknown Category")</f>
        <v>etc-1073</v>
      </c>
      <c r="D160" s="8">
        <v>44614</v>
      </c>
      <c r="E160" s="7">
        <f t="shared" si="6"/>
        <v>2022</v>
      </c>
      <c r="F160" s="28" t="str">
        <f t="shared" si="7"/>
        <v>Feb</v>
      </c>
      <c r="G160" s="17" t="s">
        <v>32</v>
      </c>
      <c r="H160" s="17" t="s">
        <v>15</v>
      </c>
      <c r="I160" s="24">
        <v>60458.364799999996</v>
      </c>
      <c r="J160" s="32">
        <v>34</v>
      </c>
      <c r="K160" s="17" t="s">
        <v>31</v>
      </c>
      <c r="L160" s="24">
        <v>1042.3</v>
      </c>
      <c r="M160" s="24">
        <v>2339.7199999999998</v>
      </c>
      <c r="N160" s="34">
        <f>((sales_data_1[[#This Row],[Unit_Price]]*(1-sales_data_1[[#This Row],[Discount]]))-sales_data_1[[#This Row],[Unit_Cost]])*sales_data_1[[#This Row],[Quantity_Sold]]</f>
        <v>25020.164799999995</v>
      </c>
      <c r="O160" s="17" t="s">
        <v>27</v>
      </c>
      <c r="P160" s="26">
        <v>0.24</v>
      </c>
      <c r="Q160" s="17" t="s">
        <v>25</v>
      </c>
      <c r="R160" s="17" t="s">
        <v>19</v>
      </c>
      <c r="S160" s="49" t="str">
        <f t="shared" si="8"/>
        <v>Eve-North</v>
      </c>
      <c r="T160" s="59" t="str">
        <f>IF(ROUND(sales_data_1[[#This Row],[Profit_Margin]],2)=ROUND((sales_data_1[[#This Row],[Unit_Price]]*(1-sales_data_1[[#This Row],[Discount]]) - sales_data_1[[#This Row],[Unit_Cost]])*sales_data_1[[#This Row],[Quantity_Sold]],2), "PASS", "CHECK")</f>
        <v>PASS</v>
      </c>
    </row>
    <row r="161" spans="1:20" x14ac:dyDescent="0.35">
      <c r="A161" s="7">
        <v>160</v>
      </c>
      <c r="B161" s="9">
        <v>1014</v>
      </c>
      <c r="C161" s="7" t="str">
        <f>IFERROR(_xlfn.TEXTJOIN("-", TRUE, _xlfn.XLOOKUP(K161, product_category_id_lookup!$A$2:$A$5, product_category_id_lookup!$B$2:$B$5), B161), "Unknown Category")</f>
        <v>fd-1014</v>
      </c>
      <c r="D161" s="8">
        <v>44614</v>
      </c>
      <c r="E161" s="7">
        <f t="shared" si="6"/>
        <v>2022</v>
      </c>
      <c r="F161" s="28" t="str">
        <f t="shared" si="7"/>
        <v>Feb</v>
      </c>
      <c r="G161" s="17" t="s">
        <v>33</v>
      </c>
      <c r="H161" s="17" t="s">
        <v>20</v>
      </c>
      <c r="I161" s="24">
        <v>150294.25</v>
      </c>
      <c r="J161" s="32">
        <v>50</v>
      </c>
      <c r="K161" s="17" t="s">
        <v>24</v>
      </c>
      <c r="L161" s="24">
        <v>1683.37</v>
      </c>
      <c r="M161" s="24">
        <v>3197.75</v>
      </c>
      <c r="N161" s="34">
        <f>((sales_data_1[[#This Row],[Unit_Price]]*(1-sales_data_1[[#This Row],[Discount]]))-sales_data_1[[#This Row],[Unit_Cost]])*sales_data_1[[#This Row],[Quantity_Sold]]</f>
        <v>66125.75</v>
      </c>
      <c r="O161" s="17" t="s">
        <v>17</v>
      </c>
      <c r="P161" s="26">
        <v>0.06</v>
      </c>
      <c r="Q161" s="17" t="s">
        <v>18</v>
      </c>
      <c r="R161" s="17" t="s">
        <v>21</v>
      </c>
      <c r="S161" s="49" t="str">
        <f t="shared" si="8"/>
        <v>Alice-West</v>
      </c>
      <c r="T161" s="59" t="str">
        <f>IF(ROUND(sales_data_1[[#This Row],[Profit_Margin]],2)=ROUND((sales_data_1[[#This Row],[Unit_Price]]*(1-sales_data_1[[#This Row],[Discount]]) - sales_data_1[[#This Row],[Unit_Cost]])*sales_data_1[[#This Row],[Quantity_Sold]],2), "PASS", "CHECK")</f>
        <v>PASS</v>
      </c>
    </row>
    <row r="162" spans="1:20" x14ac:dyDescent="0.35">
      <c r="A162" s="7">
        <v>161</v>
      </c>
      <c r="B162" s="9">
        <v>1064</v>
      </c>
      <c r="C162" s="7" t="str">
        <f>IFERROR(_xlfn.TEXTJOIN("-", TRUE, _xlfn.XLOOKUP(K162, product_category_id_lookup!$A$2:$A$5, product_category_id_lookup!$B$2:$B$5), B162), "Unknown Category")</f>
        <v>ctg-1064</v>
      </c>
      <c r="D162" s="8">
        <v>44614</v>
      </c>
      <c r="E162" s="7">
        <f t="shared" si="6"/>
        <v>2022</v>
      </c>
      <c r="F162" s="28" t="str">
        <f t="shared" si="7"/>
        <v>Feb</v>
      </c>
      <c r="G162" s="17" t="s">
        <v>14</v>
      </c>
      <c r="H162" s="17" t="s">
        <v>15</v>
      </c>
      <c r="I162" s="24">
        <v>101949.2864</v>
      </c>
      <c r="J162" s="32">
        <v>26</v>
      </c>
      <c r="K162" s="17" t="s">
        <v>26</v>
      </c>
      <c r="L162" s="24">
        <v>1190.6500000000001</v>
      </c>
      <c r="M162" s="24">
        <v>4405.76</v>
      </c>
      <c r="N162" s="34">
        <f>((sales_data_1[[#This Row],[Unit_Price]]*(1-sales_data_1[[#This Row],[Discount]]))-sales_data_1[[#This Row],[Unit_Cost]])*sales_data_1[[#This Row],[Quantity_Sold]]</f>
        <v>70992.386400000003</v>
      </c>
      <c r="O162" s="17" t="s">
        <v>17</v>
      </c>
      <c r="P162" s="26">
        <v>0.11</v>
      </c>
      <c r="Q162" s="17" t="s">
        <v>18</v>
      </c>
      <c r="R162" s="17" t="s">
        <v>21</v>
      </c>
      <c r="S162" s="49" t="str">
        <f t="shared" si="8"/>
        <v>Bob-North</v>
      </c>
      <c r="T162" s="59" t="str">
        <f>IF(ROUND(sales_data_1[[#This Row],[Profit_Margin]],2)=ROUND((sales_data_1[[#This Row],[Unit_Price]]*(1-sales_data_1[[#This Row],[Discount]]) - sales_data_1[[#This Row],[Unit_Cost]])*sales_data_1[[#This Row],[Quantity_Sold]],2), "PASS", "CHECK")</f>
        <v>PASS</v>
      </c>
    </row>
    <row r="163" spans="1:20" x14ac:dyDescent="0.35">
      <c r="A163" s="7">
        <v>162</v>
      </c>
      <c r="B163" s="9">
        <v>1098</v>
      </c>
      <c r="C163" s="7" t="str">
        <f>IFERROR(_xlfn.TEXTJOIN("-", TRUE, _xlfn.XLOOKUP(K163, product_category_id_lookup!$A$2:$A$5, product_category_id_lookup!$B$2:$B$5), B163), "Unknown Category")</f>
        <v>ctg-1098</v>
      </c>
      <c r="D163" s="8">
        <v>44615</v>
      </c>
      <c r="E163" s="7">
        <f t="shared" si="6"/>
        <v>2022</v>
      </c>
      <c r="F163" s="28" t="str">
        <f t="shared" si="7"/>
        <v>Feb</v>
      </c>
      <c r="G163" s="17" t="s">
        <v>32</v>
      </c>
      <c r="H163" s="17" t="s">
        <v>15</v>
      </c>
      <c r="I163" s="24">
        <v>79589.23981879394</v>
      </c>
      <c r="J163" s="32">
        <v>21</v>
      </c>
      <c r="K163" s="17" t="s">
        <v>26</v>
      </c>
      <c r="L163" s="24">
        <v>3580.25</v>
      </c>
      <c r="M163" s="24">
        <v>3871.42</v>
      </c>
      <c r="N163" s="34">
        <f>((sales_data_1[[#This Row],[Unit_Price]]*(1-sales_data_1[[#This Row],[Discount]]))-sales_data_1[[#This Row],[Unit_Cost]])*sales_data_1[[#This Row],[Quantity_Sold]]</f>
        <v>4488.5735999999961</v>
      </c>
      <c r="O163" s="17" t="s">
        <v>17</v>
      </c>
      <c r="P163" s="26">
        <v>0.02</v>
      </c>
      <c r="Q163" s="17" t="s">
        <v>25</v>
      </c>
      <c r="R163" s="17" t="s">
        <v>21</v>
      </c>
      <c r="S163" s="49" t="str">
        <f t="shared" si="8"/>
        <v>Eve-North</v>
      </c>
      <c r="T163" s="59" t="str">
        <f>IF(ROUND(sales_data_1[[#This Row],[Profit_Margin]],2)=ROUND((sales_data_1[[#This Row],[Unit_Price]]*(1-sales_data_1[[#This Row],[Discount]]) - sales_data_1[[#This Row],[Unit_Cost]])*sales_data_1[[#This Row],[Quantity_Sold]],2), "PASS", "CHECK")</f>
        <v>PASS</v>
      </c>
    </row>
    <row r="164" spans="1:20" x14ac:dyDescent="0.35">
      <c r="A164" s="7">
        <v>163</v>
      </c>
      <c r="B164" s="9">
        <v>1050</v>
      </c>
      <c r="C164" s="7" t="str">
        <f>IFERROR(_xlfn.TEXTJOIN("-", TRUE, _xlfn.XLOOKUP(K164, product_category_id_lookup!$A$2:$A$5, product_category_id_lookup!$B$2:$B$5), B164), "Unknown Category")</f>
        <v>ctg-1050</v>
      </c>
      <c r="D164" s="8">
        <v>44616</v>
      </c>
      <c r="E164" s="7">
        <f t="shared" si="6"/>
        <v>2022</v>
      </c>
      <c r="F164" s="28" t="str">
        <f t="shared" si="7"/>
        <v>Feb</v>
      </c>
      <c r="G164" s="17" t="s">
        <v>14</v>
      </c>
      <c r="H164" s="17" t="s">
        <v>20</v>
      </c>
      <c r="I164" s="24">
        <v>45135.202539649508</v>
      </c>
      <c r="J164" s="32">
        <v>14</v>
      </c>
      <c r="K164" s="17" t="s">
        <v>26</v>
      </c>
      <c r="L164" s="24">
        <v>2830.31</v>
      </c>
      <c r="M164" s="24">
        <v>3331.67</v>
      </c>
      <c r="N164" s="34">
        <f>((sales_data_1[[#This Row],[Unit_Price]]*(1-sales_data_1[[#This Row],[Discount]]))-sales_data_1[[#This Row],[Unit_Cost]])*sales_data_1[[#This Row],[Quantity_Sold]]</f>
        <v>5619.7386000000015</v>
      </c>
      <c r="O164" s="17" t="s">
        <v>17</v>
      </c>
      <c r="P164" s="26">
        <v>0.03</v>
      </c>
      <c r="Q164" s="17" t="s">
        <v>25</v>
      </c>
      <c r="R164" s="17" t="s">
        <v>19</v>
      </c>
      <c r="S164" s="49" t="str">
        <f t="shared" si="8"/>
        <v>Bob-West</v>
      </c>
      <c r="T164" s="59" t="str">
        <f>IF(ROUND(sales_data_1[[#This Row],[Profit_Margin]],2)=ROUND((sales_data_1[[#This Row],[Unit_Price]]*(1-sales_data_1[[#This Row],[Discount]]) - sales_data_1[[#This Row],[Unit_Cost]])*sales_data_1[[#This Row],[Quantity_Sold]],2), "PASS", "CHECK")</f>
        <v>PASS</v>
      </c>
    </row>
    <row r="165" spans="1:20" x14ac:dyDescent="0.35">
      <c r="A165" s="7">
        <v>164</v>
      </c>
      <c r="B165" s="9">
        <v>1008</v>
      </c>
      <c r="C165" s="7" t="str">
        <f>IFERROR(_xlfn.TEXTJOIN("-", TRUE, _xlfn.XLOOKUP(K165, product_category_id_lookup!$A$2:$A$5, product_category_id_lookup!$B$2:$B$5), B165), "Unknown Category")</f>
        <v>fnt-1008</v>
      </c>
      <c r="D165" s="8">
        <v>44616</v>
      </c>
      <c r="E165" s="7">
        <f t="shared" si="6"/>
        <v>2022</v>
      </c>
      <c r="F165" s="28" t="str">
        <f t="shared" si="7"/>
        <v>Feb</v>
      </c>
      <c r="G165" s="17" t="s">
        <v>22</v>
      </c>
      <c r="H165" s="17" t="s">
        <v>20</v>
      </c>
      <c r="I165" s="24">
        <v>71349.590400000001</v>
      </c>
      <c r="J165" s="32">
        <v>43</v>
      </c>
      <c r="K165" s="17" t="s">
        <v>16</v>
      </c>
      <c r="L165" s="24">
        <v>236.29</v>
      </c>
      <c r="M165" s="24">
        <v>1728.43</v>
      </c>
      <c r="N165" s="34">
        <f>((sales_data_1[[#This Row],[Unit_Price]]*(1-sales_data_1[[#This Row],[Discount]]))-sales_data_1[[#This Row],[Unit_Cost]])*sales_data_1[[#This Row],[Quantity_Sold]]</f>
        <v>61189.1204</v>
      </c>
      <c r="O165" s="17" t="s">
        <v>27</v>
      </c>
      <c r="P165" s="26">
        <v>0.04</v>
      </c>
      <c r="Q165" s="17" t="s">
        <v>28</v>
      </c>
      <c r="R165" s="17" t="s">
        <v>19</v>
      </c>
      <c r="S165" s="49" t="str">
        <f t="shared" si="8"/>
        <v>David-West</v>
      </c>
      <c r="T165" s="59" t="str">
        <f>IF(ROUND(sales_data_1[[#This Row],[Profit_Margin]],2)=ROUND((sales_data_1[[#This Row],[Unit_Price]]*(1-sales_data_1[[#This Row],[Discount]]) - sales_data_1[[#This Row],[Unit_Cost]])*sales_data_1[[#This Row],[Quantity_Sold]],2), "PASS", "CHECK")</f>
        <v>PASS</v>
      </c>
    </row>
    <row r="166" spans="1:20" x14ac:dyDescent="0.35">
      <c r="A166" s="7">
        <v>165</v>
      </c>
      <c r="B166" s="9">
        <v>1076</v>
      </c>
      <c r="C166" s="7" t="str">
        <f>IFERROR(_xlfn.TEXTJOIN("-", TRUE, _xlfn.XLOOKUP(K166, product_category_id_lookup!$A$2:$A$5, product_category_id_lookup!$B$2:$B$5), B166), "Unknown Category")</f>
        <v>ctg-1076</v>
      </c>
      <c r="D166" s="8">
        <v>44617</v>
      </c>
      <c r="E166" s="7">
        <f t="shared" si="6"/>
        <v>2022</v>
      </c>
      <c r="F166" s="28" t="str">
        <f t="shared" si="7"/>
        <v>Feb</v>
      </c>
      <c r="G166" s="17" t="s">
        <v>29</v>
      </c>
      <c r="H166" s="17" t="s">
        <v>30</v>
      </c>
      <c r="I166" s="24">
        <v>65603.72</v>
      </c>
      <c r="J166" s="32">
        <v>14</v>
      </c>
      <c r="K166" s="17" t="s">
        <v>26</v>
      </c>
      <c r="L166" s="24">
        <v>4683.76</v>
      </c>
      <c r="M166" s="24">
        <v>4685.9799999999996</v>
      </c>
      <c r="N166" s="34">
        <f>((sales_data_1[[#This Row],[Unit_Price]]*(1-sales_data_1[[#This Row],[Discount]]))-sales_data_1[[#This Row],[Unit_Cost]])*sales_data_1[[#This Row],[Quantity_Sold]]</f>
        <v>31.079999999990832</v>
      </c>
      <c r="O166" s="17" t="s">
        <v>27</v>
      </c>
      <c r="P166" s="26">
        <v>0</v>
      </c>
      <c r="Q166" s="17" t="s">
        <v>18</v>
      </c>
      <c r="R166" s="17" t="s">
        <v>19</v>
      </c>
      <c r="S166" s="49" t="str">
        <f t="shared" si="8"/>
        <v>Charlie-East</v>
      </c>
      <c r="T166" s="59" t="str">
        <f>IF(ROUND(sales_data_1[[#This Row],[Profit_Margin]],2)=ROUND((sales_data_1[[#This Row],[Unit_Price]]*(1-sales_data_1[[#This Row],[Discount]]) - sales_data_1[[#This Row],[Unit_Cost]])*sales_data_1[[#This Row],[Quantity_Sold]],2), "PASS", "CHECK")</f>
        <v>PASS</v>
      </c>
    </row>
    <row r="167" spans="1:20" x14ac:dyDescent="0.35">
      <c r="A167" s="7">
        <v>166</v>
      </c>
      <c r="B167" s="9">
        <v>1088</v>
      </c>
      <c r="C167" s="7" t="str">
        <f>IFERROR(_xlfn.TEXTJOIN("-", TRUE, _xlfn.XLOOKUP(K167, product_category_id_lookup!$A$2:$A$5, product_category_id_lookup!$B$2:$B$5), B167), "Unknown Category")</f>
        <v>fnt-1088</v>
      </c>
      <c r="D167" s="8">
        <v>44617</v>
      </c>
      <c r="E167" s="7">
        <f t="shared" si="6"/>
        <v>2022</v>
      </c>
      <c r="F167" s="28" t="str">
        <f t="shared" si="7"/>
        <v>Feb</v>
      </c>
      <c r="G167" s="17" t="s">
        <v>22</v>
      </c>
      <c r="H167" s="17" t="s">
        <v>30</v>
      </c>
      <c r="I167" s="24">
        <v>96105.851999999999</v>
      </c>
      <c r="J167" s="32">
        <v>36</v>
      </c>
      <c r="K167" s="17" t="s">
        <v>16</v>
      </c>
      <c r="L167" s="24">
        <v>2446.16</v>
      </c>
      <c r="M167" s="24">
        <v>2966.23</v>
      </c>
      <c r="N167" s="34">
        <f>((sales_data_1[[#This Row],[Unit_Price]]*(1-sales_data_1[[#This Row],[Discount]]))-sales_data_1[[#This Row],[Unit_Cost]])*sales_data_1[[#This Row],[Quantity_Sold]]</f>
        <v>8044.0920000000042</v>
      </c>
      <c r="O167" s="17" t="s">
        <v>17</v>
      </c>
      <c r="P167" s="26">
        <v>0.1</v>
      </c>
      <c r="Q167" s="17" t="s">
        <v>28</v>
      </c>
      <c r="R167" s="17" t="s">
        <v>19</v>
      </c>
      <c r="S167" s="49" t="str">
        <f t="shared" si="8"/>
        <v>David-East</v>
      </c>
      <c r="T167" s="59" t="str">
        <f>IF(ROUND(sales_data_1[[#This Row],[Profit_Margin]],2)=ROUND((sales_data_1[[#This Row],[Unit_Price]]*(1-sales_data_1[[#This Row],[Discount]]) - sales_data_1[[#This Row],[Unit_Cost]])*sales_data_1[[#This Row],[Quantity_Sold]],2), "PASS", "CHECK")</f>
        <v>PASS</v>
      </c>
    </row>
    <row r="168" spans="1:20" x14ac:dyDescent="0.35">
      <c r="A168" s="7">
        <v>167</v>
      </c>
      <c r="B168" s="9">
        <v>1014</v>
      </c>
      <c r="C168" s="7" t="str">
        <f>IFERROR(_xlfn.TEXTJOIN("-", TRUE, _xlfn.XLOOKUP(K168, product_category_id_lookup!$A$2:$A$5, product_category_id_lookup!$B$2:$B$5), B168), "Unknown Category")</f>
        <v>etc-1014</v>
      </c>
      <c r="D168" s="8">
        <v>44617</v>
      </c>
      <c r="E168" s="7">
        <f t="shared" si="6"/>
        <v>2022</v>
      </c>
      <c r="F168" s="28" t="str">
        <f t="shared" si="7"/>
        <v>Feb</v>
      </c>
      <c r="G168" s="17" t="s">
        <v>14</v>
      </c>
      <c r="H168" s="17" t="s">
        <v>15</v>
      </c>
      <c r="I168" s="24">
        <v>92645.742794579011</v>
      </c>
      <c r="J168" s="32">
        <v>20</v>
      </c>
      <c r="K168" s="17" t="s">
        <v>31</v>
      </c>
      <c r="L168" s="24">
        <v>3651.98</v>
      </c>
      <c r="M168" s="24">
        <v>4792.3599999999997</v>
      </c>
      <c r="N168" s="34">
        <f>((sales_data_1[[#This Row],[Unit_Price]]*(1-sales_data_1[[#This Row],[Discount]]))-sales_data_1[[#This Row],[Unit_Cost]])*sales_data_1[[#This Row],[Quantity_Sold]]</f>
        <v>19932.183999999987</v>
      </c>
      <c r="O168" s="17" t="s">
        <v>27</v>
      </c>
      <c r="P168" s="26">
        <v>0.03</v>
      </c>
      <c r="Q168" s="17" t="s">
        <v>25</v>
      </c>
      <c r="R168" s="17" t="s">
        <v>19</v>
      </c>
      <c r="S168" s="49" t="str">
        <f t="shared" si="8"/>
        <v>Bob-North</v>
      </c>
      <c r="T168" s="59" t="str">
        <f>IF(ROUND(sales_data_1[[#This Row],[Profit_Margin]],2)=ROUND((sales_data_1[[#This Row],[Unit_Price]]*(1-sales_data_1[[#This Row],[Discount]]) - sales_data_1[[#This Row],[Unit_Cost]])*sales_data_1[[#This Row],[Quantity_Sold]],2), "PASS", "CHECK")</f>
        <v>PASS</v>
      </c>
    </row>
    <row r="169" spans="1:20" x14ac:dyDescent="0.35">
      <c r="A169" s="7">
        <v>168</v>
      </c>
      <c r="B169" s="9">
        <v>1083</v>
      </c>
      <c r="C169" s="7" t="str">
        <f>IFERROR(_xlfn.TEXTJOIN("-", TRUE, _xlfn.XLOOKUP(K169, product_category_id_lookup!$A$2:$A$5, product_category_id_lookup!$B$2:$B$5), B169), "Unknown Category")</f>
        <v>fnt-1083</v>
      </c>
      <c r="D169" s="8">
        <v>44617</v>
      </c>
      <c r="E169" s="7">
        <f t="shared" si="6"/>
        <v>2022</v>
      </c>
      <c r="F169" s="28" t="str">
        <f t="shared" si="7"/>
        <v>Feb</v>
      </c>
      <c r="G169" s="17" t="s">
        <v>32</v>
      </c>
      <c r="H169" s="17" t="s">
        <v>23</v>
      </c>
      <c r="I169" s="24">
        <v>40840.7552</v>
      </c>
      <c r="J169" s="32">
        <v>32</v>
      </c>
      <c r="K169" s="17" t="s">
        <v>16</v>
      </c>
      <c r="L169" s="24">
        <v>607.88</v>
      </c>
      <c r="M169" s="24">
        <v>1302.32</v>
      </c>
      <c r="N169" s="34">
        <f>((sales_data_1[[#This Row],[Unit_Price]]*(1-sales_data_1[[#This Row],[Discount]]))-sales_data_1[[#This Row],[Unit_Cost]])*sales_data_1[[#This Row],[Quantity_Sold]]</f>
        <v>21388.5952</v>
      </c>
      <c r="O169" s="17" t="s">
        <v>17</v>
      </c>
      <c r="P169" s="26">
        <v>0.02</v>
      </c>
      <c r="Q169" s="17" t="s">
        <v>28</v>
      </c>
      <c r="R169" s="17" t="s">
        <v>21</v>
      </c>
      <c r="S169" s="49" t="str">
        <f t="shared" si="8"/>
        <v>Eve-South</v>
      </c>
      <c r="T169" s="59" t="str">
        <f>IF(ROUND(sales_data_1[[#This Row],[Profit_Margin]],2)=ROUND((sales_data_1[[#This Row],[Unit_Price]]*(1-sales_data_1[[#This Row],[Discount]]) - sales_data_1[[#This Row],[Unit_Cost]])*sales_data_1[[#This Row],[Quantity_Sold]],2), "PASS", "CHECK")</f>
        <v>PASS</v>
      </c>
    </row>
    <row r="170" spans="1:20" x14ac:dyDescent="0.35">
      <c r="A170" s="7">
        <v>169</v>
      </c>
      <c r="B170" s="9">
        <v>1082</v>
      </c>
      <c r="C170" s="7" t="str">
        <f>IFERROR(_xlfn.TEXTJOIN("-", TRUE, _xlfn.XLOOKUP(K170, product_category_id_lookup!$A$2:$A$5, product_category_id_lookup!$B$2:$B$5), B170), "Unknown Category")</f>
        <v>etc-1082</v>
      </c>
      <c r="D170" s="8">
        <v>44617</v>
      </c>
      <c r="E170" s="7">
        <f t="shared" si="6"/>
        <v>2022</v>
      </c>
      <c r="F170" s="28" t="str">
        <f t="shared" si="7"/>
        <v>Feb</v>
      </c>
      <c r="G170" s="17" t="s">
        <v>14</v>
      </c>
      <c r="H170" s="17" t="s">
        <v>15</v>
      </c>
      <c r="I170" s="24">
        <v>64325.525999999991</v>
      </c>
      <c r="J170" s="32">
        <v>23</v>
      </c>
      <c r="K170" s="17" t="s">
        <v>31</v>
      </c>
      <c r="L170" s="24">
        <v>1816.63</v>
      </c>
      <c r="M170" s="24">
        <v>3679.95</v>
      </c>
      <c r="N170" s="34">
        <f>((sales_data_1[[#This Row],[Unit_Price]]*(1-sales_data_1[[#This Row],[Discount]]))-sales_data_1[[#This Row],[Unit_Cost]])*sales_data_1[[#This Row],[Quantity_Sold]]</f>
        <v>22543.035999999993</v>
      </c>
      <c r="O170" s="17" t="s">
        <v>27</v>
      </c>
      <c r="P170" s="26">
        <v>0.24</v>
      </c>
      <c r="Q170" s="17" t="s">
        <v>28</v>
      </c>
      <c r="R170" s="17" t="s">
        <v>19</v>
      </c>
      <c r="S170" s="49" t="str">
        <f t="shared" si="8"/>
        <v>Bob-North</v>
      </c>
      <c r="T170" s="59" t="str">
        <f>IF(ROUND(sales_data_1[[#This Row],[Profit_Margin]],2)=ROUND((sales_data_1[[#This Row],[Unit_Price]]*(1-sales_data_1[[#This Row],[Discount]]) - sales_data_1[[#This Row],[Unit_Cost]])*sales_data_1[[#This Row],[Quantity_Sold]],2), "PASS", "CHECK")</f>
        <v>PASS</v>
      </c>
    </row>
    <row r="171" spans="1:20" x14ac:dyDescent="0.35">
      <c r="A171" s="7">
        <v>170</v>
      </c>
      <c r="B171" s="9">
        <v>1010</v>
      </c>
      <c r="C171" s="7" t="str">
        <f>IFERROR(_xlfn.TEXTJOIN("-", TRUE, _xlfn.XLOOKUP(K171, product_category_id_lookup!$A$2:$A$5, product_category_id_lookup!$B$2:$B$5), B171), "Unknown Category")</f>
        <v>etc-1010</v>
      </c>
      <c r="D171" s="8">
        <v>44617</v>
      </c>
      <c r="E171" s="7">
        <f t="shared" si="6"/>
        <v>2022</v>
      </c>
      <c r="F171" s="28" t="str">
        <f t="shared" si="7"/>
        <v>Feb</v>
      </c>
      <c r="G171" s="17" t="s">
        <v>29</v>
      </c>
      <c r="H171" s="17" t="s">
        <v>30</v>
      </c>
      <c r="I171" s="24">
        <v>157808.26200000002</v>
      </c>
      <c r="J171" s="32">
        <v>38</v>
      </c>
      <c r="K171" s="17" t="s">
        <v>31</v>
      </c>
      <c r="L171" s="24">
        <v>3293.9</v>
      </c>
      <c r="M171" s="24">
        <v>4371.42</v>
      </c>
      <c r="N171" s="34">
        <f>((sales_data_1[[#This Row],[Unit_Price]]*(1-sales_data_1[[#This Row],[Discount]]))-sales_data_1[[#This Row],[Unit_Cost]])*sales_data_1[[#This Row],[Quantity_Sold]]</f>
        <v>32640.062000000002</v>
      </c>
      <c r="O171" s="17" t="s">
        <v>17</v>
      </c>
      <c r="P171" s="26">
        <v>0.05</v>
      </c>
      <c r="Q171" s="17" t="s">
        <v>25</v>
      </c>
      <c r="R171" s="17" t="s">
        <v>21</v>
      </c>
      <c r="S171" s="49" t="str">
        <f t="shared" si="8"/>
        <v>Charlie-East</v>
      </c>
      <c r="T171" s="59" t="str">
        <f>IF(ROUND(sales_data_1[[#This Row],[Profit_Margin]],2)=ROUND((sales_data_1[[#This Row],[Unit_Price]]*(1-sales_data_1[[#This Row],[Discount]]) - sales_data_1[[#This Row],[Unit_Cost]])*sales_data_1[[#This Row],[Quantity_Sold]],2), "PASS", "CHECK")</f>
        <v>PASS</v>
      </c>
    </row>
    <row r="172" spans="1:20" x14ac:dyDescent="0.35">
      <c r="A172" s="7">
        <v>171</v>
      </c>
      <c r="B172" s="9">
        <v>1012</v>
      </c>
      <c r="C172" s="7" t="str">
        <f>IFERROR(_xlfn.TEXTJOIN("-", TRUE, _xlfn.XLOOKUP(K172, product_category_id_lookup!$A$2:$A$5, product_category_id_lookup!$B$2:$B$5), B172), "Unknown Category")</f>
        <v>fnt-1012</v>
      </c>
      <c r="D172" s="8">
        <v>44617</v>
      </c>
      <c r="E172" s="7">
        <f t="shared" si="6"/>
        <v>2022</v>
      </c>
      <c r="F172" s="28" t="str">
        <f t="shared" si="7"/>
        <v>Feb</v>
      </c>
      <c r="G172" s="17" t="s">
        <v>22</v>
      </c>
      <c r="H172" s="17" t="s">
        <v>15</v>
      </c>
      <c r="I172" s="24">
        <v>81005.724000000002</v>
      </c>
      <c r="J172" s="32">
        <v>18</v>
      </c>
      <c r="K172" s="17" t="s">
        <v>16</v>
      </c>
      <c r="L172" s="24">
        <v>709.22</v>
      </c>
      <c r="M172" s="24">
        <v>4891.6499999999996</v>
      </c>
      <c r="N172" s="34">
        <f>((sales_data_1[[#This Row],[Unit_Price]]*(1-sales_data_1[[#This Row],[Discount]]))-sales_data_1[[#This Row],[Unit_Cost]])*sales_data_1[[#This Row],[Quantity_Sold]]</f>
        <v>68239.763999999996</v>
      </c>
      <c r="O172" s="17" t="s">
        <v>17</v>
      </c>
      <c r="P172" s="26">
        <v>0.08</v>
      </c>
      <c r="Q172" s="17" t="s">
        <v>18</v>
      </c>
      <c r="R172" s="17" t="s">
        <v>19</v>
      </c>
      <c r="S172" s="49" t="str">
        <f t="shared" si="8"/>
        <v>David-North</v>
      </c>
      <c r="T172" s="59" t="str">
        <f>IF(ROUND(sales_data_1[[#This Row],[Profit_Margin]],2)=ROUND((sales_data_1[[#This Row],[Unit_Price]]*(1-sales_data_1[[#This Row],[Discount]]) - sales_data_1[[#This Row],[Unit_Cost]])*sales_data_1[[#This Row],[Quantity_Sold]],2), "PASS", "CHECK")</f>
        <v>PASS</v>
      </c>
    </row>
    <row r="173" spans="1:20" x14ac:dyDescent="0.35">
      <c r="A173" s="7">
        <v>172</v>
      </c>
      <c r="B173" s="9">
        <v>1022</v>
      </c>
      <c r="C173" s="7" t="str">
        <f>IFERROR(_xlfn.TEXTJOIN("-", TRUE, _xlfn.XLOOKUP(K173, product_category_id_lookup!$A$2:$A$5, product_category_id_lookup!$B$2:$B$5), B173), "Unknown Category")</f>
        <v>fnt-1022</v>
      </c>
      <c r="D173" s="8">
        <v>44617</v>
      </c>
      <c r="E173" s="7">
        <f t="shared" si="6"/>
        <v>2022</v>
      </c>
      <c r="F173" s="28" t="str">
        <f t="shared" si="7"/>
        <v>Feb</v>
      </c>
      <c r="G173" s="17" t="s">
        <v>29</v>
      </c>
      <c r="H173" s="17" t="s">
        <v>23</v>
      </c>
      <c r="I173" s="24">
        <v>85324.531199999983</v>
      </c>
      <c r="J173" s="32">
        <v>24</v>
      </c>
      <c r="K173" s="17" t="s">
        <v>16</v>
      </c>
      <c r="L173" s="24">
        <v>334.52</v>
      </c>
      <c r="M173" s="24">
        <v>4283.3599999999997</v>
      </c>
      <c r="N173" s="34">
        <f>((sales_data_1[[#This Row],[Unit_Price]]*(1-sales_data_1[[#This Row],[Discount]]))-sales_data_1[[#This Row],[Unit_Cost]])*sales_data_1[[#This Row],[Quantity_Sold]]</f>
        <v>77296.051199999987</v>
      </c>
      <c r="O173" s="17" t="s">
        <v>17</v>
      </c>
      <c r="P173" s="26">
        <v>0.17</v>
      </c>
      <c r="Q173" s="17" t="s">
        <v>25</v>
      </c>
      <c r="R173" s="17" t="s">
        <v>21</v>
      </c>
      <c r="S173" s="49" t="str">
        <f t="shared" si="8"/>
        <v>Charlie-South</v>
      </c>
      <c r="T173" s="59" t="str">
        <f>IF(ROUND(sales_data_1[[#This Row],[Profit_Margin]],2)=ROUND((sales_data_1[[#This Row],[Unit_Price]]*(1-sales_data_1[[#This Row],[Discount]]) - sales_data_1[[#This Row],[Unit_Cost]])*sales_data_1[[#This Row],[Quantity_Sold]],2), "PASS", "CHECK")</f>
        <v>PASS</v>
      </c>
    </row>
    <row r="174" spans="1:20" x14ac:dyDescent="0.35">
      <c r="A174" s="7">
        <v>173</v>
      </c>
      <c r="B174" s="9">
        <v>1023</v>
      </c>
      <c r="C174" s="7" t="str">
        <f>IFERROR(_xlfn.TEXTJOIN("-", TRUE, _xlfn.XLOOKUP(K174, product_category_id_lookup!$A$2:$A$5, product_category_id_lookup!$B$2:$B$5), B174), "Unknown Category")</f>
        <v>fnt-1023</v>
      </c>
      <c r="D174" s="8">
        <v>44618</v>
      </c>
      <c r="E174" s="7">
        <f t="shared" si="6"/>
        <v>2022</v>
      </c>
      <c r="F174" s="28" t="str">
        <f t="shared" si="7"/>
        <v>Feb</v>
      </c>
      <c r="G174" s="17" t="s">
        <v>29</v>
      </c>
      <c r="H174" s="17" t="s">
        <v>20</v>
      </c>
      <c r="I174" s="24">
        <v>62126.119199668465</v>
      </c>
      <c r="J174" s="32">
        <v>48</v>
      </c>
      <c r="K174" s="17" t="s">
        <v>16</v>
      </c>
      <c r="L174" s="24">
        <v>1124.9100000000001</v>
      </c>
      <c r="M174" s="24">
        <v>1347.33</v>
      </c>
      <c r="N174" s="34">
        <f>((sales_data_1[[#This Row],[Unit_Price]]*(1-sales_data_1[[#This Row],[Discount]]))-sales_data_1[[#This Row],[Unit_Cost]])*sales_data_1[[#This Row],[Quantity_Sold]]</f>
        <v>8089.2863999999936</v>
      </c>
      <c r="O174" s="17" t="s">
        <v>17</v>
      </c>
      <c r="P174" s="26">
        <v>0.04</v>
      </c>
      <c r="Q174" s="17" t="s">
        <v>25</v>
      </c>
      <c r="R174" s="17" t="s">
        <v>19</v>
      </c>
      <c r="S174" s="49" t="str">
        <f t="shared" si="8"/>
        <v>Charlie-West</v>
      </c>
      <c r="T174" s="59" t="str">
        <f>IF(ROUND(sales_data_1[[#This Row],[Profit_Margin]],2)=ROUND((sales_data_1[[#This Row],[Unit_Price]]*(1-sales_data_1[[#This Row],[Discount]]) - sales_data_1[[#This Row],[Unit_Cost]])*sales_data_1[[#This Row],[Quantity_Sold]],2), "PASS", "CHECK")</f>
        <v>PASS</v>
      </c>
    </row>
    <row r="175" spans="1:20" x14ac:dyDescent="0.35">
      <c r="A175" s="7">
        <v>174</v>
      </c>
      <c r="B175" s="9">
        <v>1031</v>
      </c>
      <c r="C175" s="7" t="str">
        <f>IFERROR(_xlfn.TEXTJOIN("-", TRUE, _xlfn.XLOOKUP(K175, product_category_id_lookup!$A$2:$A$5, product_category_id_lookup!$B$2:$B$5), B175), "Unknown Category")</f>
        <v>fd-1031</v>
      </c>
      <c r="D175" s="8">
        <v>44618</v>
      </c>
      <c r="E175" s="7">
        <f t="shared" si="6"/>
        <v>2022</v>
      </c>
      <c r="F175" s="28" t="str">
        <f t="shared" si="7"/>
        <v>Feb</v>
      </c>
      <c r="G175" s="17" t="s">
        <v>32</v>
      </c>
      <c r="H175" s="17" t="s">
        <v>15</v>
      </c>
      <c r="I175" s="24">
        <v>153014.6912</v>
      </c>
      <c r="J175" s="32">
        <v>49</v>
      </c>
      <c r="K175" s="17" t="s">
        <v>24</v>
      </c>
      <c r="L175" s="24">
        <v>2913.88</v>
      </c>
      <c r="M175" s="24">
        <v>4108.88</v>
      </c>
      <c r="N175" s="34">
        <f>((sales_data_1[[#This Row],[Unit_Price]]*(1-sales_data_1[[#This Row],[Discount]]))-sales_data_1[[#This Row],[Unit_Cost]])*sales_data_1[[#This Row],[Quantity_Sold]]</f>
        <v>10234.571200000009</v>
      </c>
      <c r="O175" s="17" t="s">
        <v>27</v>
      </c>
      <c r="P175" s="26">
        <v>0.24</v>
      </c>
      <c r="Q175" s="17" t="s">
        <v>28</v>
      </c>
      <c r="R175" s="17" t="s">
        <v>19</v>
      </c>
      <c r="S175" s="49" t="str">
        <f t="shared" si="8"/>
        <v>Eve-North</v>
      </c>
      <c r="T175" s="59" t="str">
        <f>IF(ROUND(sales_data_1[[#This Row],[Profit_Margin]],2)=ROUND((sales_data_1[[#This Row],[Unit_Price]]*(1-sales_data_1[[#This Row],[Discount]]) - sales_data_1[[#This Row],[Unit_Cost]])*sales_data_1[[#This Row],[Quantity_Sold]],2), "PASS", "CHECK")</f>
        <v>PASS</v>
      </c>
    </row>
    <row r="176" spans="1:20" x14ac:dyDescent="0.35">
      <c r="A176" s="7">
        <v>175</v>
      </c>
      <c r="B176" s="9">
        <v>1056</v>
      </c>
      <c r="C176" s="7" t="str">
        <f>IFERROR(_xlfn.TEXTJOIN("-", TRUE, _xlfn.XLOOKUP(K176, product_category_id_lookup!$A$2:$A$5, product_category_id_lookup!$B$2:$B$5), B176), "Unknown Category")</f>
        <v>fnt-1056</v>
      </c>
      <c r="D176" s="8">
        <v>44618</v>
      </c>
      <c r="E176" s="7">
        <f t="shared" si="6"/>
        <v>2022</v>
      </c>
      <c r="F176" s="28" t="str">
        <f t="shared" si="7"/>
        <v>Feb</v>
      </c>
      <c r="G176" s="17" t="s">
        <v>32</v>
      </c>
      <c r="H176" s="17" t="s">
        <v>20</v>
      </c>
      <c r="I176" s="24">
        <v>51055.042499999996</v>
      </c>
      <c r="J176" s="32">
        <v>33</v>
      </c>
      <c r="K176" s="17" t="s">
        <v>16</v>
      </c>
      <c r="L176" s="24">
        <v>885.47</v>
      </c>
      <c r="M176" s="24">
        <v>2009.25</v>
      </c>
      <c r="N176" s="34">
        <f>((sales_data_1[[#This Row],[Unit_Price]]*(1-sales_data_1[[#This Row],[Discount]]))-sales_data_1[[#This Row],[Unit_Cost]])*sales_data_1[[#This Row],[Quantity_Sold]]</f>
        <v>21834.532499999998</v>
      </c>
      <c r="O176" s="17" t="s">
        <v>27</v>
      </c>
      <c r="P176" s="26">
        <v>0.23</v>
      </c>
      <c r="Q176" s="17" t="s">
        <v>18</v>
      </c>
      <c r="R176" s="17" t="s">
        <v>19</v>
      </c>
      <c r="S176" s="49" t="str">
        <f t="shared" si="8"/>
        <v>Eve-West</v>
      </c>
      <c r="T176" s="59" t="str">
        <f>IF(ROUND(sales_data_1[[#This Row],[Profit_Margin]],2)=ROUND((sales_data_1[[#This Row],[Unit_Price]]*(1-sales_data_1[[#This Row],[Discount]]) - sales_data_1[[#This Row],[Unit_Cost]])*sales_data_1[[#This Row],[Quantity_Sold]],2), "PASS", "CHECK")</f>
        <v>PASS</v>
      </c>
    </row>
    <row r="177" spans="1:20" x14ac:dyDescent="0.35">
      <c r="A177" s="7">
        <v>176</v>
      </c>
      <c r="B177" s="9">
        <v>1047</v>
      </c>
      <c r="C177" s="7" t="str">
        <f>IFERROR(_xlfn.TEXTJOIN("-", TRUE, _xlfn.XLOOKUP(K177, product_category_id_lookup!$A$2:$A$5, product_category_id_lookup!$B$2:$B$5), B177), "Unknown Category")</f>
        <v>etc-1047</v>
      </c>
      <c r="D177" s="8">
        <v>44618</v>
      </c>
      <c r="E177" s="7">
        <f t="shared" si="6"/>
        <v>2022</v>
      </c>
      <c r="F177" s="28" t="str">
        <f t="shared" si="7"/>
        <v>Feb</v>
      </c>
      <c r="G177" s="17" t="s">
        <v>14</v>
      </c>
      <c r="H177" s="17" t="s">
        <v>30</v>
      </c>
      <c r="I177" s="24">
        <v>138931.39870000002</v>
      </c>
      <c r="J177" s="32">
        <v>41</v>
      </c>
      <c r="K177" s="17" t="s">
        <v>31</v>
      </c>
      <c r="L177" s="24">
        <v>1361.39</v>
      </c>
      <c r="M177" s="24">
        <v>4289.33</v>
      </c>
      <c r="N177" s="34">
        <f>((sales_data_1[[#This Row],[Unit_Price]]*(1-sales_data_1[[#This Row],[Discount]]))-sales_data_1[[#This Row],[Unit_Cost]])*sales_data_1[[#This Row],[Quantity_Sold]]</f>
        <v>83114.4087</v>
      </c>
      <c r="O177" s="17" t="s">
        <v>17</v>
      </c>
      <c r="P177" s="26">
        <v>0.21</v>
      </c>
      <c r="Q177" s="17" t="s">
        <v>25</v>
      </c>
      <c r="R177" s="17" t="s">
        <v>21</v>
      </c>
      <c r="S177" s="49" t="str">
        <f t="shared" si="8"/>
        <v>Bob-East</v>
      </c>
      <c r="T177" s="59" t="str">
        <f>IF(ROUND(sales_data_1[[#This Row],[Profit_Margin]],2)=ROUND((sales_data_1[[#This Row],[Unit_Price]]*(1-sales_data_1[[#This Row],[Discount]]) - sales_data_1[[#This Row],[Unit_Cost]])*sales_data_1[[#This Row],[Quantity_Sold]],2), "PASS", "CHECK")</f>
        <v>PASS</v>
      </c>
    </row>
    <row r="178" spans="1:20" x14ac:dyDescent="0.35">
      <c r="A178" s="7">
        <v>177</v>
      </c>
      <c r="B178" s="9">
        <v>1098</v>
      </c>
      <c r="C178" s="7" t="str">
        <f>IFERROR(_xlfn.TEXTJOIN("-", TRUE, _xlfn.XLOOKUP(K178, product_category_id_lookup!$A$2:$A$5, product_category_id_lookup!$B$2:$B$5), B178), "Unknown Category")</f>
        <v>fd-1098</v>
      </c>
      <c r="D178" s="8">
        <v>44619</v>
      </c>
      <c r="E178" s="7">
        <f t="shared" si="6"/>
        <v>2022</v>
      </c>
      <c r="F178" s="28" t="str">
        <f t="shared" si="7"/>
        <v>Feb</v>
      </c>
      <c r="G178" s="17" t="s">
        <v>29</v>
      </c>
      <c r="H178" s="17" t="s">
        <v>15</v>
      </c>
      <c r="I178" s="24">
        <v>127366.2144</v>
      </c>
      <c r="J178" s="32">
        <v>32</v>
      </c>
      <c r="K178" s="17" t="s">
        <v>24</v>
      </c>
      <c r="L178" s="24">
        <v>3640.6</v>
      </c>
      <c r="M178" s="24">
        <v>4913.82</v>
      </c>
      <c r="N178" s="34">
        <f>((sales_data_1[[#This Row],[Unit_Price]]*(1-sales_data_1[[#This Row],[Discount]]))-sales_data_1[[#This Row],[Unit_Cost]])*sales_data_1[[#This Row],[Quantity_Sold]]</f>
        <v>10867.0144</v>
      </c>
      <c r="O178" s="17" t="s">
        <v>27</v>
      </c>
      <c r="P178" s="26">
        <v>0.19</v>
      </c>
      <c r="Q178" s="17" t="s">
        <v>28</v>
      </c>
      <c r="R178" s="17" t="s">
        <v>19</v>
      </c>
      <c r="S178" s="49" t="str">
        <f t="shared" si="8"/>
        <v>Charlie-North</v>
      </c>
      <c r="T178" s="59" t="str">
        <f>IF(ROUND(sales_data_1[[#This Row],[Profit_Margin]],2)=ROUND((sales_data_1[[#This Row],[Unit_Price]]*(1-sales_data_1[[#This Row],[Discount]]) - sales_data_1[[#This Row],[Unit_Cost]])*sales_data_1[[#This Row],[Quantity_Sold]],2), "PASS", "CHECK")</f>
        <v>PASS</v>
      </c>
    </row>
    <row r="179" spans="1:20" x14ac:dyDescent="0.35">
      <c r="A179" s="7">
        <v>178</v>
      </c>
      <c r="B179" s="9">
        <v>1042</v>
      </c>
      <c r="C179" s="7" t="str">
        <f>IFERROR(_xlfn.TEXTJOIN("-", TRUE, _xlfn.XLOOKUP(K179, product_category_id_lookup!$A$2:$A$5, product_category_id_lookup!$B$2:$B$5), B179), "Unknown Category")</f>
        <v>etc-1042</v>
      </c>
      <c r="D179" s="8">
        <v>44619</v>
      </c>
      <c r="E179" s="7">
        <f t="shared" si="6"/>
        <v>2022</v>
      </c>
      <c r="F179" s="28" t="str">
        <f t="shared" si="7"/>
        <v>Feb</v>
      </c>
      <c r="G179" s="17" t="s">
        <v>22</v>
      </c>
      <c r="H179" s="17" t="s">
        <v>20</v>
      </c>
      <c r="I179" s="24">
        <v>29507.033600000002</v>
      </c>
      <c r="J179" s="32">
        <v>8</v>
      </c>
      <c r="K179" s="17" t="s">
        <v>31</v>
      </c>
      <c r="L179" s="24">
        <v>2040.31</v>
      </c>
      <c r="M179" s="24">
        <v>4191.34</v>
      </c>
      <c r="N179" s="34">
        <f>((sales_data_1[[#This Row],[Unit_Price]]*(1-sales_data_1[[#This Row],[Discount]]))-sales_data_1[[#This Row],[Unit_Cost]])*sales_data_1[[#This Row],[Quantity_Sold]]</f>
        <v>13184.553600000003</v>
      </c>
      <c r="O179" s="17" t="s">
        <v>27</v>
      </c>
      <c r="P179" s="26">
        <v>0.12</v>
      </c>
      <c r="Q179" s="17" t="s">
        <v>18</v>
      </c>
      <c r="R179" s="17" t="s">
        <v>21</v>
      </c>
      <c r="S179" s="49" t="str">
        <f t="shared" si="8"/>
        <v>David-West</v>
      </c>
      <c r="T179" s="59" t="str">
        <f>IF(ROUND(sales_data_1[[#This Row],[Profit_Margin]],2)=ROUND((sales_data_1[[#This Row],[Unit_Price]]*(1-sales_data_1[[#This Row],[Discount]]) - sales_data_1[[#This Row],[Unit_Cost]])*sales_data_1[[#This Row],[Quantity_Sold]],2), "PASS", "CHECK")</f>
        <v>PASS</v>
      </c>
    </row>
    <row r="180" spans="1:20" x14ac:dyDescent="0.35">
      <c r="A180" s="7">
        <v>179</v>
      </c>
      <c r="B180" s="9">
        <v>1034</v>
      </c>
      <c r="C180" s="7" t="str">
        <f>IFERROR(_xlfn.TEXTJOIN("-", TRUE, _xlfn.XLOOKUP(K180, product_category_id_lookup!$A$2:$A$5, product_category_id_lookup!$B$2:$B$5), B180), "Unknown Category")</f>
        <v>fd-1034</v>
      </c>
      <c r="D180" s="8">
        <v>44619</v>
      </c>
      <c r="E180" s="7">
        <f t="shared" si="6"/>
        <v>2022</v>
      </c>
      <c r="F180" s="28" t="str">
        <f t="shared" si="7"/>
        <v>Feb</v>
      </c>
      <c r="G180" s="17" t="s">
        <v>33</v>
      </c>
      <c r="H180" s="17" t="s">
        <v>30</v>
      </c>
      <c r="I180" s="24">
        <v>144143.06400000001</v>
      </c>
      <c r="J180" s="32">
        <v>45</v>
      </c>
      <c r="K180" s="17" t="s">
        <v>24</v>
      </c>
      <c r="L180" s="24">
        <v>2819.05</v>
      </c>
      <c r="M180" s="24">
        <v>4511.5200000000004</v>
      </c>
      <c r="N180" s="34">
        <f>((sales_data_1[[#This Row],[Unit_Price]]*(1-sales_data_1[[#This Row],[Discount]]))-sales_data_1[[#This Row],[Unit_Cost]])*sales_data_1[[#This Row],[Quantity_Sold]]</f>
        <v>17285.813999999995</v>
      </c>
      <c r="O180" s="17" t="s">
        <v>27</v>
      </c>
      <c r="P180" s="26">
        <v>0.28999999999999998</v>
      </c>
      <c r="Q180" s="17" t="s">
        <v>28</v>
      </c>
      <c r="R180" s="17" t="s">
        <v>19</v>
      </c>
      <c r="S180" s="49" t="str">
        <f t="shared" si="8"/>
        <v>Alice-East</v>
      </c>
      <c r="T180" s="59" t="str">
        <f>IF(ROUND(sales_data_1[[#This Row],[Profit_Margin]],2)=ROUND((sales_data_1[[#This Row],[Unit_Price]]*(1-sales_data_1[[#This Row],[Discount]]) - sales_data_1[[#This Row],[Unit_Cost]])*sales_data_1[[#This Row],[Quantity_Sold]],2), "PASS", "CHECK")</f>
        <v>PASS</v>
      </c>
    </row>
    <row r="181" spans="1:20" x14ac:dyDescent="0.35">
      <c r="A181" s="7">
        <v>180</v>
      </c>
      <c r="B181" s="9">
        <v>1070</v>
      </c>
      <c r="C181" s="7" t="str">
        <f>IFERROR(_xlfn.TEXTJOIN("-", TRUE, _xlfn.XLOOKUP(K181, product_category_id_lookup!$A$2:$A$5, product_category_id_lookup!$B$2:$B$5), B181), "Unknown Category")</f>
        <v>fnt-1070</v>
      </c>
      <c r="D181" s="8">
        <v>44620</v>
      </c>
      <c r="E181" s="7">
        <f t="shared" si="6"/>
        <v>2022</v>
      </c>
      <c r="F181" s="28" t="str">
        <f t="shared" si="7"/>
        <v>Feb</v>
      </c>
      <c r="G181" s="17" t="s">
        <v>14</v>
      </c>
      <c r="H181" s="17" t="s">
        <v>15</v>
      </c>
      <c r="I181" s="24">
        <v>31695.108899999999</v>
      </c>
      <c r="J181" s="32">
        <v>7</v>
      </c>
      <c r="K181" s="17" t="s">
        <v>16</v>
      </c>
      <c r="L181" s="24">
        <v>4470.1400000000003</v>
      </c>
      <c r="M181" s="24">
        <v>4667.91</v>
      </c>
      <c r="N181" s="34">
        <f>((sales_data_1[[#This Row],[Unit_Price]]*(1-sales_data_1[[#This Row],[Discount]]))-sales_data_1[[#This Row],[Unit_Cost]])*sales_data_1[[#This Row],[Quantity_Sold]]</f>
        <v>404.12889999999697</v>
      </c>
      <c r="O181" s="17" t="s">
        <v>27</v>
      </c>
      <c r="P181" s="26">
        <v>0.03</v>
      </c>
      <c r="Q181" s="17" t="s">
        <v>25</v>
      </c>
      <c r="R181" s="17" t="s">
        <v>19</v>
      </c>
      <c r="S181" s="49" t="str">
        <f t="shared" si="8"/>
        <v>Bob-North</v>
      </c>
      <c r="T181" s="59" t="str">
        <f>IF(ROUND(sales_data_1[[#This Row],[Profit_Margin]],2)=ROUND((sales_data_1[[#This Row],[Unit_Price]]*(1-sales_data_1[[#This Row],[Discount]]) - sales_data_1[[#This Row],[Unit_Cost]])*sales_data_1[[#This Row],[Quantity_Sold]],2), "PASS", "CHECK")</f>
        <v>PASS</v>
      </c>
    </row>
    <row r="182" spans="1:20" x14ac:dyDescent="0.35">
      <c r="A182" s="7">
        <v>181</v>
      </c>
      <c r="B182" s="9">
        <v>1090</v>
      </c>
      <c r="C182" s="7" t="str">
        <f>IFERROR(_xlfn.TEXTJOIN("-", TRUE, _xlfn.XLOOKUP(K182, product_category_id_lookup!$A$2:$A$5, product_category_id_lookup!$B$2:$B$5), B182), "Unknown Category")</f>
        <v>ctg-1090</v>
      </c>
      <c r="D182" s="8">
        <v>44620</v>
      </c>
      <c r="E182" s="7">
        <f t="shared" si="6"/>
        <v>2022</v>
      </c>
      <c r="F182" s="28" t="str">
        <f t="shared" si="7"/>
        <v>Feb</v>
      </c>
      <c r="G182" s="17" t="s">
        <v>29</v>
      </c>
      <c r="H182" s="17" t="s">
        <v>20</v>
      </c>
      <c r="I182" s="24">
        <v>141801.0841644021</v>
      </c>
      <c r="J182" s="32">
        <v>38</v>
      </c>
      <c r="K182" s="17" t="s">
        <v>26</v>
      </c>
      <c r="L182" s="24">
        <v>3543.97</v>
      </c>
      <c r="M182" s="24">
        <v>3858.63</v>
      </c>
      <c r="N182" s="34">
        <f>((sales_data_1[[#This Row],[Unit_Price]]*(1-sales_data_1[[#This Row],[Discount]]))-sales_data_1[[#This Row],[Unit_Cost]])*sales_data_1[[#This Row],[Quantity_Sold]]</f>
        <v>7558.2418000000016</v>
      </c>
      <c r="O182" s="17" t="s">
        <v>17</v>
      </c>
      <c r="P182" s="26">
        <v>0.03</v>
      </c>
      <c r="Q182" s="17" t="s">
        <v>28</v>
      </c>
      <c r="R182" s="17" t="s">
        <v>19</v>
      </c>
      <c r="S182" s="49" t="str">
        <f t="shared" si="8"/>
        <v>Charlie-West</v>
      </c>
      <c r="T182" s="59" t="str">
        <f>IF(ROUND(sales_data_1[[#This Row],[Profit_Margin]],2)=ROUND((sales_data_1[[#This Row],[Unit_Price]]*(1-sales_data_1[[#This Row],[Discount]]) - sales_data_1[[#This Row],[Unit_Cost]])*sales_data_1[[#This Row],[Quantity_Sold]],2), "PASS", "CHECK")</f>
        <v>PASS</v>
      </c>
    </row>
    <row r="183" spans="1:20" x14ac:dyDescent="0.35">
      <c r="A183" s="7">
        <v>182</v>
      </c>
      <c r="B183" s="9">
        <v>1001</v>
      </c>
      <c r="C183" s="7" t="str">
        <f>IFERROR(_xlfn.TEXTJOIN("-", TRUE, _xlfn.XLOOKUP(K183, product_category_id_lookup!$A$2:$A$5, product_category_id_lookup!$B$2:$B$5), B183), "Unknown Category")</f>
        <v>fnt-1001</v>
      </c>
      <c r="D183" s="8">
        <v>44620</v>
      </c>
      <c r="E183" s="7">
        <f t="shared" si="6"/>
        <v>2022</v>
      </c>
      <c r="F183" s="28" t="str">
        <f t="shared" si="7"/>
        <v>Feb</v>
      </c>
      <c r="G183" s="17" t="s">
        <v>33</v>
      </c>
      <c r="H183" s="17" t="s">
        <v>30</v>
      </c>
      <c r="I183" s="24">
        <v>12401.4699</v>
      </c>
      <c r="J183" s="32">
        <v>3</v>
      </c>
      <c r="K183" s="17" t="s">
        <v>16</v>
      </c>
      <c r="L183" s="24">
        <v>1601</v>
      </c>
      <c r="M183" s="24">
        <v>4980.51</v>
      </c>
      <c r="N183" s="34">
        <f>((sales_data_1[[#This Row],[Unit_Price]]*(1-sales_data_1[[#This Row],[Discount]]))-sales_data_1[[#This Row],[Unit_Cost]])*sales_data_1[[#This Row],[Quantity_Sold]]</f>
        <v>7598.4699000000001</v>
      </c>
      <c r="O183" s="17" t="s">
        <v>17</v>
      </c>
      <c r="P183" s="26">
        <v>0.17</v>
      </c>
      <c r="Q183" s="17" t="s">
        <v>28</v>
      </c>
      <c r="R183" s="17" t="s">
        <v>19</v>
      </c>
      <c r="S183" s="49" t="str">
        <f t="shared" si="8"/>
        <v>Alice-East</v>
      </c>
      <c r="T183" s="59" t="str">
        <f>IF(ROUND(sales_data_1[[#This Row],[Profit_Margin]],2)=ROUND((sales_data_1[[#This Row],[Unit_Price]]*(1-sales_data_1[[#This Row],[Discount]]) - sales_data_1[[#This Row],[Unit_Cost]])*sales_data_1[[#This Row],[Quantity_Sold]],2), "PASS", "CHECK")</f>
        <v>PASS</v>
      </c>
    </row>
    <row r="184" spans="1:20" x14ac:dyDescent="0.35">
      <c r="A184" s="7">
        <v>183</v>
      </c>
      <c r="B184" s="9">
        <v>1024</v>
      </c>
      <c r="C184" s="7" t="str">
        <f>IFERROR(_xlfn.TEXTJOIN("-", TRUE, _xlfn.XLOOKUP(K184, product_category_id_lookup!$A$2:$A$5, product_category_id_lookup!$B$2:$B$5), B184), "Unknown Category")</f>
        <v>fd-1024</v>
      </c>
      <c r="D184" s="8">
        <v>44620</v>
      </c>
      <c r="E184" s="7">
        <f t="shared" si="6"/>
        <v>2022</v>
      </c>
      <c r="F184" s="28" t="str">
        <f t="shared" si="7"/>
        <v>Feb</v>
      </c>
      <c r="G184" s="17" t="s">
        <v>22</v>
      </c>
      <c r="H184" s="17" t="s">
        <v>15</v>
      </c>
      <c r="I184" s="24">
        <v>47877.788400000005</v>
      </c>
      <c r="J184" s="32">
        <v>39</v>
      </c>
      <c r="K184" s="17" t="s">
        <v>24</v>
      </c>
      <c r="L184" s="24">
        <v>255.79</v>
      </c>
      <c r="M184" s="24">
        <v>1615.31</v>
      </c>
      <c r="N184" s="34">
        <f>((sales_data_1[[#This Row],[Unit_Price]]*(1-sales_data_1[[#This Row],[Discount]]))-sales_data_1[[#This Row],[Unit_Cost]])*sales_data_1[[#This Row],[Quantity_Sold]]</f>
        <v>37901.978400000007</v>
      </c>
      <c r="O184" s="17" t="s">
        <v>27</v>
      </c>
      <c r="P184" s="26">
        <v>0.24</v>
      </c>
      <c r="Q184" s="17" t="s">
        <v>28</v>
      </c>
      <c r="R184" s="17" t="s">
        <v>21</v>
      </c>
      <c r="S184" s="49" t="str">
        <f t="shared" si="8"/>
        <v>David-North</v>
      </c>
      <c r="T184" s="59" t="str">
        <f>IF(ROUND(sales_data_1[[#This Row],[Profit_Margin]],2)=ROUND((sales_data_1[[#This Row],[Unit_Price]]*(1-sales_data_1[[#This Row],[Discount]]) - sales_data_1[[#This Row],[Unit_Cost]])*sales_data_1[[#This Row],[Quantity_Sold]],2), "PASS", "CHECK")</f>
        <v>PASS</v>
      </c>
    </row>
    <row r="185" spans="1:20" x14ac:dyDescent="0.35">
      <c r="A185" s="7">
        <v>184</v>
      </c>
      <c r="B185" s="9">
        <v>1095</v>
      </c>
      <c r="C185" s="7" t="str">
        <f>IFERROR(_xlfn.TEXTJOIN("-", TRUE, _xlfn.XLOOKUP(K185, product_category_id_lookup!$A$2:$A$5, product_category_id_lookup!$B$2:$B$5), B185), "Unknown Category")</f>
        <v>ctg-1095</v>
      </c>
      <c r="D185" s="8">
        <v>44620</v>
      </c>
      <c r="E185" s="7">
        <f t="shared" si="6"/>
        <v>2022</v>
      </c>
      <c r="F185" s="28" t="str">
        <f t="shared" si="7"/>
        <v>Feb</v>
      </c>
      <c r="G185" s="17" t="s">
        <v>14</v>
      </c>
      <c r="H185" s="17" t="s">
        <v>30</v>
      </c>
      <c r="I185" s="24">
        <v>63705.744000000006</v>
      </c>
      <c r="J185" s="32">
        <v>18</v>
      </c>
      <c r="K185" s="17" t="s">
        <v>26</v>
      </c>
      <c r="L185" s="24">
        <v>387.16</v>
      </c>
      <c r="M185" s="24">
        <v>4424.01</v>
      </c>
      <c r="N185" s="34">
        <f>((sales_data_1[[#This Row],[Unit_Price]]*(1-sales_data_1[[#This Row],[Discount]]))-sales_data_1[[#This Row],[Unit_Cost]])*sales_data_1[[#This Row],[Quantity_Sold]]</f>
        <v>56736.864000000016</v>
      </c>
      <c r="O185" s="17" t="s">
        <v>27</v>
      </c>
      <c r="P185" s="26">
        <v>0.2</v>
      </c>
      <c r="Q185" s="17" t="s">
        <v>25</v>
      </c>
      <c r="R185" s="17" t="s">
        <v>19</v>
      </c>
      <c r="S185" s="49" t="str">
        <f t="shared" si="8"/>
        <v>Bob-East</v>
      </c>
      <c r="T185" s="59" t="str">
        <f>IF(ROUND(sales_data_1[[#This Row],[Profit_Margin]],2)=ROUND((sales_data_1[[#This Row],[Unit_Price]]*(1-sales_data_1[[#This Row],[Discount]]) - sales_data_1[[#This Row],[Unit_Cost]])*sales_data_1[[#This Row],[Quantity_Sold]],2), "PASS", "CHECK")</f>
        <v>PASS</v>
      </c>
    </row>
    <row r="186" spans="1:20" x14ac:dyDescent="0.35">
      <c r="A186" s="7">
        <v>185</v>
      </c>
      <c r="B186" s="9">
        <v>1064</v>
      </c>
      <c r="C186" s="7" t="str">
        <f>IFERROR(_xlfn.TEXTJOIN("-", TRUE, _xlfn.XLOOKUP(K186, product_category_id_lookup!$A$2:$A$5, product_category_id_lookup!$B$2:$B$5), B186), "Unknown Category")</f>
        <v>ctg-1064</v>
      </c>
      <c r="D186" s="8">
        <v>44621</v>
      </c>
      <c r="E186" s="7">
        <f t="shared" si="6"/>
        <v>2022</v>
      </c>
      <c r="F186" s="28" t="str">
        <f t="shared" si="7"/>
        <v>Mar</v>
      </c>
      <c r="G186" s="17" t="s">
        <v>29</v>
      </c>
      <c r="H186" s="17" t="s">
        <v>15</v>
      </c>
      <c r="I186" s="24">
        <v>43310.49537371131</v>
      </c>
      <c r="J186" s="32">
        <v>9</v>
      </c>
      <c r="K186" s="17" t="s">
        <v>26</v>
      </c>
      <c r="L186" s="24">
        <v>4796.22</v>
      </c>
      <c r="M186" s="24">
        <v>4969.8599999999997</v>
      </c>
      <c r="N186" s="34">
        <f>((sales_data_1[[#This Row],[Unit_Price]]*(1-sales_data_1[[#This Row],[Discount]]))-sales_data_1[[#This Row],[Unit_Cost]])*sales_data_1[[#This Row],[Quantity_Sold]]</f>
        <v>220.89779999999428</v>
      </c>
      <c r="O186" s="17" t="s">
        <v>17</v>
      </c>
      <c r="P186" s="26">
        <v>0.03</v>
      </c>
      <c r="Q186" s="17" t="s">
        <v>25</v>
      </c>
      <c r="R186" s="17" t="s">
        <v>19</v>
      </c>
      <c r="S186" s="49" t="str">
        <f t="shared" si="8"/>
        <v>Charlie-North</v>
      </c>
      <c r="T186" s="59" t="str">
        <f>IF(ROUND(sales_data_1[[#This Row],[Profit_Margin]],2)=ROUND((sales_data_1[[#This Row],[Unit_Price]]*(1-sales_data_1[[#This Row],[Discount]]) - sales_data_1[[#This Row],[Unit_Cost]])*sales_data_1[[#This Row],[Quantity_Sold]],2), "PASS", "CHECK")</f>
        <v>PASS</v>
      </c>
    </row>
    <row r="187" spans="1:20" x14ac:dyDescent="0.35">
      <c r="A187" s="7">
        <v>186</v>
      </c>
      <c r="B187" s="9">
        <v>1024</v>
      </c>
      <c r="C187" s="7" t="str">
        <f>IFERROR(_xlfn.TEXTJOIN("-", TRUE, _xlfn.XLOOKUP(K187, product_category_id_lookup!$A$2:$A$5, product_category_id_lookup!$B$2:$B$5), B187), "Unknown Category")</f>
        <v>ctg-1024</v>
      </c>
      <c r="D187" s="8">
        <v>44621</v>
      </c>
      <c r="E187" s="7">
        <f t="shared" si="6"/>
        <v>2022</v>
      </c>
      <c r="F187" s="28" t="str">
        <f t="shared" si="7"/>
        <v>Mar</v>
      </c>
      <c r="G187" s="17" t="s">
        <v>32</v>
      </c>
      <c r="H187" s="17" t="s">
        <v>30</v>
      </c>
      <c r="I187" s="24">
        <v>18971.9424</v>
      </c>
      <c r="J187" s="32">
        <v>12</v>
      </c>
      <c r="K187" s="17" t="s">
        <v>26</v>
      </c>
      <c r="L187" s="24">
        <v>1430.4</v>
      </c>
      <c r="M187" s="24">
        <v>1646.87</v>
      </c>
      <c r="N187" s="34">
        <f>((sales_data_1[[#This Row],[Unit_Price]]*(1-sales_data_1[[#This Row],[Discount]]))-sales_data_1[[#This Row],[Unit_Cost]])*sales_data_1[[#This Row],[Quantity_Sold]]</f>
        <v>1807.142399999997</v>
      </c>
      <c r="O187" s="17" t="s">
        <v>17</v>
      </c>
      <c r="P187" s="26">
        <v>0.04</v>
      </c>
      <c r="Q187" s="17" t="s">
        <v>28</v>
      </c>
      <c r="R187" s="17" t="s">
        <v>19</v>
      </c>
      <c r="S187" s="49" t="str">
        <f t="shared" si="8"/>
        <v>Eve-East</v>
      </c>
      <c r="T187" s="59" t="str">
        <f>IF(ROUND(sales_data_1[[#This Row],[Profit_Margin]],2)=ROUND((sales_data_1[[#This Row],[Unit_Price]]*(1-sales_data_1[[#This Row],[Discount]]) - sales_data_1[[#This Row],[Unit_Cost]])*sales_data_1[[#This Row],[Quantity_Sold]],2), "PASS", "CHECK")</f>
        <v>PASS</v>
      </c>
    </row>
    <row r="188" spans="1:20" x14ac:dyDescent="0.35">
      <c r="A188" s="7">
        <v>187</v>
      </c>
      <c r="B188" s="9">
        <v>1059</v>
      </c>
      <c r="C188" s="7" t="str">
        <f>IFERROR(_xlfn.TEXTJOIN("-", TRUE, _xlfn.XLOOKUP(K188, product_category_id_lookup!$A$2:$A$5, product_category_id_lookup!$B$2:$B$5), B188), "Unknown Category")</f>
        <v>etc-1059</v>
      </c>
      <c r="D188" s="8">
        <v>44621</v>
      </c>
      <c r="E188" s="7">
        <f t="shared" si="6"/>
        <v>2022</v>
      </c>
      <c r="F188" s="28" t="str">
        <f t="shared" si="7"/>
        <v>Mar</v>
      </c>
      <c r="G188" s="17" t="s">
        <v>14</v>
      </c>
      <c r="H188" s="17" t="s">
        <v>15</v>
      </c>
      <c r="I188" s="24">
        <v>22938.418799999999</v>
      </c>
      <c r="J188" s="32">
        <v>38</v>
      </c>
      <c r="K188" s="17" t="s">
        <v>31</v>
      </c>
      <c r="L188" s="24">
        <v>548.89</v>
      </c>
      <c r="M188" s="24">
        <v>701.91</v>
      </c>
      <c r="N188" s="34">
        <f>((sales_data_1[[#This Row],[Unit_Price]]*(1-sales_data_1[[#This Row],[Discount]]))-sales_data_1[[#This Row],[Unit_Cost]])*sales_data_1[[#This Row],[Quantity_Sold]]</f>
        <v>2080.5988000000011</v>
      </c>
      <c r="O188" s="17" t="s">
        <v>27</v>
      </c>
      <c r="P188" s="26">
        <v>0.14000000000000001</v>
      </c>
      <c r="Q188" s="17" t="s">
        <v>28</v>
      </c>
      <c r="R188" s="17" t="s">
        <v>19</v>
      </c>
      <c r="S188" s="49" t="str">
        <f t="shared" si="8"/>
        <v>Bob-North</v>
      </c>
      <c r="T188" s="59" t="str">
        <f>IF(ROUND(sales_data_1[[#This Row],[Profit_Margin]],2)=ROUND((sales_data_1[[#This Row],[Unit_Price]]*(1-sales_data_1[[#This Row],[Discount]]) - sales_data_1[[#This Row],[Unit_Cost]])*sales_data_1[[#This Row],[Quantity_Sold]],2), "PASS", "CHECK")</f>
        <v>PASS</v>
      </c>
    </row>
    <row r="189" spans="1:20" x14ac:dyDescent="0.35">
      <c r="A189" s="7">
        <v>188</v>
      </c>
      <c r="B189" s="9">
        <v>1017</v>
      </c>
      <c r="C189" s="7" t="str">
        <f>IFERROR(_xlfn.TEXTJOIN("-", TRUE, _xlfn.XLOOKUP(K189, product_category_id_lookup!$A$2:$A$5, product_category_id_lookup!$B$2:$B$5), B189), "Unknown Category")</f>
        <v>fnt-1017</v>
      </c>
      <c r="D189" s="8">
        <v>44621</v>
      </c>
      <c r="E189" s="7">
        <f t="shared" si="6"/>
        <v>2022</v>
      </c>
      <c r="F189" s="28" t="str">
        <f t="shared" si="7"/>
        <v>Mar</v>
      </c>
      <c r="G189" s="17" t="s">
        <v>22</v>
      </c>
      <c r="H189" s="17" t="s">
        <v>20</v>
      </c>
      <c r="I189" s="24">
        <v>42376.938800000004</v>
      </c>
      <c r="J189" s="32">
        <v>19</v>
      </c>
      <c r="K189" s="17" t="s">
        <v>16</v>
      </c>
      <c r="L189" s="24">
        <v>1974.61</v>
      </c>
      <c r="M189" s="24">
        <v>2424.31</v>
      </c>
      <c r="N189" s="34">
        <f>((sales_data_1[[#This Row],[Unit_Price]]*(1-sales_data_1[[#This Row],[Discount]]))-sales_data_1[[#This Row],[Unit_Cost]])*sales_data_1[[#This Row],[Quantity_Sold]]</f>
        <v>4859.3488000000052</v>
      </c>
      <c r="O189" s="17" t="s">
        <v>27</v>
      </c>
      <c r="P189" s="26">
        <v>0.08</v>
      </c>
      <c r="Q189" s="17" t="s">
        <v>18</v>
      </c>
      <c r="R189" s="17" t="s">
        <v>19</v>
      </c>
      <c r="S189" s="49" t="str">
        <f t="shared" si="8"/>
        <v>David-West</v>
      </c>
      <c r="T189" s="59" t="str">
        <f>IF(ROUND(sales_data_1[[#This Row],[Profit_Margin]],2)=ROUND((sales_data_1[[#This Row],[Unit_Price]]*(1-sales_data_1[[#This Row],[Discount]]) - sales_data_1[[#This Row],[Unit_Cost]])*sales_data_1[[#This Row],[Quantity_Sold]],2), "PASS", "CHECK")</f>
        <v>PASS</v>
      </c>
    </row>
    <row r="190" spans="1:20" x14ac:dyDescent="0.35">
      <c r="A190" s="7">
        <v>189</v>
      </c>
      <c r="B190" s="9">
        <v>1055</v>
      </c>
      <c r="C190" s="7" t="str">
        <f>IFERROR(_xlfn.TEXTJOIN("-", TRUE, _xlfn.XLOOKUP(K190, product_category_id_lookup!$A$2:$A$5, product_category_id_lookup!$B$2:$B$5), B190), "Unknown Category")</f>
        <v>etc-1055</v>
      </c>
      <c r="D190" s="8">
        <v>44621</v>
      </c>
      <c r="E190" s="7">
        <f t="shared" si="6"/>
        <v>2022</v>
      </c>
      <c r="F190" s="28" t="str">
        <f t="shared" si="7"/>
        <v>Mar</v>
      </c>
      <c r="G190" s="17" t="s">
        <v>29</v>
      </c>
      <c r="H190" s="17" t="s">
        <v>20</v>
      </c>
      <c r="I190" s="24">
        <v>19583.795700000002</v>
      </c>
      <c r="J190" s="32">
        <v>7</v>
      </c>
      <c r="K190" s="17" t="s">
        <v>31</v>
      </c>
      <c r="L190" s="24">
        <v>522.57000000000005</v>
      </c>
      <c r="M190" s="24">
        <v>3215.73</v>
      </c>
      <c r="N190" s="34">
        <f>((sales_data_1[[#This Row],[Unit_Price]]*(1-sales_data_1[[#This Row],[Discount]]))-sales_data_1[[#This Row],[Unit_Cost]])*sales_data_1[[#This Row],[Quantity_Sold]]</f>
        <v>15925.805700000001</v>
      </c>
      <c r="O190" s="17" t="s">
        <v>17</v>
      </c>
      <c r="P190" s="26">
        <v>0.13</v>
      </c>
      <c r="Q190" s="17" t="s">
        <v>28</v>
      </c>
      <c r="R190" s="17" t="s">
        <v>21</v>
      </c>
      <c r="S190" s="49" t="str">
        <f t="shared" si="8"/>
        <v>Charlie-West</v>
      </c>
      <c r="T190" s="59" t="str">
        <f>IF(ROUND(sales_data_1[[#This Row],[Profit_Margin]],2)=ROUND((sales_data_1[[#This Row],[Unit_Price]]*(1-sales_data_1[[#This Row],[Discount]]) - sales_data_1[[#This Row],[Unit_Cost]])*sales_data_1[[#This Row],[Quantity_Sold]],2), "PASS", "CHECK")</f>
        <v>PASS</v>
      </c>
    </row>
    <row r="191" spans="1:20" x14ac:dyDescent="0.35">
      <c r="A191" s="7">
        <v>190</v>
      </c>
      <c r="B191" s="9">
        <v>1076</v>
      </c>
      <c r="C191" s="7" t="str">
        <f>IFERROR(_xlfn.TEXTJOIN("-", TRUE, _xlfn.XLOOKUP(K191, product_category_id_lookup!$A$2:$A$5, product_category_id_lookup!$B$2:$B$5), B191), "Unknown Category")</f>
        <v>etc-1076</v>
      </c>
      <c r="D191" s="8">
        <v>44621</v>
      </c>
      <c r="E191" s="7">
        <f t="shared" si="6"/>
        <v>2022</v>
      </c>
      <c r="F191" s="28" t="str">
        <f t="shared" si="7"/>
        <v>Mar</v>
      </c>
      <c r="G191" s="17" t="s">
        <v>29</v>
      </c>
      <c r="H191" s="17" t="s">
        <v>20</v>
      </c>
      <c r="I191" s="24">
        <v>153144.36480000001</v>
      </c>
      <c r="J191" s="32">
        <v>42</v>
      </c>
      <c r="K191" s="17" t="s">
        <v>31</v>
      </c>
      <c r="L191" s="24">
        <v>3216.35</v>
      </c>
      <c r="M191" s="24">
        <v>4096.96</v>
      </c>
      <c r="N191" s="34">
        <f>((sales_data_1[[#This Row],[Unit_Price]]*(1-sales_data_1[[#This Row],[Discount]]))-sales_data_1[[#This Row],[Unit_Cost]])*sales_data_1[[#This Row],[Quantity_Sold]]</f>
        <v>18057.664800000013</v>
      </c>
      <c r="O191" s="17" t="s">
        <v>17</v>
      </c>
      <c r="P191" s="26">
        <v>0.11</v>
      </c>
      <c r="Q191" s="17" t="s">
        <v>25</v>
      </c>
      <c r="R191" s="17" t="s">
        <v>21</v>
      </c>
      <c r="S191" s="49" t="str">
        <f t="shared" si="8"/>
        <v>Charlie-West</v>
      </c>
      <c r="T191" s="59" t="str">
        <f>IF(ROUND(sales_data_1[[#This Row],[Profit_Margin]],2)=ROUND((sales_data_1[[#This Row],[Unit_Price]]*(1-sales_data_1[[#This Row],[Discount]]) - sales_data_1[[#This Row],[Unit_Cost]])*sales_data_1[[#This Row],[Quantity_Sold]],2), "PASS", "CHECK")</f>
        <v>PASS</v>
      </c>
    </row>
    <row r="192" spans="1:20" x14ac:dyDescent="0.35">
      <c r="A192" s="7">
        <v>191</v>
      </c>
      <c r="B192" s="9">
        <v>1091</v>
      </c>
      <c r="C192" s="7" t="str">
        <f>IFERROR(_xlfn.TEXTJOIN("-", TRUE, _xlfn.XLOOKUP(K192, product_category_id_lookup!$A$2:$A$5, product_category_id_lookup!$B$2:$B$5), B192), "Unknown Category")</f>
        <v>etc-1091</v>
      </c>
      <c r="D192" s="8">
        <v>44621</v>
      </c>
      <c r="E192" s="7">
        <f t="shared" si="6"/>
        <v>2022</v>
      </c>
      <c r="F192" s="28" t="str">
        <f t="shared" si="7"/>
        <v>Mar</v>
      </c>
      <c r="G192" s="17" t="s">
        <v>14</v>
      </c>
      <c r="H192" s="17" t="s">
        <v>15</v>
      </c>
      <c r="I192" s="24">
        <v>170797.18</v>
      </c>
      <c r="J192" s="32">
        <v>50</v>
      </c>
      <c r="K192" s="17" t="s">
        <v>31</v>
      </c>
      <c r="L192" s="24">
        <v>2415.67</v>
      </c>
      <c r="M192" s="24">
        <v>4616.1400000000003</v>
      </c>
      <c r="N192" s="34">
        <f>((sales_data_1[[#This Row],[Unit_Price]]*(1-sales_data_1[[#This Row],[Discount]]))-sales_data_1[[#This Row],[Unit_Cost]])*sales_data_1[[#This Row],[Quantity_Sold]]</f>
        <v>50013.68</v>
      </c>
      <c r="O192" s="17" t="s">
        <v>27</v>
      </c>
      <c r="P192" s="26">
        <v>0.26</v>
      </c>
      <c r="Q192" s="17" t="s">
        <v>28</v>
      </c>
      <c r="R192" s="17" t="s">
        <v>19</v>
      </c>
      <c r="S192" s="49" t="str">
        <f t="shared" si="8"/>
        <v>Bob-North</v>
      </c>
      <c r="T192" s="59" t="str">
        <f>IF(ROUND(sales_data_1[[#This Row],[Profit_Margin]],2)=ROUND((sales_data_1[[#This Row],[Unit_Price]]*(1-sales_data_1[[#This Row],[Discount]]) - sales_data_1[[#This Row],[Unit_Cost]])*sales_data_1[[#This Row],[Quantity_Sold]],2), "PASS", "CHECK")</f>
        <v>PASS</v>
      </c>
    </row>
    <row r="193" spans="1:20" x14ac:dyDescent="0.35">
      <c r="A193" s="7">
        <v>192</v>
      </c>
      <c r="B193" s="9">
        <v>1041</v>
      </c>
      <c r="C193" s="7" t="str">
        <f>IFERROR(_xlfn.TEXTJOIN("-", TRUE, _xlfn.XLOOKUP(K193, product_category_id_lookup!$A$2:$A$5, product_category_id_lookup!$B$2:$B$5), B193), "Unknown Category")</f>
        <v>fnt-1041</v>
      </c>
      <c r="D193" s="8">
        <v>44623</v>
      </c>
      <c r="E193" s="7">
        <f t="shared" si="6"/>
        <v>2022</v>
      </c>
      <c r="F193" s="28" t="str">
        <f t="shared" si="7"/>
        <v>Mar</v>
      </c>
      <c r="G193" s="17" t="s">
        <v>33</v>
      </c>
      <c r="H193" s="17" t="s">
        <v>15</v>
      </c>
      <c r="I193" s="24">
        <v>39663.017999999996</v>
      </c>
      <c r="J193" s="32">
        <v>9</v>
      </c>
      <c r="K193" s="17" t="s">
        <v>16</v>
      </c>
      <c r="L193" s="24">
        <v>1792.58</v>
      </c>
      <c r="M193" s="24">
        <v>4688.3</v>
      </c>
      <c r="N193" s="34">
        <f>((sales_data_1[[#This Row],[Unit_Price]]*(1-sales_data_1[[#This Row],[Discount]]))-sales_data_1[[#This Row],[Unit_Cost]])*sales_data_1[[#This Row],[Quantity_Sold]]</f>
        <v>23529.797999999995</v>
      </c>
      <c r="O193" s="17" t="s">
        <v>17</v>
      </c>
      <c r="P193" s="26">
        <v>0.06</v>
      </c>
      <c r="Q193" s="17" t="s">
        <v>28</v>
      </c>
      <c r="R193" s="17" t="s">
        <v>19</v>
      </c>
      <c r="S193" s="49" t="str">
        <f t="shared" si="8"/>
        <v>Alice-North</v>
      </c>
      <c r="T193" s="59" t="str">
        <f>IF(ROUND(sales_data_1[[#This Row],[Profit_Margin]],2)=ROUND((sales_data_1[[#This Row],[Unit_Price]]*(1-sales_data_1[[#This Row],[Discount]]) - sales_data_1[[#This Row],[Unit_Cost]])*sales_data_1[[#This Row],[Quantity_Sold]],2), "PASS", "CHECK")</f>
        <v>PASS</v>
      </c>
    </row>
    <row r="194" spans="1:20" x14ac:dyDescent="0.35">
      <c r="A194" s="7">
        <v>193</v>
      </c>
      <c r="B194" s="9">
        <v>1015</v>
      </c>
      <c r="C194" s="7" t="str">
        <f>IFERROR(_xlfn.TEXTJOIN("-", TRUE, _xlfn.XLOOKUP(K194, product_category_id_lookup!$A$2:$A$5, product_category_id_lookup!$B$2:$B$5), B194), "Unknown Category")</f>
        <v>fd-1015</v>
      </c>
      <c r="D194" s="8">
        <v>44623</v>
      </c>
      <c r="E194" s="7">
        <f t="shared" ref="E194:E257" si="9">YEAR(D194)</f>
        <v>2022</v>
      </c>
      <c r="F194" s="28" t="str">
        <f t="shared" ref="F194:F257" si="10">LEFT(TEXT(D194,"mmmm"),3)</f>
        <v>Mar</v>
      </c>
      <c r="G194" s="17" t="s">
        <v>29</v>
      </c>
      <c r="H194" s="17" t="s">
        <v>20</v>
      </c>
      <c r="I194" s="24">
        <v>66935.068199999994</v>
      </c>
      <c r="J194" s="32">
        <v>21</v>
      </c>
      <c r="K194" s="17" t="s">
        <v>24</v>
      </c>
      <c r="L194" s="24">
        <v>1073.05</v>
      </c>
      <c r="M194" s="24">
        <v>3219.58</v>
      </c>
      <c r="N194" s="34">
        <f>((sales_data_1[[#This Row],[Unit_Price]]*(1-sales_data_1[[#This Row],[Discount]]))-sales_data_1[[#This Row],[Unit_Cost]])*sales_data_1[[#This Row],[Quantity_Sold]]</f>
        <v>44401.018200000006</v>
      </c>
      <c r="O194" s="17" t="s">
        <v>17</v>
      </c>
      <c r="P194" s="26">
        <v>0.01</v>
      </c>
      <c r="Q194" s="17" t="s">
        <v>18</v>
      </c>
      <c r="R194" s="17" t="s">
        <v>21</v>
      </c>
      <c r="S194" s="49" t="str">
        <f t="shared" ref="S194:S257" si="11">_xlfn.CONCAT(G194,"-",H194)</f>
        <v>Charlie-West</v>
      </c>
      <c r="T194" s="59" t="str">
        <f>IF(ROUND(sales_data_1[[#This Row],[Profit_Margin]],2)=ROUND((sales_data_1[[#This Row],[Unit_Price]]*(1-sales_data_1[[#This Row],[Discount]]) - sales_data_1[[#This Row],[Unit_Cost]])*sales_data_1[[#This Row],[Quantity_Sold]],2), "PASS", "CHECK")</f>
        <v>PASS</v>
      </c>
    </row>
    <row r="195" spans="1:20" x14ac:dyDescent="0.35">
      <c r="A195" s="7">
        <v>194</v>
      </c>
      <c r="B195" s="9">
        <v>1055</v>
      </c>
      <c r="C195" s="7" t="str">
        <f>IFERROR(_xlfn.TEXTJOIN("-", TRUE, _xlfn.XLOOKUP(K195, product_category_id_lookup!$A$2:$A$5, product_category_id_lookup!$B$2:$B$5), B195), "Unknown Category")</f>
        <v>etc-1055</v>
      </c>
      <c r="D195" s="8">
        <v>44624</v>
      </c>
      <c r="E195" s="7">
        <f t="shared" si="9"/>
        <v>2022</v>
      </c>
      <c r="F195" s="28" t="str">
        <f t="shared" si="10"/>
        <v>Mar</v>
      </c>
      <c r="G195" s="17" t="s">
        <v>33</v>
      </c>
      <c r="H195" s="17" t="s">
        <v>20</v>
      </c>
      <c r="I195" s="24">
        <v>123802.56000000001</v>
      </c>
      <c r="J195" s="32">
        <v>46</v>
      </c>
      <c r="K195" s="17" t="s">
        <v>31</v>
      </c>
      <c r="L195" s="24">
        <v>2691.09</v>
      </c>
      <c r="M195" s="24">
        <v>2803.5</v>
      </c>
      <c r="N195" s="34">
        <f>((sales_data_1[[#This Row],[Unit_Price]]*(1-sales_data_1[[#This Row],[Discount]]))-sales_data_1[[#This Row],[Unit_Cost]])*sales_data_1[[#This Row],[Quantity_Sold]]</f>
        <v>12.419999999999163</v>
      </c>
      <c r="O195" s="17" t="s">
        <v>17</v>
      </c>
      <c r="P195" s="26">
        <v>0.04</v>
      </c>
      <c r="Q195" s="17" t="s">
        <v>18</v>
      </c>
      <c r="R195" s="17" t="s">
        <v>19</v>
      </c>
      <c r="S195" s="49" t="str">
        <f t="shared" si="11"/>
        <v>Alice-West</v>
      </c>
      <c r="T195" s="59" t="str">
        <f>IF(ROUND(sales_data_1[[#This Row],[Profit_Margin]],2)=ROUND((sales_data_1[[#This Row],[Unit_Price]]*(1-sales_data_1[[#This Row],[Discount]]) - sales_data_1[[#This Row],[Unit_Cost]])*sales_data_1[[#This Row],[Quantity_Sold]],2), "PASS", "CHECK")</f>
        <v>PASS</v>
      </c>
    </row>
    <row r="196" spans="1:20" x14ac:dyDescent="0.35">
      <c r="A196" s="7">
        <v>195</v>
      </c>
      <c r="B196" s="9">
        <v>1099</v>
      </c>
      <c r="C196" s="7" t="str">
        <f>IFERROR(_xlfn.TEXTJOIN("-", TRUE, _xlfn.XLOOKUP(K196, product_category_id_lookup!$A$2:$A$5, product_category_id_lookup!$B$2:$B$5), B196), "Unknown Category")</f>
        <v>fnt-1099</v>
      </c>
      <c r="D196" s="8">
        <v>44624</v>
      </c>
      <c r="E196" s="7">
        <f t="shared" si="9"/>
        <v>2022</v>
      </c>
      <c r="F196" s="28" t="str">
        <f t="shared" si="10"/>
        <v>Mar</v>
      </c>
      <c r="G196" s="17" t="s">
        <v>29</v>
      </c>
      <c r="H196" s="17" t="s">
        <v>30</v>
      </c>
      <c r="I196" s="24">
        <v>13048.9128</v>
      </c>
      <c r="J196" s="32">
        <v>3</v>
      </c>
      <c r="K196" s="17" t="s">
        <v>16</v>
      </c>
      <c r="L196" s="24">
        <v>3751.81</v>
      </c>
      <c r="M196" s="24">
        <v>4942.7700000000004</v>
      </c>
      <c r="N196" s="34">
        <f>((sales_data_1[[#This Row],[Unit_Price]]*(1-sales_data_1[[#This Row],[Discount]]))-sales_data_1[[#This Row],[Unit_Cost]])*sales_data_1[[#This Row],[Quantity_Sold]]</f>
        <v>1793.4828000000002</v>
      </c>
      <c r="O196" s="17" t="s">
        <v>17</v>
      </c>
      <c r="P196" s="26">
        <v>0.12</v>
      </c>
      <c r="Q196" s="17" t="s">
        <v>25</v>
      </c>
      <c r="R196" s="17" t="s">
        <v>21</v>
      </c>
      <c r="S196" s="49" t="str">
        <f t="shared" si="11"/>
        <v>Charlie-East</v>
      </c>
      <c r="T196" s="59" t="str">
        <f>IF(ROUND(sales_data_1[[#This Row],[Profit_Margin]],2)=ROUND((sales_data_1[[#This Row],[Unit_Price]]*(1-sales_data_1[[#This Row],[Discount]]) - sales_data_1[[#This Row],[Unit_Cost]])*sales_data_1[[#This Row],[Quantity_Sold]],2), "PASS", "CHECK")</f>
        <v>PASS</v>
      </c>
    </row>
    <row r="197" spans="1:20" x14ac:dyDescent="0.35">
      <c r="A197" s="7">
        <v>196</v>
      </c>
      <c r="B197" s="9">
        <v>1056</v>
      </c>
      <c r="C197" s="7" t="str">
        <f>IFERROR(_xlfn.TEXTJOIN("-", TRUE, _xlfn.XLOOKUP(K197, product_category_id_lookup!$A$2:$A$5, product_category_id_lookup!$B$2:$B$5), B197), "Unknown Category")</f>
        <v>etc-1056</v>
      </c>
      <c r="D197" s="8">
        <v>44624</v>
      </c>
      <c r="E197" s="7">
        <f t="shared" si="9"/>
        <v>2022</v>
      </c>
      <c r="F197" s="28" t="str">
        <f t="shared" si="10"/>
        <v>Mar</v>
      </c>
      <c r="G197" s="17" t="s">
        <v>33</v>
      </c>
      <c r="H197" s="17" t="s">
        <v>20</v>
      </c>
      <c r="I197" s="24">
        <v>63428.041600000004</v>
      </c>
      <c r="J197" s="32">
        <v>16</v>
      </c>
      <c r="K197" s="17" t="s">
        <v>31</v>
      </c>
      <c r="L197" s="24">
        <v>3812.88</v>
      </c>
      <c r="M197" s="24">
        <v>5148.38</v>
      </c>
      <c r="N197" s="34">
        <f>((sales_data_1[[#This Row],[Unit_Price]]*(1-sales_data_1[[#This Row],[Discount]]))-sales_data_1[[#This Row],[Unit_Cost]])*sales_data_1[[#This Row],[Quantity_Sold]]</f>
        <v>2421.9616000000024</v>
      </c>
      <c r="O197" s="17" t="s">
        <v>27</v>
      </c>
      <c r="P197" s="26">
        <v>0.23</v>
      </c>
      <c r="Q197" s="17" t="s">
        <v>18</v>
      </c>
      <c r="R197" s="17" t="s">
        <v>19</v>
      </c>
      <c r="S197" s="49" t="str">
        <f t="shared" si="11"/>
        <v>Alice-West</v>
      </c>
      <c r="T197" s="59" t="str">
        <f>IF(ROUND(sales_data_1[[#This Row],[Profit_Margin]],2)=ROUND((sales_data_1[[#This Row],[Unit_Price]]*(1-sales_data_1[[#This Row],[Discount]]) - sales_data_1[[#This Row],[Unit_Cost]])*sales_data_1[[#This Row],[Quantity_Sold]],2), "PASS", "CHECK")</f>
        <v>PASS</v>
      </c>
    </row>
    <row r="198" spans="1:20" x14ac:dyDescent="0.35">
      <c r="A198" s="7">
        <v>197</v>
      </c>
      <c r="B198" s="9">
        <v>1029</v>
      </c>
      <c r="C198" s="7" t="str">
        <f>IFERROR(_xlfn.TEXTJOIN("-", TRUE, _xlfn.XLOOKUP(K198, product_category_id_lookup!$A$2:$A$5, product_category_id_lookup!$B$2:$B$5), B198), "Unknown Category")</f>
        <v>ctg-1029</v>
      </c>
      <c r="D198" s="8">
        <v>44624</v>
      </c>
      <c r="E198" s="7">
        <f t="shared" si="9"/>
        <v>2022</v>
      </c>
      <c r="F198" s="28" t="str">
        <f t="shared" si="10"/>
        <v>Mar</v>
      </c>
      <c r="G198" s="17" t="s">
        <v>32</v>
      </c>
      <c r="H198" s="17" t="s">
        <v>30</v>
      </c>
      <c r="I198" s="24">
        <v>14508.6736</v>
      </c>
      <c r="J198" s="32">
        <v>4</v>
      </c>
      <c r="K198" s="17" t="s">
        <v>26</v>
      </c>
      <c r="L198" s="24">
        <v>2546.06</v>
      </c>
      <c r="M198" s="24">
        <v>4772.59</v>
      </c>
      <c r="N198" s="34">
        <f>((sales_data_1[[#This Row],[Unit_Price]]*(1-sales_data_1[[#This Row],[Discount]]))-sales_data_1[[#This Row],[Unit_Cost]])*sales_data_1[[#This Row],[Quantity_Sold]]</f>
        <v>4324.4336000000003</v>
      </c>
      <c r="O198" s="17" t="s">
        <v>27</v>
      </c>
      <c r="P198" s="26">
        <v>0.24</v>
      </c>
      <c r="Q198" s="17" t="s">
        <v>25</v>
      </c>
      <c r="R198" s="17" t="s">
        <v>19</v>
      </c>
      <c r="S198" s="49" t="str">
        <f t="shared" si="11"/>
        <v>Eve-East</v>
      </c>
      <c r="T198" s="59" t="str">
        <f>IF(ROUND(sales_data_1[[#This Row],[Profit_Margin]],2)=ROUND((sales_data_1[[#This Row],[Unit_Price]]*(1-sales_data_1[[#This Row],[Discount]]) - sales_data_1[[#This Row],[Unit_Cost]])*sales_data_1[[#This Row],[Quantity_Sold]],2), "PASS", "CHECK")</f>
        <v>PASS</v>
      </c>
    </row>
    <row r="199" spans="1:20" x14ac:dyDescent="0.35">
      <c r="A199" s="7">
        <v>198</v>
      </c>
      <c r="B199" s="9">
        <v>1081</v>
      </c>
      <c r="C199" s="7" t="str">
        <f>IFERROR(_xlfn.TEXTJOIN("-", TRUE, _xlfn.XLOOKUP(K199, product_category_id_lookup!$A$2:$A$5, product_category_id_lookup!$B$2:$B$5), B199), "Unknown Category")</f>
        <v>ctg-1081</v>
      </c>
      <c r="D199" s="8">
        <v>44624</v>
      </c>
      <c r="E199" s="7">
        <f t="shared" si="9"/>
        <v>2022</v>
      </c>
      <c r="F199" s="28" t="str">
        <f t="shared" si="10"/>
        <v>Mar</v>
      </c>
      <c r="G199" s="17" t="s">
        <v>29</v>
      </c>
      <c r="H199" s="17" t="s">
        <v>15</v>
      </c>
      <c r="I199" s="24">
        <v>109928.09454473366</v>
      </c>
      <c r="J199" s="32">
        <v>34</v>
      </c>
      <c r="K199" s="17" t="s">
        <v>26</v>
      </c>
      <c r="L199" s="24">
        <v>2446.7199999999998</v>
      </c>
      <c r="M199" s="24">
        <v>3319.84</v>
      </c>
      <c r="N199" s="34">
        <f>((sales_data_1[[#This Row],[Unit_Price]]*(1-sales_data_1[[#This Row],[Discount]]))-sales_data_1[[#This Row],[Unit_Cost]])*sales_data_1[[#This Row],[Quantity_Sold]]</f>
        <v>26299.843200000003</v>
      </c>
      <c r="O199" s="17" t="s">
        <v>17</v>
      </c>
      <c r="P199" s="26">
        <v>0.03</v>
      </c>
      <c r="Q199" s="17" t="s">
        <v>28</v>
      </c>
      <c r="R199" s="17" t="s">
        <v>21</v>
      </c>
      <c r="S199" s="49" t="str">
        <f t="shared" si="11"/>
        <v>Charlie-North</v>
      </c>
      <c r="T199" s="59" t="str">
        <f>IF(ROUND(sales_data_1[[#This Row],[Profit_Margin]],2)=ROUND((sales_data_1[[#This Row],[Unit_Price]]*(1-sales_data_1[[#This Row],[Discount]]) - sales_data_1[[#This Row],[Unit_Cost]])*sales_data_1[[#This Row],[Quantity_Sold]],2), "PASS", "CHECK")</f>
        <v>PASS</v>
      </c>
    </row>
    <row r="200" spans="1:20" x14ac:dyDescent="0.35">
      <c r="A200" s="7">
        <v>199</v>
      </c>
      <c r="B200" s="9">
        <v>1015</v>
      </c>
      <c r="C200" s="7" t="str">
        <f>IFERROR(_xlfn.TEXTJOIN("-", TRUE, _xlfn.XLOOKUP(K200, product_category_id_lookup!$A$2:$A$5, product_category_id_lookup!$B$2:$B$5), B200), "Unknown Category")</f>
        <v>ctg-1015</v>
      </c>
      <c r="D200" s="8">
        <v>44624</v>
      </c>
      <c r="E200" s="7">
        <f t="shared" si="9"/>
        <v>2022</v>
      </c>
      <c r="F200" s="28" t="str">
        <f t="shared" si="10"/>
        <v>Mar</v>
      </c>
      <c r="G200" s="17" t="s">
        <v>33</v>
      </c>
      <c r="H200" s="17" t="s">
        <v>15</v>
      </c>
      <c r="I200" s="24">
        <v>55727.932799999995</v>
      </c>
      <c r="J200" s="32">
        <v>23</v>
      </c>
      <c r="K200" s="17" t="s">
        <v>26</v>
      </c>
      <c r="L200" s="24">
        <v>995.98</v>
      </c>
      <c r="M200" s="24">
        <v>2523.91</v>
      </c>
      <c r="N200" s="34">
        <f>((sales_data_1[[#This Row],[Unit_Price]]*(1-sales_data_1[[#This Row],[Discount]]))-sales_data_1[[#This Row],[Unit_Cost]])*sales_data_1[[#This Row],[Quantity_Sold]]</f>
        <v>32820.392799999994</v>
      </c>
      <c r="O200" s="17" t="s">
        <v>27</v>
      </c>
      <c r="P200" s="26">
        <v>0.04</v>
      </c>
      <c r="Q200" s="17" t="s">
        <v>25</v>
      </c>
      <c r="R200" s="17" t="s">
        <v>19</v>
      </c>
      <c r="S200" s="49" t="str">
        <f t="shared" si="11"/>
        <v>Alice-North</v>
      </c>
      <c r="T200" s="59" t="str">
        <f>IF(ROUND(sales_data_1[[#This Row],[Profit_Margin]],2)=ROUND((sales_data_1[[#This Row],[Unit_Price]]*(1-sales_data_1[[#This Row],[Discount]]) - sales_data_1[[#This Row],[Unit_Cost]])*sales_data_1[[#This Row],[Quantity_Sold]],2), "PASS", "CHECK")</f>
        <v>PASS</v>
      </c>
    </row>
    <row r="201" spans="1:20" x14ac:dyDescent="0.35">
      <c r="A201" s="7">
        <v>200</v>
      </c>
      <c r="B201" s="9">
        <v>1032</v>
      </c>
      <c r="C201" s="7" t="str">
        <f>IFERROR(_xlfn.TEXTJOIN("-", TRUE, _xlfn.XLOOKUP(K201, product_category_id_lookup!$A$2:$A$5, product_category_id_lookup!$B$2:$B$5), B201), "Unknown Category")</f>
        <v>fnt-1032</v>
      </c>
      <c r="D201" s="8">
        <v>44624</v>
      </c>
      <c r="E201" s="7">
        <f t="shared" si="9"/>
        <v>2022</v>
      </c>
      <c r="F201" s="28" t="str">
        <f t="shared" si="10"/>
        <v>Mar</v>
      </c>
      <c r="G201" s="17" t="s">
        <v>33</v>
      </c>
      <c r="H201" s="17" t="s">
        <v>20</v>
      </c>
      <c r="I201" s="24">
        <v>128630.41500000001</v>
      </c>
      <c r="J201" s="32">
        <v>43</v>
      </c>
      <c r="K201" s="17" t="s">
        <v>16</v>
      </c>
      <c r="L201" s="24">
        <v>1870.29</v>
      </c>
      <c r="M201" s="24">
        <v>3519.3</v>
      </c>
      <c r="N201" s="34">
        <f>((sales_data_1[[#This Row],[Unit_Price]]*(1-sales_data_1[[#This Row],[Discount]]))-sales_data_1[[#This Row],[Unit_Cost]])*sales_data_1[[#This Row],[Quantity_Sold]]</f>
        <v>48207.945000000007</v>
      </c>
      <c r="O201" s="17" t="s">
        <v>27</v>
      </c>
      <c r="P201" s="26">
        <v>0.15</v>
      </c>
      <c r="Q201" s="17" t="s">
        <v>25</v>
      </c>
      <c r="R201" s="17" t="s">
        <v>19</v>
      </c>
      <c r="S201" s="49" t="str">
        <f t="shared" si="11"/>
        <v>Alice-West</v>
      </c>
      <c r="T201" s="59" t="str">
        <f>IF(ROUND(sales_data_1[[#This Row],[Profit_Margin]],2)=ROUND((sales_data_1[[#This Row],[Unit_Price]]*(1-sales_data_1[[#This Row],[Discount]]) - sales_data_1[[#This Row],[Unit_Cost]])*sales_data_1[[#This Row],[Quantity_Sold]],2), "PASS", "CHECK")</f>
        <v>PASS</v>
      </c>
    </row>
    <row r="202" spans="1:20" x14ac:dyDescent="0.35">
      <c r="A202" s="7">
        <v>201</v>
      </c>
      <c r="B202" s="9">
        <v>1075</v>
      </c>
      <c r="C202" s="7" t="str">
        <f>IFERROR(_xlfn.TEXTJOIN("-", TRUE, _xlfn.XLOOKUP(K202, product_category_id_lookup!$A$2:$A$5, product_category_id_lookup!$B$2:$B$5), B202), "Unknown Category")</f>
        <v>ctg-1075</v>
      </c>
      <c r="D202" s="8">
        <v>44624</v>
      </c>
      <c r="E202" s="7">
        <f t="shared" si="9"/>
        <v>2022</v>
      </c>
      <c r="F202" s="28" t="str">
        <f t="shared" si="10"/>
        <v>Mar</v>
      </c>
      <c r="G202" s="17" t="s">
        <v>33</v>
      </c>
      <c r="H202" s="17" t="s">
        <v>15</v>
      </c>
      <c r="I202" s="24">
        <v>104179.70160000001</v>
      </c>
      <c r="J202" s="32">
        <v>26</v>
      </c>
      <c r="K202" s="17" t="s">
        <v>26</v>
      </c>
      <c r="L202" s="24">
        <v>1100.6199999999999</v>
      </c>
      <c r="M202" s="24">
        <v>5072.04</v>
      </c>
      <c r="N202" s="34">
        <f>((sales_data_1[[#This Row],[Unit_Price]]*(1-sales_data_1[[#This Row],[Discount]]))-sales_data_1[[#This Row],[Unit_Cost]])*sales_data_1[[#This Row],[Quantity_Sold]]</f>
        <v>75563.581600000005</v>
      </c>
      <c r="O202" s="17" t="s">
        <v>27</v>
      </c>
      <c r="P202" s="26">
        <v>0.21</v>
      </c>
      <c r="Q202" s="17" t="s">
        <v>18</v>
      </c>
      <c r="R202" s="17" t="s">
        <v>19</v>
      </c>
      <c r="S202" s="49" t="str">
        <f t="shared" si="11"/>
        <v>Alice-North</v>
      </c>
      <c r="T202" s="59" t="str">
        <f>IF(ROUND(sales_data_1[[#This Row],[Profit_Margin]],2)=ROUND((sales_data_1[[#This Row],[Unit_Price]]*(1-sales_data_1[[#This Row],[Discount]]) - sales_data_1[[#This Row],[Unit_Cost]])*sales_data_1[[#This Row],[Quantity_Sold]],2), "PASS", "CHECK")</f>
        <v>PASS</v>
      </c>
    </row>
    <row r="203" spans="1:20" x14ac:dyDescent="0.35">
      <c r="A203" s="7">
        <v>202</v>
      </c>
      <c r="B203" s="9">
        <v>1091</v>
      </c>
      <c r="C203" s="7" t="str">
        <f>IFERROR(_xlfn.TEXTJOIN("-", TRUE, _xlfn.XLOOKUP(K203, product_category_id_lookup!$A$2:$A$5, product_category_id_lookup!$B$2:$B$5), B203), "Unknown Category")</f>
        <v>fd-1091</v>
      </c>
      <c r="D203" s="8">
        <v>44625</v>
      </c>
      <c r="E203" s="7">
        <f t="shared" si="9"/>
        <v>2022</v>
      </c>
      <c r="F203" s="28" t="str">
        <f t="shared" si="10"/>
        <v>Mar</v>
      </c>
      <c r="G203" s="17" t="s">
        <v>14</v>
      </c>
      <c r="H203" s="17" t="s">
        <v>15</v>
      </c>
      <c r="I203" s="24">
        <v>21286.36</v>
      </c>
      <c r="J203" s="32">
        <v>5</v>
      </c>
      <c r="K203" s="17" t="s">
        <v>24</v>
      </c>
      <c r="L203" s="24">
        <v>4227.22</v>
      </c>
      <c r="M203" s="24">
        <v>5321.59</v>
      </c>
      <c r="N203" s="34">
        <f>((sales_data_1[[#This Row],[Unit_Price]]*(1-sales_data_1[[#This Row],[Discount]]))-sales_data_1[[#This Row],[Unit_Cost]])*sales_data_1[[#This Row],[Quantity_Sold]]</f>
        <v>150.2599999999984</v>
      </c>
      <c r="O203" s="17" t="s">
        <v>17</v>
      </c>
      <c r="P203" s="26">
        <v>0.2</v>
      </c>
      <c r="Q203" s="17" t="s">
        <v>18</v>
      </c>
      <c r="R203" s="17" t="s">
        <v>21</v>
      </c>
      <c r="S203" s="49" t="str">
        <f t="shared" si="11"/>
        <v>Bob-North</v>
      </c>
      <c r="T203" s="59" t="str">
        <f>IF(ROUND(sales_data_1[[#This Row],[Profit_Margin]],2)=ROUND((sales_data_1[[#This Row],[Unit_Price]]*(1-sales_data_1[[#This Row],[Discount]]) - sales_data_1[[#This Row],[Unit_Cost]])*sales_data_1[[#This Row],[Quantity_Sold]],2), "PASS", "CHECK")</f>
        <v>PASS</v>
      </c>
    </row>
    <row r="204" spans="1:20" x14ac:dyDescent="0.35">
      <c r="A204" s="7">
        <v>203</v>
      </c>
      <c r="B204" s="9">
        <v>1046</v>
      </c>
      <c r="C204" s="7" t="str">
        <f>IFERROR(_xlfn.TEXTJOIN("-", TRUE, _xlfn.XLOOKUP(K204, product_category_id_lookup!$A$2:$A$5, product_category_id_lookup!$B$2:$B$5), B204), "Unknown Category")</f>
        <v>ctg-1046</v>
      </c>
      <c r="D204" s="8">
        <v>44626</v>
      </c>
      <c r="E204" s="7">
        <f t="shared" si="9"/>
        <v>2022</v>
      </c>
      <c r="F204" s="28" t="str">
        <f t="shared" si="10"/>
        <v>Mar</v>
      </c>
      <c r="G204" s="17" t="s">
        <v>14</v>
      </c>
      <c r="H204" s="17" t="s">
        <v>15</v>
      </c>
      <c r="I204" s="24">
        <v>8670.2000000000007</v>
      </c>
      <c r="J204" s="32">
        <v>7</v>
      </c>
      <c r="K204" s="17" t="s">
        <v>26</v>
      </c>
      <c r="L204" s="24">
        <v>393.6</v>
      </c>
      <c r="M204" s="24">
        <v>1548.25</v>
      </c>
      <c r="N204" s="34">
        <f>((sales_data_1[[#This Row],[Unit_Price]]*(1-sales_data_1[[#This Row],[Discount]]))-sales_data_1[[#This Row],[Unit_Cost]])*sales_data_1[[#This Row],[Quantity_Sold]]</f>
        <v>5915.0000000000009</v>
      </c>
      <c r="O204" s="17" t="s">
        <v>17</v>
      </c>
      <c r="P204" s="26">
        <v>0.2</v>
      </c>
      <c r="Q204" s="17" t="s">
        <v>25</v>
      </c>
      <c r="R204" s="17" t="s">
        <v>21</v>
      </c>
      <c r="S204" s="49" t="str">
        <f t="shared" si="11"/>
        <v>Bob-North</v>
      </c>
      <c r="T204" s="59" t="str">
        <f>IF(ROUND(sales_data_1[[#This Row],[Profit_Margin]],2)=ROUND((sales_data_1[[#This Row],[Unit_Price]]*(1-sales_data_1[[#This Row],[Discount]]) - sales_data_1[[#This Row],[Unit_Cost]])*sales_data_1[[#This Row],[Quantity_Sold]],2), "PASS", "CHECK")</f>
        <v>PASS</v>
      </c>
    </row>
    <row r="205" spans="1:20" x14ac:dyDescent="0.35">
      <c r="A205" s="7">
        <v>204</v>
      </c>
      <c r="B205" s="9">
        <v>1032</v>
      </c>
      <c r="C205" s="7" t="str">
        <f>IFERROR(_xlfn.TEXTJOIN("-", TRUE, _xlfn.XLOOKUP(K205, product_category_id_lookup!$A$2:$A$5, product_category_id_lookup!$B$2:$B$5), B205), "Unknown Category")</f>
        <v>fd-1032</v>
      </c>
      <c r="D205" s="8">
        <v>44626</v>
      </c>
      <c r="E205" s="7">
        <f t="shared" si="9"/>
        <v>2022</v>
      </c>
      <c r="F205" s="28" t="str">
        <f t="shared" si="10"/>
        <v>Mar</v>
      </c>
      <c r="G205" s="17" t="s">
        <v>29</v>
      </c>
      <c r="H205" s="17" t="s">
        <v>20</v>
      </c>
      <c r="I205" s="24">
        <v>12268.5836</v>
      </c>
      <c r="J205" s="32">
        <v>4</v>
      </c>
      <c r="K205" s="17" t="s">
        <v>24</v>
      </c>
      <c r="L205" s="24">
        <v>1484.49</v>
      </c>
      <c r="M205" s="24">
        <v>3370.49</v>
      </c>
      <c r="N205" s="34">
        <f>((sales_data_1[[#This Row],[Unit_Price]]*(1-sales_data_1[[#This Row],[Discount]]))-sales_data_1[[#This Row],[Unit_Cost]])*sales_data_1[[#This Row],[Quantity_Sold]]</f>
        <v>6330.6235999999999</v>
      </c>
      <c r="O205" s="17" t="s">
        <v>17</v>
      </c>
      <c r="P205" s="26">
        <v>0.09</v>
      </c>
      <c r="Q205" s="17" t="s">
        <v>28</v>
      </c>
      <c r="R205" s="17" t="s">
        <v>21</v>
      </c>
      <c r="S205" s="49" t="str">
        <f t="shared" si="11"/>
        <v>Charlie-West</v>
      </c>
      <c r="T205" s="59" t="str">
        <f>IF(ROUND(sales_data_1[[#This Row],[Profit_Margin]],2)=ROUND((sales_data_1[[#This Row],[Unit_Price]]*(1-sales_data_1[[#This Row],[Discount]]) - sales_data_1[[#This Row],[Unit_Cost]])*sales_data_1[[#This Row],[Quantity_Sold]],2), "PASS", "CHECK")</f>
        <v>PASS</v>
      </c>
    </row>
    <row r="206" spans="1:20" x14ac:dyDescent="0.35">
      <c r="A206" s="7">
        <v>205</v>
      </c>
      <c r="B206" s="9">
        <v>1029</v>
      </c>
      <c r="C206" s="7" t="str">
        <f>IFERROR(_xlfn.TEXTJOIN("-", TRUE, _xlfn.XLOOKUP(K206, product_category_id_lookup!$A$2:$A$5, product_category_id_lookup!$B$2:$B$5), B206), "Unknown Category")</f>
        <v>fd-1029</v>
      </c>
      <c r="D206" s="8">
        <v>44626</v>
      </c>
      <c r="E206" s="7">
        <f t="shared" si="9"/>
        <v>2022</v>
      </c>
      <c r="F206" s="28" t="str">
        <f t="shared" si="10"/>
        <v>Mar</v>
      </c>
      <c r="G206" s="17" t="s">
        <v>32</v>
      </c>
      <c r="H206" s="17" t="s">
        <v>23</v>
      </c>
      <c r="I206" s="24">
        <v>12473.5016</v>
      </c>
      <c r="J206" s="32">
        <v>8</v>
      </c>
      <c r="K206" s="17" t="s">
        <v>24</v>
      </c>
      <c r="L206" s="24">
        <v>316.67</v>
      </c>
      <c r="M206" s="24">
        <v>1607.41</v>
      </c>
      <c r="N206" s="34">
        <f>((sales_data_1[[#This Row],[Unit_Price]]*(1-sales_data_1[[#This Row],[Discount]]))-sales_data_1[[#This Row],[Unit_Cost]])*sales_data_1[[#This Row],[Quantity_Sold]]</f>
        <v>9940.141599999999</v>
      </c>
      <c r="O206" s="17" t="s">
        <v>17</v>
      </c>
      <c r="P206" s="26">
        <v>0.03</v>
      </c>
      <c r="Q206" s="17" t="s">
        <v>28</v>
      </c>
      <c r="R206" s="17" t="s">
        <v>19</v>
      </c>
      <c r="S206" s="49" t="str">
        <f t="shared" si="11"/>
        <v>Eve-South</v>
      </c>
      <c r="T206" s="59" t="str">
        <f>IF(ROUND(sales_data_1[[#This Row],[Profit_Margin]],2)=ROUND((sales_data_1[[#This Row],[Unit_Price]]*(1-sales_data_1[[#This Row],[Discount]]) - sales_data_1[[#This Row],[Unit_Cost]])*sales_data_1[[#This Row],[Quantity_Sold]],2), "PASS", "CHECK")</f>
        <v>PASS</v>
      </c>
    </row>
    <row r="207" spans="1:20" x14ac:dyDescent="0.35">
      <c r="A207" s="7">
        <v>206</v>
      </c>
      <c r="B207" s="9">
        <v>1071</v>
      </c>
      <c r="C207" s="7" t="str">
        <f>IFERROR(_xlfn.TEXTJOIN("-", TRUE, _xlfn.XLOOKUP(K207, product_category_id_lookup!$A$2:$A$5, product_category_id_lookup!$B$2:$B$5), B207), "Unknown Category")</f>
        <v>fnt-1071</v>
      </c>
      <c r="D207" s="8">
        <v>44627</v>
      </c>
      <c r="E207" s="7">
        <f t="shared" si="9"/>
        <v>2022</v>
      </c>
      <c r="F207" s="28" t="str">
        <f t="shared" si="10"/>
        <v>Mar</v>
      </c>
      <c r="G207" s="17" t="s">
        <v>32</v>
      </c>
      <c r="H207" s="17" t="s">
        <v>30</v>
      </c>
      <c r="I207" s="24">
        <v>5298.5375999999997</v>
      </c>
      <c r="J207" s="32">
        <v>3</v>
      </c>
      <c r="K207" s="17" t="s">
        <v>16</v>
      </c>
      <c r="L207" s="24">
        <v>1040</v>
      </c>
      <c r="M207" s="24">
        <v>2323.92</v>
      </c>
      <c r="N207" s="34">
        <f>((sales_data_1[[#This Row],[Unit_Price]]*(1-sales_data_1[[#This Row],[Discount]]))-sales_data_1[[#This Row],[Unit_Cost]])*sales_data_1[[#This Row],[Quantity_Sold]]</f>
        <v>2178.5376000000001</v>
      </c>
      <c r="O207" s="17" t="s">
        <v>17</v>
      </c>
      <c r="P207" s="26">
        <v>0.24</v>
      </c>
      <c r="Q207" s="17" t="s">
        <v>18</v>
      </c>
      <c r="R207" s="17" t="s">
        <v>21</v>
      </c>
      <c r="S207" s="49" t="str">
        <f t="shared" si="11"/>
        <v>Eve-East</v>
      </c>
      <c r="T207" s="59" t="str">
        <f>IF(ROUND(sales_data_1[[#This Row],[Profit_Margin]],2)=ROUND((sales_data_1[[#This Row],[Unit_Price]]*(1-sales_data_1[[#This Row],[Discount]]) - sales_data_1[[#This Row],[Unit_Cost]])*sales_data_1[[#This Row],[Quantity_Sold]],2), "PASS", "CHECK")</f>
        <v>PASS</v>
      </c>
    </row>
    <row r="208" spans="1:20" x14ac:dyDescent="0.35">
      <c r="A208" s="7">
        <v>207</v>
      </c>
      <c r="B208" s="9">
        <v>1100</v>
      </c>
      <c r="C208" s="7" t="str">
        <f>IFERROR(_xlfn.TEXTJOIN("-", TRUE, _xlfn.XLOOKUP(K208, product_category_id_lookup!$A$2:$A$5, product_category_id_lookup!$B$2:$B$5), B208), "Unknown Category")</f>
        <v>ctg-1100</v>
      </c>
      <c r="D208" s="8">
        <v>44627</v>
      </c>
      <c r="E208" s="7">
        <f t="shared" si="9"/>
        <v>2022</v>
      </c>
      <c r="F208" s="28" t="str">
        <f t="shared" si="10"/>
        <v>Mar</v>
      </c>
      <c r="G208" s="17" t="s">
        <v>32</v>
      </c>
      <c r="H208" s="17" t="s">
        <v>23</v>
      </c>
      <c r="I208" s="24">
        <v>22368.646199999996</v>
      </c>
      <c r="J208" s="32">
        <v>6</v>
      </c>
      <c r="K208" s="17" t="s">
        <v>26</v>
      </c>
      <c r="L208" s="24">
        <v>3071.16</v>
      </c>
      <c r="M208" s="24">
        <v>3843.41</v>
      </c>
      <c r="N208" s="34">
        <f>((sales_data_1[[#This Row],[Unit_Price]]*(1-sales_data_1[[#This Row],[Discount]]))-sales_data_1[[#This Row],[Unit_Cost]])*sales_data_1[[#This Row],[Quantity_Sold]]</f>
        <v>3941.6861999999983</v>
      </c>
      <c r="O208" s="17" t="s">
        <v>17</v>
      </c>
      <c r="P208" s="26">
        <v>0.03</v>
      </c>
      <c r="Q208" s="17" t="s">
        <v>18</v>
      </c>
      <c r="R208" s="17" t="s">
        <v>19</v>
      </c>
      <c r="S208" s="49" t="str">
        <f t="shared" si="11"/>
        <v>Eve-South</v>
      </c>
      <c r="T208" s="59" t="str">
        <f>IF(ROUND(sales_data_1[[#This Row],[Profit_Margin]],2)=ROUND((sales_data_1[[#This Row],[Unit_Price]]*(1-sales_data_1[[#This Row],[Discount]]) - sales_data_1[[#This Row],[Unit_Cost]])*sales_data_1[[#This Row],[Quantity_Sold]],2), "PASS", "CHECK")</f>
        <v>PASS</v>
      </c>
    </row>
    <row r="209" spans="1:20" x14ac:dyDescent="0.35">
      <c r="A209" s="7">
        <v>208</v>
      </c>
      <c r="B209" s="9">
        <v>1025</v>
      </c>
      <c r="C209" s="7" t="str">
        <f>IFERROR(_xlfn.TEXTJOIN("-", TRUE, _xlfn.XLOOKUP(K209, product_category_id_lookup!$A$2:$A$5, product_category_id_lookup!$B$2:$B$5), B209), "Unknown Category")</f>
        <v>ctg-1025</v>
      </c>
      <c r="D209" s="8">
        <v>44627</v>
      </c>
      <c r="E209" s="7">
        <f t="shared" si="9"/>
        <v>2022</v>
      </c>
      <c r="F209" s="28" t="str">
        <f t="shared" si="10"/>
        <v>Mar</v>
      </c>
      <c r="G209" s="17" t="s">
        <v>32</v>
      </c>
      <c r="H209" s="17" t="s">
        <v>30</v>
      </c>
      <c r="I209" s="24">
        <v>37901.2569</v>
      </c>
      <c r="J209" s="32">
        <v>13</v>
      </c>
      <c r="K209" s="17" t="s">
        <v>26</v>
      </c>
      <c r="L209" s="24">
        <v>2036.88</v>
      </c>
      <c r="M209" s="24">
        <v>3993.81</v>
      </c>
      <c r="N209" s="34">
        <f>((sales_data_1[[#This Row],[Unit_Price]]*(1-sales_data_1[[#This Row],[Discount]]))-sales_data_1[[#This Row],[Unit_Cost]])*sales_data_1[[#This Row],[Quantity_Sold]]</f>
        <v>11421.816899999998</v>
      </c>
      <c r="O209" s="17" t="s">
        <v>17</v>
      </c>
      <c r="P209" s="26">
        <v>0.27</v>
      </c>
      <c r="Q209" s="17" t="s">
        <v>18</v>
      </c>
      <c r="R209" s="17" t="s">
        <v>21</v>
      </c>
      <c r="S209" s="49" t="str">
        <f t="shared" si="11"/>
        <v>Eve-East</v>
      </c>
      <c r="T209" s="59" t="str">
        <f>IF(ROUND(sales_data_1[[#This Row],[Profit_Margin]],2)=ROUND((sales_data_1[[#This Row],[Unit_Price]]*(1-sales_data_1[[#This Row],[Discount]]) - sales_data_1[[#This Row],[Unit_Cost]])*sales_data_1[[#This Row],[Quantity_Sold]],2), "PASS", "CHECK")</f>
        <v>PASS</v>
      </c>
    </row>
    <row r="210" spans="1:20" x14ac:dyDescent="0.35">
      <c r="A210" s="7">
        <v>209</v>
      </c>
      <c r="B210" s="9">
        <v>1088</v>
      </c>
      <c r="C210" s="7" t="str">
        <f>IFERROR(_xlfn.TEXTJOIN("-", TRUE, _xlfn.XLOOKUP(K210, product_category_id_lookup!$A$2:$A$5, product_category_id_lookup!$B$2:$B$5), B210), "Unknown Category")</f>
        <v>ctg-1088</v>
      </c>
      <c r="D210" s="8">
        <v>44627</v>
      </c>
      <c r="E210" s="7">
        <f t="shared" si="9"/>
        <v>2022</v>
      </c>
      <c r="F210" s="28" t="str">
        <f t="shared" si="10"/>
        <v>Mar</v>
      </c>
      <c r="G210" s="17" t="s">
        <v>32</v>
      </c>
      <c r="H210" s="17" t="s">
        <v>20</v>
      </c>
      <c r="I210" s="24">
        <v>26892.896399999998</v>
      </c>
      <c r="J210" s="32">
        <v>27</v>
      </c>
      <c r="K210" s="17" t="s">
        <v>26</v>
      </c>
      <c r="L210" s="24">
        <v>227.6</v>
      </c>
      <c r="M210" s="24">
        <v>1310.57</v>
      </c>
      <c r="N210" s="34">
        <f>((sales_data_1[[#This Row],[Unit_Price]]*(1-sales_data_1[[#This Row],[Discount]]))-sales_data_1[[#This Row],[Unit_Cost]])*sales_data_1[[#This Row],[Quantity_Sold]]</f>
        <v>20747.696399999997</v>
      </c>
      <c r="O210" s="17" t="s">
        <v>27</v>
      </c>
      <c r="P210" s="26">
        <v>0.24</v>
      </c>
      <c r="Q210" s="17" t="s">
        <v>18</v>
      </c>
      <c r="R210" s="17" t="s">
        <v>19</v>
      </c>
      <c r="S210" s="49" t="str">
        <f t="shared" si="11"/>
        <v>Eve-West</v>
      </c>
      <c r="T210" s="59" t="str">
        <f>IF(ROUND(sales_data_1[[#This Row],[Profit_Margin]],2)=ROUND((sales_data_1[[#This Row],[Unit_Price]]*(1-sales_data_1[[#This Row],[Discount]]) - sales_data_1[[#This Row],[Unit_Cost]])*sales_data_1[[#This Row],[Quantity_Sold]],2), "PASS", "CHECK")</f>
        <v>PASS</v>
      </c>
    </row>
    <row r="211" spans="1:20" x14ac:dyDescent="0.35">
      <c r="A211" s="7">
        <v>210</v>
      </c>
      <c r="B211" s="9">
        <v>1088</v>
      </c>
      <c r="C211" s="7" t="str">
        <f>IFERROR(_xlfn.TEXTJOIN("-", TRUE, _xlfn.XLOOKUP(K211, product_category_id_lookup!$A$2:$A$5, product_category_id_lookup!$B$2:$B$5), B211), "Unknown Category")</f>
        <v>fd-1088</v>
      </c>
      <c r="D211" s="8">
        <v>44627</v>
      </c>
      <c r="E211" s="7">
        <f t="shared" si="9"/>
        <v>2022</v>
      </c>
      <c r="F211" s="28" t="str">
        <f t="shared" si="10"/>
        <v>Mar</v>
      </c>
      <c r="G211" s="17" t="s">
        <v>22</v>
      </c>
      <c r="H211" s="17" t="s">
        <v>30</v>
      </c>
      <c r="I211" s="24">
        <v>34237.387800000004</v>
      </c>
      <c r="J211" s="32">
        <v>11</v>
      </c>
      <c r="K211" s="17" t="s">
        <v>24</v>
      </c>
      <c r="L211" s="24">
        <v>1008.51</v>
      </c>
      <c r="M211" s="24">
        <v>3176.01</v>
      </c>
      <c r="N211" s="34">
        <f>((sales_data_1[[#This Row],[Unit_Price]]*(1-sales_data_1[[#This Row],[Discount]]))-sales_data_1[[#This Row],[Unit_Cost]])*sales_data_1[[#This Row],[Quantity_Sold]]</f>
        <v>23143.7778</v>
      </c>
      <c r="O211" s="17" t="s">
        <v>27</v>
      </c>
      <c r="P211" s="26">
        <v>0.02</v>
      </c>
      <c r="Q211" s="17" t="s">
        <v>18</v>
      </c>
      <c r="R211" s="17" t="s">
        <v>21</v>
      </c>
      <c r="S211" s="49" t="str">
        <f t="shared" si="11"/>
        <v>David-East</v>
      </c>
      <c r="T211" s="59" t="str">
        <f>IF(ROUND(sales_data_1[[#This Row],[Profit_Margin]],2)=ROUND((sales_data_1[[#This Row],[Unit_Price]]*(1-sales_data_1[[#This Row],[Discount]]) - sales_data_1[[#This Row],[Unit_Cost]])*sales_data_1[[#This Row],[Quantity_Sold]],2), "PASS", "CHECK")</f>
        <v>PASS</v>
      </c>
    </row>
    <row r="212" spans="1:20" x14ac:dyDescent="0.35">
      <c r="A212" s="7">
        <v>211</v>
      </c>
      <c r="B212" s="9">
        <v>1049</v>
      </c>
      <c r="C212" s="7" t="str">
        <f>IFERROR(_xlfn.TEXTJOIN("-", TRUE, _xlfn.XLOOKUP(K212, product_category_id_lookup!$A$2:$A$5, product_category_id_lookup!$B$2:$B$5), B212), "Unknown Category")</f>
        <v>ctg-1049</v>
      </c>
      <c r="D212" s="8">
        <v>44628</v>
      </c>
      <c r="E212" s="7">
        <f t="shared" si="9"/>
        <v>2022</v>
      </c>
      <c r="F212" s="28" t="str">
        <f t="shared" si="10"/>
        <v>Mar</v>
      </c>
      <c r="G212" s="17" t="s">
        <v>33</v>
      </c>
      <c r="H212" s="17" t="s">
        <v>20</v>
      </c>
      <c r="I212" s="24">
        <v>84117.540965343316</v>
      </c>
      <c r="J212" s="32">
        <v>18</v>
      </c>
      <c r="K212" s="17" t="s">
        <v>26</v>
      </c>
      <c r="L212" s="24">
        <v>4293.76</v>
      </c>
      <c r="M212" s="24">
        <v>4789.1099999999997</v>
      </c>
      <c r="N212" s="34">
        <f>((sales_data_1[[#This Row],[Unit_Price]]*(1-sales_data_1[[#This Row],[Discount]]))-sales_data_1[[#This Row],[Unit_Cost]])*sales_data_1[[#This Row],[Quantity_Sold]]</f>
        <v>7192.2203999999965</v>
      </c>
      <c r="O212" s="17" t="s">
        <v>27</v>
      </c>
      <c r="P212" s="26">
        <v>0.02</v>
      </c>
      <c r="Q212" s="17" t="s">
        <v>18</v>
      </c>
      <c r="R212" s="17" t="s">
        <v>19</v>
      </c>
      <c r="S212" s="49" t="str">
        <f t="shared" si="11"/>
        <v>Alice-West</v>
      </c>
      <c r="T212" s="59" t="str">
        <f>IF(ROUND(sales_data_1[[#This Row],[Profit_Margin]],2)=ROUND((sales_data_1[[#This Row],[Unit_Price]]*(1-sales_data_1[[#This Row],[Discount]]) - sales_data_1[[#This Row],[Unit_Cost]])*sales_data_1[[#This Row],[Quantity_Sold]],2), "PASS", "CHECK")</f>
        <v>PASS</v>
      </c>
    </row>
    <row r="213" spans="1:20" x14ac:dyDescent="0.35">
      <c r="A213" s="7">
        <v>212</v>
      </c>
      <c r="B213" s="9">
        <v>1074</v>
      </c>
      <c r="C213" s="7" t="str">
        <f>IFERROR(_xlfn.TEXTJOIN("-", TRUE, _xlfn.XLOOKUP(K213, product_category_id_lookup!$A$2:$A$5, product_category_id_lookup!$B$2:$B$5), B213), "Unknown Category")</f>
        <v>fd-1074</v>
      </c>
      <c r="D213" s="8">
        <v>44628</v>
      </c>
      <c r="E213" s="7">
        <f t="shared" si="9"/>
        <v>2022</v>
      </c>
      <c r="F213" s="28" t="str">
        <f t="shared" si="10"/>
        <v>Mar</v>
      </c>
      <c r="G213" s="17" t="s">
        <v>14</v>
      </c>
      <c r="H213" s="17" t="s">
        <v>30</v>
      </c>
      <c r="I213" s="24">
        <v>156784</v>
      </c>
      <c r="J213" s="32">
        <v>32</v>
      </c>
      <c r="K213" s="17" t="s">
        <v>24</v>
      </c>
      <c r="L213" s="24">
        <v>2730.56</v>
      </c>
      <c r="M213" s="24">
        <v>4899.5</v>
      </c>
      <c r="N213" s="34">
        <f>((sales_data_1[[#This Row],[Unit_Price]]*(1-sales_data_1[[#This Row],[Discount]]))-sales_data_1[[#This Row],[Unit_Cost]])*sales_data_1[[#This Row],[Quantity_Sold]]</f>
        <v>69406.080000000002</v>
      </c>
      <c r="O213" s="17" t="s">
        <v>27</v>
      </c>
      <c r="P213" s="26">
        <v>0</v>
      </c>
      <c r="Q213" s="17" t="s">
        <v>25</v>
      </c>
      <c r="R213" s="17" t="s">
        <v>21</v>
      </c>
      <c r="S213" s="49" t="str">
        <f t="shared" si="11"/>
        <v>Bob-East</v>
      </c>
      <c r="T213" s="59" t="str">
        <f>IF(ROUND(sales_data_1[[#This Row],[Profit_Margin]],2)=ROUND((sales_data_1[[#This Row],[Unit_Price]]*(1-sales_data_1[[#This Row],[Discount]]) - sales_data_1[[#This Row],[Unit_Cost]])*sales_data_1[[#This Row],[Quantity_Sold]],2), "PASS", "CHECK")</f>
        <v>PASS</v>
      </c>
    </row>
    <row r="214" spans="1:20" x14ac:dyDescent="0.35">
      <c r="A214" s="7">
        <v>213</v>
      </c>
      <c r="B214" s="9">
        <v>1090</v>
      </c>
      <c r="C214" s="7" t="str">
        <f>IFERROR(_xlfn.TEXTJOIN("-", TRUE, _xlfn.XLOOKUP(K214, product_category_id_lookup!$A$2:$A$5, product_category_id_lookup!$B$2:$B$5), B214), "Unknown Category")</f>
        <v>etc-1090</v>
      </c>
      <c r="D214" s="8">
        <v>44628</v>
      </c>
      <c r="E214" s="7">
        <f t="shared" si="9"/>
        <v>2022</v>
      </c>
      <c r="F214" s="28" t="str">
        <f t="shared" si="10"/>
        <v>Mar</v>
      </c>
      <c r="G214" s="17" t="s">
        <v>32</v>
      </c>
      <c r="H214" s="17" t="s">
        <v>30</v>
      </c>
      <c r="I214" s="24">
        <v>150042.12119999999</v>
      </c>
      <c r="J214" s="32">
        <v>36</v>
      </c>
      <c r="K214" s="17" t="s">
        <v>31</v>
      </c>
      <c r="L214" s="24">
        <v>1240.08</v>
      </c>
      <c r="M214" s="24">
        <v>5021.49</v>
      </c>
      <c r="N214" s="34">
        <f>((sales_data_1[[#This Row],[Unit_Price]]*(1-sales_data_1[[#This Row],[Discount]]))-sales_data_1[[#This Row],[Unit_Cost]])*sales_data_1[[#This Row],[Quantity_Sold]]</f>
        <v>105399.24119999999</v>
      </c>
      <c r="O214" s="17" t="s">
        <v>27</v>
      </c>
      <c r="P214" s="26">
        <v>0.17</v>
      </c>
      <c r="Q214" s="17" t="s">
        <v>25</v>
      </c>
      <c r="R214" s="17" t="s">
        <v>21</v>
      </c>
      <c r="S214" s="49" t="str">
        <f t="shared" si="11"/>
        <v>Eve-East</v>
      </c>
      <c r="T214" s="59" t="str">
        <f>IF(ROUND(sales_data_1[[#This Row],[Profit_Margin]],2)=ROUND((sales_data_1[[#This Row],[Unit_Price]]*(1-sales_data_1[[#This Row],[Discount]]) - sales_data_1[[#This Row],[Unit_Cost]])*sales_data_1[[#This Row],[Quantity_Sold]],2), "PASS", "CHECK")</f>
        <v>PASS</v>
      </c>
    </row>
    <row r="215" spans="1:20" x14ac:dyDescent="0.35">
      <c r="A215" s="7">
        <v>214</v>
      </c>
      <c r="B215" s="9">
        <v>1033</v>
      </c>
      <c r="C215" s="7" t="str">
        <f>IFERROR(_xlfn.TEXTJOIN("-", TRUE, _xlfn.XLOOKUP(K215, product_category_id_lookup!$A$2:$A$5, product_category_id_lookup!$B$2:$B$5), B215), "Unknown Category")</f>
        <v>fnt-1033</v>
      </c>
      <c r="D215" s="8">
        <v>44629</v>
      </c>
      <c r="E215" s="7">
        <f t="shared" si="9"/>
        <v>2022</v>
      </c>
      <c r="F215" s="28" t="str">
        <f t="shared" si="10"/>
        <v>Mar</v>
      </c>
      <c r="G215" s="17" t="s">
        <v>29</v>
      </c>
      <c r="H215" s="17" t="s">
        <v>30</v>
      </c>
      <c r="I215" s="24">
        <v>18734.461199999998</v>
      </c>
      <c r="J215" s="32">
        <v>7</v>
      </c>
      <c r="K215" s="17" t="s">
        <v>16</v>
      </c>
      <c r="L215" s="24">
        <v>1845.36</v>
      </c>
      <c r="M215" s="24">
        <v>3431.22</v>
      </c>
      <c r="N215" s="34">
        <f>((sales_data_1[[#This Row],[Unit_Price]]*(1-sales_data_1[[#This Row],[Discount]]))-sales_data_1[[#This Row],[Unit_Cost]])*sales_data_1[[#This Row],[Quantity_Sold]]</f>
        <v>5816.9412000000002</v>
      </c>
      <c r="O215" s="17" t="s">
        <v>27</v>
      </c>
      <c r="P215" s="26">
        <v>0.22</v>
      </c>
      <c r="Q215" s="17" t="s">
        <v>28</v>
      </c>
      <c r="R215" s="17" t="s">
        <v>19</v>
      </c>
      <c r="S215" s="49" t="str">
        <f t="shared" si="11"/>
        <v>Charlie-East</v>
      </c>
      <c r="T215" s="59" t="str">
        <f>IF(ROUND(sales_data_1[[#This Row],[Profit_Margin]],2)=ROUND((sales_data_1[[#This Row],[Unit_Price]]*(1-sales_data_1[[#This Row],[Discount]]) - sales_data_1[[#This Row],[Unit_Cost]])*sales_data_1[[#This Row],[Quantity_Sold]],2), "PASS", "CHECK")</f>
        <v>PASS</v>
      </c>
    </row>
    <row r="216" spans="1:20" x14ac:dyDescent="0.35">
      <c r="A216" s="7">
        <v>215</v>
      </c>
      <c r="B216" s="9">
        <v>1066</v>
      </c>
      <c r="C216" s="7" t="str">
        <f>IFERROR(_xlfn.TEXTJOIN("-", TRUE, _xlfn.XLOOKUP(K216, product_category_id_lookup!$A$2:$A$5, product_category_id_lookup!$B$2:$B$5), B216), "Unknown Category")</f>
        <v>ctg-1066</v>
      </c>
      <c r="D216" s="8">
        <v>44629</v>
      </c>
      <c r="E216" s="7">
        <f t="shared" si="9"/>
        <v>2022</v>
      </c>
      <c r="F216" s="28" t="str">
        <f t="shared" si="10"/>
        <v>Mar</v>
      </c>
      <c r="G216" s="17" t="s">
        <v>33</v>
      </c>
      <c r="H216" s="17" t="s">
        <v>23</v>
      </c>
      <c r="I216" s="24">
        <v>46695.545600000005</v>
      </c>
      <c r="J216" s="32">
        <v>11</v>
      </c>
      <c r="K216" s="17" t="s">
        <v>26</v>
      </c>
      <c r="L216" s="24">
        <v>1387.14</v>
      </c>
      <c r="M216" s="24">
        <v>4823.92</v>
      </c>
      <c r="N216" s="34">
        <f>((sales_data_1[[#This Row],[Unit_Price]]*(1-sales_data_1[[#This Row],[Discount]]))-sales_data_1[[#This Row],[Unit_Cost]])*sales_data_1[[#This Row],[Quantity_Sold]]</f>
        <v>31437.0056</v>
      </c>
      <c r="O216" s="17" t="s">
        <v>17</v>
      </c>
      <c r="P216" s="26">
        <v>0.12</v>
      </c>
      <c r="Q216" s="17" t="s">
        <v>28</v>
      </c>
      <c r="R216" s="17" t="s">
        <v>21</v>
      </c>
      <c r="S216" s="49" t="str">
        <f t="shared" si="11"/>
        <v>Alice-South</v>
      </c>
      <c r="T216" s="59" t="str">
        <f>IF(ROUND(sales_data_1[[#This Row],[Profit_Margin]],2)=ROUND((sales_data_1[[#This Row],[Unit_Price]]*(1-sales_data_1[[#This Row],[Discount]]) - sales_data_1[[#This Row],[Unit_Cost]])*sales_data_1[[#This Row],[Quantity_Sold]],2), "PASS", "CHECK")</f>
        <v>PASS</v>
      </c>
    </row>
    <row r="217" spans="1:20" x14ac:dyDescent="0.35">
      <c r="A217" s="7">
        <v>216</v>
      </c>
      <c r="B217" s="9">
        <v>1093</v>
      </c>
      <c r="C217" s="7" t="str">
        <f>IFERROR(_xlfn.TEXTJOIN("-", TRUE, _xlfn.XLOOKUP(K217, product_category_id_lookup!$A$2:$A$5, product_category_id_lookup!$B$2:$B$5), B217), "Unknown Category")</f>
        <v>fnt-1093</v>
      </c>
      <c r="D217" s="8">
        <v>44629</v>
      </c>
      <c r="E217" s="7">
        <f t="shared" si="9"/>
        <v>2022</v>
      </c>
      <c r="F217" s="28" t="str">
        <f t="shared" si="10"/>
        <v>Mar</v>
      </c>
      <c r="G217" s="17" t="s">
        <v>32</v>
      </c>
      <c r="H217" s="17" t="s">
        <v>20</v>
      </c>
      <c r="I217" s="24">
        <v>215622.05</v>
      </c>
      <c r="J217" s="32">
        <v>49</v>
      </c>
      <c r="K217" s="17" t="s">
        <v>16</v>
      </c>
      <c r="L217" s="24">
        <v>273.06</v>
      </c>
      <c r="M217" s="24">
        <v>5177</v>
      </c>
      <c r="N217" s="34">
        <f>((sales_data_1[[#This Row],[Unit_Price]]*(1-sales_data_1[[#This Row],[Discount]]))-sales_data_1[[#This Row],[Unit_Cost]])*sales_data_1[[#This Row],[Quantity_Sold]]</f>
        <v>202242.11</v>
      </c>
      <c r="O217" s="17" t="s">
        <v>27</v>
      </c>
      <c r="P217" s="26">
        <v>0.15</v>
      </c>
      <c r="Q217" s="17" t="s">
        <v>25</v>
      </c>
      <c r="R217" s="17" t="s">
        <v>21</v>
      </c>
      <c r="S217" s="49" t="str">
        <f t="shared" si="11"/>
        <v>Eve-West</v>
      </c>
      <c r="T217" s="59" t="str">
        <f>IF(ROUND(sales_data_1[[#This Row],[Profit_Margin]],2)=ROUND((sales_data_1[[#This Row],[Unit_Price]]*(1-sales_data_1[[#This Row],[Discount]]) - sales_data_1[[#This Row],[Unit_Cost]])*sales_data_1[[#This Row],[Quantity_Sold]],2), "PASS", "CHECK")</f>
        <v>PASS</v>
      </c>
    </row>
    <row r="218" spans="1:20" x14ac:dyDescent="0.35">
      <c r="A218" s="7">
        <v>217</v>
      </c>
      <c r="B218" s="9">
        <v>1008</v>
      </c>
      <c r="C218" s="7" t="str">
        <f>IFERROR(_xlfn.TEXTJOIN("-", TRUE, _xlfn.XLOOKUP(K218, product_category_id_lookup!$A$2:$A$5, product_category_id_lookup!$B$2:$B$5), B218), "Unknown Category")</f>
        <v>etc-1008</v>
      </c>
      <c r="D218" s="8">
        <v>44630</v>
      </c>
      <c r="E218" s="7">
        <f t="shared" si="9"/>
        <v>2022</v>
      </c>
      <c r="F218" s="28" t="str">
        <f t="shared" si="10"/>
        <v>Mar</v>
      </c>
      <c r="G218" s="17" t="s">
        <v>33</v>
      </c>
      <c r="H218" s="17" t="s">
        <v>15</v>
      </c>
      <c r="I218" s="24">
        <v>190403.67768853178</v>
      </c>
      <c r="J218" s="32">
        <v>49</v>
      </c>
      <c r="K218" s="17" t="s">
        <v>31</v>
      </c>
      <c r="L218" s="24">
        <v>3832.71</v>
      </c>
      <c r="M218" s="24">
        <v>3893.1</v>
      </c>
      <c r="N218" s="34">
        <f>((sales_data_1[[#This Row],[Unit_Price]]*(1-sales_data_1[[#This Row],[Discount]]))-sales_data_1[[#This Row],[Unit_Cost]])*sales_data_1[[#This Row],[Quantity_Sold]]</f>
        <v>2959.1099999999938</v>
      </c>
      <c r="O218" s="17" t="s">
        <v>17</v>
      </c>
      <c r="P218" s="26">
        <v>0</v>
      </c>
      <c r="Q218" s="17" t="s">
        <v>25</v>
      </c>
      <c r="R218" s="17" t="s">
        <v>19</v>
      </c>
      <c r="S218" s="49" t="str">
        <f t="shared" si="11"/>
        <v>Alice-North</v>
      </c>
      <c r="T218" s="59" t="str">
        <f>IF(ROUND(sales_data_1[[#This Row],[Profit_Margin]],2)=ROUND((sales_data_1[[#This Row],[Unit_Price]]*(1-sales_data_1[[#This Row],[Discount]]) - sales_data_1[[#This Row],[Unit_Cost]])*sales_data_1[[#This Row],[Quantity_Sold]],2), "PASS", "CHECK")</f>
        <v>PASS</v>
      </c>
    </row>
    <row r="219" spans="1:20" x14ac:dyDescent="0.35">
      <c r="A219" s="7">
        <v>218</v>
      </c>
      <c r="B219" s="9">
        <v>1071</v>
      </c>
      <c r="C219" s="7" t="str">
        <f>IFERROR(_xlfn.TEXTJOIN("-", TRUE, _xlfn.XLOOKUP(K219, product_category_id_lookup!$A$2:$A$5, product_category_id_lookup!$B$2:$B$5), B219), "Unknown Category")</f>
        <v>etc-1071</v>
      </c>
      <c r="D219" s="8">
        <v>44630</v>
      </c>
      <c r="E219" s="7">
        <f t="shared" si="9"/>
        <v>2022</v>
      </c>
      <c r="F219" s="28" t="str">
        <f t="shared" si="10"/>
        <v>Mar</v>
      </c>
      <c r="G219" s="17" t="s">
        <v>22</v>
      </c>
      <c r="H219" s="17" t="s">
        <v>23</v>
      </c>
      <c r="I219" s="24">
        <v>10996.871999999999</v>
      </c>
      <c r="J219" s="32">
        <v>4</v>
      </c>
      <c r="K219" s="17" t="s">
        <v>31</v>
      </c>
      <c r="L219" s="24">
        <v>1005.55</v>
      </c>
      <c r="M219" s="24">
        <v>2924.7</v>
      </c>
      <c r="N219" s="34">
        <f>((sales_data_1[[#This Row],[Unit_Price]]*(1-sales_data_1[[#This Row],[Discount]]))-sales_data_1[[#This Row],[Unit_Cost]])*sales_data_1[[#This Row],[Quantity_Sold]]</f>
        <v>6974.6719999999996</v>
      </c>
      <c r="O219" s="17" t="s">
        <v>17</v>
      </c>
      <c r="P219" s="26">
        <v>0.06</v>
      </c>
      <c r="Q219" s="17" t="s">
        <v>25</v>
      </c>
      <c r="R219" s="17" t="s">
        <v>21</v>
      </c>
      <c r="S219" s="49" t="str">
        <f t="shared" si="11"/>
        <v>David-South</v>
      </c>
      <c r="T219" s="59" t="str">
        <f>IF(ROUND(sales_data_1[[#This Row],[Profit_Margin]],2)=ROUND((sales_data_1[[#This Row],[Unit_Price]]*(1-sales_data_1[[#This Row],[Discount]]) - sales_data_1[[#This Row],[Unit_Cost]])*sales_data_1[[#This Row],[Quantity_Sold]],2), "PASS", "CHECK")</f>
        <v>PASS</v>
      </c>
    </row>
    <row r="220" spans="1:20" x14ac:dyDescent="0.35">
      <c r="A220" s="7">
        <v>219</v>
      </c>
      <c r="B220" s="9">
        <v>1068</v>
      </c>
      <c r="C220" s="7" t="str">
        <f>IFERROR(_xlfn.TEXTJOIN("-", TRUE, _xlfn.XLOOKUP(K220, product_category_id_lookup!$A$2:$A$5, product_category_id_lookup!$B$2:$B$5), B220), "Unknown Category")</f>
        <v>etc-1068</v>
      </c>
      <c r="D220" s="8">
        <v>44630</v>
      </c>
      <c r="E220" s="7">
        <f t="shared" si="9"/>
        <v>2022</v>
      </c>
      <c r="F220" s="28" t="str">
        <f t="shared" si="10"/>
        <v>Mar</v>
      </c>
      <c r="G220" s="17" t="s">
        <v>33</v>
      </c>
      <c r="H220" s="17" t="s">
        <v>23</v>
      </c>
      <c r="I220" s="24">
        <v>62400.130000000005</v>
      </c>
      <c r="J220" s="32">
        <v>13</v>
      </c>
      <c r="K220" s="17" t="s">
        <v>31</v>
      </c>
      <c r="L220" s="24">
        <v>4131.32</v>
      </c>
      <c r="M220" s="24">
        <v>4800.01</v>
      </c>
      <c r="N220" s="34">
        <f>((sales_data_1[[#This Row],[Unit_Price]]*(1-sales_data_1[[#This Row],[Discount]]))-sales_data_1[[#This Row],[Unit_Cost]])*sales_data_1[[#This Row],[Quantity_Sold]]</f>
        <v>8692.9700000000066</v>
      </c>
      <c r="O220" s="17" t="s">
        <v>27</v>
      </c>
      <c r="P220" s="26">
        <v>0</v>
      </c>
      <c r="Q220" s="17" t="s">
        <v>18</v>
      </c>
      <c r="R220" s="17" t="s">
        <v>19</v>
      </c>
      <c r="S220" s="49" t="str">
        <f t="shared" si="11"/>
        <v>Alice-South</v>
      </c>
      <c r="T220" s="59" t="str">
        <f>IF(ROUND(sales_data_1[[#This Row],[Profit_Margin]],2)=ROUND((sales_data_1[[#This Row],[Unit_Price]]*(1-sales_data_1[[#This Row],[Discount]]) - sales_data_1[[#This Row],[Unit_Cost]])*sales_data_1[[#This Row],[Quantity_Sold]],2), "PASS", "CHECK")</f>
        <v>PASS</v>
      </c>
    </row>
    <row r="221" spans="1:20" x14ac:dyDescent="0.35">
      <c r="A221" s="7">
        <v>220</v>
      </c>
      <c r="B221" s="9">
        <v>1010</v>
      </c>
      <c r="C221" s="7" t="str">
        <f>IFERROR(_xlfn.TEXTJOIN("-", TRUE, _xlfn.XLOOKUP(K221, product_category_id_lookup!$A$2:$A$5, product_category_id_lookup!$B$2:$B$5), B221), "Unknown Category")</f>
        <v>ctg-1010</v>
      </c>
      <c r="D221" s="8">
        <v>44630</v>
      </c>
      <c r="E221" s="7">
        <f t="shared" si="9"/>
        <v>2022</v>
      </c>
      <c r="F221" s="28" t="str">
        <f t="shared" si="10"/>
        <v>Mar</v>
      </c>
      <c r="G221" s="17" t="s">
        <v>33</v>
      </c>
      <c r="H221" s="17" t="s">
        <v>23</v>
      </c>
      <c r="I221" s="24">
        <v>56333.476800000004</v>
      </c>
      <c r="J221" s="32">
        <v>12</v>
      </c>
      <c r="K221" s="17" t="s">
        <v>26</v>
      </c>
      <c r="L221" s="24">
        <v>3191.62</v>
      </c>
      <c r="M221" s="24">
        <v>5102.67</v>
      </c>
      <c r="N221" s="34">
        <f>((sales_data_1[[#This Row],[Unit_Price]]*(1-sales_data_1[[#This Row],[Discount]]))-sales_data_1[[#This Row],[Unit_Cost]])*sales_data_1[[#This Row],[Quantity_Sold]]</f>
        <v>18034.036800000002</v>
      </c>
      <c r="O221" s="17" t="s">
        <v>27</v>
      </c>
      <c r="P221" s="26">
        <v>0.08</v>
      </c>
      <c r="Q221" s="17" t="s">
        <v>25</v>
      </c>
      <c r="R221" s="17" t="s">
        <v>21</v>
      </c>
      <c r="S221" s="49" t="str">
        <f t="shared" si="11"/>
        <v>Alice-South</v>
      </c>
      <c r="T221" s="59" t="str">
        <f>IF(ROUND(sales_data_1[[#This Row],[Profit_Margin]],2)=ROUND((sales_data_1[[#This Row],[Unit_Price]]*(1-sales_data_1[[#This Row],[Discount]]) - sales_data_1[[#This Row],[Unit_Cost]])*sales_data_1[[#This Row],[Quantity_Sold]],2), "PASS", "CHECK")</f>
        <v>PASS</v>
      </c>
    </row>
    <row r="222" spans="1:20" x14ac:dyDescent="0.35">
      <c r="A222" s="7">
        <v>221</v>
      </c>
      <c r="B222" s="9">
        <v>1093</v>
      </c>
      <c r="C222" s="7" t="str">
        <f>IFERROR(_xlfn.TEXTJOIN("-", TRUE, _xlfn.XLOOKUP(K222, product_category_id_lookup!$A$2:$A$5, product_category_id_lookup!$B$2:$B$5), B222), "Unknown Category")</f>
        <v>fnt-1093</v>
      </c>
      <c r="D222" s="8">
        <v>44630</v>
      </c>
      <c r="E222" s="7">
        <f t="shared" si="9"/>
        <v>2022</v>
      </c>
      <c r="F222" s="28" t="str">
        <f t="shared" si="10"/>
        <v>Mar</v>
      </c>
      <c r="G222" s="17" t="s">
        <v>32</v>
      </c>
      <c r="H222" s="17" t="s">
        <v>20</v>
      </c>
      <c r="I222" s="24">
        <v>69990.48000000001</v>
      </c>
      <c r="J222" s="32">
        <v>28</v>
      </c>
      <c r="K222" s="17" t="s">
        <v>16</v>
      </c>
      <c r="L222" s="24">
        <v>325.48</v>
      </c>
      <c r="M222" s="24">
        <v>2777.4</v>
      </c>
      <c r="N222" s="34">
        <f>((sales_data_1[[#This Row],[Unit_Price]]*(1-sales_data_1[[#This Row],[Discount]]))-sales_data_1[[#This Row],[Unit_Cost]])*sales_data_1[[#This Row],[Quantity_Sold]]</f>
        <v>60877.040000000008</v>
      </c>
      <c r="O222" s="17" t="s">
        <v>17</v>
      </c>
      <c r="P222" s="26">
        <v>0.1</v>
      </c>
      <c r="Q222" s="17" t="s">
        <v>18</v>
      </c>
      <c r="R222" s="17" t="s">
        <v>21</v>
      </c>
      <c r="S222" s="49" t="str">
        <f t="shared" si="11"/>
        <v>Eve-West</v>
      </c>
      <c r="T222" s="59" t="str">
        <f>IF(ROUND(sales_data_1[[#This Row],[Profit_Margin]],2)=ROUND((sales_data_1[[#This Row],[Unit_Price]]*(1-sales_data_1[[#This Row],[Discount]]) - sales_data_1[[#This Row],[Unit_Cost]])*sales_data_1[[#This Row],[Quantity_Sold]],2), "PASS", "CHECK")</f>
        <v>PASS</v>
      </c>
    </row>
    <row r="223" spans="1:20" x14ac:dyDescent="0.35">
      <c r="A223" s="7">
        <v>222</v>
      </c>
      <c r="B223" s="9">
        <v>1038</v>
      </c>
      <c r="C223" s="7" t="str">
        <f>IFERROR(_xlfn.TEXTJOIN("-", TRUE, _xlfn.XLOOKUP(K223, product_category_id_lookup!$A$2:$A$5, product_category_id_lookup!$B$2:$B$5), B223), "Unknown Category")</f>
        <v>fd-1038</v>
      </c>
      <c r="D223" s="8">
        <v>44630</v>
      </c>
      <c r="E223" s="7">
        <f t="shared" si="9"/>
        <v>2022</v>
      </c>
      <c r="F223" s="28" t="str">
        <f t="shared" si="10"/>
        <v>Mar</v>
      </c>
      <c r="G223" s="17" t="s">
        <v>33</v>
      </c>
      <c r="H223" s="17" t="s">
        <v>23</v>
      </c>
      <c r="I223" s="24">
        <v>184598.59600000002</v>
      </c>
      <c r="J223" s="32">
        <v>40</v>
      </c>
      <c r="K223" s="17" t="s">
        <v>24</v>
      </c>
      <c r="L223" s="24">
        <v>1690.42</v>
      </c>
      <c r="M223" s="24">
        <v>5071.3900000000003</v>
      </c>
      <c r="N223" s="34">
        <f>((sales_data_1[[#This Row],[Unit_Price]]*(1-sales_data_1[[#This Row],[Discount]]))-sales_data_1[[#This Row],[Unit_Cost]])*sales_data_1[[#This Row],[Quantity_Sold]]</f>
        <v>116981.79600000003</v>
      </c>
      <c r="O223" s="17" t="s">
        <v>27</v>
      </c>
      <c r="P223" s="26">
        <v>0.09</v>
      </c>
      <c r="Q223" s="17" t="s">
        <v>28</v>
      </c>
      <c r="R223" s="17" t="s">
        <v>21</v>
      </c>
      <c r="S223" s="49" t="str">
        <f t="shared" si="11"/>
        <v>Alice-South</v>
      </c>
      <c r="T223" s="59" t="str">
        <f>IF(ROUND(sales_data_1[[#This Row],[Profit_Margin]],2)=ROUND((sales_data_1[[#This Row],[Unit_Price]]*(1-sales_data_1[[#This Row],[Discount]]) - sales_data_1[[#This Row],[Unit_Cost]])*sales_data_1[[#This Row],[Quantity_Sold]],2), "PASS", "CHECK")</f>
        <v>PASS</v>
      </c>
    </row>
    <row r="224" spans="1:20" x14ac:dyDescent="0.35">
      <c r="A224" s="7">
        <v>223</v>
      </c>
      <c r="B224" s="9">
        <v>1017</v>
      </c>
      <c r="C224" s="7" t="str">
        <f>IFERROR(_xlfn.TEXTJOIN("-", TRUE, _xlfn.XLOOKUP(K224, product_category_id_lookup!$A$2:$A$5, product_category_id_lookup!$B$2:$B$5), B224), "Unknown Category")</f>
        <v>ctg-1017</v>
      </c>
      <c r="D224" s="8">
        <v>44631</v>
      </c>
      <c r="E224" s="7">
        <f t="shared" si="9"/>
        <v>2022</v>
      </c>
      <c r="F224" s="28" t="str">
        <f t="shared" si="10"/>
        <v>Mar</v>
      </c>
      <c r="G224" s="17" t="s">
        <v>32</v>
      </c>
      <c r="H224" s="17" t="s">
        <v>30</v>
      </c>
      <c r="I224" s="24">
        <v>123398.37588132384</v>
      </c>
      <c r="J224" s="32">
        <v>37</v>
      </c>
      <c r="K224" s="17" t="s">
        <v>26</v>
      </c>
      <c r="L224" s="24">
        <v>3267.33</v>
      </c>
      <c r="M224" s="24">
        <v>3448.29</v>
      </c>
      <c r="N224" s="34">
        <f>((sales_data_1[[#This Row],[Unit_Price]]*(1-sales_data_1[[#This Row],[Discount]]))-sales_data_1[[#This Row],[Unit_Cost]])*sales_data_1[[#This Row],[Quantity_Sold]]</f>
        <v>2867.9181000000044</v>
      </c>
      <c r="O224" s="17" t="s">
        <v>27</v>
      </c>
      <c r="P224" s="26">
        <v>0.03</v>
      </c>
      <c r="Q224" s="17" t="s">
        <v>28</v>
      </c>
      <c r="R224" s="17" t="s">
        <v>19</v>
      </c>
      <c r="S224" s="49" t="str">
        <f t="shared" si="11"/>
        <v>Eve-East</v>
      </c>
      <c r="T224" s="59" t="str">
        <f>IF(ROUND(sales_data_1[[#This Row],[Profit_Margin]],2)=ROUND((sales_data_1[[#This Row],[Unit_Price]]*(1-sales_data_1[[#This Row],[Discount]]) - sales_data_1[[#This Row],[Unit_Cost]])*sales_data_1[[#This Row],[Quantity_Sold]],2), "PASS", "CHECK")</f>
        <v>PASS</v>
      </c>
    </row>
    <row r="225" spans="1:20" x14ac:dyDescent="0.35">
      <c r="A225" s="7">
        <v>224</v>
      </c>
      <c r="B225" s="9">
        <v>1099</v>
      </c>
      <c r="C225" s="7" t="str">
        <f>IFERROR(_xlfn.TEXTJOIN("-", TRUE, _xlfn.XLOOKUP(K225, product_category_id_lookup!$A$2:$A$5, product_category_id_lookup!$B$2:$B$5), B225), "Unknown Category")</f>
        <v>fd-1099</v>
      </c>
      <c r="D225" s="8">
        <v>44631</v>
      </c>
      <c r="E225" s="7">
        <f t="shared" si="9"/>
        <v>2022</v>
      </c>
      <c r="F225" s="28" t="str">
        <f t="shared" si="10"/>
        <v>Mar</v>
      </c>
      <c r="G225" s="17" t="s">
        <v>14</v>
      </c>
      <c r="H225" s="17" t="s">
        <v>20</v>
      </c>
      <c r="I225" s="24">
        <v>97866.832500000004</v>
      </c>
      <c r="J225" s="32">
        <v>27</v>
      </c>
      <c r="K225" s="17" t="s">
        <v>24</v>
      </c>
      <c r="L225" s="24">
        <v>2381.4499999999998</v>
      </c>
      <c r="M225" s="24">
        <v>4832.93</v>
      </c>
      <c r="N225" s="34">
        <f>((sales_data_1[[#This Row],[Unit_Price]]*(1-sales_data_1[[#This Row],[Discount]]))-sales_data_1[[#This Row],[Unit_Cost]])*sales_data_1[[#This Row],[Quantity_Sold]]</f>
        <v>33567.68250000001</v>
      </c>
      <c r="O225" s="17" t="s">
        <v>17</v>
      </c>
      <c r="P225" s="26">
        <v>0.25</v>
      </c>
      <c r="Q225" s="17" t="s">
        <v>28</v>
      </c>
      <c r="R225" s="17" t="s">
        <v>21</v>
      </c>
      <c r="S225" s="49" t="str">
        <f t="shared" si="11"/>
        <v>Bob-West</v>
      </c>
      <c r="T225" s="59" t="str">
        <f>IF(ROUND(sales_data_1[[#This Row],[Profit_Margin]],2)=ROUND((sales_data_1[[#This Row],[Unit_Price]]*(1-sales_data_1[[#This Row],[Discount]]) - sales_data_1[[#This Row],[Unit_Cost]])*sales_data_1[[#This Row],[Quantity_Sold]],2), "PASS", "CHECK")</f>
        <v>PASS</v>
      </c>
    </row>
    <row r="226" spans="1:20" x14ac:dyDescent="0.35">
      <c r="A226" s="7">
        <v>225</v>
      </c>
      <c r="B226" s="9">
        <v>1040</v>
      </c>
      <c r="C226" s="7" t="str">
        <f>IFERROR(_xlfn.TEXTJOIN("-", TRUE, _xlfn.XLOOKUP(K226, product_category_id_lookup!$A$2:$A$5, product_category_id_lookup!$B$2:$B$5), B226), "Unknown Category")</f>
        <v>fnt-1040</v>
      </c>
      <c r="D226" s="8">
        <v>44631</v>
      </c>
      <c r="E226" s="7">
        <f t="shared" si="9"/>
        <v>2022</v>
      </c>
      <c r="F226" s="28" t="str">
        <f t="shared" si="10"/>
        <v>Mar</v>
      </c>
      <c r="G226" s="17" t="s">
        <v>32</v>
      </c>
      <c r="H226" s="17" t="s">
        <v>30</v>
      </c>
      <c r="I226" s="24">
        <v>54826.732799999998</v>
      </c>
      <c r="J226" s="32">
        <v>16</v>
      </c>
      <c r="K226" s="17" t="s">
        <v>16</v>
      </c>
      <c r="L226" s="24">
        <v>943.79</v>
      </c>
      <c r="M226" s="24">
        <v>4079.37</v>
      </c>
      <c r="N226" s="34">
        <f>((sales_data_1[[#This Row],[Unit_Price]]*(1-sales_data_1[[#This Row],[Discount]]))-sales_data_1[[#This Row],[Unit_Cost]])*sales_data_1[[#This Row],[Quantity_Sold]]</f>
        <v>39726.092799999999</v>
      </c>
      <c r="O226" s="17" t="s">
        <v>17</v>
      </c>
      <c r="P226" s="26">
        <v>0.16</v>
      </c>
      <c r="Q226" s="17" t="s">
        <v>28</v>
      </c>
      <c r="R226" s="17" t="s">
        <v>19</v>
      </c>
      <c r="S226" s="49" t="str">
        <f t="shared" si="11"/>
        <v>Eve-East</v>
      </c>
      <c r="T226" s="59" t="str">
        <f>IF(ROUND(sales_data_1[[#This Row],[Profit_Margin]],2)=ROUND((sales_data_1[[#This Row],[Unit_Price]]*(1-sales_data_1[[#This Row],[Discount]]) - sales_data_1[[#This Row],[Unit_Cost]])*sales_data_1[[#This Row],[Quantity_Sold]],2), "PASS", "CHECK")</f>
        <v>PASS</v>
      </c>
    </row>
    <row r="227" spans="1:20" x14ac:dyDescent="0.35">
      <c r="A227" s="7">
        <v>226</v>
      </c>
      <c r="B227" s="9">
        <v>1075</v>
      </c>
      <c r="C227" s="7" t="str">
        <f>IFERROR(_xlfn.TEXTJOIN("-", TRUE, _xlfn.XLOOKUP(K227, product_category_id_lookup!$A$2:$A$5, product_category_id_lookup!$B$2:$B$5), B227), "Unknown Category")</f>
        <v>etc-1075</v>
      </c>
      <c r="D227" s="8">
        <v>44631</v>
      </c>
      <c r="E227" s="7">
        <f t="shared" si="9"/>
        <v>2022</v>
      </c>
      <c r="F227" s="28" t="str">
        <f t="shared" si="10"/>
        <v>Mar</v>
      </c>
      <c r="G227" s="17" t="s">
        <v>33</v>
      </c>
      <c r="H227" s="17" t="s">
        <v>15</v>
      </c>
      <c r="I227" s="24">
        <v>90610.284799999994</v>
      </c>
      <c r="J227" s="32">
        <v>28</v>
      </c>
      <c r="K227" s="17" t="s">
        <v>31</v>
      </c>
      <c r="L227" s="24">
        <v>538.19000000000005</v>
      </c>
      <c r="M227" s="24">
        <v>3442.64</v>
      </c>
      <c r="N227" s="34">
        <f>((sales_data_1[[#This Row],[Unit_Price]]*(1-sales_data_1[[#This Row],[Discount]]))-sales_data_1[[#This Row],[Unit_Cost]])*sales_data_1[[#This Row],[Quantity_Sold]]</f>
        <v>75540.964799999987</v>
      </c>
      <c r="O227" s="17" t="s">
        <v>27</v>
      </c>
      <c r="P227" s="26">
        <v>0.06</v>
      </c>
      <c r="Q227" s="17" t="s">
        <v>28</v>
      </c>
      <c r="R227" s="17" t="s">
        <v>21</v>
      </c>
      <c r="S227" s="49" t="str">
        <f t="shared" si="11"/>
        <v>Alice-North</v>
      </c>
      <c r="T227" s="59" t="str">
        <f>IF(ROUND(sales_data_1[[#This Row],[Profit_Margin]],2)=ROUND((sales_data_1[[#This Row],[Unit_Price]]*(1-sales_data_1[[#This Row],[Discount]]) - sales_data_1[[#This Row],[Unit_Cost]])*sales_data_1[[#This Row],[Quantity_Sold]],2), "PASS", "CHECK")</f>
        <v>PASS</v>
      </c>
    </row>
    <row r="228" spans="1:20" x14ac:dyDescent="0.35">
      <c r="A228" s="7">
        <v>227</v>
      </c>
      <c r="B228" s="9">
        <v>1028</v>
      </c>
      <c r="C228" s="7" t="str">
        <f>IFERROR(_xlfn.TEXTJOIN("-", TRUE, _xlfn.XLOOKUP(K228, product_category_id_lookup!$A$2:$A$5, product_category_id_lookup!$B$2:$B$5), B228), "Unknown Category")</f>
        <v>fd-1028</v>
      </c>
      <c r="D228" s="8">
        <v>44632</v>
      </c>
      <c r="E228" s="7">
        <f t="shared" si="9"/>
        <v>2022</v>
      </c>
      <c r="F228" s="28" t="str">
        <f t="shared" si="10"/>
        <v>Mar</v>
      </c>
      <c r="G228" s="17" t="s">
        <v>14</v>
      </c>
      <c r="H228" s="17" t="s">
        <v>20</v>
      </c>
      <c r="I228" s="24">
        <v>60921.750599999999</v>
      </c>
      <c r="J228" s="32">
        <v>18</v>
      </c>
      <c r="K228" s="17" t="s">
        <v>24</v>
      </c>
      <c r="L228" s="24">
        <v>3181.8</v>
      </c>
      <c r="M228" s="24">
        <v>4284.2299999999996</v>
      </c>
      <c r="N228" s="34">
        <f>((sales_data_1[[#This Row],[Unit_Price]]*(1-sales_data_1[[#This Row],[Discount]]))-sales_data_1[[#This Row],[Unit_Cost]])*sales_data_1[[#This Row],[Quantity_Sold]]</f>
        <v>3649.3505999999925</v>
      </c>
      <c r="O228" s="17" t="s">
        <v>17</v>
      </c>
      <c r="P228" s="26">
        <v>0.21</v>
      </c>
      <c r="Q228" s="17" t="s">
        <v>25</v>
      </c>
      <c r="R228" s="17" t="s">
        <v>21</v>
      </c>
      <c r="S228" s="49" t="str">
        <f t="shared" si="11"/>
        <v>Bob-West</v>
      </c>
      <c r="T228" s="59" t="str">
        <f>IF(ROUND(sales_data_1[[#This Row],[Profit_Margin]],2)=ROUND((sales_data_1[[#This Row],[Unit_Price]]*(1-sales_data_1[[#This Row],[Discount]]) - sales_data_1[[#This Row],[Unit_Cost]])*sales_data_1[[#This Row],[Quantity_Sold]],2), "PASS", "CHECK")</f>
        <v>PASS</v>
      </c>
    </row>
    <row r="229" spans="1:20" x14ac:dyDescent="0.35">
      <c r="A229" s="7">
        <v>228</v>
      </c>
      <c r="B229" s="9">
        <v>1077</v>
      </c>
      <c r="C229" s="7" t="str">
        <f>IFERROR(_xlfn.TEXTJOIN("-", TRUE, _xlfn.XLOOKUP(K229, product_category_id_lookup!$A$2:$A$5, product_category_id_lookup!$B$2:$B$5), B229), "Unknown Category")</f>
        <v>etc-1077</v>
      </c>
      <c r="D229" s="8">
        <v>44632</v>
      </c>
      <c r="E229" s="7">
        <f t="shared" si="9"/>
        <v>2022</v>
      </c>
      <c r="F229" s="28" t="str">
        <f t="shared" si="10"/>
        <v>Mar</v>
      </c>
      <c r="G229" s="17" t="s">
        <v>22</v>
      </c>
      <c r="H229" s="17" t="s">
        <v>15</v>
      </c>
      <c r="I229" s="24">
        <v>10054.8225</v>
      </c>
      <c r="J229" s="32">
        <v>3</v>
      </c>
      <c r="K229" s="17" t="s">
        <v>31</v>
      </c>
      <c r="L229" s="24">
        <v>193.52</v>
      </c>
      <c r="M229" s="24">
        <v>4468.8100000000004</v>
      </c>
      <c r="N229" s="34">
        <f>((sales_data_1[[#This Row],[Unit_Price]]*(1-sales_data_1[[#This Row],[Discount]]))-sales_data_1[[#This Row],[Unit_Cost]])*sales_data_1[[#This Row],[Quantity_Sold]]</f>
        <v>9474.2625000000007</v>
      </c>
      <c r="O229" s="17" t="s">
        <v>27</v>
      </c>
      <c r="P229" s="26">
        <v>0.25</v>
      </c>
      <c r="Q229" s="17" t="s">
        <v>25</v>
      </c>
      <c r="R229" s="17" t="s">
        <v>19</v>
      </c>
      <c r="S229" s="49" t="str">
        <f t="shared" si="11"/>
        <v>David-North</v>
      </c>
      <c r="T229" s="59" t="str">
        <f>IF(ROUND(sales_data_1[[#This Row],[Profit_Margin]],2)=ROUND((sales_data_1[[#This Row],[Unit_Price]]*(1-sales_data_1[[#This Row],[Discount]]) - sales_data_1[[#This Row],[Unit_Cost]])*sales_data_1[[#This Row],[Quantity_Sold]],2), "PASS", "CHECK")</f>
        <v>PASS</v>
      </c>
    </row>
    <row r="230" spans="1:20" x14ac:dyDescent="0.35">
      <c r="A230" s="7">
        <v>229</v>
      </c>
      <c r="B230" s="9">
        <v>1008</v>
      </c>
      <c r="C230" s="7" t="str">
        <f>IFERROR(_xlfn.TEXTJOIN("-", TRUE, _xlfn.XLOOKUP(K230, product_category_id_lookup!$A$2:$A$5, product_category_id_lookup!$B$2:$B$5), B230), "Unknown Category")</f>
        <v>fd-1008</v>
      </c>
      <c r="D230" s="8">
        <v>44632</v>
      </c>
      <c r="E230" s="7">
        <f t="shared" si="9"/>
        <v>2022</v>
      </c>
      <c r="F230" s="28" t="str">
        <f t="shared" si="10"/>
        <v>Mar</v>
      </c>
      <c r="G230" s="17" t="s">
        <v>32</v>
      </c>
      <c r="H230" s="17" t="s">
        <v>15</v>
      </c>
      <c r="I230" s="24">
        <v>34168.7736</v>
      </c>
      <c r="J230" s="32">
        <v>13</v>
      </c>
      <c r="K230" s="17" t="s">
        <v>24</v>
      </c>
      <c r="L230" s="24">
        <v>832.56</v>
      </c>
      <c r="M230" s="24">
        <v>3650.51</v>
      </c>
      <c r="N230" s="34">
        <f>((sales_data_1[[#This Row],[Unit_Price]]*(1-sales_data_1[[#This Row],[Discount]]))-sales_data_1[[#This Row],[Unit_Cost]])*sales_data_1[[#This Row],[Quantity_Sold]]</f>
        <v>23345.493600000002</v>
      </c>
      <c r="O230" s="17" t="s">
        <v>17</v>
      </c>
      <c r="P230" s="26">
        <v>0.28000000000000003</v>
      </c>
      <c r="Q230" s="17" t="s">
        <v>18</v>
      </c>
      <c r="R230" s="17" t="s">
        <v>21</v>
      </c>
      <c r="S230" s="49" t="str">
        <f t="shared" si="11"/>
        <v>Eve-North</v>
      </c>
      <c r="T230" s="59" t="str">
        <f>IF(ROUND(sales_data_1[[#This Row],[Profit_Margin]],2)=ROUND((sales_data_1[[#This Row],[Unit_Price]]*(1-sales_data_1[[#This Row],[Discount]]) - sales_data_1[[#This Row],[Unit_Cost]])*sales_data_1[[#This Row],[Quantity_Sold]],2), "PASS", "CHECK")</f>
        <v>PASS</v>
      </c>
    </row>
    <row r="231" spans="1:20" x14ac:dyDescent="0.35">
      <c r="A231" s="7">
        <v>230</v>
      </c>
      <c r="B231" s="9">
        <v>1097</v>
      </c>
      <c r="C231" s="7" t="str">
        <f>IFERROR(_xlfn.TEXTJOIN("-", TRUE, _xlfn.XLOOKUP(K231, product_category_id_lookup!$A$2:$A$5, product_category_id_lookup!$B$2:$B$5), B231), "Unknown Category")</f>
        <v>etc-1097</v>
      </c>
      <c r="D231" s="8">
        <v>44634</v>
      </c>
      <c r="E231" s="7">
        <f t="shared" si="9"/>
        <v>2022</v>
      </c>
      <c r="F231" s="28" t="str">
        <f t="shared" si="10"/>
        <v>Mar</v>
      </c>
      <c r="G231" s="17" t="s">
        <v>22</v>
      </c>
      <c r="H231" s="17" t="s">
        <v>15</v>
      </c>
      <c r="I231" s="24">
        <v>5522.3445000000002</v>
      </c>
      <c r="J231" s="32">
        <v>15</v>
      </c>
      <c r="K231" s="17" t="s">
        <v>31</v>
      </c>
      <c r="L231" s="24">
        <v>247.17</v>
      </c>
      <c r="M231" s="24">
        <v>518.53</v>
      </c>
      <c r="N231" s="34">
        <f>((sales_data_1[[#This Row],[Unit_Price]]*(1-sales_data_1[[#This Row],[Discount]]))-sales_data_1[[#This Row],[Unit_Cost]])*sales_data_1[[#This Row],[Quantity_Sold]]</f>
        <v>1814.7945</v>
      </c>
      <c r="O231" s="17" t="s">
        <v>27</v>
      </c>
      <c r="P231" s="26">
        <v>0.28999999999999998</v>
      </c>
      <c r="Q231" s="17" t="s">
        <v>28</v>
      </c>
      <c r="R231" s="17" t="s">
        <v>21</v>
      </c>
      <c r="S231" s="49" t="str">
        <f t="shared" si="11"/>
        <v>David-North</v>
      </c>
      <c r="T231" s="59" t="str">
        <f>IF(ROUND(sales_data_1[[#This Row],[Profit_Margin]],2)=ROUND((sales_data_1[[#This Row],[Unit_Price]]*(1-sales_data_1[[#This Row],[Discount]]) - sales_data_1[[#This Row],[Unit_Cost]])*sales_data_1[[#This Row],[Quantity_Sold]],2), "PASS", "CHECK")</f>
        <v>PASS</v>
      </c>
    </row>
    <row r="232" spans="1:20" x14ac:dyDescent="0.35">
      <c r="A232" s="7">
        <v>231</v>
      </c>
      <c r="B232" s="9">
        <v>1041</v>
      </c>
      <c r="C232" s="7" t="str">
        <f>IFERROR(_xlfn.TEXTJOIN("-", TRUE, _xlfn.XLOOKUP(K232, product_category_id_lookup!$A$2:$A$5, product_category_id_lookup!$B$2:$B$5), B232), "Unknown Category")</f>
        <v>fd-1041</v>
      </c>
      <c r="D232" s="8">
        <v>44634</v>
      </c>
      <c r="E232" s="7">
        <f t="shared" si="9"/>
        <v>2022</v>
      </c>
      <c r="F232" s="28" t="str">
        <f t="shared" si="10"/>
        <v>Mar</v>
      </c>
      <c r="G232" s="17" t="s">
        <v>33</v>
      </c>
      <c r="H232" s="17" t="s">
        <v>20</v>
      </c>
      <c r="I232" s="24">
        <v>4725.9728999999998</v>
      </c>
      <c r="J232" s="32">
        <v>1</v>
      </c>
      <c r="K232" s="17" t="s">
        <v>24</v>
      </c>
      <c r="L232" s="24">
        <v>2413.6</v>
      </c>
      <c r="M232" s="24">
        <v>4773.71</v>
      </c>
      <c r="N232" s="34">
        <f>((sales_data_1[[#This Row],[Unit_Price]]*(1-sales_data_1[[#This Row],[Discount]]))-sales_data_1[[#This Row],[Unit_Cost]])*sales_data_1[[#This Row],[Quantity_Sold]]</f>
        <v>2312.3728999999998</v>
      </c>
      <c r="O232" s="17" t="s">
        <v>27</v>
      </c>
      <c r="P232" s="26">
        <v>0.01</v>
      </c>
      <c r="Q232" s="17" t="s">
        <v>25</v>
      </c>
      <c r="R232" s="17" t="s">
        <v>21</v>
      </c>
      <c r="S232" s="49" t="str">
        <f t="shared" si="11"/>
        <v>Alice-West</v>
      </c>
      <c r="T232" s="59" t="str">
        <f>IF(ROUND(sales_data_1[[#This Row],[Profit_Margin]],2)=ROUND((sales_data_1[[#This Row],[Unit_Price]]*(1-sales_data_1[[#This Row],[Discount]]) - sales_data_1[[#This Row],[Unit_Cost]])*sales_data_1[[#This Row],[Quantity_Sold]],2), "PASS", "CHECK")</f>
        <v>PASS</v>
      </c>
    </row>
    <row r="233" spans="1:20" x14ac:dyDescent="0.35">
      <c r="A233" s="7">
        <v>232</v>
      </c>
      <c r="B233" s="9">
        <v>1021</v>
      </c>
      <c r="C233" s="7" t="str">
        <f>IFERROR(_xlfn.TEXTJOIN("-", TRUE, _xlfn.XLOOKUP(K233, product_category_id_lookup!$A$2:$A$5, product_category_id_lookup!$B$2:$B$5), B233), "Unknown Category")</f>
        <v>ctg-1021</v>
      </c>
      <c r="D233" s="8">
        <v>44634</v>
      </c>
      <c r="E233" s="7">
        <f t="shared" si="9"/>
        <v>2022</v>
      </c>
      <c r="F233" s="28" t="str">
        <f t="shared" si="10"/>
        <v>Mar</v>
      </c>
      <c r="G233" s="17" t="s">
        <v>32</v>
      </c>
      <c r="H233" s="17" t="s">
        <v>20</v>
      </c>
      <c r="I233" s="24">
        <v>52538.303999999996</v>
      </c>
      <c r="J233" s="32">
        <v>20</v>
      </c>
      <c r="K233" s="17" t="s">
        <v>26</v>
      </c>
      <c r="L233" s="24">
        <v>2386.9699999999998</v>
      </c>
      <c r="M233" s="24">
        <v>2736.37</v>
      </c>
      <c r="N233" s="34">
        <f>((sales_data_1[[#This Row],[Unit_Price]]*(1-sales_data_1[[#This Row],[Discount]]))-sales_data_1[[#This Row],[Unit_Cost]])*sales_data_1[[#This Row],[Quantity_Sold]]</f>
        <v>4798.9040000000023</v>
      </c>
      <c r="O233" s="17" t="s">
        <v>17</v>
      </c>
      <c r="P233" s="26">
        <v>0.04</v>
      </c>
      <c r="Q233" s="17" t="s">
        <v>28</v>
      </c>
      <c r="R233" s="17" t="s">
        <v>19</v>
      </c>
      <c r="S233" s="49" t="str">
        <f t="shared" si="11"/>
        <v>Eve-West</v>
      </c>
      <c r="T233" s="59" t="str">
        <f>IF(ROUND(sales_data_1[[#This Row],[Profit_Margin]],2)=ROUND((sales_data_1[[#This Row],[Unit_Price]]*(1-sales_data_1[[#This Row],[Discount]]) - sales_data_1[[#This Row],[Unit_Cost]])*sales_data_1[[#This Row],[Quantity_Sold]],2), "PASS", "CHECK")</f>
        <v>PASS</v>
      </c>
    </row>
    <row r="234" spans="1:20" x14ac:dyDescent="0.35">
      <c r="A234" s="7">
        <v>233</v>
      </c>
      <c r="B234" s="9">
        <v>1073</v>
      </c>
      <c r="C234" s="7" t="str">
        <f>IFERROR(_xlfn.TEXTJOIN("-", TRUE, _xlfn.XLOOKUP(K234, product_category_id_lookup!$A$2:$A$5, product_category_id_lookup!$B$2:$B$5), B234), "Unknown Category")</f>
        <v>fd-1073</v>
      </c>
      <c r="D234" s="8">
        <v>44634</v>
      </c>
      <c r="E234" s="7">
        <f t="shared" si="9"/>
        <v>2022</v>
      </c>
      <c r="F234" s="28" t="str">
        <f t="shared" si="10"/>
        <v>Mar</v>
      </c>
      <c r="G234" s="17" t="s">
        <v>32</v>
      </c>
      <c r="H234" s="17" t="s">
        <v>15</v>
      </c>
      <c r="I234" s="24">
        <v>53487.4208</v>
      </c>
      <c r="J234" s="32">
        <v>22</v>
      </c>
      <c r="K234" s="17" t="s">
        <v>24</v>
      </c>
      <c r="L234" s="24">
        <v>1296.77</v>
      </c>
      <c r="M234" s="24">
        <v>2762.78</v>
      </c>
      <c r="N234" s="34">
        <f>((sales_data_1[[#This Row],[Unit_Price]]*(1-sales_data_1[[#This Row],[Discount]]))-sales_data_1[[#This Row],[Unit_Cost]])*sales_data_1[[#This Row],[Quantity_Sold]]</f>
        <v>24958.480800000001</v>
      </c>
      <c r="O234" s="17" t="s">
        <v>17</v>
      </c>
      <c r="P234" s="26">
        <v>0.12</v>
      </c>
      <c r="Q234" s="17" t="s">
        <v>25</v>
      </c>
      <c r="R234" s="17" t="s">
        <v>21</v>
      </c>
      <c r="S234" s="49" t="str">
        <f t="shared" si="11"/>
        <v>Eve-North</v>
      </c>
      <c r="T234" s="59" t="str">
        <f>IF(ROUND(sales_data_1[[#This Row],[Profit_Margin]],2)=ROUND((sales_data_1[[#This Row],[Unit_Price]]*(1-sales_data_1[[#This Row],[Discount]]) - sales_data_1[[#This Row],[Unit_Cost]])*sales_data_1[[#This Row],[Quantity_Sold]],2), "PASS", "CHECK")</f>
        <v>PASS</v>
      </c>
    </row>
    <row r="235" spans="1:20" x14ac:dyDescent="0.35">
      <c r="A235" s="7">
        <v>234</v>
      </c>
      <c r="B235" s="9">
        <v>1100</v>
      </c>
      <c r="C235" s="7" t="str">
        <f>IFERROR(_xlfn.TEXTJOIN("-", TRUE, _xlfn.XLOOKUP(K235, product_category_id_lookup!$A$2:$A$5, product_category_id_lookup!$B$2:$B$5), B235), "Unknown Category")</f>
        <v>ctg-1100</v>
      </c>
      <c r="D235" s="8">
        <v>44634</v>
      </c>
      <c r="E235" s="7">
        <f t="shared" si="9"/>
        <v>2022</v>
      </c>
      <c r="F235" s="28" t="str">
        <f t="shared" si="10"/>
        <v>Mar</v>
      </c>
      <c r="G235" s="17" t="s">
        <v>29</v>
      </c>
      <c r="H235" s="17" t="s">
        <v>30</v>
      </c>
      <c r="I235" s="24">
        <v>42032.059200000003</v>
      </c>
      <c r="J235" s="32">
        <v>24</v>
      </c>
      <c r="K235" s="17" t="s">
        <v>26</v>
      </c>
      <c r="L235" s="24">
        <v>132.71</v>
      </c>
      <c r="M235" s="24">
        <v>2366.67</v>
      </c>
      <c r="N235" s="34">
        <f>((sales_data_1[[#This Row],[Unit_Price]]*(1-sales_data_1[[#This Row],[Discount]]))-sales_data_1[[#This Row],[Unit_Cost]])*sales_data_1[[#This Row],[Quantity_Sold]]</f>
        <v>38847.019200000002</v>
      </c>
      <c r="O235" s="17" t="s">
        <v>27</v>
      </c>
      <c r="P235" s="26">
        <v>0.26</v>
      </c>
      <c r="Q235" s="17" t="s">
        <v>28</v>
      </c>
      <c r="R235" s="17" t="s">
        <v>19</v>
      </c>
      <c r="S235" s="49" t="str">
        <f t="shared" si="11"/>
        <v>Charlie-East</v>
      </c>
      <c r="T235" s="59" t="str">
        <f>IF(ROUND(sales_data_1[[#This Row],[Profit_Margin]],2)=ROUND((sales_data_1[[#This Row],[Unit_Price]]*(1-sales_data_1[[#This Row],[Discount]]) - sales_data_1[[#This Row],[Unit_Cost]])*sales_data_1[[#This Row],[Quantity_Sold]],2), "PASS", "CHECK")</f>
        <v>PASS</v>
      </c>
    </row>
    <row r="236" spans="1:20" x14ac:dyDescent="0.35">
      <c r="A236" s="7">
        <v>235</v>
      </c>
      <c r="B236" s="9">
        <v>1019</v>
      </c>
      <c r="C236" s="7" t="str">
        <f>IFERROR(_xlfn.TEXTJOIN("-", TRUE, _xlfn.XLOOKUP(K236, product_category_id_lookup!$A$2:$A$5, product_category_id_lookup!$B$2:$B$5), B236), "Unknown Category")</f>
        <v>fnt-1019</v>
      </c>
      <c r="D236" s="8">
        <v>44634</v>
      </c>
      <c r="E236" s="7">
        <f t="shared" si="9"/>
        <v>2022</v>
      </c>
      <c r="F236" s="28" t="str">
        <f t="shared" si="10"/>
        <v>Mar</v>
      </c>
      <c r="G236" s="17" t="s">
        <v>29</v>
      </c>
      <c r="H236" s="17" t="s">
        <v>30</v>
      </c>
      <c r="I236" s="24">
        <v>68768.399999999994</v>
      </c>
      <c r="J236" s="32">
        <v>20</v>
      </c>
      <c r="K236" s="17" t="s">
        <v>16</v>
      </c>
      <c r="L236" s="24">
        <v>1374.52</v>
      </c>
      <c r="M236" s="24">
        <v>4045.2</v>
      </c>
      <c r="N236" s="34">
        <f>((sales_data_1[[#This Row],[Unit_Price]]*(1-sales_data_1[[#This Row],[Discount]]))-sales_data_1[[#This Row],[Unit_Cost]])*sales_data_1[[#This Row],[Quantity_Sold]]</f>
        <v>41277.999999999993</v>
      </c>
      <c r="O236" s="17" t="s">
        <v>27</v>
      </c>
      <c r="P236" s="26">
        <v>0.15</v>
      </c>
      <c r="Q236" s="17" t="s">
        <v>28</v>
      </c>
      <c r="R236" s="17" t="s">
        <v>21</v>
      </c>
      <c r="S236" s="49" t="str">
        <f t="shared" si="11"/>
        <v>Charlie-East</v>
      </c>
      <c r="T236" s="59" t="str">
        <f>IF(ROUND(sales_data_1[[#This Row],[Profit_Margin]],2)=ROUND((sales_data_1[[#This Row],[Unit_Price]]*(1-sales_data_1[[#This Row],[Discount]]) - sales_data_1[[#This Row],[Unit_Cost]])*sales_data_1[[#This Row],[Quantity_Sold]],2), "PASS", "CHECK")</f>
        <v>PASS</v>
      </c>
    </row>
    <row r="237" spans="1:20" x14ac:dyDescent="0.35">
      <c r="A237" s="7">
        <v>236</v>
      </c>
      <c r="B237" s="9">
        <v>1077</v>
      </c>
      <c r="C237" s="7" t="str">
        <f>IFERROR(_xlfn.TEXTJOIN("-", TRUE, _xlfn.XLOOKUP(K237, product_category_id_lookup!$A$2:$A$5, product_category_id_lookup!$B$2:$B$5), B237), "Unknown Category")</f>
        <v>fnt-1077</v>
      </c>
      <c r="D237" s="8">
        <v>44635</v>
      </c>
      <c r="E237" s="7">
        <f t="shared" si="9"/>
        <v>2022</v>
      </c>
      <c r="F237" s="28" t="str">
        <f t="shared" si="10"/>
        <v>Mar</v>
      </c>
      <c r="G237" s="17" t="s">
        <v>22</v>
      </c>
      <c r="H237" s="17" t="s">
        <v>20</v>
      </c>
      <c r="I237" s="24">
        <v>13271.969700000001</v>
      </c>
      <c r="J237" s="32">
        <v>17</v>
      </c>
      <c r="K237" s="17" t="s">
        <v>16</v>
      </c>
      <c r="L237" s="24">
        <v>476.84</v>
      </c>
      <c r="M237" s="24">
        <v>788.59</v>
      </c>
      <c r="N237" s="34">
        <f>((sales_data_1[[#This Row],[Unit_Price]]*(1-sales_data_1[[#This Row],[Discount]]))-sales_data_1[[#This Row],[Unit_Cost]])*sales_data_1[[#This Row],[Quantity_Sold]]</f>
        <v>5165.6897000000008</v>
      </c>
      <c r="O237" s="17" t="s">
        <v>17</v>
      </c>
      <c r="P237" s="26">
        <v>0.01</v>
      </c>
      <c r="Q237" s="17" t="s">
        <v>25</v>
      </c>
      <c r="R237" s="17" t="s">
        <v>21</v>
      </c>
      <c r="S237" s="49" t="str">
        <f t="shared" si="11"/>
        <v>David-West</v>
      </c>
      <c r="T237" s="59" t="str">
        <f>IF(ROUND(sales_data_1[[#This Row],[Profit_Margin]],2)=ROUND((sales_data_1[[#This Row],[Unit_Price]]*(1-sales_data_1[[#This Row],[Discount]]) - sales_data_1[[#This Row],[Unit_Cost]])*sales_data_1[[#This Row],[Quantity_Sold]],2), "PASS", "CHECK")</f>
        <v>PASS</v>
      </c>
    </row>
    <row r="238" spans="1:20" x14ac:dyDescent="0.35">
      <c r="A238" s="7">
        <v>237</v>
      </c>
      <c r="B238" s="9">
        <v>1078</v>
      </c>
      <c r="C238" s="7" t="str">
        <f>IFERROR(_xlfn.TEXTJOIN("-", TRUE, _xlfn.XLOOKUP(K238, product_category_id_lookup!$A$2:$A$5, product_category_id_lookup!$B$2:$B$5), B238), "Unknown Category")</f>
        <v>etc-1078</v>
      </c>
      <c r="D238" s="8">
        <v>44635</v>
      </c>
      <c r="E238" s="7">
        <f t="shared" si="9"/>
        <v>2022</v>
      </c>
      <c r="F238" s="28" t="str">
        <f t="shared" si="10"/>
        <v>Mar</v>
      </c>
      <c r="G238" s="17" t="s">
        <v>29</v>
      </c>
      <c r="H238" s="17" t="s">
        <v>23</v>
      </c>
      <c r="I238" s="24">
        <v>117202.26700000001</v>
      </c>
      <c r="J238" s="32">
        <v>35</v>
      </c>
      <c r="K238" s="17" t="s">
        <v>31</v>
      </c>
      <c r="L238" s="24">
        <v>1443.96</v>
      </c>
      <c r="M238" s="24">
        <v>3679.82</v>
      </c>
      <c r="N238" s="34">
        <f>((sales_data_1[[#This Row],[Unit_Price]]*(1-sales_data_1[[#This Row],[Discount]]))-sales_data_1[[#This Row],[Unit_Cost]])*sales_data_1[[#This Row],[Quantity_Sold]]</f>
        <v>66663.667000000016</v>
      </c>
      <c r="O238" s="17" t="s">
        <v>27</v>
      </c>
      <c r="P238" s="26">
        <v>0.09</v>
      </c>
      <c r="Q238" s="17" t="s">
        <v>18</v>
      </c>
      <c r="R238" s="17" t="s">
        <v>21</v>
      </c>
      <c r="S238" s="49" t="str">
        <f t="shared" si="11"/>
        <v>Charlie-South</v>
      </c>
      <c r="T238" s="59" t="str">
        <f>IF(ROUND(sales_data_1[[#This Row],[Profit_Margin]],2)=ROUND((sales_data_1[[#This Row],[Unit_Price]]*(1-sales_data_1[[#This Row],[Discount]]) - sales_data_1[[#This Row],[Unit_Cost]])*sales_data_1[[#This Row],[Quantity_Sold]],2), "PASS", "CHECK")</f>
        <v>PASS</v>
      </c>
    </row>
    <row r="239" spans="1:20" x14ac:dyDescent="0.35">
      <c r="A239" s="7">
        <v>238</v>
      </c>
      <c r="B239" s="9">
        <v>1061</v>
      </c>
      <c r="C239" s="7" t="str">
        <f>IFERROR(_xlfn.TEXTJOIN("-", TRUE, _xlfn.XLOOKUP(K239, product_category_id_lookup!$A$2:$A$5, product_category_id_lookup!$B$2:$B$5), B239), "Unknown Category")</f>
        <v>etc-1061</v>
      </c>
      <c r="D239" s="8">
        <v>44636</v>
      </c>
      <c r="E239" s="7">
        <f t="shared" si="9"/>
        <v>2022</v>
      </c>
      <c r="F239" s="28" t="str">
        <f t="shared" si="10"/>
        <v>Mar</v>
      </c>
      <c r="G239" s="17" t="s">
        <v>33</v>
      </c>
      <c r="H239" s="17" t="s">
        <v>23</v>
      </c>
      <c r="I239" s="24">
        <v>94196.034</v>
      </c>
      <c r="J239" s="32">
        <v>27</v>
      </c>
      <c r="K239" s="17" t="s">
        <v>31</v>
      </c>
      <c r="L239" s="24">
        <v>3035.91</v>
      </c>
      <c r="M239" s="24">
        <v>3876.38</v>
      </c>
      <c r="N239" s="34">
        <f>((sales_data_1[[#This Row],[Unit_Price]]*(1-sales_data_1[[#This Row],[Discount]]))-sales_data_1[[#This Row],[Unit_Cost]])*sales_data_1[[#This Row],[Quantity_Sold]]</f>
        <v>12226.464000000009</v>
      </c>
      <c r="O239" s="17" t="s">
        <v>17</v>
      </c>
      <c r="P239" s="26">
        <v>0.1</v>
      </c>
      <c r="Q239" s="17" t="s">
        <v>28</v>
      </c>
      <c r="R239" s="17" t="s">
        <v>21</v>
      </c>
      <c r="S239" s="49" t="str">
        <f t="shared" si="11"/>
        <v>Alice-South</v>
      </c>
      <c r="T239" s="59" t="str">
        <f>IF(ROUND(sales_data_1[[#This Row],[Profit_Margin]],2)=ROUND((sales_data_1[[#This Row],[Unit_Price]]*(1-sales_data_1[[#This Row],[Discount]]) - sales_data_1[[#This Row],[Unit_Cost]])*sales_data_1[[#This Row],[Quantity_Sold]],2), "PASS", "CHECK")</f>
        <v>PASS</v>
      </c>
    </row>
    <row r="240" spans="1:20" x14ac:dyDescent="0.35">
      <c r="A240" s="7">
        <v>239</v>
      </c>
      <c r="B240" s="9">
        <v>1096</v>
      </c>
      <c r="C240" s="7" t="str">
        <f>IFERROR(_xlfn.TEXTJOIN("-", TRUE, _xlfn.XLOOKUP(K240, product_category_id_lookup!$A$2:$A$5, product_category_id_lookup!$B$2:$B$5), B240), "Unknown Category")</f>
        <v>ctg-1096</v>
      </c>
      <c r="D240" s="8">
        <v>44636</v>
      </c>
      <c r="E240" s="7">
        <f t="shared" si="9"/>
        <v>2022</v>
      </c>
      <c r="F240" s="28" t="str">
        <f t="shared" si="10"/>
        <v>Mar</v>
      </c>
      <c r="G240" s="17" t="s">
        <v>29</v>
      </c>
      <c r="H240" s="17" t="s">
        <v>30</v>
      </c>
      <c r="I240" s="24">
        <v>71849.099399999992</v>
      </c>
      <c r="J240" s="32">
        <v>39</v>
      </c>
      <c r="K240" s="17" t="s">
        <v>26</v>
      </c>
      <c r="L240" s="24">
        <v>815.94</v>
      </c>
      <c r="M240" s="24">
        <v>2219.62</v>
      </c>
      <c r="N240" s="34">
        <f>((sales_data_1[[#This Row],[Unit_Price]]*(1-sales_data_1[[#This Row],[Discount]]))-sales_data_1[[#This Row],[Unit_Cost]])*sales_data_1[[#This Row],[Quantity_Sold]]</f>
        <v>40027.439399999988</v>
      </c>
      <c r="O240" s="17" t="s">
        <v>27</v>
      </c>
      <c r="P240" s="26">
        <v>0.17</v>
      </c>
      <c r="Q240" s="17" t="s">
        <v>18</v>
      </c>
      <c r="R240" s="17" t="s">
        <v>21</v>
      </c>
      <c r="S240" s="49" t="str">
        <f t="shared" si="11"/>
        <v>Charlie-East</v>
      </c>
      <c r="T240" s="59" t="str">
        <f>IF(ROUND(sales_data_1[[#This Row],[Profit_Margin]],2)=ROUND((sales_data_1[[#This Row],[Unit_Price]]*(1-sales_data_1[[#This Row],[Discount]]) - sales_data_1[[#This Row],[Unit_Cost]])*sales_data_1[[#This Row],[Quantity_Sold]],2), "PASS", "CHECK")</f>
        <v>PASS</v>
      </c>
    </row>
    <row r="241" spans="1:20" x14ac:dyDescent="0.35">
      <c r="A241" s="7">
        <v>240</v>
      </c>
      <c r="B241" s="9">
        <v>1093</v>
      </c>
      <c r="C241" s="7" t="str">
        <f>IFERROR(_xlfn.TEXTJOIN("-", TRUE, _xlfn.XLOOKUP(K241, product_category_id_lookup!$A$2:$A$5, product_category_id_lookup!$B$2:$B$5), B241), "Unknown Category")</f>
        <v>ctg-1093</v>
      </c>
      <c r="D241" s="8">
        <v>44637</v>
      </c>
      <c r="E241" s="7">
        <f t="shared" si="9"/>
        <v>2022</v>
      </c>
      <c r="F241" s="28" t="str">
        <f t="shared" si="10"/>
        <v>Mar</v>
      </c>
      <c r="G241" s="17" t="s">
        <v>22</v>
      </c>
      <c r="H241" s="17" t="s">
        <v>15</v>
      </c>
      <c r="I241" s="24">
        <v>33132.898120562037</v>
      </c>
      <c r="J241" s="32">
        <v>7</v>
      </c>
      <c r="K241" s="17" t="s">
        <v>26</v>
      </c>
      <c r="L241" s="24">
        <v>4603.16</v>
      </c>
      <c r="M241" s="24">
        <v>4979.3599999999997</v>
      </c>
      <c r="N241" s="34">
        <f>((sales_data_1[[#This Row],[Unit_Price]]*(1-sales_data_1[[#This Row],[Discount]]))-sales_data_1[[#This Row],[Unit_Cost]])*sales_data_1[[#This Row],[Quantity_Sold]]</f>
        <v>890.6239999999998</v>
      </c>
      <c r="O241" s="17" t="s">
        <v>17</v>
      </c>
      <c r="P241" s="26">
        <v>0.05</v>
      </c>
      <c r="Q241" s="17" t="s">
        <v>18</v>
      </c>
      <c r="R241" s="17" t="s">
        <v>19</v>
      </c>
      <c r="S241" s="49" t="str">
        <f t="shared" si="11"/>
        <v>David-North</v>
      </c>
      <c r="T241" s="59" t="str">
        <f>IF(ROUND(sales_data_1[[#This Row],[Profit_Margin]],2)=ROUND((sales_data_1[[#This Row],[Unit_Price]]*(1-sales_data_1[[#This Row],[Discount]]) - sales_data_1[[#This Row],[Unit_Cost]])*sales_data_1[[#This Row],[Quantity_Sold]],2), "PASS", "CHECK")</f>
        <v>PASS</v>
      </c>
    </row>
    <row r="242" spans="1:20" x14ac:dyDescent="0.35">
      <c r="A242" s="7">
        <v>241</v>
      </c>
      <c r="B242" s="9">
        <v>1042</v>
      </c>
      <c r="C242" s="7" t="str">
        <f>IFERROR(_xlfn.TEXTJOIN("-", TRUE, _xlfn.XLOOKUP(K242, product_category_id_lookup!$A$2:$A$5, product_category_id_lookup!$B$2:$B$5), B242), "Unknown Category")</f>
        <v>fnt-1042</v>
      </c>
      <c r="D242" s="8">
        <v>44637</v>
      </c>
      <c r="E242" s="7">
        <f t="shared" si="9"/>
        <v>2022</v>
      </c>
      <c r="F242" s="28" t="str">
        <f t="shared" si="10"/>
        <v>Mar</v>
      </c>
      <c r="G242" s="17" t="s">
        <v>22</v>
      </c>
      <c r="H242" s="17" t="s">
        <v>30</v>
      </c>
      <c r="I242" s="24">
        <v>174663.78388126448</v>
      </c>
      <c r="J242" s="32">
        <v>38</v>
      </c>
      <c r="K242" s="17" t="s">
        <v>16</v>
      </c>
      <c r="L242" s="24">
        <v>4570.3599999999997</v>
      </c>
      <c r="M242" s="24">
        <v>4604.22</v>
      </c>
      <c r="N242" s="34">
        <f>((sales_data_1[[#This Row],[Unit_Price]]*(1-sales_data_1[[#This Row],[Discount]]))-sales_data_1[[#This Row],[Unit_Cost]])*sales_data_1[[#This Row],[Quantity_Sold]]</f>
        <v>1286.6800000000221</v>
      </c>
      <c r="O242" s="17" t="s">
        <v>27</v>
      </c>
      <c r="P242" s="26">
        <v>0</v>
      </c>
      <c r="Q242" s="17" t="s">
        <v>18</v>
      </c>
      <c r="R242" s="17" t="s">
        <v>21</v>
      </c>
      <c r="S242" s="49" t="str">
        <f t="shared" si="11"/>
        <v>David-East</v>
      </c>
      <c r="T242" s="59" t="str">
        <f>IF(ROUND(sales_data_1[[#This Row],[Profit_Margin]],2)=ROUND((sales_data_1[[#This Row],[Unit_Price]]*(1-sales_data_1[[#This Row],[Discount]]) - sales_data_1[[#This Row],[Unit_Cost]])*sales_data_1[[#This Row],[Quantity_Sold]],2), "PASS", "CHECK")</f>
        <v>PASS</v>
      </c>
    </row>
    <row r="243" spans="1:20" x14ac:dyDescent="0.35">
      <c r="A243" s="7">
        <v>242</v>
      </c>
      <c r="B243" s="9">
        <v>1034</v>
      </c>
      <c r="C243" s="7" t="str">
        <f>IFERROR(_xlfn.TEXTJOIN("-", TRUE, _xlfn.XLOOKUP(K243, product_category_id_lookup!$A$2:$A$5, product_category_id_lookup!$B$2:$B$5), B243), "Unknown Category")</f>
        <v>fnt-1034</v>
      </c>
      <c r="D243" s="8">
        <v>44637</v>
      </c>
      <c r="E243" s="7">
        <f t="shared" si="9"/>
        <v>2022</v>
      </c>
      <c r="F243" s="28" t="str">
        <f t="shared" si="10"/>
        <v>Mar</v>
      </c>
      <c r="G243" s="17" t="s">
        <v>32</v>
      </c>
      <c r="H243" s="17" t="s">
        <v>15</v>
      </c>
      <c r="I243" s="24">
        <v>74327.322197144764</v>
      </c>
      <c r="J243" s="32">
        <v>37</v>
      </c>
      <c r="K243" s="17" t="s">
        <v>16</v>
      </c>
      <c r="L243" s="24">
        <v>1962.72</v>
      </c>
      <c r="M243" s="24">
        <v>2012.96</v>
      </c>
      <c r="N243" s="34">
        <f>((sales_data_1[[#This Row],[Unit_Price]]*(1-sales_data_1[[#This Row],[Discount]]))-sales_data_1[[#This Row],[Unit_Cost]])*sales_data_1[[#This Row],[Quantity_Sold]]</f>
        <v>1858.8800000000003</v>
      </c>
      <c r="O243" s="17" t="s">
        <v>17</v>
      </c>
      <c r="P243" s="26">
        <v>0</v>
      </c>
      <c r="Q243" s="17" t="s">
        <v>25</v>
      </c>
      <c r="R243" s="17" t="s">
        <v>21</v>
      </c>
      <c r="S243" s="49" t="str">
        <f t="shared" si="11"/>
        <v>Eve-North</v>
      </c>
      <c r="T243" s="59" t="str">
        <f>IF(ROUND(sales_data_1[[#This Row],[Profit_Margin]],2)=ROUND((sales_data_1[[#This Row],[Unit_Price]]*(1-sales_data_1[[#This Row],[Discount]]) - sales_data_1[[#This Row],[Unit_Cost]])*sales_data_1[[#This Row],[Quantity_Sold]],2), "PASS", "CHECK")</f>
        <v>PASS</v>
      </c>
    </row>
    <row r="244" spans="1:20" x14ac:dyDescent="0.35">
      <c r="A244" s="7">
        <v>243</v>
      </c>
      <c r="B244" s="9">
        <v>1027</v>
      </c>
      <c r="C244" s="7" t="str">
        <f>IFERROR(_xlfn.TEXTJOIN("-", TRUE, _xlfn.XLOOKUP(K244, product_category_id_lookup!$A$2:$A$5, product_category_id_lookup!$B$2:$B$5), B244), "Unknown Category")</f>
        <v>etc-1027</v>
      </c>
      <c r="D244" s="8">
        <v>44637</v>
      </c>
      <c r="E244" s="7">
        <f t="shared" si="9"/>
        <v>2022</v>
      </c>
      <c r="F244" s="28" t="str">
        <f t="shared" si="10"/>
        <v>Mar</v>
      </c>
      <c r="G244" s="17" t="s">
        <v>14</v>
      </c>
      <c r="H244" s="17" t="s">
        <v>23</v>
      </c>
      <c r="I244" s="24">
        <v>47636.860799999995</v>
      </c>
      <c r="J244" s="32">
        <v>19</v>
      </c>
      <c r="K244" s="17" t="s">
        <v>31</v>
      </c>
      <c r="L244" s="24">
        <v>1048.81</v>
      </c>
      <c r="M244" s="24">
        <v>2611.67</v>
      </c>
      <c r="N244" s="34">
        <f>((sales_data_1[[#This Row],[Unit_Price]]*(1-sales_data_1[[#This Row],[Discount]]))-sales_data_1[[#This Row],[Unit_Cost]])*sales_data_1[[#This Row],[Quantity_Sold]]</f>
        <v>27709.470799999999</v>
      </c>
      <c r="O244" s="17" t="s">
        <v>17</v>
      </c>
      <c r="P244" s="26">
        <v>0.04</v>
      </c>
      <c r="Q244" s="17" t="s">
        <v>28</v>
      </c>
      <c r="R244" s="17" t="s">
        <v>21</v>
      </c>
      <c r="S244" s="49" t="str">
        <f t="shared" si="11"/>
        <v>Bob-South</v>
      </c>
      <c r="T244" s="59" t="str">
        <f>IF(ROUND(sales_data_1[[#This Row],[Profit_Margin]],2)=ROUND((sales_data_1[[#This Row],[Unit_Price]]*(1-sales_data_1[[#This Row],[Discount]]) - sales_data_1[[#This Row],[Unit_Cost]])*sales_data_1[[#This Row],[Quantity_Sold]],2), "PASS", "CHECK")</f>
        <v>PASS</v>
      </c>
    </row>
    <row r="245" spans="1:20" x14ac:dyDescent="0.35">
      <c r="A245" s="7">
        <v>244</v>
      </c>
      <c r="B245" s="9">
        <v>1086</v>
      </c>
      <c r="C245" s="7" t="str">
        <f>IFERROR(_xlfn.TEXTJOIN("-", TRUE, _xlfn.XLOOKUP(K245, product_category_id_lookup!$A$2:$A$5, product_category_id_lookup!$B$2:$B$5), B245), "Unknown Category")</f>
        <v>fnt-1086</v>
      </c>
      <c r="D245" s="8">
        <v>44637</v>
      </c>
      <c r="E245" s="7">
        <f t="shared" si="9"/>
        <v>2022</v>
      </c>
      <c r="F245" s="28" t="str">
        <f t="shared" si="10"/>
        <v>Mar</v>
      </c>
      <c r="G245" s="17" t="s">
        <v>29</v>
      </c>
      <c r="H245" s="17" t="s">
        <v>23</v>
      </c>
      <c r="I245" s="24">
        <v>75527.667600000001</v>
      </c>
      <c r="J245" s="32">
        <v>22</v>
      </c>
      <c r="K245" s="17" t="s">
        <v>16</v>
      </c>
      <c r="L245" s="24">
        <v>795.38</v>
      </c>
      <c r="M245" s="24">
        <v>4458.54</v>
      </c>
      <c r="N245" s="34">
        <f>((sales_data_1[[#This Row],[Unit_Price]]*(1-sales_data_1[[#This Row],[Discount]]))-sales_data_1[[#This Row],[Unit_Cost]])*sales_data_1[[#This Row],[Quantity_Sold]]</f>
        <v>58029.3076</v>
      </c>
      <c r="O245" s="17" t="s">
        <v>27</v>
      </c>
      <c r="P245" s="26">
        <v>0.23</v>
      </c>
      <c r="Q245" s="17" t="s">
        <v>25</v>
      </c>
      <c r="R245" s="17" t="s">
        <v>19</v>
      </c>
      <c r="S245" s="49" t="str">
        <f t="shared" si="11"/>
        <v>Charlie-South</v>
      </c>
      <c r="T245" s="59" t="str">
        <f>IF(ROUND(sales_data_1[[#This Row],[Profit_Margin]],2)=ROUND((sales_data_1[[#This Row],[Unit_Price]]*(1-sales_data_1[[#This Row],[Discount]]) - sales_data_1[[#This Row],[Unit_Cost]])*sales_data_1[[#This Row],[Quantity_Sold]],2), "PASS", "CHECK")</f>
        <v>PASS</v>
      </c>
    </row>
    <row r="246" spans="1:20" x14ac:dyDescent="0.35">
      <c r="A246" s="7">
        <v>245</v>
      </c>
      <c r="B246" s="9">
        <v>1074</v>
      </c>
      <c r="C246" s="7" t="str">
        <f>IFERROR(_xlfn.TEXTJOIN("-", TRUE, _xlfn.XLOOKUP(K246, product_category_id_lookup!$A$2:$A$5, product_category_id_lookup!$B$2:$B$5), B246), "Unknown Category")</f>
        <v>fnt-1074</v>
      </c>
      <c r="D246" s="8">
        <v>44637</v>
      </c>
      <c r="E246" s="7">
        <f t="shared" si="9"/>
        <v>2022</v>
      </c>
      <c r="F246" s="28" t="str">
        <f t="shared" si="10"/>
        <v>Mar</v>
      </c>
      <c r="G246" s="17" t="s">
        <v>32</v>
      </c>
      <c r="H246" s="17" t="s">
        <v>15</v>
      </c>
      <c r="I246" s="24">
        <v>106617.39479999999</v>
      </c>
      <c r="J246" s="32">
        <v>31</v>
      </c>
      <c r="K246" s="17" t="s">
        <v>16</v>
      </c>
      <c r="L246" s="24">
        <v>777.74</v>
      </c>
      <c r="M246" s="24">
        <v>4094.37</v>
      </c>
      <c r="N246" s="34">
        <f>((sales_data_1[[#This Row],[Unit_Price]]*(1-sales_data_1[[#This Row],[Discount]]))-sales_data_1[[#This Row],[Unit_Cost]])*sales_data_1[[#This Row],[Quantity_Sold]]</f>
        <v>82507.454799999992</v>
      </c>
      <c r="O246" s="17" t="s">
        <v>17</v>
      </c>
      <c r="P246" s="26">
        <v>0.16</v>
      </c>
      <c r="Q246" s="17" t="s">
        <v>25</v>
      </c>
      <c r="R246" s="17" t="s">
        <v>19</v>
      </c>
      <c r="S246" s="49" t="str">
        <f t="shared" si="11"/>
        <v>Eve-North</v>
      </c>
      <c r="T246" s="59" t="str">
        <f>IF(ROUND(sales_data_1[[#This Row],[Profit_Margin]],2)=ROUND((sales_data_1[[#This Row],[Unit_Price]]*(1-sales_data_1[[#This Row],[Discount]]) - sales_data_1[[#This Row],[Unit_Cost]])*sales_data_1[[#This Row],[Quantity_Sold]],2), "PASS", "CHECK")</f>
        <v>PASS</v>
      </c>
    </row>
    <row r="247" spans="1:20" x14ac:dyDescent="0.35">
      <c r="A247" s="7">
        <v>246</v>
      </c>
      <c r="B247" s="9">
        <v>1082</v>
      </c>
      <c r="C247" s="7" t="str">
        <f>IFERROR(_xlfn.TEXTJOIN("-", TRUE, _xlfn.XLOOKUP(K247, product_category_id_lookup!$A$2:$A$5, product_category_id_lookup!$B$2:$B$5), B247), "Unknown Category")</f>
        <v>fnt-1082</v>
      </c>
      <c r="D247" s="8">
        <v>44638</v>
      </c>
      <c r="E247" s="7">
        <f t="shared" si="9"/>
        <v>2022</v>
      </c>
      <c r="F247" s="28" t="str">
        <f t="shared" si="10"/>
        <v>Mar</v>
      </c>
      <c r="G247" s="17" t="s">
        <v>33</v>
      </c>
      <c r="H247" s="17" t="s">
        <v>15</v>
      </c>
      <c r="I247" s="24">
        <v>151328.20776904438</v>
      </c>
      <c r="J247" s="32">
        <v>45</v>
      </c>
      <c r="K247" s="17" t="s">
        <v>16</v>
      </c>
      <c r="L247" s="24">
        <v>3112.28</v>
      </c>
      <c r="M247" s="24">
        <v>3476.15</v>
      </c>
      <c r="N247" s="34">
        <f>((sales_data_1[[#This Row],[Unit_Price]]*(1-sales_data_1[[#This Row],[Discount]]))-sales_data_1[[#This Row],[Unit_Cost]])*sales_data_1[[#This Row],[Quantity_Sold]]</f>
        <v>11681.347499999985</v>
      </c>
      <c r="O247" s="17" t="s">
        <v>27</v>
      </c>
      <c r="P247" s="26">
        <v>0.03</v>
      </c>
      <c r="Q247" s="17" t="s">
        <v>18</v>
      </c>
      <c r="R247" s="17" t="s">
        <v>19</v>
      </c>
      <c r="S247" s="49" t="str">
        <f t="shared" si="11"/>
        <v>Alice-North</v>
      </c>
      <c r="T247" s="59" t="str">
        <f>IF(ROUND(sales_data_1[[#This Row],[Profit_Margin]],2)=ROUND((sales_data_1[[#This Row],[Unit_Price]]*(1-sales_data_1[[#This Row],[Discount]]) - sales_data_1[[#This Row],[Unit_Cost]])*sales_data_1[[#This Row],[Quantity_Sold]],2), "PASS", "CHECK")</f>
        <v>PASS</v>
      </c>
    </row>
    <row r="248" spans="1:20" x14ac:dyDescent="0.35">
      <c r="A248" s="7">
        <v>247</v>
      </c>
      <c r="B248" s="9">
        <v>1037</v>
      </c>
      <c r="C248" s="7" t="str">
        <f>IFERROR(_xlfn.TEXTJOIN("-", TRUE, _xlfn.XLOOKUP(K248, product_category_id_lookup!$A$2:$A$5, product_category_id_lookup!$B$2:$B$5), B248), "Unknown Category")</f>
        <v>etc-1037</v>
      </c>
      <c r="D248" s="8">
        <v>44639</v>
      </c>
      <c r="E248" s="7">
        <f t="shared" si="9"/>
        <v>2022</v>
      </c>
      <c r="F248" s="28" t="str">
        <f t="shared" si="10"/>
        <v>Mar</v>
      </c>
      <c r="G248" s="17" t="s">
        <v>22</v>
      </c>
      <c r="H248" s="17" t="s">
        <v>20</v>
      </c>
      <c r="I248" s="24">
        <v>96332.792826216551</v>
      </c>
      <c r="J248" s="32">
        <v>26</v>
      </c>
      <c r="K248" s="17" t="s">
        <v>31</v>
      </c>
      <c r="L248" s="24">
        <v>3369.36</v>
      </c>
      <c r="M248" s="24">
        <v>3757.67</v>
      </c>
      <c r="N248" s="34">
        <f>((sales_data_1[[#This Row],[Unit_Price]]*(1-sales_data_1[[#This Row],[Discount]]))-sales_data_1[[#This Row],[Unit_Cost]])*sales_data_1[[#This Row],[Quantity_Sold]]</f>
        <v>9119.0657999999967</v>
      </c>
      <c r="O248" s="17" t="s">
        <v>27</v>
      </c>
      <c r="P248" s="26">
        <v>0.01</v>
      </c>
      <c r="Q248" s="17" t="s">
        <v>25</v>
      </c>
      <c r="R248" s="17" t="s">
        <v>19</v>
      </c>
      <c r="S248" s="49" t="str">
        <f t="shared" si="11"/>
        <v>David-West</v>
      </c>
      <c r="T248" s="59" t="str">
        <f>IF(ROUND(sales_data_1[[#This Row],[Profit_Margin]],2)=ROUND((sales_data_1[[#This Row],[Unit_Price]]*(1-sales_data_1[[#This Row],[Discount]]) - sales_data_1[[#This Row],[Unit_Cost]])*sales_data_1[[#This Row],[Quantity_Sold]],2), "PASS", "CHECK")</f>
        <v>PASS</v>
      </c>
    </row>
    <row r="249" spans="1:20" x14ac:dyDescent="0.35">
      <c r="A249" s="7">
        <v>248</v>
      </c>
      <c r="B249" s="9">
        <v>1028</v>
      </c>
      <c r="C249" s="7" t="str">
        <f>IFERROR(_xlfn.TEXTJOIN("-", TRUE, _xlfn.XLOOKUP(K249, product_category_id_lookup!$A$2:$A$5, product_category_id_lookup!$B$2:$B$5), B249), "Unknown Category")</f>
        <v>fd-1028</v>
      </c>
      <c r="D249" s="8">
        <v>44640</v>
      </c>
      <c r="E249" s="7">
        <f t="shared" si="9"/>
        <v>2022</v>
      </c>
      <c r="F249" s="28" t="str">
        <f t="shared" si="10"/>
        <v>Mar</v>
      </c>
      <c r="G249" s="17" t="s">
        <v>29</v>
      </c>
      <c r="H249" s="17" t="s">
        <v>20</v>
      </c>
      <c r="I249" s="24">
        <v>11233.5118</v>
      </c>
      <c r="J249" s="32">
        <v>14</v>
      </c>
      <c r="K249" s="17" t="s">
        <v>24</v>
      </c>
      <c r="L249" s="24">
        <v>641.1</v>
      </c>
      <c r="M249" s="24">
        <v>827.21</v>
      </c>
      <c r="N249" s="34">
        <f>((sales_data_1[[#This Row],[Unit_Price]]*(1-sales_data_1[[#This Row],[Discount]]))-sales_data_1[[#This Row],[Unit_Cost]])*sales_data_1[[#This Row],[Quantity_Sold]]</f>
        <v>2258.1117999999992</v>
      </c>
      <c r="O249" s="17" t="s">
        <v>17</v>
      </c>
      <c r="P249" s="26">
        <v>0.03</v>
      </c>
      <c r="Q249" s="17" t="s">
        <v>25</v>
      </c>
      <c r="R249" s="17" t="s">
        <v>21</v>
      </c>
      <c r="S249" s="49" t="str">
        <f t="shared" si="11"/>
        <v>Charlie-West</v>
      </c>
      <c r="T249" s="59" t="str">
        <f>IF(ROUND(sales_data_1[[#This Row],[Profit_Margin]],2)=ROUND((sales_data_1[[#This Row],[Unit_Price]]*(1-sales_data_1[[#This Row],[Discount]]) - sales_data_1[[#This Row],[Unit_Cost]])*sales_data_1[[#This Row],[Quantity_Sold]],2), "PASS", "CHECK")</f>
        <v>PASS</v>
      </c>
    </row>
    <row r="250" spans="1:20" x14ac:dyDescent="0.35">
      <c r="A250" s="7">
        <v>249</v>
      </c>
      <c r="B250" s="9">
        <v>1091</v>
      </c>
      <c r="C250" s="7" t="str">
        <f>IFERROR(_xlfn.TEXTJOIN("-", TRUE, _xlfn.XLOOKUP(K250, product_category_id_lookup!$A$2:$A$5, product_category_id_lookup!$B$2:$B$5), B250), "Unknown Category")</f>
        <v>etc-1091</v>
      </c>
      <c r="D250" s="8">
        <v>44640</v>
      </c>
      <c r="E250" s="7">
        <f t="shared" si="9"/>
        <v>2022</v>
      </c>
      <c r="F250" s="28" t="str">
        <f t="shared" si="10"/>
        <v>Mar</v>
      </c>
      <c r="G250" s="17" t="s">
        <v>29</v>
      </c>
      <c r="H250" s="17" t="s">
        <v>30</v>
      </c>
      <c r="I250" s="24">
        <v>117555.20164315401</v>
      </c>
      <c r="J250" s="32">
        <v>25</v>
      </c>
      <c r="K250" s="17" t="s">
        <v>31</v>
      </c>
      <c r="L250" s="24">
        <v>4270.6899999999996</v>
      </c>
      <c r="M250" s="24">
        <v>4910.16</v>
      </c>
      <c r="N250" s="34">
        <f>((sales_data_1[[#This Row],[Unit_Price]]*(1-sales_data_1[[#This Row],[Discount]]))-sales_data_1[[#This Row],[Unit_Cost]])*sales_data_1[[#This Row],[Quantity_Sold]]</f>
        <v>11076.590000000011</v>
      </c>
      <c r="O250" s="17" t="s">
        <v>17</v>
      </c>
      <c r="P250" s="26">
        <v>0.04</v>
      </c>
      <c r="Q250" s="17" t="s">
        <v>18</v>
      </c>
      <c r="R250" s="17" t="s">
        <v>19</v>
      </c>
      <c r="S250" s="49" t="str">
        <f t="shared" si="11"/>
        <v>Charlie-East</v>
      </c>
      <c r="T250" s="59" t="str">
        <f>IF(ROUND(sales_data_1[[#This Row],[Profit_Margin]],2)=ROUND((sales_data_1[[#This Row],[Unit_Price]]*(1-sales_data_1[[#This Row],[Discount]]) - sales_data_1[[#This Row],[Unit_Cost]])*sales_data_1[[#This Row],[Quantity_Sold]],2), "PASS", "CHECK")</f>
        <v>PASS</v>
      </c>
    </row>
    <row r="251" spans="1:20" x14ac:dyDescent="0.35">
      <c r="A251" s="7">
        <v>250</v>
      </c>
      <c r="B251" s="9">
        <v>1014</v>
      </c>
      <c r="C251" s="7" t="str">
        <f>IFERROR(_xlfn.TEXTJOIN("-", TRUE, _xlfn.XLOOKUP(K251, product_category_id_lookup!$A$2:$A$5, product_category_id_lookup!$B$2:$B$5), B251), "Unknown Category")</f>
        <v>fd-1014</v>
      </c>
      <c r="D251" s="8">
        <v>44640</v>
      </c>
      <c r="E251" s="7">
        <f t="shared" si="9"/>
        <v>2022</v>
      </c>
      <c r="F251" s="28" t="str">
        <f t="shared" si="10"/>
        <v>Mar</v>
      </c>
      <c r="G251" s="17" t="s">
        <v>14</v>
      </c>
      <c r="H251" s="17" t="s">
        <v>15</v>
      </c>
      <c r="I251" s="24">
        <v>94823.520000000019</v>
      </c>
      <c r="J251" s="32">
        <v>33</v>
      </c>
      <c r="K251" s="17" t="s">
        <v>24</v>
      </c>
      <c r="L251" s="24">
        <v>1172.0999999999999</v>
      </c>
      <c r="M251" s="24">
        <v>3591.8</v>
      </c>
      <c r="N251" s="34">
        <f>((sales_data_1[[#This Row],[Unit_Price]]*(1-sales_data_1[[#This Row],[Discount]]))-sales_data_1[[#This Row],[Unit_Cost]])*sales_data_1[[#This Row],[Quantity_Sold]]</f>
        <v>56144.220000000023</v>
      </c>
      <c r="O251" s="17" t="s">
        <v>17</v>
      </c>
      <c r="P251" s="26">
        <v>0.2</v>
      </c>
      <c r="Q251" s="17" t="s">
        <v>28</v>
      </c>
      <c r="R251" s="17" t="s">
        <v>21</v>
      </c>
      <c r="S251" s="49" t="str">
        <f t="shared" si="11"/>
        <v>Bob-North</v>
      </c>
      <c r="T251" s="59" t="str">
        <f>IF(ROUND(sales_data_1[[#This Row],[Profit_Margin]],2)=ROUND((sales_data_1[[#This Row],[Unit_Price]]*(1-sales_data_1[[#This Row],[Discount]]) - sales_data_1[[#This Row],[Unit_Cost]])*sales_data_1[[#This Row],[Quantity_Sold]],2), "PASS", "CHECK")</f>
        <v>PASS</v>
      </c>
    </row>
    <row r="252" spans="1:20" x14ac:dyDescent="0.35">
      <c r="A252" s="7">
        <v>251</v>
      </c>
      <c r="B252" s="9">
        <v>1069</v>
      </c>
      <c r="C252" s="7" t="str">
        <f>IFERROR(_xlfn.TEXTJOIN("-", TRUE, _xlfn.XLOOKUP(K252, product_category_id_lookup!$A$2:$A$5, product_category_id_lookup!$B$2:$B$5), B252), "Unknown Category")</f>
        <v>fd-1069</v>
      </c>
      <c r="D252" s="8">
        <v>44641</v>
      </c>
      <c r="E252" s="7">
        <f t="shared" si="9"/>
        <v>2022</v>
      </c>
      <c r="F252" s="28" t="str">
        <f t="shared" si="10"/>
        <v>Mar</v>
      </c>
      <c r="G252" s="17" t="s">
        <v>29</v>
      </c>
      <c r="H252" s="17" t="s">
        <v>30</v>
      </c>
      <c r="I252" s="24">
        <v>45714.556799999998</v>
      </c>
      <c r="J252" s="32">
        <v>36</v>
      </c>
      <c r="K252" s="17" t="s">
        <v>24</v>
      </c>
      <c r="L252" s="24">
        <v>581.21</v>
      </c>
      <c r="M252" s="24">
        <v>1443.01</v>
      </c>
      <c r="N252" s="34">
        <f>((sales_data_1[[#This Row],[Unit_Price]]*(1-sales_data_1[[#This Row],[Discount]]))-sales_data_1[[#This Row],[Unit_Cost]])*sales_data_1[[#This Row],[Quantity_Sold]]</f>
        <v>24790.996799999997</v>
      </c>
      <c r="O252" s="17" t="s">
        <v>17</v>
      </c>
      <c r="P252" s="26">
        <v>0.12</v>
      </c>
      <c r="Q252" s="17" t="s">
        <v>25</v>
      </c>
      <c r="R252" s="17" t="s">
        <v>19</v>
      </c>
      <c r="S252" s="49" t="str">
        <f t="shared" si="11"/>
        <v>Charlie-East</v>
      </c>
      <c r="T252" s="59" t="str">
        <f>IF(ROUND(sales_data_1[[#This Row],[Profit_Margin]],2)=ROUND((sales_data_1[[#This Row],[Unit_Price]]*(1-sales_data_1[[#This Row],[Discount]]) - sales_data_1[[#This Row],[Unit_Cost]])*sales_data_1[[#This Row],[Quantity_Sold]],2), "PASS", "CHECK")</f>
        <v>PASS</v>
      </c>
    </row>
    <row r="253" spans="1:20" x14ac:dyDescent="0.35">
      <c r="A253" s="7">
        <v>252</v>
      </c>
      <c r="B253" s="9">
        <v>1035</v>
      </c>
      <c r="C253" s="7" t="str">
        <f>IFERROR(_xlfn.TEXTJOIN("-", TRUE, _xlfn.XLOOKUP(K253, product_category_id_lookup!$A$2:$A$5, product_category_id_lookup!$B$2:$B$5), B253), "Unknown Category")</f>
        <v>fd-1035</v>
      </c>
      <c r="D253" s="8">
        <v>44641</v>
      </c>
      <c r="E253" s="7">
        <f t="shared" si="9"/>
        <v>2022</v>
      </c>
      <c r="F253" s="28" t="str">
        <f t="shared" si="10"/>
        <v>Mar</v>
      </c>
      <c r="G253" s="17" t="s">
        <v>22</v>
      </c>
      <c r="H253" s="17" t="s">
        <v>23</v>
      </c>
      <c r="I253" s="24">
        <v>101347.4754</v>
      </c>
      <c r="J253" s="32">
        <v>31</v>
      </c>
      <c r="K253" s="17" t="s">
        <v>24</v>
      </c>
      <c r="L253" s="24">
        <v>707.43</v>
      </c>
      <c r="M253" s="24">
        <v>4036.14</v>
      </c>
      <c r="N253" s="34">
        <f>((sales_data_1[[#This Row],[Unit_Price]]*(1-sales_data_1[[#This Row],[Discount]]))-sales_data_1[[#This Row],[Unit_Cost]])*sales_data_1[[#This Row],[Quantity_Sold]]</f>
        <v>79417.145400000009</v>
      </c>
      <c r="O253" s="17" t="s">
        <v>17</v>
      </c>
      <c r="P253" s="26">
        <v>0.19</v>
      </c>
      <c r="Q253" s="17" t="s">
        <v>18</v>
      </c>
      <c r="R253" s="17" t="s">
        <v>21</v>
      </c>
      <c r="S253" s="49" t="str">
        <f t="shared" si="11"/>
        <v>David-South</v>
      </c>
      <c r="T253" s="59" t="str">
        <f>IF(ROUND(sales_data_1[[#This Row],[Profit_Margin]],2)=ROUND((sales_data_1[[#This Row],[Unit_Price]]*(1-sales_data_1[[#This Row],[Discount]]) - sales_data_1[[#This Row],[Unit_Cost]])*sales_data_1[[#This Row],[Quantity_Sold]],2), "PASS", "CHECK")</f>
        <v>PASS</v>
      </c>
    </row>
    <row r="254" spans="1:20" x14ac:dyDescent="0.35">
      <c r="A254" s="7">
        <v>253</v>
      </c>
      <c r="B254" s="9">
        <v>1034</v>
      </c>
      <c r="C254" s="7" t="str">
        <f>IFERROR(_xlfn.TEXTJOIN("-", TRUE, _xlfn.XLOOKUP(K254, product_category_id_lookup!$A$2:$A$5, product_category_id_lookup!$B$2:$B$5), B254), "Unknown Category")</f>
        <v>ctg-1034</v>
      </c>
      <c r="D254" s="8">
        <v>44641</v>
      </c>
      <c r="E254" s="7">
        <f t="shared" si="9"/>
        <v>2022</v>
      </c>
      <c r="F254" s="28" t="str">
        <f t="shared" si="10"/>
        <v>Mar</v>
      </c>
      <c r="G254" s="17" t="s">
        <v>32</v>
      </c>
      <c r="H254" s="17" t="s">
        <v>30</v>
      </c>
      <c r="I254" s="24">
        <v>139677.696</v>
      </c>
      <c r="J254" s="32">
        <v>48</v>
      </c>
      <c r="K254" s="17" t="s">
        <v>26</v>
      </c>
      <c r="L254" s="24">
        <v>593.26</v>
      </c>
      <c r="M254" s="24">
        <v>3031.2</v>
      </c>
      <c r="N254" s="34">
        <f>((sales_data_1[[#This Row],[Unit_Price]]*(1-sales_data_1[[#This Row],[Discount]]))-sales_data_1[[#This Row],[Unit_Cost]])*sales_data_1[[#This Row],[Quantity_Sold]]</f>
        <v>111201.216</v>
      </c>
      <c r="O254" s="17" t="s">
        <v>27</v>
      </c>
      <c r="P254" s="26">
        <v>0.04</v>
      </c>
      <c r="Q254" s="17" t="s">
        <v>28</v>
      </c>
      <c r="R254" s="17" t="s">
        <v>19</v>
      </c>
      <c r="S254" s="49" t="str">
        <f t="shared" si="11"/>
        <v>Eve-East</v>
      </c>
      <c r="T254" s="59" t="str">
        <f>IF(ROUND(sales_data_1[[#This Row],[Profit_Margin]],2)=ROUND((sales_data_1[[#This Row],[Unit_Price]]*(1-sales_data_1[[#This Row],[Discount]]) - sales_data_1[[#This Row],[Unit_Cost]])*sales_data_1[[#This Row],[Quantity_Sold]],2), "PASS", "CHECK")</f>
        <v>PASS</v>
      </c>
    </row>
    <row r="255" spans="1:20" x14ac:dyDescent="0.35">
      <c r="A255" s="7">
        <v>254</v>
      </c>
      <c r="B255" s="9">
        <v>1071</v>
      </c>
      <c r="C255" s="7" t="str">
        <f>IFERROR(_xlfn.TEXTJOIN("-", TRUE, _xlfn.XLOOKUP(K255, product_category_id_lookup!$A$2:$A$5, product_category_id_lookup!$B$2:$B$5), B255), "Unknown Category")</f>
        <v>ctg-1071</v>
      </c>
      <c r="D255" s="8">
        <v>44642</v>
      </c>
      <c r="E255" s="7">
        <f t="shared" si="9"/>
        <v>2022</v>
      </c>
      <c r="F255" s="28" t="str">
        <f t="shared" si="10"/>
        <v>Mar</v>
      </c>
      <c r="G255" s="17" t="s">
        <v>33</v>
      </c>
      <c r="H255" s="17" t="s">
        <v>23</v>
      </c>
      <c r="I255" s="24">
        <v>8361.4315999999981</v>
      </c>
      <c r="J255" s="32">
        <v>2</v>
      </c>
      <c r="K255" s="17" t="s">
        <v>26</v>
      </c>
      <c r="L255" s="24">
        <v>3598.57</v>
      </c>
      <c r="M255" s="24">
        <v>4447.57</v>
      </c>
      <c r="N255" s="34">
        <f>((sales_data_1[[#This Row],[Unit_Price]]*(1-sales_data_1[[#This Row],[Discount]]))-sales_data_1[[#This Row],[Unit_Cost]])*sales_data_1[[#This Row],[Quantity_Sold]]</f>
        <v>1164.2915999999977</v>
      </c>
      <c r="O255" s="17" t="s">
        <v>27</v>
      </c>
      <c r="P255" s="26">
        <v>0.06</v>
      </c>
      <c r="Q255" s="17" t="s">
        <v>18</v>
      </c>
      <c r="R255" s="17" t="s">
        <v>21</v>
      </c>
      <c r="S255" s="49" t="str">
        <f t="shared" si="11"/>
        <v>Alice-South</v>
      </c>
      <c r="T255" s="59" t="str">
        <f>IF(ROUND(sales_data_1[[#This Row],[Profit_Margin]],2)=ROUND((sales_data_1[[#This Row],[Unit_Price]]*(1-sales_data_1[[#This Row],[Discount]]) - sales_data_1[[#This Row],[Unit_Cost]])*sales_data_1[[#This Row],[Quantity_Sold]],2), "PASS", "CHECK")</f>
        <v>PASS</v>
      </c>
    </row>
    <row r="256" spans="1:20" x14ac:dyDescent="0.35">
      <c r="A256" s="7">
        <v>255</v>
      </c>
      <c r="B256" s="9">
        <v>1034</v>
      </c>
      <c r="C256" s="7" t="str">
        <f>IFERROR(_xlfn.TEXTJOIN("-", TRUE, _xlfn.XLOOKUP(K256, product_category_id_lookup!$A$2:$A$5, product_category_id_lookup!$B$2:$B$5), B256), "Unknown Category")</f>
        <v>ctg-1034</v>
      </c>
      <c r="D256" s="8">
        <v>44642</v>
      </c>
      <c r="E256" s="7">
        <f t="shared" si="9"/>
        <v>2022</v>
      </c>
      <c r="F256" s="28" t="str">
        <f t="shared" si="10"/>
        <v>Mar</v>
      </c>
      <c r="G256" s="17" t="s">
        <v>32</v>
      </c>
      <c r="H256" s="17" t="s">
        <v>15</v>
      </c>
      <c r="I256" s="24">
        <v>12439.4424</v>
      </c>
      <c r="J256" s="32">
        <v>3</v>
      </c>
      <c r="K256" s="17" t="s">
        <v>26</v>
      </c>
      <c r="L256" s="24">
        <v>1633.07</v>
      </c>
      <c r="M256" s="24">
        <v>4711.91</v>
      </c>
      <c r="N256" s="34">
        <f>((sales_data_1[[#This Row],[Unit_Price]]*(1-sales_data_1[[#This Row],[Discount]]))-sales_data_1[[#This Row],[Unit_Cost]])*sales_data_1[[#This Row],[Quantity_Sold]]</f>
        <v>7540.2324000000017</v>
      </c>
      <c r="O256" s="17" t="s">
        <v>17</v>
      </c>
      <c r="P256" s="26">
        <v>0.12</v>
      </c>
      <c r="Q256" s="17" t="s">
        <v>28</v>
      </c>
      <c r="R256" s="17" t="s">
        <v>19</v>
      </c>
      <c r="S256" s="49" t="str">
        <f t="shared" si="11"/>
        <v>Eve-North</v>
      </c>
      <c r="T256" s="59" t="str">
        <f>IF(ROUND(sales_data_1[[#This Row],[Profit_Margin]],2)=ROUND((sales_data_1[[#This Row],[Unit_Price]]*(1-sales_data_1[[#This Row],[Discount]]) - sales_data_1[[#This Row],[Unit_Cost]])*sales_data_1[[#This Row],[Quantity_Sold]],2), "PASS", "CHECK")</f>
        <v>PASS</v>
      </c>
    </row>
    <row r="257" spans="1:20" x14ac:dyDescent="0.35">
      <c r="A257" s="7">
        <v>256</v>
      </c>
      <c r="B257" s="9">
        <v>1014</v>
      </c>
      <c r="C257" s="7" t="str">
        <f>IFERROR(_xlfn.TEXTJOIN("-", TRUE, _xlfn.XLOOKUP(K257, product_category_id_lookup!$A$2:$A$5, product_category_id_lookup!$B$2:$B$5), B257), "Unknown Category")</f>
        <v>ctg-1014</v>
      </c>
      <c r="D257" s="8">
        <v>44642</v>
      </c>
      <c r="E257" s="7">
        <f t="shared" si="9"/>
        <v>2022</v>
      </c>
      <c r="F257" s="28" t="str">
        <f t="shared" si="10"/>
        <v>Mar</v>
      </c>
      <c r="G257" s="17" t="s">
        <v>22</v>
      </c>
      <c r="H257" s="17" t="s">
        <v>30</v>
      </c>
      <c r="I257" s="24">
        <v>78496.070399999997</v>
      </c>
      <c r="J257" s="32">
        <v>33</v>
      </c>
      <c r="K257" s="17" t="s">
        <v>26</v>
      </c>
      <c r="L257" s="24">
        <v>2134.5700000000002</v>
      </c>
      <c r="M257" s="24">
        <v>2477.7800000000002</v>
      </c>
      <c r="N257" s="34">
        <f>((sales_data_1[[#This Row],[Unit_Price]]*(1-sales_data_1[[#This Row],[Discount]]))-sales_data_1[[#This Row],[Unit_Cost]])*sales_data_1[[#This Row],[Quantity_Sold]]</f>
        <v>8055.2603999999919</v>
      </c>
      <c r="O257" s="17" t="s">
        <v>17</v>
      </c>
      <c r="P257" s="26">
        <v>0.04</v>
      </c>
      <c r="Q257" s="17" t="s">
        <v>18</v>
      </c>
      <c r="R257" s="17" t="s">
        <v>19</v>
      </c>
      <c r="S257" s="49" t="str">
        <f t="shared" si="11"/>
        <v>David-East</v>
      </c>
      <c r="T257" s="59" t="str">
        <f>IF(ROUND(sales_data_1[[#This Row],[Profit_Margin]],2)=ROUND((sales_data_1[[#This Row],[Unit_Price]]*(1-sales_data_1[[#This Row],[Discount]]) - sales_data_1[[#This Row],[Unit_Cost]])*sales_data_1[[#This Row],[Quantity_Sold]],2), "PASS", "CHECK")</f>
        <v>PASS</v>
      </c>
    </row>
    <row r="258" spans="1:20" x14ac:dyDescent="0.35">
      <c r="A258" s="7">
        <v>257</v>
      </c>
      <c r="B258" s="9">
        <v>1058</v>
      </c>
      <c r="C258" s="7" t="str">
        <f>IFERROR(_xlfn.TEXTJOIN("-", TRUE, _xlfn.XLOOKUP(K258, product_category_id_lookup!$A$2:$A$5, product_category_id_lookup!$B$2:$B$5), B258), "Unknown Category")</f>
        <v>etc-1058</v>
      </c>
      <c r="D258" s="8">
        <v>44643</v>
      </c>
      <c r="E258" s="7">
        <f t="shared" ref="E258:E321" si="12">YEAR(D258)</f>
        <v>2022</v>
      </c>
      <c r="F258" s="28" t="str">
        <f t="shared" ref="F258:F321" si="13">LEFT(TEXT(D258,"mmmm"),3)</f>
        <v>Mar</v>
      </c>
      <c r="G258" s="17" t="s">
        <v>33</v>
      </c>
      <c r="H258" s="17" t="s">
        <v>20</v>
      </c>
      <c r="I258" s="24">
        <v>24469.470000000005</v>
      </c>
      <c r="J258" s="32">
        <v>25</v>
      </c>
      <c r="K258" s="17" t="s">
        <v>31</v>
      </c>
      <c r="L258" s="24">
        <v>964.56</v>
      </c>
      <c r="M258" s="24">
        <v>1063.8900000000001</v>
      </c>
      <c r="N258" s="34">
        <f>((sales_data_1[[#This Row],[Unit_Price]]*(1-sales_data_1[[#This Row],[Discount]]))-sales_data_1[[#This Row],[Unit_Cost]])*sales_data_1[[#This Row],[Quantity_Sold]]</f>
        <v>355.47000000000537</v>
      </c>
      <c r="O258" s="17" t="s">
        <v>17</v>
      </c>
      <c r="P258" s="26">
        <v>0.08</v>
      </c>
      <c r="Q258" s="17" t="s">
        <v>25</v>
      </c>
      <c r="R258" s="17" t="s">
        <v>21</v>
      </c>
      <c r="S258" s="49" t="str">
        <f t="shared" ref="S258:S321" si="14">_xlfn.CONCAT(G258,"-",H258)</f>
        <v>Alice-West</v>
      </c>
      <c r="T258" s="59" t="str">
        <f>IF(ROUND(sales_data_1[[#This Row],[Profit_Margin]],2)=ROUND((sales_data_1[[#This Row],[Unit_Price]]*(1-sales_data_1[[#This Row],[Discount]]) - sales_data_1[[#This Row],[Unit_Cost]])*sales_data_1[[#This Row],[Quantity_Sold]],2), "PASS", "CHECK")</f>
        <v>PASS</v>
      </c>
    </row>
    <row r="259" spans="1:20" x14ac:dyDescent="0.35">
      <c r="A259" s="7">
        <v>258</v>
      </c>
      <c r="B259" s="9">
        <v>1080</v>
      </c>
      <c r="C259" s="7" t="str">
        <f>IFERROR(_xlfn.TEXTJOIN("-", TRUE, _xlfn.XLOOKUP(K259, product_category_id_lookup!$A$2:$A$5, product_category_id_lookup!$B$2:$B$5), B259), "Unknown Category")</f>
        <v>etc-1080</v>
      </c>
      <c r="D259" s="8">
        <v>44643</v>
      </c>
      <c r="E259" s="7">
        <f t="shared" si="12"/>
        <v>2022</v>
      </c>
      <c r="F259" s="28" t="str">
        <f t="shared" si="13"/>
        <v>Mar</v>
      </c>
      <c r="G259" s="17" t="s">
        <v>33</v>
      </c>
      <c r="H259" s="17" t="s">
        <v>23</v>
      </c>
      <c r="I259" s="24">
        <v>2374.8648000000003</v>
      </c>
      <c r="J259" s="32">
        <v>3</v>
      </c>
      <c r="K259" s="17" t="s">
        <v>31</v>
      </c>
      <c r="L259" s="24">
        <v>534.6</v>
      </c>
      <c r="M259" s="24">
        <v>899.57</v>
      </c>
      <c r="N259" s="34">
        <f>((sales_data_1[[#This Row],[Unit_Price]]*(1-sales_data_1[[#This Row],[Discount]]))-sales_data_1[[#This Row],[Unit_Cost]])*sales_data_1[[#This Row],[Quantity_Sold]]</f>
        <v>771.0648000000001</v>
      </c>
      <c r="O259" s="17" t="s">
        <v>27</v>
      </c>
      <c r="P259" s="26">
        <v>0.12</v>
      </c>
      <c r="Q259" s="17" t="s">
        <v>18</v>
      </c>
      <c r="R259" s="17" t="s">
        <v>19</v>
      </c>
      <c r="S259" s="49" t="str">
        <f t="shared" si="14"/>
        <v>Alice-South</v>
      </c>
      <c r="T259" s="59" t="str">
        <f>IF(ROUND(sales_data_1[[#This Row],[Profit_Margin]],2)=ROUND((sales_data_1[[#This Row],[Unit_Price]]*(1-sales_data_1[[#This Row],[Discount]]) - sales_data_1[[#This Row],[Unit_Cost]])*sales_data_1[[#This Row],[Quantity_Sold]],2), "PASS", "CHECK")</f>
        <v>PASS</v>
      </c>
    </row>
    <row r="260" spans="1:20" x14ac:dyDescent="0.35">
      <c r="A260" s="7">
        <v>259</v>
      </c>
      <c r="B260" s="9">
        <v>1090</v>
      </c>
      <c r="C260" s="7" t="str">
        <f>IFERROR(_xlfn.TEXTJOIN("-", TRUE, _xlfn.XLOOKUP(K260, product_category_id_lookup!$A$2:$A$5, product_category_id_lookup!$B$2:$B$5), B260), "Unknown Category")</f>
        <v>etc-1090</v>
      </c>
      <c r="D260" s="8">
        <v>44643</v>
      </c>
      <c r="E260" s="7">
        <f t="shared" si="12"/>
        <v>2022</v>
      </c>
      <c r="F260" s="28" t="str">
        <f t="shared" si="13"/>
        <v>Mar</v>
      </c>
      <c r="G260" s="17" t="s">
        <v>22</v>
      </c>
      <c r="H260" s="17" t="s">
        <v>15</v>
      </c>
      <c r="I260" s="24">
        <v>12906.036</v>
      </c>
      <c r="J260" s="32">
        <v>4</v>
      </c>
      <c r="K260" s="17" t="s">
        <v>31</v>
      </c>
      <c r="L260" s="24">
        <v>2528.5500000000002</v>
      </c>
      <c r="M260" s="24">
        <v>3259.1</v>
      </c>
      <c r="N260" s="34">
        <f>((sales_data_1[[#This Row],[Unit_Price]]*(1-sales_data_1[[#This Row],[Discount]]))-sales_data_1[[#This Row],[Unit_Cost]])*sales_data_1[[#This Row],[Quantity_Sold]]</f>
        <v>2791.8359999999993</v>
      </c>
      <c r="O260" s="17" t="s">
        <v>27</v>
      </c>
      <c r="P260" s="26">
        <v>0.01</v>
      </c>
      <c r="Q260" s="17" t="s">
        <v>28</v>
      </c>
      <c r="R260" s="17" t="s">
        <v>21</v>
      </c>
      <c r="S260" s="49" t="str">
        <f t="shared" si="14"/>
        <v>David-North</v>
      </c>
      <c r="T260" s="59" t="str">
        <f>IF(ROUND(sales_data_1[[#This Row],[Profit_Margin]],2)=ROUND((sales_data_1[[#This Row],[Unit_Price]]*(1-sales_data_1[[#This Row],[Discount]]) - sales_data_1[[#This Row],[Unit_Cost]])*sales_data_1[[#This Row],[Quantity_Sold]],2), "PASS", "CHECK")</f>
        <v>PASS</v>
      </c>
    </row>
    <row r="261" spans="1:20" x14ac:dyDescent="0.35">
      <c r="A261" s="7">
        <v>260</v>
      </c>
      <c r="B261" s="9">
        <v>1013</v>
      </c>
      <c r="C261" s="7" t="str">
        <f>IFERROR(_xlfn.TEXTJOIN("-", TRUE, _xlfn.XLOOKUP(K261, product_category_id_lookup!$A$2:$A$5, product_category_id_lookup!$B$2:$B$5), B261), "Unknown Category")</f>
        <v>fd-1013</v>
      </c>
      <c r="D261" s="8">
        <v>44644</v>
      </c>
      <c r="E261" s="7">
        <f t="shared" si="12"/>
        <v>2022</v>
      </c>
      <c r="F261" s="28" t="str">
        <f t="shared" si="13"/>
        <v>Mar</v>
      </c>
      <c r="G261" s="17" t="s">
        <v>14</v>
      </c>
      <c r="H261" s="17" t="s">
        <v>30</v>
      </c>
      <c r="I261" s="24">
        <v>107536.3968</v>
      </c>
      <c r="J261" s="32">
        <v>34</v>
      </c>
      <c r="K261" s="17" t="s">
        <v>24</v>
      </c>
      <c r="L261" s="24">
        <v>2216.77</v>
      </c>
      <c r="M261" s="24">
        <v>3765.28</v>
      </c>
      <c r="N261" s="34">
        <f>((sales_data_1[[#This Row],[Unit_Price]]*(1-sales_data_1[[#This Row],[Discount]]))-sales_data_1[[#This Row],[Unit_Cost]])*sales_data_1[[#This Row],[Quantity_Sold]]</f>
        <v>32166.216800000002</v>
      </c>
      <c r="O261" s="17" t="s">
        <v>27</v>
      </c>
      <c r="P261" s="26">
        <v>0.16</v>
      </c>
      <c r="Q261" s="17" t="s">
        <v>25</v>
      </c>
      <c r="R261" s="17" t="s">
        <v>21</v>
      </c>
      <c r="S261" s="49" t="str">
        <f t="shared" si="14"/>
        <v>Bob-East</v>
      </c>
      <c r="T261" s="59" t="str">
        <f>IF(ROUND(sales_data_1[[#This Row],[Profit_Margin]],2)=ROUND((sales_data_1[[#This Row],[Unit_Price]]*(1-sales_data_1[[#This Row],[Discount]]) - sales_data_1[[#This Row],[Unit_Cost]])*sales_data_1[[#This Row],[Quantity_Sold]],2), "PASS", "CHECK")</f>
        <v>PASS</v>
      </c>
    </row>
    <row r="262" spans="1:20" x14ac:dyDescent="0.35">
      <c r="A262" s="7">
        <v>261</v>
      </c>
      <c r="B262" s="9">
        <v>1065</v>
      </c>
      <c r="C262" s="7" t="str">
        <f>IFERROR(_xlfn.TEXTJOIN("-", TRUE, _xlfn.XLOOKUP(K262, product_category_id_lookup!$A$2:$A$5, product_category_id_lookup!$B$2:$B$5), B262), "Unknown Category")</f>
        <v>fnt-1065</v>
      </c>
      <c r="D262" s="8">
        <v>44645</v>
      </c>
      <c r="E262" s="7">
        <f t="shared" si="12"/>
        <v>2022</v>
      </c>
      <c r="F262" s="28" t="str">
        <f t="shared" si="13"/>
        <v>Mar</v>
      </c>
      <c r="G262" s="17" t="s">
        <v>14</v>
      </c>
      <c r="H262" s="17" t="s">
        <v>20</v>
      </c>
      <c r="I262" s="24">
        <v>83650.585199999987</v>
      </c>
      <c r="J262" s="32">
        <v>39</v>
      </c>
      <c r="K262" s="17" t="s">
        <v>16</v>
      </c>
      <c r="L262" s="24">
        <v>1541.06</v>
      </c>
      <c r="M262" s="24">
        <v>2188.66</v>
      </c>
      <c r="N262" s="34">
        <f>((sales_data_1[[#This Row],[Unit_Price]]*(1-sales_data_1[[#This Row],[Discount]]))-sales_data_1[[#This Row],[Unit_Cost]])*sales_data_1[[#This Row],[Quantity_Sold]]</f>
        <v>23549.245199999994</v>
      </c>
      <c r="O262" s="17" t="s">
        <v>17</v>
      </c>
      <c r="P262" s="26">
        <v>0.02</v>
      </c>
      <c r="Q262" s="17" t="s">
        <v>25</v>
      </c>
      <c r="R262" s="17" t="s">
        <v>21</v>
      </c>
      <c r="S262" s="49" t="str">
        <f t="shared" si="14"/>
        <v>Bob-West</v>
      </c>
      <c r="T262" s="59" t="str">
        <f>IF(ROUND(sales_data_1[[#This Row],[Profit_Margin]],2)=ROUND((sales_data_1[[#This Row],[Unit_Price]]*(1-sales_data_1[[#This Row],[Discount]]) - sales_data_1[[#This Row],[Unit_Cost]])*sales_data_1[[#This Row],[Quantity_Sold]],2), "PASS", "CHECK")</f>
        <v>PASS</v>
      </c>
    </row>
    <row r="263" spans="1:20" x14ac:dyDescent="0.35">
      <c r="A263" s="7">
        <v>262</v>
      </c>
      <c r="B263" s="9">
        <v>1067</v>
      </c>
      <c r="C263" s="7" t="str">
        <f>IFERROR(_xlfn.TEXTJOIN("-", TRUE, _xlfn.XLOOKUP(K263, product_category_id_lookup!$A$2:$A$5, product_category_id_lookup!$B$2:$B$5), B263), "Unknown Category")</f>
        <v>ctg-1067</v>
      </c>
      <c r="D263" s="8">
        <v>44645</v>
      </c>
      <c r="E263" s="7">
        <f t="shared" si="12"/>
        <v>2022</v>
      </c>
      <c r="F263" s="28" t="str">
        <f t="shared" si="13"/>
        <v>Mar</v>
      </c>
      <c r="G263" s="17" t="s">
        <v>32</v>
      </c>
      <c r="H263" s="17" t="s">
        <v>20</v>
      </c>
      <c r="I263" s="24">
        <v>70211.512799999997</v>
      </c>
      <c r="J263" s="32">
        <v>44</v>
      </c>
      <c r="K263" s="17" t="s">
        <v>26</v>
      </c>
      <c r="L263" s="24">
        <v>271.77999999999997</v>
      </c>
      <c r="M263" s="24">
        <v>2045.79</v>
      </c>
      <c r="N263" s="34">
        <f>((sales_data_1[[#This Row],[Unit_Price]]*(1-sales_data_1[[#This Row],[Discount]]))-sales_data_1[[#This Row],[Unit_Cost]])*sales_data_1[[#This Row],[Quantity_Sold]]</f>
        <v>58253.192800000004</v>
      </c>
      <c r="O263" s="17" t="s">
        <v>27</v>
      </c>
      <c r="P263" s="26">
        <v>0.22</v>
      </c>
      <c r="Q263" s="17" t="s">
        <v>28</v>
      </c>
      <c r="R263" s="17" t="s">
        <v>21</v>
      </c>
      <c r="S263" s="49" t="str">
        <f t="shared" si="14"/>
        <v>Eve-West</v>
      </c>
      <c r="T263" s="59" t="str">
        <f>IF(ROUND(sales_data_1[[#This Row],[Profit_Margin]],2)=ROUND((sales_data_1[[#This Row],[Unit_Price]]*(1-sales_data_1[[#This Row],[Discount]]) - sales_data_1[[#This Row],[Unit_Cost]])*sales_data_1[[#This Row],[Quantity_Sold]],2), "PASS", "CHECK")</f>
        <v>PASS</v>
      </c>
    </row>
    <row r="264" spans="1:20" x14ac:dyDescent="0.35">
      <c r="A264" s="7">
        <v>263</v>
      </c>
      <c r="B264" s="9">
        <v>1010</v>
      </c>
      <c r="C264" s="7" t="str">
        <f>IFERROR(_xlfn.TEXTJOIN("-", TRUE, _xlfn.XLOOKUP(K264, product_category_id_lookup!$A$2:$A$5, product_category_id_lookup!$B$2:$B$5), B264), "Unknown Category")</f>
        <v>fd-1010</v>
      </c>
      <c r="D264" s="8">
        <v>44645</v>
      </c>
      <c r="E264" s="7">
        <f t="shared" si="12"/>
        <v>2022</v>
      </c>
      <c r="F264" s="28" t="str">
        <f t="shared" si="13"/>
        <v>Mar</v>
      </c>
      <c r="G264" s="17" t="s">
        <v>29</v>
      </c>
      <c r="H264" s="17" t="s">
        <v>23</v>
      </c>
      <c r="I264" s="24">
        <v>160345.42919999998</v>
      </c>
      <c r="J264" s="32">
        <v>36</v>
      </c>
      <c r="K264" s="17" t="s">
        <v>24</v>
      </c>
      <c r="L264" s="24">
        <v>650.1</v>
      </c>
      <c r="M264" s="24">
        <v>4789.29</v>
      </c>
      <c r="N264" s="34">
        <f>((sales_data_1[[#This Row],[Unit_Price]]*(1-sales_data_1[[#This Row],[Discount]]))-sales_data_1[[#This Row],[Unit_Cost]])*sales_data_1[[#This Row],[Quantity_Sold]]</f>
        <v>136941.82919999998</v>
      </c>
      <c r="O264" s="17" t="s">
        <v>17</v>
      </c>
      <c r="P264" s="26">
        <v>7.0000000000000007E-2</v>
      </c>
      <c r="Q264" s="17" t="s">
        <v>25</v>
      </c>
      <c r="R264" s="17" t="s">
        <v>19</v>
      </c>
      <c r="S264" s="49" t="str">
        <f t="shared" si="14"/>
        <v>Charlie-South</v>
      </c>
      <c r="T264" s="59" t="str">
        <f>IF(ROUND(sales_data_1[[#This Row],[Profit_Margin]],2)=ROUND((sales_data_1[[#This Row],[Unit_Price]]*(1-sales_data_1[[#This Row],[Discount]]) - sales_data_1[[#This Row],[Unit_Cost]])*sales_data_1[[#This Row],[Quantity_Sold]],2), "PASS", "CHECK")</f>
        <v>PASS</v>
      </c>
    </row>
    <row r="265" spans="1:20" x14ac:dyDescent="0.35">
      <c r="A265" s="7">
        <v>264</v>
      </c>
      <c r="B265" s="9">
        <v>1007</v>
      </c>
      <c r="C265" s="7" t="str">
        <f>IFERROR(_xlfn.TEXTJOIN("-", TRUE, _xlfn.XLOOKUP(K265, product_category_id_lookup!$A$2:$A$5, product_category_id_lookup!$B$2:$B$5), B265), "Unknown Category")</f>
        <v>ctg-1007</v>
      </c>
      <c r="D265" s="8">
        <v>44646</v>
      </c>
      <c r="E265" s="7">
        <f t="shared" si="12"/>
        <v>2022</v>
      </c>
      <c r="F265" s="28" t="str">
        <f t="shared" si="13"/>
        <v>Mar</v>
      </c>
      <c r="G265" s="17" t="s">
        <v>32</v>
      </c>
      <c r="H265" s="17" t="s">
        <v>23</v>
      </c>
      <c r="I265" s="24">
        <v>88400.337800000008</v>
      </c>
      <c r="J265" s="32">
        <v>31</v>
      </c>
      <c r="K265" s="17" t="s">
        <v>26</v>
      </c>
      <c r="L265" s="24">
        <v>2312.94</v>
      </c>
      <c r="M265" s="24">
        <v>3477.59</v>
      </c>
      <c r="N265" s="34">
        <f>((sales_data_1[[#This Row],[Unit_Price]]*(1-sales_data_1[[#This Row],[Discount]]))-sales_data_1[[#This Row],[Unit_Cost]])*sales_data_1[[#This Row],[Quantity_Sold]]</f>
        <v>16699.197800000009</v>
      </c>
      <c r="O265" s="17" t="s">
        <v>17</v>
      </c>
      <c r="P265" s="26">
        <v>0.18</v>
      </c>
      <c r="Q265" s="17" t="s">
        <v>28</v>
      </c>
      <c r="R265" s="17" t="s">
        <v>21</v>
      </c>
      <c r="S265" s="49" t="str">
        <f t="shared" si="14"/>
        <v>Eve-South</v>
      </c>
      <c r="T265" s="59" t="str">
        <f>IF(ROUND(sales_data_1[[#This Row],[Profit_Margin]],2)=ROUND((sales_data_1[[#This Row],[Unit_Price]]*(1-sales_data_1[[#This Row],[Discount]]) - sales_data_1[[#This Row],[Unit_Cost]])*sales_data_1[[#This Row],[Quantity_Sold]],2), "PASS", "CHECK")</f>
        <v>PASS</v>
      </c>
    </row>
    <row r="266" spans="1:20" x14ac:dyDescent="0.35">
      <c r="A266" s="7">
        <v>265</v>
      </c>
      <c r="B266" s="9">
        <v>1088</v>
      </c>
      <c r="C266" s="7" t="str">
        <f>IFERROR(_xlfn.TEXTJOIN("-", TRUE, _xlfn.XLOOKUP(K266, product_category_id_lookup!$A$2:$A$5, product_category_id_lookup!$B$2:$B$5), B266), "Unknown Category")</f>
        <v>ctg-1088</v>
      </c>
      <c r="D266" s="8">
        <v>44646</v>
      </c>
      <c r="E266" s="7">
        <f t="shared" si="12"/>
        <v>2022</v>
      </c>
      <c r="F266" s="28" t="str">
        <f t="shared" si="13"/>
        <v>Mar</v>
      </c>
      <c r="G266" s="17" t="s">
        <v>33</v>
      </c>
      <c r="H266" s="17" t="s">
        <v>30</v>
      </c>
      <c r="I266" s="24">
        <v>34206.899999999994</v>
      </c>
      <c r="J266" s="32">
        <v>13</v>
      </c>
      <c r="K266" s="17" t="s">
        <v>26</v>
      </c>
      <c r="L266" s="24">
        <v>1251.0899999999999</v>
      </c>
      <c r="M266" s="24">
        <v>2685</v>
      </c>
      <c r="N266" s="34">
        <f>((sales_data_1[[#This Row],[Unit_Price]]*(1-sales_data_1[[#This Row],[Discount]]))-sales_data_1[[#This Row],[Unit_Cost]])*sales_data_1[[#This Row],[Quantity_Sold]]</f>
        <v>17942.729999999996</v>
      </c>
      <c r="O266" s="17" t="s">
        <v>27</v>
      </c>
      <c r="P266" s="26">
        <v>0.02</v>
      </c>
      <c r="Q266" s="17" t="s">
        <v>28</v>
      </c>
      <c r="R266" s="17" t="s">
        <v>19</v>
      </c>
      <c r="S266" s="49" t="str">
        <f t="shared" si="14"/>
        <v>Alice-East</v>
      </c>
      <c r="T266" s="59" t="str">
        <f>IF(ROUND(sales_data_1[[#This Row],[Profit_Margin]],2)=ROUND((sales_data_1[[#This Row],[Unit_Price]]*(1-sales_data_1[[#This Row],[Discount]]) - sales_data_1[[#This Row],[Unit_Cost]])*sales_data_1[[#This Row],[Quantity_Sold]],2), "PASS", "CHECK")</f>
        <v>PASS</v>
      </c>
    </row>
    <row r="267" spans="1:20" x14ac:dyDescent="0.35">
      <c r="A267" s="7">
        <v>266</v>
      </c>
      <c r="B267" s="9">
        <v>1016</v>
      </c>
      <c r="C267" s="7" t="str">
        <f>IFERROR(_xlfn.TEXTJOIN("-", TRUE, _xlfn.XLOOKUP(K267, product_category_id_lookup!$A$2:$A$5, product_category_id_lookup!$B$2:$B$5), B267), "Unknown Category")</f>
        <v>etc-1016</v>
      </c>
      <c r="D267" s="8">
        <v>44647</v>
      </c>
      <c r="E267" s="7">
        <f t="shared" si="12"/>
        <v>2022</v>
      </c>
      <c r="F267" s="28" t="str">
        <f t="shared" si="13"/>
        <v>Mar</v>
      </c>
      <c r="G267" s="17" t="s">
        <v>22</v>
      </c>
      <c r="H267" s="17" t="s">
        <v>20</v>
      </c>
      <c r="I267" s="24">
        <v>44515.429942536415</v>
      </c>
      <c r="J267" s="32">
        <v>14</v>
      </c>
      <c r="K267" s="17" t="s">
        <v>31</v>
      </c>
      <c r="L267" s="24">
        <v>2323.35</v>
      </c>
      <c r="M267" s="24">
        <v>3224.46</v>
      </c>
      <c r="N267" s="34">
        <f>((sales_data_1[[#This Row],[Unit_Price]]*(1-sales_data_1[[#This Row],[Discount]]))-sales_data_1[[#This Row],[Unit_Cost]])*sales_data_1[[#This Row],[Quantity_Sold]]</f>
        <v>12164.115600000001</v>
      </c>
      <c r="O267" s="17" t="s">
        <v>27</v>
      </c>
      <c r="P267" s="26">
        <v>0.01</v>
      </c>
      <c r="Q267" s="17" t="s">
        <v>25</v>
      </c>
      <c r="R267" s="17" t="s">
        <v>19</v>
      </c>
      <c r="S267" s="49" t="str">
        <f t="shared" si="14"/>
        <v>David-West</v>
      </c>
      <c r="T267" s="59" t="str">
        <f>IF(ROUND(sales_data_1[[#This Row],[Profit_Margin]],2)=ROUND((sales_data_1[[#This Row],[Unit_Price]]*(1-sales_data_1[[#This Row],[Discount]]) - sales_data_1[[#This Row],[Unit_Cost]])*sales_data_1[[#This Row],[Quantity_Sold]],2), "PASS", "CHECK")</f>
        <v>PASS</v>
      </c>
    </row>
    <row r="268" spans="1:20" x14ac:dyDescent="0.35">
      <c r="A268" s="7">
        <v>267</v>
      </c>
      <c r="B268" s="9">
        <v>1019</v>
      </c>
      <c r="C268" s="7" t="str">
        <f>IFERROR(_xlfn.TEXTJOIN("-", TRUE, _xlfn.XLOOKUP(K268, product_category_id_lookup!$A$2:$A$5, product_category_id_lookup!$B$2:$B$5), B268), "Unknown Category")</f>
        <v>ctg-1019</v>
      </c>
      <c r="D268" s="8">
        <v>44648</v>
      </c>
      <c r="E268" s="7">
        <f t="shared" si="12"/>
        <v>2022</v>
      </c>
      <c r="F268" s="28" t="str">
        <f t="shared" si="13"/>
        <v>Mar</v>
      </c>
      <c r="G268" s="17" t="s">
        <v>29</v>
      </c>
      <c r="H268" s="17" t="s">
        <v>30</v>
      </c>
      <c r="I268" s="24">
        <v>51267.686400000006</v>
      </c>
      <c r="J268" s="32">
        <v>12</v>
      </c>
      <c r="K268" s="17" t="s">
        <v>26</v>
      </c>
      <c r="L268" s="24">
        <v>3170.47</v>
      </c>
      <c r="M268" s="24">
        <v>5086.08</v>
      </c>
      <c r="N268" s="34">
        <f>((sales_data_1[[#This Row],[Unit_Price]]*(1-sales_data_1[[#This Row],[Discount]]))-sales_data_1[[#This Row],[Unit_Cost]])*sales_data_1[[#This Row],[Quantity_Sold]]</f>
        <v>13222.046400000005</v>
      </c>
      <c r="O268" s="17" t="s">
        <v>27</v>
      </c>
      <c r="P268" s="26">
        <v>0.16</v>
      </c>
      <c r="Q268" s="17" t="s">
        <v>18</v>
      </c>
      <c r="R268" s="17" t="s">
        <v>19</v>
      </c>
      <c r="S268" s="49" t="str">
        <f t="shared" si="14"/>
        <v>Charlie-East</v>
      </c>
      <c r="T268" s="59" t="str">
        <f>IF(ROUND(sales_data_1[[#This Row],[Profit_Margin]],2)=ROUND((sales_data_1[[#This Row],[Unit_Price]]*(1-sales_data_1[[#This Row],[Discount]]) - sales_data_1[[#This Row],[Unit_Cost]])*sales_data_1[[#This Row],[Quantity_Sold]],2), "PASS", "CHECK")</f>
        <v>PASS</v>
      </c>
    </row>
    <row r="269" spans="1:20" x14ac:dyDescent="0.35">
      <c r="A269" s="7">
        <v>268</v>
      </c>
      <c r="B269" s="9">
        <v>1083</v>
      </c>
      <c r="C269" s="7" t="str">
        <f>IFERROR(_xlfn.TEXTJOIN("-", TRUE, _xlfn.XLOOKUP(K269, product_category_id_lookup!$A$2:$A$5, product_category_id_lookup!$B$2:$B$5), B269), "Unknown Category")</f>
        <v>fnt-1083</v>
      </c>
      <c r="D269" s="8">
        <v>44648</v>
      </c>
      <c r="E269" s="7">
        <f t="shared" si="12"/>
        <v>2022</v>
      </c>
      <c r="F269" s="28" t="str">
        <f t="shared" si="13"/>
        <v>Mar</v>
      </c>
      <c r="G269" s="17" t="s">
        <v>29</v>
      </c>
      <c r="H269" s="17" t="s">
        <v>15</v>
      </c>
      <c r="I269" s="24">
        <v>66283.897799999992</v>
      </c>
      <c r="J269" s="32">
        <v>38</v>
      </c>
      <c r="K269" s="17" t="s">
        <v>16</v>
      </c>
      <c r="L269" s="24">
        <v>1330.8</v>
      </c>
      <c r="M269" s="24">
        <v>2389.4699999999998</v>
      </c>
      <c r="N269" s="34">
        <f>((sales_data_1[[#This Row],[Unit_Price]]*(1-sales_data_1[[#This Row],[Discount]]))-sales_data_1[[#This Row],[Unit_Cost]])*sales_data_1[[#This Row],[Quantity_Sold]]</f>
        <v>15713.497799999996</v>
      </c>
      <c r="O269" s="17" t="s">
        <v>17</v>
      </c>
      <c r="P269" s="26">
        <v>0.27</v>
      </c>
      <c r="Q269" s="17" t="s">
        <v>18</v>
      </c>
      <c r="R269" s="17" t="s">
        <v>19</v>
      </c>
      <c r="S269" s="49" t="str">
        <f t="shared" si="14"/>
        <v>Charlie-North</v>
      </c>
      <c r="T269" s="59" t="str">
        <f>IF(ROUND(sales_data_1[[#This Row],[Profit_Margin]],2)=ROUND((sales_data_1[[#This Row],[Unit_Price]]*(1-sales_data_1[[#This Row],[Discount]]) - sales_data_1[[#This Row],[Unit_Cost]])*sales_data_1[[#This Row],[Quantity_Sold]],2), "PASS", "CHECK")</f>
        <v>PASS</v>
      </c>
    </row>
    <row r="270" spans="1:20" x14ac:dyDescent="0.35">
      <c r="A270" s="7">
        <v>269</v>
      </c>
      <c r="B270" s="9">
        <v>1014</v>
      </c>
      <c r="C270" s="7" t="str">
        <f>IFERROR(_xlfn.TEXTJOIN("-", TRUE, _xlfn.XLOOKUP(K270, product_category_id_lookup!$A$2:$A$5, product_category_id_lookup!$B$2:$B$5), B270), "Unknown Category")</f>
        <v>etc-1014</v>
      </c>
      <c r="D270" s="8">
        <v>44649</v>
      </c>
      <c r="E270" s="7">
        <f t="shared" si="12"/>
        <v>2022</v>
      </c>
      <c r="F270" s="28" t="str">
        <f t="shared" si="13"/>
        <v>Mar</v>
      </c>
      <c r="G270" s="17" t="s">
        <v>33</v>
      </c>
      <c r="H270" s="17" t="s">
        <v>30</v>
      </c>
      <c r="I270" s="24">
        <v>50503.668000000005</v>
      </c>
      <c r="J270" s="32">
        <v>12</v>
      </c>
      <c r="K270" s="17" t="s">
        <v>31</v>
      </c>
      <c r="L270" s="24">
        <v>2526.48</v>
      </c>
      <c r="M270" s="24">
        <v>4951.34</v>
      </c>
      <c r="N270" s="34">
        <f>((sales_data_1[[#This Row],[Unit_Price]]*(1-sales_data_1[[#This Row],[Discount]]))-sales_data_1[[#This Row],[Unit_Cost]])*sales_data_1[[#This Row],[Quantity_Sold]]</f>
        <v>20185.908000000003</v>
      </c>
      <c r="O270" s="17" t="s">
        <v>17</v>
      </c>
      <c r="P270" s="26">
        <v>0.15</v>
      </c>
      <c r="Q270" s="17" t="s">
        <v>25</v>
      </c>
      <c r="R270" s="17" t="s">
        <v>21</v>
      </c>
      <c r="S270" s="49" t="str">
        <f t="shared" si="14"/>
        <v>Alice-East</v>
      </c>
      <c r="T270" s="59" t="str">
        <f>IF(ROUND(sales_data_1[[#This Row],[Profit_Margin]],2)=ROUND((sales_data_1[[#This Row],[Unit_Price]]*(1-sales_data_1[[#This Row],[Discount]]) - sales_data_1[[#This Row],[Unit_Cost]])*sales_data_1[[#This Row],[Quantity_Sold]],2), "PASS", "CHECK")</f>
        <v>PASS</v>
      </c>
    </row>
    <row r="271" spans="1:20" x14ac:dyDescent="0.35">
      <c r="A271" s="7">
        <v>270</v>
      </c>
      <c r="B271" s="9">
        <v>1056</v>
      </c>
      <c r="C271" s="7" t="str">
        <f>IFERROR(_xlfn.TEXTJOIN("-", TRUE, _xlfn.XLOOKUP(K271, product_category_id_lookup!$A$2:$A$5, product_category_id_lookup!$B$2:$B$5), B271), "Unknown Category")</f>
        <v>ctg-1056</v>
      </c>
      <c r="D271" s="8">
        <v>44649</v>
      </c>
      <c r="E271" s="7">
        <f t="shared" si="12"/>
        <v>2022</v>
      </c>
      <c r="F271" s="28" t="str">
        <f t="shared" si="13"/>
        <v>Mar</v>
      </c>
      <c r="G271" s="17" t="s">
        <v>33</v>
      </c>
      <c r="H271" s="17" t="s">
        <v>30</v>
      </c>
      <c r="I271" s="24">
        <v>152959.78650000002</v>
      </c>
      <c r="J271" s="32">
        <v>41</v>
      </c>
      <c r="K271" s="17" t="s">
        <v>26</v>
      </c>
      <c r="L271" s="24">
        <v>2294.89</v>
      </c>
      <c r="M271" s="24">
        <v>4389.09</v>
      </c>
      <c r="N271" s="34">
        <f>((sales_data_1[[#This Row],[Unit_Price]]*(1-sales_data_1[[#This Row],[Discount]]))-sales_data_1[[#This Row],[Unit_Cost]])*sales_data_1[[#This Row],[Quantity_Sold]]</f>
        <v>58869.296500000011</v>
      </c>
      <c r="O271" s="17" t="s">
        <v>17</v>
      </c>
      <c r="P271" s="26">
        <v>0.15</v>
      </c>
      <c r="Q271" s="17" t="s">
        <v>25</v>
      </c>
      <c r="R271" s="17" t="s">
        <v>19</v>
      </c>
      <c r="S271" s="49" t="str">
        <f t="shared" si="14"/>
        <v>Alice-East</v>
      </c>
      <c r="T271" s="59" t="str">
        <f>IF(ROUND(sales_data_1[[#This Row],[Profit_Margin]],2)=ROUND((sales_data_1[[#This Row],[Unit_Price]]*(1-sales_data_1[[#This Row],[Discount]]) - sales_data_1[[#This Row],[Unit_Cost]])*sales_data_1[[#This Row],[Quantity_Sold]],2), "PASS", "CHECK")</f>
        <v>PASS</v>
      </c>
    </row>
    <row r="272" spans="1:20" x14ac:dyDescent="0.35">
      <c r="A272" s="7">
        <v>271</v>
      </c>
      <c r="B272" s="9">
        <v>1073</v>
      </c>
      <c r="C272" s="7" t="str">
        <f>IFERROR(_xlfn.TEXTJOIN("-", TRUE, _xlfn.XLOOKUP(K272, product_category_id_lookup!$A$2:$A$5, product_category_id_lookup!$B$2:$B$5), B272), "Unknown Category")</f>
        <v>etc-1073</v>
      </c>
      <c r="D272" s="8">
        <v>44649</v>
      </c>
      <c r="E272" s="7">
        <f t="shared" si="12"/>
        <v>2022</v>
      </c>
      <c r="F272" s="28" t="str">
        <f t="shared" si="13"/>
        <v>Mar</v>
      </c>
      <c r="G272" s="17" t="s">
        <v>33</v>
      </c>
      <c r="H272" s="17" t="s">
        <v>23</v>
      </c>
      <c r="I272" s="24">
        <v>156614.30400000003</v>
      </c>
      <c r="J272" s="32">
        <v>44</v>
      </c>
      <c r="K272" s="17" t="s">
        <v>31</v>
      </c>
      <c r="L272" s="24">
        <v>1611.39</v>
      </c>
      <c r="M272" s="24">
        <v>4449.2700000000004</v>
      </c>
      <c r="N272" s="34">
        <f>((sales_data_1[[#This Row],[Unit_Price]]*(1-sales_data_1[[#This Row],[Discount]]))-sales_data_1[[#This Row],[Unit_Cost]])*sales_data_1[[#This Row],[Quantity_Sold]]</f>
        <v>85713.144000000029</v>
      </c>
      <c r="O272" s="17" t="s">
        <v>17</v>
      </c>
      <c r="P272" s="26">
        <v>0.2</v>
      </c>
      <c r="Q272" s="17" t="s">
        <v>28</v>
      </c>
      <c r="R272" s="17" t="s">
        <v>21</v>
      </c>
      <c r="S272" s="49" t="str">
        <f t="shared" si="14"/>
        <v>Alice-South</v>
      </c>
      <c r="T272" s="59" t="str">
        <f>IF(ROUND(sales_data_1[[#This Row],[Profit_Margin]],2)=ROUND((sales_data_1[[#This Row],[Unit_Price]]*(1-sales_data_1[[#This Row],[Discount]]) - sales_data_1[[#This Row],[Unit_Cost]])*sales_data_1[[#This Row],[Quantity_Sold]],2), "PASS", "CHECK")</f>
        <v>PASS</v>
      </c>
    </row>
    <row r="273" spans="1:20" x14ac:dyDescent="0.35">
      <c r="A273" s="7">
        <v>272</v>
      </c>
      <c r="B273" s="9">
        <v>1087</v>
      </c>
      <c r="C273" s="7" t="str">
        <f>IFERROR(_xlfn.TEXTJOIN("-", TRUE, _xlfn.XLOOKUP(K273, product_category_id_lookup!$A$2:$A$5, product_category_id_lookup!$B$2:$B$5), B273), "Unknown Category")</f>
        <v>etc-1087</v>
      </c>
      <c r="D273" s="8">
        <v>44650</v>
      </c>
      <c r="E273" s="7">
        <f t="shared" si="12"/>
        <v>2022</v>
      </c>
      <c r="F273" s="28" t="str">
        <f t="shared" si="13"/>
        <v>Mar</v>
      </c>
      <c r="G273" s="17" t="s">
        <v>22</v>
      </c>
      <c r="H273" s="17" t="s">
        <v>20</v>
      </c>
      <c r="I273" s="24">
        <v>19838.639491274622</v>
      </c>
      <c r="J273" s="32">
        <v>6</v>
      </c>
      <c r="K273" s="17" t="s">
        <v>31</v>
      </c>
      <c r="L273" s="24">
        <v>2906.67</v>
      </c>
      <c r="M273" s="24">
        <v>3319.19</v>
      </c>
      <c r="N273" s="34">
        <f>((sales_data_1[[#This Row],[Unit_Price]]*(1-sales_data_1[[#This Row],[Discount]]))-sales_data_1[[#This Row],[Unit_Cost]])*sales_data_1[[#This Row],[Quantity_Sold]]</f>
        <v>2475.12</v>
      </c>
      <c r="O273" s="17" t="s">
        <v>27</v>
      </c>
      <c r="P273" s="26">
        <v>0</v>
      </c>
      <c r="Q273" s="17" t="s">
        <v>25</v>
      </c>
      <c r="R273" s="17" t="s">
        <v>21</v>
      </c>
      <c r="S273" s="49" t="str">
        <f t="shared" si="14"/>
        <v>David-West</v>
      </c>
      <c r="T273" s="59" t="str">
        <f>IF(ROUND(sales_data_1[[#This Row],[Profit_Margin]],2)=ROUND((sales_data_1[[#This Row],[Unit_Price]]*(1-sales_data_1[[#This Row],[Discount]]) - sales_data_1[[#This Row],[Unit_Cost]])*sales_data_1[[#This Row],[Quantity_Sold]],2), "PASS", "CHECK")</f>
        <v>PASS</v>
      </c>
    </row>
    <row r="274" spans="1:20" x14ac:dyDescent="0.35">
      <c r="A274" s="7">
        <v>273</v>
      </c>
      <c r="B274" s="9">
        <v>1007</v>
      </c>
      <c r="C274" s="7" t="str">
        <f>IFERROR(_xlfn.TEXTJOIN("-", TRUE, _xlfn.XLOOKUP(K274, product_category_id_lookup!$A$2:$A$5, product_category_id_lookup!$B$2:$B$5), B274), "Unknown Category")</f>
        <v>etc-1007</v>
      </c>
      <c r="D274" s="8">
        <v>44650</v>
      </c>
      <c r="E274" s="7">
        <f t="shared" si="12"/>
        <v>2022</v>
      </c>
      <c r="F274" s="28" t="str">
        <f t="shared" si="13"/>
        <v>Mar</v>
      </c>
      <c r="G274" s="17" t="s">
        <v>32</v>
      </c>
      <c r="H274" s="17" t="s">
        <v>23</v>
      </c>
      <c r="I274" s="24">
        <v>26477.011200000001</v>
      </c>
      <c r="J274" s="32">
        <v>6</v>
      </c>
      <c r="K274" s="17" t="s">
        <v>31</v>
      </c>
      <c r="L274" s="24">
        <v>3902.77</v>
      </c>
      <c r="M274" s="24">
        <v>4796.5600000000004</v>
      </c>
      <c r="N274" s="34">
        <f>((sales_data_1[[#This Row],[Unit_Price]]*(1-sales_data_1[[#This Row],[Discount]]))-sales_data_1[[#This Row],[Unit_Cost]])*sales_data_1[[#This Row],[Quantity_Sold]]</f>
        <v>3060.3912000000028</v>
      </c>
      <c r="O274" s="17" t="s">
        <v>17</v>
      </c>
      <c r="P274" s="26">
        <v>0.08</v>
      </c>
      <c r="Q274" s="17" t="s">
        <v>28</v>
      </c>
      <c r="R274" s="17" t="s">
        <v>21</v>
      </c>
      <c r="S274" s="49" t="str">
        <f t="shared" si="14"/>
        <v>Eve-South</v>
      </c>
      <c r="T274" s="59" t="str">
        <f>IF(ROUND(sales_data_1[[#This Row],[Profit_Margin]],2)=ROUND((sales_data_1[[#This Row],[Unit_Price]]*(1-sales_data_1[[#This Row],[Discount]]) - sales_data_1[[#This Row],[Unit_Cost]])*sales_data_1[[#This Row],[Quantity_Sold]],2), "PASS", "CHECK")</f>
        <v>PASS</v>
      </c>
    </row>
    <row r="275" spans="1:20" x14ac:dyDescent="0.35">
      <c r="A275" s="7">
        <v>274</v>
      </c>
      <c r="B275" s="9">
        <v>1049</v>
      </c>
      <c r="C275" s="7" t="str">
        <f>IFERROR(_xlfn.TEXTJOIN("-", TRUE, _xlfn.XLOOKUP(K275, product_category_id_lookup!$A$2:$A$5, product_category_id_lookup!$B$2:$B$5), B275), "Unknown Category")</f>
        <v>ctg-1049</v>
      </c>
      <c r="D275" s="8">
        <v>44650</v>
      </c>
      <c r="E275" s="7">
        <f t="shared" si="12"/>
        <v>2022</v>
      </c>
      <c r="F275" s="28" t="str">
        <f t="shared" si="13"/>
        <v>Mar</v>
      </c>
      <c r="G275" s="17" t="s">
        <v>29</v>
      </c>
      <c r="H275" s="17" t="s">
        <v>20</v>
      </c>
      <c r="I275" s="24">
        <v>45071.8128</v>
      </c>
      <c r="J275" s="32">
        <v>18</v>
      </c>
      <c r="K275" s="17" t="s">
        <v>26</v>
      </c>
      <c r="L275" s="24">
        <v>1207.3499999999999</v>
      </c>
      <c r="M275" s="24">
        <v>2980.94</v>
      </c>
      <c r="N275" s="34">
        <f>((sales_data_1[[#This Row],[Unit_Price]]*(1-sales_data_1[[#This Row],[Discount]]))-sales_data_1[[#This Row],[Unit_Cost]])*sales_data_1[[#This Row],[Quantity_Sold]]</f>
        <v>23339.5128</v>
      </c>
      <c r="O275" s="17" t="s">
        <v>17</v>
      </c>
      <c r="P275" s="26">
        <v>0.16</v>
      </c>
      <c r="Q275" s="17" t="s">
        <v>28</v>
      </c>
      <c r="R275" s="17" t="s">
        <v>21</v>
      </c>
      <c r="S275" s="49" t="str">
        <f t="shared" si="14"/>
        <v>Charlie-West</v>
      </c>
      <c r="T275" s="59" t="str">
        <f>IF(ROUND(sales_data_1[[#This Row],[Profit_Margin]],2)=ROUND((sales_data_1[[#This Row],[Unit_Price]]*(1-sales_data_1[[#This Row],[Discount]]) - sales_data_1[[#This Row],[Unit_Cost]])*sales_data_1[[#This Row],[Quantity_Sold]],2), "PASS", "CHECK")</f>
        <v>PASS</v>
      </c>
    </row>
    <row r="276" spans="1:20" x14ac:dyDescent="0.35">
      <c r="A276" s="7">
        <v>275</v>
      </c>
      <c r="B276" s="9">
        <v>1030</v>
      </c>
      <c r="C276" s="7" t="str">
        <f>IFERROR(_xlfn.TEXTJOIN("-", TRUE, _xlfn.XLOOKUP(K276, product_category_id_lookup!$A$2:$A$5, product_category_id_lookup!$B$2:$B$5), B276), "Unknown Category")</f>
        <v>fd-1030</v>
      </c>
      <c r="D276" s="8">
        <v>44650</v>
      </c>
      <c r="E276" s="7">
        <f t="shared" si="12"/>
        <v>2022</v>
      </c>
      <c r="F276" s="28" t="str">
        <f t="shared" si="13"/>
        <v>Mar</v>
      </c>
      <c r="G276" s="17" t="s">
        <v>33</v>
      </c>
      <c r="H276" s="17" t="s">
        <v>30</v>
      </c>
      <c r="I276" s="24">
        <v>89269.795200000008</v>
      </c>
      <c r="J276" s="32">
        <v>32</v>
      </c>
      <c r="K276" s="17" t="s">
        <v>24</v>
      </c>
      <c r="L276" s="24">
        <v>446.08</v>
      </c>
      <c r="M276" s="24">
        <v>3206.53</v>
      </c>
      <c r="N276" s="34">
        <f>((sales_data_1[[#This Row],[Unit_Price]]*(1-sales_data_1[[#This Row],[Discount]]))-sales_data_1[[#This Row],[Unit_Cost]])*sales_data_1[[#This Row],[Quantity_Sold]]</f>
        <v>74995.23520000001</v>
      </c>
      <c r="O276" s="17" t="s">
        <v>27</v>
      </c>
      <c r="P276" s="26">
        <v>0.13</v>
      </c>
      <c r="Q276" s="17" t="s">
        <v>28</v>
      </c>
      <c r="R276" s="17" t="s">
        <v>21</v>
      </c>
      <c r="S276" s="49" t="str">
        <f t="shared" si="14"/>
        <v>Alice-East</v>
      </c>
      <c r="T276" s="59" t="str">
        <f>IF(ROUND(sales_data_1[[#This Row],[Profit_Margin]],2)=ROUND((sales_data_1[[#This Row],[Unit_Price]]*(1-sales_data_1[[#This Row],[Discount]]) - sales_data_1[[#This Row],[Unit_Cost]])*sales_data_1[[#This Row],[Quantity_Sold]],2), "PASS", "CHECK")</f>
        <v>PASS</v>
      </c>
    </row>
    <row r="277" spans="1:20" x14ac:dyDescent="0.35">
      <c r="A277" s="7">
        <v>276</v>
      </c>
      <c r="B277" s="9">
        <v>1096</v>
      </c>
      <c r="C277" s="7" t="str">
        <f>IFERROR(_xlfn.TEXTJOIN("-", TRUE, _xlfn.XLOOKUP(K277, product_category_id_lookup!$A$2:$A$5, product_category_id_lookup!$B$2:$B$5), B277), "Unknown Category")</f>
        <v>fd-1096</v>
      </c>
      <c r="D277" s="8">
        <v>44651</v>
      </c>
      <c r="E277" s="7">
        <f t="shared" si="12"/>
        <v>2022</v>
      </c>
      <c r="F277" s="28" t="str">
        <f t="shared" si="13"/>
        <v>Mar</v>
      </c>
      <c r="G277" s="17" t="s">
        <v>29</v>
      </c>
      <c r="H277" s="17" t="s">
        <v>15</v>
      </c>
      <c r="I277" s="24">
        <v>79448.480812270151</v>
      </c>
      <c r="J277" s="32">
        <v>21</v>
      </c>
      <c r="K277" s="17" t="s">
        <v>24</v>
      </c>
      <c r="L277" s="24">
        <v>3665.32</v>
      </c>
      <c r="M277" s="24">
        <v>3825.41</v>
      </c>
      <c r="N277" s="34">
        <f>((sales_data_1[[#This Row],[Unit_Price]]*(1-sales_data_1[[#This Row],[Discount]]))-sales_data_1[[#This Row],[Unit_Cost]])*sales_data_1[[#This Row],[Quantity_Sold]]</f>
        <v>2558.5538999999912</v>
      </c>
      <c r="O277" s="17" t="s">
        <v>27</v>
      </c>
      <c r="P277" s="26">
        <v>0.01</v>
      </c>
      <c r="Q277" s="17" t="s">
        <v>18</v>
      </c>
      <c r="R277" s="17" t="s">
        <v>19</v>
      </c>
      <c r="S277" s="49" t="str">
        <f t="shared" si="14"/>
        <v>Charlie-North</v>
      </c>
      <c r="T277" s="59" t="str">
        <f>IF(ROUND(sales_data_1[[#This Row],[Profit_Margin]],2)=ROUND((sales_data_1[[#This Row],[Unit_Price]]*(1-sales_data_1[[#This Row],[Discount]]) - sales_data_1[[#This Row],[Unit_Cost]])*sales_data_1[[#This Row],[Quantity_Sold]],2), "PASS", "CHECK")</f>
        <v>PASS</v>
      </c>
    </row>
    <row r="278" spans="1:20" x14ac:dyDescent="0.35">
      <c r="A278" s="7">
        <v>277</v>
      </c>
      <c r="B278" s="9">
        <v>1026</v>
      </c>
      <c r="C278" s="7" t="str">
        <f>IFERROR(_xlfn.TEXTJOIN("-", TRUE, _xlfn.XLOOKUP(K278, product_category_id_lookup!$A$2:$A$5, product_category_id_lookup!$B$2:$B$5), B278), "Unknown Category")</f>
        <v>fnt-1026</v>
      </c>
      <c r="D278" s="8">
        <v>44651</v>
      </c>
      <c r="E278" s="7">
        <f t="shared" si="12"/>
        <v>2022</v>
      </c>
      <c r="F278" s="28" t="str">
        <f t="shared" si="13"/>
        <v>Mar</v>
      </c>
      <c r="G278" s="17" t="s">
        <v>29</v>
      </c>
      <c r="H278" s="17" t="s">
        <v>20</v>
      </c>
      <c r="I278" s="24">
        <v>65489.642400000012</v>
      </c>
      <c r="J278" s="32">
        <v>24</v>
      </c>
      <c r="K278" s="17" t="s">
        <v>16</v>
      </c>
      <c r="L278" s="24">
        <v>1646.92</v>
      </c>
      <c r="M278" s="24">
        <v>2998.61</v>
      </c>
      <c r="N278" s="34">
        <f>((sales_data_1[[#This Row],[Unit_Price]]*(1-sales_data_1[[#This Row],[Discount]]))-sales_data_1[[#This Row],[Unit_Cost]])*sales_data_1[[#This Row],[Quantity_Sold]]</f>
        <v>25963.562400000006</v>
      </c>
      <c r="O278" s="17" t="s">
        <v>27</v>
      </c>
      <c r="P278" s="26">
        <v>0.09</v>
      </c>
      <c r="Q278" s="17" t="s">
        <v>25</v>
      </c>
      <c r="R278" s="17" t="s">
        <v>21</v>
      </c>
      <c r="S278" s="49" t="str">
        <f t="shared" si="14"/>
        <v>Charlie-West</v>
      </c>
      <c r="T278" s="59" t="str">
        <f>IF(ROUND(sales_data_1[[#This Row],[Profit_Margin]],2)=ROUND((sales_data_1[[#This Row],[Unit_Price]]*(1-sales_data_1[[#This Row],[Discount]]) - sales_data_1[[#This Row],[Unit_Cost]])*sales_data_1[[#This Row],[Quantity_Sold]],2), "PASS", "CHECK")</f>
        <v>PASS</v>
      </c>
    </row>
    <row r="279" spans="1:20" x14ac:dyDescent="0.35">
      <c r="A279" s="7">
        <v>278</v>
      </c>
      <c r="B279" s="9">
        <v>1100</v>
      </c>
      <c r="C279" s="7" t="str">
        <f>IFERROR(_xlfn.TEXTJOIN("-", TRUE, _xlfn.XLOOKUP(K279, product_category_id_lookup!$A$2:$A$5, product_category_id_lookup!$B$2:$B$5), B279), "Unknown Category")</f>
        <v>etc-1100</v>
      </c>
      <c r="D279" s="8">
        <v>44651</v>
      </c>
      <c r="E279" s="7">
        <f t="shared" si="12"/>
        <v>2022</v>
      </c>
      <c r="F279" s="28" t="str">
        <f t="shared" si="13"/>
        <v>Mar</v>
      </c>
      <c r="G279" s="17" t="s">
        <v>22</v>
      </c>
      <c r="H279" s="17" t="s">
        <v>23</v>
      </c>
      <c r="I279" s="24">
        <v>90672.56</v>
      </c>
      <c r="J279" s="32">
        <v>19</v>
      </c>
      <c r="K279" s="17" t="s">
        <v>31</v>
      </c>
      <c r="L279" s="24">
        <v>209.9</v>
      </c>
      <c r="M279" s="24">
        <v>4772.24</v>
      </c>
      <c r="N279" s="34">
        <f>((sales_data_1[[#This Row],[Unit_Price]]*(1-sales_data_1[[#This Row],[Discount]]))-sales_data_1[[#This Row],[Unit_Cost]])*sales_data_1[[#This Row],[Quantity_Sold]]</f>
        <v>86684.46</v>
      </c>
      <c r="O279" s="17" t="s">
        <v>17</v>
      </c>
      <c r="P279" s="26">
        <v>0</v>
      </c>
      <c r="Q279" s="17" t="s">
        <v>25</v>
      </c>
      <c r="R279" s="17" t="s">
        <v>19</v>
      </c>
      <c r="S279" s="49" t="str">
        <f t="shared" si="14"/>
        <v>David-South</v>
      </c>
      <c r="T279" s="59" t="str">
        <f>IF(ROUND(sales_data_1[[#This Row],[Profit_Margin]],2)=ROUND((sales_data_1[[#This Row],[Unit_Price]]*(1-sales_data_1[[#This Row],[Discount]]) - sales_data_1[[#This Row],[Unit_Cost]])*sales_data_1[[#This Row],[Quantity_Sold]],2), "PASS", "CHECK")</f>
        <v>PASS</v>
      </c>
    </row>
    <row r="280" spans="1:20" x14ac:dyDescent="0.35">
      <c r="A280" s="7">
        <v>279</v>
      </c>
      <c r="B280" s="9">
        <v>1055</v>
      </c>
      <c r="C280" s="7" t="str">
        <f>IFERROR(_xlfn.TEXTJOIN("-", TRUE, _xlfn.XLOOKUP(K280, product_category_id_lookup!$A$2:$A$5, product_category_id_lookup!$B$2:$B$5), B280), "Unknown Category")</f>
        <v>etc-1055</v>
      </c>
      <c r="D280" s="8">
        <v>44652</v>
      </c>
      <c r="E280" s="7">
        <f t="shared" si="12"/>
        <v>2022</v>
      </c>
      <c r="F280" s="28" t="str">
        <f t="shared" si="13"/>
        <v>Apr</v>
      </c>
      <c r="G280" s="17" t="s">
        <v>29</v>
      </c>
      <c r="H280" s="17" t="s">
        <v>20</v>
      </c>
      <c r="I280" s="24">
        <v>115642.12499999999</v>
      </c>
      <c r="J280" s="32">
        <v>25</v>
      </c>
      <c r="K280" s="17" t="s">
        <v>31</v>
      </c>
      <c r="L280" s="24">
        <v>3814.47</v>
      </c>
      <c r="M280" s="24">
        <v>5139.6499999999996</v>
      </c>
      <c r="N280" s="34">
        <f>((sales_data_1[[#This Row],[Unit_Price]]*(1-sales_data_1[[#This Row],[Discount]]))-sales_data_1[[#This Row],[Unit_Cost]])*sales_data_1[[#This Row],[Quantity_Sold]]</f>
        <v>20280.374999999993</v>
      </c>
      <c r="O280" s="17" t="s">
        <v>27</v>
      </c>
      <c r="P280" s="26">
        <v>0.1</v>
      </c>
      <c r="Q280" s="17" t="s">
        <v>18</v>
      </c>
      <c r="R280" s="17" t="s">
        <v>19</v>
      </c>
      <c r="S280" s="49" t="str">
        <f t="shared" si="14"/>
        <v>Charlie-West</v>
      </c>
      <c r="T280" s="59" t="str">
        <f>IF(ROUND(sales_data_1[[#This Row],[Profit_Margin]],2)=ROUND((sales_data_1[[#This Row],[Unit_Price]]*(1-sales_data_1[[#This Row],[Discount]]) - sales_data_1[[#This Row],[Unit_Cost]])*sales_data_1[[#This Row],[Quantity_Sold]],2), "PASS", "CHECK")</f>
        <v>PASS</v>
      </c>
    </row>
    <row r="281" spans="1:20" x14ac:dyDescent="0.35">
      <c r="A281" s="7">
        <v>280</v>
      </c>
      <c r="B281" s="9">
        <v>1031</v>
      </c>
      <c r="C281" s="7" t="str">
        <f>IFERROR(_xlfn.TEXTJOIN("-", TRUE, _xlfn.XLOOKUP(K281, product_category_id_lookup!$A$2:$A$5, product_category_id_lookup!$B$2:$B$5), B281), "Unknown Category")</f>
        <v>fnt-1031</v>
      </c>
      <c r="D281" s="8">
        <v>44653</v>
      </c>
      <c r="E281" s="7">
        <f t="shared" si="12"/>
        <v>2022</v>
      </c>
      <c r="F281" s="28" t="str">
        <f t="shared" si="13"/>
        <v>Apr</v>
      </c>
      <c r="G281" s="17" t="s">
        <v>14</v>
      </c>
      <c r="H281" s="17" t="s">
        <v>23</v>
      </c>
      <c r="I281" s="24">
        <v>114888.68000000001</v>
      </c>
      <c r="J281" s="32">
        <v>40</v>
      </c>
      <c r="K281" s="17" t="s">
        <v>16</v>
      </c>
      <c r="L281" s="24">
        <v>2186.21</v>
      </c>
      <c r="M281" s="24">
        <v>3055.55</v>
      </c>
      <c r="N281" s="34">
        <f>((sales_data_1[[#This Row],[Unit_Price]]*(1-sales_data_1[[#This Row],[Discount]]))-sales_data_1[[#This Row],[Unit_Cost]])*sales_data_1[[#This Row],[Quantity_Sold]]</f>
        <v>27440.280000000002</v>
      </c>
      <c r="O281" s="17" t="s">
        <v>27</v>
      </c>
      <c r="P281" s="26">
        <v>0.06</v>
      </c>
      <c r="Q281" s="17" t="s">
        <v>25</v>
      </c>
      <c r="R281" s="17" t="s">
        <v>19</v>
      </c>
      <c r="S281" s="49" t="str">
        <f t="shared" si="14"/>
        <v>Bob-South</v>
      </c>
      <c r="T281" s="59" t="str">
        <f>IF(ROUND(sales_data_1[[#This Row],[Profit_Margin]],2)=ROUND((sales_data_1[[#This Row],[Unit_Price]]*(1-sales_data_1[[#This Row],[Discount]]) - sales_data_1[[#This Row],[Unit_Cost]])*sales_data_1[[#This Row],[Quantity_Sold]],2), "PASS", "CHECK")</f>
        <v>PASS</v>
      </c>
    </row>
    <row r="282" spans="1:20" x14ac:dyDescent="0.35">
      <c r="A282" s="7">
        <v>281</v>
      </c>
      <c r="B282" s="9">
        <v>1064</v>
      </c>
      <c r="C282" s="7" t="str">
        <f>IFERROR(_xlfn.TEXTJOIN("-", TRUE, _xlfn.XLOOKUP(K282, product_category_id_lookup!$A$2:$A$5, product_category_id_lookup!$B$2:$B$5), B282), "Unknown Category")</f>
        <v>etc-1064</v>
      </c>
      <c r="D282" s="8">
        <v>44654</v>
      </c>
      <c r="E282" s="7">
        <f t="shared" si="12"/>
        <v>2022</v>
      </c>
      <c r="F282" s="28" t="str">
        <f t="shared" si="13"/>
        <v>Apr</v>
      </c>
      <c r="G282" s="17" t="s">
        <v>22</v>
      </c>
      <c r="H282" s="17" t="s">
        <v>20</v>
      </c>
      <c r="I282" s="24">
        <v>90313.305000000008</v>
      </c>
      <c r="J282" s="32">
        <v>30</v>
      </c>
      <c r="K282" s="17" t="s">
        <v>31</v>
      </c>
      <c r="L282" s="24">
        <v>145.07</v>
      </c>
      <c r="M282" s="24">
        <v>3103.55</v>
      </c>
      <c r="N282" s="34">
        <f>((sales_data_1[[#This Row],[Unit_Price]]*(1-sales_data_1[[#This Row],[Discount]]))-sales_data_1[[#This Row],[Unit_Cost]])*sales_data_1[[#This Row],[Quantity_Sold]]</f>
        <v>85961.205000000002</v>
      </c>
      <c r="O282" s="17" t="s">
        <v>17</v>
      </c>
      <c r="P282" s="26">
        <v>0.03</v>
      </c>
      <c r="Q282" s="17" t="s">
        <v>25</v>
      </c>
      <c r="R282" s="17" t="s">
        <v>21</v>
      </c>
      <c r="S282" s="49" t="str">
        <f t="shared" si="14"/>
        <v>David-West</v>
      </c>
      <c r="T282" s="59" t="str">
        <f>IF(ROUND(sales_data_1[[#This Row],[Profit_Margin]],2)=ROUND((sales_data_1[[#This Row],[Unit_Price]]*(1-sales_data_1[[#This Row],[Discount]]) - sales_data_1[[#This Row],[Unit_Cost]])*sales_data_1[[#This Row],[Quantity_Sold]],2), "PASS", "CHECK")</f>
        <v>PASS</v>
      </c>
    </row>
    <row r="283" spans="1:20" x14ac:dyDescent="0.35">
      <c r="A283" s="7">
        <v>282</v>
      </c>
      <c r="B283" s="9">
        <v>1061</v>
      </c>
      <c r="C283" s="7" t="str">
        <f>IFERROR(_xlfn.TEXTJOIN("-", TRUE, _xlfn.XLOOKUP(K283, product_category_id_lookup!$A$2:$A$5, product_category_id_lookup!$B$2:$B$5), B283), "Unknown Category")</f>
        <v>fnt-1061</v>
      </c>
      <c r="D283" s="8">
        <v>44655</v>
      </c>
      <c r="E283" s="7">
        <f t="shared" si="12"/>
        <v>2022</v>
      </c>
      <c r="F283" s="28" t="str">
        <f t="shared" si="13"/>
        <v>Apr</v>
      </c>
      <c r="G283" s="17" t="s">
        <v>22</v>
      </c>
      <c r="H283" s="17" t="s">
        <v>20</v>
      </c>
      <c r="I283" s="24">
        <v>34622.534899999999</v>
      </c>
      <c r="J283" s="32">
        <v>17</v>
      </c>
      <c r="K283" s="17" t="s">
        <v>16</v>
      </c>
      <c r="L283" s="24">
        <v>1958.51</v>
      </c>
      <c r="M283" s="24">
        <v>2789.89</v>
      </c>
      <c r="N283" s="34">
        <f>((sales_data_1[[#This Row],[Unit_Price]]*(1-sales_data_1[[#This Row],[Discount]]))-sales_data_1[[#This Row],[Unit_Cost]])*sales_data_1[[#This Row],[Quantity_Sold]]</f>
        <v>1327.8648999999996</v>
      </c>
      <c r="O283" s="17" t="s">
        <v>27</v>
      </c>
      <c r="P283" s="26">
        <v>0.27</v>
      </c>
      <c r="Q283" s="17" t="s">
        <v>18</v>
      </c>
      <c r="R283" s="17" t="s">
        <v>21</v>
      </c>
      <c r="S283" s="49" t="str">
        <f t="shared" si="14"/>
        <v>David-West</v>
      </c>
      <c r="T283" s="59" t="str">
        <f>IF(ROUND(sales_data_1[[#This Row],[Profit_Margin]],2)=ROUND((sales_data_1[[#This Row],[Unit_Price]]*(1-sales_data_1[[#This Row],[Discount]]) - sales_data_1[[#This Row],[Unit_Cost]])*sales_data_1[[#This Row],[Quantity_Sold]],2), "PASS", "CHECK")</f>
        <v>PASS</v>
      </c>
    </row>
    <row r="284" spans="1:20" x14ac:dyDescent="0.35">
      <c r="A284" s="7">
        <v>283</v>
      </c>
      <c r="B284" s="9">
        <v>1033</v>
      </c>
      <c r="C284" s="7" t="str">
        <f>IFERROR(_xlfn.TEXTJOIN("-", TRUE, _xlfn.XLOOKUP(K284, product_category_id_lookup!$A$2:$A$5, product_category_id_lookup!$B$2:$B$5), B284), "Unknown Category")</f>
        <v>fd-1033</v>
      </c>
      <c r="D284" s="8">
        <v>44655</v>
      </c>
      <c r="E284" s="7">
        <f t="shared" si="12"/>
        <v>2022</v>
      </c>
      <c r="F284" s="28" t="str">
        <f t="shared" si="13"/>
        <v>Apr</v>
      </c>
      <c r="G284" s="17" t="s">
        <v>14</v>
      </c>
      <c r="H284" s="17" t="s">
        <v>15</v>
      </c>
      <c r="I284" s="24">
        <v>19569.296016314252</v>
      </c>
      <c r="J284" s="32">
        <v>8</v>
      </c>
      <c r="K284" s="17" t="s">
        <v>24</v>
      </c>
      <c r="L284" s="24">
        <v>2041.49</v>
      </c>
      <c r="M284" s="24">
        <v>2513.2800000000002</v>
      </c>
      <c r="N284" s="34">
        <f>((sales_data_1[[#This Row],[Unit_Price]]*(1-sales_data_1[[#This Row],[Discount]]))-sales_data_1[[#This Row],[Unit_Cost]])*sales_data_1[[#This Row],[Quantity_Sold]]</f>
        <v>3171.1328000000012</v>
      </c>
      <c r="O284" s="17" t="s">
        <v>17</v>
      </c>
      <c r="P284" s="26">
        <v>0.03</v>
      </c>
      <c r="Q284" s="17" t="s">
        <v>25</v>
      </c>
      <c r="R284" s="17" t="s">
        <v>21</v>
      </c>
      <c r="S284" s="49" t="str">
        <f t="shared" si="14"/>
        <v>Bob-North</v>
      </c>
      <c r="T284" s="59" t="str">
        <f>IF(ROUND(sales_data_1[[#This Row],[Profit_Margin]],2)=ROUND((sales_data_1[[#This Row],[Unit_Price]]*(1-sales_data_1[[#This Row],[Discount]]) - sales_data_1[[#This Row],[Unit_Cost]])*sales_data_1[[#This Row],[Quantity_Sold]],2), "PASS", "CHECK")</f>
        <v>PASS</v>
      </c>
    </row>
    <row r="285" spans="1:20" x14ac:dyDescent="0.35">
      <c r="A285" s="7">
        <v>284</v>
      </c>
      <c r="B285" s="9">
        <v>1041</v>
      </c>
      <c r="C285" s="7" t="str">
        <f>IFERROR(_xlfn.TEXTJOIN("-", TRUE, _xlfn.XLOOKUP(K285, product_category_id_lookup!$A$2:$A$5, product_category_id_lookup!$B$2:$B$5), B285), "Unknown Category")</f>
        <v>fnt-1041</v>
      </c>
      <c r="D285" s="8">
        <v>44655</v>
      </c>
      <c r="E285" s="7">
        <f t="shared" si="12"/>
        <v>2022</v>
      </c>
      <c r="F285" s="28" t="str">
        <f t="shared" si="13"/>
        <v>Apr</v>
      </c>
      <c r="G285" s="17" t="s">
        <v>22</v>
      </c>
      <c r="H285" s="17" t="s">
        <v>20</v>
      </c>
      <c r="I285" s="24">
        <v>37161.2736</v>
      </c>
      <c r="J285" s="32">
        <v>36</v>
      </c>
      <c r="K285" s="17" t="s">
        <v>16</v>
      </c>
      <c r="L285" s="24">
        <v>773.91</v>
      </c>
      <c r="M285" s="24">
        <v>1159.8399999999999</v>
      </c>
      <c r="N285" s="34">
        <f>((sales_data_1[[#This Row],[Unit_Price]]*(1-sales_data_1[[#This Row],[Discount]]))-sales_data_1[[#This Row],[Unit_Cost]])*sales_data_1[[#This Row],[Quantity_Sold]]</f>
        <v>9300.5135999999984</v>
      </c>
      <c r="O285" s="17" t="s">
        <v>27</v>
      </c>
      <c r="P285" s="26">
        <v>0.11</v>
      </c>
      <c r="Q285" s="17" t="s">
        <v>18</v>
      </c>
      <c r="R285" s="17" t="s">
        <v>19</v>
      </c>
      <c r="S285" s="49" t="str">
        <f t="shared" si="14"/>
        <v>David-West</v>
      </c>
      <c r="T285" s="59" t="str">
        <f>IF(ROUND(sales_data_1[[#This Row],[Profit_Margin]],2)=ROUND((sales_data_1[[#This Row],[Unit_Price]]*(1-sales_data_1[[#This Row],[Discount]]) - sales_data_1[[#This Row],[Unit_Cost]])*sales_data_1[[#This Row],[Quantity_Sold]],2), "PASS", "CHECK")</f>
        <v>PASS</v>
      </c>
    </row>
    <row r="286" spans="1:20" x14ac:dyDescent="0.35">
      <c r="A286" s="7">
        <v>285</v>
      </c>
      <c r="B286" s="9">
        <v>1085</v>
      </c>
      <c r="C286" s="7" t="str">
        <f>IFERROR(_xlfn.TEXTJOIN("-", TRUE, _xlfn.XLOOKUP(K286, product_category_id_lookup!$A$2:$A$5, product_category_id_lookup!$B$2:$B$5), B286), "Unknown Category")</f>
        <v>etc-1085</v>
      </c>
      <c r="D286" s="8">
        <v>44656</v>
      </c>
      <c r="E286" s="7">
        <f t="shared" si="12"/>
        <v>2022</v>
      </c>
      <c r="F286" s="28" t="str">
        <f t="shared" si="13"/>
        <v>Apr</v>
      </c>
      <c r="G286" s="17" t="s">
        <v>33</v>
      </c>
      <c r="H286" s="17" t="s">
        <v>23</v>
      </c>
      <c r="I286" s="24">
        <v>131260.92000000001</v>
      </c>
      <c r="J286" s="32">
        <v>35</v>
      </c>
      <c r="K286" s="17" t="s">
        <v>31</v>
      </c>
      <c r="L286" s="24">
        <v>2336.56</v>
      </c>
      <c r="M286" s="24">
        <v>4687.8900000000003</v>
      </c>
      <c r="N286" s="34">
        <f>((sales_data_1[[#This Row],[Unit_Price]]*(1-sales_data_1[[#This Row],[Discount]]))-sales_data_1[[#This Row],[Unit_Cost]])*sales_data_1[[#This Row],[Quantity_Sold]]</f>
        <v>49481.320000000014</v>
      </c>
      <c r="O286" s="17" t="s">
        <v>27</v>
      </c>
      <c r="P286" s="26">
        <v>0.2</v>
      </c>
      <c r="Q286" s="17" t="s">
        <v>28</v>
      </c>
      <c r="R286" s="17" t="s">
        <v>19</v>
      </c>
      <c r="S286" s="49" t="str">
        <f t="shared" si="14"/>
        <v>Alice-South</v>
      </c>
      <c r="T286" s="59" t="str">
        <f>IF(ROUND(sales_data_1[[#This Row],[Profit_Margin]],2)=ROUND((sales_data_1[[#This Row],[Unit_Price]]*(1-sales_data_1[[#This Row],[Discount]]) - sales_data_1[[#This Row],[Unit_Cost]])*sales_data_1[[#This Row],[Quantity_Sold]],2), "PASS", "CHECK")</f>
        <v>PASS</v>
      </c>
    </row>
    <row r="287" spans="1:20" x14ac:dyDescent="0.35">
      <c r="A287" s="7">
        <v>286</v>
      </c>
      <c r="B287" s="9">
        <v>1029</v>
      </c>
      <c r="C287" s="7" t="str">
        <f>IFERROR(_xlfn.TEXTJOIN("-", TRUE, _xlfn.XLOOKUP(K287, product_category_id_lookup!$A$2:$A$5, product_category_id_lookup!$B$2:$B$5), B287), "Unknown Category")</f>
        <v>fnt-1029</v>
      </c>
      <c r="D287" s="8">
        <v>44656</v>
      </c>
      <c r="E287" s="7">
        <f t="shared" si="12"/>
        <v>2022</v>
      </c>
      <c r="F287" s="28" t="str">
        <f t="shared" si="13"/>
        <v>Apr</v>
      </c>
      <c r="G287" s="17" t="s">
        <v>14</v>
      </c>
      <c r="H287" s="17" t="s">
        <v>30</v>
      </c>
      <c r="I287" s="24">
        <v>212961.10500000001</v>
      </c>
      <c r="J287" s="32">
        <v>45</v>
      </c>
      <c r="K287" s="17" t="s">
        <v>16</v>
      </c>
      <c r="L287" s="24">
        <v>2295.38</v>
      </c>
      <c r="M287" s="24">
        <v>4829.05</v>
      </c>
      <c r="N287" s="34">
        <f>((sales_data_1[[#This Row],[Unit_Price]]*(1-sales_data_1[[#This Row],[Discount]]))-sales_data_1[[#This Row],[Unit_Cost]])*sales_data_1[[#This Row],[Quantity_Sold]]</f>
        <v>109669.005</v>
      </c>
      <c r="O287" s="17" t="s">
        <v>17</v>
      </c>
      <c r="P287" s="26">
        <v>0.02</v>
      </c>
      <c r="Q287" s="17" t="s">
        <v>28</v>
      </c>
      <c r="R287" s="17" t="s">
        <v>21</v>
      </c>
      <c r="S287" s="49" t="str">
        <f t="shared" si="14"/>
        <v>Bob-East</v>
      </c>
      <c r="T287" s="59" t="str">
        <f>IF(ROUND(sales_data_1[[#This Row],[Profit_Margin]],2)=ROUND((sales_data_1[[#This Row],[Unit_Price]]*(1-sales_data_1[[#This Row],[Discount]]) - sales_data_1[[#This Row],[Unit_Cost]])*sales_data_1[[#This Row],[Quantity_Sold]],2), "PASS", "CHECK")</f>
        <v>PASS</v>
      </c>
    </row>
    <row r="288" spans="1:20" x14ac:dyDescent="0.35">
      <c r="A288" s="7">
        <v>287</v>
      </c>
      <c r="B288" s="9">
        <v>1049</v>
      </c>
      <c r="C288" s="7" t="str">
        <f>IFERROR(_xlfn.TEXTJOIN("-", TRUE, _xlfn.XLOOKUP(K288, product_category_id_lookup!$A$2:$A$5, product_category_id_lookup!$B$2:$B$5), B288), "Unknown Category")</f>
        <v>fd-1049</v>
      </c>
      <c r="D288" s="8">
        <v>44656</v>
      </c>
      <c r="E288" s="7">
        <f t="shared" si="12"/>
        <v>2022</v>
      </c>
      <c r="F288" s="28" t="str">
        <f t="shared" si="13"/>
        <v>Apr</v>
      </c>
      <c r="G288" s="17" t="s">
        <v>29</v>
      </c>
      <c r="H288" s="17" t="s">
        <v>20</v>
      </c>
      <c r="I288" s="24">
        <v>197828.35199999998</v>
      </c>
      <c r="J288" s="32">
        <v>40</v>
      </c>
      <c r="K288" s="17" t="s">
        <v>24</v>
      </c>
      <c r="L288" s="24">
        <v>994.13</v>
      </c>
      <c r="M288" s="24">
        <v>5151.78</v>
      </c>
      <c r="N288" s="34">
        <f>((sales_data_1[[#This Row],[Unit_Price]]*(1-sales_data_1[[#This Row],[Discount]]))-sales_data_1[[#This Row],[Unit_Cost]])*sales_data_1[[#This Row],[Quantity_Sold]]</f>
        <v>158063.15199999997</v>
      </c>
      <c r="O288" s="17" t="s">
        <v>17</v>
      </c>
      <c r="P288" s="26">
        <v>0.04</v>
      </c>
      <c r="Q288" s="17" t="s">
        <v>18</v>
      </c>
      <c r="R288" s="17" t="s">
        <v>21</v>
      </c>
      <c r="S288" s="49" t="str">
        <f t="shared" si="14"/>
        <v>Charlie-West</v>
      </c>
      <c r="T288" s="59" t="str">
        <f>IF(ROUND(sales_data_1[[#This Row],[Profit_Margin]],2)=ROUND((sales_data_1[[#This Row],[Unit_Price]]*(1-sales_data_1[[#This Row],[Discount]]) - sales_data_1[[#This Row],[Unit_Cost]])*sales_data_1[[#This Row],[Quantity_Sold]],2), "PASS", "CHECK")</f>
        <v>PASS</v>
      </c>
    </row>
    <row r="289" spans="1:20" x14ac:dyDescent="0.35">
      <c r="A289" s="7">
        <v>288</v>
      </c>
      <c r="B289" s="9">
        <v>1007</v>
      </c>
      <c r="C289" s="7" t="str">
        <f>IFERROR(_xlfn.TEXTJOIN("-", TRUE, _xlfn.XLOOKUP(K289, product_category_id_lookup!$A$2:$A$5, product_category_id_lookup!$B$2:$B$5), B289), "Unknown Category")</f>
        <v>fnt-1007</v>
      </c>
      <c r="D289" s="8">
        <v>44657</v>
      </c>
      <c r="E289" s="7">
        <f t="shared" si="12"/>
        <v>2022</v>
      </c>
      <c r="F289" s="28" t="str">
        <f t="shared" si="13"/>
        <v>Apr</v>
      </c>
      <c r="G289" s="17" t="s">
        <v>14</v>
      </c>
      <c r="H289" s="17" t="s">
        <v>20</v>
      </c>
      <c r="I289" s="24">
        <v>100611.315</v>
      </c>
      <c r="J289" s="32">
        <v>42</v>
      </c>
      <c r="K289" s="17" t="s">
        <v>16</v>
      </c>
      <c r="L289" s="24">
        <v>2355.71</v>
      </c>
      <c r="M289" s="24">
        <v>3194.01</v>
      </c>
      <c r="N289" s="34">
        <f>((sales_data_1[[#This Row],[Unit_Price]]*(1-sales_data_1[[#This Row],[Discount]]))-sales_data_1[[#This Row],[Unit_Cost]])*sales_data_1[[#This Row],[Quantity_Sold]]</f>
        <v>1671.4950000000053</v>
      </c>
      <c r="O289" s="17" t="s">
        <v>27</v>
      </c>
      <c r="P289" s="26">
        <v>0.25</v>
      </c>
      <c r="Q289" s="17" t="s">
        <v>28</v>
      </c>
      <c r="R289" s="17" t="s">
        <v>21</v>
      </c>
      <c r="S289" s="49" t="str">
        <f t="shared" si="14"/>
        <v>Bob-West</v>
      </c>
      <c r="T289" s="59" t="str">
        <f>IF(ROUND(sales_data_1[[#This Row],[Profit_Margin]],2)=ROUND((sales_data_1[[#This Row],[Unit_Price]]*(1-sales_data_1[[#This Row],[Discount]]) - sales_data_1[[#This Row],[Unit_Cost]])*sales_data_1[[#This Row],[Quantity_Sold]],2), "PASS", "CHECK")</f>
        <v>PASS</v>
      </c>
    </row>
    <row r="290" spans="1:20" x14ac:dyDescent="0.35">
      <c r="A290" s="7">
        <v>289</v>
      </c>
      <c r="B290" s="9">
        <v>1029</v>
      </c>
      <c r="C290" s="7" t="str">
        <f>IFERROR(_xlfn.TEXTJOIN("-", TRUE, _xlfn.XLOOKUP(K290, product_category_id_lookup!$A$2:$A$5, product_category_id_lookup!$B$2:$B$5), B290), "Unknown Category")</f>
        <v>etc-1029</v>
      </c>
      <c r="D290" s="8">
        <v>44657</v>
      </c>
      <c r="E290" s="7">
        <f t="shared" si="12"/>
        <v>2022</v>
      </c>
      <c r="F290" s="28" t="str">
        <f t="shared" si="13"/>
        <v>Apr</v>
      </c>
      <c r="G290" s="17" t="s">
        <v>32</v>
      </c>
      <c r="H290" s="17" t="s">
        <v>20</v>
      </c>
      <c r="I290" s="24">
        <v>6317.3447999999999</v>
      </c>
      <c r="J290" s="32">
        <v>2</v>
      </c>
      <c r="K290" s="17" t="s">
        <v>31</v>
      </c>
      <c r="L290" s="24">
        <v>1122.3800000000001</v>
      </c>
      <c r="M290" s="24">
        <v>4049.58</v>
      </c>
      <c r="N290" s="34">
        <f>((sales_data_1[[#This Row],[Unit_Price]]*(1-sales_data_1[[#This Row],[Discount]]))-sales_data_1[[#This Row],[Unit_Cost]])*sales_data_1[[#This Row],[Quantity_Sold]]</f>
        <v>4072.5847999999996</v>
      </c>
      <c r="O290" s="17" t="s">
        <v>27</v>
      </c>
      <c r="P290" s="26">
        <v>0.22</v>
      </c>
      <c r="Q290" s="17" t="s">
        <v>28</v>
      </c>
      <c r="R290" s="17" t="s">
        <v>19</v>
      </c>
      <c r="S290" s="49" t="str">
        <f t="shared" si="14"/>
        <v>Eve-West</v>
      </c>
      <c r="T290" s="59" t="str">
        <f>IF(ROUND(sales_data_1[[#This Row],[Profit_Margin]],2)=ROUND((sales_data_1[[#This Row],[Unit_Price]]*(1-sales_data_1[[#This Row],[Discount]]) - sales_data_1[[#This Row],[Unit_Cost]])*sales_data_1[[#This Row],[Quantity_Sold]],2), "PASS", "CHECK")</f>
        <v>PASS</v>
      </c>
    </row>
    <row r="291" spans="1:20" x14ac:dyDescent="0.35">
      <c r="A291" s="7">
        <v>290</v>
      </c>
      <c r="B291" s="9">
        <v>1073</v>
      </c>
      <c r="C291" s="7" t="str">
        <f>IFERROR(_xlfn.TEXTJOIN("-", TRUE, _xlfn.XLOOKUP(K291, product_category_id_lookup!$A$2:$A$5, product_category_id_lookup!$B$2:$B$5), B291), "Unknown Category")</f>
        <v>fd-1073</v>
      </c>
      <c r="D291" s="8">
        <v>44657</v>
      </c>
      <c r="E291" s="7">
        <f t="shared" si="12"/>
        <v>2022</v>
      </c>
      <c r="F291" s="28" t="str">
        <f t="shared" si="13"/>
        <v>Apr</v>
      </c>
      <c r="G291" s="17" t="s">
        <v>22</v>
      </c>
      <c r="H291" s="17" t="s">
        <v>20</v>
      </c>
      <c r="I291" s="24">
        <v>27367.892999999996</v>
      </c>
      <c r="J291" s="32">
        <v>7</v>
      </c>
      <c r="K291" s="17" t="s">
        <v>24</v>
      </c>
      <c r="L291" s="24">
        <v>969.91</v>
      </c>
      <c r="M291" s="24">
        <v>4344.1099999999997</v>
      </c>
      <c r="N291" s="34">
        <f>((sales_data_1[[#This Row],[Unit_Price]]*(1-sales_data_1[[#This Row],[Discount]]))-sales_data_1[[#This Row],[Unit_Cost]])*sales_data_1[[#This Row],[Quantity_Sold]]</f>
        <v>20578.522999999997</v>
      </c>
      <c r="O291" s="17" t="s">
        <v>17</v>
      </c>
      <c r="P291" s="26">
        <v>0.1</v>
      </c>
      <c r="Q291" s="17" t="s">
        <v>28</v>
      </c>
      <c r="R291" s="17" t="s">
        <v>19</v>
      </c>
      <c r="S291" s="49" t="str">
        <f t="shared" si="14"/>
        <v>David-West</v>
      </c>
      <c r="T291" s="59" t="str">
        <f>IF(ROUND(sales_data_1[[#This Row],[Profit_Margin]],2)=ROUND((sales_data_1[[#This Row],[Unit_Price]]*(1-sales_data_1[[#This Row],[Discount]]) - sales_data_1[[#This Row],[Unit_Cost]])*sales_data_1[[#This Row],[Quantity_Sold]],2), "PASS", "CHECK")</f>
        <v>PASS</v>
      </c>
    </row>
    <row r="292" spans="1:20" x14ac:dyDescent="0.35">
      <c r="A292" s="7">
        <v>291</v>
      </c>
      <c r="B292" s="9">
        <v>1024</v>
      </c>
      <c r="C292" s="7" t="str">
        <f>IFERROR(_xlfn.TEXTJOIN("-", TRUE, _xlfn.XLOOKUP(K292, product_category_id_lookup!$A$2:$A$5, product_category_id_lookup!$B$2:$B$5), B292), "Unknown Category")</f>
        <v>fnt-1024</v>
      </c>
      <c r="D292" s="8">
        <v>44657</v>
      </c>
      <c r="E292" s="7">
        <f t="shared" si="12"/>
        <v>2022</v>
      </c>
      <c r="F292" s="28" t="str">
        <f t="shared" si="13"/>
        <v>Apr</v>
      </c>
      <c r="G292" s="17" t="s">
        <v>29</v>
      </c>
      <c r="H292" s="17" t="s">
        <v>30</v>
      </c>
      <c r="I292" s="24">
        <v>23151.888000000003</v>
      </c>
      <c r="J292" s="32">
        <v>6</v>
      </c>
      <c r="K292" s="17" t="s">
        <v>16</v>
      </c>
      <c r="L292" s="24">
        <v>232.97</v>
      </c>
      <c r="M292" s="24">
        <v>4823.3100000000004</v>
      </c>
      <c r="N292" s="34">
        <f>((sales_data_1[[#This Row],[Unit_Price]]*(1-sales_data_1[[#This Row],[Discount]]))-sales_data_1[[#This Row],[Unit_Cost]])*sales_data_1[[#This Row],[Quantity_Sold]]</f>
        <v>21754.068000000007</v>
      </c>
      <c r="O292" s="17" t="s">
        <v>27</v>
      </c>
      <c r="P292" s="26">
        <v>0.2</v>
      </c>
      <c r="Q292" s="17" t="s">
        <v>28</v>
      </c>
      <c r="R292" s="17" t="s">
        <v>19</v>
      </c>
      <c r="S292" s="49" t="str">
        <f t="shared" si="14"/>
        <v>Charlie-East</v>
      </c>
      <c r="T292" s="59" t="str">
        <f>IF(ROUND(sales_data_1[[#This Row],[Profit_Margin]],2)=ROUND((sales_data_1[[#This Row],[Unit_Price]]*(1-sales_data_1[[#This Row],[Discount]]) - sales_data_1[[#This Row],[Unit_Cost]])*sales_data_1[[#This Row],[Quantity_Sold]],2), "PASS", "CHECK")</f>
        <v>PASS</v>
      </c>
    </row>
    <row r="293" spans="1:20" x14ac:dyDescent="0.35">
      <c r="A293" s="7">
        <v>292</v>
      </c>
      <c r="B293" s="9">
        <v>1083</v>
      </c>
      <c r="C293" s="7" t="str">
        <f>IFERROR(_xlfn.TEXTJOIN("-", TRUE, _xlfn.XLOOKUP(K293, product_category_id_lookup!$A$2:$A$5, product_category_id_lookup!$B$2:$B$5), B293), "Unknown Category")</f>
        <v>fd-1083</v>
      </c>
      <c r="D293" s="8">
        <v>44657</v>
      </c>
      <c r="E293" s="7">
        <f t="shared" si="12"/>
        <v>2022</v>
      </c>
      <c r="F293" s="28" t="str">
        <f t="shared" si="13"/>
        <v>Apr</v>
      </c>
      <c r="G293" s="17" t="s">
        <v>29</v>
      </c>
      <c r="H293" s="17" t="s">
        <v>20</v>
      </c>
      <c r="I293" s="24">
        <v>179603.375</v>
      </c>
      <c r="J293" s="32">
        <v>49</v>
      </c>
      <c r="K293" s="17" t="s">
        <v>24</v>
      </c>
      <c r="L293" s="24">
        <v>2707.35</v>
      </c>
      <c r="M293" s="24">
        <v>5162.5</v>
      </c>
      <c r="N293" s="34">
        <f>((sales_data_1[[#This Row],[Unit_Price]]*(1-sales_data_1[[#This Row],[Discount]]))-sales_data_1[[#This Row],[Unit_Cost]])*sales_data_1[[#This Row],[Quantity_Sold]]</f>
        <v>46943.225000000006</v>
      </c>
      <c r="O293" s="17" t="s">
        <v>17</v>
      </c>
      <c r="P293" s="26">
        <v>0.28999999999999998</v>
      </c>
      <c r="Q293" s="17" t="s">
        <v>28</v>
      </c>
      <c r="R293" s="17" t="s">
        <v>21</v>
      </c>
      <c r="S293" s="49" t="str">
        <f t="shared" si="14"/>
        <v>Charlie-West</v>
      </c>
      <c r="T293" s="59" t="str">
        <f>IF(ROUND(sales_data_1[[#This Row],[Profit_Margin]],2)=ROUND((sales_data_1[[#This Row],[Unit_Price]]*(1-sales_data_1[[#This Row],[Discount]]) - sales_data_1[[#This Row],[Unit_Cost]])*sales_data_1[[#This Row],[Quantity_Sold]],2), "PASS", "CHECK")</f>
        <v>PASS</v>
      </c>
    </row>
    <row r="294" spans="1:20" x14ac:dyDescent="0.35">
      <c r="A294" s="7">
        <v>293</v>
      </c>
      <c r="B294" s="9">
        <v>1034</v>
      </c>
      <c r="C294" s="7" t="str">
        <f>IFERROR(_xlfn.TEXTJOIN("-", TRUE, _xlfn.XLOOKUP(K294, product_category_id_lookup!$A$2:$A$5, product_category_id_lookup!$B$2:$B$5), B294), "Unknown Category")</f>
        <v>fd-1034</v>
      </c>
      <c r="D294" s="8">
        <v>44657</v>
      </c>
      <c r="E294" s="7">
        <f t="shared" si="12"/>
        <v>2022</v>
      </c>
      <c r="F294" s="28" t="str">
        <f t="shared" si="13"/>
        <v>Apr</v>
      </c>
      <c r="G294" s="17" t="s">
        <v>33</v>
      </c>
      <c r="H294" s="17" t="s">
        <v>23</v>
      </c>
      <c r="I294" s="24">
        <v>129293.5616</v>
      </c>
      <c r="J294" s="32">
        <v>28</v>
      </c>
      <c r="K294" s="17" t="s">
        <v>24</v>
      </c>
      <c r="L294" s="24">
        <v>151.37</v>
      </c>
      <c r="M294" s="24">
        <v>5019.16</v>
      </c>
      <c r="N294" s="34">
        <f>((sales_data_1[[#This Row],[Unit_Price]]*(1-sales_data_1[[#This Row],[Discount]]))-sales_data_1[[#This Row],[Unit_Cost]])*sales_data_1[[#This Row],[Quantity_Sold]]</f>
        <v>125055.2016</v>
      </c>
      <c r="O294" s="17" t="s">
        <v>27</v>
      </c>
      <c r="P294" s="26">
        <v>0.08</v>
      </c>
      <c r="Q294" s="17" t="s">
        <v>28</v>
      </c>
      <c r="R294" s="17" t="s">
        <v>19</v>
      </c>
      <c r="S294" s="49" t="str">
        <f t="shared" si="14"/>
        <v>Alice-South</v>
      </c>
      <c r="T294" s="59" t="str">
        <f>IF(ROUND(sales_data_1[[#This Row],[Profit_Margin]],2)=ROUND((sales_data_1[[#This Row],[Unit_Price]]*(1-sales_data_1[[#This Row],[Discount]]) - sales_data_1[[#This Row],[Unit_Cost]])*sales_data_1[[#This Row],[Quantity_Sold]],2), "PASS", "CHECK")</f>
        <v>PASS</v>
      </c>
    </row>
    <row r="295" spans="1:20" x14ac:dyDescent="0.35">
      <c r="A295" s="7">
        <v>294</v>
      </c>
      <c r="B295" s="9">
        <v>1002</v>
      </c>
      <c r="C295" s="7" t="str">
        <f>IFERROR(_xlfn.TEXTJOIN("-", TRUE, _xlfn.XLOOKUP(K295, product_category_id_lookup!$A$2:$A$5, product_category_id_lookup!$B$2:$B$5), B295), "Unknown Category")</f>
        <v>fnt-1002</v>
      </c>
      <c r="D295" s="8">
        <v>44658</v>
      </c>
      <c r="E295" s="7">
        <f t="shared" si="12"/>
        <v>2022</v>
      </c>
      <c r="F295" s="28" t="str">
        <f t="shared" si="13"/>
        <v>Apr</v>
      </c>
      <c r="G295" s="17" t="s">
        <v>14</v>
      </c>
      <c r="H295" s="17" t="s">
        <v>23</v>
      </c>
      <c r="I295" s="24">
        <v>44340.332399999999</v>
      </c>
      <c r="J295" s="32">
        <v>12</v>
      </c>
      <c r="K295" s="17" t="s">
        <v>16</v>
      </c>
      <c r="L295" s="24">
        <v>2932.29</v>
      </c>
      <c r="M295" s="24">
        <v>4060.47</v>
      </c>
      <c r="N295" s="34">
        <f>((sales_data_1[[#This Row],[Unit_Price]]*(1-sales_data_1[[#This Row],[Discount]]))-sales_data_1[[#This Row],[Unit_Cost]])*sales_data_1[[#This Row],[Quantity_Sold]]</f>
        <v>9152.8524000000016</v>
      </c>
      <c r="O295" s="17" t="s">
        <v>27</v>
      </c>
      <c r="P295" s="26">
        <v>0.09</v>
      </c>
      <c r="Q295" s="17" t="s">
        <v>28</v>
      </c>
      <c r="R295" s="17" t="s">
        <v>19</v>
      </c>
      <c r="S295" s="49" t="str">
        <f t="shared" si="14"/>
        <v>Bob-South</v>
      </c>
      <c r="T295" s="59" t="str">
        <f>IF(ROUND(sales_data_1[[#This Row],[Profit_Margin]],2)=ROUND((sales_data_1[[#This Row],[Unit_Price]]*(1-sales_data_1[[#This Row],[Discount]]) - sales_data_1[[#This Row],[Unit_Cost]])*sales_data_1[[#This Row],[Quantity_Sold]],2), "PASS", "CHECK")</f>
        <v>PASS</v>
      </c>
    </row>
    <row r="296" spans="1:20" x14ac:dyDescent="0.35">
      <c r="A296" s="7">
        <v>295</v>
      </c>
      <c r="B296" s="9">
        <v>1057</v>
      </c>
      <c r="C296" s="7" t="str">
        <f>IFERROR(_xlfn.TEXTJOIN("-", TRUE, _xlfn.XLOOKUP(K296, product_category_id_lookup!$A$2:$A$5, product_category_id_lookup!$B$2:$B$5), B296), "Unknown Category")</f>
        <v>fnt-1057</v>
      </c>
      <c r="D296" s="8">
        <v>44658</v>
      </c>
      <c r="E296" s="7">
        <f t="shared" si="12"/>
        <v>2022</v>
      </c>
      <c r="F296" s="28" t="str">
        <f t="shared" si="13"/>
        <v>Apr</v>
      </c>
      <c r="G296" s="17" t="s">
        <v>32</v>
      </c>
      <c r="H296" s="17" t="s">
        <v>20</v>
      </c>
      <c r="I296" s="24">
        <v>11611.3634</v>
      </c>
      <c r="J296" s="32">
        <v>13</v>
      </c>
      <c r="K296" s="17" t="s">
        <v>16</v>
      </c>
      <c r="L296" s="24">
        <v>78.09</v>
      </c>
      <c r="M296" s="24">
        <v>911.41</v>
      </c>
      <c r="N296" s="34">
        <f>((sales_data_1[[#This Row],[Unit_Price]]*(1-sales_data_1[[#This Row],[Discount]]))-sales_data_1[[#This Row],[Unit_Cost]])*sales_data_1[[#This Row],[Quantity_Sold]]</f>
        <v>10596.193399999998</v>
      </c>
      <c r="O296" s="17" t="s">
        <v>27</v>
      </c>
      <c r="P296" s="26">
        <v>0.02</v>
      </c>
      <c r="Q296" s="17" t="s">
        <v>18</v>
      </c>
      <c r="R296" s="17" t="s">
        <v>21</v>
      </c>
      <c r="S296" s="49" t="str">
        <f t="shared" si="14"/>
        <v>Eve-West</v>
      </c>
      <c r="T296" s="59" t="str">
        <f>IF(ROUND(sales_data_1[[#This Row],[Profit_Margin]],2)=ROUND((sales_data_1[[#This Row],[Unit_Price]]*(1-sales_data_1[[#This Row],[Discount]]) - sales_data_1[[#This Row],[Unit_Cost]])*sales_data_1[[#This Row],[Quantity_Sold]],2), "PASS", "CHECK")</f>
        <v>PASS</v>
      </c>
    </row>
    <row r="297" spans="1:20" x14ac:dyDescent="0.35">
      <c r="A297" s="7">
        <v>296</v>
      </c>
      <c r="B297" s="9">
        <v>1044</v>
      </c>
      <c r="C297" s="7" t="str">
        <f>IFERROR(_xlfn.TEXTJOIN("-", TRUE, _xlfn.XLOOKUP(K297, product_category_id_lookup!$A$2:$A$5, product_category_id_lookup!$B$2:$B$5), B297), "Unknown Category")</f>
        <v>fnt-1044</v>
      </c>
      <c r="D297" s="8">
        <v>44658</v>
      </c>
      <c r="E297" s="7">
        <f t="shared" si="12"/>
        <v>2022</v>
      </c>
      <c r="F297" s="28" t="str">
        <f t="shared" si="13"/>
        <v>Apr</v>
      </c>
      <c r="G297" s="17" t="s">
        <v>29</v>
      </c>
      <c r="H297" s="17" t="s">
        <v>23</v>
      </c>
      <c r="I297" s="24">
        <v>94156.840799999991</v>
      </c>
      <c r="J297" s="32">
        <v>27</v>
      </c>
      <c r="K297" s="17" t="s">
        <v>16</v>
      </c>
      <c r="L297" s="24">
        <v>3023.95</v>
      </c>
      <c r="M297" s="24">
        <v>4588.54</v>
      </c>
      <c r="N297" s="34">
        <f>((sales_data_1[[#This Row],[Unit_Price]]*(1-sales_data_1[[#This Row],[Discount]]))-sales_data_1[[#This Row],[Unit_Cost]])*sales_data_1[[#This Row],[Quantity_Sold]]</f>
        <v>12510.1908</v>
      </c>
      <c r="O297" s="17" t="s">
        <v>27</v>
      </c>
      <c r="P297" s="26">
        <v>0.24</v>
      </c>
      <c r="Q297" s="17" t="s">
        <v>25</v>
      </c>
      <c r="R297" s="17" t="s">
        <v>19</v>
      </c>
      <c r="S297" s="49" t="str">
        <f t="shared" si="14"/>
        <v>Charlie-South</v>
      </c>
      <c r="T297" s="59" t="str">
        <f>IF(ROUND(sales_data_1[[#This Row],[Profit_Margin]],2)=ROUND((sales_data_1[[#This Row],[Unit_Price]]*(1-sales_data_1[[#This Row],[Discount]]) - sales_data_1[[#This Row],[Unit_Cost]])*sales_data_1[[#This Row],[Quantity_Sold]],2), "PASS", "CHECK")</f>
        <v>PASS</v>
      </c>
    </row>
    <row r="298" spans="1:20" x14ac:dyDescent="0.35">
      <c r="A298" s="7">
        <v>297</v>
      </c>
      <c r="B298" s="9">
        <v>1086</v>
      </c>
      <c r="C298" s="7" t="str">
        <f>IFERROR(_xlfn.TEXTJOIN("-", TRUE, _xlfn.XLOOKUP(K298, product_category_id_lookup!$A$2:$A$5, product_category_id_lookup!$B$2:$B$5), B298), "Unknown Category")</f>
        <v>fd-1086</v>
      </c>
      <c r="D298" s="8">
        <v>44659</v>
      </c>
      <c r="E298" s="7">
        <f t="shared" si="12"/>
        <v>2022</v>
      </c>
      <c r="F298" s="28" t="str">
        <f t="shared" si="13"/>
        <v>Apr</v>
      </c>
      <c r="G298" s="17" t="s">
        <v>29</v>
      </c>
      <c r="H298" s="17" t="s">
        <v>30</v>
      </c>
      <c r="I298" s="24">
        <v>163893.6</v>
      </c>
      <c r="J298" s="32">
        <v>45</v>
      </c>
      <c r="K298" s="17" t="s">
        <v>24</v>
      </c>
      <c r="L298" s="24">
        <v>3218.28</v>
      </c>
      <c r="M298" s="24">
        <v>4552.6000000000004</v>
      </c>
      <c r="N298" s="34">
        <f>((sales_data_1[[#This Row],[Unit_Price]]*(1-sales_data_1[[#This Row],[Discount]]))-sales_data_1[[#This Row],[Unit_Cost]])*sales_data_1[[#This Row],[Quantity_Sold]]</f>
        <v>19071.000000000007</v>
      </c>
      <c r="O298" s="17" t="s">
        <v>27</v>
      </c>
      <c r="P298" s="26">
        <v>0.2</v>
      </c>
      <c r="Q298" s="17" t="s">
        <v>25</v>
      </c>
      <c r="R298" s="17" t="s">
        <v>21</v>
      </c>
      <c r="S298" s="49" t="str">
        <f t="shared" si="14"/>
        <v>Charlie-East</v>
      </c>
      <c r="T298" s="59" t="str">
        <f>IF(ROUND(sales_data_1[[#This Row],[Profit_Margin]],2)=ROUND((sales_data_1[[#This Row],[Unit_Price]]*(1-sales_data_1[[#This Row],[Discount]]) - sales_data_1[[#This Row],[Unit_Cost]])*sales_data_1[[#This Row],[Quantity_Sold]],2), "PASS", "CHECK")</f>
        <v>PASS</v>
      </c>
    </row>
    <row r="299" spans="1:20" x14ac:dyDescent="0.35">
      <c r="A299" s="7">
        <v>298</v>
      </c>
      <c r="B299" s="9">
        <v>1090</v>
      </c>
      <c r="C299" s="7" t="str">
        <f>IFERROR(_xlfn.TEXTJOIN("-", TRUE, _xlfn.XLOOKUP(K299, product_category_id_lookup!$A$2:$A$5, product_category_id_lookup!$B$2:$B$5), B299), "Unknown Category")</f>
        <v>ctg-1090</v>
      </c>
      <c r="D299" s="8">
        <v>44659</v>
      </c>
      <c r="E299" s="7">
        <f t="shared" si="12"/>
        <v>2022</v>
      </c>
      <c r="F299" s="28" t="str">
        <f t="shared" si="13"/>
        <v>Apr</v>
      </c>
      <c r="G299" s="17" t="s">
        <v>29</v>
      </c>
      <c r="H299" s="17" t="s">
        <v>30</v>
      </c>
      <c r="I299" s="24">
        <v>108074.3125</v>
      </c>
      <c r="J299" s="32">
        <v>35</v>
      </c>
      <c r="K299" s="17" t="s">
        <v>26</v>
      </c>
      <c r="L299" s="24">
        <v>406.05</v>
      </c>
      <c r="M299" s="24">
        <v>3632.75</v>
      </c>
      <c r="N299" s="34">
        <f>((sales_data_1[[#This Row],[Unit_Price]]*(1-sales_data_1[[#This Row],[Discount]]))-sales_data_1[[#This Row],[Unit_Cost]])*sales_data_1[[#This Row],[Quantity_Sold]]</f>
        <v>93862.5625</v>
      </c>
      <c r="O299" s="17" t="s">
        <v>17</v>
      </c>
      <c r="P299" s="26">
        <v>0.15</v>
      </c>
      <c r="Q299" s="17" t="s">
        <v>18</v>
      </c>
      <c r="R299" s="17" t="s">
        <v>21</v>
      </c>
      <c r="S299" s="49" t="str">
        <f t="shared" si="14"/>
        <v>Charlie-East</v>
      </c>
      <c r="T299" s="59" t="str">
        <f>IF(ROUND(sales_data_1[[#This Row],[Profit_Margin]],2)=ROUND((sales_data_1[[#This Row],[Unit_Price]]*(1-sales_data_1[[#This Row],[Discount]]) - sales_data_1[[#This Row],[Unit_Cost]])*sales_data_1[[#This Row],[Quantity_Sold]],2), "PASS", "CHECK")</f>
        <v>PASS</v>
      </c>
    </row>
    <row r="300" spans="1:20" x14ac:dyDescent="0.35">
      <c r="A300" s="7">
        <v>299</v>
      </c>
      <c r="B300" s="9">
        <v>1069</v>
      </c>
      <c r="C300" s="7" t="str">
        <f>IFERROR(_xlfn.TEXTJOIN("-", TRUE, _xlfn.XLOOKUP(K300, product_category_id_lookup!$A$2:$A$5, product_category_id_lookup!$B$2:$B$5), B300), "Unknown Category")</f>
        <v>ctg-1069</v>
      </c>
      <c r="D300" s="8">
        <v>44659</v>
      </c>
      <c r="E300" s="7">
        <f t="shared" si="12"/>
        <v>2022</v>
      </c>
      <c r="F300" s="28" t="str">
        <f t="shared" si="13"/>
        <v>Apr</v>
      </c>
      <c r="G300" s="17" t="s">
        <v>22</v>
      </c>
      <c r="H300" s="17" t="s">
        <v>15</v>
      </c>
      <c r="I300" s="24">
        <v>134961.67439999996</v>
      </c>
      <c r="J300" s="32">
        <v>28</v>
      </c>
      <c r="K300" s="17" t="s">
        <v>26</v>
      </c>
      <c r="L300" s="24">
        <v>1015.89</v>
      </c>
      <c r="M300" s="24">
        <v>5182.8599999999997</v>
      </c>
      <c r="N300" s="34">
        <f>((sales_data_1[[#This Row],[Unit_Price]]*(1-sales_data_1[[#This Row],[Discount]]))-sales_data_1[[#This Row],[Unit_Cost]])*sales_data_1[[#This Row],[Quantity_Sold]]</f>
        <v>106516.75439999998</v>
      </c>
      <c r="O300" s="17" t="s">
        <v>27</v>
      </c>
      <c r="P300" s="26">
        <v>7.0000000000000007E-2</v>
      </c>
      <c r="Q300" s="17" t="s">
        <v>18</v>
      </c>
      <c r="R300" s="17" t="s">
        <v>21</v>
      </c>
      <c r="S300" s="49" t="str">
        <f t="shared" si="14"/>
        <v>David-North</v>
      </c>
      <c r="T300" s="59" t="str">
        <f>IF(ROUND(sales_data_1[[#This Row],[Profit_Margin]],2)=ROUND((sales_data_1[[#This Row],[Unit_Price]]*(1-sales_data_1[[#This Row],[Discount]]) - sales_data_1[[#This Row],[Unit_Cost]])*sales_data_1[[#This Row],[Quantity_Sold]],2), "PASS", "CHECK")</f>
        <v>PASS</v>
      </c>
    </row>
    <row r="301" spans="1:20" x14ac:dyDescent="0.35">
      <c r="A301" s="7">
        <v>300</v>
      </c>
      <c r="B301" s="9">
        <v>1050</v>
      </c>
      <c r="C301" s="7" t="str">
        <f>IFERROR(_xlfn.TEXTJOIN("-", TRUE, _xlfn.XLOOKUP(K301, product_category_id_lookup!$A$2:$A$5, product_category_id_lookup!$B$2:$B$5), B301), "Unknown Category")</f>
        <v>fnt-1050</v>
      </c>
      <c r="D301" s="8">
        <v>44660</v>
      </c>
      <c r="E301" s="7">
        <f t="shared" si="12"/>
        <v>2022</v>
      </c>
      <c r="F301" s="28" t="str">
        <f t="shared" si="13"/>
        <v>Apr</v>
      </c>
      <c r="G301" s="17" t="s">
        <v>32</v>
      </c>
      <c r="H301" s="17" t="s">
        <v>15</v>
      </c>
      <c r="I301" s="24">
        <v>33793.453200000004</v>
      </c>
      <c r="J301" s="32">
        <v>13</v>
      </c>
      <c r="K301" s="17" t="s">
        <v>16</v>
      </c>
      <c r="L301" s="24">
        <v>1119.96</v>
      </c>
      <c r="M301" s="24">
        <v>3420.39</v>
      </c>
      <c r="N301" s="34">
        <f>((sales_data_1[[#This Row],[Unit_Price]]*(1-sales_data_1[[#This Row],[Discount]]))-sales_data_1[[#This Row],[Unit_Cost]])*sales_data_1[[#This Row],[Quantity_Sold]]</f>
        <v>19233.9732</v>
      </c>
      <c r="O301" s="17" t="s">
        <v>17</v>
      </c>
      <c r="P301" s="26">
        <v>0.24</v>
      </c>
      <c r="Q301" s="17" t="s">
        <v>28</v>
      </c>
      <c r="R301" s="17" t="s">
        <v>21</v>
      </c>
      <c r="S301" s="49" t="str">
        <f t="shared" si="14"/>
        <v>Eve-North</v>
      </c>
      <c r="T301" s="59" t="str">
        <f>IF(ROUND(sales_data_1[[#This Row],[Profit_Margin]],2)=ROUND((sales_data_1[[#This Row],[Unit_Price]]*(1-sales_data_1[[#This Row],[Discount]]) - sales_data_1[[#This Row],[Unit_Cost]])*sales_data_1[[#This Row],[Quantity_Sold]],2), "PASS", "CHECK")</f>
        <v>PASS</v>
      </c>
    </row>
    <row r="302" spans="1:20" x14ac:dyDescent="0.35">
      <c r="A302" s="7">
        <v>301</v>
      </c>
      <c r="B302" s="9">
        <v>1094</v>
      </c>
      <c r="C302" s="7" t="str">
        <f>IFERROR(_xlfn.TEXTJOIN("-", TRUE, _xlfn.XLOOKUP(K302, product_category_id_lookup!$A$2:$A$5, product_category_id_lookup!$B$2:$B$5), B302), "Unknown Category")</f>
        <v>fnt-1094</v>
      </c>
      <c r="D302" s="8">
        <v>44660</v>
      </c>
      <c r="E302" s="7">
        <f t="shared" si="12"/>
        <v>2022</v>
      </c>
      <c r="F302" s="28" t="str">
        <f t="shared" si="13"/>
        <v>Apr</v>
      </c>
      <c r="G302" s="17" t="s">
        <v>32</v>
      </c>
      <c r="H302" s="17" t="s">
        <v>30</v>
      </c>
      <c r="I302" s="24">
        <v>142710.984</v>
      </c>
      <c r="J302" s="32">
        <v>45</v>
      </c>
      <c r="K302" s="17" t="s">
        <v>16</v>
      </c>
      <c r="L302" s="24">
        <v>2730.23</v>
      </c>
      <c r="M302" s="24">
        <v>4404.66</v>
      </c>
      <c r="N302" s="34">
        <f>((sales_data_1[[#This Row],[Unit_Price]]*(1-sales_data_1[[#This Row],[Discount]]))-sales_data_1[[#This Row],[Unit_Cost]])*sales_data_1[[#This Row],[Quantity_Sold]]</f>
        <v>19850.633999999998</v>
      </c>
      <c r="O302" s="17" t="s">
        <v>27</v>
      </c>
      <c r="P302" s="26">
        <v>0.28000000000000003</v>
      </c>
      <c r="Q302" s="17" t="s">
        <v>28</v>
      </c>
      <c r="R302" s="17" t="s">
        <v>21</v>
      </c>
      <c r="S302" s="49" t="str">
        <f t="shared" si="14"/>
        <v>Eve-East</v>
      </c>
      <c r="T302" s="59" t="str">
        <f>IF(ROUND(sales_data_1[[#This Row],[Profit_Margin]],2)=ROUND((sales_data_1[[#This Row],[Unit_Price]]*(1-sales_data_1[[#This Row],[Discount]]) - sales_data_1[[#This Row],[Unit_Cost]])*sales_data_1[[#This Row],[Quantity_Sold]],2), "PASS", "CHECK")</f>
        <v>PASS</v>
      </c>
    </row>
    <row r="303" spans="1:20" x14ac:dyDescent="0.35">
      <c r="A303" s="7">
        <v>302</v>
      </c>
      <c r="B303" s="9">
        <v>1004</v>
      </c>
      <c r="C303" s="7" t="str">
        <f>IFERROR(_xlfn.TEXTJOIN("-", TRUE, _xlfn.XLOOKUP(K303, product_category_id_lookup!$A$2:$A$5, product_category_id_lookup!$B$2:$B$5), B303), "Unknown Category")</f>
        <v>fnt-1004</v>
      </c>
      <c r="D303" s="8">
        <v>44660</v>
      </c>
      <c r="E303" s="7">
        <f t="shared" si="12"/>
        <v>2022</v>
      </c>
      <c r="F303" s="28" t="str">
        <f t="shared" si="13"/>
        <v>Apr</v>
      </c>
      <c r="G303" s="17" t="s">
        <v>29</v>
      </c>
      <c r="H303" s="17" t="s">
        <v>23</v>
      </c>
      <c r="I303" s="24">
        <v>88895.515499999994</v>
      </c>
      <c r="J303" s="32">
        <v>37</v>
      </c>
      <c r="K303" s="17" t="s">
        <v>16</v>
      </c>
      <c r="L303" s="24">
        <v>1734.62</v>
      </c>
      <c r="M303" s="24">
        <v>2426.85</v>
      </c>
      <c r="N303" s="34">
        <f>((sales_data_1[[#This Row],[Unit_Price]]*(1-sales_data_1[[#This Row],[Discount]]))-sales_data_1[[#This Row],[Unit_Cost]])*sales_data_1[[#This Row],[Quantity_Sold]]</f>
        <v>24714.575499999995</v>
      </c>
      <c r="O303" s="17" t="s">
        <v>27</v>
      </c>
      <c r="P303" s="26">
        <v>0.01</v>
      </c>
      <c r="Q303" s="17" t="s">
        <v>18</v>
      </c>
      <c r="R303" s="17" t="s">
        <v>21</v>
      </c>
      <c r="S303" s="49" t="str">
        <f t="shared" si="14"/>
        <v>Charlie-South</v>
      </c>
      <c r="T303" s="59" t="str">
        <f>IF(ROUND(sales_data_1[[#This Row],[Profit_Margin]],2)=ROUND((sales_data_1[[#This Row],[Unit_Price]]*(1-sales_data_1[[#This Row],[Discount]]) - sales_data_1[[#This Row],[Unit_Cost]])*sales_data_1[[#This Row],[Quantity_Sold]],2), "PASS", "CHECK")</f>
        <v>PASS</v>
      </c>
    </row>
    <row r="304" spans="1:20" x14ac:dyDescent="0.35">
      <c r="A304" s="7">
        <v>303</v>
      </c>
      <c r="B304" s="9">
        <v>1001</v>
      </c>
      <c r="C304" s="7" t="str">
        <f>IFERROR(_xlfn.TEXTJOIN("-", TRUE, _xlfn.XLOOKUP(K304, product_category_id_lookup!$A$2:$A$5, product_category_id_lookup!$B$2:$B$5), B304), "Unknown Category")</f>
        <v>fd-1001</v>
      </c>
      <c r="D304" s="8">
        <v>44660</v>
      </c>
      <c r="E304" s="7">
        <f t="shared" si="12"/>
        <v>2022</v>
      </c>
      <c r="F304" s="28" t="str">
        <f t="shared" si="13"/>
        <v>Apr</v>
      </c>
      <c r="G304" s="17" t="s">
        <v>22</v>
      </c>
      <c r="H304" s="17" t="s">
        <v>20</v>
      </c>
      <c r="I304" s="24">
        <v>216751.44159999996</v>
      </c>
      <c r="J304" s="32">
        <v>43</v>
      </c>
      <c r="K304" s="17" t="s">
        <v>24</v>
      </c>
      <c r="L304" s="24">
        <v>2443.0700000000002</v>
      </c>
      <c r="M304" s="24">
        <v>5362.48</v>
      </c>
      <c r="N304" s="34">
        <f>((sales_data_1[[#This Row],[Unit_Price]]*(1-sales_data_1[[#This Row],[Discount]]))-sales_data_1[[#This Row],[Unit_Cost]])*sales_data_1[[#This Row],[Quantity_Sold]]</f>
        <v>111699.43159999997</v>
      </c>
      <c r="O304" s="17" t="s">
        <v>17</v>
      </c>
      <c r="P304" s="26">
        <v>0.06</v>
      </c>
      <c r="Q304" s="17" t="s">
        <v>28</v>
      </c>
      <c r="R304" s="17" t="s">
        <v>21</v>
      </c>
      <c r="S304" s="49" t="str">
        <f t="shared" si="14"/>
        <v>David-West</v>
      </c>
      <c r="T304" s="59" t="str">
        <f>IF(ROUND(sales_data_1[[#This Row],[Profit_Margin]],2)=ROUND((sales_data_1[[#This Row],[Unit_Price]]*(1-sales_data_1[[#This Row],[Discount]]) - sales_data_1[[#This Row],[Unit_Cost]])*sales_data_1[[#This Row],[Quantity_Sold]],2), "PASS", "CHECK")</f>
        <v>PASS</v>
      </c>
    </row>
    <row r="305" spans="1:20" x14ac:dyDescent="0.35">
      <c r="A305" s="7">
        <v>304</v>
      </c>
      <c r="B305" s="9">
        <v>1051</v>
      </c>
      <c r="C305" s="7" t="str">
        <f>IFERROR(_xlfn.TEXTJOIN("-", TRUE, _xlfn.XLOOKUP(K305, product_category_id_lookup!$A$2:$A$5, product_category_id_lookup!$B$2:$B$5), B305), "Unknown Category")</f>
        <v>fnt-1051</v>
      </c>
      <c r="D305" s="8">
        <v>44661</v>
      </c>
      <c r="E305" s="7">
        <f t="shared" si="12"/>
        <v>2022</v>
      </c>
      <c r="F305" s="28" t="str">
        <f t="shared" si="13"/>
        <v>Apr</v>
      </c>
      <c r="G305" s="17" t="s">
        <v>14</v>
      </c>
      <c r="H305" s="17" t="s">
        <v>15</v>
      </c>
      <c r="I305" s="24">
        <v>48065.760000000009</v>
      </c>
      <c r="J305" s="32">
        <v>24</v>
      </c>
      <c r="K305" s="17" t="s">
        <v>16</v>
      </c>
      <c r="L305" s="24">
        <v>1527.19</v>
      </c>
      <c r="M305" s="24">
        <v>2670.32</v>
      </c>
      <c r="N305" s="34">
        <f>((sales_data_1[[#This Row],[Unit_Price]]*(1-sales_data_1[[#This Row],[Discount]]))-sales_data_1[[#This Row],[Unit_Cost]])*sales_data_1[[#This Row],[Quantity_Sold]]</f>
        <v>11413.200000000004</v>
      </c>
      <c r="O305" s="17" t="s">
        <v>27</v>
      </c>
      <c r="P305" s="26">
        <v>0.25</v>
      </c>
      <c r="Q305" s="17" t="s">
        <v>18</v>
      </c>
      <c r="R305" s="17" t="s">
        <v>19</v>
      </c>
      <c r="S305" s="49" t="str">
        <f t="shared" si="14"/>
        <v>Bob-North</v>
      </c>
      <c r="T305" s="59" t="str">
        <f>IF(ROUND(sales_data_1[[#This Row],[Profit_Margin]],2)=ROUND((sales_data_1[[#This Row],[Unit_Price]]*(1-sales_data_1[[#This Row],[Discount]]) - sales_data_1[[#This Row],[Unit_Cost]])*sales_data_1[[#This Row],[Quantity_Sold]],2), "PASS", "CHECK")</f>
        <v>PASS</v>
      </c>
    </row>
    <row r="306" spans="1:20" x14ac:dyDescent="0.35">
      <c r="A306" s="7">
        <v>305</v>
      </c>
      <c r="B306" s="9">
        <v>1014</v>
      </c>
      <c r="C306" s="7" t="str">
        <f>IFERROR(_xlfn.TEXTJOIN("-", TRUE, _xlfn.XLOOKUP(K306, product_category_id_lookup!$A$2:$A$5, product_category_id_lookup!$B$2:$B$5), B306), "Unknown Category")</f>
        <v>ctg-1014</v>
      </c>
      <c r="D306" s="8">
        <v>44661</v>
      </c>
      <c r="E306" s="7">
        <f t="shared" si="12"/>
        <v>2022</v>
      </c>
      <c r="F306" s="28" t="str">
        <f t="shared" si="13"/>
        <v>Apr</v>
      </c>
      <c r="G306" s="17" t="s">
        <v>32</v>
      </c>
      <c r="H306" s="17" t="s">
        <v>23</v>
      </c>
      <c r="I306" s="24">
        <v>96635.366100000014</v>
      </c>
      <c r="J306" s="32">
        <v>39</v>
      </c>
      <c r="K306" s="17" t="s">
        <v>26</v>
      </c>
      <c r="L306" s="24">
        <v>2164.87</v>
      </c>
      <c r="M306" s="24">
        <v>2722.89</v>
      </c>
      <c r="N306" s="34">
        <f>((sales_data_1[[#This Row],[Unit_Price]]*(1-sales_data_1[[#This Row],[Discount]]))-sales_data_1[[#This Row],[Unit_Cost]])*sales_data_1[[#This Row],[Quantity_Sold]]</f>
        <v>12205.436100000012</v>
      </c>
      <c r="O306" s="17" t="s">
        <v>17</v>
      </c>
      <c r="P306" s="26">
        <v>0.09</v>
      </c>
      <c r="Q306" s="17" t="s">
        <v>28</v>
      </c>
      <c r="R306" s="17" t="s">
        <v>19</v>
      </c>
      <c r="S306" s="49" t="str">
        <f t="shared" si="14"/>
        <v>Eve-South</v>
      </c>
      <c r="T306" s="59" t="str">
        <f>IF(ROUND(sales_data_1[[#This Row],[Profit_Margin]],2)=ROUND((sales_data_1[[#This Row],[Unit_Price]]*(1-sales_data_1[[#This Row],[Discount]]) - sales_data_1[[#This Row],[Unit_Cost]])*sales_data_1[[#This Row],[Quantity_Sold]],2), "PASS", "CHECK")</f>
        <v>PASS</v>
      </c>
    </row>
    <row r="307" spans="1:20" x14ac:dyDescent="0.35">
      <c r="A307" s="7">
        <v>306</v>
      </c>
      <c r="B307" s="9">
        <v>1089</v>
      </c>
      <c r="C307" s="7" t="str">
        <f>IFERROR(_xlfn.TEXTJOIN("-", TRUE, _xlfn.XLOOKUP(K307, product_category_id_lookup!$A$2:$A$5, product_category_id_lookup!$B$2:$B$5), B307), "Unknown Category")</f>
        <v>etc-1089</v>
      </c>
      <c r="D307" s="8">
        <v>44661</v>
      </c>
      <c r="E307" s="7">
        <f t="shared" si="12"/>
        <v>2022</v>
      </c>
      <c r="F307" s="28" t="str">
        <f t="shared" si="13"/>
        <v>Apr</v>
      </c>
      <c r="G307" s="17" t="s">
        <v>14</v>
      </c>
      <c r="H307" s="17" t="s">
        <v>23</v>
      </c>
      <c r="I307" s="24">
        <v>33059.664000000004</v>
      </c>
      <c r="J307" s="32">
        <v>24</v>
      </c>
      <c r="K307" s="17" t="s">
        <v>31</v>
      </c>
      <c r="L307" s="24">
        <v>810.11</v>
      </c>
      <c r="M307" s="24">
        <v>1391.4</v>
      </c>
      <c r="N307" s="34">
        <f>((sales_data_1[[#This Row],[Unit_Price]]*(1-sales_data_1[[#This Row],[Discount]]))-sales_data_1[[#This Row],[Unit_Cost]])*sales_data_1[[#This Row],[Quantity_Sold]]</f>
        <v>13617.024000000001</v>
      </c>
      <c r="O307" s="17" t="s">
        <v>27</v>
      </c>
      <c r="P307" s="26">
        <v>0.01</v>
      </c>
      <c r="Q307" s="17" t="s">
        <v>25</v>
      </c>
      <c r="R307" s="17" t="s">
        <v>21</v>
      </c>
      <c r="S307" s="49" t="str">
        <f t="shared" si="14"/>
        <v>Bob-South</v>
      </c>
      <c r="T307" s="59" t="str">
        <f>IF(ROUND(sales_data_1[[#This Row],[Profit_Margin]],2)=ROUND((sales_data_1[[#This Row],[Unit_Price]]*(1-sales_data_1[[#This Row],[Discount]]) - sales_data_1[[#This Row],[Unit_Cost]])*sales_data_1[[#This Row],[Quantity_Sold]],2), "PASS", "CHECK")</f>
        <v>PASS</v>
      </c>
    </row>
    <row r="308" spans="1:20" x14ac:dyDescent="0.35">
      <c r="A308" s="7">
        <v>307</v>
      </c>
      <c r="B308" s="9">
        <v>1019</v>
      </c>
      <c r="C308" s="7" t="str">
        <f>IFERROR(_xlfn.TEXTJOIN("-", TRUE, _xlfn.XLOOKUP(K308, product_category_id_lookup!$A$2:$A$5, product_category_id_lookup!$B$2:$B$5), B308), "Unknown Category")</f>
        <v>etc-1019</v>
      </c>
      <c r="D308" s="8">
        <v>44661</v>
      </c>
      <c r="E308" s="7">
        <f t="shared" si="12"/>
        <v>2022</v>
      </c>
      <c r="F308" s="28" t="str">
        <f t="shared" si="13"/>
        <v>Apr</v>
      </c>
      <c r="G308" s="17" t="s">
        <v>14</v>
      </c>
      <c r="H308" s="17" t="s">
        <v>15</v>
      </c>
      <c r="I308" s="24">
        <v>50188.479999999996</v>
      </c>
      <c r="J308" s="32">
        <v>20</v>
      </c>
      <c r="K308" s="17" t="s">
        <v>31</v>
      </c>
      <c r="L308" s="24">
        <v>1114.17</v>
      </c>
      <c r="M308" s="24">
        <v>2669.6</v>
      </c>
      <c r="N308" s="34">
        <f>((sales_data_1[[#This Row],[Unit_Price]]*(1-sales_data_1[[#This Row],[Discount]]))-sales_data_1[[#This Row],[Unit_Cost]])*sales_data_1[[#This Row],[Quantity_Sold]]</f>
        <v>27905.079999999998</v>
      </c>
      <c r="O308" s="17" t="s">
        <v>27</v>
      </c>
      <c r="P308" s="26">
        <v>0.06</v>
      </c>
      <c r="Q308" s="17" t="s">
        <v>28</v>
      </c>
      <c r="R308" s="17" t="s">
        <v>19</v>
      </c>
      <c r="S308" s="49" t="str">
        <f t="shared" si="14"/>
        <v>Bob-North</v>
      </c>
      <c r="T308" s="59" t="str">
        <f>IF(ROUND(sales_data_1[[#This Row],[Profit_Margin]],2)=ROUND((sales_data_1[[#This Row],[Unit_Price]]*(1-sales_data_1[[#This Row],[Discount]]) - sales_data_1[[#This Row],[Unit_Cost]])*sales_data_1[[#This Row],[Quantity_Sold]],2), "PASS", "CHECK")</f>
        <v>PASS</v>
      </c>
    </row>
    <row r="309" spans="1:20" x14ac:dyDescent="0.35">
      <c r="A309" s="7">
        <v>308</v>
      </c>
      <c r="B309" s="9">
        <v>1007</v>
      </c>
      <c r="C309" s="7" t="str">
        <f>IFERROR(_xlfn.TEXTJOIN("-", TRUE, _xlfn.XLOOKUP(K309, product_category_id_lookup!$A$2:$A$5, product_category_id_lookup!$B$2:$B$5), B309), "Unknown Category")</f>
        <v>ctg-1007</v>
      </c>
      <c r="D309" s="8">
        <v>44662</v>
      </c>
      <c r="E309" s="7">
        <f t="shared" si="12"/>
        <v>2022</v>
      </c>
      <c r="F309" s="28" t="str">
        <f t="shared" si="13"/>
        <v>Apr</v>
      </c>
      <c r="G309" s="17" t="s">
        <v>29</v>
      </c>
      <c r="H309" s="17" t="s">
        <v>23</v>
      </c>
      <c r="I309" s="24">
        <v>3493.8288000000002</v>
      </c>
      <c r="J309" s="32">
        <v>6</v>
      </c>
      <c r="K309" s="17" t="s">
        <v>26</v>
      </c>
      <c r="L309" s="24">
        <v>568.97</v>
      </c>
      <c r="M309" s="24">
        <v>756.24</v>
      </c>
      <c r="N309" s="34">
        <f>((sales_data_1[[#This Row],[Unit_Price]]*(1-sales_data_1[[#This Row],[Discount]]))-sales_data_1[[#This Row],[Unit_Cost]])*sales_data_1[[#This Row],[Quantity_Sold]]</f>
        <v>80.008799999999837</v>
      </c>
      <c r="O309" s="17" t="s">
        <v>17</v>
      </c>
      <c r="P309" s="26">
        <v>0.23</v>
      </c>
      <c r="Q309" s="17" t="s">
        <v>25</v>
      </c>
      <c r="R309" s="17" t="s">
        <v>21</v>
      </c>
      <c r="S309" s="49" t="str">
        <f t="shared" si="14"/>
        <v>Charlie-South</v>
      </c>
      <c r="T309" s="59" t="str">
        <f>IF(ROUND(sales_data_1[[#This Row],[Profit_Margin]],2)=ROUND((sales_data_1[[#This Row],[Unit_Price]]*(1-sales_data_1[[#This Row],[Discount]]) - sales_data_1[[#This Row],[Unit_Cost]])*sales_data_1[[#This Row],[Quantity_Sold]],2), "PASS", "CHECK")</f>
        <v>PASS</v>
      </c>
    </row>
    <row r="310" spans="1:20" x14ac:dyDescent="0.35">
      <c r="A310" s="7">
        <v>309</v>
      </c>
      <c r="B310" s="9">
        <v>1057</v>
      </c>
      <c r="C310" s="7" t="str">
        <f>IFERROR(_xlfn.TEXTJOIN("-", TRUE, _xlfn.XLOOKUP(K310, product_category_id_lookup!$A$2:$A$5, product_category_id_lookup!$B$2:$B$5), B310), "Unknown Category")</f>
        <v>etc-1057</v>
      </c>
      <c r="D310" s="8">
        <v>44662</v>
      </c>
      <c r="E310" s="7">
        <f t="shared" si="12"/>
        <v>2022</v>
      </c>
      <c r="F310" s="28" t="str">
        <f t="shared" si="13"/>
        <v>Apr</v>
      </c>
      <c r="G310" s="17" t="s">
        <v>29</v>
      </c>
      <c r="H310" s="17" t="s">
        <v>20</v>
      </c>
      <c r="I310" s="24">
        <v>209680.8</v>
      </c>
      <c r="J310" s="32">
        <v>42</v>
      </c>
      <c r="K310" s="17" t="s">
        <v>31</v>
      </c>
      <c r="L310" s="24">
        <v>4976.13</v>
      </c>
      <c r="M310" s="24">
        <v>4992.3999999999996</v>
      </c>
      <c r="N310" s="34">
        <f>((sales_data_1[[#This Row],[Unit_Price]]*(1-sales_data_1[[#This Row],[Discount]]))-sales_data_1[[#This Row],[Unit_Cost]])*sales_data_1[[#This Row],[Quantity_Sold]]</f>
        <v>683.33999999998014</v>
      </c>
      <c r="O310" s="17" t="s">
        <v>17</v>
      </c>
      <c r="P310" s="26">
        <v>0</v>
      </c>
      <c r="Q310" s="17" t="s">
        <v>18</v>
      </c>
      <c r="R310" s="17" t="s">
        <v>21</v>
      </c>
      <c r="S310" s="49" t="str">
        <f t="shared" si="14"/>
        <v>Charlie-West</v>
      </c>
      <c r="T310" s="59" t="str">
        <f>IF(ROUND(sales_data_1[[#This Row],[Profit_Margin]],2)=ROUND((sales_data_1[[#This Row],[Unit_Price]]*(1-sales_data_1[[#This Row],[Discount]]) - sales_data_1[[#This Row],[Unit_Cost]])*sales_data_1[[#This Row],[Quantity_Sold]],2), "PASS", "CHECK")</f>
        <v>PASS</v>
      </c>
    </row>
    <row r="311" spans="1:20" x14ac:dyDescent="0.35">
      <c r="A311" s="7">
        <v>310</v>
      </c>
      <c r="B311" s="9">
        <v>1073</v>
      </c>
      <c r="C311" s="7" t="str">
        <f>IFERROR(_xlfn.TEXTJOIN("-", TRUE, _xlfn.XLOOKUP(K311, product_category_id_lookup!$A$2:$A$5, product_category_id_lookup!$B$2:$B$5), B311), "Unknown Category")</f>
        <v>fd-1073</v>
      </c>
      <c r="D311" s="8">
        <v>44662</v>
      </c>
      <c r="E311" s="7">
        <f t="shared" si="12"/>
        <v>2022</v>
      </c>
      <c r="F311" s="28" t="str">
        <f t="shared" si="13"/>
        <v>Apr</v>
      </c>
      <c r="G311" s="17" t="s">
        <v>29</v>
      </c>
      <c r="H311" s="17" t="s">
        <v>30</v>
      </c>
      <c r="I311" s="24">
        <v>63301.459200000005</v>
      </c>
      <c r="J311" s="32">
        <v>16</v>
      </c>
      <c r="K311" s="17" t="s">
        <v>24</v>
      </c>
      <c r="L311" s="24">
        <v>3311.97</v>
      </c>
      <c r="M311" s="24">
        <v>4709.93</v>
      </c>
      <c r="N311" s="34">
        <f>((sales_data_1[[#This Row],[Unit_Price]]*(1-sales_data_1[[#This Row],[Discount]]))-sales_data_1[[#This Row],[Unit_Cost]])*sales_data_1[[#This Row],[Quantity_Sold]]</f>
        <v>10309.939200000008</v>
      </c>
      <c r="O311" s="17" t="s">
        <v>17</v>
      </c>
      <c r="P311" s="26">
        <v>0.16</v>
      </c>
      <c r="Q311" s="17" t="s">
        <v>28</v>
      </c>
      <c r="R311" s="17" t="s">
        <v>19</v>
      </c>
      <c r="S311" s="49" t="str">
        <f t="shared" si="14"/>
        <v>Charlie-East</v>
      </c>
      <c r="T311" s="59" t="str">
        <f>IF(ROUND(sales_data_1[[#This Row],[Profit_Margin]],2)=ROUND((sales_data_1[[#This Row],[Unit_Price]]*(1-sales_data_1[[#This Row],[Discount]]) - sales_data_1[[#This Row],[Unit_Cost]])*sales_data_1[[#This Row],[Quantity_Sold]],2), "PASS", "CHECK")</f>
        <v>PASS</v>
      </c>
    </row>
    <row r="312" spans="1:20" x14ac:dyDescent="0.35">
      <c r="A312" s="7">
        <v>311</v>
      </c>
      <c r="B312" s="9">
        <v>1091</v>
      </c>
      <c r="C312" s="7" t="str">
        <f>IFERROR(_xlfn.TEXTJOIN("-", TRUE, _xlfn.XLOOKUP(K312, product_category_id_lookup!$A$2:$A$5, product_category_id_lookup!$B$2:$B$5), B312), "Unknown Category")</f>
        <v>fd-1091</v>
      </c>
      <c r="D312" s="8">
        <v>44662</v>
      </c>
      <c r="E312" s="7">
        <f t="shared" si="12"/>
        <v>2022</v>
      </c>
      <c r="F312" s="28" t="str">
        <f t="shared" si="13"/>
        <v>Apr</v>
      </c>
      <c r="G312" s="17" t="s">
        <v>29</v>
      </c>
      <c r="H312" s="17" t="s">
        <v>15</v>
      </c>
      <c r="I312" s="24">
        <v>47268.932400000005</v>
      </c>
      <c r="J312" s="32">
        <v>12</v>
      </c>
      <c r="K312" s="17" t="s">
        <v>24</v>
      </c>
      <c r="L312" s="24">
        <v>2494.6999999999998</v>
      </c>
      <c r="M312" s="24">
        <v>4425.93</v>
      </c>
      <c r="N312" s="34">
        <f>((sales_data_1[[#This Row],[Unit_Price]]*(1-sales_data_1[[#This Row],[Discount]]))-sales_data_1[[#This Row],[Unit_Cost]])*sales_data_1[[#This Row],[Quantity_Sold]]</f>
        <v>17332.532400000004</v>
      </c>
      <c r="O312" s="17" t="s">
        <v>27</v>
      </c>
      <c r="P312" s="26">
        <v>0.11</v>
      </c>
      <c r="Q312" s="17" t="s">
        <v>28</v>
      </c>
      <c r="R312" s="17" t="s">
        <v>19</v>
      </c>
      <c r="S312" s="49" t="str">
        <f t="shared" si="14"/>
        <v>Charlie-North</v>
      </c>
      <c r="T312" s="59" t="str">
        <f>IF(ROUND(sales_data_1[[#This Row],[Profit_Margin]],2)=ROUND((sales_data_1[[#This Row],[Unit_Price]]*(1-sales_data_1[[#This Row],[Discount]]) - sales_data_1[[#This Row],[Unit_Cost]])*sales_data_1[[#This Row],[Quantity_Sold]],2), "PASS", "CHECK")</f>
        <v>PASS</v>
      </c>
    </row>
    <row r="313" spans="1:20" x14ac:dyDescent="0.35">
      <c r="A313" s="7">
        <v>312</v>
      </c>
      <c r="B313" s="9">
        <v>1078</v>
      </c>
      <c r="C313" s="7" t="str">
        <f>IFERROR(_xlfn.TEXTJOIN("-", TRUE, _xlfn.XLOOKUP(K313, product_category_id_lookup!$A$2:$A$5, product_category_id_lookup!$B$2:$B$5), B313), "Unknown Category")</f>
        <v>fnt-1078</v>
      </c>
      <c r="D313" s="8">
        <v>44662</v>
      </c>
      <c r="E313" s="7">
        <f t="shared" si="12"/>
        <v>2022</v>
      </c>
      <c r="F313" s="28" t="str">
        <f t="shared" si="13"/>
        <v>Apr</v>
      </c>
      <c r="G313" s="17" t="s">
        <v>29</v>
      </c>
      <c r="H313" s="17" t="s">
        <v>20</v>
      </c>
      <c r="I313" s="24">
        <v>128356.63340000001</v>
      </c>
      <c r="J313" s="32">
        <v>47</v>
      </c>
      <c r="K313" s="17" t="s">
        <v>16</v>
      </c>
      <c r="L313" s="24">
        <v>2094.31</v>
      </c>
      <c r="M313" s="24">
        <v>3690.53</v>
      </c>
      <c r="N313" s="34">
        <f>((sales_data_1[[#This Row],[Unit_Price]]*(1-sales_data_1[[#This Row],[Discount]]))-sales_data_1[[#This Row],[Unit_Cost]])*sales_data_1[[#This Row],[Quantity_Sold]]</f>
        <v>29924.06340000001</v>
      </c>
      <c r="O313" s="17" t="s">
        <v>17</v>
      </c>
      <c r="P313" s="26">
        <v>0.26</v>
      </c>
      <c r="Q313" s="17" t="s">
        <v>18</v>
      </c>
      <c r="R313" s="17" t="s">
        <v>21</v>
      </c>
      <c r="S313" s="49" t="str">
        <f t="shared" si="14"/>
        <v>Charlie-West</v>
      </c>
      <c r="T313" s="59" t="str">
        <f>IF(ROUND(sales_data_1[[#This Row],[Profit_Margin]],2)=ROUND((sales_data_1[[#This Row],[Unit_Price]]*(1-sales_data_1[[#This Row],[Discount]]) - sales_data_1[[#This Row],[Unit_Cost]])*sales_data_1[[#This Row],[Quantity_Sold]],2), "PASS", "CHECK")</f>
        <v>PASS</v>
      </c>
    </row>
    <row r="314" spans="1:20" x14ac:dyDescent="0.35">
      <c r="A314" s="7">
        <v>313</v>
      </c>
      <c r="B314" s="9">
        <v>1005</v>
      </c>
      <c r="C314" s="7" t="str">
        <f>IFERROR(_xlfn.TEXTJOIN("-", TRUE, _xlfn.XLOOKUP(K314, product_category_id_lookup!$A$2:$A$5, product_category_id_lookup!$B$2:$B$5), B314), "Unknown Category")</f>
        <v>ctg-1005</v>
      </c>
      <c r="D314" s="8">
        <v>44663</v>
      </c>
      <c r="E314" s="7">
        <f t="shared" si="12"/>
        <v>2022</v>
      </c>
      <c r="F314" s="28" t="str">
        <f t="shared" si="13"/>
        <v>Apr</v>
      </c>
      <c r="G314" s="17" t="s">
        <v>29</v>
      </c>
      <c r="H314" s="17" t="s">
        <v>23</v>
      </c>
      <c r="I314" s="24">
        <v>23780.573999999997</v>
      </c>
      <c r="J314" s="32">
        <v>27</v>
      </c>
      <c r="K314" s="17" t="s">
        <v>26</v>
      </c>
      <c r="L314" s="24">
        <v>311.31</v>
      </c>
      <c r="M314" s="24">
        <v>1074.0999999999999</v>
      </c>
      <c r="N314" s="34">
        <f>((sales_data_1[[#This Row],[Unit_Price]]*(1-sales_data_1[[#This Row],[Discount]]))-sales_data_1[[#This Row],[Unit_Cost]])*sales_data_1[[#This Row],[Quantity_Sold]]</f>
        <v>15375.204</v>
      </c>
      <c r="O314" s="17" t="s">
        <v>27</v>
      </c>
      <c r="P314" s="26">
        <v>0.18</v>
      </c>
      <c r="Q314" s="17" t="s">
        <v>25</v>
      </c>
      <c r="R314" s="17" t="s">
        <v>21</v>
      </c>
      <c r="S314" s="49" t="str">
        <f t="shared" si="14"/>
        <v>Charlie-South</v>
      </c>
      <c r="T314" s="59" t="str">
        <f>IF(ROUND(sales_data_1[[#This Row],[Profit_Margin]],2)=ROUND((sales_data_1[[#This Row],[Unit_Price]]*(1-sales_data_1[[#This Row],[Discount]]) - sales_data_1[[#This Row],[Unit_Cost]])*sales_data_1[[#This Row],[Quantity_Sold]],2), "PASS", "CHECK")</f>
        <v>PASS</v>
      </c>
    </row>
    <row r="315" spans="1:20" x14ac:dyDescent="0.35">
      <c r="A315" s="7">
        <v>314</v>
      </c>
      <c r="B315" s="9">
        <v>1074</v>
      </c>
      <c r="C315" s="7" t="str">
        <f>IFERROR(_xlfn.TEXTJOIN("-", TRUE, _xlfn.XLOOKUP(K315, product_category_id_lookup!$A$2:$A$5, product_category_id_lookup!$B$2:$B$5), B315), "Unknown Category")</f>
        <v>fnt-1074</v>
      </c>
      <c r="D315" s="8">
        <v>44664</v>
      </c>
      <c r="E315" s="7">
        <f t="shared" si="12"/>
        <v>2022</v>
      </c>
      <c r="F315" s="28" t="str">
        <f t="shared" si="13"/>
        <v>Apr</v>
      </c>
      <c r="G315" s="17" t="s">
        <v>33</v>
      </c>
      <c r="H315" s="17" t="s">
        <v>23</v>
      </c>
      <c r="I315" s="24">
        <v>2118.3629999999998</v>
      </c>
      <c r="J315" s="32">
        <v>1</v>
      </c>
      <c r="K315" s="17" t="s">
        <v>16</v>
      </c>
      <c r="L315" s="24">
        <v>989.16</v>
      </c>
      <c r="M315" s="24">
        <v>2715.85</v>
      </c>
      <c r="N315" s="34">
        <f>((sales_data_1[[#This Row],[Unit_Price]]*(1-sales_data_1[[#This Row],[Discount]]))-sales_data_1[[#This Row],[Unit_Cost]])*sales_data_1[[#This Row],[Quantity_Sold]]</f>
        <v>1129.203</v>
      </c>
      <c r="O315" s="17" t="s">
        <v>17</v>
      </c>
      <c r="P315" s="26">
        <v>0.22</v>
      </c>
      <c r="Q315" s="17" t="s">
        <v>18</v>
      </c>
      <c r="R315" s="17" t="s">
        <v>21</v>
      </c>
      <c r="S315" s="49" t="str">
        <f t="shared" si="14"/>
        <v>Alice-South</v>
      </c>
      <c r="T315" s="59" t="str">
        <f>IF(ROUND(sales_data_1[[#This Row],[Profit_Margin]],2)=ROUND((sales_data_1[[#This Row],[Unit_Price]]*(1-sales_data_1[[#This Row],[Discount]]) - sales_data_1[[#This Row],[Unit_Cost]])*sales_data_1[[#This Row],[Quantity_Sold]],2), "PASS", "CHECK")</f>
        <v>PASS</v>
      </c>
    </row>
    <row r="316" spans="1:20" x14ac:dyDescent="0.35">
      <c r="A316" s="7">
        <v>315</v>
      </c>
      <c r="B316" s="9">
        <v>1018</v>
      </c>
      <c r="C316" s="7" t="str">
        <f>IFERROR(_xlfn.TEXTJOIN("-", TRUE, _xlfn.XLOOKUP(K316, product_category_id_lookup!$A$2:$A$5, product_category_id_lookup!$B$2:$B$5), B316), "Unknown Category")</f>
        <v>ctg-1018</v>
      </c>
      <c r="D316" s="8">
        <v>44664</v>
      </c>
      <c r="E316" s="7">
        <f t="shared" si="12"/>
        <v>2022</v>
      </c>
      <c r="F316" s="28" t="str">
        <f t="shared" si="13"/>
        <v>Apr</v>
      </c>
      <c r="G316" s="17" t="s">
        <v>32</v>
      </c>
      <c r="H316" s="17" t="s">
        <v>20</v>
      </c>
      <c r="I316" s="24">
        <v>19179.838</v>
      </c>
      <c r="J316" s="32">
        <v>5</v>
      </c>
      <c r="K316" s="17" t="s">
        <v>26</v>
      </c>
      <c r="L316" s="24">
        <v>3586.99</v>
      </c>
      <c r="M316" s="24">
        <v>4169.53</v>
      </c>
      <c r="N316" s="34">
        <f>((sales_data_1[[#This Row],[Unit_Price]]*(1-sales_data_1[[#This Row],[Discount]]))-sales_data_1[[#This Row],[Unit_Cost]])*sales_data_1[[#This Row],[Quantity_Sold]]</f>
        <v>1244.8880000000008</v>
      </c>
      <c r="O316" s="17" t="s">
        <v>17</v>
      </c>
      <c r="P316" s="26">
        <v>0.08</v>
      </c>
      <c r="Q316" s="17" t="s">
        <v>28</v>
      </c>
      <c r="R316" s="17" t="s">
        <v>19</v>
      </c>
      <c r="S316" s="49" t="str">
        <f t="shared" si="14"/>
        <v>Eve-West</v>
      </c>
      <c r="T316" s="59" t="str">
        <f>IF(ROUND(sales_data_1[[#This Row],[Profit_Margin]],2)=ROUND((sales_data_1[[#This Row],[Unit_Price]]*(1-sales_data_1[[#This Row],[Discount]]) - sales_data_1[[#This Row],[Unit_Cost]])*sales_data_1[[#This Row],[Quantity_Sold]],2), "PASS", "CHECK")</f>
        <v>PASS</v>
      </c>
    </row>
    <row r="317" spans="1:20" x14ac:dyDescent="0.35">
      <c r="A317" s="7">
        <v>316</v>
      </c>
      <c r="B317" s="9">
        <v>1033</v>
      </c>
      <c r="C317" s="7" t="str">
        <f>IFERROR(_xlfn.TEXTJOIN("-", TRUE, _xlfn.XLOOKUP(K317, product_category_id_lookup!$A$2:$A$5, product_category_id_lookup!$B$2:$B$5), B317), "Unknown Category")</f>
        <v>ctg-1033</v>
      </c>
      <c r="D317" s="8">
        <v>44664</v>
      </c>
      <c r="E317" s="7">
        <f t="shared" si="12"/>
        <v>2022</v>
      </c>
      <c r="F317" s="28" t="str">
        <f t="shared" si="13"/>
        <v>Apr</v>
      </c>
      <c r="G317" s="17" t="s">
        <v>33</v>
      </c>
      <c r="H317" s="17" t="s">
        <v>30</v>
      </c>
      <c r="I317" s="24">
        <v>60498.75</v>
      </c>
      <c r="J317" s="32">
        <v>34</v>
      </c>
      <c r="K317" s="17" t="s">
        <v>26</v>
      </c>
      <c r="L317" s="24">
        <v>1643.93</v>
      </c>
      <c r="M317" s="24">
        <v>2281.25</v>
      </c>
      <c r="N317" s="34">
        <f>((sales_data_1[[#This Row],[Unit_Price]]*(1-sales_data_1[[#This Row],[Discount]]))-sales_data_1[[#This Row],[Unit_Cost]])*sales_data_1[[#This Row],[Quantity_Sold]]</f>
        <v>4605.1299999999974</v>
      </c>
      <c r="O317" s="17" t="s">
        <v>17</v>
      </c>
      <c r="P317" s="26">
        <v>0.22</v>
      </c>
      <c r="Q317" s="17" t="s">
        <v>25</v>
      </c>
      <c r="R317" s="17" t="s">
        <v>19</v>
      </c>
      <c r="S317" s="49" t="str">
        <f t="shared" si="14"/>
        <v>Alice-East</v>
      </c>
      <c r="T317" s="59" t="str">
        <f>IF(ROUND(sales_data_1[[#This Row],[Profit_Margin]],2)=ROUND((sales_data_1[[#This Row],[Unit_Price]]*(1-sales_data_1[[#This Row],[Discount]]) - sales_data_1[[#This Row],[Unit_Cost]])*sales_data_1[[#This Row],[Quantity_Sold]],2), "PASS", "CHECK")</f>
        <v>PASS</v>
      </c>
    </row>
    <row r="318" spans="1:20" x14ac:dyDescent="0.35">
      <c r="A318" s="7">
        <v>317</v>
      </c>
      <c r="B318" s="9">
        <v>1089</v>
      </c>
      <c r="C318" s="7" t="str">
        <f>IFERROR(_xlfn.TEXTJOIN("-", TRUE, _xlfn.XLOOKUP(K318, product_category_id_lookup!$A$2:$A$5, product_category_id_lookup!$B$2:$B$5), B318), "Unknown Category")</f>
        <v>fd-1089</v>
      </c>
      <c r="D318" s="8">
        <v>44665</v>
      </c>
      <c r="E318" s="7">
        <f t="shared" si="12"/>
        <v>2022</v>
      </c>
      <c r="F318" s="28" t="str">
        <f t="shared" si="13"/>
        <v>Apr</v>
      </c>
      <c r="G318" s="17" t="s">
        <v>22</v>
      </c>
      <c r="H318" s="17" t="s">
        <v>30</v>
      </c>
      <c r="I318" s="24">
        <v>46535.974984219079</v>
      </c>
      <c r="J318" s="32">
        <v>10</v>
      </c>
      <c r="K318" s="17" t="s">
        <v>24</v>
      </c>
      <c r="L318" s="24">
        <v>4623.84</v>
      </c>
      <c r="M318" s="24">
        <v>4659.3999999999996</v>
      </c>
      <c r="N318" s="34">
        <f>((sales_data_1[[#This Row],[Unit_Price]]*(1-sales_data_1[[#This Row],[Discount]]))-sales_data_1[[#This Row],[Unit_Cost]])*sales_data_1[[#This Row],[Quantity_Sold]]</f>
        <v>355.59999999999491</v>
      </c>
      <c r="O318" s="17" t="s">
        <v>27</v>
      </c>
      <c r="P318" s="26">
        <v>0</v>
      </c>
      <c r="Q318" s="17" t="s">
        <v>25</v>
      </c>
      <c r="R318" s="17" t="s">
        <v>21</v>
      </c>
      <c r="S318" s="49" t="str">
        <f t="shared" si="14"/>
        <v>David-East</v>
      </c>
      <c r="T318" s="59" t="str">
        <f>IF(ROUND(sales_data_1[[#This Row],[Profit_Margin]],2)=ROUND((sales_data_1[[#This Row],[Unit_Price]]*(1-sales_data_1[[#This Row],[Discount]]) - sales_data_1[[#This Row],[Unit_Cost]])*sales_data_1[[#This Row],[Quantity_Sold]],2), "PASS", "CHECK")</f>
        <v>PASS</v>
      </c>
    </row>
    <row r="319" spans="1:20" x14ac:dyDescent="0.35">
      <c r="A319" s="7">
        <v>318</v>
      </c>
      <c r="B319" s="9">
        <v>1007</v>
      </c>
      <c r="C319" s="7" t="str">
        <f>IFERROR(_xlfn.TEXTJOIN("-", TRUE, _xlfn.XLOOKUP(K319, product_category_id_lookup!$A$2:$A$5, product_category_id_lookup!$B$2:$B$5), B319), "Unknown Category")</f>
        <v>fd-1007</v>
      </c>
      <c r="D319" s="8">
        <v>44665</v>
      </c>
      <c r="E319" s="7">
        <f t="shared" si="12"/>
        <v>2022</v>
      </c>
      <c r="F319" s="28" t="str">
        <f t="shared" si="13"/>
        <v>Apr</v>
      </c>
      <c r="G319" s="17" t="s">
        <v>33</v>
      </c>
      <c r="H319" s="17" t="s">
        <v>23</v>
      </c>
      <c r="I319" s="24">
        <v>69382.17</v>
      </c>
      <c r="J319" s="32">
        <v>30</v>
      </c>
      <c r="K319" s="17" t="s">
        <v>24</v>
      </c>
      <c r="L319" s="24">
        <v>1955.68</v>
      </c>
      <c r="M319" s="24">
        <v>2569.71</v>
      </c>
      <c r="N319" s="34">
        <f>((sales_data_1[[#This Row],[Unit_Price]]*(1-sales_data_1[[#This Row],[Discount]]))-sales_data_1[[#This Row],[Unit_Cost]])*sales_data_1[[#This Row],[Quantity_Sold]]</f>
        <v>10711.769999999999</v>
      </c>
      <c r="O319" s="17" t="s">
        <v>17</v>
      </c>
      <c r="P319" s="26">
        <v>0.1</v>
      </c>
      <c r="Q319" s="17" t="s">
        <v>25</v>
      </c>
      <c r="R319" s="17" t="s">
        <v>19</v>
      </c>
      <c r="S319" s="49" t="str">
        <f t="shared" si="14"/>
        <v>Alice-South</v>
      </c>
      <c r="T319" s="59" t="str">
        <f>IF(ROUND(sales_data_1[[#This Row],[Profit_Margin]],2)=ROUND((sales_data_1[[#This Row],[Unit_Price]]*(1-sales_data_1[[#This Row],[Discount]]) - sales_data_1[[#This Row],[Unit_Cost]])*sales_data_1[[#This Row],[Quantity_Sold]],2), "PASS", "CHECK")</f>
        <v>PASS</v>
      </c>
    </row>
    <row r="320" spans="1:20" x14ac:dyDescent="0.35">
      <c r="A320" s="7">
        <v>319</v>
      </c>
      <c r="B320" s="9">
        <v>1058</v>
      </c>
      <c r="C320" s="7" t="str">
        <f>IFERROR(_xlfn.TEXTJOIN("-", TRUE, _xlfn.XLOOKUP(K320, product_category_id_lookup!$A$2:$A$5, product_category_id_lookup!$B$2:$B$5), B320), "Unknown Category")</f>
        <v>fd-1058</v>
      </c>
      <c r="D320" s="8">
        <v>44665</v>
      </c>
      <c r="E320" s="7">
        <f t="shared" si="12"/>
        <v>2022</v>
      </c>
      <c r="F320" s="28" t="str">
        <f t="shared" si="13"/>
        <v>Apr</v>
      </c>
      <c r="G320" s="17" t="s">
        <v>22</v>
      </c>
      <c r="H320" s="17" t="s">
        <v>15</v>
      </c>
      <c r="I320" s="24">
        <v>100421.36500000001</v>
      </c>
      <c r="J320" s="32">
        <v>22</v>
      </c>
      <c r="K320" s="17" t="s">
        <v>24</v>
      </c>
      <c r="L320" s="24">
        <v>3285.54</v>
      </c>
      <c r="M320" s="24">
        <v>4804.8500000000004</v>
      </c>
      <c r="N320" s="34">
        <f>((sales_data_1[[#This Row],[Unit_Price]]*(1-sales_data_1[[#This Row],[Discount]]))-sales_data_1[[#This Row],[Unit_Cost]])*sales_data_1[[#This Row],[Quantity_Sold]]</f>
        <v>28139.485000000001</v>
      </c>
      <c r="O320" s="17" t="s">
        <v>27</v>
      </c>
      <c r="P320" s="26">
        <v>0.05</v>
      </c>
      <c r="Q320" s="17" t="s">
        <v>18</v>
      </c>
      <c r="R320" s="17" t="s">
        <v>21</v>
      </c>
      <c r="S320" s="49" t="str">
        <f t="shared" si="14"/>
        <v>David-North</v>
      </c>
      <c r="T320" s="59" t="str">
        <f>IF(ROUND(sales_data_1[[#This Row],[Profit_Margin]],2)=ROUND((sales_data_1[[#This Row],[Unit_Price]]*(1-sales_data_1[[#This Row],[Discount]]) - sales_data_1[[#This Row],[Unit_Cost]])*sales_data_1[[#This Row],[Quantity_Sold]],2), "PASS", "CHECK")</f>
        <v>PASS</v>
      </c>
    </row>
    <row r="321" spans="1:20" x14ac:dyDescent="0.35">
      <c r="A321" s="7">
        <v>320</v>
      </c>
      <c r="B321" s="9">
        <v>1009</v>
      </c>
      <c r="C321" s="7" t="str">
        <f>IFERROR(_xlfn.TEXTJOIN("-", TRUE, _xlfn.XLOOKUP(K321, product_category_id_lookup!$A$2:$A$5, product_category_id_lookup!$B$2:$B$5), B321), "Unknown Category")</f>
        <v>fd-1009</v>
      </c>
      <c r="D321" s="8">
        <v>44665</v>
      </c>
      <c r="E321" s="7">
        <f t="shared" si="12"/>
        <v>2022</v>
      </c>
      <c r="F321" s="28" t="str">
        <f t="shared" si="13"/>
        <v>Apr</v>
      </c>
      <c r="G321" s="17" t="s">
        <v>22</v>
      </c>
      <c r="H321" s="17" t="s">
        <v>30</v>
      </c>
      <c r="I321" s="24">
        <v>149314.25599999999</v>
      </c>
      <c r="J321" s="32">
        <v>40</v>
      </c>
      <c r="K321" s="17" t="s">
        <v>24</v>
      </c>
      <c r="L321" s="24">
        <v>2289.2600000000002</v>
      </c>
      <c r="M321" s="24">
        <v>4102.04</v>
      </c>
      <c r="N321" s="34">
        <f>((sales_data_1[[#This Row],[Unit_Price]]*(1-sales_data_1[[#This Row],[Discount]]))-sales_data_1[[#This Row],[Unit_Cost]])*sales_data_1[[#This Row],[Quantity_Sold]]</f>
        <v>57743.856</v>
      </c>
      <c r="O321" s="17" t="s">
        <v>27</v>
      </c>
      <c r="P321" s="26">
        <v>0.09</v>
      </c>
      <c r="Q321" s="17" t="s">
        <v>25</v>
      </c>
      <c r="R321" s="17" t="s">
        <v>21</v>
      </c>
      <c r="S321" s="49" t="str">
        <f t="shared" si="14"/>
        <v>David-East</v>
      </c>
      <c r="T321" s="59" t="str">
        <f>IF(ROUND(sales_data_1[[#This Row],[Profit_Margin]],2)=ROUND((sales_data_1[[#This Row],[Unit_Price]]*(1-sales_data_1[[#This Row],[Discount]]) - sales_data_1[[#This Row],[Unit_Cost]])*sales_data_1[[#This Row],[Quantity_Sold]],2), "PASS", "CHECK")</f>
        <v>PASS</v>
      </c>
    </row>
    <row r="322" spans="1:20" x14ac:dyDescent="0.35">
      <c r="A322" s="7">
        <v>321</v>
      </c>
      <c r="B322" s="9">
        <v>1001</v>
      </c>
      <c r="C322" s="7" t="str">
        <f>IFERROR(_xlfn.TEXTJOIN("-", TRUE, _xlfn.XLOOKUP(K322, product_category_id_lookup!$A$2:$A$5, product_category_id_lookup!$B$2:$B$5), B322), "Unknown Category")</f>
        <v>fd-1001</v>
      </c>
      <c r="D322" s="8">
        <v>44666</v>
      </c>
      <c r="E322" s="7">
        <f t="shared" ref="E322:E385" si="15">YEAR(D322)</f>
        <v>2022</v>
      </c>
      <c r="F322" s="28" t="str">
        <f t="shared" ref="F322:F385" si="16">LEFT(TEXT(D322,"mmmm"),3)</f>
        <v>Apr</v>
      </c>
      <c r="G322" s="17" t="s">
        <v>22</v>
      </c>
      <c r="H322" s="17" t="s">
        <v>30</v>
      </c>
      <c r="I322" s="24">
        <v>5814.4068000000007</v>
      </c>
      <c r="J322" s="32">
        <v>6</v>
      </c>
      <c r="K322" s="17" t="s">
        <v>24</v>
      </c>
      <c r="L322" s="24">
        <v>576.69000000000005</v>
      </c>
      <c r="M322" s="24">
        <v>1181.79</v>
      </c>
      <c r="N322" s="34">
        <f>((sales_data_1[[#This Row],[Unit_Price]]*(1-sales_data_1[[#This Row],[Discount]]))-sales_data_1[[#This Row],[Unit_Cost]])*sales_data_1[[#This Row],[Quantity_Sold]]</f>
        <v>2354.2667999999999</v>
      </c>
      <c r="O322" s="17" t="s">
        <v>27</v>
      </c>
      <c r="P322" s="26">
        <v>0.18</v>
      </c>
      <c r="Q322" s="17" t="s">
        <v>25</v>
      </c>
      <c r="R322" s="17" t="s">
        <v>21</v>
      </c>
      <c r="S322" s="49" t="str">
        <f t="shared" ref="S322:S385" si="17">_xlfn.CONCAT(G322,"-",H322)</f>
        <v>David-East</v>
      </c>
      <c r="T322" s="59" t="str">
        <f>IF(ROUND(sales_data_1[[#This Row],[Profit_Margin]],2)=ROUND((sales_data_1[[#This Row],[Unit_Price]]*(1-sales_data_1[[#This Row],[Discount]]) - sales_data_1[[#This Row],[Unit_Cost]])*sales_data_1[[#This Row],[Quantity_Sold]],2), "PASS", "CHECK")</f>
        <v>PASS</v>
      </c>
    </row>
    <row r="323" spans="1:20" x14ac:dyDescent="0.35">
      <c r="A323" s="7">
        <v>322</v>
      </c>
      <c r="B323" s="9">
        <v>1011</v>
      </c>
      <c r="C323" s="7" t="str">
        <f>IFERROR(_xlfn.TEXTJOIN("-", TRUE, _xlfn.XLOOKUP(K323, product_category_id_lookup!$A$2:$A$5, product_category_id_lookup!$B$2:$B$5), B323), "Unknown Category")</f>
        <v>ctg-1011</v>
      </c>
      <c r="D323" s="8">
        <v>44666</v>
      </c>
      <c r="E323" s="7">
        <f t="shared" si="15"/>
        <v>2022</v>
      </c>
      <c r="F323" s="28" t="str">
        <f t="shared" si="16"/>
        <v>Apr</v>
      </c>
      <c r="G323" s="17" t="s">
        <v>22</v>
      </c>
      <c r="H323" s="17" t="s">
        <v>30</v>
      </c>
      <c r="I323" s="24">
        <v>72304.357499999984</v>
      </c>
      <c r="J323" s="32">
        <v>45</v>
      </c>
      <c r="K323" s="17" t="s">
        <v>26</v>
      </c>
      <c r="L323" s="24">
        <v>1470.6</v>
      </c>
      <c r="M323" s="24">
        <v>1691.33</v>
      </c>
      <c r="N323" s="34">
        <f>((sales_data_1[[#This Row],[Unit_Price]]*(1-sales_data_1[[#This Row],[Discount]]))-sales_data_1[[#This Row],[Unit_Cost]])*sales_data_1[[#This Row],[Quantity_Sold]]</f>
        <v>6127.3574999999946</v>
      </c>
      <c r="O323" s="17" t="s">
        <v>17</v>
      </c>
      <c r="P323" s="26">
        <v>0.05</v>
      </c>
      <c r="Q323" s="17" t="s">
        <v>25</v>
      </c>
      <c r="R323" s="17" t="s">
        <v>19</v>
      </c>
      <c r="S323" s="49" t="str">
        <f t="shared" si="17"/>
        <v>David-East</v>
      </c>
      <c r="T323" s="59" t="str">
        <f>IF(ROUND(sales_data_1[[#This Row],[Profit_Margin]],2)=ROUND((sales_data_1[[#This Row],[Unit_Price]]*(1-sales_data_1[[#This Row],[Discount]]) - sales_data_1[[#This Row],[Unit_Cost]])*sales_data_1[[#This Row],[Quantity_Sold]],2), "PASS", "CHECK")</f>
        <v>PASS</v>
      </c>
    </row>
    <row r="324" spans="1:20" x14ac:dyDescent="0.35">
      <c r="A324" s="7">
        <v>323</v>
      </c>
      <c r="B324" s="9">
        <v>1031</v>
      </c>
      <c r="C324" s="7" t="str">
        <f>IFERROR(_xlfn.TEXTJOIN("-", TRUE, _xlfn.XLOOKUP(K324, product_category_id_lookup!$A$2:$A$5, product_category_id_lookup!$B$2:$B$5), B324), "Unknown Category")</f>
        <v>etc-1031</v>
      </c>
      <c r="D324" s="8">
        <v>44666</v>
      </c>
      <c r="E324" s="7">
        <f t="shared" si="15"/>
        <v>2022</v>
      </c>
      <c r="F324" s="28" t="str">
        <f t="shared" si="16"/>
        <v>Apr</v>
      </c>
      <c r="G324" s="17" t="s">
        <v>22</v>
      </c>
      <c r="H324" s="17" t="s">
        <v>15</v>
      </c>
      <c r="I324" s="24">
        <v>162880.85116234876</v>
      </c>
      <c r="J324" s="32">
        <v>38</v>
      </c>
      <c r="K324" s="17" t="s">
        <v>31</v>
      </c>
      <c r="L324" s="24">
        <v>4104.57</v>
      </c>
      <c r="M324" s="24">
        <v>4385.47</v>
      </c>
      <c r="N324" s="34">
        <f>((sales_data_1[[#This Row],[Unit_Price]]*(1-sales_data_1[[#This Row],[Discount]]))-sales_data_1[[#This Row],[Unit_Cost]])*sales_data_1[[#This Row],[Quantity_Sold]]</f>
        <v>7341.2428000000309</v>
      </c>
      <c r="O324" s="17" t="s">
        <v>27</v>
      </c>
      <c r="P324" s="26">
        <v>0.02</v>
      </c>
      <c r="Q324" s="17" t="s">
        <v>25</v>
      </c>
      <c r="R324" s="17" t="s">
        <v>21</v>
      </c>
      <c r="S324" s="49" t="str">
        <f t="shared" si="17"/>
        <v>David-North</v>
      </c>
      <c r="T324" s="59" t="str">
        <f>IF(ROUND(sales_data_1[[#This Row],[Profit_Margin]],2)=ROUND((sales_data_1[[#This Row],[Unit_Price]]*(1-sales_data_1[[#This Row],[Discount]]) - sales_data_1[[#This Row],[Unit_Cost]])*sales_data_1[[#This Row],[Quantity_Sold]],2), "PASS", "CHECK")</f>
        <v>PASS</v>
      </c>
    </row>
    <row r="325" spans="1:20" x14ac:dyDescent="0.35">
      <c r="A325" s="7">
        <v>324</v>
      </c>
      <c r="B325" s="9">
        <v>1038</v>
      </c>
      <c r="C325" s="7" t="str">
        <f>IFERROR(_xlfn.TEXTJOIN("-", TRUE, _xlfn.XLOOKUP(K325, product_category_id_lookup!$A$2:$A$5, product_category_id_lookup!$B$2:$B$5), B325), "Unknown Category")</f>
        <v>ctg-1038</v>
      </c>
      <c r="D325" s="8">
        <v>44666</v>
      </c>
      <c r="E325" s="7">
        <f t="shared" si="15"/>
        <v>2022</v>
      </c>
      <c r="F325" s="28" t="str">
        <f t="shared" si="16"/>
        <v>Apr</v>
      </c>
      <c r="G325" s="17" t="s">
        <v>22</v>
      </c>
      <c r="H325" s="17" t="s">
        <v>15</v>
      </c>
      <c r="I325" s="24">
        <v>37812.874000000003</v>
      </c>
      <c r="J325" s="32">
        <v>11</v>
      </c>
      <c r="K325" s="17" t="s">
        <v>26</v>
      </c>
      <c r="L325" s="24">
        <v>1613.51</v>
      </c>
      <c r="M325" s="24">
        <v>3736.45</v>
      </c>
      <c r="N325" s="34">
        <f>((sales_data_1[[#This Row],[Unit_Price]]*(1-sales_data_1[[#This Row],[Discount]]))-sales_data_1[[#This Row],[Unit_Cost]])*sales_data_1[[#This Row],[Quantity_Sold]]</f>
        <v>20064.264000000003</v>
      </c>
      <c r="O325" s="17" t="s">
        <v>27</v>
      </c>
      <c r="P325" s="26">
        <v>0.08</v>
      </c>
      <c r="Q325" s="17" t="s">
        <v>28</v>
      </c>
      <c r="R325" s="17" t="s">
        <v>19</v>
      </c>
      <c r="S325" s="49" t="str">
        <f t="shared" si="17"/>
        <v>David-North</v>
      </c>
      <c r="T325" s="59" t="str">
        <f>IF(ROUND(sales_data_1[[#This Row],[Profit_Margin]],2)=ROUND((sales_data_1[[#This Row],[Unit_Price]]*(1-sales_data_1[[#This Row],[Discount]]) - sales_data_1[[#This Row],[Unit_Cost]])*sales_data_1[[#This Row],[Quantity_Sold]],2), "PASS", "CHECK")</f>
        <v>PASS</v>
      </c>
    </row>
    <row r="326" spans="1:20" x14ac:dyDescent="0.35">
      <c r="A326" s="7">
        <v>325</v>
      </c>
      <c r="B326" s="9">
        <v>1053</v>
      </c>
      <c r="C326" s="7" t="str">
        <f>IFERROR(_xlfn.TEXTJOIN("-", TRUE, _xlfn.XLOOKUP(K326, product_category_id_lookup!$A$2:$A$5, product_category_id_lookup!$B$2:$B$5), B326), "Unknown Category")</f>
        <v>etc-1053</v>
      </c>
      <c r="D326" s="8">
        <v>44666</v>
      </c>
      <c r="E326" s="7">
        <f t="shared" si="15"/>
        <v>2022</v>
      </c>
      <c r="F326" s="28" t="str">
        <f t="shared" si="16"/>
        <v>Apr</v>
      </c>
      <c r="G326" s="17" t="s">
        <v>22</v>
      </c>
      <c r="H326" s="17" t="s">
        <v>15</v>
      </c>
      <c r="I326" s="24">
        <v>99435.953099999999</v>
      </c>
      <c r="J326" s="32">
        <v>33</v>
      </c>
      <c r="K326" s="17" t="s">
        <v>31</v>
      </c>
      <c r="L326" s="24">
        <v>174.81</v>
      </c>
      <c r="M326" s="24">
        <v>3385.63</v>
      </c>
      <c r="N326" s="34">
        <f>((sales_data_1[[#This Row],[Unit_Price]]*(1-sales_data_1[[#This Row],[Discount]]))-sales_data_1[[#This Row],[Unit_Cost]])*sales_data_1[[#This Row],[Quantity_Sold]]</f>
        <v>93667.223100000003</v>
      </c>
      <c r="O326" s="17" t="s">
        <v>27</v>
      </c>
      <c r="P326" s="26">
        <v>0.11</v>
      </c>
      <c r="Q326" s="17" t="s">
        <v>28</v>
      </c>
      <c r="R326" s="17" t="s">
        <v>19</v>
      </c>
      <c r="S326" s="49" t="str">
        <f t="shared" si="17"/>
        <v>David-North</v>
      </c>
      <c r="T326" s="59" t="str">
        <f>IF(ROUND(sales_data_1[[#This Row],[Profit_Margin]],2)=ROUND((sales_data_1[[#This Row],[Unit_Price]]*(1-sales_data_1[[#This Row],[Discount]]) - sales_data_1[[#This Row],[Unit_Cost]])*sales_data_1[[#This Row],[Quantity_Sold]],2), "PASS", "CHECK")</f>
        <v>PASS</v>
      </c>
    </row>
    <row r="327" spans="1:20" x14ac:dyDescent="0.35">
      <c r="A327" s="7">
        <v>326</v>
      </c>
      <c r="B327" s="9">
        <v>1007</v>
      </c>
      <c r="C327" s="7" t="str">
        <f>IFERROR(_xlfn.TEXTJOIN("-", TRUE, _xlfn.XLOOKUP(K327, product_category_id_lookup!$A$2:$A$5, product_category_id_lookup!$B$2:$B$5), B327), "Unknown Category")</f>
        <v>fnt-1007</v>
      </c>
      <c r="D327" s="8">
        <v>44666</v>
      </c>
      <c r="E327" s="7">
        <f t="shared" si="15"/>
        <v>2022</v>
      </c>
      <c r="F327" s="28" t="str">
        <f t="shared" si="16"/>
        <v>Apr</v>
      </c>
      <c r="G327" s="17" t="s">
        <v>32</v>
      </c>
      <c r="H327" s="17" t="s">
        <v>23</v>
      </c>
      <c r="I327" s="24">
        <v>115064.9676</v>
      </c>
      <c r="J327" s="32">
        <v>33</v>
      </c>
      <c r="K327" s="17" t="s">
        <v>16</v>
      </c>
      <c r="L327" s="24">
        <v>571.80999999999995</v>
      </c>
      <c r="M327" s="24">
        <v>3709.38</v>
      </c>
      <c r="N327" s="34">
        <f>((sales_data_1[[#This Row],[Unit_Price]]*(1-sales_data_1[[#This Row],[Discount]]))-sales_data_1[[#This Row],[Unit_Cost]])*sales_data_1[[#This Row],[Quantity_Sold]]</f>
        <v>96195.237599999993</v>
      </c>
      <c r="O327" s="17" t="s">
        <v>17</v>
      </c>
      <c r="P327" s="26">
        <v>0.06</v>
      </c>
      <c r="Q327" s="17" t="s">
        <v>28</v>
      </c>
      <c r="R327" s="17" t="s">
        <v>21</v>
      </c>
      <c r="S327" s="49" t="str">
        <f t="shared" si="17"/>
        <v>Eve-South</v>
      </c>
      <c r="T327" s="59" t="str">
        <f>IF(ROUND(sales_data_1[[#This Row],[Profit_Margin]],2)=ROUND((sales_data_1[[#This Row],[Unit_Price]]*(1-sales_data_1[[#This Row],[Discount]]) - sales_data_1[[#This Row],[Unit_Cost]])*sales_data_1[[#This Row],[Quantity_Sold]],2), "PASS", "CHECK")</f>
        <v>PASS</v>
      </c>
    </row>
    <row r="328" spans="1:20" x14ac:dyDescent="0.35">
      <c r="A328" s="7">
        <v>327</v>
      </c>
      <c r="B328" s="9">
        <v>1039</v>
      </c>
      <c r="C328" s="7" t="str">
        <f>IFERROR(_xlfn.TEXTJOIN("-", TRUE, _xlfn.XLOOKUP(K328, product_category_id_lookup!$A$2:$A$5, product_category_id_lookup!$B$2:$B$5), B328), "Unknown Category")</f>
        <v>etc-1039</v>
      </c>
      <c r="D328" s="8">
        <v>44667</v>
      </c>
      <c r="E328" s="7">
        <f t="shared" si="15"/>
        <v>2022</v>
      </c>
      <c r="F328" s="28" t="str">
        <f t="shared" si="16"/>
        <v>Apr</v>
      </c>
      <c r="G328" s="17" t="s">
        <v>22</v>
      </c>
      <c r="H328" s="17" t="s">
        <v>30</v>
      </c>
      <c r="I328" s="24">
        <v>8424.0636000000013</v>
      </c>
      <c r="J328" s="32">
        <v>3</v>
      </c>
      <c r="K328" s="17" t="s">
        <v>31</v>
      </c>
      <c r="L328" s="24">
        <v>2711.31</v>
      </c>
      <c r="M328" s="24">
        <v>3155.08</v>
      </c>
      <c r="N328" s="34">
        <f>((sales_data_1[[#This Row],[Unit_Price]]*(1-sales_data_1[[#This Row],[Discount]]))-sales_data_1[[#This Row],[Unit_Cost]])*sales_data_1[[#This Row],[Quantity_Sold]]</f>
        <v>290.13360000000057</v>
      </c>
      <c r="O328" s="17" t="s">
        <v>27</v>
      </c>
      <c r="P328" s="26">
        <v>0.11</v>
      </c>
      <c r="Q328" s="17" t="s">
        <v>25</v>
      </c>
      <c r="R328" s="17" t="s">
        <v>19</v>
      </c>
      <c r="S328" s="49" t="str">
        <f t="shared" si="17"/>
        <v>David-East</v>
      </c>
      <c r="T328" s="59" t="str">
        <f>IF(ROUND(sales_data_1[[#This Row],[Profit_Margin]],2)=ROUND((sales_data_1[[#This Row],[Unit_Price]]*(1-sales_data_1[[#This Row],[Discount]]) - sales_data_1[[#This Row],[Unit_Cost]])*sales_data_1[[#This Row],[Quantity_Sold]],2), "PASS", "CHECK")</f>
        <v>PASS</v>
      </c>
    </row>
    <row r="329" spans="1:20" x14ac:dyDescent="0.35">
      <c r="A329" s="7">
        <v>328</v>
      </c>
      <c r="B329" s="9">
        <v>1007</v>
      </c>
      <c r="C329" s="7" t="str">
        <f>IFERROR(_xlfn.TEXTJOIN("-", TRUE, _xlfn.XLOOKUP(K329, product_category_id_lookup!$A$2:$A$5, product_category_id_lookup!$B$2:$B$5), B329), "Unknown Category")</f>
        <v>fnt-1007</v>
      </c>
      <c r="D329" s="8">
        <v>44667</v>
      </c>
      <c r="E329" s="7">
        <f t="shared" si="15"/>
        <v>2022</v>
      </c>
      <c r="F329" s="28" t="str">
        <f t="shared" si="16"/>
        <v>Apr</v>
      </c>
      <c r="G329" s="17" t="s">
        <v>33</v>
      </c>
      <c r="H329" s="17" t="s">
        <v>20</v>
      </c>
      <c r="I329" s="24">
        <v>25355.586634820142</v>
      </c>
      <c r="J329" s="32">
        <v>18</v>
      </c>
      <c r="K329" s="17" t="s">
        <v>16</v>
      </c>
      <c r="L329" s="24">
        <v>1372.98</v>
      </c>
      <c r="M329" s="24">
        <v>1425.67</v>
      </c>
      <c r="N329" s="34">
        <f>((sales_data_1[[#This Row],[Unit_Price]]*(1-sales_data_1[[#This Row],[Discount]]))-sales_data_1[[#This Row],[Unit_Cost]])*sales_data_1[[#This Row],[Quantity_Sold]]</f>
        <v>691.79940000000261</v>
      </c>
      <c r="O329" s="17" t="s">
        <v>17</v>
      </c>
      <c r="P329" s="26">
        <v>0.01</v>
      </c>
      <c r="Q329" s="17" t="s">
        <v>28</v>
      </c>
      <c r="R329" s="17" t="s">
        <v>21</v>
      </c>
      <c r="S329" s="49" t="str">
        <f t="shared" si="17"/>
        <v>Alice-West</v>
      </c>
      <c r="T329" s="59" t="str">
        <f>IF(ROUND(sales_data_1[[#This Row],[Profit_Margin]],2)=ROUND((sales_data_1[[#This Row],[Unit_Price]]*(1-sales_data_1[[#This Row],[Discount]]) - sales_data_1[[#This Row],[Unit_Cost]])*sales_data_1[[#This Row],[Quantity_Sold]],2), "PASS", "CHECK")</f>
        <v>PASS</v>
      </c>
    </row>
    <row r="330" spans="1:20" x14ac:dyDescent="0.35">
      <c r="A330" s="7">
        <v>329</v>
      </c>
      <c r="B330" s="9">
        <v>1084</v>
      </c>
      <c r="C330" s="7" t="str">
        <f>IFERROR(_xlfn.TEXTJOIN("-", TRUE, _xlfn.XLOOKUP(K330, product_category_id_lookup!$A$2:$A$5, product_category_id_lookup!$B$2:$B$5), B330), "Unknown Category")</f>
        <v>fnt-1084</v>
      </c>
      <c r="D330" s="8">
        <v>44667</v>
      </c>
      <c r="E330" s="7">
        <f t="shared" si="15"/>
        <v>2022</v>
      </c>
      <c r="F330" s="28" t="str">
        <f t="shared" si="16"/>
        <v>Apr</v>
      </c>
      <c r="G330" s="17" t="s">
        <v>32</v>
      </c>
      <c r="H330" s="17" t="s">
        <v>23</v>
      </c>
      <c r="I330" s="24">
        <v>93203.453627054725</v>
      </c>
      <c r="J330" s="32">
        <v>25</v>
      </c>
      <c r="K330" s="17" t="s">
        <v>16</v>
      </c>
      <c r="L330" s="24">
        <v>3547.88</v>
      </c>
      <c r="M330" s="24">
        <v>3783.8</v>
      </c>
      <c r="N330" s="34">
        <f>((sales_data_1[[#This Row],[Unit_Price]]*(1-sales_data_1[[#This Row],[Discount]]))-sales_data_1[[#This Row],[Unit_Cost]])*sales_data_1[[#This Row],[Quantity_Sold]]</f>
        <v>4952.0499999999975</v>
      </c>
      <c r="O330" s="17" t="s">
        <v>17</v>
      </c>
      <c r="P330" s="26">
        <v>0.01</v>
      </c>
      <c r="Q330" s="17" t="s">
        <v>18</v>
      </c>
      <c r="R330" s="17" t="s">
        <v>21</v>
      </c>
      <c r="S330" s="49" t="str">
        <f t="shared" si="17"/>
        <v>Eve-South</v>
      </c>
      <c r="T330" s="59" t="str">
        <f>IF(ROUND(sales_data_1[[#This Row],[Profit_Margin]],2)=ROUND((sales_data_1[[#This Row],[Unit_Price]]*(1-sales_data_1[[#This Row],[Discount]]) - sales_data_1[[#This Row],[Unit_Cost]])*sales_data_1[[#This Row],[Quantity_Sold]],2), "PASS", "CHECK")</f>
        <v>PASS</v>
      </c>
    </row>
    <row r="331" spans="1:20" x14ac:dyDescent="0.35">
      <c r="A331" s="7">
        <v>330</v>
      </c>
      <c r="B331" s="9">
        <v>1027</v>
      </c>
      <c r="C331" s="7" t="str">
        <f>IFERROR(_xlfn.TEXTJOIN("-", TRUE, _xlfn.XLOOKUP(K331, product_category_id_lookup!$A$2:$A$5, product_category_id_lookup!$B$2:$B$5), B331), "Unknown Category")</f>
        <v>fnt-1027</v>
      </c>
      <c r="D331" s="8">
        <v>44667</v>
      </c>
      <c r="E331" s="7">
        <f t="shared" si="15"/>
        <v>2022</v>
      </c>
      <c r="F331" s="28" t="str">
        <f t="shared" si="16"/>
        <v>Apr</v>
      </c>
      <c r="G331" s="17" t="s">
        <v>14</v>
      </c>
      <c r="H331" s="17" t="s">
        <v>20</v>
      </c>
      <c r="I331" s="24">
        <v>14963.671200000001</v>
      </c>
      <c r="J331" s="32">
        <v>3</v>
      </c>
      <c r="K331" s="17" t="s">
        <v>16</v>
      </c>
      <c r="L331" s="24">
        <v>2327.59</v>
      </c>
      <c r="M331" s="24">
        <v>5421.62</v>
      </c>
      <c r="N331" s="34">
        <f>((sales_data_1[[#This Row],[Unit_Price]]*(1-sales_data_1[[#This Row],[Discount]]))-sales_data_1[[#This Row],[Unit_Cost]])*sales_data_1[[#This Row],[Quantity_Sold]]</f>
        <v>7980.9012000000002</v>
      </c>
      <c r="O331" s="17" t="s">
        <v>17</v>
      </c>
      <c r="P331" s="26">
        <v>0.08</v>
      </c>
      <c r="Q331" s="17" t="s">
        <v>28</v>
      </c>
      <c r="R331" s="17" t="s">
        <v>21</v>
      </c>
      <c r="S331" s="49" t="str">
        <f t="shared" si="17"/>
        <v>Bob-West</v>
      </c>
      <c r="T331" s="59" t="str">
        <f>IF(ROUND(sales_data_1[[#This Row],[Profit_Margin]],2)=ROUND((sales_data_1[[#This Row],[Unit_Price]]*(1-sales_data_1[[#This Row],[Discount]]) - sales_data_1[[#This Row],[Unit_Cost]])*sales_data_1[[#This Row],[Quantity_Sold]],2), "PASS", "CHECK")</f>
        <v>PASS</v>
      </c>
    </row>
    <row r="332" spans="1:20" x14ac:dyDescent="0.35">
      <c r="A332" s="7">
        <v>331</v>
      </c>
      <c r="B332" s="9">
        <v>1083</v>
      </c>
      <c r="C332" s="7" t="str">
        <f>IFERROR(_xlfn.TEXTJOIN("-", TRUE, _xlfn.XLOOKUP(K332, product_category_id_lookup!$A$2:$A$5, product_category_id_lookup!$B$2:$B$5), B332), "Unknown Category")</f>
        <v>etc-1083</v>
      </c>
      <c r="D332" s="8">
        <v>44667</v>
      </c>
      <c r="E332" s="7">
        <f t="shared" si="15"/>
        <v>2022</v>
      </c>
      <c r="F332" s="28" t="str">
        <f t="shared" si="16"/>
        <v>Apr</v>
      </c>
      <c r="G332" s="17" t="s">
        <v>29</v>
      </c>
      <c r="H332" s="17" t="s">
        <v>23</v>
      </c>
      <c r="I332" s="24">
        <v>20942.960500000001</v>
      </c>
      <c r="J332" s="32">
        <v>5</v>
      </c>
      <c r="K332" s="17" t="s">
        <v>31</v>
      </c>
      <c r="L332" s="24">
        <v>1037.1099999999999</v>
      </c>
      <c r="M332" s="24">
        <v>5439.73</v>
      </c>
      <c r="N332" s="34">
        <f>((sales_data_1[[#This Row],[Unit_Price]]*(1-sales_data_1[[#This Row],[Discount]]))-sales_data_1[[#This Row],[Unit_Cost]])*sales_data_1[[#This Row],[Quantity_Sold]]</f>
        <v>15757.410500000002</v>
      </c>
      <c r="O332" s="17" t="s">
        <v>17</v>
      </c>
      <c r="P332" s="26">
        <v>0.23</v>
      </c>
      <c r="Q332" s="17" t="s">
        <v>28</v>
      </c>
      <c r="R332" s="17" t="s">
        <v>19</v>
      </c>
      <c r="S332" s="49" t="str">
        <f t="shared" si="17"/>
        <v>Charlie-South</v>
      </c>
      <c r="T332" s="59" t="str">
        <f>IF(ROUND(sales_data_1[[#This Row],[Profit_Margin]],2)=ROUND((sales_data_1[[#This Row],[Unit_Price]]*(1-sales_data_1[[#This Row],[Discount]]) - sales_data_1[[#This Row],[Unit_Cost]])*sales_data_1[[#This Row],[Quantity_Sold]],2), "PASS", "CHECK")</f>
        <v>PASS</v>
      </c>
    </row>
    <row r="333" spans="1:20" x14ac:dyDescent="0.35">
      <c r="A333" s="7">
        <v>332</v>
      </c>
      <c r="B333" s="9">
        <v>1075</v>
      </c>
      <c r="C333" s="7" t="str">
        <f>IFERROR(_xlfn.TEXTJOIN("-", TRUE, _xlfn.XLOOKUP(K333, product_category_id_lookup!$A$2:$A$5, product_category_id_lookup!$B$2:$B$5), B333), "Unknown Category")</f>
        <v>fnt-1075</v>
      </c>
      <c r="D333" s="8">
        <v>44667</v>
      </c>
      <c r="E333" s="7">
        <f t="shared" si="15"/>
        <v>2022</v>
      </c>
      <c r="F333" s="28" t="str">
        <f t="shared" si="16"/>
        <v>Apr</v>
      </c>
      <c r="G333" s="17" t="s">
        <v>32</v>
      </c>
      <c r="H333" s="17" t="s">
        <v>23</v>
      </c>
      <c r="I333" s="24">
        <v>166506.704</v>
      </c>
      <c r="J333" s="32">
        <v>49</v>
      </c>
      <c r="K333" s="17" t="s">
        <v>16</v>
      </c>
      <c r="L333" s="24">
        <v>3053</v>
      </c>
      <c r="M333" s="24">
        <v>3997.76</v>
      </c>
      <c r="N333" s="34">
        <f>((sales_data_1[[#This Row],[Unit_Price]]*(1-sales_data_1[[#This Row],[Discount]]))-sales_data_1[[#This Row],[Unit_Cost]])*sales_data_1[[#This Row],[Quantity_Sold]]</f>
        <v>16909.704000000002</v>
      </c>
      <c r="O333" s="17" t="s">
        <v>17</v>
      </c>
      <c r="P333" s="26">
        <v>0.15</v>
      </c>
      <c r="Q333" s="17" t="s">
        <v>25</v>
      </c>
      <c r="R333" s="17" t="s">
        <v>21</v>
      </c>
      <c r="S333" s="49" t="str">
        <f t="shared" si="17"/>
        <v>Eve-South</v>
      </c>
      <c r="T333" s="59" t="str">
        <f>IF(ROUND(sales_data_1[[#This Row],[Profit_Margin]],2)=ROUND((sales_data_1[[#This Row],[Unit_Price]]*(1-sales_data_1[[#This Row],[Discount]]) - sales_data_1[[#This Row],[Unit_Cost]])*sales_data_1[[#This Row],[Quantity_Sold]],2), "PASS", "CHECK")</f>
        <v>PASS</v>
      </c>
    </row>
    <row r="334" spans="1:20" x14ac:dyDescent="0.35">
      <c r="A334" s="7">
        <v>333</v>
      </c>
      <c r="B334" s="9">
        <v>1050</v>
      </c>
      <c r="C334" s="7" t="str">
        <f>IFERROR(_xlfn.TEXTJOIN("-", TRUE, _xlfn.XLOOKUP(K334, product_category_id_lookup!$A$2:$A$5, product_category_id_lookup!$B$2:$B$5), B334), "Unknown Category")</f>
        <v>etc-1050</v>
      </c>
      <c r="D334" s="8">
        <v>44667</v>
      </c>
      <c r="E334" s="7">
        <f t="shared" si="15"/>
        <v>2022</v>
      </c>
      <c r="F334" s="28" t="str">
        <f t="shared" si="16"/>
        <v>Apr</v>
      </c>
      <c r="G334" s="17" t="s">
        <v>14</v>
      </c>
      <c r="H334" s="17" t="s">
        <v>15</v>
      </c>
      <c r="I334" s="24">
        <v>65785.508799999996</v>
      </c>
      <c r="J334" s="32">
        <v>19</v>
      </c>
      <c r="K334" s="17" t="s">
        <v>31</v>
      </c>
      <c r="L334" s="24">
        <v>1538.06</v>
      </c>
      <c r="M334" s="24">
        <v>3934.54</v>
      </c>
      <c r="N334" s="34">
        <f>((sales_data_1[[#This Row],[Unit_Price]]*(1-sales_data_1[[#This Row],[Discount]]))-sales_data_1[[#This Row],[Unit_Cost]])*sales_data_1[[#This Row],[Quantity_Sold]]</f>
        <v>36562.368799999997</v>
      </c>
      <c r="O334" s="17" t="s">
        <v>27</v>
      </c>
      <c r="P334" s="26">
        <v>0.12</v>
      </c>
      <c r="Q334" s="17" t="s">
        <v>25</v>
      </c>
      <c r="R334" s="17" t="s">
        <v>19</v>
      </c>
      <c r="S334" s="49" t="str">
        <f t="shared" si="17"/>
        <v>Bob-North</v>
      </c>
      <c r="T334" s="59" t="str">
        <f>IF(ROUND(sales_data_1[[#This Row],[Profit_Margin]],2)=ROUND((sales_data_1[[#This Row],[Unit_Price]]*(1-sales_data_1[[#This Row],[Discount]]) - sales_data_1[[#This Row],[Unit_Cost]])*sales_data_1[[#This Row],[Quantity_Sold]],2), "PASS", "CHECK")</f>
        <v>PASS</v>
      </c>
    </row>
    <row r="335" spans="1:20" x14ac:dyDescent="0.35">
      <c r="A335" s="7">
        <v>334</v>
      </c>
      <c r="B335" s="9">
        <v>1051</v>
      </c>
      <c r="C335" s="7" t="str">
        <f>IFERROR(_xlfn.TEXTJOIN("-", TRUE, _xlfn.XLOOKUP(K335, product_category_id_lookup!$A$2:$A$5, product_category_id_lookup!$B$2:$B$5), B335), "Unknown Category")</f>
        <v>fnt-1051</v>
      </c>
      <c r="D335" s="8">
        <v>44667</v>
      </c>
      <c r="E335" s="7">
        <f t="shared" si="15"/>
        <v>2022</v>
      </c>
      <c r="F335" s="28" t="str">
        <f t="shared" si="16"/>
        <v>Apr</v>
      </c>
      <c r="G335" s="17" t="s">
        <v>14</v>
      </c>
      <c r="H335" s="17" t="s">
        <v>15</v>
      </c>
      <c r="I335" s="24">
        <v>184789.02540000001</v>
      </c>
      <c r="J335" s="32">
        <v>49</v>
      </c>
      <c r="K335" s="17" t="s">
        <v>16</v>
      </c>
      <c r="L335" s="24">
        <v>1768.45</v>
      </c>
      <c r="M335" s="24">
        <v>4599.03</v>
      </c>
      <c r="N335" s="34">
        <f>((sales_data_1[[#This Row],[Unit_Price]]*(1-sales_data_1[[#This Row],[Discount]]))-sales_data_1[[#This Row],[Unit_Cost]])*sales_data_1[[#This Row],[Quantity_Sold]]</f>
        <v>98134.975399999996</v>
      </c>
      <c r="O335" s="17" t="s">
        <v>27</v>
      </c>
      <c r="P335" s="26">
        <v>0.18</v>
      </c>
      <c r="Q335" s="17" t="s">
        <v>25</v>
      </c>
      <c r="R335" s="17" t="s">
        <v>21</v>
      </c>
      <c r="S335" s="49" t="str">
        <f t="shared" si="17"/>
        <v>Bob-North</v>
      </c>
      <c r="T335" s="59" t="str">
        <f>IF(ROUND(sales_data_1[[#This Row],[Profit_Margin]],2)=ROUND((sales_data_1[[#This Row],[Unit_Price]]*(1-sales_data_1[[#This Row],[Discount]]) - sales_data_1[[#This Row],[Unit_Cost]])*sales_data_1[[#This Row],[Quantity_Sold]],2), "PASS", "CHECK")</f>
        <v>PASS</v>
      </c>
    </row>
    <row r="336" spans="1:20" x14ac:dyDescent="0.35">
      <c r="A336" s="7">
        <v>335</v>
      </c>
      <c r="B336" s="9">
        <v>1059</v>
      </c>
      <c r="C336" s="7" t="str">
        <f>IFERROR(_xlfn.TEXTJOIN("-", TRUE, _xlfn.XLOOKUP(K336, product_category_id_lookup!$A$2:$A$5, product_category_id_lookup!$B$2:$B$5), B336), "Unknown Category")</f>
        <v>fnt-1059</v>
      </c>
      <c r="D336" s="8">
        <v>44668</v>
      </c>
      <c r="E336" s="7">
        <f t="shared" si="15"/>
        <v>2022</v>
      </c>
      <c r="F336" s="28" t="str">
        <f t="shared" si="16"/>
        <v>Apr</v>
      </c>
      <c r="G336" s="17" t="s">
        <v>32</v>
      </c>
      <c r="H336" s="17" t="s">
        <v>15</v>
      </c>
      <c r="I336" s="24">
        <v>4736.1815999999999</v>
      </c>
      <c r="J336" s="32">
        <v>3</v>
      </c>
      <c r="K336" s="17" t="s">
        <v>16</v>
      </c>
      <c r="L336" s="24">
        <v>1352.33</v>
      </c>
      <c r="M336" s="24">
        <v>2162.64</v>
      </c>
      <c r="N336" s="34">
        <f>((sales_data_1[[#This Row],[Unit_Price]]*(1-sales_data_1[[#This Row],[Discount]]))-sales_data_1[[#This Row],[Unit_Cost]])*sales_data_1[[#This Row],[Quantity_Sold]]</f>
        <v>679.19159999999965</v>
      </c>
      <c r="O336" s="17" t="s">
        <v>27</v>
      </c>
      <c r="P336" s="26">
        <v>0.27</v>
      </c>
      <c r="Q336" s="17" t="s">
        <v>18</v>
      </c>
      <c r="R336" s="17" t="s">
        <v>19</v>
      </c>
      <c r="S336" s="49" t="str">
        <f t="shared" si="17"/>
        <v>Eve-North</v>
      </c>
      <c r="T336" s="59" t="str">
        <f>IF(ROUND(sales_data_1[[#This Row],[Profit_Margin]],2)=ROUND((sales_data_1[[#This Row],[Unit_Price]]*(1-sales_data_1[[#This Row],[Discount]]) - sales_data_1[[#This Row],[Unit_Cost]])*sales_data_1[[#This Row],[Quantity_Sold]],2), "PASS", "CHECK")</f>
        <v>PASS</v>
      </c>
    </row>
    <row r="337" spans="1:20" x14ac:dyDescent="0.35">
      <c r="A337" s="7">
        <v>336</v>
      </c>
      <c r="B337" s="9">
        <v>1094</v>
      </c>
      <c r="C337" s="7" t="str">
        <f>IFERROR(_xlfn.TEXTJOIN("-", TRUE, _xlfn.XLOOKUP(K337, product_category_id_lookup!$A$2:$A$5, product_category_id_lookup!$B$2:$B$5), B337), "Unknown Category")</f>
        <v>fd-1094</v>
      </c>
      <c r="D337" s="8">
        <v>44668</v>
      </c>
      <c r="E337" s="7">
        <f t="shared" si="15"/>
        <v>2022</v>
      </c>
      <c r="F337" s="28" t="str">
        <f t="shared" si="16"/>
        <v>Apr</v>
      </c>
      <c r="G337" s="17" t="s">
        <v>29</v>
      </c>
      <c r="H337" s="17" t="s">
        <v>15</v>
      </c>
      <c r="I337" s="24">
        <v>58501.500799999994</v>
      </c>
      <c r="J337" s="32">
        <v>16</v>
      </c>
      <c r="K337" s="17" t="s">
        <v>24</v>
      </c>
      <c r="L337" s="24">
        <v>1629.69</v>
      </c>
      <c r="M337" s="24">
        <v>5149.78</v>
      </c>
      <c r="N337" s="34">
        <f>((sales_data_1[[#This Row],[Unit_Price]]*(1-sales_data_1[[#This Row],[Discount]]))-sales_data_1[[#This Row],[Unit_Cost]])*sales_data_1[[#This Row],[Quantity_Sold]]</f>
        <v>32426.460799999993</v>
      </c>
      <c r="O337" s="17" t="s">
        <v>27</v>
      </c>
      <c r="P337" s="26">
        <v>0.28999999999999998</v>
      </c>
      <c r="Q337" s="17" t="s">
        <v>18</v>
      </c>
      <c r="R337" s="17" t="s">
        <v>21</v>
      </c>
      <c r="S337" s="49" t="str">
        <f t="shared" si="17"/>
        <v>Charlie-North</v>
      </c>
      <c r="T337" s="59" t="str">
        <f>IF(ROUND(sales_data_1[[#This Row],[Profit_Margin]],2)=ROUND((sales_data_1[[#This Row],[Unit_Price]]*(1-sales_data_1[[#This Row],[Discount]]) - sales_data_1[[#This Row],[Unit_Cost]])*sales_data_1[[#This Row],[Quantity_Sold]],2), "PASS", "CHECK")</f>
        <v>PASS</v>
      </c>
    </row>
    <row r="338" spans="1:20" x14ac:dyDescent="0.35">
      <c r="A338" s="7">
        <v>337</v>
      </c>
      <c r="B338" s="9">
        <v>1013</v>
      </c>
      <c r="C338" s="7" t="str">
        <f>IFERROR(_xlfn.TEXTJOIN("-", TRUE, _xlfn.XLOOKUP(K338, product_category_id_lookup!$A$2:$A$5, product_category_id_lookup!$B$2:$B$5), B338), "Unknown Category")</f>
        <v>etc-1013</v>
      </c>
      <c r="D338" s="8">
        <v>44668</v>
      </c>
      <c r="E338" s="7">
        <f t="shared" si="15"/>
        <v>2022</v>
      </c>
      <c r="F338" s="28" t="str">
        <f t="shared" si="16"/>
        <v>Apr</v>
      </c>
      <c r="G338" s="17" t="s">
        <v>29</v>
      </c>
      <c r="H338" s="17" t="s">
        <v>15</v>
      </c>
      <c r="I338" s="24">
        <v>122485.3245</v>
      </c>
      <c r="J338" s="32">
        <v>49</v>
      </c>
      <c r="K338" s="17" t="s">
        <v>31</v>
      </c>
      <c r="L338" s="24">
        <v>1625.06</v>
      </c>
      <c r="M338" s="24">
        <v>2687.85</v>
      </c>
      <c r="N338" s="34">
        <f>((sales_data_1[[#This Row],[Unit_Price]]*(1-sales_data_1[[#This Row],[Discount]]))-sales_data_1[[#This Row],[Unit_Cost]])*sales_data_1[[#This Row],[Quantity_Sold]]</f>
        <v>42857.3845</v>
      </c>
      <c r="O338" s="17" t="s">
        <v>17</v>
      </c>
      <c r="P338" s="26">
        <v>7.0000000000000007E-2</v>
      </c>
      <c r="Q338" s="17" t="s">
        <v>18</v>
      </c>
      <c r="R338" s="17" t="s">
        <v>19</v>
      </c>
      <c r="S338" s="49" t="str">
        <f t="shared" si="17"/>
        <v>Charlie-North</v>
      </c>
      <c r="T338" s="59" t="str">
        <f>IF(ROUND(sales_data_1[[#This Row],[Profit_Margin]],2)=ROUND((sales_data_1[[#This Row],[Unit_Price]]*(1-sales_data_1[[#This Row],[Discount]]) - sales_data_1[[#This Row],[Unit_Cost]])*sales_data_1[[#This Row],[Quantity_Sold]],2), "PASS", "CHECK")</f>
        <v>PASS</v>
      </c>
    </row>
    <row r="339" spans="1:20" x14ac:dyDescent="0.35">
      <c r="A339" s="7">
        <v>338</v>
      </c>
      <c r="B339" s="9">
        <v>1024</v>
      </c>
      <c r="C339" s="7" t="str">
        <f>IFERROR(_xlfn.TEXTJOIN("-", TRUE, _xlfn.XLOOKUP(K339, product_category_id_lookup!$A$2:$A$5, product_category_id_lookup!$B$2:$B$5), B339), "Unknown Category")</f>
        <v>fnt-1024</v>
      </c>
      <c r="D339" s="8">
        <v>44669</v>
      </c>
      <c r="E339" s="7">
        <f t="shared" si="15"/>
        <v>2022</v>
      </c>
      <c r="F339" s="28" t="str">
        <f t="shared" si="16"/>
        <v>Apr</v>
      </c>
      <c r="G339" s="17" t="s">
        <v>14</v>
      </c>
      <c r="H339" s="17" t="s">
        <v>15</v>
      </c>
      <c r="I339" s="24">
        <v>13872.432000000001</v>
      </c>
      <c r="J339" s="32">
        <v>7</v>
      </c>
      <c r="K339" s="17" t="s">
        <v>16</v>
      </c>
      <c r="L339" s="24">
        <v>1529.81</v>
      </c>
      <c r="M339" s="24">
        <v>2607.6</v>
      </c>
      <c r="N339" s="34">
        <f>((sales_data_1[[#This Row],[Unit_Price]]*(1-sales_data_1[[#This Row],[Discount]]))-sales_data_1[[#This Row],[Unit_Cost]])*sales_data_1[[#This Row],[Quantity_Sold]]</f>
        <v>3163.7620000000006</v>
      </c>
      <c r="O339" s="17" t="s">
        <v>27</v>
      </c>
      <c r="P339" s="26">
        <v>0.24</v>
      </c>
      <c r="Q339" s="17" t="s">
        <v>18</v>
      </c>
      <c r="R339" s="17" t="s">
        <v>21</v>
      </c>
      <c r="S339" s="49" t="str">
        <f t="shared" si="17"/>
        <v>Bob-North</v>
      </c>
      <c r="T339" s="59" t="str">
        <f>IF(ROUND(sales_data_1[[#This Row],[Profit_Margin]],2)=ROUND((sales_data_1[[#This Row],[Unit_Price]]*(1-sales_data_1[[#This Row],[Discount]]) - sales_data_1[[#This Row],[Unit_Cost]])*sales_data_1[[#This Row],[Quantity_Sold]],2), "PASS", "CHECK")</f>
        <v>PASS</v>
      </c>
    </row>
    <row r="340" spans="1:20" x14ac:dyDescent="0.35">
      <c r="A340" s="7">
        <v>339</v>
      </c>
      <c r="B340" s="9">
        <v>1057</v>
      </c>
      <c r="C340" s="7" t="str">
        <f>IFERROR(_xlfn.TEXTJOIN("-", TRUE, _xlfn.XLOOKUP(K340, product_category_id_lookup!$A$2:$A$5, product_category_id_lookup!$B$2:$B$5), B340), "Unknown Category")</f>
        <v>fd-1057</v>
      </c>
      <c r="D340" s="8">
        <v>44669</v>
      </c>
      <c r="E340" s="7">
        <f t="shared" si="15"/>
        <v>2022</v>
      </c>
      <c r="F340" s="28" t="str">
        <f t="shared" si="16"/>
        <v>Apr</v>
      </c>
      <c r="G340" s="17" t="s">
        <v>29</v>
      </c>
      <c r="H340" s="17" t="s">
        <v>20</v>
      </c>
      <c r="I340" s="24">
        <v>120481.77439999999</v>
      </c>
      <c r="J340" s="32">
        <v>34</v>
      </c>
      <c r="K340" s="17" t="s">
        <v>24</v>
      </c>
      <c r="L340" s="24">
        <v>2871.71</v>
      </c>
      <c r="M340" s="24">
        <v>4990.96</v>
      </c>
      <c r="N340" s="34">
        <f>((sales_data_1[[#This Row],[Unit_Price]]*(1-sales_data_1[[#This Row],[Discount]]))-sales_data_1[[#This Row],[Unit_Cost]])*sales_data_1[[#This Row],[Quantity_Sold]]</f>
        <v>22843.634399999999</v>
      </c>
      <c r="O340" s="17" t="s">
        <v>17</v>
      </c>
      <c r="P340" s="26">
        <v>0.28999999999999998</v>
      </c>
      <c r="Q340" s="17" t="s">
        <v>25</v>
      </c>
      <c r="R340" s="17" t="s">
        <v>19</v>
      </c>
      <c r="S340" s="49" t="str">
        <f t="shared" si="17"/>
        <v>Charlie-West</v>
      </c>
      <c r="T340" s="59" t="str">
        <f>IF(ROUND(sales_data_1[[#This Row],[Profit_Margin]],2)=ROUND((sales_data_1[[#This Row],[Unit_Price]]*(1-sales_data_1[[#This Row],[Discount]]) - sales_data_1[[#This Row],[Unit_Cost]])*sales_data_1[[#This Row],[Quantity_Sold]],2), "PASS", "CHECK")</f>
        <v>PASS</v>
      </c>
    </row>
    <row r="341" spans="1:20" x14ac:dyDescent="0.35">
      <c r="A341" s="7">
        <v>340</v>
      </c>
      <c r="B341" s="9">
        <v>1015</v>
      </c>
      <c r="C341" s="7" t="str">
        <f>IFERROR(_xlfn.TEXTJOIN("-", TRUE, _xlfn.XLOOKUP(K341, product_category_id_lookup!$A$2:$A$5, product_category_id_lookup!$B$2:$B$5), B341), "Unknown Category")</f>
        <v>ctg-1015</v>
      </c>
      <c r="D341" s="8">
        <v>44669</v>
      </c>
      <c r="E341" s="7">
        <f t="shared" si="15"/>
        <v>2022</v>
      </c>
      <c r="F341" s="28" t="str">
        <f t="shared" si="16"/>
        <v>Apr</v>
      </c>
      <c r="G341" s="17" t="s">
        <v>22</v>
      </c>
      <c r="H341" s="17" t="s">
        <v>30</v>
      </c>
      <c r="I341" s="24">
        <v>189084.64531763349</v>
      </c>
      <c r="J341" s="32">
        <v>43</v>
      </c>
      <c r="K341" s="17" t="s">
        <v>26</v>
      </c>
      <c r="L341" s="24">
        <v>3815.26</v>
      </c>
      <c r="M341" s="24">
        <v>4459.5</v>
      </c>
      <c r="N341" s="34">
        <f>((sales_data_1[[#This Row],[Unit_Price]]*(1-sales_data_1[[#This Row],[Discount]]))-sales_data_1[[#This Row],[Unit_Cost]])*sales_data_1[[#This Row],[Quantity_Sold]]</f>
        <v>25784.734999999979</v>
      </c>
      <c r="O341" s="17" t="s">
        <v>27</v>
      </c>
      <c r="P341" s="26">
        <v>0.01</v>
      </c>
      <c r="Q341" s="17" t="s">
        <v>18</v>
      </c>
      <c r="R341" s="17" t="s">
        <v>21</v>
      </c>
      <c r="S341" s="49" t="str">
        <f t="shared" si="17"/>
        <v>David-East</v>
      </c>
      <c r="T341" s="59" t="str">
        <f>IF(ROUND(sales_data_1[[#This Row],[Profit_Margin]],2)=ROUND((sales_data_1[[#This Row],[Unit_Price]]*(1-sales_data_1[[#This Row],[Discount]]) - sales_data_1[[#This Row],[Unit_Cost]])*sales_data_1[[#This Row],[Quantity_Sold]],2), "PASS", "CHECK")</f>
        <v>PASS</v>
      </c>
    </row>
    <row r="342" spans="1:20" x14ac:dyDescent="0.35">
      <c r="A342" s="7">
        <v>341</v>
      </c>
      <c r="B342" s="9">
        <v>1034</v>
      </c>
      <c r="C342" s="7" t="str">
        <f>IFERROR(_xlfn.TEXTJOIN("-", TRUE, _xlfn.XLOOKUP(K342, product_category_id_lookup!$A$2:$A$5, product_category_id_lookup!$B$2:$B$5), B342), "Unknown Category")</f>
        <v>ctg-1034</v>
      </c>
      <c r="D342" s="8">
        <v>44671</v>
      </c>
      <c r="E342" s="7">
        <f t="shared" si="15"/>
        <v>2022</v>
      </c>
      <c r="F342" s="28" t="str">
        <f t="shared" si="16"/>
        <v>Apr</v>
      </c>
      <c r="G342" s="17" t="s">
        <v>33</v>
      </c>
      <c r="H342" s="17" t="s">
        <v>30</v>
      </c>
      <c r="I342" s="24">
        <v>103971.003</v>
      </c>
      <c r="J342" s="32">
        <v>47</v>
      </c>
      <c r="K342" s="17" t="s">
        <v>26</v>
      </c>
      <c r="L342" s="24">
        <v>2183.31</v>
      </c>
      <c r="M342" s="24">
        <v>2542.6999999999998</v>
      </c>
      <c r="N342" s="34">
        <f>((sales_data_1[[#This Row],[Unit_Price]]*(1-sales_data_1[[#This Row],[Discount]]))-sales_data_1[[#This Row],[Unit_Cost]])*sales_data_1[[#This Row],[Quantity_Sold]]</f>
        <v>1355.4329999999973</v>
      </c>
      <c r="O342" s="17" t="s">
        <v>17</v>
      </c>
      <c r="P342" s="26">
        <v>0.13</v>
      </c>
      <c r="Q342" s="17" t="s">
        <v>18</v>
      </c>
      <c r="R342" s="17" t="s">
        <v>19</v>
      </c>
      <c r="S342" s="49" t="str">
        <f t="shared" si="17"/>
        <v>Alice-East</v>
      </c>
      <c r="T342" s="59" t="str">
        <f>IF(ROUND(sales_data_1[[#This Row],[Profit_Margin]],2)=ROUND((sales_data_1[[#This Row],[Unit_Price]]*(1-sales_data_1[[#This Row],[Discount]]) - sales_data_1[[#This Row],[Unit_Cost]])*sales_data_1[[#This Row],[Quantity_Sold]],2), "PASS", "CHECK")</f>
        <v>PASS</v>
      </c>
    </row>
    <row r="343" spans="1:20" x14ac:dyDescent="0.35">
      <c r="A343" s="7">
        <v>342</v>
      </c>
      <c r="B343" s="9">
        <v>1053</v>
      </c>
      <c r="C343" s="7" t="str">
        <f>IFERROR(_xlfn.TEXTJOIN("-", TRUE, _xlfn.XLOOKUP(K343, product_category_id_lookup!$A$2:$A$5, product_category_id_lookup!$B$2:$B$5), B343), "Unknown Category")</f>
        <v>ctg-1053</v>
      </c>
      <c r="D343" s="8">
        <v>44671</v>
      </c>
      <c r="E343" s="7">
        <f t="shared" si="15"/>
        <v>2022</v>
      </c>
      <c r="F343" s="28" t="str">
        <f t="shared" si="16"/>
        <v>Apr</v>
      </c>
      <c r="G343" s="17" t="s">
        <v>32</v>
      </c>
      <c r="H343" s="17" t="s">
        <v>15</v>
      </c>
      <c r="I343" s="24">
        <v>25866.389580390634</v>
      </c>
      <c r="J343" s="32">
        <v>31</v>
      </c>
      <c r="K343" s="17" t="s">
        <v>26</v>
      </c>
      <c r="L343" s="24">
        <v>780.88</v>
      </c>
      <c r="M343" s="24">
        <v>869.23</v>
      </c>
      <c r="N343" s="34">
        <f>((sales_data_1[[#This Row],[Unit_Price]]*(1-sales_data_1[[#This Row],[Discount]]))-sales_data_1[[#This Row],[Unit_Cost]])*sales_data_1[[#This Row],[Quantity_Sold]]</f>
        <v>1661.0047999999986</v>
      </c>
      <c r="O343" s="17" t="s">
        <v>27</v>
      </c>
      <c r="P343" s="26">
        <v>0.04</v>
      </c>
      <c r="Q343" s="17" t="s">
        <v>25</v>
      </c>
      <c r="R343" s="17" t="s">
        <v>21</v>
      </c>
      <c r="S343" s="49" t="str">
        <f t="shared" si="17"/>
        <v>Eve-North</v>
      </c>
      <c r="T343" s="59" t="str">
        <f>IF(ROUND(sales_data_1[[#This Row],[Profit_Margin]],2)=ROUND((sales_data_1[[#This Row],[Unit_Price]]*(1-sales_data_1[[#This Row],[Discount]]) - sales_data_1[[#This Row],[Unit_Cost]])*sales_data_1[[#This Row],[Quantity_Sold]],2), "PASS", "CHECK")</f>
        <v>PASS</v>
      </c>
    </row>
    <row r="344" spans="1:20" x14ac:dyDescent="0.35">
      <c r="A344" s="7">
        <v>343</v>
      </c>
      <c r="B344" s="9">
        <v>1085</v>
      </c>
      <c r="C344" s="7" t="str">
        <f>IFERROR(_xlfn.TEXTJOIN("-", TRUE, _xlfn.XLOOKUP(K344, product_category_id_lookup!$A$2:$A$5, product_category_id_lookup!$B$2:$B$5), B344), "Unknown Category")</f>
        <v>fd-1085</v>
      </c>
      <c r="D344" s="8">
        <v>44671</v>
      </c>
      <c r="E344" s="7">
        <f t="shared" si="15"/>
        <v>2022</v>
      </c>
      <c r="F344" s="28" t="str">
        <f t="shared" si="16"/>
        <v>Apr</v>
      </c>
      <c r="G344" s="17" t="s">
        <v>22</v>
      </c>
      <c r="H344" s="17" t="s">
        <v>30</v>
      </c>
      <c r="I344" s="24">
        <v>9944.1836999999996</v>
      </c>
      <c r="J344" s="32">
        <v>11</v>
      </c>
      <c r="K344" s="17" t="s">
        <v>24</v>
      </c>
      <c r="L344" s="24">
        <v>466.02</v>
      </c>
      <c r="M344" s="24">
        <v>1116.07</v>
      </c>
      <c r="N344" s="34">
        <f>((sales_data_1[[#This Row],[Unit_Price]]*(1-sales_data_1[[#This Row],[Discount]]))-sales_data_1[[#This Row],[Unit_Cost]])*sales_data_1[[#This Row],[Quantity_Sold]]</f>
        <v>4817.9637000000002</v>
      </c>
      <c r="O344" s="17" t="s">
        <v>27</v>
      </c>
      <c r="P344" s="26">
        <v>0.19</v>
      </c>
      <c r="Q344" s="17" t="s">
        <v>25</v>
      </c>
      <c r="R344" s="17" t="s">
        <v>21</v>
      </c>
      <c r="S344" s="49" t="str">
        <f t="shared" si="17"/>
        <v>David-East</v>
      </c>
      <c r="T344" s="59" t="str">
        <f>IF(ROUND(sales_data_1[[#This Row],[Profit_Margin]],2)=ROUND((sales_data_1[[#This Row],[Unit_Price]]*(1-sales_data_1[[#This Row],[Discount]]) - sales_data_1[[#This Row],[Unit_Cost]])*sales_data_1[[#This Row],[Quantity_Sold]],2), "PASS", "CHECK")</f>
        <v>PASS</v>
      </c>
    </row>
    <row r="345" spans="1:20" x14ac:dyDescent="0.35">
      <c r="A345" s="7">
        <v>344</v>
      </c>
      <c r="B345" s="9">
        <v>1051</v>
      </c>
      <c r="C345" s="7" t="str">
        <f>IFERROR(_xlfn.TEXTJOIN("-", TRUE, _xlfn.XLOOKUP(K345, product_category_id_lookup!$A$2:$A$5, product_category_id_lookup!$B$2:$B$5), B345), "Unknown Category")</f>
        <v>fnt-1051</v>
      </c>
      <c r="D345" s="8">
        <v>44671</v>
      </c>
      <c r="E345" s="7">
        <f t="shared" si="15"/>
        <v>2022</v>
      </c>
      <c r="F345" s="28" t="str">
        <f t="shared" si="16"/>
        <v>Apr</v>
      </c>
      <c r="G345" s="17" t="s">
        <v>33</v>
      </c>
      <c r="H345" s="17" t="s">
        <v>15</v>
      </c>
      <c r="I345" s="24">
        <v>53384.832000000002</v>
      </c>
      <c r="J345" s="32">
        <v>18</v>
      </c>
      <c r="K345" s="17" t="s">
        <v>16</v>
      </c>
      <c r="L345" s="24">
        <v>1149.8399999999999</v>
      </c>
      <c r="M345" s="24">
        <v>3295.36</v>
      </c>
      <c r="N345" s="34">
        <f>((sales_data_1[[#This Row],[Unit_Price]]*(1-sales_data_1[[#This Row],[Discount]]))-sales_data_1[[#This Row],[Unit_Cost]])*sales_data_1[[#This Row],[Quantity_Sold]]</f>
        <v>32687.712000000003</v>
      </c>
      <c r="O345" s="17" t="s">
        <v>27</v>
      </c>
      <c r="P345" s="26">
        <v>0.1</v>
      </c>
      <c r="Q345" s="17" t="s">
        <v>18</v>
      </c>
      <c r="R345" s="17" t="s">
        <v>21</v>
      </c>
      <c r="S345" s="49" t="str">
        <f t="shared" si="17"/>
        <v>Alice-North</v>
      </c>
      <c r="T345" s="59" t="str">
        <f>IF(ROUND(sales_data_1[[#This Row],[Profit_Margin]],2)=ROUND((sales_data_1[[#This Row],[Unit_Price]]*(1-sales_data_1[[#This Row],[Discount]]) - sales_data_1[[#This Row],[Unit_Cost]])*sales_data_1[[#This Row],[Quantity_Sold]],2), "PASS", "CHECK")</f>
        <v>PASS</v>
      </c>
    </row>
    <row r="346" spans="1:20" x14ac:dyDescent="0.35">
      <c r="A346" s="7">
        <v>345</v>
      </c>
      <c r="B346" s="9">
        <v>1074</v>
      </c>
      <c r="C346" s="7" t="str">
        <f>IFERROR(_xlfn.TEXTJOIN("-", TRUE, _xlfn.XLOOKUP(K346, product_category_id_lookup!$A$2:$A$5, product_category_id_lookup!$B$2:$B$5), B346), "Unknown Category")</f>
        <v>etc-1074</v>
      </c>
      <c r="D346" s="8">
        <v>44671</v>
      </c>
      <c r="E346" s="7">
        <f t="shared" si="15"/>
        <v>2022</v>
      </c>
      <c r="F346" s="28" t="str">
        <f t="shared" si="16"/>
        <v>Apr</v>
      </c>
      <c r="G346" s="17" t="s">
        <v>33</v>
      </c>
      <c r="H346" s="17" t="s">
        <v>30</v>
      </c>
      <c r="I346" s="24">
        <v>91113.552000000011</v>
      </c>
      <c r="J346" s="32">
        <v>27</v>
      </c>
      <c r="K346" s="17" t="s">
        <v>31</v>
      </c>
      <c r="L346" s="24">
        <v>1958.37</v>
      </c>
      <c r="M346" s="24">
        <v>4218.22</v>
      </c>
      <c r="N346" s="34">
        <f>((sales_data_1[[#This Row],[Unit_Price]]*(1-sales_data_1[[#This Row],[Discount]]))-sales_data_1[[#This Row],[Unit_Cost]])*sales_data_1[[#This Row],[Quantity_Sold]]</f>
        <v>38237.562000000013</v>
      </c>
      <c r="O346" s="17" t="s">
        <v>17</v>
      </c>
      <c r="P346" s="26">
        <v>0.2</v>
      </c>
      <c r="Q346" s="17" t="s">
        <v>25</v>
      </c>
      <c r="R346" s="17" t="s">
        <v>21</v>
      </c>
      <c r="S346" s="49" t="str">
        <f t="shared" si="17"/>
        <v>Alice-East</v>
      </c>
      <c r="T346" s="59" t="str">
        <f>IF(ROUND(sales_data_1[[#This Row],[Profit_Margin]],2)=ROUND((sales_data_1[[#This Row],[Unit_Price]]*(1-sales_data_1[[#This Row],[Discount]]) - sales_data_1[[#This Row],[Unit_Cost]])*sales_data_1[[#This Row],[Quantity_Sold]],2), "PASS", "CHECK")</f>
        <v>PASS</v>
      </c>
    </row>
    <row r="347" spans="1:20" x14ac:dyDescent="0.35">
      <c r="A347" s="7">
        <v>346</v>
      </c>
      <c r="B347" s="9">
        <v>1062</v>
      </c>
      <c r="C347" s="7" t="str">
        <f>IFERROR(_xlfn.TEXTJOIN("-", TRUE, _xlfn.XLOOKUP(K347, product_category_id_lookup!$A$2:$A$5, product_category_id_lookup!$B$2:$B$5), B347), "Unknown Category")</f>
        <v>fnt-1062</v>
      </c>
      <c r="D347" s="8">
        <v>44671</v>
      </c>
      <c r="E347" s="7">
        <f t="shared" si="15"/>
        <v>2022</v>
      </c>
      <c r="F347" s="28" t="str">
        <f t="shared" si="16"/>
        <v>Apr</v>
      </c>
      <c r="G347" s="17" t="s">
        <v>33</v>
      </c>
      <c r="H347" s="17" t="s">
        <v>23</v>
      </c>
      <c r="I347" s="24">
        <v>104104.1352</v>
      </c>
      <c r="J347" s="32">
        <v>47</v>
      </c>
      <c r="K347" s="17" t="s">
        <v>16</v>
      </c>
      <c r="L347" s="24">
        <v>1031.06</v>
      </c>
      <c r="M347" s="24">
        <v>2575.56</v>
      </c>
      <c r="N347" s="34">
        <f>((sales_data_1[[#This Row],[Unit_Price]]*(1-sales_data_1[[#This Row],[Discount]]))-sales_data_1[[#This Row],[Unit_Cost]])*sales_data_1[[#This Row],[Quantity_Sold]]</f>
        <v>55644.315200000005</v>
      </c>
      <c r="O347" s="17" t="s">
        <v>17</v>
      </c>
      <c r="P347" s="26">
        <v>0.14000000000000001</v>
      </c>
      <c r="Q347" s="17" t="s">
        <v>25</v>
      </c>
      <c r="R347" s="17" t="s">
        <v>21</v>
      </c>
      <c r="S347" s="49" t="str">
        <f t="shared" si="17"/>
        <v>Alice-South</v>
      </c>
      <c r="T347" s="59" t="str">
        <f>IF(ROUND(sales_data_1[[#This Row],[Profit_Margin]],2)=ROUND((sales_data_1[[#This Row],[Unit_Price]]*(1-sales_data_1[[#This Row],[Discount]]) - sales_data_1[[#This Row],[Unit_Cost]])*sales_data_1[[#This Row],[Quantity_Sold]],2), "PASS", "CHECK")</f>
        <v>PASS</v>
      </c>
    </row>
    <row r="348" spans="1:20" x14ac:dyDescent="0.35">
      <c r="A348" s="7">
        <v>347</v>
      </c>
      <c r="B348" s="9">
        <v>1020</v>
      </c>
      <c r="C348" s="7" t="str">
        <f>IFERROR(_xlfn.TEXTJOIN("-", TRUE, _xlfn.XLOOKUP(K348, product_category_id_lookup!$A$2:$A$5, product_category_id_lookup!$B$2:$B$5), B348), "Unknown Category")</f>
        <v>ctg-1020</v>
      </c>
      <c r="D348" s="8">
        <v>44671</v>
      </c>
      <c r="E348" s="7">
        <f t="shared" si="15"/>
        <v>2022</v>
      </c>
      <c r="F348" s="28" t="str">
        <f t="shared" si="16"/>
        <v>Apr</v>
      </c>
      <c r="G348" s="17" t="s">
        <v>32</v>
      </c>
      <c r="H348" s="17" t="s">
        <v>15</v>
      </c>
      <c r="I348" s="24">
        <v>111515.7524</v>
      </c>
      <c r="J348" s="32">
        <v>26</v>
      </c>
      <c r="K348" s="17" t="s">
        <v>26</v>
      </c>
      <c r="L348" s="24">
        <v>2068.29</v>
      </c>
      <c r="M348" s="24">
        <v>5230.57</v>
      </c>
      <c r="N348" s="34">
        <f>((sales_data_1[[#This Row],[Unit_Price]]*(1-sales_data_1[[#This Row],[Discount]]))-sales_data_1[[#This Row],[Unit_Cost]])*sales_data_1[[#This Row],[Quantity_Sold]]</f>
        <v>57740.212399999997</v>
      </c>
      <c r="O348" s="17" t="s">
        <v>27</v>
      </c>
      <c r="P348" s="26">
        <v>0.18</v>
      </c>
      <c r="Q348" s="17" t="s">
        <v>18</v>
      </c>
      <c r="R348" s="17" t="s">
        <v>21</v>
      </c>
      <c r="S348" s="49" t="str">
        <f t="shared" si="17"/>
        <v>Eve-North</v>
      </c>
      <c r="T348" s="59" t="str">
        <f>IF(ROUND(sales_data_1[[#This Row],[Profit_Margin]],2)=ROUND((sales_data_1[[#This Row],[Unit_Price]]*(1-sales_data_1[[#This Row],[Discount]]) - sales_data_1[[#This Row],[Unit_Cost]])*sales_data_1[[#This Row],[Quantity_Sold]],2), "PASS", "CHECK")</f>
        <v>PASS</v>
      </c>
    </row>
    <row r="349" spans="1:20" x14ac:dyDescent="0.35">
      <c r="A349" s="7">
        <v>348</v>
      </c>
      <c r="B349" s="9">
        <v>1006</v>
      </c>
      <c r="C349" s="7" t="str">
        <f>IFERROR(_xlfn.TEXTJOIN("-", TRUE, _xlfn.XLOOKUP(K349, product_category_id_lookup!$A$2:$A$5, product_category_id_lookup!$B$2:$B$5), B349), "Unknown Category")</f>
        <v>fd-1006</v>
      </c>
      <c r="D349" s="8">
        <v>44671</v>
      </c>
      <c r="E349" s="7">
        <f t="shared" si="15"/>
        <v>2022</v>
      </c>
      <c r="F349" s="28" t="str">
        <f t="shared" si="16"/>
        <v>Apr</v>
      </c>
      <c r="G349" s="17" t="s">
        <v>33</v>
      </c>
      <c r="H349" s="17" t="s">
        <v>30</v>
      </c>
      <c r="I349" s="24">
        <v>158209.86720000001</v>
      </c>
      <c r="J349" s="32">
        <v>33</v>
      </c>
      <c r="K349" s="17" t="s">
        <v>24</v>
      </c>
      <c r="L349" s="24">
        <v>2325.52</v>
      </c>
      <c r="M349" s="24">
        <v>4892.08</v>
      </c>
      <c r="N349" s="34">
        <f>((sales_data_1[[#This Row],[Unit_Price]]*(1-sales_data_1[[#This Row],[Discount]]))-sales_data_1[[#This Row],[Unit_Cost]])*sales_data_1[[#This Row],[Quantity_Sold]]</f>
        <v>81467.707200000004</v>
      </c>
      <c r="O349" s="17" t="s">
        <v>17</v>
      </c>
      <c r="P349" s="26">
        <v>0.02</v>
      </c>
      <c r="Q349" s="17" t="s">
        <v>18</v>
      </c>
      <c r="R349" s="17" t="s">
        <v>21</v>
      </c>
      <c r="S349" s="49" t="str">
        <f t="shared" si="17"/>
        <v>Alice-East</v>
      </c>
      <c r="T349" s="59" t="str">
        <f>IF(ROUND(sales_data_1[[#This Row],[Profit_Margin]],2)=ROUND((sales_data_1[[#This Row],[Unit_Price]]*(1-sales_data_1[[#This Row],[Discount]]) - sales_data_1[[#This Row],[Unit_Cost]])*sales_data_1[[#This Row],[Quantity_Sold]],2), "PASS", "CHECK")</f>
        <v>PASS</v>
      </c>
    </row>
    <row r="350" spans="1:20" x14ac:dyDescent="0.35">
      <c r="A350" s="7">
        <v>349</v>
      </c>
      <c r="B350" s="9">
        <v>1029</v>
      </c>
      <c r="C350" s="7" t="str">
        <f>IFERROR(_xlfn.TEXTJOIN("-", TRUE, _xlfn.XLOOKUP(K350, product_category_id_lookup!$A$2:$A$5, product_category_id_lookup!$B$2:$B$5), B350), "Unknown Category")</f>
        <v>ctg-1029</v>
      </c>
      <c r="D350" s="8">
        <v>44672</v>
      </c>
      <c r="E350" s="7">
        <f t="shared" si="15"/>
        <v>2022</v>
      </c>
      <c r="F350" s="28" t="str">
        <f t="shared" si="16"/>
        <v>Apr</v>
      </c>
      <c r="G350" s="17" t="s">
        <v>22</v>
      </c>
      <c r="H350" s="17" t="s">
        <v>23</v>
      </c>
      <c r="I350" s="24">
        <v>11753.0147</v>
      </c>
      <c r="J350" s="32">
        <v>7</v>
      </c>
      <c r="K350" s="17" t="s">
        <v>26</v>
      </c>
      <c r="L350" s="24">
        <v>270.23</v>
      </c>
      <c r="M350" s="24">
        <v>1730.93</v>
      </c>
      <c r="N350" s="34">
        <f>((sales_data_1[[#This Row],[Unit_Price]]*(1-sales_data_1[[#This Row],[Discount]]))-sales_data_1[[#This Row],[Unit_Cost]])*sales_data_1[[#This Row],[Quantity_Sold]]</f>
        <v>9861.4046999999991</v>
      </c>
      <c r="O350" s="17" t="s">
        <v>27</v>
      </c>
      <c r="P350" s="26">
        <v>0.03</v>
      </c>
      <c r="Q350" s="17" t="s">
        <v>25</v>
      </c>
      <c r="R350" s="17" t="s">
        <v>21</v>
      </c>
      <c r="S350" s="49" t="str">
        <f t="shared" si="17"/>
        <v>David-South</v>
      </c>
      <c r="T350" s="59" t="str">
        <f>IF(ROUND(sales_data_1[[#This Row],[Profit_Margin]],2)=ROUND((sales_data_1[[#This Row],[Unit_Price]]*(1-sales_data_1[[#This Row],[Discount]]) - sales_data_1[[#This Row],[Unit_Cost]])*sales_data_1[[#This Row],[Quantity_Sold]],2), "PASS", "CHECK")</f>
        <v>PASS</v>
      </c>
    </row>
    <row r="351" spans="1:20" x14ac:dyDescent="0.35">
      <c r="A351" s="7">
        <v>350</v>
      </c>
      <c r="B351" s="9">
        <v>1011</v>
      </c>
      <c r="C351" s="7" t="str">
        <f>IFERROR(_xlfn.TEXTJOIN("-", TRUE, _xlfn.XLOOKUP(K351, product_category_id_lookup!$A$2:$A$5, product_category_id_lookup!$B$2:$B$5), B351), "Unknown Category")</f>
        <v>etc-1011</v>
      </c>
      <c r="D351" s="8">
        <v>44672</v>
      </c>
      <c r="E351" s="7">
        <f t="shared" si="15"/>
        <v>2022</v>
      </c>
      <c r="F351" s="28" t="str">
        <f t="shared" si="16"/>
        <v>Apr</v>
      </c>
      <c r="G351" s="17" t="s">
        <v>33</v>
      </c>
      <c r="H351" s="17" t="s">
        <v>30</v>
      </c>
      <c r="I351" s="24">
        <v>86610.991585354495</v>
      </c>
      <c r="J351" s="32">
        <v>48</v>
      </c>
      <c r="K351" s="17" t="s">
        <v>31</v>
      </c>
      <c r="L351" s="24">
        <v>1525.42</v>
      </c>
      <c r="M351" s="24">
        <v>1859.31</v>
      </c>
      <c r="N351" s="34">
        <f>((sales_data_1[[#This Row],[Unit_Price]]*(1-sales_data_1[[#This Row],[Discount]]))-sales_data_1[[#This Row],[Unit_Cost]])*sales_data_1[[#This Row],[Quantity_Sold]]</f>
        <v>13349.313599999987</v>
      </c>
      <c r="O351" s="17" t="s">
        <v>17</v>
      </c>
      <c r="P351" s="26">
        <v>0.03</v>
      </c>
      <c r="Q351" s="17" t="s">
        <v>25</v>
      </c>
      <c r="R351" s="17" t="s">
        <v>21</v>
      </c>
      <c r="S351" s="49" t="str">
        <f t="shared" si="17"/>
        <v>Alice-East</v>
      </c>
      <c r="T351" s="59" t="str">
        <f>IF(ROUND(sales_data_1[[#This Row],[Profit_Margin]],2)=ROUND((sales_data_1[[#This Row],[Unit_Price]]*(1-sales_data_1[[#This Row],[Discount]]) - sales_data_1[[#This Row],[Unit_Cost]])*sales_data_1[[#This Row],[Quantity_Sold]],2), "PASS", "CHECK")</f>
        <v>PASS</v>
      </c>
    </row>
    <row r="352" spans="1:20" x14ac:dyDescent="0.35">
      <c r="A352" s="7">
        <v>351</v>
      </c>
      <c r="B352" s="9">
        <v>1052</v>
      </c>
      <c r="C352" s="7" t="str">
        <f>IFERROR(_xlfn.TEXTJOIN("-", TRUE, _xlfn.XLOOKUP(K352, product_category_id_lookup!$A$2:$A$5, product_category_id_lookup!$B$2:$B$5), B352), "Unknown Category")</f>
        <v>ctg-1052</v>
      </c>
      <c r="D352" s="8">
        <v>44672</v>
      </c>
      <c r="E352" s="7">
        <f t="shared" si="15"/>
        <v>2022</v>
      </c>
      <c r="F352" s="28" t="str">
        <f t="shared" si="16"/>
        <v>Apr</v>
      </c>
      <c r="G352" s="17" t="s">
        <v>14</v>
      </c>
      <c r="H352" s="17" t="s">
        <v>30</v>
      </c>
      <c r="I352" s="24">
        <v>132721.74</v>
      </c>
      <c r="J352" s="32">
        <v>30</v>
      </c>
      <c r="K352" s="17" t="s">
        <v>26</v>
      </c>
      <c r="L352" s="24">
        <v>412.47</v>
      </c>
      <c r="M352" s="24">
        <v>4915.62</v>
      </c>
      <c r="N352" s="34">
        <f>((sales_data_1[[#This Row],[Unit_Price]]*(1-sales_data_1[[#This Row],[Discount]]))-sales_data_1[[#This Row],[Unit_Cost]])*sales_data_1[[#This Row],[Quantity_Sold]]</f>
        <v>120347.63999999998</v>
      </c>
      <c r="O352" s="17" t="s">
        <v>27</v>
      </c>
      <c r="P352" s="26">
        <v>0.1</v>
      </c>
      <c r="Q352" s="17" t="s">
        <v>25</v>
      </c>
      <c r="R352" s="17" t="s">
        <v>21</v>
      </c>
      <c r="S352" s="49" t="str">
        <f t="shared" si="17"/>
        <v>Bob-East</v>
      </c>
      <c r="T352" s="59" t="str">
        <f>IF(ROUND(sales_data_1[[#This Row],[Profit_Margin]],2)=ROUND((sales_data_1[[#This Row],[Unit_Price]]*(1-sales_data_1[[#This Row],[Discount]]) - sales_data_1[[#This Row],[Unit_Cost]])*sales_data_1[[#This Row],[Quantity_Sold]],2), "PASS", "CHECK")</f>
        <v>PASS</v>
      </c>
    </row>
    <row r="353" spans="1:20" x14ac:dyDescent="0.35">
      <c r="A353" s="7">
        <v>352</v>
      </c>
      <c r="B353" s="9">
        <v>1051</v>
      </c>
      <c r="C353" s="7" t="str">
        <f>IFERROR(_xlfn.TEXTJOIN("-", TRUE, _xlfn.XLOOKUP(K353, product_category_id_lookup!$A$2:$A$5, product_category_id_lookup!$B$2:$B$5), B353), "Unknown Category")</f>
        <v>fnt-1051</v>
      </c>
      <c r="D353" s="8">
        <v>44672</v>
      </c>
      <c r="E353" s="7">
        <f t="shared" si="15"/>
        <v>2022</v>
      </c>
      <c r="F353" s="28" t="str">
        <f t="shared" si="16"/>
        <v>Apr</v>
      </c>
      <c r="G353" s="17" t="s">
        <v>29</v>
      </c>
      <c r="H353" s="17" t="s">
        <v>20</v>
      </c>
      <c r="I353" s="24">
        <v>170689.33439999999</v>
      </c>
      <c r="J353" s="32">
        <v>39</v>
      </c>
      <c r="K353" s="17" t="s">
        <v>16</v>
      </c>
      <c r="L353" s="24">
        <v>847.81</v>
      </c>
      <c r="M353" s="24">
        <v>4559.01</v>
      </c>
      <c r="N353" s="34">
        <f>((sales_data_1[[#This Row],[Unit_Price]]*(1-sales_data_1[[#This Row],[Discount]]))-sales_data_1[[#This Row],[Unit_Cost]])*sales_data_1[[#This Row],[Quantity_Sold]]</f>
        <v>137624.7444</v>
      </c>
      <c r="O353" s="17" t="s">
        <v>17</v>
      </c>
      <c r="P353" s="26">
        <v>0.04</v>
      </c>
      <c r="Q353" s="17" t="s">
        <v>28</v>
      </c>
      <c r="R353" s="17" t="s">
        <v>21</v>
      </c>
      <c r="S353" s="49" t="str">
        <f t="shared" si="17"/>
        <v>Charlie-West</v>
      </c>
      <c r="T353" s="59" t="str">
        <f>IF(ROUND(sales_data_1[[#This Row],[Profit_Margin]],2)=ROUND((sales_data_1[[#This Row],[Unit_Price]]*(1-sales_data_1[[#This Row],[Discount]]) - sales_data_1[[#This Row],[Unit_Cost]])*sales_data_1[[#This Row],[Quantity_Sold]],2), "PASS", "CHECK")</f>
        <v>PASS</v>
      </c>
    </row>
    <row r="354" spans="1:20" x14ac:dyDescent="0.35">
      <c r="A354" s="7">
        <v>353</v>
      </c>
      <c r="B354" s="9">
        <v>1075</v>
      </c>
      <c r="C354" s="7" t="str">
        <f>IFERROR(_xlfn.TEXTJOIN("-", TRUE, _xlfn.XLOOKUP(K354, product_category_id_lookup!$A$2:$A$5, product_category_id_lookup!$B$2:$B$5), B354), "Unknown Category")</f>
        <v>etc-1075</v>
      </c>
      <c r="D354" s="8">
        <v>44673</v>
      </c>
      <c r="E354" s="7">
        <f t="shared" si="15"/>
        <v>2022</v>
      </c>
      <c r="F354" s="28" t="str">
        <f t="shared" si="16"/>
        <v>Apr</v>
      </c>
      <c r="G354" s="17" t="s">
        <v>29</v>
      </c>
      <c r="H354" s="17" t="s">
        <v>23</v>
      </c>
      <c r="I354" s="24">
        <v>211159.90329779658</v>
      </c>
      <c r="J354" s="32">
        <v>44</v>
      </c>
      <c r="K354" s="17" t="s">
        <v>31</v>
      </c>
      <c r="L354" s="24">
        <v>4301.0600000000004</v>
      </c>
      <c r="M354" s="24">
        <v>4930.0200000000004</v>
      </c>
      <c r="N354" s="34">
        <f>((sales_data_1[[#This Row],[Unit_Price]]*(1-sales_data_1[[#This Row],[Discount]]))-sales_data_1[[#This Row],[Unit_Cost]])*sales_data_1[[#This Row],[Quantity_Sold]]</f>
        <v>21166.613600000004</v>
      </c>
      <c r="O354" s="17" t="s">
        <v>17</v>
      </c>
      <c r="P354" s="26">
        <v>0.03</v>
      </c>
      <c r="Q354" s="17" t="s">
        <v>28</v>
      </c>
      <c r="R354" s="17" t="s">
        <v>19</v>
      </c>
      <c r="S354" s="49" t="str">
        <f t="shared" si="17"/>
        <v>Charlie-South</v>
      </c>
      <c r="T354" s="59" t="str">
        <f>IF(ROUND(sales_data_1[[#This Row],[Profit_Margin]],2)=ROUND((sales_data_1[[#This Row],[Unit_Price]]*(1-sales_data_1[[#This Row],[Discount]]) - sales_data_1[[#This Row],[Unit_Cost]])*sales_data_1[[#This Row],[Quantity_Sold]],2), "PASS", "CHECK")</f>
        <v>PASS</v>
      </c>
    </row>
    <row r="355" spans="1:20" x14ac:dyDescent="0.35">
      <c r="A355" s="7">
        <v>354</v>
      </c>
      <c r="B355" s="9">
        <v>1011</v>
      </c>
      <c r="C355" s="7" t="str">
        <f>IFERROR(_xlfn.TEXTJOIN("-", TRUE, _xlfn.XLOOKUP(K355, product_category_id_lookup!$A$2:$A$5, product_category_id_lookup!$B$2:$B$5), B355), "Unknown Category")</f>
        <v>fd-1011</v>
      </c>
      <c r="D355" s="8">
        <v>44673</v>
      </c>
      <c r="E355" s="7">
        <f t="shared" si="15"/>
        <v>2022</v>
      </c>
      <c r="F355" s="28" t="str">
        <f t="shared" si="16"/>
        <v>Apr</v>
      </c>
      <c r="G355" s="17" t="s">
        <v>14</v>
      </c>
      <c r="H355" s="17" t="s">
        <v>30</v>
      </c>
      <c r="I355" s="24">
        <v>104377.24440000001</v>
      </c>
      <c r="J355" s="32">
        <v>33</v>
      </c>
      <c r="K355" s="17" t="s">
        <v>24</v>
      </c>
      <c r="L355" s="24">
        <v>2293.69</v>
      </c>
      <c r="M355" s="24">
        <v>4055.06</v>
      </c>
      <c r="N355" s="34">
        <f>((sales_data_1[[#This Row],[Unit_Price]]*(1-sales_data_1[[#This Row],[Discount]]))-sales_data_1[[#This Row],[Unit_Cost]])*sales_data_1[[#This Row],[Quantity_Sold]]</f>
        <v>28685.474400000003</v>
      </c>
      <c r="O355" s="17" t="s">
        <v>27</v>
      </c>
      <c r="P355" s="26">
        <v>0.22</v>
      </c>
      <c r="Q355" s="17" t="s">
        <v>28</v>
      </c>
      <c r="R355" s="17" t="s">
        <v>19</v>
      </c>
      <c r="S355" s="49" t="str">
        <f t="shared" si="17"/>
        <v>Bob-East</v>
      </c>
      <c r="T355" s="59" t="str">
        <f>IF(ROUND(sales_data_1[[#This Row],[Profit_Margin]],2)=ROUND((sales_data_1[[#This Row],[Unit_Price]]*(1-sales_data_1[[#This Row],[Discount]]) - sales_data_1[[#This Row],[Unit_Cost]])*sales_data_1[[#This Row],[Quantity_Sold]],2), "PASS", "CHECK")</f>
        <v>PASS</v>
      </c>
    </row>
    <row r="356" spans="1:20" x14ac:dyDescent="0.35">
      <c r="A356" s="7">
        <v>355</v>
      </c>
      <c r="B356" s="9">
        <v>1071</v>
      </c>
      <c r="C356" s="7" t="str">
        <f>IFERROR(_xlfn.TEXTJOIN("-", TRUE, _xlfn.XLOOKUP(K356, product_category_id_lookup!$A$2:$A$5, product_category_id_lookup!$B$2:$B$5), B356), "Unknown Category")</f>
        <v>fd-1071</v>
      </c>
      <c r="D356" s="8">
        <v>44673</v>
      </c>
      <c r="E356" s="7">
        <f t="shared" si="15"/>
        <v>2022</v>
      </c>
      <c r="F356" s="28" t="str">
        <f t="shared" si="16"/>
        <v>Apr</v>
      </c>
      <c r="G356" s="17" t="s">
        <v>22</v>
      </c>
      <c r="H356" s="17" t="s">
        <v>23</v>
      </c>
      <c r="I356" s="24">
        <v>82769.833799999993</v>
      </c>
      <c r="J356" s="32">
        <v>27</v>
      </c>
      <c r="K356" s="17" t="s">
        <v>24</v>
      </c>
      <c r="L356" s="24">
        <v>1623.28</v>
      </c>
      <c r="M356" s="24">
        <v>3523.62</v>
      </c>
      <c r="N356" s="34">
        <f>((sales_data_1[[#This Row],[Unit_Price]]*(1-sales_data_1[[#This Row],[Discount]]))-sales_data_1[[#This Row],[Unit_Cost]])*sales_data_1[[#This Row],[Quantity_Sold]]</f>
        <v>38941.273799999995</v>
      </c>
      <c r="O356" s="17" t="s">
        <v>17</v>
      </c>
      <c r="P356" s="26">
        <v>0.13</v>
      </c>
      <c r="Q356" s="17" t="s">
        <v>28</v>
      </c>
      <c r="R356" s="17" t="s">
        <v>21</v>
      </c>
      <c r="S356" s="49" t="str">
        <f t="shared" si="17"/>
        <v>David-South</v>
      </c>
      <c r="T356" s="59" t="str">
        <f>IF(ROUND(sales_data_1[[#This Row],[Profit_Margin]],2)=ROUND((sales_data_1[[#This Row],[Unit_Price]]*(1-sales_data_1[[#This Row],[Discount]]) - sales_data_1[[#This Row],[Unit_Cost]])*sales_data_1[[#This Row],[Quantity_Sold]],2), "PASS", "CHECK")</f>
        <v>PASS</v>
      </c>
    </row>
    <row r="357" spans="1:20" x14ac:dyDescent="0.35">
      <c r="A357" s="7">
        <v>356</v>
      </c>
      <c r="B357" s="9">
        <v>1077</v>
      </c>
      <c r="C357" s="7" t="str">
        <f>IFERROR(_xlfn.TEXTJOIN("-", TRUE, _xlfn.XLOOKUP(K357, product_category_id_lookup!$A$2:$A$5, product_category_id_lookup!$B$2:$B$5), B357), "Unknown Category")</f>
        <v>fd-1077</v>
      </c>
      <c r="D357" s="8">
        <v>44674</v>
      </c>
      <c r="E357" s="7">
        <f t="shared" si="15"/>
        <v>2022</v>
      </c>
      <c r="F357" s="28" t="str">
        <f t="shared" si="16"/>
        <v>Apr</v>
      </c>
      <c r="G357" s="17" t="s">
        <v>29</v>
      </c>
      <c r="H357" s="17" t="s">
        <v>20</v>
      </c>
      <c r="I357" s="24">
        <v>33719.661</v>
      </c>
      <c r="J357" s="32">
        <v>9</v>
      </c>
      <c r="K357" s="17" t="s">
        <v>24</v>
      </c>
      <c r="L357" s="24">
        <v>3380.53</v>
      </c>
      <c r="M357" s="24">
        <v>3943.82</v>
      </c>
      <c r="N357" s="34">
        <f>((sales_data_1[[#This Row],[Unit_Price]]*(1-sales_data_1[[#This Row],[Discount]]))-sales_data_1[[#This Row],[Unit_Cost]])*sales_data_1[[#This Row],[Quantity_Sold]]</f>
        <v>3294.8909999999973</v>
      </c>
      <c r="O357" s="17" t="s">
        <v>27</v>
      </c>
      <c r="P357" s="26">
        <v>0.05</v>
      </c>
      <c r="Q357" s="17" t="s">
        <v>25</v>
      </c>
      <c r="R357" s="17" t="s">
        <v>21</v>
      </c>
      <c r="S357" s="49" t="str">
        <f t="shared" si="17"/>
        <v>Charlie-West</v>
      </c>
      <c r="T357" s="59" t="str">
        <f>IF(ROUND(sales_data_1[[#This Row],[Profit_Margin]],2)=ROUND((sales_data_1[[#This Row],[Unit_Price]]*(1-sales_data_1[[#This Row],[Discount]]) - sales_data_1[[#This Row],[Unit_Cost]])*sales_data_1[[#This Row],[Quantity_Sold]],2), "PASS", "CHECK")</f>
        <v>PASS</v>
      </c>
    </row>
    <row r="358" spans="1:20" x14ac:dyDescent="0.35">
      <c r="A358" s="7">
        <v>357</v>
      </c>
      <c r="B358" s="9">
        <v>1041</v>
      </c>
      <c r="C358" s="7" t="str">
        <f>IFERROR(_xlfn.TEXTJOIN("-", TRUE, _xlfn.XLOOKUP(K358, product_category_id_lookup!$A$2:$A$5, product_category_id_lookup!$B$2:$B$5), B358), "Unknown Category")</f>
        <v>fd-1041</v>
      </c>
      <c r="D358" s="8">
        <v>44674</v>
      </c>
      <c r="E358" s="7">
        <f t="shared" si="15"/>
        <v>2022</v>
      </c>
      <c r="F358" s="28" t="str">
        <f t="shared" si="16"/>
        <v>Apr</v>
      </c>
      <c r="G358" s="17" t="s">
        <v>29</v>
      </c>
      <c r="H358" s="17" t="s">
        <v>23</v>
      </c>
      <c r="I358" s="24">
        <v>110881.302</v>
      </c>
      <c r="J358" s="32">
        <v>30</v>
      </c>
      <c r="K358" s="17" t="s">
        <v>24</v>
      </c>
      <c r="L358" s="24">
        <v>3147.41</v>
      </c>
      <c r="M358" s="24">
        <v>4507.37</v>
      </c>
      <c r="N358" s="34">
        <f>((sales_data_1[[#This Row],[Unit_Price]]*(1-sales_data_1[[#This Row],[Discount]]))-sales_data_1[[#This Row],[Unit_Cost]])*sales_data_1[[#This Row],[Quantity_Sold]]</f>
        <v>16459.002000000004</v>
      </c>
      <c r="O358" s="17" t="s">
        <v>17</v>
      </c>
      <c r="P358" s="26">
        <v>0.18</v>
      </c>
      <c r="Q358" s="17" t="s">
        <v>28</v>
      </c>
      <c r="R358" s="17" t="s">
        <v>21</v>
      </c>
      <c r="S358" s="49" t="str">
        <f t="shared" si="17"/>
        <v>Charlie-South</v>
      </c>
      <c r="T358" s="59" t="str">
        <f>IF(ROUND(sales_data_1[[#This Row],[Profit_Margin]],2)=ROUND((sales_data_1[[#This Row],[Unit_Price]]*(1-sales_data_1[[#This Row],[Discount]]) - sales_data_1[[#This Row],[Unit_Cost]])*sales_data_1[[#This Row],[Quantity_Sold]],2), "PASS", "CHECK")</f>
        <v>PASS</v>
      </c>
    </row>
    <row r="359" spans="1:20" x14ac:dyDescent="0.35">
      <c r="A359" s="7">
        <v>358</v>
      </c>
      <c r="B359" s="9">
        <v>1020</v>
      </c>
      <c r="C359" s="7" t="str">
        <f>IFERROR(_xlfn.TEXTJOIN("-", TRUE, _xlfn.XLOOKUP(K359, product_category_id_lookup!$A$2:$A$5, product_category_id_lookup!$B$2:$B$5), B359), "Unknown Category")</f>
        <v>etc-1020</v>
      </c>
      <c r="D359" s="8">
        <v>44674</v>
      </c>
      <c r="E359" s="7">
        <f t="shared" si="15"/>
        <v>2022</v>
      </c>
      <c r="F359" s="28" t="str">
        <f t="shared" si="16"/>
        <v>Apr</v>
      </c>
      <c r="G359" s="17" t="s">
        <v>32</v>
      </c>
      <c r="H359" s="17" t="s">
        <v>30</v>
      </c>
      <c r="I359" s="24">
        <v>32818.2768</v>
      </c>
      <c r="J359" s="32">
        <v>9</v>
      </c>
      <c r="K359" s="17" t="s">
        <v>31</v>
      </c>
      <c r="L359" s="24">
        <v>783.7</v>
      </c>
      <c r="M359" s="24">
        <v>3963.56</v>
      </c>
      <c r="N359" s="34">
        <f>((sales_data_1[[#This Row],[Unit_Price]]*(1-sales_data_1[[#This Row],[Discount]]))-sales_data_1[[#This Row],[Unit_Cost]])*sales_data_1[[#This Row],[Quantity_Sold]]</f>
        <v>25764.9768</v>
      </c>
      <c r="O359" s="17" t="s">
        <v>17</v>
      </c>
      <c r="P359" s="26">
        <v>0.08</v>
      </c>
      <c r="Q359" s="17" t="s">
        <v>28</v>
      </c>
      <c r="R359" s="17" t="s">
        <v>21</v>
      </c>
      <c r="S359" s="49" t="str">
        <f t="shared" si="17"/>
        <v>Eve-East</v>
      </c>
      <c r="T359" s="59" t="str">
        <f>IF(ROUND(sales_data_1[[#This Row],[Profit_Margin]],2)=ROUND((sales_data_1[[#This Row],[Unit_Price]]*(1-sales_data_1[[#This Row],[Discount]]) - sales_data_1[[#This Row],[Unit_Cost]])*sales_data_1[[#This Row],[Quantity_Sold]],2), "PASS", "CHECK")</f>
        <v>PASS</v>
      </c>
    </row>
    <row r="360" spans="1:20" x14ac:dyDescent="0.35">
      <c r="A360" s="7">
        <v>359</v>
      </c>
      <c r="B360" s="9">
        <v>1015</v>
      </c>
      <c r="C360" s="7" t="str">
        <f>IFERROR(_xlfn.TEXTJOIN("-", TRUE, _xlfn.XLOOKUP(K360, product_category_id_lookup!$A$2:$A$5, product_category_id_lookup!$B$2:$B$5), B360), "Unknown Category")</f>
        <v>ctg-1015</v>
      </c>
      <c r="D360" s="8">
        <v>44674</v>
      </c>
      <c r="E360" s="7">
        <f t="shared" si="15"/>
        <v>2022</v>
      </c>
      <c r="F360" s="28" t="str">
        <f t="shared" si="16"/>
        <v>Apr</v>
      </c>
      <c r="G360" s="17" t="s">
        <v>32</v>
      </c>
      <c r="H360" s="17" t="s">
        <v>20</v>
      </c>
      <c r="I360" s="24">
        <v>181414.92600000001</v>
      </c>
      <c r="J360" s="32">
        <v>44</v>
      </c>
      <c r="K360" s="17" t="s">
        <v>26</v>
      </c>
      <c r="L360" s="24">
        <v>3182.64</v>
      </c>
      <c r="M360" s="24">
        <v>4340.07</v>
      </c>
      <c r="N360" s="34">
        <f>((sales_data_1[[#This Row],[Unit_Price]]*(1-sales_data_1[[#This Row],[Discount]]))-sales_data_1[[#This Row],[Unit_Cost]])*sales_data_1[[#This Row],[Quantity_Sold]]</f>
        <v>41378.766000000003</v>
      </c>
      <c r="O360" s="17" t="s">
        <v>27</v>
      </c>
      <c r="P360" s="26">
        <v>0.05</v>
      </c>
      <c r="Q360" s="17" t="s">
        <v>28</v>
      </c>
      <c r="R360" s="17" t="s">
        <v>19</v>
      </c>
      <c r="S360" s="49" t="str">
        <f t="shared" si="17"/>
        <v>Eve-West</v>
      </c>
      <c r="T360" s="59" t="str">
        <f>IF(ROUND(sales_data_1[[#This Row],[Profit_Margin]],2)=ROUND((sales_data_1[[#This Row],[Unit_Price]]*(1-sales_data_1[[#This Row],[Discount]]) - sales_data_1[[#This Row],[Unit_Cost]])*sales_data_1[[#This Row],[Quantity_Sold]],2), "PASS", "CHECK")</f>
        <v>PASS</v>
      </c>
    </row>
    <row r="361" spans="1:20" x14ac:dyDescent="0.35">
      <c r="A361" s="7">
        <v>360</v>
      </c>
      <c r="B361" s="9">
        <v>1067</v>
      </c>
      <c r="C361" s="7" t="str">
        <f>IFERROR(_xlfn.TEXTJOIN("-", TRUE, _xlfn.XLOOKUP(K361, product_category_id_lookup!$A$2:$A$5, product_category_id_lookup!$B$2:$B$5), B361), "Unknown Category")</f>
        <v>ctg-1067</v>
      </c>
      <c r="D361" s="8">
        <v>44674</v>
      </c>
      <c r="E361" s="7">
        <f t="shared" si="15"/>
        <v>2022</v>
      </c>
      <c r="F361" s="28" t="str">
        <f t="shared" si="16"/>
        <v>Apr</v>
      </c>
      <c r="G361" s="17" t="s">
        <v>32</v>
      </c>
      <c r="H361" s="17" t="s">
        <v>23</v>
      </c>
      <c r="I361" s="24">
        <v>94431.039999999994</v>
      </c>
      <c r="J361" s="32">
        <v>22</v>
      </c>
      <c r="K361" s="17" t="s">
        <v>26</v>
      </c>
      <c r="L361" s="24">
        <v>1969.99</v>
      </c>
      <c r="M361" s="24">
        <v>5365.4</v>
      </c>
      <c r="N361" s="34">
        <f>((sales_data_1[[#This Row],[Unit_Price]]*(1-sales_data_1[[#This Row],[Discount]]))-sales_data_1[[#This Row],[Unit_Cost]])*sales_data_1[[#This Row],[Quantity_Sold]]</f>
        <v>51091.259999999995</v>
      </c>
      <c r="O361" s="17" t="s">
        <v>17</v>
      </c>
      <c r="P361" s="26">
        <v>0.2</v>
      </c>
      <c r="Q361" s="17" t="s">
        <v>25</v>
      </c>
      <c r="R361" s="17" t="s">
        <v>19</v>
      </c>
      <c r="S361" s="49" t="str">
        <f t="shared" si="17"/>
        <v>Eve-South</v>
      </c>
      <c r="T361" s="59" t="str">
        <f>IF(ROUND(sales_data_1[[#This Row],[Profit_Margin]],2)=ROUND((sales_data_1[[#This Row],[Unit_Price]]*(1-sales_data_1[[#This Row],[Discount]]) - sales_data_1[[#This Row],[Unit_Cost]])*sales_data_1[[#This Row],[Quantity_Sold]],2), "PASS", "CHECK")</f>
        <v>PASS</v>
      </c>
    </row>
    <row r="362" spans="1:20" x14ac:dyDescent="0.35">
      <c r="A362" s="7">
        <v>361</v>
      </c>
      <c r="B362" s="9">
        <v>1010</v>
      </c>
      <c r="C362" s="7" t="str">
        <f>IFERROR(_xlfn.TEXTJOIN("-", TRUE, _xlfn.XLOOKUP(K362, product_category_id_lookup!$A$2:$A$5, product_category_id_lookup!$B$2:$B$5), B362), "Unknown Category")</f>
        <v>ctg-1010</v>
      </c>
      <c r="D362" s="8">
        <v>44674</v>
      </c>
      <c r="E362" s="7">
        <f t="shared" si="15"/>
        <v>2022</v>
      </c>
      <c r="F362" s="28" t="str">
        <f t="shared" si="16"/>
        <v>Apr</v>
      </c>
      <c r="G362" s="17" t="s">
        <v>29</v>
      </c>
      <c r="H362" s="17" t="s">
        <v>23</v>
      </c>
      <c r="I362" s="24">
        <v>145423.29270000002</v>
      </c>
      <c r="J362" s="32">
        <v>49</v>
      </c>
      <c r="K362" s="17" t="s">
        <v>26</v>
      </c>
      <c r="L362" s="24">
        <v>1095.27</v>
      </c>
      <c r="M362" s="24">
        <v>4065.51</v>
      </c>
      <c r="N362" s="34">
        <f>((sales_data_1[[#This Row],[Unit_Price]]*(1-sales_data_1[[#This Row],[Discount]]))-sales_data_1[[#This Row],[Unit_Cost]])*sales_data_1[[#This Row],[Quantity_Sold]]</f>
        <v>91755.062700000009</v>
      </c>
      <c r="O362" s="17" t="s">
        <v>17</v>
      </c>
      <c r="P362" s="26">
        <v>0.27</v>
      </c>
      <c r="Q362" s="17" t="s">
        <v>25</v>
      </c>
      <c r="R362" s="17" t="s">
        <v>21</v>
      </c>
      <c r="S362" s="49" t="str">
        <f t="shared" si="17"/>
        <v>Charlie-South</v>
      </c>
      <c r="T362" s="59" t="str">
        <f>IF(ROUND(sales_data_1[[#This Row],[Profit_Margin]],2)=ROUND((sales_data_1[[#This Row],[Unit_Price]]*(1-sales_data_1[[#This Row],[Discount]]) - sales_data_1[[#This Row],[Unit_Cost]])*sales_data_1[[#This Row],[Quantity_Sold]],2), "PASS", "CHECK")</f>
        <v>PASS</v>
      </c>
    </row>
    <row r="363" spans="1:20" x14ac:dyDescent="0.35">
      <c r="A363" s="7">
        <v>362</v>
      </c>
      <c r="B363" s="9">
        <v>1045</v>
      </c>
      <c r="C363" s="7" t="str">
        <f>IFERROR(_xlfn.TEXTJOIN("-", TRUE, _xlfn.XLOOKUP(K363, product_category_id_lookup!$A$2:$A$5, product_category_id_lookup!$B$2:$B$5), B363), "Unknown Category")</f>
        <v>fd-1045</v>
      </c>
      <c r="D363" s="8">
        <v>44675</v>
      </c>
      <c r="E363" s="7">
        <f t="shared" si="15"/>
        <v>2022</v>
      </c>
      <c r="F363" s="28" t="str">
        <f t="shared" si="16"/>
        <v>Apr</v>
      </c>
      <c r="G363" s="17" t="s">
        <v>32</v>
      </c>
      <c r="H363" s="17" t="s">
        <v>20</v>
      </c>
      <c r="I363" s="24">
        <v>49211.520000000004</v>
      </c>
      <c r="J363" s="32">
        <v>30</v>
      </c>
      <c r="K363" s="17" t="s">
        <v>24</v>
      </c>
      <c r="L363" s="24">
        <v>635.78</v>
      </c>
      <c r="M363" s="24">
        <v>2050.48</v>
      </c>
      <c r="N363" s="34">
        <f>((sales_data_1[[#This Row],[Unit_Price]]*(1-sales_data_1[[#This Row],[Discount]]))-sales_data_1[[#This Row],[Unit_Cost]])*sales_data_1[[#This Row],[Quantity_Sold]]</f>
        <v>30138.120000000003</v>
      </c>
      <c r="O363" s="17" t="s">
        <v>27</v>
      </c>
      <c r="P363" s="26">
        <v>0.2</v>
      </c>
      <c r="Q363" s="17" t="s">
        <v>28</v>
      </c>
      <c r="R363" s="17" t="s">
        <v>21</v>
      </c>
      <c r="S363" s="49" t="str">
        <f t="shared" si="17"/>
        <v>Eve-West</v>
      </c>
      <c r="T363" s="59" t="str">
        <f>IF(ROUND(sales_data_1[[#This Row],[Profit_Margin]],2)=ROUND((sales_data_1[[#This Row],[Unit_Price]]*(1-sales_data_1[[#This Row],[Discount]]) - sales_data_1[[#This Row],[Unit_Cost]])*sales_data_1[[#This Row],[Quantity_Sold]],2), "PASS", "CHECK")</f>
        <v>PASS</v>
      </c>
    </row>
    <row r="364" spans="1:20" x14ac:dyDescent="0.35">
      <c r="A364" s="7">
        <v>363</v>
      </c>
      <c r="B364" s="9">
        <v>1080</v>
      </c>
      <c r="C364" s="7" t="str">
        <f>IFERROR(_xlfn.TEXTJOIN("-", TRUE, _xlfn.XLOOKUP(K364, product_category_id_lookup!$A$2:$A$5, product_category_id_lookup!$B$2:$B$5), B364), "Unknown Category")</f>
        <v>fd-1080</v>
      </c>
      <c r="D364" s="8">
        <v>44675</v>
      </c>
      <c r="E364" s="7">
        <f t="shared" si="15"/>
        <v>2022</v>
      </c>
      <c r="F364" s="28" t="str">
        <f t="shared" si="16"/>
        <v>Apr</v>
      </c>
      <c r="G364" s="17" t="s">
        <v>14</v>
      </c>
      <c r="H364" s="17" t="s">
        <v>23</v>
      </c>
      <c r="I364" s="24">
        <v>80975.143200000006</v>
      </c>
      <c r="J364" s="32">
        <v>23</v>
      </c>
      <c r="K364" s="17" t="s">
        <v>24</v>
      </c>
      <c r="L364" s="24">
        <v>2068.96</v>
      </c>
      <c r="M364" s="24">
        <v>4191.26</v>
      </c>
      <c r="N364" s="34">
        <f>((sales_data_1[[#This Row],[Unit_Price]]*(1-sales_data_1[[#This Row],[Discount]]))-sales_data_1[[#This Row],[Unit_Cost]])*sales_data_1[[#This Row],[Quantity_Sold]]</f>
        <v>33389.063200000004</v>
      </c>
      <c r="O364" s="17" t="s">
        <v>27</v>
      </c>
      <c r="P364" s="26">
        <v>0.16</v>
      </c>
      <c r="Q364" s="17" t="s">
        <v>25</v>
      </c>
      <c r="R364" s="17" t="s">
        <v>21</v>
      </c>
      <c r="S364" s="49" t="str">
        <f t="shared" si="17"/>
        <v>Bob-South</v>
      </c>
      <c r="T364" s="59" t="str">
        <f>IF(ROUND(sales_data_1[[#This Row],[Profit_Margin]],2)=ROUND((sales_data_1[[#This Row],[Unit_Price]]*(1-sales_data_1[[#This Row],[Discount]]) - sales_data_1[[#This Row],[Unit_Cost]])*sales_data_1[[#This Row],[Quantity_Sold]],2), "PASS", "CHECK")</f>
        <v>PASS</v>
      </c>
    </row>
    <row r="365" spans="1:20" x14ac:dyDescent="0.35">
      <c r="A365" s="7">
        <v>364</v>
      </c>
      <c r="B365" s="9">
        <v>1075</v>
      </c>
      <c r="C365" s="7" t="str">
        <f>IFERROR(_xlfn.TEXTJOIN("-", TRUE, _xlfn.XLOOKUP(K365, product_category_id_lookup!$A$2:$A$5, product_category_id_lookup!$B$2:$B$5), B365), "Unknown Category")</f>
        <v>fnt-1075</v>
      </c>
      <c r="D365" s="8">
        <v>44675</v>
      </c>
      <c r="E365" s="7">
        <f t="shared" si="15"/>
        <v>2022</v>
      </c>
      <c r="F365" s="28" t="str">
        <f t="shared" si="16"/>
        <v>Apr</v>
      </c>
      <c r="G365" s="17" t="s">
        <v>29</v>
      </c>
      <c r="H365" s="17" t="s">
        <v>30</v>
      </c>
      <c r="I365" s="24">
        <v>174934.81499999997</v>
      </c>
      <c r="J365" s="32">
        <v>50</v>
      </c>
      <c r="K365" s="17" t="s">
        <v>16</v>
      </c>
      <c r="L365" s="24">
        <v>1635.29</v>
      </c>
      <c r="M365" s="24">
        <v>4021.49</v>
      </c>
      <c r="N365" s="34">
        <f>((sales_data_1[[#This Row],[Unit_Price]]*(1-sales_data_1[[#This Row],[Discount]]))-sales_data_1[[#This Row],[Unit_Cost]])*sales_data_1[[#This Row],[Quantity_Sold]]</f>
        <v>93170.314999999988</v>
      </c>
      <c r="O365" s="17" t="s">
        <v>17</v>
      </c>
      <c r="P365" s="26">
        <v>0.13</v>
      </c>
      <c r="Q365" s="17" t="s">
        <v>25</v>
      </c>
      <c r="R365" s="17" t="s">
        <v>21</v>
      </c>
      <c r="S365" s="49" t="str">
        <f t="shared" si="17"/>
        <v>Charlie-East</v>
      </c>
      <c r="T365" s="59" t="str">
        <f>IF(ROUND(sales_data_1[[#This Row],[Profit_Margin]],2)=ROUND((sales_data_1[[#This Row],[Unit_Price]]*(1-sales_data_1[[#This Row],[Discount]]) - sales_data_1[[#This Row],[Unit_Cost]])*sales_data_1[[#This Row],[Quantity_Sold]],2), "PASS", "CHECK")</f>
        <v>PASS</v>
      </c>
    </row>
    <row r="366" spans="1:20" x14ac:dyDescent="0.35">
      <c r="A366" s="7">
        <v>365</v>
      </c>
      <c r="B366" s="9">
        <v>1044</v>
      </c>
      <c r="C366" s="7" t="str">
        <f>IFERROR(_xlfn.TEXTJOIN("-", TRUE, _xlfn.XLOOKUP(K366, product_category_id_lookup!$A$2:$A$5, product_category_id_lookup!$B$2:$B$5), B366), "Unknown Category")</f>
        <v>ctg-1044</v>
      </c>
      <c r="D366" s="8">
        <v>44676</v>
      </c>
      <c r="E366" s="7">
        <f t="shared" si="15"/>
        <v>2022</v>
      </c>
      <c r="F366" s="28" t="str">
        <f t="shared" si="16"/>
        <v>Apr</v>
      </c>
      <c r="G366" s="17" t="s">
        <v>14</v>
      </c>
      <c r="H366" s="17" t="s">
        <v>30</v>
      </c>
      <c r="I366" s="24">
        <v>17575.812800000003</v>
      </c>
      <c r="J366" s="32">
        <v>4</v>
      </c>
      <c r="K366" s="17" t="s">
        <v>26</v>
      </c>
      <c r="L366" s="24">
        <v>4136.68</v>
      </c>
      <c r="M366" s="24">
        <v>4828.5200000000004</v>
      </c>
      <c r="N366" s="34">
        <f>((sales_data_1[[#This Row],[Unit_Price]]*(1-sales_data_1[[#This Row],[Discount]]))-sales_data_1[[#This Row],[Unit_Cost]])*sales_data_1[[#This Row],[Quantity_Sold]]</f>
        <v>1029.0928000000022</v>
      </c>
      <c r="O366" s="17" t="s">
        <v>27</v>
      </c>
      <c r="P366" s="26">
        <v>0.09</v>
      </c>
      <c r="Q366" s="17" t="s">
        <v>28</v>
      </c>
      <c r="R366" s="17" t="s">
        <v>21</v>
      </c>
      <c r="S366" s="49" t="str">
        <f t="shared" si="17"/>
        <v>Bob-East</v>
      </c>
      <c r="T366" s="59" t="str">
        <f>IF(ROUND(sales_data_1[[#This Row],[Profit_Margin]],2)=ROUND((sales_data_1[[#This Row],[Unit_Price]]*(1-sales_data_1[[#This Row],[Discount]]) - sales_data_1[[#This Row],[Unit_Cost]])*sales_data_1[[#This Row],[Quantity_Sold]],2), "PASS", "CHECK")</f>
        <v>PASS</v>
      </c>
    </row>
    <row r="367" spans="1:20" x14ac:dyDescent="0.35">
      <c r="A367" s="7">
        <v>366</v>
      </c>
      <c r="B367" s="9">
        <v>1063</v>
      </c>
      <c r="C367" s="7" t="str">
        <f>IFERROR(_xlfn.TEXTJOIN("-", TRUE, _xlfn.XLOOKUP(K367, product_category_id_lookup!$A$2:$A$5, product_category_id_lookup!$B$2:$B$5), B367), "Unknown Category")</f>
        <v>ctg-1063</v>
      </c>
      <c r="D367" s="8">
        <v>44676</v>
      </c>
      <c r="E367" s="7">
        <f t="shared" si="15"/>
        <v>2022</v>
      </c>
      <c r="F367" s="28" t="str">
        <f t="shared" si="16"/>
        <v>Apr</v>
      </c>
      <c r="G367" s="17" t="s">
        <v>14</v>
      </c>
      <c r="H367" s="17" t="s">
        <v>20</v>
      </c>
      <c r="I367" s="24">
        <v>46978.014681496097</v>
      </c>
      <c r="J367" s="32">
        <v>13</v>
      </c>
      <c r="K367" s="17" t="s">
        <v>26</v>
      </c>
      <c r="L367" s="24">
        <v>3354.25</v>
      </c>
      <c r="M367" s="24">
        <v>3626.18</v>
      </c>
      <c r="N367" s="34">
        <f>((sales_data_1[[#This Row],[Unit_Price]]*(1-sales_data_1[[#This Row],[Discount]]))-sales_data_1[[#This Row],[Unit_Cost]])*sales_data_1[[#This Row],[Quantity_Sold]]</f>
        <v>3535.0899999999979</v>
      </c>
      <c r="O367" s="17" t="s">
        <v>17</v>
      </c>
      <c r="P367" s="26">
        <v>0</v>
      </c>
      <c r="Q367" s="17" t="s">
        <v>18</v>
      </c>
      <c r="R367" s="17" t="s">
        <v>19</v>
      </c>
      <c r="S367" s="49" t="str">
        <f t="shared" si="17"/>
        <v>Bob-West</v>
      </c>
      <c r="T367" s="59" t="str">
        <f>IF(ROUND(sales_data_1[[#This Row],[Profit_Margin]],2)=ROUND((sales_data_1[[#This Row],[Unit_Price]]*(1-sales_data_1[[#This Row],[Discount]]) - sales_data_1[[#This Row],[Unit_Cost]])*sales_data_1[[#This Row],[Quantity_Sold]],2), "PASS", "CHECK")</f>
        <v>PASS</v>
      </c>
    </row>
    <row r="368" spans="1:20" x14ac:dyDescent="0.35">
      <c r="A368" s="7">
        <v>367</v>
      </c>
      <c r="B368" s="9">
        <v>1050</v>
      </c>
      <c r="C368" s="7" t="str">
        <f>IFERROR(_xlfn.TEXTJOIN("-", TRUE, _xlfn.XLOOKUP(K368, product_category_id_lookup!$A$2:$A$5, product_category_id_lookup!$B$2:$B$5), B368), "Unknown Category")</f>
        <v>ctg-1050</v>
      </c>
      <c r="D368" s="8">
        <v>44676</v>
      </c>
      <c r="E368" s="7">
        <f t="shared" si="15"/>
        <v>2022</v>
      </c>
      <c r="F368" s="28" t="str">
        <f t="shared" si="16"/>
        <v>Apr</v>
      </c>
      <c r="G368" s="17" t="s">
        <v>14</v>
      </c>
      <c r="H368" s="17" t="s">
        <v>15</v>
      </c>
      <c r="I368" s="24">
        <v>43331.651438301633</v>
      </c>
      <c r="J368" s="32">
        <v>10</v>
      </c>
      <c r="K368" s="17" t="s">
        <v>26</v>
      </c>
      <c r="L368" s="24">
        <v>3864.28</v>
      </c>
      <c r="M368" s="24">
        <v>4399.1499999999996</v>
      </c>
      <c r="N368" s="34">
        <f>((sales_data_1[[#This Row],[Unit_Price]]*(1-sales_data_1[[#This Row],[Discount]]))-sales_data_1[[#This Row],[Unit_Cost]])*sales_data_1[[#This Row],[Quantity_Sold]]</f>
        <v>4908.7849999999935</v>
      </c>
      <c r="O368" s="17" t="s">
        <v>27</v>
      </c>
      <c r="P368" s="26">
        <v>0.01</v>
      </c>
      <c r="Q368" s="17" t="s">
        <v>25</v>
      </c>
      <c r="R368" s="17" t="s">
        <v>21</v>
      </c>
      <c r="S368" s="49" t="str">
        <f t="shared" si="17"/>
        <v>Bob-North</v>
      </c>
      <c r="T368" s="59" t="str">
        <f>IF(ROUND(sales_data_1[[#This Row],[Profit_Margin]],2)=ROUND((sales_data_1[[#This Row],[Unit_Price]]*(1-sales_data_1[[#This Row],[Discount]]) - sales_data_1[[#This Row],[Unit_Cost]])*sales_data_1[[#This Row],[Quantity_Sold]],2), "PASS", "CHECK")</f>
        <v>PASS</v>
      </c>
    </row>
    <row r="369" spans="1:20" x14ac:dyDescent="0.35">
      <c r="A369" s="7">
        <v>368</v>
      </c>
      <c r="B369" s="9">
        <v>1059</v>
      </c>
      <c r="C369" s="7" t="str">
        <f>IFERROR(_xlfn.TEXTJOIN("-", TRUE, _xlfn.XLOOKUP(K369, product_category_id_lookup!$A$2:$A$5, product_category_id_lookup!$B$2:$B$5), B369), "Unknown Category")</f>
        <v>etc-1059</v>
      </c>
      <c r="D369" s="8">
        <v>44676</v>
      </c>
      <c r="E369" s="7">
        <f t="shared" si="15"/>
        <v>2022</v>
      </c>
      <c r="F369" s="28" t="str">
        <f t="shared" si="16"/>
        <v>Apr</v>
      </c>
      <c r="G369" s="17" t="s">
        <v>32</v>
      </c>
      <c r="H369" s="17" t="s">
        <v>30</v>
      </c>
      <c r="I369" s="24">
        <v>30188.250399999997</v>
      </c>
      <c r="J369" s="32">
        <v>7</v>
      </c>
      <c r="K369" s="17" t="s">
        <v>31</v>
      </c>
      <c r="L369" s="24">
        <v>3579.34</v>
      </c>
      <c r="M369" s="24">
        <v>4587.88</v>
      </c>
      <c r="N369" s="34">
        <f>((sales_data_1[[#This Row],[Unit_Price]]*(1-sales_data_1[[#This Row],[Discount]]))-sales_data_1[[#This Row],[Unit_Cost]])*sales_data_1[[#This Row],[Quantity_Sold]]</f>
        <v>5132.8703999999952</v>
      </c>
      <c r="O369" s="17" t="s">
        <v>27</v>
      </c>
      <c r="P369" s="26">
        <v>0.06</v>
      </c>
      <c r="Q369" s="17" t="s">
        <v>25</v>
      </c>
      <c r="R369" s="17" t="s">
        <v>19</v>
      </c>
      <c r="S369" s="49" t="str">
        <f t="shared" si="17"/>
        <v>Eve-East</v>
      </c>
      <c r="T369" s="59" t="str">
        <f>IF(ROUND(sales_data_1[[#This Row],[Profit_Margin]],2)=ROUND((sales_data_1[[#This Row],[Unit_Price]]*(1-sales_data_1[[#This Row],[Discount]]) - sales_data_1[[#This Row],[Unit_Cost]])*sales_data_1[[#This Row],[Quantity_Sold]],2), "PASS", "CHECK")</f>
        <v>PASS</v>
      </c>
    </row>
    <row r="370" spans="1:20" x14ac:dyDescent="0.35">
      <c r="A370" s="7">
        <v>369</v>
      </c>
      <c r="B370" s="9">
        <v>1013</v>
      </c>
      <c r="C370" s="7" t="str">
        <f>IFERROR(_xlfn.TEXTJOIN("-", TRUE, _xlfn.XLOOKUP(K370, product_category_id_lookup!$A$2:$A$5, product_category_id_lookup!$B$2:$B$5), B370), "Unknown Category")</f>
        <v>fd-1013</v>
      </c>
      <c r="D370" s="8">
        <v>44676</v>
      </c>
      <c r="E370" s="7">
        <f t="shared" si="15"/>
        <v>2022</v>
      </c>
      <c r="F370" s="28" t="str">
        <f t="shared" si="16"/>
        <v>Apr</v>
      </c>
      <c r="G370" s="17" t="s">
        <v>14</v>
      </c>
      <c r="H370" s="17" t="s">
        <v>23</v>
      </c>
      <c r="I370" s="24">
        <v>14579.473500000002</v>
      </c>
      <c r="J370" s="32">
        <v>5</v>
      </c>
      <c r="K370" s="17" t="s">
        <v>24</v>
      </c>
      <c r="L370" s="24">
        <v>189.41</v>
      </c>
      <c r="M370" s="24">
        <v>3599.87</v>
      </c>
      <c r="N370" s="34">
        <f>((sales_data_1[[#This Row],[Unit_Price]]*(1-sales_data_1[[#This Row],[Discount]]))-sales_data_1[[#This Row],[Unit_Cost]])*sales_data_1[[#This Row],[Quantity_Sold]]</f>
        <v>13632.423500000003</v>
      </c>
      <c r="O370" s="17" t="s">
        <v>17</v>
      </c>
      <c r="P370" s="26">
        <v>0.19</v>
      </c>
      <c r="Q370" s="17" t="s">
        <v>18</v>
      </c>
      <c r="R370" s="17" t="s">
        <v>21</v>
      </c>
      <c r="S370" s="49" t="str">
        <f t="shared" si="17"/>
        <v>Bob-South</v>
      </c>
      <c r="T370" s="59" t="str">
        <f>IF(ROUND(sales_data_1[[#This Row],[Profit_Margin]],2)=ROUND((sales_data_1[[#This Row],[Unit_Price]]*(1-sales_data_1[[#This Row],[Discount]]) - sales_data_1[[#This Row],[Unit_Cost]])*sales_data_1[[#This Row],[Quantity_Sold]],2), "PASS", "CHECK")</f>
        <v>PASS</v>
      </c>
    </row>
    <row r="371" spans="1:20" x14ac:dyDescent="0.35">
      <c r="A371" s="7">
        <v>370</v>
      </c>
      <c r="B371" s="9">
        <v>1036</v>
      </c>
      <c r="C371" s="7" t="str">
        <f>IFERROR(_xlfn.TEXTJOIN("-", TRUE, _xlfn.XLOOKUP(K371, product_category_id_lookup!$A$2:$A$5, product_category_id_lookup!$B$2:$B$5), B371), "Unknown Category")</f>
        <v>ctg-1036</v>
      </c>
      <c r="D371" s="8">
        <v>44676</v>
      </c>
      <c r="E371" s="7">
        <f t="shared" si="15"/>
        <v>2022</v>
      </c>
      <c r="F371" s="28" t="str">
        <f t="shared" si="16"/>
        <v>Apr</v>
      </c>
      <c r="G371" s="17" t="s">
        <v>22</v>
      </c>
      <c r="H371" s="17" t="s">
        <v>30</v>
      </c>
      <c r="I371" s="24">
        <v>90769.305599999992</v>
      </c>
      <c r="J371" s="32">
        <v>24</v>
      </c>
      <c r="K371" s="17" t="s">
        <v>26</v>
      </c>
      <c r="L371" s="24">
        <v>414.8</v>
      </c>
      <c r="M371" s="24">
        <v>3939.64</v>
      </c>
      <c r="N371" s="34">
        <f>((sales_data_1[[#This Row],[Unit_Price]]*(1-sales_data_1[[#This Row],[Discount]]))-sales_data_1[[#This Row],[Unit_Cost]])*sales_data_1[[#This Row],[Quantity_Sold]]</f>
        <v>80814.105599999981</v>
      </c>
      <c r="O371" s="17" t="s">
        <v>27</v>
      </c>
      <c r="P371" s="26">
        <v>0.04</v>
      </c>
      <c r="Q371" s="17" t="s">
        <v>28</v>
      </c>
      <c r="R371" s="17" t="s">
        <v>19</v>
      </c>
      <c r="S371" s="49" t="str">
        <f t="shared" si="17"/>
        <v>David-East</v>
      </c>
      <c r="T371" s="59" t="str">
        <f>IF(ROUND(sales_data_1[[#This Row],[Profit_Margin]],2)=ROUND((sales_data_1[[#This Row],[Unit_Price]]*(1-sales_data_1[[#This Row],[Discount]]) - sales_data_1[[#This Row],[Unit_Cost]])*sales_data_1[[#This Row],[Quantity_Sold]],2), "PASS", "CHECK")</f>
        <v>PASS</v>
      </c>
    </row>
    <row r="372" spans="1:20" x14ac:dyDescent="0.35">
      <c r="A372" s="7">
        <v>371</v>
      </c>
      <c r="B372" s="9">
        <v>1009</v>
      </c>
      <c r="C372" s="7" t="str">
        <f>IFERROR(_xlfn.TEXTJOIN("-", TRUE, _xlfn.XLOOKUP(K372, product_category_id_lookup!$A$2:$A$5, product_category_id_lookup!$B$2:$B$5), B372), "Unknown Category")</f>
        <v>etc-1009</v>
      </c>
      <c r="D372" s="8">
        <v>44677</v>
      </c>
      <c r="E372" s="7">
        <f t="shared" si="15"/>
        <v>2022</v>
      </c>
      <c r="F372" s="28" t="str">
        <f t="shared" si="16"/>
        <v>Apr</v>
      </c>
      <c r="G372" s="17" t="s">
        <v>14</v>
      </c>
      <c r="H372" s="17" t="s">
        <v>30</v>
      </c>
      <c r="I372" s="24">
        <v>27283.368000000002</v>
      </c>
      <c r="J372" s="32">
        <v>12</v>
      </c>
      <c r="K372" s="17" t="s">
        <v>31</v>
      </c>
      <c r="L372" s="24">
        <v>692.4</v>
      </c>
      <c r="M372" s="24">
        <v>2772.7</v>
      </c>
      <c r="N372" s="34">
        <f>((sales_data_1[[#This Row],[Unit_Price]]*(1-sales_data_1[[#This Row],[Discount]]))-sales_data_1[[#This Row],[Unit_Cost]])*sales_data_1[[#This Row],[Quantity_Sold]]</f>
        <v>18974.567999999999</v>
      </c>
      <c r="O372" s="17" t="s">
        <v>27</v>
      </c>
      <c r="P372" s="26">
        <v>0.18</v>
      </c>
      <c r="Q372" s="17" t="s">
        <v>25</v>
      </c>
      <c r="R372" s="17" t="s">
        <v>21</v>
      </c>
      <c r="S372" s="49" t="str">
        <f t="shared" si="17"/>
        <v>Bob-East</v>
      </c>
      <c r="T372" s="59" t="str">
        <f>IF(ROUND(sales_data_1[[#This Row],[Profit_Margin]],2)=ROUND((sales_data_1[[#This Row],[Unit_Price]]*(1-sales_data_1[[#This Row],[Discount]]) - sales_data_1[[#This Row],[Unit_Cost]])*sales_data_1[[#This Row],[Quantity_Sold]],2), "PASS", "CHECK")</f>
        <v>PASS</v>
      </c>
    </row>
    <row r="373" spans="1:20" x14ac:dyDescent="0.35">
      <c r="A373" s="7">
        <v>372</v>
      </c>
      <c r="B373" s="9">
        <v>1035</v>
      </c>
      <c r="C373" s="7" t="str">
        <f>IFERROR(_xlfn.TEXTJOIN("-", TRUE, _xlfn.XLOOKUP(K373, product_category_id_lookup!$A$2:$A$5, product_category_id_lookup!$B$2:$B$5), B373), "Unknown Category")</f>
        <v>fnt-1035</v>
      </c>
      <c r="D373" s="8">
        <v>44677</v>
      </c>
      <c r="E373" s="7">
        <f t="shared" si="15"/>
        <v>2022</v>
      </c>
      <c r="F373" s="28" t="str">
        <f t="shared" si="16"/>
        <v>Apr</v>
      </c>
      <c r="G373" s="17" t="s">
        <v>32</v>
      </c>
      <c r="H373" s="17" t="s">
        <v>30</v>
      </c>
      <c r="I373" s="24">
        <v>121339.6704</v>
      </c>
      <c r="J373" s="32">
        <v>39</v>
      </c>
      <c r="K373" s="17" t="s">
        <v>16</v>
      </c>
      <c r="L373" s="24">
        <v>1120.3599999999999</v>
      </c>
      <c r="M373" s="24">
        <v>3617.76</v>
      </c>
      <c r="N373" s="34">
        <f>((sales_data_1[[#This Row],[Unit_Price]]*(1-sales_data_1[[#This Row],[Discount]]))-sales_data_1[[#This Row],[Unit_Cost]])*sales_data_1[[#This Row],[Quantity_Sold]]</f>
        <v>77645.630400000009</v>
      </c>
      <c r="O373" s="17" t="s">
        <v>27</v>
      </c>
      <c r="P373" s="26">
        <v>0.14000000000000001</v>
      </c>
      <c r="Q373" s="17" t="s">
        <v>25</v>
      </c>
      <c r="R373" s="17" t="s">
        <v>19</v>
      </c>
      <c r="S373" s="49" t="str">
        <f t="shared" si="17"/>
        <v>Eve-East</v>
      </c>
      <c r="T373" s="59" t="str">
        <f>IF(ROUND(sales_data_1[[#This Row],[Profit_Margin]],2)=ROUND((sales_data_1[[#This Row],[Unit_Price]]*(1-sales_data_1[[#This Row],[Discount]]) - sales_data_1[[#This Row],[Unit_Cost]])*sales_data_1[[#This Row],[Quantity_Sold]],2), "PASS", "CHECK")</f>
        <v>PASS</v>
      </c>
    </row>
    <row r="374" spans="1:20" x14ac:dyDescent="0.35">
      <c r="A374" s="7">
        <v>373</v>
      </c>
      <c r="B374" s="9">
        <v>1090</v>
      </c>
      <c r="C374" s="7" t="str">
        <f>IFERROR(_xlfn.TEXTJOIN("-", TRUE, _xlfn.XLOOKUP(K374, product_category_id_lookup!$A$2:$A$5, product_category_id_lookup!$B$2:$B$5), B374), "Unknown Category")</f>
        <v>etc-1090</v>
      </c>
      <c r="D374" s="8">
        <v>44677</v>
      </c>
      <c r="E374" s="7">
        <f t="shared" si="15"/>
        <v>2022</v>
      </c>
      <c r="F374" s="28" t="str">
        <f t="shared" si="16"/>
        <v>Apr</v>
      </c>
      <c r="G374" s="17" t="s">
        <v>33</v>
      </c>
      <c r="H374" s="17" t="s">
        <v>23</v>
      </c>
      <c r="I374" s="24">
        <v>159836.23919999998</v>
      </c>
      <c r="J374" s="32">
        <v>44</v>
      </c>
      <c r="K374" s="17" t="s">
        <v>31</v>
      </c>
      <c r="L374" s="24">
        <v>890.49</v>
      </c>
      <c r="M374" s="24">
        <v>4081.62</v>
      </c>
      <c r="N374" s="34">
        <f>((sales_data_1[[#This Row],[Unit_Price]]*(1-sales_data_1[[#This Row],[Discount]]))-sales_data_1[[#This Row],[Unit_Cost]])*sales_data_1[[#This Row],[Quantity_Sold]]</f>
        <v>120654.67919999998</v>
      </c>
      <c r="O374" s="17" t="s">
        <v>17</v>
      </c>
      <c r="P374" s="26">
        <v>0.11</v>
      </c>
      <c r="Q374" s="17" t="s">
        <v>25</v>
      </c>
      <c r="R374" s="17" t="s">
        <v>21</v>
      </c>
      <c r="S374" s="49" t="str">
        <f t="shared" si="17"/>
        <v>Alice-South</v>
      </c>
      <c r="T374" s="59" t="str">
        <f>IF(ROUND(sales_data_1[[#This Row],[Profit_Margin]],2)=ROUND((sales_data_1[[#This Row],[Unit_Price]]*(1-sales_data_1[[#This Row],[Discount]]) - sales_data_1[[#This Row],[Unit_Cost]])*sales_data_1[[#This Row],[Quantity_Sold]],2), "PASS", "CHECK")</f>
        <v>PASS</v>
      </c>
    </row>
    <row r="375" spans="1:20" x14ac:dyDescent="0.35">
      <c r="A375" s="7">
        <v>374</v>
      </c>
      <c r="B375" s="9">
        <v>1093</v>
      </c>
      <c r="C375" s="7" t="str">
        <f>IFERROR(_xlfn.TEXTJOIN("-", TRUE, _xlfn.XLOOKUP(K375, product_category_id_lookup!$A$2:$A$5, product_category_id_lookup!$B$2:$B$5), B375), "Unknown Category")</f>
        <v>etc-1093</v>
      </c>
      <c r="D375" s="8">
        <v>44678</v>
      </c>
      <c r="E375" s="7">
        <f t="shared" si="15"/>
        <v>2022</v>
      </c>
      <c r="F375" s="28" t="str">
        <f t="shared" si="16"/>
        <v>Apr</v>
      </c>
      <c r="G375" s="17" t="s">
        <v>33</v>
      </c>
      <c r="H375" s="17" t="s">
        <v>15</v>
      </c>
      <c r="I375" s="24">
        <v>77121.080399999992</v>
      </c>
      <c r="J375" s="32">
        <v>29</v>
      </c>
      <c r="K375" s="17" t="s">
        <v>31</v>
      </c>
      <c r="L375" s="24">
        <v>283.54000000000002</v>
      </c>
      <c r="M375" s="24">
        <v>3745.56</v>
      </c>
      <c r="N375" s="34">
        <f>((sales_data_1[[#This Row],[Unit_Price]]*(1-sales_data_1[[#This Row],[Discount]]))-sales_data_1[[#This Row],[Unit_Cost]])*sales_data_1[[#This Row],[Quantity_Sold]]</f>
        <v>68898.420399999988</v>
      </c>
      <c r="O375" s="17" t="s">
        <v>17</v>
      </c>
      <c r="P375" s="26">
        <v>0.28999999999999998</v>
      </c>
      <c r="Q375" s="17" t="s">
        <v>25</v>
      </c>
      <c r="R375" s="17" t="s">
        <v>19</v>
      </c>
      <c r="S375" s="49" t="str">
        <f t="shared" si="17"/>
        <v>Alice-North</v>
      </c>
      <c r="T375" s="59" t="str">
        <f>IF(ROUND(sales_data_1[[#This Row],[Profit_Margin]],2)=ROUND((sales_data_1[[#This Row],[Unit_Price]]*(1-sales_data_1[[#This Row],[Discount]]) - sales_data_1[[#This Row],[Unit_Cost]])*sales_data_1[[#This Row],[Quantity_Sold]],2), "PASS", "CHECK")</f>
        <v>PASS</v>
      </c>
    </row>
    <row r="376" spans="1:20" x14ac:dyDescent="0.35">
      <c r="A376" s="7">
        <v>375</v>
      </c>
      <c r="B376" s="9">
        <v>1020</v>
      </c>
      <c r="C376" s="7" t="str">
        <f>IFERROR(_xlfn.TEXTJOIN("-", TRUE, _xlfn.XLOOKUP(K376, product_category_id_lookup!$A$2:$A$5, product_category_id_lookup!$B$2:$B$5), B376), "Unknown Category")</f>
        <v>fd-1020</v>
      </c>
      <c r="D376" s="8">
        <v>44679</v>
      </c>
      <c r="E376" s="7">
        <f t="shared" si="15"/>
        <v>2022</v>
      </c>
      <c r="F376" s="28" t="str">
        <f t="shared" si="16"/>
        <v>Apr</v>
      </c>
      <c r="G376" s="17" t="s">
        <v>32</v>
      </c>
      <c r="H376" s="17" t="s">
        <v>15</v>
      </c>
      <c r="I376" s="24">
        <v>28591.755506496786</v>
      </c>
      <c r="J376" s="32">
        <v>9</v>
      </c>
      <c r="K376" s="17" t="s">
        <v>24</v>
      </c>
      <c r="L376" s="24">
        <v>2786.77</v>
      </c>
      <c r="M376" s="24">
        <v>3317.15</v>
      </c>
      <c r="N376" s="34">
        <f>((sales_data_1[[#This Row],[Unit_Price]]*(1-sales_data_1[[#This Row],[Discount]]))-sales_data_1[[#This Row],[Unit_Cost]])*sales_data_1[[#This Row],[Quantity_Sold]]</f>
        <v>3579.2459999999996</v>
      </c>
      <c r="O376" s="17" t="s">
        <v>27</v>
      </c>
      <c r="P376" s="26">
        <v>0.04</v>
      </c>
      <c r="Q376" s="17" t="s">
        <v>18</v>
      </c>
      <c r="R376" s="17" t="s">
        <v>19</v>
      </c>
      <c r="S376" s="49" t="str">
        <f t="shared" si="17"/>
        <v>Eve-North</v>
      </c>
      <c r="T376" s="59" t="str">
        <f>IF(ROUND(sales_data_1[[#This Row],[Profit_Margin]],2)=ROUND((sales_data_1[[#This Row],[Unit_Price]]*(1-sales_data_1[[#This Row],[Discount]]) - sales_data_1[[#This Row],[Unit_Cost]])*sales_data_1[[#This Row],[Quantity_Sold]],2), "PASS", "CHECK")</f>
        <v>PASS</v>
      </c>
    </row>
    <row r="377" spans="1:20" x14ac:dyDescent="0.35">
      <c r="A377" s="7">
        <v>376</v>
      </c>
      <c r="B377" s="9">
        <v>1079</v>
      </c>
      <c r="C377" s="7" t="str">
        <f>IFERROR(_xlfn.TEXTJOIN("-", TRUE, _xlfn.XLOOKUP(K377, product_category_id_lookup!$A$2:$A$5, product_category_id_lookup!$B$2:$B$5), B377), "Unknown Category")</f>
        <v>fd-1079</v>
      </c>
      <c r="D377" s="8">
        <v>44680</v>
      </c>
      <c r="E377" s="7">
        <f t="shared" si="15"/>
        <v>2022</v>
      </c>
      <c r="F377" s="28" t="str">
        <f t="shared" si="16"/>
        <v>Apr</v>
      </c>
      <c r="G377" s="17" t="s">
        <v>33</v>
      </c>
      <c r="H377" s="17" t="s">
        <v>15</v>
      </c>
      <c r="I377" s="24">
        <v>12041.82</v>
      </c>
      <c r="J377" s="32">
        <v>7</v>
      </c>
      <c r="K377" s="17" t="s">
        <v>24</v>
      </c>
      <c r="L377" s="24">
        <v>944.09</v>
      </c>
      <c r="M377" s="24">
        <v>2263.5</v>
      </c>
      <c r="N377" s="34">
        <f>((sales_data_1[[#This Row],[Unit_Price]]*(1-sales_data_1[[#This Row],[Discount]]))-sales_data_1[[#This Row],[Unit_Cost]])*sales_data_1[[#This Row],[Quantity_Sold]]</f>
        <v>5433.19</v>
      </c>
      <c r="O377" s="17" t="s">
        <v>27</v>
      </c>
      <c r="P377" s="26">
        <v>0.24</v>
      </c>
      <c r="Q377" s="17" t="s">
        <v>28</v>
      </c>
      <c r="R377" s="17" t="s">
        <v>21</v>
      </c>
      <c r="S377" s="49" t="str">
        <f t="shared" si="17"/>
        <v>Alice-North</v>
      </c>
      <c r="T377" s="59" t="str">
        <f>IF(ROUND(sales_data_1[[#This Row],[Profit_Margin]],2)=ROUND((sales_data_1[[#This Row],[Unit_Price]]*(1-sales_data_1[[#This Row],[Discount]]) - sales_data_1[[#This Row],[Unit_Cost]])*sales_data_1[[#This Row],[Quantity_Sold]],2), "PASS", "CHECK")</f>
        <v>PASS</v>
      </c>
    </row>
    <row r="378" spans="1:20" x14ac:dyDescent="0.35">
      <c r="A378" s="7">
        <v>377</v>
      </c>
      <c r="B378" s="9">
        <v>1060</v>
      </c>
      <c r="C378" s="7" t="str">
        <f>IFERROR(_xlfn.TEXTJOIN("-", TRUE, _xlfn.XLOOKUP(K378, product_category_id_lookup!$A$2:$A$5, product_category_id_lookup!$B$2:$B$5), B378), "Unknown Category")</f>
        <v>etc-1060</v>
      </c>
      <c r="D378" s="8">
        <v>44680</v>
      </c>
      <c r="E378" s="7">
        <f t="shared" si="15"/>
        <v>2022</v>
      </c>
      <c r="F378" s="28" t="str">
        <f t="shared" si="16"/>
        <v>Apr</v>
      </c>
      <c r="G378" s="17" t="s">
        <v>14</v>
      </c>
      <c r="H378" s="17" t="s">
        <v>20</v>
      </c>
      <c r="I378" s="24">
        <v>36281.683199999999</v>
      </c>
      <c r="J378" s="32">
        <v>14</v>
      </c>
      <c r="K378" s="17" t="s">
        <v>31</v>
      </c>
      <c r="L378" s="24">
        <v>1551.7</v>
      </c>
      <c r="M378" s="24">
        <v>2699.53</v>
      </c>
      <c r="N378" s="34">
        <f>((sales_data_1[[#This Row],[Unit_Price]]*(1-sales_data_1[[#This Row],[Discount]]))-sales_data_1[[#This Row],[Unit_Cost]])*sales_data_1[[#This Row],[Quantity_Sold]]</f>
        <v>14557.8832</v>
      </c>
      <c r="O378" s="17" t="s">
        <v>27</v>
      </c>
      <c r="P378" s="26">
        <v>0.04</v>
      </c>
      <c r="Q378" s="17" t="s">
        <v>28</v>
      </c>
      <c r="R378" s="17" t="s">
        <v>19</v>
      </c>
      <c r="S378" s="49" t="str">
        <f t="shared" si="17"/>
        <v>Bob-West</v>
      </c>
      <c r="T378" s="59" t="str">
        <f>IF(ROUND(sales_data_1[[#This Row],[Profit_Margin]],2)=ROUND((sales_data_1[[#This Row],[Unit_Price]]*(1-sales_data_1[[#This Row],[Discount]]) - sales_data_1[[#This Row],[Unit_Cost]])*sales_data_1[[#This Row],[Quantity_Sold]],2), "PASS", "CHECK")</f>
        <v>PASS</v>
      </c>
    </row>
    <row r="379" spans="1:20" x14ac:dyDescent="0.35">
      <c r="A379" s="7">
        <v>378</v>
      </c>
      <c r="B379" s="9">
        <v>1081</v>
      </c>
      <c r="C379" s="7" t="str">
        <f>IFERROR(_xlfn.TEXTJOIN("-", TRUE, _xlfn.XLOOKUP(K379, product_category_id_lookup!$A$2:$A$5, product_category_id_lookup!$B$2:$B$5), B379), "Unknown Category")</f>
        <v>fnt-1081</v>
      </c>
      <c r="D379" s="8">
        <v>44680</v>
      </c>
      <c r="E379" s="7">
        <f t="shared" si="15"/>
        <v>2022</v>
      </c>
      <c r="F379" s="28" t="str">
        <f t="shared" si="16"/>
        <v>Apr</v>
      </c>
      <c r="G379" s="17" t="s">
        <v>33</v>
      </c>
      <c r="H379" s="17" t="s">
        <v>30</v>
      </c>
      <c r="I379" s="24">
        <v>28565.535899999995</v>
      </c>
      <c r="J379" s="32">
        <v>11</v>
      </c>
      <c r="K379" s="17" t="s">
        <v>16</v>
      </c>
      <c r="L379" s="24">
        <v>1215.54</v>
      </c>
      <c r="M379" s="24">
        <v>2792.33</v>
      </c>
      <c r="N379" s="34">
        <f>((sales_data_1[[#This Row],[Unit_Price]]*(1-sales_data_1[[#This Row],[Discount]]))-sales_data_1[[#This Row],[Unit_Cost]])*sales_data_1[[#This Row],[Quantity_Sold]]</f>
        <v>15194.595899999995</v>
      </c>
      <c r="O379" s="17" t="s">
        <v>17</v>
      </c>
      <c r="P379" s="26">
        <v>7.0000000000000007E-2</v>
      </c>
      <c r="Q379" s="17" t="s">
        <v>25</v>
      </c>
      <c r="R379" s="17" t="s">
        <v>19</v>
      </c>
      <c r="S379" s="49" t="str">
        <f t="shared" si="17"/>
        <v>Alice-East</v>
      </c>
      <c r="T379" s="59" t="str">
        <f>IF(ROUND(sales_data_1[[#This Row],[Profit_Margin]],2)=ROUND((sales_data_1[[#This Row],[Unit_Price]]*(1-sales_data_1[[#This Row],[Discount]]) - sales_data_1[[#This Row],[Unit_Cost]])*sales_data_1[[#This Row],[Quantity_Sold]],2), "PASS", "CHECK")</f>
        <v>PASS</v>
      </c>
    </row>
    <row r="380" spans="1:20" x14ac:dyDescent="0.35">
      <c r="A380" s="7">
        <v>379</v>
      </c>
      <c r="B380" s="9">
        <v>1064</v>
      </c>
      <c r="C380" s="7" t="str">
        <f>IFERROR(_xlfn.TEXTJOIN("-", TRUE, _xlfn.XLOOKUP(K380, product_category_id_lookup!$A$2:$A$5, product_category_id_lookup!$B$2:$B$5), B380), "Unknown Category")</f>
        <v>fnt-1064</v>
      </c>
      <c r="D380" s="8">
        <v>44680</v>
      </c>
      <c r="E380" s="7">
        <f t="shared" si="15"/>
        <v>2022</v>
      </c>
      <c r="F380" s="28" t="str">
        <f t="shared" si="16"/>
        <v>Apr</v>
      </c>
      <c r="G380" s="17" t="s">
        <v>32</v>
      </c>
      <c r="H380" s="17" t="s">
        <v>20</v>
      </c>
      <c r="I380" s="24">
        <v>69648.767999999996</v>
      </c>
      <c r="J380" s="32">
        <v>16</v>
      </c>
      <c r="K380" s="17" t="s">
        <v>16</v>
      </c>
      <c r="L380" s="24">
        <v>3268.92</v>
      </c>
      <c r="M380" s="24">
        <v>5182.2</v>
      </c>
      <c r="N380" s="34">
        <f>((sales_data_1[[#This Row],[Unit_Price]]*(1-sales_data_1[[#This Row],[Discount]]))-sales_data_1[[#This Row],[Unit_Cost]])*sales_data_1[[#This Row],[Quantity_Sold]]</f>
        <v>17346.047999999995</v>
      </c>
      <c r="O380" s="17" t="s">
        <v>17</v>
      </c>
      <c r="P380" s="26">
        <v>0.16</v>
      </c>
      <c r="Q380" s="17" t="s">
        <v>28</v>
      </c>
      <c r="R380" s="17" t="s">
        <v>19</v>
      </c>
      <c r="S380" s="49" t="str">
        <f t="shared" si="17"/>
        <v>Eve-West</v>
      </c>
      <c r="T380" s="59" t="str">
        <f>IF(ROUND(sales_data_1[[#This Row],[Profit_Margin]],2)=ROUND((sales_data_1[[#This Row],[Unit_Price]]*(1-sales_data_1[[#This Row],[Discount]]) - sales_data_1[[#This Row],[Unit_Cost]])*sales_data_1[[#This Row],[Quantity_Sold]],2), "PASS", "CHECK")</f>
        <v>PASS</v>
      </c>
    </row>
    <row r="381" spans="1:20" x14ac:dyDescent="0.35">
      <c r="A381" s="7">
        <v>380</v>
      </c>
      <c r="B381" s="9">
        <v>1010</v>
      </c>
      <c r="C381" s="7" t="str">
        <f>IFERROR(_xlfn.TEXTJOIN("-", TRUE, _xlfn.XLOOKUP(K381, product_category_id_lookup!$A$2:$A$5, product_category_id_lookup!$B$2:$B$5), B381), "Unknown Category")</f>
        <v>ctg-1010</v>
      </c>
      <c r="D381" s="8">
        <v>44680</v>
      </c>
      <c r="E381" s="7">
        <f t="shared" si="15"/>
        <v>2022</v>
      </c>
      <c r="F381" s="28" t="str">
        <f t="shared" si="16"/>
        <v>Apr</v>
      </c>
      <c r="G381" s="17" t="s">
        <v>32</v>
      </c>
      <c r="H381" s="17" t="s">
        <v>30</v>
      </c>
      <c r="I381" s="24">
        <v>125090.414</v>
      </c>
      <c r="J381" s="32">
        <v>37</v>
      </c>
      <c r="K381" s="17" t="s">
        <v>26</v>
      </c>
      <c r="L381" s="24">
        <v>2254.27</v>
      </c>
      <c r="M381" s="24">
        <v>4448.45</v>
      </c>
      <c r="N381" s="34">
        <f>((sales_data_1[[#This Row],[Unit_Price]]*(1-sales_data_1[[#This Row],[Discount]]))-sales_data_1[[#This Row],[Unit_Cost]])*sales_data_1[[#This Row],[Quantity_Sold]]</f>
        <v>41682.424000000006</v>
      </c>
      <c r="O381" s="17" t="s">
        <v>17</v>
      </c>
      <c r="P381" s="26">
        <v>0.24</v>
      </c>
      <c r="Q381" s="17" t="s">
        <v>28</v>
      </c>
      <c r="R381" s="17" t="s">
        <v>19</v>
      </c>
      <c r="S381" s="49" t="str">
        <f t="shared" si="17"/>
        <v>Eve-East</v>
      </c>
      <c r="T381" s="59" t="str">
        <f>IF(ROUND(sales_data_1[[#This Row],[Profit_Margin]],2)=ROUND((sales_data_1[[#This Row],[Unit_Price]]*(1-sales_data_1[[#This Row],[Discount]]) - sales_data_1[[#This Row],[Unit_Cost]])*sales_data_1[[#This Row],[Quantity_Sold]],2), "PASS", "CHECK")</f>
        <v>PASS</v>
      </c>
    </row>
    <row r="382" spans="1:20" x14ac:dyDescent="0.35">
      <c r="A382" s="7">
        <v>381</v>
      </c>
      <c r="B382" s="9">
        <v>1022</v>
      </c>
      <c r="C382" s="7" t="str">
        <f>IFERROR(_xlfn.TEXTJOIN("-", TRUE, _xlfn.XLOOKUP(K382, product_category_id_lookup!$A$2:$A$5, product_category_id_lookup!$B$2:$B$5), B382), "Unknown Category")</f>
        <v>etc-1022</v>
      </c>
      <c r="D382" s="8">
        <v>44681</v>
      </c>
      <c r="E382" s="7">
        <f t="shared" si="15"/>
        <v>2022</v>
      </c>
      <c r="F382" s="28" t="str">
        <f t="shared" si="16"/>
        <v>Apr</v>
      </c>
      <c r="G382" s="17" t="s">
        <v>33</v>
      </c>
      <c r="H382" s="17" t="s">
        <v>15</v>
      </c>
      <c r="I382" s="24">
        <v>15601.675999999999</v>
      </c>
      <c r="J382" s="32">
        <v>5</v>
      </c>
      <c r="K382" s="17" t="s">
        <v>31</v>
      </c>
      <c r="L382" s="24">
        <v>682.28</v>
      </c>
      <c r="M382" s="24">
        <v>3759.44</v>
      </c>
      <c r="N382" s="34">
        <f>((sales_data_1[[#This Row],[Unit_Price]]*(1-sales_data_1[[#This Row],[Discount]]))-sales_data_1[[#This Row],[Unit_Cost]])*sales_data_1[[#This Row],[Quantity_Sold]]</f>
        <v>12190.275999999998</v>
      </c>
      <c r="O382" s="17" t="s">
        <v>27</v>
      </c>
      <c r="P382" s="26">
        <v>0.17</v>
      </c>
      <c r="Q382" s="17" t="s">
        <v>25</v>
      </c>
      <c r="R382" s="17" t="s">
        <v>21</v>
      </c>
      <c r="S382" s="49" t="str">
        <f t="shared" si="17"/>
        <v>Alice-North</v>
      </c>
      <c r="T382" s="59" t="str">
        <f>IF(ROUND(sales_data_1[[#This Row],[Profit_Margin]],2)=ROUND((sales_data_1[[#This Row],[Unit_Price]]*(1-sales_data_1[[#This Row],[Discount]]) - sales_data_1[[#This Row],[Unit_Cost]])*sales_data_1[[#This Row],[Quantity_Sold]],2), "PASS", "CHECK")</f>
        <v>PASS</v>
      </c>
    </row>
    <row r="383" spans="1:20" x14ac:dyDescent="0.35">
      <c r="A383" s="7">
        <v>382</v>
      </c>
      <c r="B383" s="9">
        <v>1035</v>
      </c>
      <c r="C383" s="7" t="str">
        <f>IFERROR(_xlfn.TEXTJOIN("-", TRUE, _xlfn.XLOOKUP(K383, product_category_id_lookup!$A$2:$A$5, product_category_id_lookup!$B$2:$B$5), B383), "Unknown Category")</f>
        <v>ctg-1035</v>
      </c>
      <c r="D383" s="8">
        <v>44681</v>
      </c>
      <c r="E383" s="7">
        <f t="shared" si="15"/>
        <v>2022</v>
      </c>
      <c r="F383" s="28" t="str">
        <f t="shared" si="16"/>
        <v>Apr</v>
      </c>
      <c r="G383" s="17" t="s">
        <v>14</v>
      </c>
      <c r="H383" s="17" t="s">
        <v>30</v>
      </c>
      <c r="I383" s="24">
        <v>39345.726000000002</v>
      </c>
      <c r="J383" s="32">
        <v>10</v>
      </c>
      <c r="K383" s="17" t="s">
        <v>26</v>
      </c>
      <c r="L383" s="24">
        <v>1540.63</v>
      </c>
      <c r="M383" s="24">
        <v>4014.87</v>
      </c>
      <c r="N383" s="34">
        <f>((sales_data_1[[#This Row],[Unit_Price]]*(1-sales_data_1[[#This Row],[Discount]]))-sales_data_1[[#This Row],[Unit_Cost]])*sales_data_1[[#This Row],[Quantity_Sold]]</f>
        <v>23939.425999999999</v>
      </c>
      <c r="O383" s="17" t="s">
        <v>27</v>
      </c>
      <c r="P383" s="26">
        <v>0.02</v>
      </c>
      <c r="Q383" s="17" t="s">
        <v>28</v>
      </c>
      <c r="R383" s="17" t="s">
        <v>21</v>
      </c>
      <c r="S383" s="49" t="str">
        <f t="shared" si="17"/>
        <v>Bob-East</v>
      </c>
      <c r="T383" s="59" t="str">
        <f>IF(ROUND(sales_data_1[[#This Row],[Profit_Margin]],2)=ROUND((sales_data_1[[#This Row],[Unit_Price]]*(1-sales_data_1[[#This Row],[Discount]]) - sales_data_1[[#This Row],[Unit_Cost]])*sales_data_1[[#This Row],[Quantity_Sold]],2), "PASS", "CHECK")</f>
        <v>PASS</v>
      </c>
    </row>
    <row r="384" spans="1:20" x14ac:dyDescent="0.35">
      <c r="A384" s="7">
        <v>383</v>
      </c>
      <c r="B384" s="9">
        <v>1025</v>
      </c>
      <c r="C384" s="7" t="str">
        <f>IFERROR(_xlfn.TEXTJOIN("-", TRUE, _xlfn.XLOOKUP(K384, product_category_id_lookup!$A$2:$A$5, product_category_id_lookup!$B$2:$B$5), B384), "Unknown Category")</f>
        <v>ctg-1025</v>
      </c>
      <c r="D384" s="8">
        <v>44682</v>
      </c>
      <c r="E384" s="7">
        <f t="shared" si="15"/>
        <v>2022</v>
      </c>
      <c r="F384" s="28" t="str">
        <f t="shared" si="16"/>
        <v>May</v>
      </c>
      <c r="G384" s="17" t="s">
        <v>14</v>
      </c>
      <c r="H384" s="17" t="s">
        <v>15</v>
      </c>
      <c r="I384" s="24">
        <v>57974.767200000002</v>
      </c>
      <c r="J384" s="32">
        <v>14</v>
      </c>
      <c r="K384" s="17" t="s">
        <v>26</v>
      </c>
      <c r="L384" s="24">
        <v>3591.01</v>
      </c>
      <c r="M384" s="24">
        <v>4815.18</v>
      </c>
      <c r="N384" s="34">
        <f>((sales_data_1[[#This Row],[Unit_Price]]*(1-sales_data_1[[#This Row],[Discount]]))-sales_data_1[[#This Row],[Unit_Cost]])*sales_data_1[[#This Row],[Quantity_Sold]]</f>
        <v>7700.6271999999954</v>
      </c>
      <c r="O384" s="17" t="s">
        <v>17</v>
      </c>
      <c r="P384" s="26">
        <v>0.14000000000000001</v>
      </c>
      <c r="Q384" s="17" t="s">
        <v>25</v>
      </c>
      <c r="R384" s="17" t="s">
        <v>19</v>
      </c>
      <c r="S384" s="49" t="str">
        <f t="shared" si="17"/>
        <v>Bob-North</v>
      </c>
      <c r="T384" s="59" t="str">
        <f>IF(ROUND(sales_data_1[[#This Row],[Profit_Margin]],2)=ROUND((sales_data_1[[#This Row],[Unit_Price]]*(1-sales_data_1[[#This Row],[Discount]]) - sales_data_1[[#This Row],[Unit_Cost]])*sales_data_1[[#This Row],[Quantity_Sold]],2), "PASS", "CHECK")</f>
        <v>PASS</v>
      </c>
    </row>
    <row r="385" spans="1:20" x14ac:dyDescent="0.35">
      <c r="A385" s="7">
        <v>384</v>
      </c>
      <c r="B385" s="9">
        <v>1072</v>
      </c>
      <c r="C385" s="7" t="str">
        <f>IFERROR(_xlfn.TEXTJOIN("-", TRUE, _xlfn.XLOOKUP(K385, product_category_id_lookup!$A$2:$A$5, product_category_id_lookup!$B$2:$B$5), B385), "Unknown Category")</f>
        <v>fd-1072</v>
      </c>
      <c r="D385" s="8">
        <v>44682</v>
      </c>
      <c r="E385" s="7">
        <f t="shared" si="15"/>
        <v>2022</v>
      </c>
      <c r="F385" s="28" t="str">
        <f t="shared" si="16"/>
        <v>May</v>
      </c>
      <c r="G385" s="17" t="s">
        <v>33</v>
      </c>
      <c r="H385" s="17" t="s">
        <v>23</v>
      </c>
      <c r="I385" s="24">
        <v>256931.61000000002</v>
      </c>
      <c r="J385" s="32">
        <v>47</v>
      </c>
      <c r="K385" s="17" t="s">
        <v>24</v>
      </c>
      <c r="L385" s="24">
        <v>4404.47</v>
      </c>
      <c r="M385" s="24">
        <v>5466.63</v>
      </c>
      <c r="N385" s="34">
        <f>((sales_data_1[[#This Row],[Unit_Price]]*(1-sales_data_1[[#This Row],[Discount]]))-sales_data_1[[#This Row],[Unit_Cost]])*sales_data_1[[#This Row],[Quantity_Sold]]</f>
        <v>49921.51999999999</v>
      </c>
      <c r="O385" s="17" t="s">
        <v>27</v>
      </c>
      <c r="P385" s="26">
        <v>0</v>
      </c>
      <c r="Q385" s="17" t="s">
        <v>25</v>
      </c>
      <c r="R385" s="17" t="s">
        <v>21</v>
      </c>
      <c r="S385" s="49" t="str">
        <f t="shared" si="17"/>
        <v>Alice-South</v>
      </c>
      <c r="T385" s="59" t="str">
        <f>IF(ROUND(sales_data_1[[#This Row],[Profit_Margin]],2)=ROUND((sales_data_1[[#This Row],[Unit_Price]]*(1-sales_data_1[[#This Row],[Discount]]) - sales_data_1[[#This Row],[Unit_Cost]])*sales_data_1[[#This Row],[Quantity_Sold]],2), "PASS", "CHECK")</f>
        <v>PASS</v>
      </c>
    </row>
    <row r="386" spans="1:20" x14ac:dyDescent="0.35">
      <c r="A386" s="7">
        <v>385</v>
      </c>
      <c r="B386" s="9">
        <v>1037</v>
      </c>
      <c r="C386" s="7" t="str">
        <f>IFERROR(_xlfn.TEXTJOIN("-", TRUE, _xlfn.XLOOKUP(K386, product_category_id_lookup!$A$2:$A$5, product_category_id_lookup!$B$2:$B$5), B386), "Unknown Category")</f>
        <v>fnt-1037</v>
      </c>
      <c r="D386" s="8">
        <v>44683</v>
      </c>
      <c r="E386" s="7">
        <f t="shared" ref="E386:E449" si="18">YEAR(D386)</f>
        <v>2022</v>
      </c>
      <c r="F386" s="28" t="str">
        <f t="shared" ref="F386:F449" si="19">LEFT(TEXT(D386,"mmmm"),3)</f>
        <v>May</v>
      </c>
      <c r="G386" s="17" t="s">
        <v>22</v>
      </c>
      <c r="H386" s="17" t="s">
        <v>30</v>
      </c>
      <c r="I386" s="24">
        <v>50149.881599999993</v>
      </c>
      <c r="J386" s="32">
        <v>16</v>
      </c>
      <c r="K386" s="17" t="s">
        <v>16</v>
      </c>
      <c r="L386" s="24">
        <v>1009.5</v>
      </c>
      <c r="M386" s="24">
        <v>3731.39</v>
      </c>
      <c r="N386" s="34">
        <f>((sales_data_1[[#This Row],[Unit_Price]]*(1-sales_data_1[[#This Row],[Discount]]))-sales_data_1[[#This Row],[Unit_Cost]])*sales_data_1[[#This Row],[Quantity_Sold]]</f>
        <v>33997.881599999993</v>
      </c>
      <c r="O386" s="17" t="s">
        <v>17</v>
      </c>
      <c r="P386" s="26">
        <v>0.16</v>
      </c>
      <c r="Q386" s="17" t="s">
        <v>28</v>
      </c>
      <c r="R386" s="17" t="s">
        <v>19</v>
      </c>
      <c r="S386" s="49" t="str">
        <f t="shared" ref="S386:S449" si="20">_xlfn.CONCAT(G386,"-",H386)</f>
        <v>David-East</v>
      </c>
      <c r="T386" s="59" t="str">
        <f>IF(ROUND(sales_data_1[[#This Row],[Profit_Margin]],2)=ROUND((sales_data_1[[#This Row],[Unit_Price]]*(1-sales_data_1[[#This Row],[Discount]]) - sales_data_1[[#This Row],[Unit_Cost]])*sales_data_1[[#This Row],[Quantity_Sold]],2), "PASS", "CHECK")</f>
        <v>PASS</v>
      </c>
    </row>
    <row r="387" spans="1:20" x14ac:dyDescent="0.35">
      <c r="A387" s="7">
        <v>386</v>
      </c>
      <c r="B387" s="9">
        <v>1034</v>
      </c>
      <c r="C387" s="7" t="str">
        <f>IFERROR(_xlfn.TEXTJOIN("-", TRUE, _xlfn.XLOOKUP(K387, product_category_id_lookup!$A$2:$A$5, product_category_id_lookup!$B$2:$B$5), B387), "Unknown Category")</f>
        <v>ctg-1034</v>
      </c>
      <c r="D387" s="8">
        <v>44684</v>
      </c>
      <c r="E387" s="7">
        <f t="shared" si="18"/>
        <v>2022</v>
      </c>
      <c r="F387" s="28" t="str">
        <f t="shared" si="19"/>
        <v>May</v>
      </c>
      <c r="G387" s="17" t="s">
        <v>32</v>
      </c>
      <c r="H387" s="17" t="s">
        <v>30</v>
      </c>
      <c r="I387" s="24">
        <v>30619.0016</v>
      </c>
      <c r="J387" s="32">
        <v>44</v>
      </c>
      <c r="K387" s="17" t="s">
        <v>26</v>
      </c>
      <c r="L387" s="24">
        <v>545.62</v>
      </c>
      <c r="M387" s="24">
        <v>790.78</v>
      </c>
      <c r="N387" s="34">
        <f>((sales_data_1[[#This Row],[Unit_Price]]*(1-sales_data_1[[#This Row],[Discount]]))-sales_data_1[[#This Row],[Unit_Cost]])*sales_data_1[[#This Row],[Quantity_Sold]]</f>
        <v>6611.7215999999989</v>
      </c>
      <c r="O387" s="17" t="s">
        <v>17</v>
      </c>
      <c r="P387" s="26">
        <v>0.12</v>
      </c>
      <c r="Q387" s="17" t="s">
        <v>25</v>
      </c>
      <c r="R387" s="17" t="s">
        <v>21</v>
      </c>
      <c r="S387" s="49" t="str">
        <f t="shared" si="20"/>
        <v>Eve-East</v>
      </c>
      <c r="T387" s="59" t="str">
        <f>IF(ROUND(sales_data_1[[#This Row],[Profit_Margin]],2)=ROUND((sales_data_1[[#This Row],[Unit_Price]]*(1-sales_data_1[[#This Row],[Discount]]) - sales_data_1[[#This Row],[Unit_Cost]])*sales_data_1[[#This Row],[Quantity_Sold]],2), "PASS", "CHECK")</f>
        <v>PASS</v>
      </c>
    </row>
    <row r="388" spans="1:20" x14ac:dyDescent="0.35">
      <c r="A388" s="7">
        <v>387</v>
      </c>
      <c r="B388" s="9">
        <v>1081</v>
      </c>
      <c r="C388" s="7" t="str">
        <f>IFERROR(_xlfn.TEXTJOIN("-", TRUE, _xlfn.XLOOKUP(K388, product_category_id_lookup!$A$2:$A$5, product_category_id_lookup!$B$2:$B$5), B388), "Unknown Category")</f>
        <v>fd-1081</v>
      </c>
      <c r="D388" s="8">
        <v>44684</v>
      </c>
      <c r="E388" s="7">
        <f t="shared" si="18"/>
        <v>2022</v>
      </c>
      <c r="F388" s="28" t="str">
        <f t="shared" si="19"/>
        <v>May</v>
      </c>
      <c r="G388" s="17" t="s">
        <v>14</v>
      </c>
      <c r="H388" s="17" t="s">
        <v>20</v>
      </c>
      <c r="I388" s="24">
        <v>33505.055999999997</v>
      </c>
      <c r="J388" s="32">
        <v>8</v>
      </c>
      <c r="K388" s="17" t="s">
        <v>24</v>
      </c>
      <c r="L388" s="24">
        <v>2340.88</v>
      </c>
      <c r="M388" s="24">
        <v>4653.4799999999996</v>
      </c>
      <c r="N388" s="34">
        <f>((sales_data_1[[#This Row],[Unit_Price]]*(1-sales_data_1[[#This Row],[Discount]]))-sales_data_1[[#This Row],[Unit_Cost]])*sales_data_1[[#This Row],[Quantity_Sold]]</f>
        <v>14778.015999999996</v>
      </c>
      <c r="O388" s="17" t="s">
        <v>27</v>
      </c>
      <c r="P388" s="26">
        <v>0.1</v>
      </c>
      <c r="Q388" s="17" t="s">
        <v>25</v>
      </c>
      <c r="R388" s="17" t="s">
        <v>19</v>
      </c>
      <c r="S388" s="49" t="str">
        <f t="shared" si="20"/>
        <v>Bob-West</v>
      </c>
      <c r="T388" s="59" t="str">
        <f>IF(ROUND(sales_data_1[[#This Row],[Profit_Margin]],2)=ROUND((sales_data_1[[#This Row],[Unit_Price]]*(1-sales_data_1[[#This Row],[Discount]]) - sales_data_1[[#This Row],[Unit_Cost]])*sales_data_1[[#This Row],[Quantity_Sold]],2), "PASS", "CHECK")</f>
        <v>PASS</v>
      </c>
    </row>
    <row r="389" spans="1:20" x14ac:dyDescent="0.35">
      <c r="A389" s="7">
        <v>388</v>
      </c>
      <c r="B389" s="9">
        <v>1054</v>
      </c>
      <c r="C389" s="7" t="str">
        <f>IFERROR(_xlfn.TEXTJOIN("-", TRUE, _xlfn.XLOOKUP(K389, product_category_id_lookup!$A$2:$A$5, product_category_id_lookup!$B$2:$B$5), B389), "Unknown Category")</f>
        <v>fd-1054</v>
      </c>
      <c r="D389" s="8">
        <v>44684</v>
      </c>
      <c r="E389" s="7">
        <f t="shared" si="18"/>
        <v>2022</v>
      </c>
      <c r="F389" s="28" t="str">
        <f t="shared" si="19"/>
        <v>May</v>
      </c>
      <c r="G389" s="17" t="s">
        <v>29</v>
      </c>
      <c r="H389" s="17" t="s">
        <v>15</v>
      </c>
      <c r="I389" s="24">
        <v>75668.476600000009</v>
      </c>
      <c r="J389" s="32">
        <v>19</v>
      </c>
      <c r="K389" s="17" t="s">
        <v>24</v>
      </c>
      <c r="L389" s="24">
        <v>729.25</v>
      </c>
      <c r="M389" s="24">
        <v>4856.7700000000004</v>
      </c>
      <c r="N389" s="34">
        <f>((sales_data_1[[#This Row],[Unit_Price]]*(1-sales_data_1[[#This Row],[Discount]]))-sales_data_1[[#This Row],[Unit_Cost]])*sales_data_1[[#This Row],[Quantity_Sold]]</f>
        <v>61812.726600000016</v>
      </c>
      <c r="O389" s="17" t="s">
        <v>17</v>
      </c>
      <c r="P389" s="26">
        <v>0.18</v>
      </c>
      <c r="Q389" s="17" t="s">
        <v>28</v>
      </c>
      <c r="R389" s="17" t="s">
        <v>21</v>
      </c>
      <c r="S389" s="49" t="str">
        <f t="shared" si="20"/>
        <v>Charlie-North</v>
      </c>
      <c r="T389" s="59" t="str">
        <f>IF(ROUND(sales_data_1[[#This Row],[Profit_Margin]],2)=ROUND((sales_data_1[[#This Row],[Unit_Price]]*(1-sales_data_1[[#This Row],[Discount]]) - sales_data_1[[#This Row],[Unit_Cost]])*sales_data_1[[#This Row],[Quantity_Sold]],2), "PASS", "CHECK")</f>
        <v>PASS</v>
      </c>
    </row>
    <row r="390" spans="1:20" x14ac:dyDescent="0.35">
      <c r="A390" s="7">
        <v>389</v>
      </c>
      <c r="B390" s="9">
        <v>1054</v>
      </c>
      <c r="C390" s="7" t="str">
        <f>IFERROR(_xlfn.TEXTJOIN("-", TRUE, _xlfn.XLOOKUP(K390, product_category_id_lookup!$A$2:$A$5, product_category_id_lookup!$B$2:$B$5), B390), "Unknown Category")</f>
        <v>ctg-1054</v>
      </c>
      <c r="D390" s="8">
        <v>44684</v>
      </c>
      <c r="E390" s="7">
        <f t="shared" si="18"/>
        <v>2022</v>
      </c>
      <c r="F390" s="28" t="str">
        <f t="shared" si="19"/>
        <v>May</v>
      </c>
      <c r="G390" s="17" t="s">
        <v>29</v>
      </c>
      <c r="H390" s="17" t="s">
        <v>15</v>
      </c>
      <c r="I390" s="24">
        <v>249571.96460000001</v>
      </c>
      <c r="J390" s="32">
        <v>47</v>
      </c>
      <c r="K390" s="17" t="s">
        <v>26</v>
      </c>
      <c r="L390" s="24">
        <v>3212.76</v>
      </c>
      <c r="M390" s="24">
        <v>5418.41</v>
      </c>
      <c r="N390" s="34">
        <f>((sales_data_1[[#This Row],[Unit_Price]]*(1-sales_data_1[[#This Row],[Discount]]))-sales_data_1[[#This Row],[Unit_Cost]])*sales_data_1[[#This Row],[Quantity_Sold]]</f>
        <v>98572.244599999991</v>
      </c>
      <c r="O390" s="17" t="s">
        <v>17</v>
      </c>
      <c r="P390" s="26">
        <v>0.02</v>
      </c>
      <c r="Q390" s="17" t="s">
        <v>25</v>
      </c>
      <c r="R390" s="17" t="s">
        <v>21</v>
      </c>
      <c r="S390" s="49" t="str">
        <f t="shared" si="20"/>
        <v>Charlie-North</v>
      </c>
      <c r="T390" s="59" t="str">
        <f>IF(ROUND(sales_data_1[[#This Row],[Profit_Margin]],2)=ROUND((sales_data_1[[#This Row],[Unit_Price]]*(1-sales_data_1[[#This Row],[Discount]]) - sales_data_1[[#This Row],[Unit_Cost]])*sales_data_1[[#This Row],[Quantity_Sold]],2), "PASS", "CHECK")</f>
        <v>PASS</v>
      </c>
    </row>
    <row r="391" spans="1:20" x14ac:dyDescent="0.35">
      <c r="A391" s="7">
        <v>390</v>
      </c>
      <c r="B391" s="9">
        <v>1005</v>
      </c>
      <c r="C391" s="7" t="str">
        <f>IFERROR(_xlfn.TEXTJOIN("-", TRUE, _xlfn.XLOOKUP(K391, product_category_id_lookup!$A$2:$A$5, product_category_id_lookup!$B$2:$B$5), B391), "Unknown Category")</f>
        <v>etc-1005</v>
      </c>
      <c r="D391" s="8">
        <v>44686</v>
      </c>
      <c r="E391" s="7">
        <f t="shared" si="18"/>
        <v>2022</v>
      </c>
      <c r="F391" s="28" t="str">
        <f t="shared" si="19"/>
        <v>May</v>
      </c>
      <c r="G391" s="17" t="s">
        <v>22</v>
      </c>
      <c r="H391" s="17" t="s">
        <v>15</v>
      </c>
      <c r="I391" s="24">
        <v>69211.337999999989</v>
      </c>
      <c r="J391" s="32">
        <v>28</v>
      </c>
      <c r="K391" s="17" t="s">
        <v>31</v>
      </c>
      <c r="L391" s="24">
        <v>2394.85</v>
      </c>
      <c r="M391" s="24">
        <v>2601.9299999999998</v>
      </c>
      <c r="N391" s="34">
        <f>((sales_data_1[[#This Row],[Unit_Price]]*(1-sales_data_1[[#This Row],[Discount]]))-sales_data_1[[#This Row],[Unit_Cost]])*sales_data_1[[#This Row],[Quantity_Sold]]</f>
        <v>2155.537999999995</v>
      </c>
      <c r="O391" s="17" t="s">
        <v>27</v>
      </c>
      <c r="P391" s="26">
        <v>0.05</v>
      </c>
      <c r="Q391" s="17" t="s">
        <v>25</v>
      </c>
      <c r="R391" s="17" t="s">
        <v>21</v>
      </c>
      <c r="S391" s="49" t="str">
        <f t="shared" si="20"/>
        <v>David-North</v>
      </c>
      <c r="T391" s="59" t="str">
        <f>IF(ROUND(sales_data_1[[#This Row],[Profit_Margin]],2)=ROUND((sales_data_1[[#This Row],[Unit_Price]]*(1-sales_data_1[[#This Row],[Discount]]) - sales_data_1[[#This Row],[Unit_Cost]])*sales_data_1[[#This Row],[Quantity_Sold]],2), "PASS", "CHECK")</f>
        <v>PASS</v>
      </c>
    </row>
    <row r="392" spans="1:20" x14ac:dyDescent="0.35">
      <c r="A392" s="7">
        <v>391</v>
      </c>
      <c r="B392" s="9">
        <v>1005</v>
      </c>
      <c r="C392" s="7" t="str">
        <f>IFERROR(_xlfn.TEXTJOIN("-", TRUE, _xlfn.XLOOKUP(K392, product_category_id_lookup!$A$2:$A$5, product_category_id_lookup!$B$2:$B$5), B392), "Unknown Category")</f>
        <v>ctg-1005</v>
      </c>
      <c r="D392" s="8">
        <v>44686</v>
      </c>
      <c r="E392" s="7">
        <f t="shared" si="18"/>
        <v>2022</v>
      </c>
      <c r="F392" s="28" t="str">
        <f t="shared" si="19"/>
        <v>May</v>
      </c>
      <c r="G392" s="17" t="s">
        <v>33</v>
      </c>
      <c r="H392" s="17" t="s">
        <v>30</v>
      </c>
      <c r="I392" s="24">
        <v>52759.912799999998</v>
      </c>
      <c r="J392" s="32">
        <v>21</v>
      </c>
      <c r="K392" s="17" t="s">
        <v>26</v>
      </c>
      <c r="L392" s="24">
        <v>890.38</v>
      </c>
      <c r="M392" s="24">
        <v>3026.96</v>
      </c>
      <c r="N392" s="34">
        <f>((sales_data_1[[#This Row],[Unit_Price]]*(1-sales_data_1[[#This Row],[Discount]]))-sales_data_1[[#This Row],[Unit_Cost]])*sales_data_1[[#This Row],[Quantity_Sold]]</f>
        <v>34061.932799999995</v>
      </c>
      <c r="O392" s="17" t="s">
        <v>27</v>
      </c>
      <c r="P392" s="26">
        <v>0.17</v>
      </c>
      <c r="Q392" s="17" t="s">
        <v>25</v>
      </c>
      <c r="R392" s="17" t="s">
        <v>19</v>
      </c>
      <c r="S392" s="49" t="str">
        <f t="shared" si="20"/>
        <v>Alice-East</v>
      </c>
      <c r="T392" s="59" t="str">
        <f>IF(ROUND(sales_data_1[[#This Row],[Profit_Margin]],2)=ROUND((sales_data_1[[#This Row],[Unit_Price]]*(1-sales_data_1[[#This Row],[Discount]]) - sales_data_1[[#This Row],[Unit_Cost]])*sales_data_1[[#This Row],[Quantity_Sold]],2), "PASS", "CHECK")</f>
        <v>PASS</v>
      </c>
    </row>
    <row r="393" spans="1:20" x14ac:dyDescent="0.35">
      <c r="A393" s="7">
        <v>392</v>
      </c>
      <c r="B393" s="9">
        <v>1019</v>
      </c>
      <c r="C393" s="7" t="str">
        <f>IFERROR(_xlfn.TEXTJOIN("-", TRUE, _xlfn.XLOOKUP(K393, product_category_id_lookup!$A$2:$A$5, product_category_id_lookup!$B$2:$B$5), B393), "Unknown Category")</f>
        <v>etc-1019</v>
      </c>
      <c r="D393" s="8">
        <v>44686</v>
      </c>
      <c r="E393" s="7">
        <f t="shared" si="18"/>
        <v>2022</v>
      </c>
      <c r="F393" s="28" t="str">
        <f t="shared" si="19"/>
        <v>May</v>
      </c>
      <c r="G393" s="17" t="s">
        <v>32</v>
      </c>
      <c r="H393" s="17" t="s">
        <v>15</v>
      </c>
      <c r="I393" s="24">
        <v>140114.3175</v>
      </c>
      <c r="J393" s="32">
        <v>45</v>
      </c>
      <c r="K393" s="17" t="s">
        <v>31</v>
      </c>
      <c r="L393" s="24">
        <v>2040.18</v>
      </c>
      <c r="M393" s="24">
        <v>3209.95</v>
      </c>
      <c r="N393" s="34">
        <f>((sales_data_1[[#This Row],[Unit_Price]]*(1-sales_data_1[[#This Row],[Discount]]))-sales_data_1[[#This Row],[Unit_Cost]])*sales_data_1[[#This Row],[Quantity_Sold]]</f>
        <v>48306.217499999992</v>
      </c>
      <c r="O393" s="17" t="s">
        <v>17</v>
      </c>
      <c r="P393" s="26">
        <v>0.03</v>
      </c>
      <c r="Q393" s="17" t="s">
        <v>25</v>
      </c>
      <c r="R393" s="17" t="s">
        <v>21</v>
      </c>
      <c r="S393" s="49" t="str">
        <f t="shared" si="20"/>
        <v>Eve-North</v>
      </c>
      <c r="T393" s="59" t="str">
        <f>IF(ROUND(sales_data_1[[#This Row],[Profit_Margin]],2)=ROUND((sales_data_1[[#This Row],[Unit_Price]]*(1-sales_data_1[[#This Row],[Discount]]) - sales_data_1[[#This Row],[Unit_Cost]])*sales_data_1[[#This Row],[Quantity_Sold]],2), "PASS", "CHECK")</f>
        <v>PASS</v>
      </c>
    </row>
    <row r="394" spans="1:20" x14ac:dyDescent="0.35">
      <c r="A394" s="7">
        <v>393</v>
      </c>
      <c r="B394" s="9">
        <v>1010</v>
      </c>
      <c r="C394" s="7" t="str">
        <f>IFERROR(_xlfn.TEXTJOIN("-", TRUE, _xlfn.XLOOKUP(K394, product_category_id_lookup!$A$2:$A$5, product_category_id_lookup!$B$2:$B$5), B394), "Unknown Category")</f>
        <v>etc-1010</v>
      </c>
      <c r="D394" s="8">
        <v>44687</v>
      </c>
      <c r="E394" s="7">
        <f t="shared" si="18"/>
        <v>2022</v>
      </c>
      <c r="F394" s="28" t="str">
        <f t="shared" si="19"/>
        <v>May</v>
      </c>
      <c r="G394" s="17" t="s">
        <v>29</v>
      </c>
      <c r="H394" s="17" t="s">
        <v>23</v>
      </c>
      <c r="I394" s="24">
        <v>11291.594999999999</v>
      </c>
      <c r="J394" s="32">
        <v>5</v>
      </c>
      <c r="K394" s="17" t="s">
        <v>31</v>
      </c>
      <c r="L394" s="24">
        <v>2033.71</v>
      </c>
      <c r="M394" s="24">
        <v>3226.17</v>
      </c>
      <c r="N394" s="34">
        <f>((sales_data_1[[#This Row],[Unit_Price]]*(1-sales_data_1[[#This Row],[Discount]]))-sales_data_1[[#This Row],[Unit_Cost]])*sales_data_1[[#This Row],[Quantity_Sold]]</f>
        <v>1123.0449999999996</v>
      </c>
      <c r="O394" s="17" t="s">
        <v>27</v>
      </c>
      <c r="P394" s="26">
        <v>0.3</v>
      </c>
      <c r="Q394" s="17" t="s">
        <v>28</v>
      </c>
      <c r="R394" s="17" t="s">
        <v>21</v>
      </c>
      <c r="S394" s="49" t="str">
        <f t="shared" si="20"/>
        <v>Charlie-South</v>
      </c>
      <c r="T394" s="59" t="str">
        <f>IF(ROUND(sales_data_1[[#This Row],[Profit_Margin]],2)=ROUND((sales_data_1[[#This Row],[Unit_Price]]*(1-sales_data_1[[#This Row],[Discount]]) - sales_data_1[[#This Row],[Unit_Cost]])*sales_data_1[[#This Row],[Quantity_Sold]],2), "PASS", "CHECK")</f>
        <v>PASS</v>
      </c>
    </row>
    <row r="395" spans="1:20" x14ac:dyDescent="0.35">
      <c r="A395" s="7">
        <v>394</v>
      </c>
      <c r="B395" s="9">
        <v>1029</v>
      </c>
      <c r="C395" s="7" t="str">
        <f>IFERROR(_xlfn.TEXTJOIN("-", TRUE, _xlfn.XLOOKUP(K395, product_category_id_lookup!$A$2:$A$5, product_category_id_lookup!$B$2:$B$5), B395), "Unknown Category")</f>
        <v>etc-1029</v>
      </c>
      <c r="D395" s="8">
        <v>44687</v>
      </c>
      <c r="E395" s="7">
        <f t="shared" si="18"/>
        <v>2022</v>
      </c>
      <c r="F395" s="28" t="str">
        <f t="shared" si="19"/>
        <v>May</v>
      </c>
      <c r="G395" s="17" t="s">
        <v>33</v>
      </c>
      <c r="H395" s="17" t="s">
        <v>15</v>
      </c>
      <c r="I395" s="24">
        <v>169818.38400000002</v>
      </c>
      <c r="J395" s="32">
        <v>40</v>
      </c>
      <c r="K395" s="17" t="s">
        <v>31</v>
      </c>
      <c r="L395" s="24">
        <v>2319.94</v>
      </c>
      <c r="M395" s="24">
        <v>4614.63</v>
      </c>
      <c r="N395" s="34">
        <f>((sales_data_1[[#This Row],[Unit_Price]]*(1-sales_data_1[[#This Row],[Discount]]))-sales_data_1[[#This Row],[Unit_Cost]])*sales_data_1[[#This Row],[Quantity_Sold]]</f>
        <v>77020.784</v>
      </c>
      <c r="O395" s="17" t="s">
        <v>17</v>
      </c>
      <c r="P395" s="26">
        <v>0.08</v>
      </c>
      <c r="Q395" s="17" t="s">
        <v>28</v>
      </c>
      <c r="R395" s="17" t="s">
        <v>19</v>
      </c>
      <c r="S395" s="49" t="str">
        <f t="shared" si="20"/>
        <v>Alice-North</v>
      </c>
      <c r="T395" s="59" t="str">
        <f>IF(ROUND(sales_data_1[[#This Row],[Profit_Margin]],2)=ROUND((sales_data_1[[#This Row],[Unit_Price]]*(1-sales_data_1[[#This Row],[Discount]]) - sales_data_1[[#This Row],[Unit_Cost]])*sales_data_1[[#This Row],[Quantity_Sold]],2), "PASS", "CHECK")</f>
        <v>PASS</v>
      </c>
    </row>
    <row r="396" spans="1:20" x14ac:dyDescent="0.35">
      <c r="A396" s="7">
        <v>395</v>
      </c>
      <c r="B396" s="9">
        <v>1071</v>
      </c>
      <c r="C396" s="7" t="str">
        <f>IFERROR(_xlfn.TEXTJOIN("-", TRUE, _xlfn.XLOOKUP(K396, product_category_id_lookup!$A$2:$A$5, product_category_id_lookup!$B$2:$B$5), B396), "Unknown Category")</f>
        <v>fnt-1071</v>
      </c>
      <c r="D396" s="8">
        <v>44688</v>
      </c>
      <c r="E396" s="7">
        <f t="shared" si="18"/>
        <v>2022</v>
      </c>
      <c r="F396" s="28" t="str">
        <f t="shared" si="19"/>
        <v>May</v>
      </c>
      <c r="G396" s="17" t="s">
        <v>32</v>
      </c>
      <c r="H396" s="17" t="s">
        <v>20</v>
      </c>
      <c r="I396" s="24">
        <v>14226.192000000001</v>
      </c>
      <c r="J396" s="32">
        <v>6</v>
      </c>
      <c r="K396" s="17" t="s">
        <v>16</v>
      </c>
      <c r="L396" s="24">
        <v>397.53</v>
      </c>
      <c r="M396" s="24">
        <v>2927.2</v>
      </c>
      <c r="N396" s="34">
        <f>((sales_data_1[[#This Row],[Unit_Price]]*(1-sales_data_1[[#This Row],[Discount]]))-sales_data_1[[#This Row],[Unit_Cost]])*sales_data_1[[#This Row],[Quantity_Sold]]</f>
        <v>11841.012000000001</v>
      </c>
      <c r="O396" s="17" t="s">
        <v>27</v>
      </c>
      <c r="P396" s="26">
        <v>0.19</v>
      </c>
      <c r="Q396" s="17" t="s">
        <v>25</v>
      </c>
      <c r="R396" s="17" t="s">
        <v>21</v>
      </c>
      <c r="S396" s="49" t="str">
        <f t="shared" si="20"/>
        <v>Eve-West</v>
      </c>
      <c r="T396" s="59" t="str">
        <f>IF(ROUND(sales_data_1[[#This Row],[Profit_Margin]],2)=ROUND((sales_data_1[[#This Row],[Unit_Price]]*(1-sales_data_1[[#This Row],[Discount]]) - sales_data_1[[#This Row],[Unit_Cost]])*sales_data_1[[#This Row],[Quantity_Sold]],2), "PASS", "CHECK")</f>
        <v>PASS</v>
      </c>
    </row>
    <row r="397" spans="1:20" x14ac:dyDescent="0.35">
      <c r="A397" s="7">
        <v>396</v>
      </c>
      <c r="B397" s="9">
        <v>1088</v>
      </c>
      <c r="C397" s="7" t="str">
        <f>IFERROR(_xlfn.TEXTJOIN("-", TRUE, _xlfn.XLOOKUP(K397, product_category_id_lookup!$A$2:$A$5, product_category_id_lookup!$B$2:$B$5), B397), "Unknown Category")</f>
        <v>fd-1088</v>
      </c>
      <c r="D397" s="8">
        <v>44688</v>
      </c>
      <c r="E397" s="7">
        <f t="shared" si="18"/>
        <v>2022</v>
      </c>
      <c r="F397" s="28" t="str">
        <f t="shared" si="19"/>
        <v>May</v>
      </c>
      <c r="G397" s="17" t="s">
        <v>22</v>
      </c>
      <c r="H397" s="17" t="s">
        <v>20</v>
      </c>
      <c r="I397" s="24">
        <v>46268.819999999992</v>
      </c>
      <c r="J397" s="32">
        <v>12</v>
      </c>
      <c r="K397" s="17" t="s">
        <v>24</v>
      </c>
      <c r="L397" s="24">
        <v>625.57000000000005</v>
      </c>
      <c r="M397" s="24">
        <v>5140.9799999999996</v>
      </c>
      <c r="N397" s="34">
        <f>((sales_data_1[[#This Row],[Unit_Price]]*(1-sales_data_1[[#This Row],[Discount]]))-sales_data_1[[#This Row],[Unit_Cost]])*sales_data_1[[#This Row],[Quantity_Sold]]</f>
        <v>38761.979999999996</v>
      </c>
      <c r="O397" s="17" t="s">
        <v>27</v>
      </c>
      <c r="P397" s="26">
        <v>0.25</v>
      </c>
      <c r="Q397" s="17" t="s">
        <v>28</v>
      </c>
      <c r="R397" s="17" t="s">
        <v>19</v>
      </c>
      <c r="S397" s="49" t="str">
        <f t="shared" si="20"/>
        <v>David-West</v>
      </c>
      <c r="T397" s="59" t="str">
        <f>IF(ROUND(sales_data_1[[#This Row],[Profit_Margin]],2)=ROUND((sales_data_1[[#This Row],[Unit_Price]]*(1-sales_data_1[[#This Row],[Discount]]) - sales_data_1[[#This Row],[Unit_Cost]])*sales_data_1[[#This Row],[Quantity_Sold]],2), "PASS", "CHECK")</f>
        <v>PASS</v>
      </c>
    </row>
    <row r="398" spans="1:20" x14ac:dyDescent="0.35">
      <c r="A398" s="7">
        <v>397</v>
      </c>
      <c r="B398" s="9">
        <v>1006</v>
      </c>
      <c r="C398" s="7" t="str">
        <f>IFERROR(_xlfn.TEXTJOIN("-", TRUE, _xlfn.XLOOKUP(K398, product_category_id_lookup!$A$2:$A$5, product_category_id_lookup!$B$2:$B$5), B398), "Unknown Category")</f>
        <v>ctg-1006</v>
      </c>
      <c r="D398" s="8">
        <v>44688</v>
      </c>
      <c r="E398" s="7">
        <f t="shared" si="18"/>
        <v>2022</v>
      </c>
      <c r="F398" s="28" t="str">
        <f t="shared" si="19"/>
        <v>May</v>
      </c>
      <c r="G398" s="17" t="s">
        <v>22</v>
      </c>
      <c r="H398" s="17" t="s">
        <v>15</v>
      </c>
      <c r="I398" s="24">
        <v>87527.7696</v>
      </c>
      <c r="J398" s="32">
        <v>23</v>
      </c>
      <c r="K398" s="17" t="s">
        <v>26</v>
      </c>
      <c r="L398" s="24">
        <v>832.9</v>
      </c>
      <c r="M398" s="24">
        <v>3964.12</v>
      </c>
      <c r="N398" s="34">
        <f>((sales_data_1[[#This Row],[Unit_Price]]*(1-sales_data_1[[#This Row],[Discount]]))-sales_data_1[[#This Row],[Unit_Cost]])*sales_data_1[[#This Row],[Quantity_Sold]]</f>
        <v>68371.069599999988</v>
      </c>
      <c r="O398" s="17" t="s">
        <v>27</v>
      </c>
      <c r="P398" s="26">
        <v>0.04</v>
      </c>
      <c r="Q398" s="17" t="s">
        <v>18</v>
      </c>
      <c r="R398" s="17" t="s">
        <v>19</v>
      </c>
      <c r="S398" s="49" t="str">
        <f t="shared" si="20"/>
        <v>David-North</v>
      </c>
      <c r="T398" s="59" t="str">
        <f>IF(ROUND(sales_data_1[[#This Row],[Profit_Margin]],2)=ROUND((sales_data_1[[#This Row],[Unit_Price]]*(1-sales_data_1[[#This Row],[Discount]]) - sales_data_1[[#This Row],[Unit_Cost]])*sales_data_1[[#This Row],[Quantity_Sold]],2), "PASS", "CHECK")</f>
        <v>PASS</v>
      </c>
    </row>
    <row r="399" spans="1:20" x14ac:dyDescent="0.35">
      <c r="A399" s="7">
        <v>398</v>
      </c>
      <c r="B399" s="9">
        <v>1015</v>
      </c>
      <c r="C399" s="7" t="str">
        <f>IFERROR(_xlfn.TEXTJOIN("-", TRUE, _xlfn.XLOOKUP(K399, product_category_id_lookup!$A$2:$A$5, product_category_id_lookup!$B$2:$B$5), B399), "Unknown Category")</f>
        <v>fd-1015</v>
      </c>
      <c r="D399" s="8">
        <v>44689</v>
      </c>
      <c r="E399" s="7">
        <f t="shared" si="18"/>
        <v>2022</v>
      </c>
      <c r="F399" s="28" t="str">
        <f t="shared" si="19"/>
        <v>May</v>
      </c>
      <c r="G399" s="17" t="s">
        <v>14</v>
      </c>
      <c r="H399" s="17" t="s">
        <v>15</v>
      </c>
      <c r="I399" s="24">
        <v>48277.279999999999</v>
      </c>
      <c r="J399" s="32">
        <v>32</v>
      </c>
      <c r="K399" s="17" t="s">
        <v>24</v>
      </c>
      <c r="L399" s="24">
        <v>953.96</v>
      </c>
      <c r="M399" s="24">
        <v>1774.9</v>
      </c>
      <c r="N399" s="34">
        <f>((sales_data_1[[#This Row],[Unit_Price]]*(1-sales_data_1[[#This Row],[Discount]]))-sales_data_1[[#This Row],[Unit_Cost]])*sales_data_1[[#This Row],[Quantity_Sold]]</f>
        <v>17750.559999999998</v>
      </c>
      <c r="O399" s="17" t="s">
        <v>27</v>
      </c>
      <c r="P399" s="26">
        <v>0.15</v>
      </c>
      <c r="Q399" s="17" t="s">
        <v>25</v>
      </c>
      <c r="R399" s="17" t="s">
        <v>19</v>
      </c>
      <c r="S399" s="49" t="str">
        <f t="shared" si="20"/>
        <v>Bob-North</v>
      </c>
      <c r="T399" s="59" t="str">
        <f>IF(ROUND(sales_data_1[[#This Row],[Profit_Margin]],2)=ROUND((sales_data_1[[#This Row],[Unit_Price]]*(1-sales_data_1[[#This Row],[Discount]]) - sales_data_1[[#This Row],[Unit_Cost]])*sales_data_1[[#This Row],[Quantity_Sold]],2), "PASS", "CHECK")</f>
        <v>PASS</v>
      </c>
    </row>
    <row r="400" spans="1:20" x14ac:dyDescent="0.35">
      <c r="A400" s="7">
        <v>399</v>
      </c>
      <c r="B400" s="9">
        <v>1003</v>
      </c>
      <c r="C400" s="7" t="str">
        <f>IFERROR(_xlfn.TEXTJOIN("-", TRUE, _xlfn.XLOOKUP(K400, product_category_id_lookup!$A$2:$A$5, product_category_id_lookup!$B$2:$B$5), B400), "Unknown Category")</f>
        <v>fd-1003</v>
      </c>
      <c r="D400" s="8">
        <v>44689</v>
      </c>
      <c r="E400" s="7">
        <f t="shared" si="18"/>
        <v>2022</v>
      </c>
      <c r="F400" s="28" t="str">
        <f t="shared" si="19"/>
        <v>May</v>
      </c>
      <c r="G400" s="17" t="s">
        <v>14</v>
      </c>
      <c r="H400" s="17" t="s">
        <v>23</v>
      </c>
      <c r="I400" s="24">
        <v>163271.212</v>
      </c>
      <c r="J400" s="32">
        <v>40</v>
      </c>
      <c r="K400" s="17" t="s">
        <v>24</v>
      </c>
      <c r="L400" s="24">
        <v>3619.13</v>
      </c>
      <c r="M400" s="24">
        <v>4586.2700000000004</v>
      </c>
      <c r="N400" s="34">
        <f>((sales_data_1[[#This Row],[Unit_Price]]*(1-sales_data_1[[#This Row],[Discount]]))-sales_data_1[[#This Row],[Unit_Cost]])*sales_data_1[[#This Row],[Quantity_Sold]]</f>
        <v>18506.01200000001</v>
      </c>
      <c r="O400" s="17" t="s">
        <v>17</v>
      </c>
      <c r="P400" s="26">
        <v>0.11</v>
      </c>
      <c r="Q400" s="17" t="s">
        <v>25</v>
      </c>
      <c r="R400" s="17" t="s">
        <v>19</v>
      </c>
      <c r="S400" s="49" t="str">
        <f t="shared" si="20"/>
        <v>Bob-South</v>
      </c>
      <c r="T400" s="59" t="str">
        <f>IF(ROUND(sales_data_1[[#This Row],[Profit_Margin]],2)=ROUND((sales_data_1[[#This Row],[Unit_Price]]*(1-sales_data_1[[#This Row],[Discount]]) - sales_data_1[[#This Row],[Unit_Cost]])*sales_data_1[[#This Row],[Quantity_Sold]],2), "PASS", "CHECK")</f>
        <v>PASS</v>
      </c>
    </row>
    <row r="401" spans="1:20" x14ac:dyDescent="0.35">
      <c r="A401" s="7">
        <v>400</v>
      </c>
      <c r="B401" s="9">
        <v>1011</v>
      </c>
      <c r="C401" s="7" t="str">
        <f>IFERROR(_xlfn.TEXTJOIN("-", TRUE, _xlfn.XLOOKUP(K401, product_category_id_lookup!$A$2:$A$5, product_category_id_lookup!$B$2:$B$5), B401), "Unknown Category")</f>
        <v>fd-1011</v>
      </c>
      <c r="D401" s="8">
        <v>44690</v>
      </c>
      <c r="E401" s="7">
        <f t="shared" si="18"/>
        <v>2022</v>
      </c>
      <c r="F401" s="28" t="str">
        <f t="shared" si="19"/>
        <v>May</v>
      </c>
      <c r="G401" s="17" t="s">
        <v>22</v>
      </c>
      <c r="H401" s="17" t="s">
        <v>30</v>
      </c>
      <c r="I401" s="24">
        <v>22678.609200000003</v>
      </c>
      <c r="J401" s="32">
        <v>47</v>
      </c>
      <c r="K401" s="17" t="s">
        <v>24</v>
      </c>
      <c r="L401" s="24">
        <v>425.17</v>
      </c>
      <c r="M401" s="24">
        <v>618.62</v>
      </c>
      <c r="N401" s="34">
        <f>((sales_data_1[[#This Row],[Unit_Price]]*(1-sales_data_1[[#This Row],[Discount]]))-sales_data_1[[#This Row],[Unit_Cost]])*sales_data_1[[#This Row],[Quantity_Sold]]</f>
        <v>2695.6192000000015</v>
      </c>
      <c r="O401" s="17" t="s">
        <v>27</v>
      </c>
      <c r="P401" s="26">
        <v>0.22</v>
      </c>
      <c r="Q401" s="17" t="s">
        <v>25</v>
      </c>
      <c r="R401" s="17" t="s">
        <v>21</v>
      </c>
      <c r="S401" s="49" t="str">
        <f t="shared" si="20"/>
        <v>David-East</v>
      </c>
      <c r="T401" s="59" t="str">
        <f>IF(ROUND(sales_data_1[[#This Row],[Profit_Margin]],2)=ROUND((sales_data_1[[#This Row],[Unit_Price]]*(1-sales_data_1[[#This Row],[Discount]]) - sales_data_1[[#This Row],[Unit_Cost]])*sales_data_1[[#This Row],[Quantity_Sold]],2), "PASS", "CHECK")</f>
        <v>PASS</v>
      </c>
    </row>
    <row r="402" spans="1:20" x14ac:dyDescent="0.35">
      <c r="A402" s="7">
        <v>401</v>
      </c>
      <c r="B402" s="9">
        <v>1010</v>
      </c>
      <c r="C402" s="7" t="str">
        <f>IFERROR(_xlfn.TEXTJOIN("-", TRUE, _xlfn.XLOOKUP(K402, product_category_id_lookup!$A$2:$A$5, product_category_id_lookup!$B$2:$B$5), B402), "Unknown Category")</f>
        <v>etc-1010</v>
      </c>
      <c r="D402" s="8">
        <v>44690</v>
      </c>
      <c r="E402" s="7">
        <f t="shared" si="18"/>
        <v>2022</v>
      </c>
      <c r="F402" s="28" t="str">
        <f t="shared" si="19"/>
        <v>May</v>
      </c>
      <c r="G402" s="17" t="s">
        <v>33</v>
      </c>
      <c r="H402" s="17" t="s">
        <v>20</v>
      </c>
      <c r="I402" s="24">
        <v>37359.567500851132</v>
      </c>
      <c r="J402" s="32">
        <v>15</v>
      </c>
      <c r="K402" s="17" t="s">
        <v>31</v>
      </c>
      <c r="L402" s="24">
        <v>2037.19</v>
      </c>
      <c r="M402" s="24">
        <v>2498.4899999999998</v>
      </c>
      <c r="N402" s="34">
        <f>((sales_data_1[[#This Row],[Unit_Price]]*(1-sales_data_1[[#This Row],[Discount]]))-sales_data_1[[#This Row],[Unit_Cost]])*sales_data_1[[#This Row],[Quantity_Sold]]</f>
        <v>6919.4999999999964</v>
      </c>
      <c r="O402" s="17" t="s">
        <v>17</v>
      </c>
      <c r="P402" s="26">
        <v>0</v>
      </c>
      <c r="Q402" s="17" t="s">
        <v>25</v>
      </c>
      <c r="R402" s="17" t="s">
        <v>19</v>
      </c>
      <c r="S402" s="49" t="str">
        <f t="shared" si="20"/>
        <v>Alice-West</v>
      </c>
      <c r="T402" s="59" t="str">
        <f>IF(ROUND(sales_data_1[[#This Row],[Profit_Margin]],2)=ROUND((sales_data_1[[#This Row],[Unit_Price]]*(1-sales_data_1[[#This Row],[Discount]]) - sales_data_1[[#This Row],[Unit_Cost]])*sales_data_1[[#This Row],[Quantity_Sold]],2), "PASS", "CHECK")</f>
        <v>PASS</v>
      </c>
    </row>
    <row r="403" spans="1:20" x14ac:dyDescent="0.35">
      <c r="A403" s="7">
        <v>402</v>
      </c>
      <c r="B403" s="9">
        <v>1077</v>
      </c>
      <c r="C403" s="7" t="str">
        <f>IFERROR(_xlfn.TEXTJOIN("-", TRUE, _xlfn.XLOOKUP(K403, product_category_id_lookup!$A$2:$A$5, product_category_id_lookup!$B$2:$B$5), B403), "Unknown Category")</f>
        <v>fnt-1077</v>
      </c>
      <c r="D403" s="8">
        <v>44690</v>
      </c>
      <c r="E403" s="7">
        <f t="shared" si="18"/>
        <v>2022</v>
      </c>
      <c r="F403" s="28" t="str">
        <f t="shared" si="19"/>
        <v>May</v>
      </c>
      <c r="G403" s="17" t="s">
        <v>14</v>
      </c>
      <c r="H403" s="17" t="s">
        <v>23</v>
      </c>
      <c r="I403" s="24">
        <v>35558.710600000006</v>
      </c>
      <c r="J403" s="32">
        <v>14</v>
      </c>
      <c r="K403" s="17" t="s">
        <v>16</v>
      </c>
      <c r="L403" s="24">
        <v>393.78</v>
      </c>
      <c r="M403" s="24">
        <v>3060.13</v>
      </c>
      <c r="N403" s="34">
        <f>((sales_data_1[[#This Row],[Unit_Price]]*(1-sales_data_1[[#This Row],[Discount]]))-sales_data_1[[#This Row],[Unit_Cost]])*sales_data_1[[#This Row],[Quantity_Sold]]</f>
        <v>30045.790600000008</v>
      </c>
      <c r="O403" s="17" t="s">
        <v>27</v>
      </c>
      <c r="P403" s="26">
        <v>0.17</v>
      </c>
      <c r="Q403" s="17" t="s">
        <v>28</v>
      </c>
      <c r="R403" s="17" t="s">
        <v>19</v>
      </c>
      <c r="S403" s="49" t="str">
        <f t="shared" si="20"/>
        <v>Bob-South</v>
      </c>
      <c r="T403" s="59" t="str">
        <f>IF(ROUND(sales_data_1[[#This Row],[Profit_Margin]],2)=ROUND((sales_data_1[[#This Row],[Unit_Price]]*(1-sales_data_1[[#This Row],[Discount]]) - sales_data_1[[#This Row],[Unit_Cost]])*sales_data_1[[#This Row],[Quantity_Sold]],2), "PASS", "CHECK")</f>
        <v>PASS</v>
      </c>
    </row>
    <row r="404" spans="1:20" x14ac:dyDescent="0.35">
      <c r="A404" s="7">
        <v>403</v>
      </c>
      <c r="B404" s="9">
        <v>1058</v>
      </c>
      <c r="C404" s="7" t="str">
        <f>IFERROR(_xlfn.TEXTJOIN("-", TRUE, _xlfn.XLOOKUP(K404, product_category_id_lookup!$A$2:$A$5, product_category_id_lookup!$B$2:$B$5), B404), "Unknown Category")</f>
        <v>fd-1058</v>
      </c>
      <c r="D404" s="8">
        <v>44690</v>
      </c>
      <c r="E404" s="7">
        <f t="shared" si="18"/>
        <v>2022</v>
      </c>
      <c r="F404" s="28" t="str">
        <f t="shared" si="19"/>
        <v>May</v>
      </c>
      <c r="G404" s="17" t="s">
        <v>33</v>
      </c>
      <c r="H404" s="17" t="s">
        <v>23</v>
      </c>
      <c r="I404" s="24">
        <v>58116.930299999993</v>
      </c>
      <c r="J404" s="32">
        <v>13</v>
      </c>
      <c r="K404" s="17" t="s">
        <v>24</v>
      </c>
      <c r="L404" s="24">
        <v>1204.77</v>
      </c>
      <c r="M404" s="24">
        <v>4515.6899999999996</v>
      </c>
      <c r="N404" s="34">
        <f>((sales_data_1[[#This Row],[Unit_Price]]*(1-sales_data_1[[#This Row],[Discount]]))-sales_data_1[[#This Row],[Unit_Cost]])*sales_data_1[[#This Row],[Quantity_Sold]]</f>
        <v>42454.920299999998</v>
      </c>
      <c r="O404" s="17" t="s">
        <v>17</v>
      </c>
      <c r="P404" s="26">
        <v>0.01</v>
      </c>
      <c r="Q404" s="17" t="s">
        <v>25</v>
      </c>
      <c r="R404" s="17" t="s">
        <v>19</v>
      </c>
      <c r="S404" s="49" t="str">
        <f t="shared" si="20"/>
        <v>Alice-South</v>
      </c>
      <c r="T404" s="59" t="str">
        <f>IF(ROUND(sales_data_1[[#This Row],[Profit_Margin]],2)=ROUND((sales_data_1[[#This Row],[Unit_Price]]*(1-sales_data_1[[#This Row],[Discount]]) - sales_data_1[[#This Row],[Unit_Cost]])*sales_data_1[[#This Row],[Quantity_Sold]],2), "PASS", "CHECK")</f>
        <v>PASS</v>
      </c>
    </row>
    <row r="405" spans="1:20" x14ac:dyDescent="0.35">
      <c r="A405" s="7">
        <v>404</v>
      </c>
      <c r="B405" s="9">
        <v>1017</v>
      </c>
      <c r="C405" s="7" t="str">
        <f>IFERROR(_xlfn.TEXTJOIN("-", TRUE, _xlfn.XLOOKUP(K405, product_category_id_lookup!$A$2:$A$5, product_category_id_lookup!$B$2:$B$5), B405), "Unknown Category")</f>
        <v>ctg-1017</v>
      </c>
      <c r="D405" s="8">
        <v>44690</v>
      </c>
      <c r="E405" s="7">
        <f t="shared" si="18"/>
        <v>2022</v>
      </c>
      <c r="F405" s="28" t="str">
        <f t="shared" si="19"/>
        <v>May</v>
      </c>
      <c r="G405" s="17" t="s">
        <v>32</v>
      </c>
      <c r="H405" s="17" t="s">
        <v>23</v>
      </c>
      <c r="I405" s="24">
        <v>135256.03519999998</v>
      </c>
      <c r="J405" s="32">
        <v>44</v>
      </c>
      <c r="K405" s="17" t="s">
        <v>26</v>
      </c>
      <c r="L405" s="24">
        <v>339.69</v>
      </c>
      <c r="M405" s="24">
        <v>4210.96</v>
      </c>
      <c r="N405" s="34">
        <f>((sales_data_1[[#This Row],[Unit_Price]]*(1-sales_data_1[[#This Row],[Discount]]))-sales_data_1[[#This Row],[Unit_Cost]])*sales_data_1[[#This Row],[Quantity_Sold]]</f>
        <v>120309.67519999998</v>
      </c>
      <c r="O405" s="17" t="s">
        <v>17</v>
      </c>
      <c r="P405" s="26">
        <v>0.27</v>
      </c>
      <c r="Q405" s="17" t="s">
        <v>28</v>
      </c>
      <c r="R405" s="17" t="s">
        <v>19</v>
      </c>
      <c r="S405" s="49" t="str">
        <f t="shared" si="20"/>
        <v>Eve-South</v>
      </c>
      <c r="T405" s="59" t="str">
        <f>IF(ROUND(sales_data_1[[#This Row],[Profit_Margin]],2)=ROUND((sales_data_1[[#This Row],[Unit_Price]]*(1-sales_data_1[[#This Row],[Discount]]) - sales_data_1[[#This Row],[Unit_Cost]])*sales_data_1[[#This Row],[Quantity_Sold]],2), "PASS", "CHECK")</f>
        <v>PASS</v>
      </c>
    </row>
    <row r="406" spans="1:20" x14ac:dyDescent="0.35">
      <c r="A406" s="7">
        <v>405</v>
      </c>
      <c r="B406" s="9">
        <v>1050</v>
      </c>
      <c r="C406" s="7" t="str">
        <f>IFERROR(_xlfn.TEXTJOIN("-", TRUE, _xlfn.XLOOKUP(K406, product_category_id_lookup!$A$2:$A$5, product_category_id_lookup!$B$2:$B$5), B406), "Unknown Category")</f>
        <v>fd-1050</v>
      </c>
      <c r="D406" s="8">
        <v>44691</v>
      </c>
      <c r="E406" s="7">
        <f t="shared" si="18"/>
        <v>2022</v>
      </c>
      <c r="F406" s="28" t="str">
        <f t="shared" si="19"/>
        <v>May</v>
      </c>
      <c r="G406" s="17" t="s">
        <v>14</v>
      </c>
      <c r="H406" s="17" t="s">
        <v>20</v>
      </c>
      <c r="I406" s="24">
        <v>11119.401</v>
      </c>
      <c r="J406" s="32">
        <v>3</v>
      </c>
      <c r="K406" s="17" t="s">
        <v>24</v>
      </c>
      <c r="L406" s="24">
        <v>2745.38</v>
      </c>
      <c r="M406" s="24">
        <v>3943.05</v>
      </c>
      <c r="N406" s="34">
        <f>((sales_data_1[[#This Row],[Unit_Price]]*(1-sales_data_1[[#This Row],[Discount]]))-sales_data_1[[#This Row],[Unit_Cost]])*sales_data_1[[#This Row],[Quantity_Sold]]</f>
        <v>2883.261</v>
      </c>
      <c r="O406" s="17" t="s">
        <v>27</v>
      </c>
      <c r="P406" s="26">
        <v>0.06</v>
      </c>
      <c r="Q406" s="17" t="s">
        <v>25</v>
      </c>
      <c r="R406" s="17" t="s">
        <v>21</v>
      </c>
      <c r="S406" s="49" t="str">
        <f t="shared" si="20"/>
        <v>Bob-West</v>
      </c>
      <c r="T406" s="59" t="str">
        <f>IF(ROUND(sales_data_1[[#This Row],[Profit_Margin]],2)=ROUND((sales_data_1[[#This Row],[Unit_Price]]*(1-sales_data_1[[#This Row],[Discount]]) - sales_data_1[[#This Row],[Unit_Cost]])*sales_data_1[[#This Row],[Quantity_Sold]],2), "PASS", "CHECK")</f>
        <v>PASS</v>
      </c>
    </row>
    <row r="407" spans="1:20" x14ac:dyDescent="0.35">
      <c r="A407" s="7">
        <v>406</v>
      </c>
      <c r="B407" s="9">
        <v>1040</v>
      </c>
      <c r="C407" s="7" t="str">
        <f>IFERROR(_xlfn.TEXTJOIN("-", TRUE, _xlfn.XLOOKUP(K407, product_category_id_lookup!$A$2:$A$5, product_category_id_lookup!$B$2:$B$5), B407), "Unknown Category")</f>
        <v>fnt-1040</v>
      </c>
      <c r="D407" s="8">
        <v>44691</v>
      </c>
      <c r="E407" s="7">
        <f t="shared" si="18"/>
        <v>2022</v>
      </c>
      <c r="F407" s="28" t="str">
        <f t="shared" si="19"/>
        <v>May</v>
      </c>
      <c r="G407" s="17" t="s">
        <v>33</v>
      </c>
      <c r="H407" s="17" t="s">
        <v>23</v>
      </c>
      <c r="I407" s="24">
        <v>29307.652000000002</v>
      </c>
      <c r="J407" s="32">
        <v>19</v>
      </c>
      <c r="K407" s="17" t="s">
        <v>16</v>
      </c>
      <c r="L407" s="24">
        <v>864.19</v>
      </c>
      <c r="M407" s="24">
        <v>1752.85</v>
      </c>
      <c r="N407" s="34">
        <f>((sales_data_1[[#This Row],[Unit_Price]]*(1-sales_data_1[[#This Row],[Discount]]))-sales_data_1[[#This Row],[Unit_Cost]])*sales_data_1[[#This Row],[Quantity_Sold]]</f>
        <v>12888.041999999999</v>
      </c>
      <c r="O407" s="17" t="s">
        <v>17</v>
      </c>
      <c r="P407" s="26">
        <v>0.12</v>
      </c>
      <c r="Q407" s="17" t="s">
        <v>25</v>
      </c>
      <c r="R407" s="17" t="s">
        <v>19</v>
      </c>
      <c r="S407" s="49" t="str">
        <f t="shared" si="20"/>
        <v>Alice-South</v>
      </c>
      <c r="T407" s="59" t="str">
        <f>IF(ROUND(sales_data_1[[#This Row],[Profit_Margin]],2)=ROUND((sales_data_1[[#This Row],[Unit_Price]]*(1-sales_data_1[[#This Row],[Discount]]) - sales_data_1[[#This Row],[Unit_Cost]])*sales_data_1[[#This Row],[Quantity_Sold]],2), "PASS", "CHECK")</f>
        <v>PASS</v>
      </c>
    </row>
    <row r="408" spans="1:20" x14ac:dyDescent="0.35">
      <c r="A408" s="7">
        <v>407</v>
      </c>
      <c r="B408" s="9">
        <v>1053</v>
      </c>
      <c r="C408" s="7" t="str">
        <f>IFERROR(_xlfn.TEXTJOIN("-", TRUE, _xlfn.XLOOKUP(K408, product_category_id_lookup!$A$2:$A$5, product_category_id_lookup!$B$2:$B$5), B408), "Unknown Category")</f>
        <v>etc-1053</v>
      </c>
      <c r="D408" s="8">
        <v>44691</v>
      </c>
      <c r="E408" s="7">
        <f t="shared" si="18"/>
        <v>2022</v>
      </c>
      <c r="F408" s="28" t="str">
        <f t="shared" si="19"/>
        <v>May</v>
      </c>
      <c r="G408" s="17" t="s">
        <v>22</v>
      </c>
      <c r="H408" s="17" t="s">
        <v>30</v>
      </c>
      <c r="I408" s="24">
        <v>84619.692999999999</v>
      </c>
      <c r="J408" s="32">
        <v>47</v>
      </c>
      <c r="K408" s="17" t="s">
        <v>31</v>
      </c>
      <c r="L408" s="24">
        <v>873.96</v>
      </c>
      <c r="M408" s="24">
        <v>2118.14</v>
      </c>
      <c r="N408" s="34">
        <f>((sales_data_1[[#This Row],[Unit_Price]]*(1-sales_data_1[[#This Row],[Discount]]))-sales_data_1[[#This Row],[Unit_Cost]])*sales_data_1[[#This Row],[Quantity_Sold]]</f>
        <v>43543.572999999989</v>
      </c>
      <c r="O408" s="17" t="s">
        <v>27</v>
      </c>
      <c r="P408" s="26">
        <v>0.15</v>
      </c>
      <c r="Q408" s="17" t="s">
        <v>25</v>
      </c>
      <c r="R408" s="17" t="s">
        <v>21</v>
      </c>
      <c r="S408" s="49" t="str">
        <f t="shared" si="20"/>
        <v>David-East</v>
      </c>
      <c r="T408" s="59" t="str">
        <f>IF(ROUND(sales_data_1[[#This Row],[Profit_Margin]],2)=ROUND((sales_data_1[[#This Row],[Unit_Price]]*(1-sales_data_1[[#This Row],[Discount]]) - sales_data_1[[#This Row],[Unit_Cost]])*sales_data_1[[#This Row],[Quantity_Sold]],2), "PASS", "CHECK")</f>
        <v>PASS</v>
      </c>
    </row>
    <row r="409" spans="1:20" x14ac:dyDescent="0.35">
      <c r="A409" s="7">
        <v>408</v>
      </c>
      <c r="B409" s="9">
        <v>1032</v>
      </c>
      <c r="C409" s="7" t="str">
        <f>IFERROR(_xlfn.TEXTJOIN("-", TRUE, _xlfn.XLOOKUP(K409, product_category_id_lookup!$A$2:$A$5, product_category_id_lookup!$B$2:$B$5), B409), "Unknown Category")</f>
        <v>fnt-1032</v>
      </c>
      <c r="D409" s="8">
        <v>44691</v>
      </c>
      <c r="E409" s="7">
        <f t="shared" si="18"/>
        <v>2022</v>
      </c>
      <c r="F409" s="28" t="str">
        <f t="shared" si="19"/>
        <v>May</v>
      </c>
      <c r="G409" s="17" t="s">
        <v>29</v>
      </c>
      <c r="H409" s="17" t="s">
        <v>30</v>
      </c>
      <c r="I409" s="24">
        <v>111287.75249999999</v>
      </c>
      <c r="J409" s="32">
        <v>25</v>
      </c>
      <c r="K409" s="17" t="s">
        <v>16</v>
      </c>
      <c r="L409" s="24">
        <v>847.47</v>
      </c>
      <c r="M409" s="24">
        <v>4786.57</v>
      </c>
      <c r="N409" s="34">
        <f>((sales_data_1[[#This Row],[Unit_Price]]*(1-sales_data_1[[#This Row],[Discount]]))-sales_data_1[[#This Row],[Unit_Cost]])*sales_data_1[[#This Row],[Quantity_Sold]]</f>
        <v>90101.002499999988</v>
      </c>
      <c r="O409" s="17" t="s">
        <v>27</v>
      </c>
      <c r="P409" s="26">
        <v>7.0000000000000007E-2</v>
      </c>
      <c r="Q409" s="17" t="s">
        <v>28</v>
      </c>
      <c r="R409" s="17" t="s">
        <v>21</v>
      </c>
      <c r="S409" s="49" t="str">
        <f t="shared" si="20"/>
        <v>Charlie-East</v>
      </c>
      <c r="T409" s="59" t="str">
        <f>IF(ROUND(sales_data_1[[#This Row],[Profit_Margin]],2)=ROUND((sales_data_1[[#This Row],[Unit_Price]]*(1-sales_data_1[[#This Row],[Discount]]) - sales_data_1[[#This Row],[Unit_Cost]])*sales_data_1[[#This Row],[Quantity_Sold]],2), "PASS", "CHECK")</f>
        <v>PASS</v>
      </c>
    </row>
    <row r="410" spans="1:20" x14ac:dyDescent="0.35">
      <c r="A410" s="7">
        <v>409</v>
      </c>
      <c r="B410" s="9">
        <v>1088</v>
      </c>
      <c r="C410" s="7" t="str">
        <f>IFERROR(_xlfn.TEXTJOIN("-", TRUE, _xlfn.XLOOKUP(K410, product_category_id_lookup!$A$2:$A$5, product_category_id_lookup!$B$2:$B$5), B410), "Unknown Category")</f>
        <v>ctg-1088</v>
      </c>
      <c r="D410" s="8">
        <v>44692</v>
      </c>
      <c r="E410" s="7">
        <f t="shared" si="18"/>
        <v>2022</v>
      </c>
      <c r="F410" s="28" t="str">
        <f t="shared" si="19"/>
        <v>May</v>
      </c>
      <c r="G410" s="17" t="s">
        <v>14</v>
      </c>
      <c r="H410" s="17" t="s">
        <v>30</v>
      </c>
      <c r="I410" s="24">
        <v>40072.30818494648</v>
      </c>
      <c r="J410" s="32">
        <v>14</v>
      </c>
      <c r="K410" s="17" t="s">
        <v>26</v>
      </c>
      <c r="L410" s="24">
        <v>2164.31</v>
      </c>
      <c r="M410" s="24">
        <v>2888.78</v>
      </c>
      <c r="N410" s="34">
        <f>((sales_data_1[[#This Row],[Unit_Price]]*(1-sales_data_1[[#This Row],[Discount]]))-sales_data_1[[#This Row],[Unit_Cost]])*sales_data_1[[#This Row],[Quantity_Sold]]</f>
        <v>9738.1508000000031</v>
      </c>
      <c r="O410" s="17" t="s">
        <v>17</v>
      </c>
      <c r="P410" s="26">
        <v>0.01</v>
      </c>
      <c r="Q410" s="17" t="s">
        <v>25</v>
      </c>
      <c r="R410" s="17" t="s">
        <v>19</v>
      </c>
      <c r="S410" s="49" t="str">
        <f t="shared" si="20"/>
        <v>Bob-East</v>
      </c>
      <c r="T410" s="59" t="str">
        <f>IF(ROUND(sales_data_1[[#This Row],[Profit_Margin]],2)=ROUND((sales_data_1[[#This Row],[Unit_Price]]*(1-sales_data_1[[#This Row],[Discount]]) - sales_data_1[[#This Row],[Unit_Cost]])*sales_data_1[[#This Row],[Quantity_Sold]],2), "PASS", "CHECK")</f>
        <v>PASS</v>
      </c>
    </row>
    <row r="411" spans="1:20" x14ac:dyDescent="0.35">
      <c r="A411" s="7">
        <v>410</v>
      </c>
      <c r="B411" s="9">
        <v>1038</v>
      </c>
      <c r="C411" s="7" t="str">
        <f>IFERROR(_xlfn.TEXTJOIN("-", TRUE, _xlfn.XLOOKUP(K411, product_category_id_lookup!$A$2:$A$5, product_category_id_lookup!$B$2:$B$5), B411), "Unknown Category")</f>
        <v>etc-1038</v>
      </c>
      <c r="D411" s="8">
        <v>44692</v>
      </c>
      <c r="E411" s="7">
        <f t="shared" si="18"/>
        <v>2022</v>
      </c>
      <c r="F411" s="28" t="str">
        <f t="shared" si="19"/>
        <v>May</v>
      </c>
      <c r="G411" s="17" t="s">
        <v>22</v>
      </c>
      <c r="H411" s="17" t="s">
        <v>20</v>
      </c>
      <c r="I411" s="24">
        <v>42130.303599999999</v>
      </c>
      <c r="J411" s="32">
        <v>19</v>
      </c>
      <c r="K411" s="17" t="s">
        <v>31</v>
      </c>
      <c r="L411" s="24">
        <v>1405.78</v>
      </c>
      <c r="M411" s="24">
        <v>2879.72</v>
      </c>
      <c r="N411" s="34">
        <f>((sales_data_1[[#This Row],[Unit_Price]]*(1-sales_data_1[[#This Row],[Discount]]))-sales_data_1[[#This Row],[Unit_Cost]])*sales_data_1[[#This Row],[Quantity_Sold]]</f>
        <v>15420.4836</v>
      </c>
      <c r="O411" s="17" t="s">
        <v>27</v>
      </c>
      <c r="P411" s="26">
        <v>0.23</v>
      </c>
      <c r="Q411" s="17" t="s">
        <v>28</v>
      </c>
      <c r="R411" s="17" t="s">
        <v>19</v>
      </c>
      <c r="S411" s="49" t="str">
        <f t="shared" si="20"/>
        <v>David-West</v>
      </c>
      <c r="T411" s="59" t="str">
        <f>IF(ROUND(sales_data_1[[#This Row],[Profit_Margin]],2)=ROUND((sales_data_1[[#This Row],[Unit_Price]]*(1-sales_data_1[[#This Row],[Discount]]) - sales_data_1[[#This Row],[Unit_Cost]])*sales_data_1[[#This Row],[Quantity_Sold]],2), "PASS", "CHECK")</f>
        <v>PASS</v>
      </c>
    </row>
    <row r="412" spans="1:20" x14ac:dyDescent="0.35">
      <c r="A412" s="7">
        <v>411</v>
      </c>
      <c r="B412" s="9">
        <v>1053</v>
      </c>
      <c r="C412" s="7" t="str">
        <f>IFERROR(_xlfn.TEXTJOIN("-", TRUE, _xlfn.XLOOKUP(K412, product_category_id_lookup!$A$2:$A$5, product_category_id_lookup!$B$2:$B$5), B412), "Unknown Category")</f>
        <v>ctg-1053</v>
      </c>
      <c r="D412" s="8">
        <v>44692</v>
      </c>
      <c r="E412" s="7">
        <f t="shared" si="18"/>
        <v>2022</v>
      </c>
      <c r="F412" s="28" t="str">
        <f t="shared" si="19"/>
        <v>May</v>
      </c>
      <c r="G412" s="17" t="s">
        <v>32</v>
      </c>
      <c r="H412" s="17" t="s">
        <v>20</v>
      </c>
      <c r="I412" s="24">
        <v>130793.9232</v>
      </c>
      <c r="J412" s="32">
        <v>32</v>
      </c>
      <c r="K412" s="17" t="s">
        <v>26</v>
      </c>
      <c r="L412" s="24">
        <v>797.27</v>
      </c>
      <c r="M412" s="24">
        <v>4924.47</v>
      </c>
      <c r="N412" s="34">
        <f>((sales_data_1[[#This Row],[Unit_Price]]*(1-sales_data_1[[#This Row],[Discount]]))-sales_data_1[[#This Row],[Unit_Cost]])*sales_data_1[[#This Row],[Quantity_Sold]]</f>
        <v>105281.28320000001</v>
      </c>
      <c r="O412" s="17" t="s">
        <v>27</v>
      </c>
      <c r="P412" s="26">
        <v>0.17</v>
      </c>
      <c r="Q412" s="17" t="s">
        <v>25</v>
      </c>
      <c r="R412" s="17" t="s">
        <v>21</v>
      </c>
      <c r="S412" s="49" t="str">
        <f t="shared" si="20"/>
        <v>Eve-West</v>
      </c>
      <c r="T412" s="59" t="str">
        <f>IF(ROUND(sales_data_1[[#This Row],[Profit_Margin]],2)=ROUND((sales_data_1[[#This Row],[Unit_Price]]*(1-sales_data_1[[#This Row],[Discount]]) - sales_data_1[[#This Row],[Unit_Cost]])*sales_data_1[[#This Row],[Quantity_Sold]],2), "PASS", "CHECK")</f>
        <v>PASS</v>
      </c>
    </row>
    <row r="413" spans="1:20" x14ac:dyDescent="0.35">
      <c r="A413" s="7">
        <v>412</v>
      </c>
      <c r="B413" s="9">
        <v>1021</v>
      </c>
      <c r="C413" s="7" t="str">
        <f>IFERROR(_xlfn.TEXTJOIN("-", TRUE, _xlfn.XLOOKUP(K413, product_category_id_lookup!$A$2:$A$5, product_category_id_lookup!$B$2:$B$5), B413), "Unknown Category")</f>
        <v>ctg-1021</v>
      </c>
      <c r="D413" s="8">
        <v>44693</v>
      </c>
      <c r="E413" s="7">
        <f t="shared" si="18"/>
        <v>2022</v>
      </c>
      <c r="F413" s="28" t="str">
        <f t="shared" si="19"/>
        <v>May</v>
      </c>
      <c r="G413" s="17" t="s">
        <v>14</v>
      </c>
      <c r="H413" s="17" t="s">
        <v>30</v>
      </c>
      <c r="I413" s="24">
        <v>9967.8599999999988</v>
      </c>
      <c r="J413" s="32">
        <v>5</v>
      </c>
      <c r="K413" s="17" t="s">
        <v>26</v>
      </c>
      <c r="L413" s="24">
        <v>1797.68</v>
      </c>
      <c r="M413" s="24">
        <v>2215.08</v>
      </c>
      <c r="N413" s="34">
        <f>((sales_data_1[[#This Row],[Unit_Price]]*(1-sales_data_1[[#This Row],[Discount]]))-sales_data_1[[#This Row],[Unit_Cost]])*sales_data_1[[#This Row],[Quantity_Sold]]</f>
        <v>979.45999999999913</v>
      </c>
      <c r="O413" s="17" t="s">
        <v>27</v>
      </c>
      <c r="P413" s="26">
        <v>0.1</v>
      </c>
      <c r="Q413" s="17" t="s">
        <v>25</v>
      </c>
      <c r="R413" s="17" t="s">
        <v>21</v>
      </c>
      <c r="S413" s="49" t="str">
        <f t="shared" si="20"/>
        <v>Bob-East</v>
      </c>
      <c r="T413" s="59" t="str">
        <f>IF(ROUND(sales_data_1[[#This Row],[Profit_Margin]],2)=ROUND((sales_data_1[[#This Row],[Unit_Price]]*(1-sales_data_1[[#This Row],[Discount]]) - sales_data_1[[#This Row],[Unit_Cost]])*sales_data_1[[#This Row],[Quantity_Sold]],2), "PASS", "CHECK")</f>
        <v>PASS</v>
      </c>
    </row>
    <row r="414" spans="1:20" x14ac:dyDescent="0.35">
      <c r="A414" s="7">
        <v>413</v>
      </c>
      <c r="B414" s="9">
        <v>1034</v>
      </c>
      <c r="C414" s="7" t="str">
        <f>IFERROR(_xlfn.TEXTJOIN("-", TRUE, _xlfn.XLOOKUP(K414, product_category_id_lookup!$A$2:$A$5, product_category_id_lookup!$B$2:$B$5), B414), "Unknown Category")</f>
        <v>etc-1034</v>
      </c>
      <c r="D414" s="8">
        <v>44693</v>
      </c>
      <c r="E414" s="7">
        <f t="shared" si="18"/>
        <v>2022</v>
      </c>
      <c r="F414" s="28" t="str">
        <f t="shared" si="19"/>
        <v>May</v>
      </c>
      <c r="G414" s="17" t="s">
        <v>33</v>
      </c>
      <c r="H414" s="17" t="s">
        <v>15</v>
      </c>
      <c r="I414" s="24">
        <v>61194.895300000004</v>
      </c>
      <c r="J414" s="32">
        <v>43</v>
      </c>
      <c r="K414" s="17" t="s">
        <v>31</v>
      </c>
      <c r="L414" s="24">
        <v>1385.76</v>
      </c>
      <c r="M414" s="24">
        <v>1848.23</v>
      </c>
      <c r="N414" s="34">
        <f>((sales_data_1[[#This Row],[Unit_Price]]*(1-sales_data_1[[#This Row],[Discount]]))-sales_data_1[[#This Row],[Unit_Cost]])*sales_data_1[[#This Row],[Quantity_Sold]]</f>
        <v>1607.2153000000067</v>
      </c>
      <c r="O414" s="17" t="s">
        <v>27</v>
      </c>
      <c r="P414" s="26">
        <v>0.23</v>
      </c>
      <c r="Q414" s="17" t="s">
        <v>18</v>
      </c>
      <c r="R414" s="17" t="s">
        <v>19</v>
      </c>
      <c r="S414" s="49" t="str">
        <f t="shared" si="20"/>
        <v>Alice-North</v>
      </c>
      <c r="T414" s="59" t="str">
        <f>IF(ROUND(sales_data_1[[#This Row],[Profit_Margin]],2)=ROUND((sales_data_1[[#This Row],[Unit_Price]]*(1-sales_data_1[[#This Row],[Discount]]) - sales_data_1[[#This Row],[Unit_Cost]])*sales_data_1[[#This Row],[Quantity_Sold]],2), "PASS", "CHECK")</f>
        <v>PASS</v>
      </c>
    </row>
    <row r="415" spans="1:20" x14ac:dyDescent="0.35">
      <c r="A415" s="7">
        <v>414</v>
      </c>
      <c r="B415" s="9">
        <v>1086</v>
      </c>
      <c r="C415" s="7" t="str">
        <f>IFERROR(_xlfn.TEXTJOIN("-", TRUE, _xlfn.XLOOKUP(K415, product_category_id_lookup!$A$2:$A$5, product_category_id_lookup!$B$2:$B$5), B415), "Unknown Category")</f>
        <v>fnt-1086</v>
      </c>
      <c r="D415" s="8">
        <v>44693</v>
      </c>
      <c r="E415" s="7">
        <f t="shared" si="18"/>
        <v>2022</v>
      </c>
      <c r="F415" s="28" t="str">
        <f t="shared" si="19"/>
        <v>May</v>
      </c>
      <c r="G415" s="17" t="s">
        <v>33</v>
      </c>
      <c r="H415" s="17" t="s">
        <v>15</v>
      </c>
      <c r="I415" s="24">
        <v>79157.088000000003</v>
      </c>
      <c r="J415" s="32">
        <v>27</v>
      </c>
      <c r="K415" s="17" t="s">
        <v>16</v>
      </c>
      <c r="L415" s="24">
        <v>1504.67</v>
      </c>
      <c r="M415" s="24">
        <v>3664.68</v>
      </c>
      <c r="N415" s="34">
        <f>((sales_data_1[[#This Row],[Unit_Price]]*(1-sales_data_1[[#This Row],[Discount]]))-sales_data_1[[#This Row],[Unit_Cost]])*sales_data_1[[#This Row],[Quantity_Sold]]</f>
        <v>38530.998</v>
      </c>
      <c r="O415" s="17" t="s">
        <v>27</v>
      </c>
      <c r="P415" s="26">
        <v>0.2</v>
      </c>
      <c r="Q415" s="17" t="s">
        <v>25</v>
      </c>
      <c r="R415" s="17" t="s">
        <v>19</v>
      </c>
      <c r="S415" s="49" t="str">
        <f t="shared" si="20"/>
        <v>Alice-North</v>
      </c>
      <c r="T415" s="59" t="str">
        <f>IF(ROUND(sales_data_1[[#This Row],[Profit_Margin]],2)=ROUND((sales_data_1[[#This Row],[Unit_Price]]*(1-sales_data_1[[#This Row],[Discount]]) - sales_data_1[[#This Row],[Unit_Cost]])*sales_data_1[[#This Row],[Quantity_Sold]],2), "PASS", "CHECK")</f>
        <v>PASS</v>
      </c>
    </row>
    <row r="416" spans="1:20" x14ac:dyDescent="0.35">
      <c r="A416" s="7">
        <v>415</v>
      </c>
      <c r="B416" s="9">
        <v>1098</v>
      </c>
      <c r="C416" s="7" t="str">
        <f>IFERROR(_xlfn.TEXTJOIN("-", TRUE, _xlfn.XLOOKUP(K416, product_category_id_lookup!$A$2:$A$5, product_category_id_lookup!$B$2:$B$5), B416), "Unknown Category")</f>
        <v>etc-1098</v>
      </c>
      <c r="D416" s="8">
        <v>44693</v>
      </c>
      <c r="E416" s="7">
        <f t="shared" si="18"/>
        <v>2022</v>
      </c>
      <c r="F416" s="28" t="str">
        <f t="shared" si="19"/>
        <v>May</v>
      </c>
      <c r="G416" s="17" t="s">
        <v>32</v>
      </c>
      <c r="H416" s="17" t="s">
        <v>23</v>
      </c>
      <c r="I416" s="24">
        <v>65751.703999999998</v>
      </c>
      <c r="J416" s="32">
        <v>16</v>
      </c>
      <c r="K416" s="17" t="s">
        <v>31</v>
      </c>
      <c r="L416" s="24">
        <v>1606.32</v>
      </c>
      <c r="M416" s="24">
        <v>4325.7700000000004</v>
      </c>
      <c r="N416" s="34">
        <f>((sales_data_1[[#This Row],[Unit_Price]]*(1-sales_data_1[[#This Row],[Discount]]))-sales_data_1[[#This Row],[Unit_Cost]])*sales_data_1[[#This Row],[Quantity_Sold]]</f>
        <v>40050.584000000003</v>
      </c>
      <c r="O416" s="17" t="s">
        <v>17</v>
      </c>
      <c r="P416" s="26">
        <v>0.05</v>
      </c>
      <c r="Q416" s="17" t="s">
        <v>18</v>
      </c>
      <c r="R416" s="17" t="s">
        <v>21</v>
      </c>
      <c r="S416" s="49" t="str">
        <f t="shared" si="20"/>
        <v>Eve-South</v>
      </c>
      <c r="T416" s="59" t="str">
        <f>IF(ROUND(sales_data_1[[#This Row],[Profit_Margin]],2)=ROUND((sales_data_1[[#This Row],[Unit_Price]]*(1-sales_data_1[[#This Row],[Discount]]) - sales_data_1[[#This Row],[Unit_Cost]])*sales_data_1[[#This Row],[Quantity_Sold]],2), "PASS", "CHECK")</f>
        <v>PASS</v>
      </c>
    </row>
    <row r="417" spans="1:20" x14ac:dyDescent="0.35">
      <c r="A417" s="7">
        <v>416</v>
      </c>
      <c r="B417" s="9">
        <v>1091</v>
      </c>
      <c r="C417" s="7" t="str">
        <f>IFERROR(_xlfn.TEXTJOIN("-", TRUE, _xlfn.XLOOKUP(K417, product_category_id_lookup!$A$2:$A$5, product_category_id_lookup!$B$2:$B$5), B417), "Unknown Category")</f>
        <v>etc-1091</v>
      </c>
      <c r="D417" s="8">
        <v>44694</v>
      </c>
      <c r="E417" s="7">
        <f t="shared" si="18"/>
        <v>2022</v>
      </c>
      <c r="F417" s="28" t="str">
        <f t="shared" si="19"/>
        <v>May</v>
      </c>
      <c r="G417" s="17" t="s">
        <v>22</v>
      </c>
      <c r="H417" s="17" t="s">
        <v>20</v>
      </c>
      <c r="I417" s="24">
        <v>4387.8116</v>
      </c>
      <c r="J417" s="32">
        <v>1</v>
      </c>
      <c r="K417" s="17" t="s">
        <v>31</v>
      </c>
      <c r="L417" s="24">
        <v>2406.9</v>
      </c>
      <c r="M417" s="24">
        <v>5286.52</v>
      </c>
      <c r="N417" s="34">
        <f>((sales_data_1[[#This Row],[Unit_Price]]*(1-sales_data_1[[#This Row],[Discount]]))-sales_data_1[[#This Row],[Unit_Cost]])*sales_data_1[[#This Row],[Quantity_Sold]]</f>
        <v>1980.9115999999999</v>
      </c>
      <c r="O417" s="17" t="s">
        <v>17</v>
      </c>
      <c r="P417" s="26">
        <v>0.17</v>
      </c>
      <c r="Q417" s="17" t="s">
        <v>28</v>
      </c>
      <c r="R417" s="17" t="s">
        <v>21</v>
      </c>
      <c r="S417" s="49" t="str">
        <f t="shared" si="20"/>
        <v>David-West</v>
      </c>
      <c r="T417" s="59" t="str">
        <f>IF(ROUND(sales_data_1[[#This Row],[Profit_Margin]],2)=ROUND((sales_data_1[[#This Row],[Unit_Price]]*(1-sales_data_1[[#This Row],[Discount]]) - sales_data_1[[#This Row],[Unit_Cost]])*sales_data_1[[#This Row],[Quantity_Sold]],2), "PASS", "CHECK")</f>
        <v>PASS</v>
      </c>
    </row>
    <row r="418" spans="1:20" x14ac:dyDescent="0.35">
      <c r="A418" s="7">
        <v>417</v>
      </c>
      <c r="B418" s="9">
        <v>1018</v>
      </c>
      <c r="C418" s="7" t="str">
        <f>IFERROR(_xlfn.TEXTJOIN("-", TRUE, _xlfn.XLOOKUP(K418, product_category_id_lookup!$A$2:$A$5, product_category_id_lookup!$B$2:$B$5), B418), "Unknown Category")</f>
        <v>ctg-1018</v>
      </c>
      <c r="D418" s="8">
        <v>44694</v>
      </c>
      <c r="E418" s="7">
        <f t="shared" si="18"/>
        <v>2022</v>
      </c>
      <c r="F418" s="28" t="str">
        <f t="shared" si="19"/>
        <v>May</v>
      </c>
      <c r="G418" s="17" t="s">
        <v>22</v>
      </c>
      <c r="H418" s="17" t="s">
        <v>23</v>
      </c>
      <c r="I418" s="24">
        <v>86321.088000000003</v>
      </c>
      <c r="J418" s="32">
        <v>21</v>
      </c>
      <c r="K418" s="17" t="s">
        <v>26</v>
      </c>
      <c r="L418" s="24">
        <v>1487.94</v>
      </c>
      <c r="M418" s="24">
        <v>5138.16</v>
      </c>
      <c r="N418" s="34">
        <f>((sales_data_1[[#This Row],[Unit_Price]]*(1-sales_data_1[[#This Row],[Discount]]))-sales_data_1[[#This Row],[Unit_Cost]])*sales_data_1[[#This Row],[Quantity_Sold]]</f>
        <v>55074.348000000005</v>
      </c>
      <c r="O418" s="17" t="s">
        <v>27</v>
      </c>
      <c r="P418" s="26">
        <v>0.2</v>
      </c>
      <c r="Q418" s="17" t="s">
        <v>28</v>
      </c>
      <c r="R418" s="17" t="s">
        <v>19</v>
      </c>
      <c r="S418" s="49" t="str">
        <f t="shared" si="20"/>
        <v>David-South</v>
      </c>
      <c r="T418" s="59" t="str">
        <f>IF(ROUND(sales_data_1[[#This Row],[Profit_Margin]],2)=ROUND((sales_data_1[[#This Row],[Unit_Price]]*(1-sales_data_1[[#This Row],[Discount]]) - sales_data_1[[#This Row],[Unit_Cost]])*sales_data_1[[#This Row],[Quantity_Sold]],2), "PASS", "CHECK")</f>
        <v>PASS</v>
      </c>
    </row>
    <row r="419" spans="1:20" x14ac:dyDescent="0.35">
      <c r="A419" s="7">
        <v>418</v>
      </c>
      <c r="B419" s="9">
        <v>1059</v>
      </c>
      <c r="C419" s="7" t="str">
        <f>IFERROR(_xlfn.TEXTJOIN("-", TRUE, _xlfn.XLOOKUP(K419, product_category_id_lookup!$A$2:$A$5, product_category_id_lookup!$B$2:$B$5), B419), "Unknown Category")</f>
        <v>etc-1059</v>
      </c>
      <c r="D419" s="8">
        <v>44695</v>
      </c>
      <c r="E419" s="7">
        <f t="shared" si="18"/>
        <v>2022</v>
      </c>
      <c r="F419" s="28" t="str">
        <f t="shared" si="19"/>
        <v>May</v>
      </c>
      <c r="G419" s="17" t="s">
        <v>29</v>
      </c>
      <c r="H419" s="17" t="s">
        <v>15</v>
      </c>
      <c r="I419" s="24">
        <v>28781.834226869345</v>
      </c>
      <c r="J419" s="32">
        <v>7</v>
      </c>
      <c r="K419" s="17" t="s">
        <v>31</v>
      </c>
      <c r="L419" s="24">
        <v>3398.46</v>
      </c>
      <c r="M419" s="24">
        <v>4201.66</v>
      </c>
      <c r="N419" s="34">
        <f>((sales_data_1[[#This Row],[Unit_Price]]*(1-sales_data_1[[#This Row],[Discount]]))-sales_data_1[[#This Row],[Unit_Cost]])*sales_data_1[[#This Row],[Quantity_Sold]]</f>
        <v>5034.1675999999998</v>
      </c>
      <c r="O419" s="17" t="s">
        <v>17</v>
      </c>
      <c r="P419" s="26">
        <v>0.02</v>
      </c>
      <c r="Q419" s="17" t="s">
        <v>18</v>
      </c>
      <c r="R419" s="17" t="s">
        <v>21</v>
      </c>
      <c r="S419" s="49" t="str">
        <f t="shared" si="20"/>
        <v>Charlie-North</v>
      </c>
      <c r="T419" s="59" t="str">
        <f>IF(ROUND(sales_data_1[[#This Row],[Profit_Margin]],2)=ROUND((sales_data_1[[#This Row],[Unit_Price]]*(1-sales_data_1[[#This Row],[Discount]]) - sales_data_1[[#This Row],[Unit_Cost]])*sales_data_1[[#This Row],[Quantity_Sold]],2), "PASS", "CHECK")</f>
        <v>PASS</v>
      </c>
    </row>
    <row r="420" spans="1:20" x14ac:dyDescent="0.35">
      <c r="A420" s="7">
        <v>419</v>
      </c>
      <c r="B420" s="9">
        <v>1090</v>
      </c>
      <c r="C420" s="7" t="str">
        <f>IFERROR(_xlfn.TEXTJOIN("-", TRUE, _xlfn.XLOOKUP(K420, product_category_id_lookup!$A$2:$A$5, product_category_id_lookup!$B$2:$B$5), B420), "Unknown Category")</f>
        <v>etc-1090</v>
      </c>
      <c r="D420" s="8">
        <v>44695</v>
      </c>
      <c r="E420" s="7">
        <f t="shared" si="18"/>
        <v>2022</v>
      </c>
      <c r="F420" s="28" t="str">
        <f t="shared" si="19"/>
        <v>May</v>
      </c>
      <c r="G420" s="17" t="s">
        <v>14</v>
      </c>
      <c r="H420" s="17" t="s">
        <v>30</v>
      </c>
      <c r="I420" s="24">
        <v>35247.167999999998</v>
      </c>
      <c r="J420" s="32">
        <v>30</v>
      </c>
      <c r="K420" s="17" t="s">
        <v>31</v>
      </c>
      <c r="L420" s="24">
        <v>453.2</v>
      </c>
      <c r="M420" s="24">
        <v>1223.8599999999999</v>
      </c>
      <c r="N420" s="34">
        <f>((sales_data_1[[#This Row],[Unit_Price]]*(1-sales_data_1[[#This Row],[Discount]]))-sales_data_1[[#This Row],[Unit_Cost]])*sales_data_1[[#This Row],[Quantity_Sold]]</f>
        <v>21651.167999999994</v>
      </c>
      <c r="O420" s="17" t="s">
        <v>27</v>
      </c>
      <c r="P420" s="26">
        <v>0.04</v>
      </c>
      <c r="Q420" s="17" t="s">
        <v>28</v>
      </c>
      <c r="R420" s="17" t="s">
        <v>21</v>
      </c>
      <c r="S420" s="49" t="str">
        <f t="shared" si="20"/>
        <v>Bob-East</v>
      </c>
      <c r="T420" s="59" t="str">
        <f>IF(ROUND(sales_data_1[[#This Row],[Profit_Margin]],2)=ROUND((sales_data_1[[#This Row],[Unit_Price]]*(1-sales_data_1[[#This Row],[Discount]]) - sales_data_1[[#This Row],[Unit_Cost]])*sales_data_1[[#This Row],[Quantity_Sold]],2), "PASS", "CHECK")</f>
        <v>PASS</v>
      </c>
    </row>
    <row r="421" spans="1:20" x14ac:dyDescent="0.35">
      <c r="A421" s="7">
        <v>420</v>
      </c>
      <c r="B421" s="9">
        <v>1072</v>
      </c>
      <c r="C421" s="7" t="str">
        <f>IFERROR(_xlfn.TEXTJOIN("-", TRUE, _xlfn.XLOOKUP(K421, product_category_id_lookup!$A$2:$A$5, product_category_id_lookup!$B$2:$B$5), B421), "Unknown Category")</f>
        <v>etc-1072</v>
      </c>
      <c r="D421" s="8">
        <v>44695</v>
      </c>
      <c r="E421" s="7">
        <f t="shared" si="18"/>
        <v>2022</v>
      </c>
      <c r="F421" s="28" t="str">
        <f t="shared" si="19"/>
        <v>May</v>
      </c>
      <c r="G421" s="17" t="s">
        <v>32</v>
      </c>
      <c r="H421" s="17" t="s">
        <v>15</v>
      </c>
      <c r="I421" s="24">
        <v>116649.86525204728</v>
      </c>
      <c r="J421" s="32">
        <v>22</v>
      </c>
      <c r="K421" s="17" t="s">
        <v>31</v>
      </c>
      <c r="L421" s="24">
        <v>4181.05</v>
      </c>
      <c r="M421" s="24">
        <v>5436.29</v>
      </c>
      <c r="N421" s="34">
        <f>((sales_data_1[[#This Row],[Unit_Price]]*(1-sales_data_1[[#This Row],[Discount]]))-sales_data_1[[#This Row],[Unit_Cost]])*sales_data_1[[#This Row],[Quantity_Sold]]</f>
        <v>25223.312399999992</v>
      </c>
      <c r="O421" s="17" t="s">
        <v>27</v>
      </c>
      <c r="P421" s="26">
        <v>0.02</v>
      </c>
      <c r="Q421" s="17" t="s">
        <v>18</v>
      </c>
      <c r="R421" s="17" t="s">
        <v>21</v>
      </c>
      <c r="S421" s="49" t="str">
        <f t="shared" si="20"/>
        <v>Eve-North</v>
      </c>
      <c r="T421" s="59" t="str">
        <f>IF(ROUND(sales_data_1[[#This Row],[Profit_Margin]],2)=ROUND((sales_data_1[[#This Row],[Unit_Price]]*(1-sales_data_1[[#This Row],[Discount]]) - sales_data_1[[#This Row],[Unit_Cost]])*sales_data_1[[#This Row],[Quantity_Sold]],2), "PASS", "CHECK")</f>
        <v>PASS</v>
      </c>
    </row>
    <row r="422" spans="1:20" x14ac:dyDescent="0.35">
      <c r="A422" s="7">
        <v>421</v>
      </c>
      <c r="B422" s="9">
        <v>1012</v>
      </c>
      <c r="C422" s="7" t="str">
        <f>IFERROR(_xlfn.TEXTJOIN("-", TRUE, _xlfn.XLOOKUP(K422, product_category_id_lookup!$A$2:$A$5, product_category_id_lookup!$B$2:$B$5), B422), "Unknown Category")</f>
        <v>fnt-1012</v>
      </c>
      <c r="D422" s="8">
        <v>44695</v>
      </c>
      <c r="E422" s="7">
        <f t="shared" si="18"/>
        <v>2022</v>
      </c>
      <c r="F422" s="28" t="str">
        <f t="shared" si="19"/>
        <v>May</v>
      </c>
      <c r="G422" s="17" t="s">
        <v>32</v>
      </c>
      <c r="H422" s="17" t="s">
        <v>20</v>
      </c>
      <c r="I422" s="24">
        <v>149933.389</v>
      </c>
      <c r="J422" s="32">
        <v>43</v>
      </c>
      <c r="K422" s="17" t="s">
        <v>16</v>
      </c>
      <c r="L422" s="24">
        <v>1210.8900000000001</v>
      </c>
      <c r="M422" s="24">
        <v>3670.34</v>
      </c>
      <c r="N422" s="34">
        <f>((sales_data_1[[#This Row],[Unit_Price]]*(1-sales_data_1[[#This Row],[Discount]]))-sales_data_1[[#This Row],[Unit_Cost]])*sales_data_1[[#This Row],[Quantity_Sold]]</f>
        <v>97865.119000000006</v>
      </c>
      <c r="O422" s="17" t="s">
        <v>27</v>
      </c>
      <c r="P422" s="26">
        <v>0.05</v>
      </c>
      <c r="Q422" s="17" t="s">
        <v>28</v>
      </c>
      <c r="R422" s="17" t="s">
        <v>19</v>
      </c>
      <c r="S422" s="49" t="str">
        <f t="shared" si="20"/>
        <v>Eve-West</v>
      </c>
      <c r="T422" s="59" t="str">
        <f>IF(ROUND(sales_data_1[[#This Row],[Profit_Margin]],2)=ROUND((sales_data_1[[#This Row],[Unit_Price]]*(1-sales_data_1[[#This Row],[Discount]]) - sales_data_1[[#This Row],[Unit_Cost]])*sales_data_1[[#This Row],[Quantity_Sold]],2), "PASS", "CHECK")</f>
        <v>PASS</v>
      </c>
    </row>
    <row r="423" spans="1:20" x14ac:dyDescent="0.35">
      <c r="A423" s="7">
        <v>422</v>
      </c>
      <c r="B423" s="9">
        <v>1087</v>
      </c>
      <c r="C423" s="7" t="str">
        <f>IFERROR(_xlfn.TEXTJOIN("-", TRUE, _xlfn.XLOOKUP(K423, product_category_id_lookup!$A$2:$A$5, product_category_id_lookup!$B$2:$B$5), B423), "Unknown Category")</f>
        <v>fd-1087</v>
      </c>
      <c r="D423" s="8">
        <v>44696</v>
      </c>
      <c r="E423" s="7">
        <f t="shared" si="18"/>
        <v>2022</v>
      </c>
      <c r="F423" s="28" t="str">
        <f t="shared" si="19"/>
        <v>May</v>
      </c>
      <c r="G423" s="17" t="s">
        <v>22</v>
      </c>
      <c r="H423" s="17" t="s">
        <v>23</v>
      </c>
      <c r="I423" s="24">
        <v>11721.4174</v>
      </c>
      <c r="J423" s="32">
        <v>7</v>
      </c>
      <c r="K423" s="17" t="s">
        <v>24</v>
      </c>
      <c r="L423" s="24">
        <v>1645.93</v>
      </c>
      <c r="M423" s="24">
        <v>2174.66</v>
      </c>
      <c r="N423" s="34">
        <f>((sales_data_1[[#This Row],[Unit_Price]]*(1-sales_data_1[[#This Row],[Discount]]))-sales_data_1[[#This Row],[Unit_Cost]])*sales_data_1[[#This Row],[Quantity_Sold]]</f>
        <v>199.9073999999996</v>
      </c>
      <c r="O423" s="17" t="s">
        <v>27</v>
      </c>
      <c r="P423" s="26">
        <v>0.23</v>
      </c>
      <c r="Q423" s="17" t="s">
        <v>18</v>
      </c>
      <c r="R423" s="17" t="s">
        <v>21</v>
      </c>
      <c r="S423" s="49" t="str">
        <f t="shared" si="20"/>
        <v>David-South</v>
      </c>
      <c r="T423" s="59" t="str">
        <f>IF(ROUND(sales_data_1[[#This Row],[Profit_Margin]],2)=ROUND((sales_data_1[[#This Row],[Unit_Price]]*(1-sales_data_1[[#This Row],[Discount]]) - sales_data_1[[#This Row],[Unit_Cost]])*sales_data_1[[#This Row],[Quantity_Sold]],2), "PASS", "CHECK")</f>
        <v>PASS</v>
      </c>
    </row>
    <row r="424" spans="1:20" x14ac:dyDescent="0.35">
      <c r="A424" s="7">
        <v>423</v>
      </c>
      <c r="B424" s="9">
        <v>1010</v>
      </c>
      <c r="C424" s="7" t="str">
        <f>IFERROR(_xlfn.TEXTJOIN("-", TRUE, _xlfn.XLOOKUP(K424, product_category_id_lookup!$A$2:$A$5, product_category_id_lookup!$B$2:$B$5), B424), "Unknown Category")</f>
        <v>fnt-1010</v>
      </c>
      <c r="D424" s="8">
        <v>44696</v>
      </c>
      <c r="E424" s="7">
        <f t="shared" si="18"/>
        <v>2022</v>
      </c>
      <c r="F424" s="28" t="str">
        <f t="shared" si="19"/>
        <v>May</v>
      </c>
      <c r="G424" s="17" t="s">
        <v>29</v>
      </c>
      <c r="H424" s="17" t="s">
        <v>15</v>
      </c>
      <c r="I424" s="24">
        <v>47930.729399999997</v>
      </c>
      <c r="J424" s="32">
        <v>18</v>
      </c>
      <c r="K424" s="17" t="s">
        <v>16</v>
      </c>
      <c r="L424" s="24">
        <v>2167.79</v>
      </c>
      <c r="M424" s="24">
        <v>3287.43</v>
      </c>
      <c r="N424" s="34">
        <f>((sales_data_1[[#This Row],[Unit_Price]]*(1-sales_data_1[[#This Row],[Discount]]))-sales_data_1[[#This Row],[Unit_Cost]])*sales_data_1[[#This Row],[Quantity_Sold]]</f>
        <v>8910.509399999999</v>
      </c>
      <c r="O424" s="17" t="s">
        <v>17</v>
      </c>
      <c r="P424" s="26">
        <v>0.19</v>
      </c>
      <c r="Q424" s="17" t="s">
        <v>18</v>
      </c>
      <c r="R424" s="17" t="s">
        <v>19</v>
      </c>
      <c r="S424" s="49" t="str">
        <f t="shared" si="20"/>
        <v>Charlie-North</v>
      </c>
      <c r="T424" s="59" t="str">
        <f>IF(ROUND(sales_data_1[[#This Row],[Profit_Margin]],2)=ROUND((sales_data_1[[#This Row],[Unit_Price]]*(1-sales_data_1[[#This Row],[Discount]]) - sales_data_1[[#This Row],[Unit_Cost]])*sales_data_1[[#This Row],[Quantity_Sold]],2), "PASS", "CHECK")</f>
        <v>PASS</v>
      </c>
    </row>
    <row r="425" spans="1:20" x14ac:dyDescent="0.35">
      <c r="A425" s="7">
        <v>424</v>
      </c>
      <c r="B425" s="9">
        <v>1030</v>
      </c>
      <c r="C425" s="7" t="str">
        <f>IFERROR(_xlfn.TEXTJOIN("-", TRUE, _xlfn.XLOOKUP(K425, product_category_id_lookup!$A$2:$A$5, product_category_id_lookup!$B$2:$B$5), B425), "Unknown Category")</f>
        <v>fd-1030</v>
      </c>
      <c r="D425" s="8">
        <v>44696</v>
      </c>
      <c r="E425" s="7">
        <f t="shared" si="18"/>
        <v>2022</v>
      </c>
      <c r="F425" s="28" t="str">
        <f t="shared" si="19"/>
        <v>May</v>
      </c>
      <c r="G425" s="17" t="s">
        <v>29</v>
      </c>
      <c r="H425" s="17" t="s">
        <v>20</v>
      </c>
      <c r="I425" s="24">
        <v>94677.890000000014</v>
      </c>
      <c r="J425" s="32">
        <v>23</v>
      </c>
      <c r="K425" s="17" t="s">
        <v>24</v>
      </c>
      <c r="L425" s="24">
        <v>2667.63</v>
      </c>
      <c r="M425" s="24">
        <v>4116.43</v>
      </c>
      <c r="N425" s="34">
        <f>((sales_data_1[[#This Row],[Unit_Price]]*(1-sales_data_1[[#This Row],[Discount]]))-sales_data_1[[#This Row],[Unit_Cost]])*sales_data_1[[#This Row],[Quantity_Sold]]</f>
        <v>33322.400000000001</v>
      </c>
      <c r="O425" s="17" t="s">
        <v>27</v>
      </c>
      <c r="P425" s="26">
        <v>0</v>
      </c>
      <c r="Q425" s="17" t="s">
        <v>18</v>
      </c>
      <c r="R425" s="17" t="s">
        <v>19</v>
      </c>
      <c r="S425" s="49" t="str">
        <f t="shared" si="20"/>
        <v>Charlie-West</v>
      </c>
      <c r="T425" s="59" t="str">
        <f>IF(ROUND(sales_data_1[[#This Row],[Profit_Margin]],2)=ROUND((sales_data_1[[#This Row],[Unit_Price]]*(1-sales_data_1[[#This Row],[Discount]]) - sales_data_1[[#This Row],[Unit_Cost]])*sales_data_1[[#This Row],[Quantity_Sold]],2), "PASS", "CHECK")</f>
        <v>PASS</v>
      </c>
    </row>
    <row r="426" spans="1:20" x14ac:dyDescent="0.35">
      <c r="A426" s="7">
        <v>425</v>
      </c>
      <c r="B426" s="9">
        <v>1016</v>
      </c>
      <c r="C426" s="7" t="str">
        <f>IFERROR(_xlfn.TEXTJOIN("-", TRUE, _xlfn.XLOOKUP(K426, product_category_id_lookup!$A$2:$A$5, product_category_id_lookup!$B$2:$B$5), B426), "Unknown Category")</f>
        <v>fnt-1016</v>
      </c>
      <c r="D426" s="8">
        <v>44697</v>
      </c>
      <c r="E426" s="7">
        <f t="shared" si="18"/>
        <v>2022</v>
      </c>
      <c r="F426" s="28" t="str">
        <f t="shared" si="19"/>
        <v>May</v>
      </c>
      <c r="G426" s="17" t="s">
        <v>14</v>
      </c>
      <c r="H426" s="17" t="s">
        <v>23</v>
      </c>
      <c r="I426" s="24">
        <v>200887.03809537587</v>
      </c>
      <c r="J426" s="32">
        <v>41</v>
      </c>
      <c r="K426" s="17" t="s">
        <v>16</v>
      </c>
      <c r="L426" s="24">
        <v>4802.33</v>
      </c>
      <c r="M426" s="24">
        <v>4968.09</v>
      </c>
      <c r="N426" s="34">
        <f>((sales_data_1[[#This Row],[Unit_Price]]*(1-sales_data_1[[#This Row],[Discount]]))-sales_data_1[[#This Row],[Unit_Cost]])*sales_data_1[[#This Row],[Quantity_Sold]]</f>
        <v>4759.243099999997</v>
      </c>
      <c r="O426" s="17" t="s">
        <v>27</v>
      </c>
      <c r="P426" s="26">
        <v>0.01</v>
      </c>
      <c r="Q426" s="17" t="s">
        <v>28</v>
      </c>
      <c r="R426" s="17" t="s">
        <v>19</v>
      </c>
      <c r="S426" s="49" t="str">
        <f t="shared" si="20"/>
        <v>Bob-South</v>
      </c>
      <c r="T426" s="59" t="str">
        <f>IF(ROUND(sales_data_1[[#This Row],[Profit_Margin]],2)=ROUND((sales_data_1[[#This Row],[Unit_Price]]*(1-sales_data_1[[#This Row],[Discount]]) - sales_data_1[[#This Row],[Unit_Cost]])*sales_data_1[[#This Row],[Quantity_Sold]],2), "PASS", "CHECK")</f>
        <v>PASS</v>
      </c>
    </row>
    <row r="427" spans="1:20" x14ac:dyDescent="0.35">
      <c r="A427" s="7">
        <v>426</v>
      </c>
      <c r="B427" s="9">
        <v>1024</v>
      </c>
      <c r="C427" s="7" t="str">
        <f>IFERROR(_xlfn.TEXTJOIN("-", TRUE, _xlfn.XLOOKUP(K427, product_category_id_lookup!$A$2:$A$5, product_category_id_lookup!$B$2:$B$5), B427), "Unknown Category")</f>
        <v>ctg-1024</v>
      </c>
      <c r="D427" s="8">
        <v>44697</v>
      </c>
      <c r="E427" s="7">
        <f t="shared" si="18"/>
        <v>2022</v>
      </c>
      <c r="F427" s="28" t="str">
        <f t="shared" si="19"/>
        <v>May</v>
      </c>
      <c r="G427" s="17" t="s">
        <v>14</v>
      </c>
      <c r="H427" s="17" t="s">
        <v>20</v>
      </c>
      <c r="I427" s="24">
        <v>142568.32680000001</v>
      </c>
      <c r="J427" s="32">
        <v>36</v>
      </c>
      <c r="K427" s="17" t="s">
        <v>26</v>
      </c>
      <c r="L427" s="24">
        <v>3801.84</v>
      </c>
      <c r="M427" s="24">
        <v>4551.99</v>
      </c>
      <c r="N427" s="34">
        <f>((sales_data_1[[#This Row],[Unit_Price]]*(1-sales_data_1[[#This Row],[Discount]]))-sales_data_1[[#This Row],[Unit_Cost]])*sales_data_1[[#This Row],[Quantity_Sold]]</f>
        <v>5702.0867999999919</v>
      </c>
      <c r="O427" s="17" t="s">
        <v>17</v>
      </c>
      <c r="P427" s="26">
        <v>0.13</v>
      </c>
      <c r="Q427" s="17" t="s">
        <v>18</v>
      </c>
      <c r="R427" s="17" t="s">
        <v>21</v>
      </c>
      <c r="S427" s="49" t="str">
        <f t="shared" si="20"/>
        <v>Bob-West</v>
      </c>
      <c r="T427" s="59" t="str">
        <f>IF(ROUND(sales_data_1[[#This Row],[Profit_Margin]],2)=ROUND((sales_data_1[[#This Row],[Unit_Price]]*(1-sales_data_1[[#This Row],[Discount]]) - sales_data_1[[#This Row],[Unit_Cost]])*sales_data_1[[#This Row],[Quantity_Sold]],2), "PASS", "CHECK")</f>
        <v>PASS</v>
      </c>
    </row>
    <row r="428" spans="1:20" x14ac:dyDescent="0.35">
      <c r="A428" s="7">
        <v>427</v>
      </c>
      <c r="B428" s="9">
        <v>1067</v>
      </c>
      <c r="C428" s="7" t="str">
        <f>IFERROR(_xlfn.TEXTJOIN("-", TRUE, _xlfn.XLOOKUP(K428, product_category_id_lookup!$A$2:$A$5, product_category_id_lookup!$B$2:$B$5), B428), "Unknown Category")</f>
        <v>etc-1067</v>
      </c>
      <c r="D428" s="8">
        <v>44697</v>
      </c>
      <c r="E428" s="7">
        <f t="shared" si="18"/>
        <v>2022</v>
      </c>
      <c r="F428" s="28" t="str">
        <f t="shared" si="19"/>
        <v>May</v>
      </c>
      <c r="G428" s="17" t="s">
        <v>32</v>
      </c>
      <c r="H428" s="17" t="s">
        <v>15</v>
      </c>
      <c r="I428" s="24">
        <v>18660.498500000002</v>
      </c>
      <c r="J428" s="32">
        <v>7</v>
      </c>
      <c r="K428" s="17" t="s">
        <v>31</v>
      </c>
      <c r="L428" s="24">
        <v>402.1</v>
      </c>
      <c r="M428" s="24">
        <v>2806.09</v>
      </c>
      <c r="N428" s="34">
        <f>((sales_data_1[[#This Row],[Unit_Price]]*(1-sales_data_1[[#This Row],[Discount]]))-sales_data_1[[#This Row],[Unit_Cost]])*sales_data_1[[#This Row],[Quantity_Sold]]</f>
        <v>15845.798500000001</v>
      </c>
      <c r="O428" s="17" t="s">
        <v>27</v>
      </c>
      <c r="P428" s="26">
        <v>0.05</v>
      </c>
      <c r="Q428" s="17" t="s">
        <v>25</v>
      </c>
      <c r="R428" s="17" t="s">
        <v>19</v>
      </c>
      <c r="S428" s="49" t="str">
        <f t="shared" si="20"/>
        <v>Eve-North</v>
      </c>
      <c r="T428" s="59" t="str">
        <f>IF(ROUND(sales_data_1[[#This Row],[Profit_Margin]],2)=ROUND((sales_data_1[[#This Row],[Unit_Price]]*(1-sales_data_1[[#This Row],[Discount]]) - sales_data_1[[#This Row],[Unit_Cost]])*sales_data_1[[#This Row],[Quantity_Sold]],2), "PASS", "CHECK")</f>
        <v>PASS</v>
      </c>
    </row>
    <row r="429" spans="1:20" x14ac:dyDescent="0.35">
      <c r="A429" s="7">
        <v>428</v>
      </c>
      <c r="B429" s="9">
        <v>1002</v>
      </c>
      <c r="C429" s="7" t="str">
        <f>IFERROR(_xlfn.TEXTJOIN("-", TRUE, _xlfn.XLOOKUP(K429, product_category_id_lookup!$A$2:$A$5, product_category_id_lookup!$B$2:$B$5), B429), "Unknown Category")</f>
        <v>fnt-1002</v>
      </c>
      <c r="D429" s="8">
        <v>44697</v>
      </c>
      <c r="E429" s="7">
        <f t="shared" si="18"/>
        <v>2022</v>
      </c>
      <c r="F429" s="28" t="str">
        <f t="shared" si="19"/>
        <v>May</v>
      </c>
      <c r="G429" s="17" t="s">
        <v>29</v>
      </c>
      <c r="H429" s="17" t="s">
        <v>20</v>
      </c>
      <c r="I429" s="24">
        <v>107479.28880000001</v>
      </c>
      <c r="J429" s="32">
        <v>39</v>
      </c>
      <c r="K429" s="17" t="s">
        <v>16</v>
      </c>
      <c r="L429" s="24">
        <v>1757.46</v>
      </c>
      <c r="M429" s="24">
        <v>3402.32</v>
      </c>
      <c r="N429" s="34">
        <f>((sales_data_1[[#This Row],[Unit_Price]]*(1-sales_data_1[[#This Row],[Discount]]))-sales_data_1[[#This Row],[Unit_Cost]])*sales_data_1[[#This Row],[Quantity_Sold]]</f>
        <v>38938.348800000007</v>
      </c>
      <c r="O429" s="17" t="s">
        <v>17</v>
      </c>
      <c r="P429" s="26">
        <v>0.19</v>
      </c>
      <c r="Q429" s="17" t="s">
        <v>28</v>
      </c>
      <c r="R429" s="17" t="s">
        <v>21</v>
      </c>
      <c r="S429" s="49" t="str">
        <f t="shared" si="20"/>
        <v>Charlie-West</v>
      </c>
      <c r="T429" s="59" t="str">
        <f>IF(ROUND(sales_data_1[[#This Row],[Profit_Margin]],2)=ROUND((sales_data_1[[#This Row],[Unit_Price]]*(1-sales_data_1[[#This Row],[Discount]]) - sales_data_1[[#This Row],[Unit_Cost]])*sales_data_1[[#This Row],[Quantity_Sold]],2), "PASS", "CHECK")</f>
        <v>PASS</v>
      </c>
    </row>
    <row r="430" spans="1:20" x14ac:dyDescent="0.35">
      <c r="A430" s="7">
        <v>429</v>
      </c>
      <c r="B430" s="9">
        <v>1027</v>
      </c>
      <c r="C430" s="7" t="str">
        <f>IFERROR(_xlfn.TEXTJOIN("-", TRUE, _xlfn.XLOOKUP(K430, product_category_id_lookup!$A$2:$A$5, product_category_id_lookup!$B$2:$B$5), B430), "Unknown Category")</f>
        <v>etc-1027</v>
      </c>
      <c r="D430" s="8">
        <v>44697</v>
      </c>
      <c r="E430" s="7">
        <f t="shared" si="18"/>
        <v>2022</v>
      </c>
      <c r="F430" s="28" t="str">
        <f t="shared" si="19"/>
        <v>May</v>
      </c>
      <c r="G430" s="17" t="s">
        <v>29</v>
      </c>
      <c r="H430" s="17" t="s">
        <v>15</v>
      </c>
      <c r="I430" s="24">
        <v>183845.97</v>
      </c>
      <c r="J430" s="32">
        <v>42</v>
      </c>
      <c r="K430" s="17" t="s">
        <v>31</v>
      </c>
      <c r="L430" s="24">
        <v>2394.4</v>
      </c>
      <c r="M430" s="24">
        <v>4863.6499999999996</v>
      </c>
      <c r="N430" s="34">
        <f>((sales_data_1[[#This Row],[Unit_Price]]*(1-sales_data_1[[#This Row],[Discount]]))-sales_data_1[[#This Row],[Unit_Cost]])*sales_data_1[[#This Row],[Quantity_Sold]]</f>
        <v>83281.169999999984</v>
      </c>
      <c r="O430" s="17" t="s">
        <v>17</v>
      </c>
      <c r="P430" s="26">
        <v>0.1</v>
      </c>
      <c r="Q430" s="17" t="s">
        <v>25</v>
      </c>
      <c r="R430" s="17" t="s">
        <v>21</v>
      </c>
      <c r="S430" s="49" t="str">
        <f t="shared" si="20"/>
        <v>Charlie-North</v>
      </c>
      <c r="T430" s="59" t="str">
        <f>IF(ROUND(sales_data_1[[#This Row],[Profit_Margin]],2)=ROUND((sales_data_1[[#This Row],[Unit_Price]]*(1-sales_data_1[[#This Row],[Discount]]) - sales_data_1[[#This Row],[Unit_Cost]])*sales_data_1[[#This Row],[Quantity_Sold]],2), "PASS", "CHECK")</f>
        <v>PASS</v>
      </c>
    </row>
    <row r="431" spans="1:20" x14ac:dyDescent="0.35">
      <c r="A431" s="7">
        <v>430</v>
      </c>
      <c r="B431" s="9">
        <v>1019</v>
      </c>
      <c r="C431" s="7" t="str">
        <f>IFERROR(_xlfn.TEXTJOIN("-", TRUE, _xlfn.XLOOKUP(K431, product_category_id_lookup!$A$2:$A$5, product_category_id_lookup!$B$2:$B$5), B431), "Unknown Category")</f>
        <v>fd-1019</v>
      </c>
      <c r="D431" s="8">
        <v>44698</v>
      </c>
      <c r="E431" s="7">
        <f t="shared" si="18"/>
        <v>2022</v>
      </c>
      <c r="F431" s="28" t="str">
        <f t="shared" si="19"/>
        <v>May</v>
      </c>
      <c r="G431" s="17" t="s">
        <v>33</v>
      </c>
      <c r="H431" s="17" t="s">
        <v>15</v>
      </c>
      <c r="I431" s="24">
        <v>18092.88</v>
      </c>
      <c r="J431" s="32">
        <v>10</v>
      </c>
      <c r="K431" s="17" t="s">
        <v>24</v>
      </c>
      <c r="L431" s="24">
        <v>1417.52</v>
      </c>
      <c r="M431" s="24">
        <v>2261.61</v>
      </c>
      <c r="N431" s="34">
        <f>((sales_data_1[[#This Row],[Unit_Price]]*(1-sales_data_1[[#This Row],[Discount]]))-sales_data_1[[#This Row],[Unit_Cost]])*sales_data_1[[#This Row],[Quantity_Sold]]</f>
        <v>3917.6800000000026</v>
      </c>
      <c r="O431" s="17" t="s">
        <v>17</v>
      </c>
      <c r="P431" s="26">
        <v>0.2</v>
      </c>
      <c r="Q431" s="17" t="s">
        <v>18</v>
      </c>
      <c r="R431" s="17" t="s">
        <v>21</v>
      </c>
      <c r="S431" s="49" t="str">
        <f t="shared" si="20"/>
        <v>Alice-North</v>
      </c>
      <c r="T431" s="59" t="str">
        <f>IF(ROUND(sales_data_1[[#This Row],[Profit_Margin]],2)=ROUND((sales_data_1[[#This Row],[Unit_Price]]*(1-sales_data_1[[#This Row],[Discount]]) - sales_data_1[[#This Row],[Unit_Cost]])*sales_data_1[[#This Row],[Quantity_Sold]],2), "PASS", "CHECK")</f>
        <v>PASS</v>
      </c>
    </row>
    <row r="432" spans="1:20" x14ac:dyDescent="0.35">
      <c r="A432" s="7">
        <v>431</v>
      </c>
      <c r="B432" s="9">
        <v>1070</v>
      </c>
      <c r="C432" s="7" t="str">
        <f>IFERROR(_xlfn.TEXTJOIN("-", TRUE, _xlfn.XLOOKUP(K432, product_category_id_lookup!$A$2:$A$5, product_category_id_lookup!$B$2:$B$5), B432), "Unknown Category")</f>
        <v>fnt-1070</v>
      </c>
      <c r="D432" s="8">
        <v>44699</v>
      </c>
      <c r="E432" s="7">
        <f t="shared" si="18"/>
        <v>2022</v>
      </c>
      <c r="F432" s="28" t="str">
        <f t="shared" si="19"/>
        <v>May</v>
      </c>
      <c r="G432" s="17" t="s">
        <v>32</v>
      </c>
      <c r="H432" s="17" t="s">
        <v>30</v>
      </c>
      <c r="I432" s="24">
        <v>58931.989582564929</v>
      </c>
      <c r="J432" s="32">
        <v>34</v>
      </c>
      <c r="K432" s="17" t="s">
        <v>16</v>
      </c>
      <c r="L432" s="24">
        <v>1680.72</v>
      </c>
      <c r="M432" s="24">
        <v>1753.51</v>
      </c>
      <c r="N432" s="34">
        <f>((sales_data_1[[#This Row],[Unit_Price]]*(1-sales_data_1[[#This Row],[Discount]]))-sales_data_1[[#This Row],[Unit_Cost]])*sales_data_1[[#This Row],[Quantity_Sold]]</f>
        <v>1878.6665999999968</v>
      </c>
      <c r="O432" s="17" t="s">
        <v>17</v>
      </c>
      <c r="P432" s="26">
        <v>0.01</v>
      </c>
      <c r="Q432" s="17" t="s">
        <v>28</v>
      </c>
      <c r="R432" s="17" t="s">
        <v>21</v>
      </c>
      <c r="S432" s="49" t="str">
        <f t="shared" si="20"/>
        <v>Eve-East</v>
      </c>
      <c r="T432" s="59" t="str">
        <f>IF(ROUND(sales_data_1[[#This Row],[Profit_Margin]],2)=ROUND((sales_data_1[[#This Row],[Unit_Price]]*(1-sales_data_1[[#This Row],[Discount]]) - sales_data_1[[#This Row],[Unit_Cost]])*sales_data_1[[#This Row],[Quantity_Sold]],2), "PASS", "CHECK")</f>
        <v>PASS</v>
      </c>
    </row>
    <row r="433" spans="1:20" x14ac:dyDescent="0.35">
      <c r="A433" s="7">
        <v>432</v>
      </c>
      <c r="B433" s="9">
        <v>1004</v>
      </c>
      <c r="C433" s="7" t="str">
        <f>IFERROR(_xlfn.TEXTJOIN("-", TRUE, _xlfn.XLOOKUP(K433, product_category_id_lookup!$A$2:$A$5, product_category_id_lookup!$B$2:$B$5), B433), "Unknown Category")</f>
        <v>ctg-1004</v>
      </c>
      <c r="D433" s="8">
        <v>44699</v>
      </c>
      <c r="E433" s="7">
        <f t="shared" si="18"/>
        <v>2022</v>
      </c>
      <c r="F433" s="28" t="str">
        <f t="shared" si="19"/>
        <v>May</v>
      </c>
      <c r="G433" s="17" t="s">
        <v>33</v>
      </c>
      <c r="H433" s="17" t="s">
        <v>30</v>
      </c>
      <c r="I433" s="24">
        <v>9068.5727999999999</v>
      </c>
      <c r="J433" s="32">
        <v>24</v>
      </c>
      <c r="K433" s="17" t="s">
        <v>26</v>
      </c>
      <c r="L433" s="24">
        <v>134.96</v>
      </c>
      <c r="M433" s="24">
        <v>449.83</v>
      </c>
      <c r="N433" s="34">
        <f>((sales_data_1[[#This Row],[Unit_Price]]*(1-sales_data_1[[#This Row],[Discount]]))-sales_data_1[[#This Row],[Unit_Cost]])*sales_data_1[[#This Row],[Quantity_Sold]]</f>
        <v>5829.532799999999</v>
      </c>
      <c r="O433" s="17" t="s">
        <v>27</v>
      </c>
      <c r="P433" s="26">
        <v>0.16</v>
      </c>
      <c r="Q433" s="17" t="s">
        <v>18</v>
      </c>
      <c r="R433" s="17" t="s">
        <v>21</v>
      </c>
      <c r="S433" s="49" t="str">
        <f t="shared" si="20"/>
        <v>Alice-East</v>
      </c>
      <c r="T433" s="59" t="str">
        <f>IF(ROUND(sales_data_1[[#This Row],[Profit_Margin]],2)=ROUND((sales_data_1[[#This Row],[Unit_Price]]*(1-sales_data_1[[#This Row],[Discount]]) - sales_data_1[[#This Row],[Unit_Cost]])*sales_data_1[[#This Row],[Quantity_Sold]],2), "PASS", "CHECK")</f>
        <v>PASS</v>
      </c>
    </row>
    <row r="434" spans="1:20" x14ac:dyDescent="0.35">
      <c r="A434" s="7">
        <v>433</v>
      </c>
      <c r="B434" s="9">
        <v>1025</v>
      </c>
      <c r="C434" s="7" t="str">
        <f>IFERROR(_xlfn.TEXTJOIN("-", TRUE, _xlfn.XLOOKUP(K434, product_category_id_lookup!$A$2:$A$5, product_category_id_lookup!$B$2:$B$5), B434), "Unknown Category")</f>
        <v>ctg-1025</v>
      </c>
      <c r="D434" s="8">
        <v>44699</v>
      </c>
      <c r="E434" s="7">
        <f t="shared" si="18"/>
        <v>2022</v>
      </c>
      <c r="F434" s="28" t="str">
        <f t="shared" si="19"/>
        <v>May</v>
      </c>
      <c r="G434" s="17" t="s">
        <v>32</v>
      </c>
      <c r="H434" s="17" t="s">
        <v>15</v>
      </c>
      <c r="I434" s="24">
        <v>78320.1636</v>
      </c>
      <c r="J434" s="32">
        <v>42</v>
      </c>
      <c r="K434" s="17" t="s">
        <v>26</v>
      </c>
      <c r="L434" s="24">
        <v>1648.08</v>
      </c>
      <c r="M434" s="24">
        <v>2302.1799999999998</v>
      </c>
      <c r="N434" s="34">
        <f>((sales_data_1[[#This Row],[Unit_Price]]*(1-sales_data_1[[#This Row],[Discount]]))-sales_data_1[[#This Row],[Unit_Cost]])*sales_data_1[[#This Row],[Quantity_Sold]]</f>
        <v>9100.8035999999993</v>
      </c>
      <c r="O434" s="17" t="s">
        <v>27</v>
      </c>
      <c r="P434" s="26">
        <v>0.19</v>
      </c>
      <c r="Q434" s="17" t="s">
        <v>25</v>
      </c>
      <c r="R434" s="17" t="s">
        <v>19</v>
      </c>
      <c r="S434" s="49" t="str">
        <f t="shared" si="20"/>
        <v>Eve-North</v>
      </c>
      <c r="T434" s="59" t="str">
        <f>IF(ROUND(sales_data_1[[#This Row],[Profit_Margin]],2)=ROUND((sales_data_1[[#This Row],[Unit_Price]]*(1-sales_data_1[[#This Row],[Discount]]) - sales_data_1[[#This Row],[Unit_Cost]])*sales_data_1[[#This Row],[Quantity_Sold]],2), "PASS", "CHECK")</f>
        <v>PASS</v>
      </c>
    </row>
    <row r="435" spans="1:20" x14ac:dyDescent="0.35">
      <c r="A435" s="7">
        <v>434</v>
      </c>
      <c r="B435" s="9">
        <v>1046</v>
      </c>
      <c r="C435" s="7" t="str">
        <f>IFERROR(_xlfn.TEXTJOIN("-", TRUE, _xlfn.XLOOKUP(K435, product_category_id_lookup!$A$2:$A$5, product_category_id_lookup!$B$2:$B$5), B435), "Unknown Category")</f>
        <v>etc-1046</v>
      </c>
      <c r="D435" s="8">
        <v>44699</v>
      </c>
      <c r="E435" s="7">
        <f t="shared" si="18"/>
        <v>2022</v>
      </c>
      <c r="F435" s="28" t="str">
        <f t="shared" si="19"/>
        <v>May</v>
      </c>
      <c r="G435" s="17" t="s">
        <v>29</v>
      </c>
      <c r="H435" s="17" t="s">
        <v>30</v>
      </c>
      <c r="I435" s="24">
        <v>56347.424100000004</v>
      </c>
      <c r="J435" s="32">
        <v>19</v>
      </c>
      <c r="K435" s="17" t="s">
        <v>31</v>
      </c>
      <c r="L435" s="24">
        <v>757.59</v>
      </c>
      <c r="M435" s="24">
        <v>2995.61</v>
      </c>
      <c r="N435" s="34">
        <f>((sales_data_1[[#This Row],[Unit_Price]]*(1-sales_data_1[[#This Row],[Discount]]))-sales_data_1[[#This Row],[Unit_Cost]])*sales_data_1[[#This Row],[Quantity_Sold]]</f>
        <v>41953.214100000005</v>
      </c>
      <c r="O435" s="17" t="s">
        <v>27</v>
      </c>
      <c r="P435" s="26">
        <v>0.01</v>
      </c>
      <c r="Q435" s="17" t="s">
        <v>28</v>
      </c>
      <c r="R435" s="17" t="s">
        <v>19</v>
      </c>
      <c r="S435" s="49" t="str">
        <f t="shared" si="20"/>
        <v>Charlie-East</v>
      </c>
      <c r="T435" s="59" t="str">
        <f>IF(ROUND(sales_data_1[[#This Row],[Profit_Margin]],2)=ROUND((sales_data_1[[#This Row],[Unit_Price]]*(1-sales_data_1[[#This Row],[Discount]]) - sales_data_1[[#This Row],[Unit_Cost]])*sales_data_1[[#This Row],[Quantity_Sold]],2), "PASS", "CHECK")</f>
        <v>PASS</v>
      </c>
    </row>
    <row r="436" spans="1:20" x14ac:dyDescent="0.35">
      <c r="A436" s="7">
        <v>435</v>
      </c>
      <c r="B436" s="9">
        <v>1034</v>
      </c>
      <c r="C436" s="7" t="str">
        <f>IFERROR(_xlfn.TEXTJOIN("-", TRUE, _xlfn.XLOOKUP(K436, product_category_id_lookup!$A$2:$A$5, product_category_id_lookup!$B$2:$B$5), B436), "Unknown Category")</f>
        <v>fd-1034</v>
      </c>
      <c r="D436" s="8">
        <v>44702</v>
      </c>
      <c r="E436" s="7">
        <f t="shared" si="18"/>
        <v>2022</v>
      </c>
      <c r="F436" s="28" t="str">
        <f t="shared" si="19"/>
        <v>May</v>
      </c>
      <c r="G436" s="17" t="s">
        <v>14</v>
      </c>
      <c r="H436" s="17" t="s">
        <v>15</v>
      </c>
      <c r="I436" s="24">
        <v>147139.68458747151</v>
      </c>
      <c r="J436" s="32">
        <v>32</v>
      </c>
      <c r="K436" s="17" t="s">
        <v>24</v>
      </c>
      <c r="L436" s="24">
        <v>4246.1000000000004</v>
      </c>
      <c r="M436" s="24">
        <v>4775</v>
      </c>
      <c r="N436" s="34">
        <f>((sales_data_1[[#This Row],[Unit_Price]]*(1-sales_data_1[[#This Row],[Discount]]))-sales_data_1[[#This Row],[Unit_Cost]])*sales_data_1[[#This Row],[Quantity_Sold]]</f>
        <v>10812.799999999988</v>
      </c>
      <c r="O436" s="17" t="s">
        <v>27</v>
      </c>
      <c r="P436" s="26">
        <v>0.04</v>
      </c>
      <c r="Q436" s="17" t="s">
        <v>18</v>
      </c>
      <c r="R436" s="17" t="s">
        <v>19</v>
      </c>
      <c r="S436" s="49" t="str">
        <f t="shared" si="20"/>
        <v>Bob-North</v>
      </c>
      <c r="T436" s="59" t="str">
        <f>IF(ROUND(sales_data_1[[#This Row],[Profit_Margin]],2)=ROUND((sales_data_1[[#This Row],[Unit_Price]]*(1-sales_data_1[[#This Row],[Discount]]) - sales_data_1[[#This Row],[Unit_Cost]])*sales_data_1[[#This Row],[Quantity_Sold]],2), "PASS", "CHECK")</f>
        <v>PASS</v>
      </c>
    </row>
    <row r="437" spans="1:20" x14ac:dyDescent="0.35">
      <c r="A437" s="7">
        <v>436</v>
      </c>
      <c r="B437" s="9">
        <v>1002</v>
      </c>
      <c r="C437" s="7" t="str">
        <f>IFERROR(_xlfn.TEXTJOIN("-", TRUE, _xlfn.XLOOKUP(K437, product_category_id_lookup!$A$2:$A$5, product_category_id_lookup!$B$2:$B$5), B437), "Unknown Category")</f>
        <v>ctg-1002</v>
      </c>
      <c r="D437" s="8">
        <v>44702</v>
      </c>
      <c r="E437" s="7">
        <f t="shared" si="18"/>
        <v>2022</v>
      </c>
      <c r="F437" s="28" t="str">
        <f t="shared" si="19"/>
        <v>May</v>
      </c>
      <c r="G437" s="17" t="s">
        <v>32</v>
      </c>
      <c r="H437" s="17" t="s">
        <v>20</v>
      </c>
      <c r="I437" s="24">
        <v>225658.25899256731</v>
      </c>
      <c r="J437" s="32">
        <v>49</v>
      </c>
      <c r="K437" s="17" t="s">
        <v>26</v>
      </c>
      <c r="L437" s="24">
        <v>3820.22</v>
      </c>
      <c r="M437" s="24">
        <v>4655.21</v>
      </c>
      <c r="N437" s="34">
        <f>((sales_data_1[[#This Row],[Unit_Price]]*(1-sales_data_1[[#This Row],[Discount]]))-sales_data_1[[#This Row],[Unit_Cost]])*sales_data_1[[#This Row],[Quantity_Sold]]</f>
        <v>38633.457100000014</v>
      </c>
      <c r="O437" s="17" t="s">
        <v>17</v>
      </c>
      <c r="P437" s="26">
        <v>0.01</v>
      </c>
      <c r="Q437" s="17" t="s">
        <v>18</v>
      </c>
      <c r="R437" s="17" t="s">
        <v>19</v>
      </c>
      <c r="S437" s="49" t="str">
        <f t="shared" si="20"/>
        <v>Eve-West</v>
      </c>
      <c r="T437" s="59" t="str">
        <f>IF(ROUND(sales_data_1[[#This Row],[Profit_Margin]],2)=ROUND((sales_data_1[[#This Row],[Unit_Price]]*(1-sales_data_1[[#This Row],[Discount]]) - sales_data_1[[#This Row],[Unit_Cost]])*sales_data_1[[#This Row],[Quantity_Sold]],2), "PASS", "CHECK")</f>
        <v>PASS</v>
      </c>
    </row>
    <row r="438" spans="1:20" x14ac:dyDescent="0.35">
      <c r="A438" s="7">
        <v>437</v>
      </c>
      <c r="B438" s="9">
        <v>1084</v>
      </c>
      <c r="C438" s="7" t="str">
        <f>IFERROR(_xlfn.TEXTJOIN("-", TRUE, _xlfn.XLOOKUP(K438, product_category_id_lookup!$A$2:$A$5, product_category_id_lookup!$B$2:$B$5), B438), "Unknown Category")</f>
        <v>fd-1084</v>
      </c>
      <c r="D438" s="8">
        <v>44703</v>
      </c>
      <c r="E438" s="7">
        <f t="shared" si="18"/>
        <v>2022</v>
      </c>
      <c r="F438" s="28" t="str">
        <f t="shared" si="19"/>
        <v>May</v>
      </c>
      <c r="G438" s="17" t="s">
        <v>33</v>
      </c>
      <c r="H438" s="17" t="s">
        <v>15</v>
      </c>
      <c r="I438" s="24">
        <v>118748.69030455669</v>
      </c>
      <c r="J438" s="32">
        <v>43</v>
      </c>
      <c r="K438" s="17" t="s">
        <v>24</v>
      </c>
      <c r="L438" s="24">
        <v>2627.47</v>
      </c>
      <c r="M438" s="24">
        <v>2799.87</v>
      </c>
      <c r="N438" s="34">
        <f>((sales_data_1[[#This Row],[Unit_Price]]*(1-sales_data_1[[#This Row],[Discount]]))-sales_data_1[[#This Row],[Unit_Cost]])*sales_data_1[[#This Row],[Quantity_Sold]]</f>
        <v>6209.2559000000001</v>
      </c>
      <c r="O438" s="17" t="s">
        <v>27</v>
      </c>
      <c r="P438" s="26">
        <v>0.01</v>
      </c>
      <c r="Q438" s="17" t="s">
        <v>25</v>
      </c>
      <c r="R438" s="17" t="s">
        <v>19</v>
      </c>
      <c r="S438" s="49" t="str">
        <f t="shared" si="20"/>
        <v>Alice-North</v>
      </c>
      <c r="T438" s="59" t="str">
        <f>IF(ROUND(sales_data_1[[#This Row],[Profit_Margin]],2)=ROUND((sales_data_1[[#This Row],[Unit_Price]]*(1-sales_data_1[[#This Row],[Discount]]) - sales_data_1[[#This Row],[Unit_Cost]])*sales_data_1[[#This Row],[Quantity_Sold]],2), "PASS", "CHECK")</f>
        <v>PASS</v>
      </c>
    </row>
    <row r="439" spans="1:20" x14ac:dyDescent="0.35">
      <c r="A439" s="7">
        <v>438</v>
      </c>
      <c r="B439" s="9">
        <v>1064</v>
      </c>
      <c r="C439" s="7" t="str">
        <f>IFERROR(_xlfn.TEXTJOIN("-", TRUE, _xlfn.XLOOKUP(K439, product_category_id_lookup!$A$2:$A$5, product_category_id_lookup!$B$2:$B$5), B439), "Unknown Category")</f>
        <v>ctg-1064</v>
      </c>
      <c r="D439" s="8">
        <v>44703</v>
      </c>
      <c r="E439" s="7">
        <f t="shared" si="18"/>
        <v>2022</v>
      </c>
      <c r="F439" s="28" t="str">
        <f t="shared" si="19"/>
        <v>May</v>
      </c>
      <c r="G439" s="17" t="s">
        <v>33</v>
      </c>
      <c r="H439" s="17" t="s">
        <v>30</v>
      </c>
      <c r="I439" s="24">
        <v>77725.079999999987</v>
      </c>
      <c r="J439" s="32">
        <v>40</v>
      </c>
      <c r="K439" s="17" t="s">
        <v>26</v>
      </c>
      <c r="L439" s="24">
        <v>1765.15</v>
      </c>
      <c r="M439" s="24">
        <v>2259.4499999999998</v>
      </c>
      <c r="N439" s="34">
        <f>((sales_data_1[[#This Row],[Unit_Price]]*(1-sales_data_1[[#This Row],[Discount]]))-sales_data_1[[#This Row],[Unit_Cost]])*sales_data_1[[#This Row],[Quantity_Sold]]</f>
        <v>7119.0799999999854</v>
      </c>
      <c r="O439" s="17" t="s">
        <v>17</v>
      </c>
      <c r="P439" s="26">
        <v>0.14000000000000001</v>
      </c>
      <c r="Q439" s="17" t="s">
        <v>18</v>
      </c>
      <c r="R439" s="17" t="s">
        <v>21</v>
      </c>
      <c r="S439" s="49" t="str">
        <f t="shared" si="20"/>
        <v>Alice-East</v>
      </c>
      <c r="T439" s="59" t="str">
        <f>IF(ROUND(sales_data_1[[#This Row],[Profit_Margin]],2)=ROUND((sales_data_1[[#This Row],[Unit_Price]]*(1-sales_data_1[[#This Row],[Discount]]) - sales_data_1[[#This Row],[Unit_Cost]])*sales_data_1[[#This Row],[Quantity_Sold]],2), "PASS", "CHECK")</f>
        <v>PASS</v>
      </c>
    </row>
    <row r="440" spans="1:20" x14ac:dyDescent="0.35">
      <c r="A440" s="7">
        <v>439</v>
      </c>
      <c r="B440" s="9">
        <v>1046</v>
      </c>
      <c r="C440" s="7" t="str">
        <f>IFERROR(_xlfn.TEXTJOIN("-", TRUE, _xlfn.XLOOKUP(K440, product_category_id_lookup!$A$2:$A$5, product_category_id_lookup!$B$2:$B$5), B440), "Unknown Category")</f>
        <v>fnt-1046</v>
      </c>
      <c r="D440" s="8">
        <v>44703</v>
      </c>
      <c r="E440" s="7">
        <f t="shared" si="18"/>
        <v>2022</v>
      </c>
      <c r="F440" s="28" t="str">
        <f t="shared" si="19"/>
        <v>May</v>
      </c>
      <c r="G440" s="17" t="s">
        <v>22</v>
      </c>
      <c r="H440" s="17" t="s">
        <v>20</v>
      </c>
      <c r="I440" s="24">
        <v>43901.512200000005</v>
      </c>
      <c r="J440" s="32">
        <v>23</v>
      </c>
      <c r="K440" s="17" t="s">
        <v>16</v>
      </c>
      <c r="L440" s="24">
        <v>1552.03</v>
      </c>
      <c r="M440" s="24">
        <v>2447.13</v>
      </c>
      <c r="N440" s="34">
        <f>((sales_data_1[[#This Row],[Unit_Price]]*(1-sales_data_1[[#This Row],[Discount]]))-sales_data_1[[#This Row],[Unit_Cost]])*sales_data_1[[#This Row],[Quantity_Sold]]</f>
        <v>8204.8222000000023</v>
      </c>
      <c r="O440" s="17" t="s">
        <v>27</v>
      </c>
      <c r="P440" s="26">
        <v>0.22</v>
      </c>
      <c r="Q440" s="17" t="s">
        <v>28</v>
      </c>
      <c r="R440" s="17" t="s">
        <v>19</v>
      </c>
      <c r="S440" s="49" t="str">
        <f t="shared" si="20"/>
        <v>David-West</v>
      </c>
      <c r="T440" s="59" t="str">
        <f>IF(ROUND(sales_data_1[[#This Row],[Profit_Margin]],2)=ROUND((sales_data_1[[#This Row],[Unit_Price]]*(1-sales_data_1[[#This Row],[Discount]]) - sales_data_1[[#This Row],[Unit_Cost]])*sales_data_1[[#This Row],[Quantity_Sold]],2), "PASS", "CHECK")</f>
        <v>PASS</v>
      </c>
    </row>
    <row r="441" spans="1:20" x14ac:dyDescent="0.35">
      <c r="A441" s="7">
        <v>440</v>
      </c>
      <c r="B441" s="9">
        <v>1073</v>
      </c>
      <c r="C441" s="7" t="str">
        <f>IFERROR(_xlfn.TEXTJOIN("-", TRUE, _xlfn.XLOOKUP(K441, product_category_id_lookup!$A$2:$A$5, product_category_id_lookup!$B$2:$B$5), B441), "Unknown Category")</f>
        <v>ctg-1073</v>
      </c>
      <c r="D441" s="8">
        <v>44703</v>
      </c>
      <c r="E441" s="7">
        <f t="shared" si="18"/>
        <v>2022</v>
      </c>
      <c r="F441" s="28" t="str">
        <f t="shared" si="19"/>
        <v>May</v>
      </c>
      <c r="G441" s="17" t="s">
        <v>22</v>
      </c>
      <c r="H441" s="17" t="s">
        <v>15</v>
      </c>
      <c r="I441" s="24">
        <v>55313.279999999999</v>
      </c>
      <c r="J441" s="32">
        <v>24</v>
      </c>
      <c r="K441" s="17" t="s">
        <v>26</v>
      </c>
      <c r="L441" s="24">
        <v>1626.82</v>
      </c>
      <c r="M441" s="24">
        <v>2304.7199999999998</v>
      </c>
      <c r="N441" s="34">
        <f>((sales_data_1[[#This Row],[Unit_Price]]*(1-sales_data_1[[#This Row],[Discount]]))-sales_data_1[[#This Row],[Unit_Cost]])*sales_data_1[[#This Row],[Quantity_Sold]]</f>
        <v>16269.599999999997</v>
      </c>
      <c r="O441" s="17" t="s">
        <v>17</v>
      </c>
      <c r="P441" s="26">
        <v>0</v>
      </c>
      <c r="Q441" s="17" t="s">
        <v>28</v>
      </c>
      <c r="R441" s="17" t="s">
        <v>19</v>
      </c>
      <c r="S441" s="49" t="str">
        <f t="shared" si="20"/>
        <v>David-North</v>
      </c>
      <c r="T441" s="59" t="str">
        <f>IF(ROUND(sales_data_1[[#This Row],[Profit_Margin]],2)=ROUND((sales_data_1[[#This Row],[Unit_Price]]*(1-sales_data_1[[#This Row],[Discount]]) - sales_data_1[[#This Row],[Unit_Cost]])*sales_data_1[[#This Row],[Quantity_Sold]],2), "PASS", "CHECK")</f>
        <v>PASS</v>
      </c>
    </row>
    <row r="442" spans="1:20" x14ac:dyDescent="0.35">
      <c r="A442" s="7">
        <v>441</v>
      </c>
      <c r="B442" s="9">
        <v>1053</v>
      </c>
      <c r="C442" s="7" t="str">
        <f>IFERROR(_xlfn.TEXTJOIN("-", TRUE, _xlfn.XLOOKUP(K442, product_category_id_lookup!$A$2:$A$5, product_category_id_lookup!$B$2:$B$5), B442), "Unknown Category")</f>
        <v>fnt-1053</v>
      </c>
      <c r="D442" s="8">
        <v>44703</v>
      </c>
      <c r="E442" s="7">
        <f t="shared" si="18"/>
        <v>2022</v>
      </c>
      <c r="F442" s="28" t="str">
        <f t="shared" si="19"/>
        <v>May</v>
      </c>
      <c r="G442" s="17" t="s">
        <v>32</v>
      </c>
      <c r="H442" s="17" t="s">
        <v>20</v>
      </c>
      <c r="I442" s="24">
        <v>115226.43527899131</v>
      </c>
      <c r="J442" s="32">
        <v>25</v>
      </c>
      <c r="K442" s="17" t="s">
        <v>16</v>
      </c>
      <c r="L442" s="24">
        <v>3955.67</v>
      </c>
      <c r="M442" s="24">
        <v>4649.12</v>
      </c>
      <c r="N442" s="34">
        <f>((sales_data_1[[#This Row],[Unit_Price]]*(1-sales_data_1[[#This Row],[Discount]]))-sales_data_1[[#This Row],[Unit_Cost]])*sales_data_1[[#This Row],[Quantity_Sold]]</f>
        <v>16173.969999999987</v>
      </c>
      <c r="O442" s="17" t="s">
        <v>27</v>
      </c>
      <c r="P442" s="26">
        <v>0.01</v>
      </c>
      <c r="Q442" s="17" t="s">
        <v>18</v>
      </c>
      <c r="R442" s="17" t="s">
        <v>21</v>
      </c>
      <c r="S442" s="49" t="str">
        <f t="shared" si="20"/>
        <v>Eve-West</v>
      </c>
      <c r="T442" s="59" t="str">
        <f>IF(ROUND(sales_data_1[[#This Row],[Profit_Margin]],2)=ROUND((sales_data_1[[#This Row],[Unit_Price]]*(1-sales_data_1[[#This Row],[Discount]]) - sales_data_1[[#This Row],[Unit_Cost]])*sales_data_1[[#This Row],[Quantity_Sold]],2), "PASS", "CHECK")</f>
        <v>PASS</v>
      </c>
    </row>
    <row r="443" spans="1:20" x14ac:dyDescent="0.35">
      <c r="A443" s="7">
        <v>442</v>
      </c>
      <c r="B443" s="9">
        <v>1005</v>
      </c>
      <c r="C443" s="7" t="str">
        <f>IFERROR(_xlfn.TEXTJOIN("-", TRUE, _xlfn.XLOOKUP(K443, product_category_id_lookup!$A$2:$A$5, product_category_id_lookup!$B$2:$B$5), B443), "Unknown Category")</f>
        <v>fd-1005</v>
      </c>
      <c r="D443" s="8">
        <v>44703</v>
      </c>
      <c r="E443" s="7">
        <f t="shared" si="18"/>
        <v>2022</v>
      </c>
      <c r="F443" s="28" t="str">
        <f t="shared" si="19"/>
        <v>May</v>
      </c>
      <c r="G443" s="17" t="s">
        <v>33</v>
      </c>
      <c r="H443" s="17" t="s">
        <v>20</v>
      </c>
      <c r="I443" s="24">
        <v>206202.47039999996</v>
      </c>
      <c r="J443" s="32">
        <v>46</v>
      </c>
      <c r="K443" s="17" t="s">
        <v>24</v>
      </c>
      <c r="L443" s="24">
        <v>1106.73</v>
      </c>
      <c r="M443" s="24">
        <v>4669.4399999999996</v>
      </c>
      <c r="N443" s="34">
        <f>((sales_data_1[[#This Row],[Unit_Price]]*(1-sales_data_1[[#This Row],[Discount]]))-sales_data_1[[#This Row],[Unit_Cost]])*sales_data_1[[#This Row],[Quantity_Sold]]</f>
        <v>155292.89039999997</v>
      </c>
      <c r="O443" s="17" t="s">
        <v>27</v>
      </c>
      <c r="P443" s="26">
        <v>0.04</v>
      </c>
      <c r="Q443" s="17" t="s">
        <v>25</v>
      </c>
      <c r="R443" s="17" t="s">
        <v>21</v>
      </c>
      <c r="S443" s="49" t="str">
        <f t="shared" si="20"/>
        <v>Alice-West</v>
      </c>
      <c r="T443" s="59" t="str">
        <f>IF(ROUND(sales_data_1[[#This Row],[Profit_Margin]],2)=ROUND((sales_data_1[[#This Row],[Unit_Price]]*(1-sales_data_1[[#This Row],[Discount]]) - sales_data_1[[#This Row],[Unit_Cost]])*sales_data_1[[#This Row],[Quantity_Sold]],2), "PASS", "CHECK")</f>
        <v>PASS</v>
      </c>
    </row>
    <row r="444" spans="1:20" x14ac:dyDescent="0.35">
      <c r="A444" s="7">
        <v>443</v>
      </c>
      <c r="B444" s="9">
        <v>1045</v>
      </c>
      <c r="C444" s="7" t="str">
        <f>IFERROR(_xlfn.TEXTJOIN("-", TRUE, _xlfn.XLOOKUP(K444, product_category_id_lookup!$A$2:$A$5, product_category_id_lookup!$B$2:$B$5), B444), "Unknown Category")</f>
        <v>etc-1045</v>
      </c>
      <c r="D444" s="8">
        <v>44704</v>
      </c>
      <c r="E444" s="7">
        <f t="shared" si="18"/>
        <v>2022</v>
      </c>
      <c r="F444" s="28" t="str">
        <f t="shared" si="19"/>
        <v>May</v>
      </c>
      <c r="G444" s="17" t="s">
        <v>33</v>
      </c>
      <c r="H444" s="17" t="s">
        <v>23</v>
      </c>
      <c r="I444" s="24">
        <v>3689.6165142013397</v>
      </c>
      <c r="J444" s="32">
        <v>1</v>
      </c>
      <c r="K444" s="17" t="s">
        <v>31</v>
      </c>
      <c r="L444" s="24">
        <v>3431.77</v>
      </c>
      <c r="M444" s="24">
        <v>3881.45</v>
      </c>
      <c r="N444" s="34">
        <f>((sales_data_1[[#This Row],[Unit_Price]]*(1-sales_data_1[[#This Row],[Discount]]))-sales_data_1[[#This Row],[Unit_Cost]])*sales_data_1[[#This Row],[Quantity_Sold]]</f>
        <v>255.60749999999962</v>
      </c>
      <c r="O444" s="17" t="s">
        <v>27</v>
      </c>
      <c r="P444" s="26">
        <v>0.05</v>
      </c>
      <c r="Q444" s="17" t="s">
        <v>18</v>
      </c>
      <c r="R444" s="17" t="s">
        <v>21</v>
      </c>
      <c r="S444" s="49" t="str">
        <f t="shared" si="20"/>
        <v>Alice-South</v>
      </c>
      <c r="T444" s="59" t="str">
        <f>IF(ROUND(sales_data_1[[#This Row],[Profit_Margin]],2)=ROUND((sales_data_1[[#This Row],[Unit_Price]]*(1-sales_data_1[[#This Row],[Discount]]) - sales_data_1[[#This Row],[Unit_Cost]])*sales_data_1[[#This Row],[Quantity_Sold]],2), "PASS", "CHECK")</f>
        <v>PASS</v>
      </c>
    </row>
    <row r="445" spans="1:20" x14ac:dyDescent="0.35">
      <c r="A445" s="7">
        <v>444</v>
      </c>
      <c r="B445" s="9">
        <v>1037</v>
      </c>
      <c r="C445" s="7" t="str">
        <f>IFERROR(_xlfn.TEXTJOIN("-", TRUE, _xlfn.XLOOKUP(K445, product_category_id_lookup!$A$2:$A$5, product_category_id_lookup!$B$2:$B$5), B445), "Unknown Category")</f>
        <v>fnt-1037</v>
      </c>
      <c r="D445" s="8">
        <v>44704</v>
      </c>
      <c r="E445" s="7">
        <f t="shared" si="18"/>
        <v>2022</v>
      </c>
      <c r="F445" s="28" t="str">
        <f t="shared" si="19"/>
        <v>May</v>
      </c>
      <c r="G445" s="17" t="s">
        <v>29</v>
      </c>
      <c r="H445" s="17" t="s">
        <v>30</v>
      </c>
      <c r="I445" s="24">
        <v>117301.92</v>
      </c>
      <c r="J445" s="32">
        <v>24</v>
      </c>
      <c r="K445" s="17" t="s">
        <v>16</v>
      </c>
      <c r="L445" s="24">
        <v>4509.26</v>
      </c>
      <c r="M445" s="24">
        <v>4887.58</v>
      </c>
      <c r="N445" s="34">
        <f>((sales_data_1[[#This Row],[Unit_Price]]*(1-sales_data_1[[#This Row],[Discount]]))-sales_data_1[[#This Row],[Unit_Cost]])*sales_data_1[[#This Row],[Quantity_Sold]]</f>
        <v>9079.679999999993</v>
      </c>
      <c r="O445" s="17" t="s">
        <v>17</v>
      </c>
      <c r="P445" s="26">
        <v>0</v>
      </c>
      <c r="Q445" s="17" t="s">
        <v>18</v>
      </c>
      <c r="R445" s="17" t="s">
        <v>21</v>
      </c>
      <c r="S445" s="49" t="str">
        <f t="shared" si="20"/>
        <v>Charlie-East</v>
      </c>
      <c r="T445" s="59" t="str">
        <f>IF(ROUND(sales_data_1[[#This Row],[Profit_Margin]],2)=ROUND((sales_data_1[[#This Row],[Unit_Price]]*(1-sales_data_1[[#This Row],[Discount]]) - sales_data_1[[#This Row],[Unit_Cost]])*sales_data_1[[#This Row],[Quantity_Sold]],2), "PASS", "CHECK")</f>
        <v>PASS</v>
      </c>
    </row>
    <row r="446" spans="1:20" x14ac:dyDescent="0.35">
      <c r="A446" s="7">
        <v>445</v>
      </c>
      <c r="B446" s="9">
        <v>1031</v>
      </c>
      <c r="C446" s="7" t="str">
        <f>IFERROR(_xlfn.TEXTJOIN("-", TRUE, _xlfn.XLOOKUP(K446, product_category_id_lookup!$A$2:$A$5, product_category_id_lookup!$B$2:$B$5), B446), "Unknown Category")</f>
        <v>etc-1031</v>
      </c>
      <c r="D446" s="8">
        <v>44704</v>
      </c>
      <c r="E446" s="7">
        <f t="shared" si="18"/>
        <v>2022</v>
      </c>
      <c r="F446" s="28" t="str">
        <f t="shared" si="19"/>
        <v>May</v>
      </c>
      <c r="G446" s="17" t="s">
        <v>29</v>
      </c>
      <c r="H446" s="17" t="s">
        <v>20</v>
      </c>
      <c r="I446" s="24">
        <v>151816.87418474987</v>
      </c>
      <c r="J446" s="32">
        <v>31</v>
      </c>
      <c r="K446" s="17" t="s">
        <v>31</v>
      </c>
      <c r="L446" s="24">
        <v>4314.54</v>
      </c>
      <c r="M446" s="24">
        <v>5015.1499999999996</v>
      </c>
      <c r="N446" s="34">
        <f>((sales_data_1[[#This Row],[Unit_Price]]*(1-sales_data_1[[#This Row],[Discount]]))-sales_data_1[[#This Row],[Unit_Cost]])*sales_data_1[[#This Row],[Quantity_Sold]]</f>
        <v>18609.516999999993</v>
      </c>
      <c r="O446" s="17" t="s">
        <v>27</v>
      </c>
      <c r="P446" s="26">
        <v>0.02</v>
      </c>
      <c r="Q446" s="17" t="s">
        <v>18</v>
      </c>
      <c r="R446" s="17" t="s">
        <v>19</v>
      </c>
      <c r="S446" s="49" t="str">
        <f t="shared" si="20"/>
        <v>Charlie-West</v>
      </c>
      <c r="T446" s="59" t="str">
        <f>IF(ROUND(sales_data_1[[#This Row],[Profit_Margin]],2)=ROUND((sales_data_1[[#This Row],[Unit_Price]]*(1-sales_data_1[[#This Row],[Discount]]) - sales_data_1[[#This Row],[Unit_Cost]])*sales_data_1[[#This Row],[Quantity_Sold]],2), "PASS", "CHECK")</f>
        <v>PASS</v>
      </c>
    </row>
    <row r="447" spans="1:20" x14ac:dyDescent="0.35">
      <c r="A447" s="7">
        <v>446</v>
      </c>
      <c r="B447" s="9">
        <v>1067</v>
      </c>
      <c r="C447" s="7" t="str">
        <f>IFERROR(_xlfn.TEXTJOIN("-", TRUE, _xlfn.XLOOKUP(K447, product_category_id_lookup!$A$2:$A$5, product_category_id_lookup!$B$2:$B$5), B447), "Unknown Category")</f>
        <v>fnt-1067</v>
      </c>
      <c r="D447" s="8">
        <v>44705</v>
      </c>
      <c r="E447" s="7">
        <f t="shared" si="18"/>
        <v>2022</v>
      </c>
      <c r="F447" s="28" t="str">
        <f t="shared" si="19"/>
        <v>May</v>
      </c>
      <c r="G447" s="17" t="s">
        <v>22</v>
      </c>
      <c r="H447" s="17" t="s">
        <v>30</v>
      </c>
      <c r="I447" s="24">
        <v>52960.153314702773</v>
      </c>
      <c r="J447" s="32">
        <v>26</v>
      </c>
      <c r="K447" s="17" t="s">
        <v>16</v>
      </c>
      <c r="L447" s="24">
        <v>1991.89</v>
      </c>
      <c r="M447" s="24">
        <v>2095.56</v>
      </c>
      <c r="N447" s="34">
        <f>((sales_data_1[[#This Row],[Unit_Price]]*(1-sales_data_1[[#This Row],[Discount]]))-sales_data_1[[#This Row],[Unit_Cost]])*sales_data_1[[#This Row],[Quantity_Sold]]</f>
        <v>1060.8831999999957</v>
      </c>
      <c r="O447" s="17" t="s">
        <v>27</v>
      </c>
      <c r="P447" s="26">
        <v>0.03</v>
      </c>
      <c r="Q447" s="17" t="s">
        <v>28</v>
      </c>
      <c r="R447" s="17" t="s">
        <v>21</v>
      </c>
      <c r="S447" s="49" t="str">
        <f t="shared" si="20"/>
        <v>David-East</v>
      </c>
      <c r="T447" s="59" t="str">
        <f>IF(ROUND(sales_data_1[[#This Row],[Profit_Margin]],2)=ROUND((sales_data_1[[#This Row],[Unit_Price]]*(1-sales_data_1[[#This Row],[Discount]]) - sales_data_1[[#This Row],[Unit_Cost]])*sales_data_1[[#This Row],[Quantity_Sold]],2), "PASS", "CHECK")</f>
        <v>PASS</v>
      </c>
    </row>
    <row r="448" spans="1:20" x14ac:dyDescent="0.35">
      <c r="A448" s="7">
        <v>447</v>
      </c>
      <c r="B448" s="9">
        <v>1062</v>
      </c>
      <c r="C448" s="7" t="str">
        <f>IFERROR(_xlfn.TEXTJOIN("-", TRUE, _xlfn.XLOOKUP(K448, product_category_id_lookup!$A$2:$A$5, product_category_id_lookup!$B$2:$B$5), B448), "Unknown Category")</f>
        <v>ctg-1062</v>
      </c>
      <c r="D448" s="8">
        <v>44705</v>
      </c>
      <c r="E448" s="7">
        <f t="shared" si="18"/>
        <v>2022</v>
      </c>
      <c r="F448" s="28" t="str">
        <f t="shared" si="19"/>
        <v>May</v>
      </c>
      <c r="G448" s="17" t="s">
        <v>32</v>
      </c>
      <c r="H448" s="17" t="s">
        <v>23</v>
      </c>
      <c r="I448" s="24">
        <v>4039.0655999999994</v>
      </c>
      <c r="J448" s="32">
        <v>1</v>
      </c>
      <c r="K448" s="17" t="s">
        <v>26</v>
      </c>
      <c r="L448" s="24">
        <v>1322.25</v>
      </c>
      <c r="M448" s="24">
        <v>4207.3599999999997</v>
      </c>
      <c r="N448" s="34">
        <f>((sales_data_1[[#This Row],[Unit_Price]]*(1-sales_data_1[[#This Row],[Discount]]))-sales_data_1[[#This Row],[Unit_Cost]])*sales_data_1[[#This Row],[Quantity_Sold]]</f>
        <v>2716.8155999999994</v>
      </c>
      <c r="O448" s="17" t="s">
        <v>17</v>
      </c>
      <c r="P448" s="26">
        <v>0.04</v>
      </c>
      <c r="Q448" s="17" t="s">
        <v>28</v>
      </c>
      <c r="R448" s="17" t="s">
        <v>21</v>
      </c>
      <c r="S448" s="49" t="str">
        <f t="shared" si="20"/>
        <v>Eve-South</v>
      </c>
      <c r="T448" s="59" t="str">
        <f>IF(ROUND(sales_data_1[[#This Row],[Profit_Margin]],2)=ROUND((sales_data_1[[#This Row],[Unit_Price]]*(1-sales_data_1[[#This Row],[Discount]]) - sales_data_1[[#This Row],[Unit_Cost]])*sales_data_1[[#This Row],[Quantity_Sold]],2), "PASS", "CHECK")</f>
        <v>PASS</v>
      </c>
    </row>
    <row r="449" spans="1:20" x14ac:dyDescent="0.35">
      <c r="A449" s="7">
        <v>448</v>
      </c>
      <c r="B449" s="9">
        <v>1018</v>
      </c>
      <c r="C449" s="7" t="str">
        <f>IFERROR(_xlfn.TEXTJOIN("-", TRUE, _xlfn.XLOOKUP(K449, product_category_id_lookup!$A$2:$A$5, product_category_id_lookup!$B$2:$B$5), B449), "Unknown Category")</f>
        <v>ctg-1018</v>
      </c>
      <c r="D449" s="8">
        <v>44705</v>
      </c>
      <c r="E449" s="7">
        <f t="shared" si="18"/>
        <v>2022</v>
      </c>
      <c r="F449" s="28" t="str">
        <f t="shared" si="19"/>
        <v>May</v>
      </c>
      <c r="G449" s="17" t="s">
        <v>14</v>
      </c>
      <c r="H449" s="17" t="s">
        <v>15</v>
      </c>
      <c r="I449" s="24">
        <v>38150.595044486123</v>
      </c>
      <c r="J449" s="32">
        <v>29</v>
      </c>
      <c r="K449" s="17" t="s">
        <v>26</v>
      </c>
      <c r="L449" s="24">
        <v>1057.47</v>
      </c>
      <c r="M449" s="24">
        <v>1369.81</v>
      </c>
      <c r="N449" s="34">
        <f>((sales_data_1[[#This Row],[Unit_Price]]*(1-sales_data_1[[#This Row],[Discount]]))-sales_data_1[[#This Row],[Unit_Cost]])*sales_data_1[[#This Row],[Quantity_Sold]]</f>
        <v>7468.8803999999964</v>
      </c>
      <c r="O449" s="17" t="s">
        <v>17</v>
      </c>
      <c r="P449" s="26">
        <v>0.04</v>
      </c>
      <c r="Q449" s="17" t="s">
        <v>18</v>
      </c>
      <c r="R449" s="17" t="s">
        <v>19</v>
      </c>
      <c r="S449" s="49" t="str">
        <f t="shared" si="20"/>
        <v>Bob-North</v>
      </c>
      <c r="T449" s="59" t="str">
        <f>IF(ROUND(sales_data_1[[#This Row],[Profit_Margin]],2)=ROUND((sales_data_1[[#This Row],[Unit_Price]]*(1-sales_data_1[[#This Row],[Discount]]) - sales_data_1[[#This Row],[Unit_Cost]])*sales_data_1[[#This Row],[Quantity_Sold]],2), "PASS", "CHECK")</f>
        <v>PASS</v>
      </c>
    </row>
    <row r="450" spans="1:20" x14ac:dyDescent="0.35">
      <c r="A450" s="7">
        <v>449</v>
      </c>
      <c r="B450" s="9">
        <v>1045</v>
      </c>
      <c r="C450" s="7" t="str">
        <f>IFERROR(_xlfn.TEXTJOIN("-", TRUE, _xlfn.XLOOKUP(K450, product_category_id_lookup!$A$2:$A$5, product_category_id_lookup!$B$2:$B$5), B450), "Unknown Category")</f>
        <v>etc-1045</v>
      </c>
      <c r="D450" s="8">
        <v>44705</v>
      </c>
      <c r="E450" s="7">
        <f t="shared" ref="E450:E513" si="21">YEAR(D450)</f>
        <v>2022</v>
      </c>
      <c r="F450" s="28" t="str">
        <f t="shared" ref="F450:F513" si="22">LEFT(TEXT(D450,"mmmm"),3)</f>
        <v>May</v>
      </c>
      <c r="G450" s="17" t="s">
        <v>22</v>
      </c>
      <c r="H450" s="17" t="s">
        <v>15</v>
      </c>
      <c r="I450" s="24">
        <v>124438.39499999999</v>
      </c>
      <c r="J450" s="32">
        <v>46</v>
      </c>
      <c r="K450" s="17" t="s">
        <v>31</v>
      </c>
      <c r="L450" s="24">
        <v>1809.79</v>
      </c>
      <c r="M450" s="24">
        <v>3606.91</v>
      </c>
      <c r="N450" s="34">
        <f>((sales_data_1[[#This Row],[Unit_Price]]*(1-sales_data_1[[#This Row],[Discount]]))-sales_data_1[[#This Row],[Unit_Cost]])*sales_data_1[[#This Row],[Quantity_Sold]]</f>
        <v>41188.054999999993</v>
      </c>
      <c r="O450" s="17" t="s">
        <v>17</v>
      </c>
      <c r="P450" s="26">
        <v>0.25</v>
      </c>
      <c r="Q450" s="17" t="s">
        <v>28</v>
      </c>
      <c r="R450" s="17" t="s">
        <v>21</v>
      </c>
      <c r="S450" s="49" t="str">
        <f t="shared" ref="S450:S513" si="23">_xlfn.CONCAT(G450,"-",H450)</f>
        <v>David-North</v>
      </c>
      <c r="T450" s="59" t="str">
        <f>IF(ROUND(sales_data_1[[#This Row],[Profit_Margin]],2)=ROUND((sales_data_1[[#This Row],[Unit_Price]]*(1-sales_data_1[[#This Row],[Discount]]) - sales_data_1[[#This Row],[Unit_Cost]])*sales_data_1[[#This Row],[Quantity_Sold]],2), "PASS", "CHECK")</f>
        <v>PASS</v>
      </c>
    </row>
    <row r="451" spans="1:20" x14ac:dyDescent="0.35">
      <c r="A451" s="7">
        <v>450</v>
      </c>
      <c r="B451" s="9">
        <v>1078</v>
      </c>
      <c r="C451" s="7" t="str">
        <f>IFERROR(_xlfn.TEXTJOIN("-", TRUE, _xlfn.XLOOKUP(K451, product_category_id_lookup!$A$2:$A$5, product_category_id_lookup!$B$2:$B$5), B451), "Unknown Category")</f>
        <v>fd-1078</v>
      </c>
      <c r="D451" s="8">
        <v>44705</v>
      </c>
      <c r="E451" s="7">
        <f t="shared" si="21"/>
        <v>2022</v>
      </c>
      <c r="F451" s="28" t="str">
        <f t="shared" si="22"/>
        <v>May</v>
      </c>
      <c r="G451" s="17" t="s">
        <v>29</v>
      </c>
      <c r="H451" s="17" t="s">
        <v>23</v>
      </c>
      <c r="I451" s="24">
        <v>108627.5619</v>
      </c>
      <c r="J451" s="32">
        <v>33</v>
      </c>
      <c r="K451" s="17" t="s">
        <v>24</v>
      </c>
      <c r="L451" s="24">
        <v>933.13</v>
      </c>
      <c r="M451" s="24">
        <v>3539.51</v>
      </c>
      <c r="N451" s="34">
        <f>((sales_data_1[[#This Row],[Unit_Price]]*(1-sales_data_1[[#This Row],[Discount]]))-sales_data_1[[#This Row],[Unit_Cost]])*sales_data_1[[#This Row],[Quantity_Sold]]</f>
        <v>77834.271899999992</v>
      </c>
      <c r="O451" s="17" t="s">
        <v>27</v>
      </c>
      <c r="P451" s="26">
        <v>7.0000000000000007E-2</v>
      </c>
      <c r="Q451" s="17" t="s">
        <v>28</v>
      </c>
      <c r="R451" s="17" t="s">
        <v>19</v>
      </c>
      <c r="S451" s="49" t="str">
        <f t="shared" si="23"/>
        <v>Charlie-South</v>
      </c>
      <c r="T451" s="59" t="str">
        <f>IF(ROUND(sales_data_1[[#This Row],[Profit_Margin]],2)=ROUND((sales_data_1[[#This Row],[Unit_Price]]*(1-sales_data_1[[#This Row],[Discount]]) - sales_data_1[[#This Row],[Unit_Cost]])*sales_data_1[[#This Row],[Quantity_Sold]],2), "PASS", "CHECK")</f>
        <v>PASS</v>
      </c>
    </row>
    <row r="452" spans="1:20" x14ac:dyDescent="0.35">
      <c r="A452" s="7">
        <v>451</v>
      </c>
      <c r="B452" s="9">
        <v>1066</v>
      </c>
      <c r="C452" s="7" t="str">
        <f>IFERROR(_xlfn.TEXTJOIN("-", TRUE, _xlfn.XLOOKUP(K452, product_category_id_lookup!$A$2:$A$5, product_category_id_lookup!$B$2:$B$5), B452), "Unknown Category")</f>
        <v>ctg-1066</v>
      </c>
      <c r="D452" s="8">
        <v>44705</v>
      </c>
      <c r="E452" s="7">
        <f t="shared" si="21"/>
        <v>2022</v>
      </c>
      <c r="F452" s="28" t="str">
        <f t="shared" si="22"/>
        <v>May</v>
      </c>
      <c r="G452" s="17" t="s">
        <v>14</v>
      </c>
      <c r="H452" s="17" t="s">
        <v>15</v>
      </c>
      <c r="I452" s="24">
        <v>121662.31999999999</v>
      </c>
      <c r="J452" s="32">
        <v>47</v>
      </c>
      <c r="K452" s="17" t="s">
        <v>26</v>
      </c>
      <c r="L452" s="24">
        <v>118.97</v>
      </c>
      <c r="M452" s="24">
        <v>2724.8</v>
      </c>
      <c r="N452" s="34">
        <f>((sales_data_1[[#This Row],[Unit_Price]]*(1-sales_data_1[[#This Row],[Discount]]))-sales_data_1[[#This Row],[Unit_Cost]])*sales_data_1[[#This Row],[Quantity_Sold]]</f>
        <v>116070.73000000001</v>
      </c>
      <c r="O452" s="17" t="s">
        <v>27</v>
      </c>
      <c r="P452" s="26">
        <v>0.05</v>
      </c>
      <c r="Q452" s="17" t="s">
        <v>18</v>
      </c>
      <c r="R452" s="17" t="s">
        <v>19</v>
      </c>
      <c r="S452" s="49" t="str">
        <f t="shared" si="23"/>
        <v>Bob-North</v>
      </c>
      <c r="T452" s="59" t="str">
        <f>IF(ROUND(sales_data_1[[#This Row],[Profit_Margin]],2)=ROUND((sales_data_1[[#This Row],[Unit_Price]]*(1-sales_data_1[[#This Row],[Discount]]) - sales_data_1[[#This Row],[Unit_Cost]])*sales_data_1[[#This Row],[Quantity_Sold]],2), "PASS", "CHECK")</f>
        <v>PASS</v>
      </c>
    </row>
    <row r="453" spans="1:20" x14ac:dyDescent="0.35">
      <c r="A453" s="7">
        <v>452</v>
      </c>
      <c r="B453" s="9">
        <v>1041</v>
      </c>
      <c r="C453" s="7" t="str">
        <f>IFERROR(_xlfn.TEXTJOIN("-", TRUE, _xlfn.XLOOKUP(K453, product_category_id_lookup!$A$2:$A$5, product_category_id_lookup!$B$2:$B$5), B453), "Unknown Category")</f>
        <v>fnt-1041</v>
      </c>
      <c r="D453" s="8">
        <v>44705</v>
      </c>
      <c r="E453" s="7">
        <f t="shared" si="21"/>
        <v>2022</v>
      </c>
      <c r="F453" s="28" t="str">
        <f t="shared" si="22"/>
        <v>May</v>
      </c>
      <c r="G453" s="17" t="s">
        <v>29</v>
      </c>
      <c r="H453" s="17" t="s">
        <v>15</v>
      </c>
      <c r="I453" s="24">
        <v>140178.72750000001</v>
      </c>
      <c r="J453" s="32">
        <v>35</v>
      </c>
      <c r="K453" s="17" t="s">
        <v>16</v>
      </c>
      <c r="L453" s="24">
        <v>601.84</v>
      </c>
      <c r="M453" s="24">
        <v>4711.8900000000003</v>
      </c>
      <c r="N453" s="34">
        <f>((sales_data_1[[#This Row],[Unit_Price]]*(1-sales_data_1[[#This Row],[Discount]]))-sales_data_1[[#This Row],[Unit_Cost]])*sales_data_1[[#This Row],[Quantity_Sold]]</f>
        <v>119114.3275</v>
      </c>
      <c r="O453" s="17" t="s">
        <v>27</v>
      </c>
      <c r="P453" s="26">
        <v>0.15</v>
      </c>
      <c r="Q453" s="17" t="s">
        <v>28</v>
      </c>
      <c r="R453" s="17" t="s">
        <v>21</v>
      </c>
      <c r="S453" s="49" t="str">
        <f t="shared" si="23"/>
        <v>Charlie-North</v>
      </c>
      <c r="T453" s="59" t="str">
        <f>IF(ROUND(sales_data_1[[#This Row],[Profit_Margin]],2)=ROUND((sales_data_1[[#This Row],[Unit_Price]]*(1-sales_data_1[[#This Row],[Discount]]) - sales_data_1[[#This Row],[Unit_Cost]])*sales_data_1[[#This Row],[Quantity_Sold]],2), "PASS", "CHECK")</f>
        <v>PASS</v>
      </c>
    </row>
    <row r="454" spans="1:20" x14ac:dyDescent="0.35">
      <c r="A454" s="7">
        <v>453</v>
      </c>
      <c r="B454" s="9">
        <v>1064</v>
      </c>
      <c r="C454" s="7" t="str">
        <f>IFERROR(_xlfn.TEXTJOIN("-", TRUE, _xlfn.XLOOKUP(K454, product_category_id_lookup!$A$2:$A$5, product_category_id_lookup!$B$2:$B$5), B454), "Unknown Category")</f>
        <v>fnt-1064</v>
      </c>
      <c r="D454" s="8">
        <v>44705</v>
      </c>
      <c r="E454" s="7">
        <f t="shared" si="21"/>
        <v>2022</v>
      </c>
      <c r="F454" s="28" t="str">
        <f t="shared" si="22"/>
        <v>May</v>
      </c>
      <c r="G454" s="17" t="s">
        <v>22</v>
      </c>
      <c r="H454" s="17" t="s">
        <v>20</v>
      </c>
      <c r="I454" s="24">
        <v>194626.49679999999</v>
      </c>
      <c r="J454" s="32">
        <v>46</v>
      </c>
      <c r="K454" s="17" t="s">
        <v>16</v>
      </c>
      <c r="L454" s="24">
        <v>1536.95</v>
      </c>
      <c r="M454" s="24">
        <v>4919.78</v>
      </c>
      <c r="N454" s="34">
        <f>((sales_data_1[[#This Row],[Unit_Price]]*(1-sales_data_1[[#This Row],[Discount]]))-sales_data_1[[#This Row],[Unit_Cost]])*sales_data_1[[#This Row],[Quantity_Sold]]</f>
        <v>123926.79680000001</v>
      </c>
      <c r="O454" s="17" t="s">
        <v>27</v>
      </c>
      <c r="P454" s="26">
        <v>0.14000000000000001</v>
      </c>
      <c r="Q454" s="17" t="s">
        <v>28</v>
      </c>
      <c r="R454" s="17" t="s">
        <v>21</v>
      </c>
      <c r="S454" s="49" t="str">
        <f t="shared" si="23"/>
        <v>David-West</v>
      </c>
      <c r="T454" s="59" t="str">
        <f>IF(ROUND(sales_data_1[[#This Row],[Profit_Margin]],2)=ROUND((sales_data_1[[#This Row],[Unit_Price]]*(1-sales_data_1[[#This Row],[Discount]]) - sales_data_1[[#This Row],[Unit_Cost]])*sales_data_1[[#This Row],[Quantity_Sold]],2), "PASS", "CHECK")</f>
        <v>PASS</v>
      </c>
    </row>
    <row r="455" spans="1:20" x14ac:dyDescent="0.35">
      <c r="A455" s="7">
        <v>454</v>
      </c>
      <c r="B455" s="9">
        <v>1027</v>
      </c>
      <c r="C455" s="7" t="str">
        <f>IFERROR(_xlfn.TEXTJOIN("-", TRUE, _xlfn.XLOOKUP(K455, product_category_id_lookup!$A$2:$A$5, product_category_id_lookup!$B$2:$B$5), B455), "Unknown Category")</f>
        <v>ctg-1027</v>
      </c>
      <c r="D455" s="8">
        <v>44706</v>
      </c>
      <c r="E455" s="7">
        <f t="shared" si="21"/>
        <v>2022</v>
      </c>
      <c r="F455" s="28" t="str">
        <f t="shared" si="22"/>
        <v>May</v>
      </c>
      <c r="G455" s="17" t="s">
        <v>29</v>
      </c>
      <c r="H455" s="17" t="s">
        <v>30</v>
      </c>
      <c r="I455" s="24">
        <v>20655.509000000002</v>
      </c>
      <c r="J455" s="32">
        <v>7</v>
      </c>
      <c r="K455" s="17" t="s">
        <v>26</v>
      </c>
      <c r="L455" s="24">
        <v>873.46</v>
      </c>
      <c r="M455" s="24">
        <v>3987.55</v>
      </c>
      <c r="N455" s="34">
        <f>((sales_data_1[[#This Row],[Unit_Price]]*(1-sales_data_1[[#This Row],[Discount]]))-sales_data_1[[#This Row],[Unit_Cost]])*sales_data_1[[#This Row],[Quantity_Sold]]</f>
        <v>14541.289000000001</v>
      </c>
      <c r="O455" s="17" t="s">
        <v>17</v>
      </c>
      <c r="P455" s="26">
        <v>0.26</v>
      </c>
      <c r="Q455" s="17" t="s">
        <v>25</v>
      </c>
      <c r="R455" s="17" t="s">
        <v>21</v>
      </c>
      <c r="S455" s="49" t="str">
        <f t="shared" si="23"/>
        <v>Charlie-East</v>
      </c>
      <c r="T455" s="59" t="str">
        <f>IF(ROUND(sales_data_1[[#This Row],[Profit_Margin]],2)=ROUND((sales_data_1[[#This Row],[Unit_Price]]*(1-sales_data_1[[#This Row],[Discount]]) - sales_data_1[[#This Row],[Unit_Cost]])*sales_data_1[[#This Row],[Quantity_Sold]],2), "PASS", "CHECK")</f>
        <v>PASS</v>
      </c>
    </row>
    <row r="456" spans="1:20" x14ac:dyDescent="0.35">
      <c r="A456" s="7">
        <v>455</v>
      </c>
      <c r="B456" s="9">
        <v>1031</v>
      </c>
      <c r="C456" s="7" t="str">
        <f>IFERROR(_xlfn.TEXTJOIN("-", TRUE, _xlfn.XLOOKUP(K456, product_category_id_lookup!$A$2:$A$5, product_category_id_lookup!$B$2:$B$5), B456), "Unknown Category")</f>
        <v>fd-1031</v>
      </c>
      <c r="D456" s="8">
        <v>44706</v>
      </c>
      <c r="E456" s="7">
        <f t="shared" si="21"/>
        <v>2022</v>
      </c>
      <c r="F456" s="28" t="str">
        <f t="shared" si="22"/>
        <v>May</v>
      </c>
      <c r="G456" s="17" t="s">
        <v>32</v>
      </c>
      <c r="H456" s="17" t="s">
        <v>30</v>
      </c>
      <c r="I456" s="24">
        <v>175418.535</v>
      </c>
      <c r="J456" s="32">
        <v>50</v>
      </c>
      <c r="K456" s="17" t="s">
        <v>24</v>
      </c>
      <c r="L456" s="24">
        <v>3172.37</v>
      </c>
      <c r="M456" s="24">
        <v>4032.61</v>
      </c>
      <c r="N456" s="34">
        <f>((sales_data_1[[#This Row],[Unit_Price]]*(1-sales_data_1[[#This Row],[Discount]]))-sales_data_1[[#This Row],[Unit_Cost]])*sales_data_1[[#This Row],[Quantity_Sold]]</f>
        <v>16800.035000000003</v>
      </c>
      <c r="O456" s="17" t="s">
        <v>27</v>
      </c>
      <c r="P456" s="26">
        <v>0.13</v>
      </c>
      <c r="Q456" s="17" t="s">
        <v>28</v>
      </c>
      <c r="R456" s="17" t="s">
        <v>21</v>
      </c>
      <c r="S456" s="49" t="str">
        <f t="shared" si="23"/>
        <v>Eve-East</v>
      </c>
      <c r="T456" s="59" t="str">
        <f>IF(ROUND(sales_data_1[[#This Row],[Profit_Margin]],2)=ROUND((sales_data_1[[#This Row],[Unit_Price]]*(1-sales_data_1[[#This Row],[Discount]]) - sales_data_1[[#This Row],[Unit_Cost]])*sales_data_1[[#This Row],[Quantity_Sold]],2), "PASS", "CHECK")</f>
        <v>PASS</v>
      </c>
    </row>
    <row r="457" spans="1:20" x14ac:dyDescent="0.35">
      <c r="A457" s="7">
        <v>456</v>
      </c>
      <c r="B457" s="9">
        <v>1018</v>
      </c>
      <c r="C457" s="7" t="str">
        <f>IFERROR(_xlfn.TEXTJOIN("-", TRUE, _xlfn.XLOOKUP(K457, product_category_id_lookup!$A$2:$A$5, product_category_id_lookup!$B$2:$B$5), B457), "Unknown Category")</f>
        <v>ctg-1018</v>
      </c>
      <c r="D457" s="8">
        <v>44706</v>
      </c>
      <c r="E457" s="7">
        <f t="shared" si="21"/>
        <v>2022</v>
      </c>
      <c r="F457" s="28" t="str">
        <f t="shared" si="22"/>
        <v>May</v>
      </c>
      <c r="G457" s="17" t="s">
        <v>29</v>
      </c>
      <c r="H457" s="17" t="s">
        <v>30</v>
      </c>
      <c r="I457" s="24">
        <v>41236.187999999995</v>
      </c>
      <c r="J457" s="32">
        <v>10</v>
      </c>
      <c r="K457" s="17" t="s">
        <v>26</v>
      </c>
      <c r="L457" s="24">
        <v>2399.5300000000002</v>
      </c>
      <c r="M457" s="24">
        <v>4909.07</v>
      </c>
      <c r="N457" s="34">
        <f>((sales_data_1[[#This Row],[Unit_Price]]*(1-sales_data_1[[#This Row],[Discount]]))-sales_data_1[[#This Row],[Unit_Cost]])*sales_data_1[[#This Row],[Quantity_Sold]]</f>
        <v>17240.887999999992</v>
      </c>
      <c r="O457" s="17" t="s">
        <v>27</v>
      </c>
      <c r="P457" s="26">
        <v>0.16</v>
      </c>
      <c r="Q457" s="17" t="s">
        <v>25</v>
      </c>
      <c r="R457" s="17" t="s">
        <v>21</v>
      </c>
      <c r="S457" s="49" t="str">
        <f t="shared" si="23"/>
        <v>Charlie-East</v>
      </c>
      <c r="T457" s="59" t="str">
        <f>IF(ROUND(sales_data_1[[#This Row],[Profit_Margin]],2)=ROUND((sales_data_1[[#This Row],[Unit_Price]]*(1-sales_data_1[[#This Row],[Discount]]) - sales_data_1[[#This Row],[Unit_Cost]])*sales_data_1[[#This Row],[Quantity_Sold]],2), "PASS", "CHECK")</f>
        <v>PASS</v>
      </c>
    </row>
    <row r="458" spans="1:20" x14ac:dyDescent="0.35">
      <c r="A458" s="7">
        <v>457</v>
      </c>
      <c r="B458" s="9">
        <v>1005</v>
      </c>
      <c r="C458" s="7" t="str">
        <f>IFERROR(_xlfn.TEXTJOIN("-", TRUE, _xlfn.XLOOKUP(K458, product_category_id_lookup!$A$2:$A$5, product_category_id_lookup!$B$2:$B$5), B458), "Unknown Category")</f>
        <v>ctg-1005</v>
      </c>
      <c r="D458" s="8">
        <v>44706</v>
      </c>
      <c r="E458" s="7">
        <f t="shared" si="21"/>
        <v>2022</v>
      </c>
      <c r="F458" s="28" t="str">
        <f t="shared" si="22"/>
        <v>May</v>
      </c>
      <c r="G458" s="17" t="s">
        <v>22</v>
      </c>
      <c r="H458" s="17" t="s">
        <v>30</v>
      </c>
      <c r="I458" s="24">
        <v>68740.723199999993</v>
      </c>
      <c r="J458" s="32">
        <v>19</v>
      </c>
      <c r="K458" s="17" t="s">
        <v>26</v>
      </c>
      <c r="L458" s="24">
        <v>1310.3399999999999</v>
      </c>
      <c r="M458" s="24">
        <v>3768.68</v>
      </c>
      <c r="N458" s="34">
        <f>((sales_data_1[[#This Row],[Unit_Price]]*(1-sales_data_1[[#This Row],[Discount]]))-sales_data_1[[#This Row],[Unit_Cost]])*sales_data_1[[#This Row],[Quantity_Sold]]</f>
        <v>43844.263199999987</v>
      </c>
      <c r="O458" s="17" t="s">
        <v>27</v>
      </c>
      <c r="P458" s="26">
        <v>0.04</v>
      </c>
      <c r="Q458" s="17" t="s">
        <v>28</v>
      </c>
      <c r="R458" s="17" t="s">
        <v>19</v>
      </c>
      <c r="S458" s="49" t="str">
        <f t="shared" si="23"/>
        <v>David-East</v>
      </c>
      <c r="T458" s="59" t="str">
        <f>IF(ROUND(sales_data_1[[#This Row],[Profit_Margin]],2)=ROUND((sales_data_1[[#This Row],[Unit_Price]]*(1-sales_data_1[[#This Row],[Discount]]) - sales_data_1[[#This Row],[Unit_Cost]])*sales_data_1[[#This Row],[Quantity_Sold]],2), "PASS", "CHECK")</f>
        <v>PASS</v>
      </c>
    </row>
    <row r="459" spans="1:20" x14ac:dyDescent="0.35">
      <c r="A459" s="7">
        <v>458</v>
      </c>
      <c r="B459" s="9">
        <v>1016</v>
      </c>
      <c r="C459" s="7" t="str">
        <f>IFERROR(_xlfn.TEXTJOIN("-", TRUE, _xlfn.XLOOKUP(K459, product_category_id_lookup!$A$2:$A$5, product_category_id_lookup!$B$2:$B$5), B459), "Unknown Category")</f>
        <v>ctg-1016</v>
      </c>
      <c r="D459" s="8">
        <v>44706</v>
      </c>
      <c r="E459" s="7">
        <f t="shared" si="21"/>
        <v>2022</v>
      </c>
      <c r="F459" s="28" t="str">
        <f t="shared" si="22"/>
        <v>May</v>
      </c>
      <c r="G459" s="17" t="s">
        <v>29</v>
      </c>
      <c r="H459" s="17" t="s">
        <v>20</v>
      </c>
      <c r="I459" s="24">
        <v>74091.02399999999</v>
      </c>
      <c r="J459" s="32">
        <v>21</v>
      </c>
      <c r="K459" s="17" t="s">
        <v>26</v>
      </c>
      <c r="L459" s="24">
        <v>330.68</v>
      </c>
      <c r="M459" s="24">
        <v>4900.2</v>
      </c>
      <c r="N459" s="34">
        <f>((sales_data_1[[#This Row],[Unit_Price]]*(1-sales_data_1[[#This Row],[Discount]]))-sales_data_1[[#This Row],[Unit_Cost]])*sales_data_1[[#This Row],[Quantity_Sold]]</f>
        <v>67146.744000000006</v>
      </c>
      <c r="O459" s="17" t="s">
        <v>27</v>
      </c>
      <c r="P459" s="26">
        <v>0.28000000000000003</v>
      </c>
      <c r="Q459" s="17" t="s">
        <v>28</v>
      </c>
      <c r="R459" s="17" t="s">
        <v>19</v>
      </c>
      <c r="S459" s="49" t="str">
        <f t="shared" si="23"/>
        <v>Charlie-West</v>
      </c>
      <c r="T459" s="59" t="str">
        <f>IF(ROUND(sales_data_1[[#This Row],[Profit_Margin]],2)=ROUND((sales_data_1[[#This Row],[Unit_Price]]*(1-sales_data_1[[#This Row],[Discount]]) - sales_data_1[[#This Row],[Unit_Cost]])*sales_data_1[[#This Row],[Quantity_Sold]],2), "PASS", "CHECK")</f>
        <v>PASS</v>
      </c>
    </row>
    <row r="460" spans="1:20" x14ac:dyDescent="0.35">
      <c r="A460" s="7">
        <v>459</v>
      </c>
      <c r="B460" s="9">
        <v>1066</v>
      </c>
      <c r="C460" s="7" t="str">
        <f>IFERROR(_xlfn.TEXTJOIN("-", TRUE, _xlfn.XLOOKUP(K460, product_category_id_lookup!$A$2:$A$5, product_category_id_lookup!$B$2:$B$5), B460), "Unknown Category")</f>
        <v>ctg-1066</v>
      </c>
      <c r="D460" s="8">
        <v>44707</v>
      </c>
      <c r="E460" s="7">
        <f t="shared" si="21"/>
        <v>2022</v>
      </c>
      <c r="F460" s="28" t="str">
        <f t="shared" si="22"/>
        <v>May</v>
      </c>
      <c r="G460" s="17" t="s">
        <v>22</v>
      </c>
      <c r="H460" s="17" t="s">
        <v>30</v>
      </c>
      <c r="I460" s="24">
        <v>21144.704000000002</v>
      </c>
      <c r="J460" s="32">
        <v>8</v>
      </c>
      <c r="K460" s="17" t="s">
        <v>26</v>
      </c>
      <c r="L460" s="24">
        <v>2492.41</v>
      </c>
      <c r="M460" s="24">
        <v>3303.86</v>
      </c>
      <c r="N460" s="34">
        <f>((sales_data_1[[#This Row],[Unit_Price]]*(1-sales_data_1[[#This Row],[Discount]]))-sales_data_1[[#This Row],[Unit_Cost]])*sales_data_1[[#This Row],[Quantity_Sold]]</f>
        <v>1205.4240000000027</v>
      </c>
      <c r="O460" s="17" t="s">
        <v>27</v>
      </c>
      <c r="P460" s="26">
        <v>0.2</v>
      </c>
      <c r="Q460" s="17" t="s">
        <v>25</v>
      </c>
      <c r="R460" s="17" t="s">
        <v>19</v>
      </c>
      <c r="S460" s="49" t="str">
        <f t="shared" si="23"/>
        <v>David-East</v>
      </c>
      <c r="T460" s="59" t="str">
        <f>IF(ROUND(sales_data_1[[#This Row],[Profit_Margin]],2)=ROUND((sales_data_1[[#This Row],[Unit_Price]]*(1-sales_data_1[[#This Row],[Discount]]) - sales_data_1[[#This Row],[Unit_Cost]])*sales_data_1[[#This Row],[Quantity_Sold]],2), "PASS", "CHECK")</f>
        <v>PASS</v>
      </c>
    </row>
    <row r="461" spans="1:20" x14ac:dyDescent="0.35">
      <c r="A461" s="7">
        <v>460</v>
      </c>
      <c r="B461" s="9">
        <v>1083</v>
      </c>
      <c r="C461" s="7" t="str">
        <f>IFERROR(_xlfn.TEXTJOIN("-", TRUE, _xlfn.XLOOKUP(K461, product_category_id_lookup!$A$2:$A$5, product_category_id_lookup!$B$2:$B$5), B461), "Unknown Category")</f>
        <v>fnt-1083</v>
      </c>
      <c r="D461" s="8">
        <v>44707</v>
      </c>
      <c r="E461" s="7">
        <f t="shared" si="21"/>
        <v>2022</v>
      </c>
      <c r="F461" s="28" t="str">
        <f t="shared" si="22"/>
        <v>May</v>
      </c>
      <c r="G461" s="17" t="s">
        <v>22</v>
      </c>
      <c r="H461" s="17" t="s">
        <v>20</v>
      </c>
      <c r="I461" s="24">
        <v>80879.907379431024</v>
      </c>
      <c r="J461" s="32">
        <v>28</v>
      </c>
      <c r="K461" s="17" t="s">
        <v>16</v>
      </c>
      <c r="L461" s="24">
        <v>2583.2600000000002</v>
      </c>
      <c r="M461" s="24">
        <v>2902.47</v>
      </c>
      <c r="N461" s="34">
        <f>((sales_data_1[[#This Row],[Unit_Price]]*(1-sales_data_1[[#This Row],[Discount]]))-sales_data_1[[#This Row],[Unit_Cost]])*sales_data_1[[#This Row],[Quantity_Sold]]</f>
        <v>8937.8799999999883</v>
      </c>
      <c r="O461" s="17" t="s">
        <v>27</v>
      </c>
      <c r="P461" s="26">
        <v>0</v>
      </c>
      <c r="Q461" s="17" t="s">
        <v>18</v>
      </c>
      <c r="R461" s="17" t="s">
        <v>19</v>
      </c>
      <c r="S461" s="49" t="str">
        <f t="shared" si="23"/>
        <v>David-West</v>
      </c>
      <c r="T461" s="59" t="str">
        <f>IF(ROUND(sales_data_1[[#This Row],[Profit_Margin]],2)=ROUND((sales_data_1[[#This Row],[Unit_Price]]*(1-sales_data_1[[#This Row],[Discount]]) - sales_data_1[[#This Row],[Unit_Cost]])*sales_data_1[[#This Row],[Quantity_Sold]],2), "PASS", "CHECK")</f>
        <v>PASS</v>
      </c>
    </row>
    <row r="462" spans="1:20" x14ac:dyDescent="0.35">
      <c r="A462" s="7">
        <v>461</v>
      </c>
      <c r="B462" s="9">
        <v>1052</v>
      </c>
      <c r="C462" s="7" t="str">
        <f>IFERROR(_xlfn.TEXTJOIN("-", TRUE, _xlfn.XLOOKUP(K462, product_category_id_lookup!$A$2:$A$5, product_category_id_lookup!$B$2:$B$5), B462), "Unknown Category")</f>
        <v>etc-1052</v>
      </c>
      <c r="D462" s="8">
        <v>44709</v>
      </c>
      <c r="E462" s="7">
        <f t="shared" si="21"/>
        <v>2022</v>
      </c>
      <c r="F462" s="28" t="str">
        <f t="shared" si="22"/>
        <v>May</v>
      </c>
      <c r="G462" s="17" t="s">
        <v>29</v>
      </c>
      <c r="H462" s="17" t="s">
        <v>30</v>
      </c>
      <c r="I462" s="24">
        <v>24167.127794886736</v>
      </c>
      <c r="J462" s="32">
        <v>5</v>
      </c>
      <c r="K462" s="17" t="s">
        <v>31</v>
      </c>
      <c r="L462" s="24">
        <v>4824.09</v>
      </c>
      <c r="M462" s="24">
        <v>4845.41</v>
      </c>
      <c r="N462" s="34">
        <f>((sales_data_1[[#This Row],[Unit_Price]]*(1-sales_data_1[[#This Row],[Discount]]))-sales_data_1[[#This Row],[Unit_Cost]])*sales_data_1[[#This Row],[Quantity_Sold]]</f>
        <v>106.59999999999854</v>
      </c>
      <c r="O462" s="17" t="s">
        <v>27</v>
      </c>
      <c r="P462" s="26">
        <v>0</v>
      </c>
      <c r="Q462" s="17" t="s">
        <v>25</v>
      </c>
      <c r="R462" s="17" t="s">
        <v>21</v>
      </c>
      <c r="S462" s="49" t="str">
        <f t="shared" si="23"/>
        <v>Charlie-East</v>
      </c>
      <c r="T462" s="59" t="str">
        <f>IF(ROUND(sales_data_1[[#This Row],[Profit_Margin]],2)=ROUND((sales_data_1[[#This Row],[Unit_Price]]*(1-sales_data_1[[#This Row],[Discount]]) - sales_data_1[[#This Row],[Unit_Cost]])*sales_data_1[[#This Row],[Quantity_Sold]],2), "PASS", "CHECK")</f>
        <v>PASS</v>
      </c>
    </row>
    <row r="463" spans="1:20" x14ac:dyDescent="0.35">
      <c r="A463" s="7">
        <v>462</v>
      </c>
      <c r="B463" s="9">
        <v>1079</v>
      </c>
      <c r="C463" s="7" t="str">
        <f>IFERROR(_xlfn.TEXTJOIN("-", TRUE, _xlfn.XLOOKUP(K463, product_category_id_lookup!$A$2:$A$5, product_category_id_lookup!$B$2:$B$5), B463), "Unknown Category")</f>
        <v>ctg-1079</v>
      </c>
      <c r="D463" s="8">
        <v>44709</v>
      </c>
      <c r="E463" s="7">
        <f t="shared" si="21"/>
        <v>2022</v>
      </c>
      <c r="F463" s="28" t="str">
        <f t="shared" si="22"/>
        <v>May</v>
      </c>
      <c r="G463" s="17" t="s">
        <v>29</v>
      </c>
      <c r="H463" s="17" t="s">
        <v>23</v>
      </c>
      <c r="I463" s="24">
        <v>59460.76569557195</v>
      </c>
      <c r="J463" s="32">
        <v>18</v>
      </c>
      <c r="K463" s="17" t="s">
        <v>26</v>
      </c>
      <c r="L463" s="24">
        <v>3291.86</v>
      </c>
      <c r="M463" s="24">
        <v>3324.13</v>
      </c>
      <c r="N463" s="34">
        <f>((sales_data_1[[#This Row],[Unit_Price]]*(1-sales_data_1[[#This Row],[Discount]]))-sales_data_1[[#This Row],[Unit_Cost]])*sales_data_1[[#This Row],[Quantity_Sold]]</f>
        <v>-17.483400000002803</v>
      </c>
      <c r="O463" s="17" t="s">
        <v>17</v>
      </c>
      <c r="P463" s="26">
        <v>0.01</v>
      </c>
      <c r="Q463" s="17" t="s">
        <v>28</v>
      </c>
      <c r="R463" s="17" t="s">
        <v>21</v>
      </c>
      <c r="S463" s="49" t="str">
        <f t="shared" si="23"/>
        <v>Charlie-South</v>
      </c>
      <c r="T463" s="59" t="str">
        <f>IF(ROUND(sales_data_1[[#This Row],[Profit_Margin]],2)=ROUND((sales_data_1[[#This Row],[Unit_Price]]*(1-sales_data_1[[#This Row],[Discount]]) - sales_data_1[[#This Row],[Unit_Cost]])*sales_data_1[[#This Row],[Quantity_Sold]],2), "PASS", "CHECK")</f>
        <v>PASS</v>
      </c>
    </row>
    <row r="464" spans="1:20" x14ac:dyDescent="0.35">
      <c r="A464" s="7">
        <v>463</v>
      </c>
      <c r="B464" s="9">
        <v>1036</v>
      </c>
      <c r="C464" s="7" t="str">
        <f>IFERROR(_xlfn.TEXTJOIN("-", TRUE, _xlfn.XLOOKUP(K464, product_category_id_lookup!$A$2:$A$5, product_category_id_lookup!$B$2:$B$5), B464), "Unknown Category")</f>
        <v>ctg-1036</v>
      </c>
      <c r="D464" s="8">
        <v>44709</v>
      </c>
      <c r="E464" s="7">
        <f t="shared" si="21"/>
        <v>2022</v>
      </c>
      <c r="F464" s="28" t="str">
        <f t="shared" si="22"/>
        <v>May</v>
      </c>
      <c r="G464" s="17" t="s">
        <v>22</v>
      </c>
      <c r="H464" s="17" t="s">
        <v>15</v>
      </c>
      <c r="I464" s="24">
        <v>3269.1887999999999</v>
      </c>
      <c r="J464" s="32">
        <v>2</v>
      </c>
      <c r="K464" s="17" t="s">
        <v>26</v>
      </c>
      <c r="L464" s="24">
        <v>338.01</v>
      </c>
      <c r="M464" s="24">
        <v>2270.27</v>
      </c>
      <c r="N464" s="34">
        <f>((sales_data_1[[#This Row],[Unit_Price]]*(1-sales_data_1[[#This Row],[Discount]]))-sales_data_1[[#This Row],[Unit_Cost]])*sales_data_1[[#This Row],[Quantity_Sold]]</f>
        <v>2593.1687999999999</v>
      </c>
      <c r="O464" s="17" t="s">
        <v>27</v>
      </c>
      <c r="P464" s="26">
        <v>0.28000000000000003</v>
      </c>
      <c r="Q464" s="17" t="s">
        <v>28</v>
      </c>
      <c r="R464" s="17" t="s">
        <v>19</v>
      </c>
      <c r="S464" s="49" t="str">
        <f t="shared" si="23"/>
        <v>David-North</v>
      </c>
      <c r="T464" s="59" t="str">
        <f>IF(ROUND(sales_data_1[[#This Row],[Profit_Margin]],2)=ROUND((sales_data_1[[#This Row],[Unit_Price]]*(1-sales_data_1[[#This Row],[Discount]]) - sales_data_1[[#This Row],[Unit_Cost]])*sales_data_1[[#This Row],[Quantity_Sold]],2), "PASS", "CHECK")</f>
        <v>PASS</v>
      </c>
    </row>
    <row r="465" spans="1:20" x14ac:dyDescent="0.35">
      <c r="A465" s="7">
        <v>464</v>
      </c>
      <c r="B465" s="9">
        <v>1007</v>
      </c>
      <c r="C465" s="7" t="str">
        <f>IFERROR(_xlfn.TEXTJOIN("-", TRUE, _xlfn.XLOOKUP(K465, product_category_id_lookup!$A$2:$A$5, product_category_id_lookup!$B$2:$B$5), B465), "Unknown Category")</f>
        <v>etc-1007</v>
      </c>
      <c r="D465" s="8">
        <v>44709</v>
      </c>
      <c r="E465" s="7">
        <f t="shared" si="21"/>
        <v>2022</v>
      </c>
      <c r="F465" s="28" t="str">
        <f t="shared" si="22"/>
        <v>May</v>
      </c>
      <c r="G465" s="17" t="s">
        <v>14</v>
      </c>
      <c r="H465" s="17" t="s">
        <v>30</v>
      </c>
      <c r="I465" s="24">
        <v>81735.149999999994</v>
      </c>
      <c r="J465" s="32">
        <v>34</v>
      </c>
      <c r="K465" s="17" t="s">
        <v>31</v>
      </c>
      <c r="L465" s="24">
        <v>1543.39</v>
      </c>
      <c r="M465" s="24">
        <v>2530.5</v>
      </c>
      <c r="N465" s="34">
        <f>((sales_data_1[[#This Row],[Unit_Price]]*(1-sales_data_1[[#This Row],[Discount]]))-sales_data_1[[#This Row],[Unit_Cost]])*sales_data_1[[#This Row],[Quantity_Sold]]</f>
        <v>29259.889999999992</v>
      </c>
      <c r="O465" s="17" t="s">
        <v>17</v>
      </c>
      <c r="P465" s="26">
        <v>0.05</v>
      </c>
      <c r="Q465" s="17" t="s">
        <v>18</v>
      </c>
      <c r="R465" s="17" t="s">
        <v>21</v>
      </c>
      <c r="S465" s="49" t="str">
        <f t="shared" si="23"/>
        <v>Bob-East</v>
      </c>
      <c r="T465" s="59" t="str">
        <f>IF(ROUND(sales_data_1[[#This Row],[Profit_Margin]],2)=ROUND((sales_data_1[[#This Row],[Unit_Price]]*(1-sales_data_1[[#This Row],[Discount]]) - sales_data_1[[#This Row],[Unit_Cost]])*sales_data_1[[#This Row],[Quantity_Sold]],2), "PASS", "CHECK")</f>
        <v>PASS</v>
      </c>
    </row>
    <row r="466" spans="1:20" x14ac:dyDescent="0.35">
      <c r="A466" s="7">
        <v>465</v>
      </c>
      <c r="B466" s="9">
        <v>1037</v>
      </c>
      <c r="C466" s="7" t="str">
        <f>IFERROR(_xlfn.TEXTJOIN("-", TRUE, _xlfn.XLOOKUP(K466, product_category_id_lookup!$A$2:$A$5, product_category_id_lookup!$B$2:$B$5), B466), "Unknown Category")</f>
        <v>fnt-1037</v>
      </c>
      <c r="D466" s="8">
        <v>44710</v>
      </c>
      <c r="E466" s="7">
        <f t="shared" si="21"/>
        <v>2022</v>
      </c>
      <c r="F466" s="28" t="str">
        <f t="shared" si="22"/>
        <v>May</v>
      </c>
      <c r="G466" s="17" t="s">
        <v>33</v>
      </c>
      <c r="H466" s="17" t="s">
        <v>20</v>
      </c>
      <c r="I466" s="24">
        <v>88011.226302064737</v>
      </c>
      <c r="J466" s="32">
        <v>36</v>
      </c>
      <c r="K466" s="17" t="s">
        <v>16</v>
      </c>
      <c r="L466" s="24">
        <v>2346.16</v>
      </c>
      <c r="M466" s="24">
        <v>2486.9699999999998</v>
      </c>
      <c r="N466" s="34">
        <f>((sales_data_1[[#This Row],[Unit_Price]]*(1-sales_data_1[[#This Row],[Discount]]))-sales_data_1[[#This Row],[Unit_Cost]])*sales_data_1[[#This Row],[Quantity_Sold]]</f>
        <v>3278.5416000000005</v>
      </c>
      <c r="O466" s="17" t="s">
        <v>27</v>
      </c>
      <c r="P466" s="26">
        <v>0.02</v>
      </c>
      <c r="Q466" s="17" t="s">
        <v>18</v>
      </c>
      <c r="R466" s="17" t="s">
        <v>19</v>
      </c>
      <c r="S466" s="49" t="str">
        <f t="shared" si="23"/>
        <v>Alice-West</v>
      </c>
      <c r="T466" s="59" t="str">
        <f>IF(ROUND(sales_data_1[[#This Row],[Profit_Margin]],2)=ROUND((sales_data_1[[#This Row],[Unit_Price]]*(1-sales_data_1[[#This Row],[Discount]]) - sales_data_1[[#This Row],[Unit_Cost]])*sales_data_1[[#This Row],[Quantity_Sold]],2), "PASS", "CHECK")</f>
        <v>PASS</v>
      </c>
    </row>
    <row r="467" spans="1:20" x14ac:dyDescent="0.35">
      <c r="A467" s="7">
        <v>466</v>
      </c>
      <c r="B467" s="9">
        <v>1021</v>
      </c>
      <c r="C467" s="7" t="str">
        <f>IFERROR(_xlfn.TEXTJOIN("-", TRUE, _xlfn.XLOOKUP(K467, product_category_id_lookup!$A$2:$A$5, product_category_id_lookup!$B$2:$B$5), B467), "Unknown Category")</f>
        <v>fnt-1021</v>
      </c>
      <c r="D467" s="8">
        <v>44710</v>
      </c>
      <c r="E467" s="7">
        <f t="shared" si="21"/>
        <v>2022</v>
      </c>
      <c r="F467" s="28" t="str">
        <f t="shared" si="22"/>
        <v>May</v>
      </c>
      <c r="G467" s="17" t="s">
        <v>29</v>
      </c>
      <c r="H467" s="17" t="s">
        <v>20</v>
      </c>
      <c r="I467" s="24">
        <v>78554.592000000004</v>
      </c>
      <c r="J467" s="32">
        <v>30</v>
      </c>
      <c r="K467" s="17" t="s">
        <v>16</v>
      </c>
      <c r="L467" s="24">
        <v>1074.6500000000001</v>
      </c>
      <c r="M467" s="24">
        <v>2727.59</v>
      </c>
      <c r="N467" s="34">
        <f>((sales_data_1[[#This Row],[Unit_Price]]*(1-sales_data_1[[#This Row],[Discount]]))-sales_data_1[[#This Row],[Unit_Cost]])*sales_data_1[[#This Row],[Quantity_Sold]]</f>
        <v>46315.092000000004</v>
      </c>
      <c r="O467" s="17" t="s">
        <v>27</v>
      </c>
      <c r="P467" s="26">
        <v>0.04</v>
      </c>
      <c r="Q467" s="17" t="s">
        <v>28</v>
      </c>
      <c r="R467" s="17" t="s">
        <v>21</v>
      </c>
      <c r="S467" s="49" t="str">
        <f t="shared" si="23"/>
        <v>Charlie-West</v>
      </c>
      <c r="T467" s="59" t="str">
        <f>IF(ROUND(sales_data_1[[#This Row],[Profit_Margin]],2)=ROUND((sales_data_1[[#This Row],[Unit_Price]]*(1-sales_data_1[[#This Row],[Discount]]) - sales_data_1[[#This Row],[Unit_Cost]])*sales_data_1[[#This Row],[Quantity_Sold]],2), "PASS", "CHECK")</f>
        <v>PASS</v>
      </c>
    </row>
    <row r="468" spans="1:20" x14ac:dyDescent="0.35">
      <c r="A468" s="7">
        <v>467</v>
      </c>
      <c r="B468" s="9">
        <v>1045</v>
      </c>
      <c r="C468" s="7" t="str">
        <f>IFERROR(_xlfn.TEXTJOIN("-", TRUE, _xlfn.XLOOKUP(K468, product_category_id_lookup!$A$2:$A$5, product_category_id_lookup!$B$2:$B$5), B468), "Unknown Category")</f>
        <v>fnt-1045</v>
      </c>
      <c r="D468" s="8">
        <v>44710</v>
      </c>
      <c r="E468" s="7">
        <f t="shared" si="21"/>
        <v>2022</v>
      </c>
      <c r="F468" s="28" t="str">
        <f t="shared" si="22"/>
        <v>May</v>
      </c>
      <c r="G468" s="17" t="s">
        <v>14</v>
      </c>
      <c r="H468" s="17" t="s">
        <v>23</v>
      </c>
      <c r="I468" s="24">
        <v>159345.19620000001</v>
      </c>
      <c r="J468" s="32">
        <v>41</v>
      </c>
      <c r="K468" s="17" t="s">
        <v>16</v>
      </c>
      <c r="L468" s="24">
        <v>1951.39</v>
      </c>
      <c r="M468" s="24">
        <v>4919.58</v>
      </c>
      <c r="N468" s="34">
        <f>((sales_data_1[[#This Row],[Unit_Price]]*(1-sales_data_1[[#This Row],[Discount]]))-sales_data_1[[#This Row],[Unit_Cost]])*sales_data_1[[#This Row],[Quantity_Sold]]</f>
        <v>79338.206200000001</v>
      </c>
      <c r="O468" s="17" t="s">
        <v>17</v>
      </c>
      <c r="P468" s="26">
        <v>0.21</v>
      </c>
      <c r="Q468" s="17" t="s">
        <v>28</v>
      </c>
      <c r="R468" s="17" t="s">
        <v>21</v>
      </c>
      <c r="S468" s="49" t="str">
        <f t="shared" si="23"/>
        <v>Bob-South</v>
      </c>
      <c r="T468" s="59" t="str">
        <f>IF(ROUND(sales_data_1[[#This Row],[Profit_Margin]],2)=ROUND((sales_data_1[[#This Row],[Unit_Price]]*(1-sales_data_1[[#This Row],[Discount]]) - sales_data_1[[#This Row],[Unit_Cost]])*sales_data_1[[#This Row],[Quantity_Sold]],2), "PASS", "CHECK")</f>
        <v>PASS</v>
      </c>
    </row>
    <row r="469" spans="1:20" x14ac:dyDescent="0.35">
      <c r="A469" s="7">
        <v>468</v>
      </c>
      <c r="B469" s="9">
        <v>1071</v>
      </c>
      <c r="C469" s="7" t="str">
        <f>IFERROR(_xlfn.TEXTJOIN("-", TRUE, _xlfn.XLOOKUP(K469, product_category_id_lookup!$A$2:$A$5, product_category_id_lookup!$B$2:$B$5), B469), "Unknown Category")</f>
        <v>fd-1071</v>
      </c>
      <c r="D469" s="8">
        <v>44711</v>
      </c>
      <c r="E469" s="7">
        <f t="shared" si="21"/>
        <v>2022</v>
      </c>
      <c r="F469" s="28" t="str">
        <f t="shared" si="22"/>
        <v>May</v>
      </c>
      <c r="G469" s="17" t="s">
        <v>33</v>
      </c>
      <c r="H469" s="17" t="s">
        <v>30</v>
      </c>
      <c r="I469" s="24">
        <v>130900.5</v>
      </c>
      <c r="J469" s="32">
        <v>45</v>
      </c>
      <c r="K469" s="17" t="s">
        <v>24</v>
      </c>
      <c r="L469" s="24">
        <v>2907.09</v>
      </c>
      <c r="M469" s="24">
        <v>2908.9</v>
      </c>
      <c r="N469" s="34">
        <f>((sales_data_1[[#This Row],[Unit_Price]]*(1-sales_data_1[[#This Row],[Discount]]))-sales_data_1[[#This Row],[Unit_Cost]])*sales_data_1[[#This Row],[Quantity_Sold]]</f>
        <v>81.449999999997544</v>
      </c>
      <c r="O469" s="17" t="s">
        <v>17</v>
      </c>
      <c r="P469" s="26">
        <v>0</v>
      </c>
      <c r="Q469" s="17" t="s">
        <v>18</v>
      </c>
      <c r="R469" s="17" t="s">
        <v>19</v>
      </c>
      <c r="S469" s="49" t="str">
        <f t="shared" si="23"/>
        <v>Alice-East</v>
      </c>
      <c r="T469" s="59" t="str">
        <f>IF(ROUND(sales_data_1[[#This Row],[Profit_Margin]],2)=ROUND((sales_data_1[[#This Row],[Unit_Price]]*(1-sales_data_1[[#This Row],[Discount]]) - sales_data_1[[#This Row],[Unit_Cost]])*sales_data_1[[#This Row],[Quantity_Sold]],2), "PASS", "CHECK")</f>
        <v>PASS</v>
      </c>
    </row>
    <row r="470" spans="1:20" x14ac:dyDescent="0.35">
      <c r="A470" s="7">
        <v>469</v>
      </c>
      <c r="B470" s="9">
        <v>1040</v>
      </c>
      <c r="C470" s="7" t="str">
        <f>IFERROR(_xlfn.TEXTJOIN("-", TRUE, _xlfn.XLOOKUP(K470, product_category_id_lookup!$A$2:$A$5, product_category_id_lookup!$B$2:$B$5), B470), "Unknown Category")</f>
        <v>ctg-1040</v>
      </c>
      <c r="D470" s="8">
        <v>44711</v>
      </c>
      <c r="E470" s="7">
        <f t="shared" si="21"/>
        <v>2022</v>
      </c>
      <c r="F470" s="28" t="str">
        <f t="shared" si="22"/>
        <v>May</v>
      </c>
      <c r="G470" s="17" t="s">
        <v>33</v>
      </c>
      <c r="H470" s="17" t="s">
        <v>20</v>
      </c>
      <c r="I470" s="24">
        <v>28941.958400000003</v>
      </c>
      <c r="J470" s="32">
        <v>32</v>
      </c>
      <c r="K470" s="17" t="s">
        <v>26</v>
      </c>
      <c r="L470" s="24">
        <v>501.04</v>
      </c>
      <c r="M470" s="24">
        <v>1051.67</v>
      </c>
      <c r="N470" s="34">
        <f>((sales_data_1[[#This Row],[Unit_Price]]*(1-sales_data_1[[#This Row],[Discount]]))-sales_data_1[[#This Row],[Unit_Cost]])*sales_data_1[[#This Row],[Quantity_Sold]]</f>
        <v>12908.678400000003</v>
      </c>
      <c r="O470" s="17" t="s">
        <v>27</v>
      </c>
      <c r="P470" s="26">
        <v>0.14000000000000001</v>
      </c>
      <c r="Q470" s="17" t="s">
        <v>28</v>
      </c>
      <c r="R470" s="17" t="s">
        <v>21</v>
      </c>
      <c r="S470" s="49" t="str">
        <f t="shared" si="23"/>
        <v>Alice-West</v>
      </c>
      <c r="T470" s="59" t="str">
        <f>IF(ROUND(sales_data_1[[#This Row],[Profit_Margin]],2)=ROUND((sales_data_1[[#This Row],[Unit_Price]]*(1-sales_data_1[[#This Row],[Discount]]) - sales_data_1[[#This Row],[Unit_Cost]])*sales_data_1[[#This Row],[Quantity_Sold]],2), "PASS", "CHECK")</f>
        <v>PASS</v>
      </c>
    </row>
    <row r="471" spans="1:20" x14ac:dyDescent="0.35">
      <c r="A471" s="7">
        <v>470</v>
      </c>
      <c r="B471" s="9">
        <v>1081</v>
      </c>
      <c r="C471" s="7" t="str">
        <f>IFERROR(_xlfn.TEXTJOIN("-", TRUE, _xlfn.XLOOKUP(K471, product_category_id_lookup!$A$2:$A$5, product_category_id_lookup!$B$2:$B$5), B471), "Unknown Category")</f>
        <v>fd-1081</v>
      </c>
      <c r="D471" s="8">
        <v>44711</v>
      </c>
      <c r="E471" s="7">
        <f t="shared" si="21"/>
        <v>2022</v>
      </c>
      <c r="F471" s="28" t="str">
        <f t="shared" si="22"/>
        <v>May</v>
      </c>
      <c r="G471" s="17" t="s">
        <v>22</v>
      </c>
      <c r="H471" s="17" t="s">
        <v>23</v>
      </c>
      <c r="I471" s="24">
        <v>102574.9224</v>
      </c>
      <c r="J471" s="32">
        <v>27</v>
      </c>
      <c r="K471" s="17" t="s">
        <v>24</v>
      </c>
      <c r="L471" s="24">
        <v>2767.24</v>
      </c>
      <c r="M471" s="24">
        <v>5133.88</v>
      </c>
      <c r="N471" s="34">
        <f>((sales_data_1[[#This Row],[Unit_Price]]*(1-sales_data_1[[#This Row],[Discount]]))-sales_data_1[[#This Row],[Unit_Cost]])*sales_data_1[[#This Row],[Quantity_Sold]]</f>
        <v>27859.442400000004</v>
      </c>
      <c r="O471" s="17" t="s">
        <v>27</v>
      </c>
      <c r="P471" s="26">
        <v>0.26</v>
      </c>
      <c r="Q471" s="17" t="s">
        <v>18</v>
      </c>
      <c r="R471" s="17" t="s">
        <v>21</v>
      </c>
      <c r="S471" s="49" t="str">
        <f t="shared" si="23"/>
        <v>David-South</v>
      </c>
      <c r="T471" s="59" t="str">
        <f>IF(ROUND(sales_data_1[[#This Row],[Profit_Margin]],2)=ROUND((sales_data_1[[#This Row],[Unit_Price]]*(1-sales_data_1[[#This Row],[Discount]]) - sales_data_1[[#This Row],[Unit_Cost]])*sales_data_1[[#This Row],[Quantity_Sold]],2), "PASS", "CHECK")</f>
        <v>PASS</v>
      </c>
    </row>
    <row r="472" spans="1:20" x14ac:dyDescent="0.35">
      <c r="A472" s="7">
        <v>471</v>
      </c>
      <c r="B472" s="9">
        <v>1043</v>
      </c>
      <c r="C472" s="7" t="str">
        <f>IFERROR(_xlfn.TEXTJOIN("-", TRUE, _xlfn.XLOOKUP(K472, product_category_id_lookup!$A$2:$A$5, product_category_id_lookup!$B$2:$B$5), B472), "Unknown Category")</f>
        <v>etc-1043</v>
      </c>
      <c r="D472" s="8">
        <v>44711</v>
      </c>
      <c r="E472" s="7">
        <f t="shared" si="21"/>
        <v>2022</v>
      </c>
      <c r="F472" s="28" t="str">
        <f t="shared" si="22"/>
        <v>May</v>
      </c>
      <c r="G472" s="17" t="s">
        <v>22</v>
      </c>
      <c r="H472" s="17" t="s">
        <v>23</v>
      </c>
      <c r="I472" s="24">
        <v>151661.07999999999</v>
      </c>
      <c r="J472" s="32">
        <v>46</v>
      </c>
      <c r="K472" s="17" t="s">
        <v>31</v>
      </c>
      <c r="L472" s="24">
        <v>2328.21</v>
      </c>
      <c r="M472" s="24">
        <v>3878.8</v>
      </c>
      <c r="N472" s="34">
        <f>((sales_data_1[[#This Row],[Unit_Price]]*(1-sales_data_1[[#This Row],[Discount]]))-sales_data_1[[#This Row],[Unit_Cost]])*sales_data_1[[#This Row],[Quantity_Sold]]</f>
        <v>44563.42</v>
      </c>
      <c r="O472" s="17" t="s">
        <v>27</v>
      </c>
      <c r="P472" s="26">
        <v>0.15</v>
      </c>
      <c r="Q472" s="17" t="s">
        <v>18</v>
      </c>
      <c r="R472" s="17" t="s">
        <v>21</v>
      </c>
      <c r="S472" s="49" t="str">
        <f t="shared" si="23"/>
        <v>David-South</v>
      </c>
      <c r="T472" s="59" t="str">
        <f>IF(ROUND(sales_data_1[[#This Row],[Profit_Margin]],2)=ROUND((sales_data_1[[#This Row],[Unit_Price]]*(1-sales_data_1[[#This Row],[Discount]]) - sales_data_1[[#This Row],[Unit_Cost]])*sales_data_1[[#This Row],[Quantity_Sold]],2), "PASS", "CHECK")</f>
        <v>PASS</v>
      </c>
    </row>
    <row r="473" spans="1:20" x14ac:dyDescent="0.35">
      <c r="A473" s="7">
        <v>472</v>
      </c>
      <c r="B473" s="9">
        <v>1043</v>
      </c>
      <c r="C473" s="7" t="str">
        <f>IFERROR(_xlfn.TEXTJOIN("-", TRUE, _xlfn.XLOOKUP(K473, product_category_id_lookup!$A$2:$A$5, product_category_id_lookup!$B$2:$B$5), B473), "Unknown Category")</f>
        <v>fd-1043</v>
      </c>
      <c r="D473" s="8">
        <v>44711</v>
      </c>
      <c r="E473" s="7">
        <f t="shared" si="21"/>
        <v>2022</v>
      </c>
      <c r="F473" s="28" t="str">
        <f t="shared" si="22"/>
        <v>May</v>
      </c>
      <c r="G473" s="17" t="s">
        <v>22</v>
      </c>
      <c r="H473" s="17" t="s">
        <v>20</v>
      </c>
      <c r="I473" s="24">
        <v>115823.4</v>
      </c>
      <c r="J473" s="32">
        <v>42</v>
      </c>
      <c r="K473" s="17" t="s">
        <v>24</v>
      </c>
      <c r="L473" s="24">
        <v>425.04</v>
      </c>
      <c r="M473" s="24">
        <v>3133.75</v>
      </c>
      <c r="N473" s="34">
        <f>((sales_data_1[[#This Row],[Unit_Price]]*(1-sales_data_1[[#This Row],[Discount]]))-sales_data_1[[#This Row],[Unit_Cost]])*sales_data_1[[#This Row],[Quantity_Sold]]</f>
        <v>97971.72</v>
      </c>
      <c r="O473" s="17" t="s">
        <v>27</v>
      </c>
      <c r="P473" s="26">
        <v>0.12</v>
      </c>
      <c r="Q473" s="17" t="s">
        <v>18</v>
      </c>
      <c r="R473" s="17" t="s">
        <v>19</v>
      </c>
      <c r="S473" s="49" t="str">
        <f t="shared" si="23"/>
        <v>David-West</v>
      </c>
      <c r="T473" s="59" t="str">
        <f>IF(ROUND(sales_data_1[[#This Row],[Profit_Margin]],2)=ROUND((sales_data_1[[#This Row],[Unit_Price]]*(1-sales_data_1[[#This Row],[Discount]]) - sales_data_1[[#This Row],[Unit_Cost]])*sales_data_1[[#This Row],[Quantity_Sold]],2), "PASS", "CHECK")</f>
        <v>PASS</v>
      </c>
    </row>
    <row r="474" spans="1:20" x14ac:dyDescent="0.35">
      <c r="A474" s="7">
        <v>473</v>
      </c>
      <c r="B474" s="9">
        <v>1034</v>
      </c>
      <c r="C474" s="7" t="str">
        <f>IFERROR(_xlfn.TEXTJOIN("-", TRUE, _xlfn.XLOOKUP(K474, product_category_id_lookup!$A$2:$A$5, product_category_id_lookup!$B$2:$B$5), B474), "Unknown Category")</f>
        <v>ctg-1034</v>
      </c>
      <c r="D474" s="8">
        <v>44712</v>
      </c>
      <c r="E474" s="7">
        <f t="shared" si="21"/>
        <v>2022</v>
      </c>
      <c r="F474" s="28" t="str">
        <f t="shared" si="22"/>
        <v>May</v>
      </c>
      <c r="G474" s="17" t="s">
        <v>14</v>
      </c>
      <c r="H474" s="17" t="s">
        <v>23</v>
      </c>
      <c r="I474" s="24">
        <v>11674.911899999999</v>
      </c>
      <c r="J474" s="32">
        <v>3</v>
      </c>
      <c r="K474" s="17" t="s">
        <v>26</v>
      </c>
      <c r="L474" s="24">
        <v>2679.91</v>
      </c>
      <c r="M474" s="24">
        <v>5331.01</v>
      </c>
      <c r="N474" s="34">
        <f>((sales_data_1[[#This Row],[Unit_Price]]*(1-sales_data_1[[#This Row],[Discount]]))-sales_data_1[[#This Row],[Unit_Cost]])*sales_data_1[[#This Row],[Quantity_Sold]]</f>
        <v>3635.1819</v>
      </c>
      <c r="O474" s="17" t="s">
        <v>17</v>
      </c>
      <c r="P474" s="26">
        <v>0.27</v>
      </c>
      <c r="Q474" s="17" t="s">
        <v>28</v>
      </c>
      <c r="R474" s="17" t="s">
        <v>21</v>
      </c>
      <c r="S474" s="49" t="str">
        <f t="shared" si="23"/>
        <v>Bob-South</v>
      </c>
      <c r="T474" s="59" t="str">
        <f>IF(ROUND(sales_data_1[[#This Row],[Profit_Margin]],2)=ROUND((sales_data_1[[#This Row],[Unit_Price]]*(1-sales_data_1[[#This Row],[Discount]]) - sales_data_1[[#This Row],[Unit_Cost]])*sales_data_1[[#This Row],[Quantity_Sold]],2), "PASS", "CHECK")</f>
        <v>PASS</v>
      </c>
    </row>
    <row r="475" spans="1:20" x14ac:dyDescent="0.35">
      <c r="A475" s="7">
        <v>474</v>
      </c>
      <c r="B475" s="9">
        <v>1069</v>
      </c>
      <c r="C475" s="7" t="str">
        <f>IFERROR(_xlfn.TEXTJOIN("-", TRUE, _xlfn.XLOOKUP(K475, product_category_id_lookup!$A$2:$A$5, product_category_id_lookup!$B$2:$B$5), B475), "Unknown Category")</f>
        <v>ctg-1069</v>
      </c>
      <c r="D475" s="8">
        <v>44712</v>
      </c>
      <c r="E475" s="7">
        <f t="shared" si="21"/>
        <v>2022</v>
      </c>
      <c r="F475" s="28" t="str">
        <f t="shared" si="22"/>
        <v>May</v>
      </c>
      <c r="G475" s="17" t="s">
        <v>32</v>
      </c>
      <c r="H475" s="17" t="s">
        <v>23</v>
      </c>
      <c r="I475" s="24">
        <v>97625.1</v>
      </c>
      <c r="J475" s="32">
        <v>30</v>
      </c>
      <c r="K475" s="17" t="s">
        <v>26</v>
      </c>
      <c r="L475" s="24">
        <v>2886.08</v>
      </c>
      <c r="M475" s="24">
        <v>3254.17</v>
      </c>
      <c r="N475" s="34">
        <f>((sales_data_1[[#This Row],[Unit_Price]]*(1-sales_data_1[[#This Row],[Discount]]))-sales_data_1[[#This Row],[Unit_Cost]])*sales_data_1[[#This Row],[Quantity_Sold]]</f>
        <v>11042.700000000004</v>
      </c>
      <c r="O475" s="17" t="s">
        <v>27</v>
      </c>
      <c r="P475" s="26">
        <v>0</v>
      </c>
      <c r="Q475" s="17" t="s">
        <v>28</v>
      </c>
      <c r="R475" s="17" t="s">
        <v>21</v>
      </c>
      <c r="S475" s="49" t="str">
        <f t="shared" si="23"/>
        <v>Eve-South</v>
      </c>
      <c r="T475" s="59" t="str">
        <f>IF(ROUND(sales_data_1[[#This Row],[Profit_Margin]],2)=ROUND((sales_data_1[[#This Row],[Unit_Price]]*(1-sales_data_1[[#This Row],[Discount]]) - sales_data_1[[#This Row],[Unit_Cost]])*sales_data_1[[#This Row],[Quantity_Sold]],2), "PASS", "CHECK")</f>
        <v>PASS</v>
      </c>
    </row>
    <row r="476" spans="1:20" x14ac:dyDescent="0.35">
      <c r="A476" s="7">
        <v>475</v>
      </c>
      <c r="B476" s="9">
        <v>1083</v>
      </c>
      <c r="C476" s="7" t="str">
        <f>IFERROR(_xlfn.TEXTJOIN("-", TRUE, _xlfn.XLOOKUP(K476, product_category_id_lookup!$A$2:$A$5, product_category_id_lookup!$B$2:$B$5), B476), "Unknown Category")</f>
        <v>fnt-1083</v>
      </c>
      <c r="D476" s="8">
        <v>44712</v>
      </c>
      <c r="E476" s="7">
        <f t="shared" si="21"/>
        <v>2022</v>
      </c>
      <c r="F476" s="28" t="str">
        <f t="shared" si="22"/>
        <v>May</v>
      </c>
      <c r="G476" s="17" t="s">
        <v>14</v>
      </c>
      <c r="H476" s="17" t="s">
        <v>15</v>
      </c>
      <c r="I476" s="24">
        <v>135231.13330790328</v>
      </c>
      <c r="J476" s="32">
        <v>29</v>
      </c>
      <c r="K476" s="17" t="s">
        <v>16</v>
      </c>
      <c r="L476" s="24">
        <v>4188.1899999999996</v>
      </c>
      <c r="M476" s="24">
        <v>4857.8500000000004</v>
      </c>
      <c r="N476" s="34">
        <f>((sales_data_1[[#This Row],[Unit_Price]]*(1-sales_data_1[[#This Row],[Discount]]))-sales_data_1[[#This Row],[Unit_Cost]])*sales_data_1[[#This Row],[Quantity_Sold]]</f>
        <v>13785.034000000014</v>
      </c>
      <c r="O476" s="17" t="s">
        <v>17</v>
      </c>
      <c r="P476" s="26">
        <v>0.04</v>
      </c>
      <c r="Q476" s="17" t="s">
        <v>28</v>
      </c>
      <c r="R476" s="17" t="s">
        <v>19</v>
      </c>
      <c r="S476" s="49" t="str">
        <f t="shared" si="23"/>
        <v>Bob-North</v>
      </c>
      <c r="T476" s="59" t="str">
        <f>IF(ROUND(sales_data_1[[#This Row],[Profit_Margin]],2)=ROUND((sales_data_1[[#This Row],[Unit_Price]]*(1-sales_data_1[[#This Row],[Discount]]) - sales_data_1[[#This Row],[Unit_Cost]])*sales_data_1[[#This Row],[Quantity_Sold]],2), "PASS", "CHECK")</f>
        <v>PASS</v>
      </c>
    </row>
    <row r="477" spans="1:20" x14ac:dyDescent="0.35">
      <c r="A477" s="7">
        <v>476</v>
      </c>
      <c r="B477" s="9">
        <v>1015</v>
      </c>
      <c r="C477" s="7" t="str">
        <f>IFERROR(_xlfn.TEXTJOIN("-", TRUE, _xlfn.XLOOKUP(K477, product_category_id_lookup!$A$2:$A$5, product_category_id_lookup!$B$2:$B$5), B477), "Unknown Category")</f>
        <v>etc-1015</v>
      </c>
      <c r="D477" s="8">
        <v>44712</v>
      </c>
      <c r="E477" s="7">
        <f t="shared" si="21"/>
        <v>2022</v>
      </c>
      <c r="F477" s="28" t="str">
        <f t="shared" si="22"/>
        <v>May</v>
      </c>
      <c r="G477" s="17" t="s">
        <v>29</v>
      </c>
      <c r="H477" s="17" t="s">
        <v>15</v>
      </c>
      <c r="I477" s="24">
        <v>19009.88</v>
      </c>
      <c r="J477" s="32">
        <v>4</v>
      </c>
      <c r="K477" s="17" t="s">
        <v>31</v>
      </c>
      <c r="L477" s="24">
        <v>870.2</v>
      </c>
      <c r="M477" s="24">
        <v>4752.47</v>
      </c>
      <c r="N477" s="34">
        <f>((sales_data_1[[#This Row],[Unit_Price]]*(1-sales_data_1[[#This Row],[Discount]]))-sales_data_1[[#This Row],[Unit_Cost]])*sales_data_1[[#This Row],[Quantity_Sold]]</f>
        <v>15529.080000000002</v>
      </c>
      <c r="O477" s="17" t="s">
        <v>27</v>
      </c>
      <c r="P477" s="26">
        <v>0</v>
      </c>
      <c r="Q477" s="17" t="s">
        <v>18</v>
      </c>
      <c r="R477" s="17" t="s">
        <v>21</v>
      </c>
      <c r="S477" s="49" t="str">
        <f t="shared" si="23"/>
        <v>Charlie-North</v>
      </c>
      <c r="T477" s="59" t="str">
        <f>IF(ROUND(sales_data_1[[#This Row],[Profit_Margin]],2)=ROUND((sales_data_1[[#This Row],[Unit_Price]]*(1-sales_data_1[[#This Row],[Discount]]) - sales_data_1[[#This Row],[Unit_Cost]])*sales_data_1[[#This Row],[Quantity_Sold]],2), "PASS", "CHECK")</f>
        <v>PASS</v>
      </c>
    </row>
    <row r="478" spans="1:20" x14ac:dyDescent="0.35">
      <c r="A478" s="7">
        <v>477</v>
      </c>
      <c r="B478" s="9">
        <v>1078</v>
      </c>
      <c r="C478" s="7" t="str">
        <f>IFERROR(_xlfn.TEXTJOIN("-", TRUE, _xlfn.XLOOKUP(K478, product_category_id_lookup!$A$2:$A$5, product_category_id_lookup!$B$2:$B$5), B478), "Unknown Category")</f>
        <v>etc-1078</v>
      </c>
      <c r="D478" s="8">
        <v>44712</v>
      </c>
      <c r="E478" s="7">
        <f t="shared" si="21"/>
        <v>2022</v>
      </c>
      <c r="F478" s="28" t="str">
        <f t="shared" si="22"/>
        <v>May</v>
      </c>
      <c r="G478" s="17" t="s">
        <v>29</v>
      </c>
      <c r="H478" s="17" t="s">
        <v>20</v>
      </c>
      <c r="I478" s="24">
        <v>79356.095399999991</v>
      </c>
      <c r="J478" s="32">
        <v>38</v>
      </c>
      <c r="K478" s="17" t="s">
        <v>31</v>
      </c>
      <c r="L478" s="24">
        <v>1549.1</v>
      </c>
      <c r="M478" s="24">
        <v>2860.71</v>
      </c>
      <c r="N478" s="34">
        <f>((sales_data_1[[#This Row],[Unit_Price]]*(1-sales_data_1[[#This Row],[Discount]]))-sales_data_1[[#This Row],[Unit_Cost]])*sales_data_1[[#This Row],[Quantity_Sold]]</f>
        <v>20490.295399999999</v>
      </c>
      <c r="O478" s="17" t="s">
        <v>27</v>
      </c>
      <c r="P478" s="26">
        <v>0.27</v>
      </c>
      <c r="Q478" s="17" t="s">
        <v>28</v>
      </c>
      <c r="R478" s="17" t="s">
        <v>21</v>
      </c>
      <c r="S478" s="49" t="str">
        <f t="shared" si="23"/>
        <v>Charlie-West</v>
      </c>
      <c r="T478" s="59" t="str">
        <f>IF(ROUND(sales_data_1[[#This Row],[Profit_Margin]],2)=ROUND((sales_data_1[[#This Row],[Unit_Price]]*(1-sales_data_1[[#This Row],[Discount]]) - sales_data_1[[#This Row],[Unit_Cost]])*sales_data_1[[#This Row],[Quantity_Sold]],2), "PASS", "CHECK")</f>
        <v>PASS</v>
      </c>
    </row>
    <row r="479" spans="1:20" x14ac:dyDescent="0.35">
      <c r="A479" s="7">
        <v>478</v>
      </c>
      <c r="B479" s="9">
        <v>1078</v>
      </c>
      <c r="C479" s="7" t="str">
        <f>IFERROR(_xlfn.TEXTJOIN("-", TRUE, _xlfn.XLOOKUP(K479, product_category_id_lookup!$A$2:$A$5, product_category_id_lookup!$B$2:$B$5), B479), "Unknown Category")</f>
        <v>etc-1078</v>
      </c>
      <c r="D479" s="8">
        <v>44712</v>
      </c>
      <c r="E479" s="7">
        <f t="shared" si="21"/>
        <v>2022</v>
      </c>
      <c r="F479" s="28" t="str">
        <f t="shared" si="22"/>
        <v>May</v>
      </c>
      <c r="G479" s="17" t="s">
        <v>32</v>
      </c>
      <c r="H479" s="17" t="s">
        <v>15</v>
      </c>
      <c r="I479" s="24">
        <v>57633.57</v>
      </c>
      <c r="J479" s="32">
        <v>17</v>
      </c>
      <c r="K479" s="17" t="s">
        <v>31</v>
      </c>
      <c r="L479" s="24">
        <v>2057.7800000000002</v>
      </c>
      <c r="M479" s="24">
        <v>3766.9</v>
      </c>
      <c r="N479" s="34">
        <f>((sales_data_1[[#This Row],[Unit_Price]]*(1-sales_data_1[[#This Row],[Discount]]))-sales_data_1[[#This Row],[Unit_Cost]])*sales_data_1[[#This Row],[Quantity_Sold]]</f>
        <v>22651.309999999998</v>
      </c>
      <c r="O479" s="17" t="s">
        <v>27</v>
      </c>
      <c r="P479" s="26">
        <v>0.1</v>
      </c>
      <c r="Q479" s="17" t="s">
        <v>25</v>
      </c>
      <c r="R479" s="17" t="s">
        <v>21</v>
      </c>
      <c r="S479" s="49" t="str">
        <f t="shared" si="23"/>
        <v>Eve-North</v>
      </c>
      <c r="T479" s="59" t="str">
        <f>IF(ROUND(sales_data_1[[#This Row],[Profit_Margin]],2)=ROUND((sales_data_1[[#This Row],[Unit_Price]]*(1-sales_data_1[[#This Row],[Discount]]) - sales_data_1[[#This Row],[Unit_Cost]])*sales_data_1[[#This Row],[Quantity_Sold]],2), "PASS", "CHECK")</f>
        <v>PASS</v>
      </c>
    </row>
    <row r="480" spans="1:20" x14ac:dyDescent="0.35">
      <c r="A480" s="7">
        <v>479</v>
      </c>
      <c r="B480" s="9">
        <v>1009</v>
      </c>
      <c r="C480" s="7" t="str">
        <f>IFERROR(_xlfn.TEXTJOIN("-", TRUE, _xlfn.XLOOKUP(K480, product_category_id_lookup!$A$2:$A$5, product_category_id_lookup!$B$2:$B$5), B480), "Unknown Category")</f>
        <v>fnt-1009</v>
      </c>
      <c r="D480" s="8">
        <v>44712</v>
      </c>
      <c r="E480" s="7">
        <f t="shared" si="21"/>
        <v>2022</v>
      </c>
      <c r="F480" s="28" t="str">
        <f t="shared" si="22"/>
        <v>May</v>
      </c>
      <c r="G480" s="17" t="s">
        <v>22</v>
      </c>
      <c r="H480" s="17" t="s">
        <v>15</v>
      </c>
      <c r="I480" s="24">
        <v>143399.40300000002</v>
      </c>
      <c r="J480" s="32">
        <v>38</v>
      </c>
      <c r="K480" s="17" t="s">
        <v>16</v>
      </c>
      <c r="L480" s="24">
        <v>2618.7600000000002</v>
      </c>
      <c r="M480" s="24">
        <v>4337.55</v>
      </c>
      <c r="N480" s="34">
        <f>((sales_data_1[[#This Row],[Unit_Price]]*(1-sales_data_1[[#This Row],[Discount]]))-sales_data_1[[#This Row],[Unit_Cost]])*sales_data_1[[#This Row],[Quantity_Sold]]</f>
        <v>43886.523000000001</v>
      </c>
      <c r="O480" s="17" t="s">
        <v>27</v>
      </c>
      <c r="P480" s="26">
        <v>0.13</v>
      </c>
      <c r="Q480" s="17" t="s">
        <v>18</v>
      </c>
      <c r="R480" s="17" t="s">
        <v>21</v>
      </c>
      <c r="S480" s="49" t="str">
        <f t="shared" si="23"/>
        <v>David-North</v>
      </c>
      <c r="T480" s="59" t="str">
        <f>IF(ROUND(sales_data_1[[#This Row],[Profit_Margin]],2)=ROUND((sales_data_1[[#This Row],[Unit_Price]]*(1-sales_data_1[[#This Row],[Discount]]) - sales_data_1[[#This Row],[Unit_Cost]])*sales_data_1[[#This Row],[Quantity_Sold]],2), "PASS", "CHECK")</f>
        <v>PASS</v>
      </c>
    </row>
    <row r="481" spans="1:20" x14ac:dyDescent="0.35">
      <c r="A481" s="7">
        <v>480</v>
      </c>
      <c r="B481" s="9">
        <v>1039</v>
      </c>
      <c r="C481" s="7" t="str">
        <f>IFERROR(_xlfn.TEXTJOIN("-", TRUE, _xlfn.XLOOKUP(K481, product_category_id_lookup!$A$2:$A$5, product_category_id_lookup!$B$2:$B$5), B481), "Unknown Category")</f>
        <v>ctg-1039</v>
      </c>
      <c r="D481" s="8">
        <v>44712</v>
      </c>
      <c r="E481" s="7">
        <f t="shared" si="21"/>
        <v>2022</v>
      </c>
      <c r="F481" s="28" t="str">
        <f t="shared" si="22"/>
        <v>May</v>
      </c>
      <c r="G481" s="17" t="s">
        <v>14</v>
      </c>
      <c r="H481" s="17" t="s">
        <v>15</v>
      </c>
      <c r="I481" s="24">
        <v>60685.055999999997</v>
      </c>
      <c r="J481" s="32">
        <v>36</v>
      </c>
      <c r="K481" s="17" t="s">
        <v>26</v>
      </c>
      <c r="L481" s="24">
        <v>254.95</v>
      </c>
      <c r="M481" s="24">
        <v>2107.12</v>
      </c>
      <c r="N481" s="34">
        <f>((sales_data_1[[#This Row],[Unit_Price]]*(1-sales_data_1[[#This Row],[Discount]]))-sales_data_1[[#This Row],[Unit_Cost]])*sales_data_1[[#This Row],[Quantity_Sold]]</f>
        <v>51506.855999999992</v>
      </c>
      <c r="O481" s="17" t="s">
        <v>27</v>
      </c>
      <c r="P481" s="26">
        <v>0.2</v>
      </c>
      <c r="Q481" s="17" t="s">
        <v>25</v>
      </c>
      <c r="R481" s="17" t="s">
        <v>21</v>
      </c>
      <c r="S481" s="49" t="str">
        <f t="shared" si="23"/>
        <v>Bob-North</v>
      </c>
      <c r="T481" s="59" t="str">
        <f>IF(ROUND(sales_data_1[[#This Row],[Profit_Margin]],2)=ROUND((sales_data_1[[#This Row],[Unit_Price]]*(1-sales_data_1[[#This Row],[Discount]]) - sales_data_1[[#This Row],[Unit_Cost]])*sales_data_1[[#This Row],[Quantity_Sold]],2), "PASS", "CHECK")</f>
        <v>PASS</v>
      </c>
    </row>
    <row r="482" spans="1:20" x14ac:dyDescent="0.35">
      <c r="A482" s="7">
        <v>481</v>
      </c>
      <c r="B482" s="9">
        <v>1077</v>
      </c>
      <c r="C482" s="7" t="str">
        <f>IFERROR(_xlfn.TEXTJOIN("-", TRUE, _xlfn.XLOOKUP(K482, product_category_id_lookup!$A$2:$A$5, product_category_id_lookup!$B$2:$B$5), B482), "Unknown Category")</f>
        <v>ctg-1077</v>
      </c>
      <c r="D482" s="8">
        <v>44713</v>
      </c>
      <c r="E482" s="7">
        <f t="shared" si="21"/>
        <v>2022</v>
      </c>
      <c r="F482" s="28" t="str">
        <f t="shared" si="22"/>
        <v>Jun</v>
      </c>
      <c r="G482" s="17" t="s">
        <v>32</v>
      </c>
      <c r="H482" s="17" t="s">
        <v>30</v>
      </c>
      <c r="I482" s="24">
        <v>103084.00199999998</v>
      </c>
      <c r="J482" s="32">
        <v>27</v>
      </c>
      <c r="K482" s="17" t="s">
        <v>26</v>
      </c>
      <c r="L482" s="24">
        <v>3787.84</v>
      </c>
      <c r="M482" s="24">
        <v>4545.1499999999996</v>
      </c>
      <c r="N482" s="34">
        <f>((sales_data_1[[#This Row],[Unit_Price]]*(1-sales_data_1[[#This Row],[Discount]]))-sales_data_1[[#This Row],[Unit_Cost]])*sales_data_1[[#This Row],[Quantity_Sold]]</f>
        <v>812.32199999998193</v>
      </c>
      <c r="O482" s="17" t="s">
        <v>17</v>
      </c>
      <c r="P482" s="26">
        <v>0.16</v>
      </c>
      <c r="Q482" s="17" t="s">
        <v>18</v>
      </c>
      <c r="R482" s="17" t="s">
        <v>21</v>
      </c>
      <c r="S482" s="49" t="str">
        <f t="shared" si="23"/>
        <v>Eve-East</v>
      </c>
      <c r="T482" s="59" t="str">
        <f>IF(ROUND(sales_data_1[[#This Row],[Profit_Margin]],2)=ROUND((sales_data_1[[#This Row],[Unit_Price]]*(1-sales_data_1[[#This Row],[Discount]]) - sales_data_1[[#This Row],[Unit_Cost]])*sales_data_1[[#This Row],[Quantity_Sold]],2), "PASS", "CHECK")</f>
        <v>PASS</v>
      </c>
    </row>
    <row r="483" spans="1:20" x14ac:dyDescent="0.35">
      <c r="A483" s="7">
        <v>482</v>
      </c>
      <c r="B483" s="9">
        <v>1021</v>
      </c>
      <c r="C483" s="7" t="str">
        <f>IFERROR(_xlfn.TEXTJOIN("-", TRUE, _xlfn.XLOOKUP(K483, product_category_id_lookup!$A$2:$A$5, product_category_id_lookup!$B$2:$B$5), B483), "Unknown Category")</f>
        <v>etc-1021</v>
      </c>
      <c r="D483" s="8">
        <v>44713</v>
      </c>
      <c r="E483" s="7">
        <f t="shared" si="21"/>
        <v>2022</v>
      </c>
      <c r="F483" s="28" t="str">
        <f t="shared" si="22"/>
        <v>Jun</v>
      </c>
      <c r="G483" s="17" t="s">
        <v>29</v>
      </c>
      <c r="H483" s="17" t="s">
        <v>23</v>
      </c>
      <c r="I483" s="24">
        <v>15205.056</v>
      </c>
      <c r="J483" s="32">
        <v>4</v>
      </c>
      <c r="K483" s="17" t="s">
        <v>31</v>
      </c>
      <c r="L483" s="24">
        <v>3169.5</v>
      </c>
      <c r="M483" s="24">
        <v>4751.58</v>
      </c>
      <c r="N483" s="34">
        <f>((sales_data_1[[#This Row],[Unit_Price]]*(1-sales_data_1[[#This Row],[Discount]]))-sales_data_1[[#This Row],[Unit_Cost]])*sales_data_1[[#This Row],[Quantity_Sold]]</f>
        <v>2527.0560000000005</v>
      </c>
      <c r="O483" s="17" t="s">
        <v>17</v>
      </c>
      <c r="P483" s="26">
        <v>0.2</v>
      </c>
      <c r="Q483" s="17" t="s">
        <v>18</v>
      </c>
      <c r="R483" s="17" t="s">
        <v>21</v>
      </c>
      <c r="S483" s="49" t="str">
        <f t="shared" si="23"/>
        <v>Charlie-South</v>
      </c>
      <c r="T483" s="59" t="str">
        <f>IF(ROUND(sales_data_1[[#This Row],[Profit_Margin]],2)=ROUND((sales_data_1[[#This Row],[Unit_Price]]*(1-sales_data_1[[#This Row],[Discount]]) - sales_data_1[[#This Row],[Unit_Cost]])*sales_data_1[[#This Row],[Quantity_Sold]],2), "PASS", "CHECK")</f>
        <v>PASS</v>
      </c>
    </row>
    <row r="484" spans="1:20" x14ac:dyDescent="0.35">
      <c r="A484" s="7">
        <v>483</v>
      </c>
      <c r="B484" s="9">
        <v>1025</v>
      </c>
      <c r="C484" s="7" t="str">
        <f>IFERROR(_xlfn.TEXTJOIN("-", TRUE, _xlfn.XLOOKUP(K484, product_category_id_lookup!$A$2:$A$5, product_category_id_lookup!$B$2:$B$5), B484), "Unknown Category")</f>
        <v>fnt-1025</v>
      </c>
      <c r="D484" s="8">
        <v>44713</v>
      </c>
      <c r="E484" s="7">
        <f t="shared" si="21"/>
        <v>2022</v>
      </c>
      <c r="F484" s="28" t="str">
        <f t="shared" si="22"/>
        <v>Jun</v>
      </c>
      <c r="G484" s="17" t="s">
        <v>29</v>
      </c>
      <c r="H484" s="17" t="s">
        <v>23</v>
      </c>
      <c r="I484" s="24">
        <v>6046.7174999999997</v>
      </c>
      <c r="J484" s="32">
        <v>5</v>
      </c>
      <c r="K484" s="17" t="s">
        <v>16</v>
      </c>
      <c r="L484" s="24">
        <v>106.44</v>
      </c>
      <c r="M484" s="24">
        <v>1390.05</v>
      </c>
      <c r="N484" s="34">
        <f>((sales_data_1[[#This Row],[Unit_Price]]*(1-sales_data_1[[#This Row],[Discount]]))-sales_data_1[[#This Row],[Unit_Cost]])*sales_data_1[[#This Row],[Quantity_Sold]]</f>
        <v>5514.5174999999999</v>
      </c>
      <c r="O484" s="17" t="s">
        <v>27</v>
      </c>
      <c r="P484" s="26">
        <v>0.13</v>
      </c>
      <c r="Q484" s="17" t="s">
        <v>28</v>
      </c>
      <c r="R484" s="17" t="s">
        <v>19</v>
      </c>
      <c r="S484" s="49" t="str">
        <f t="shared" si="23"/>
        <v>Charlie-South</v>
      </c>
      <c r="T484" s="59" t="str">
        <f>IF(ROUND(sales_data_1[[#This Row],[Profit_Margin]],2)=ROUND((sales_data_1[[#This Row],[Unit_Price]]*(1-sales_data_1[[#This Row],[Discount]]) - sales_data_1[[#This Row],[Unit_Cost]])*sales_data_1[[#This Row],[Quantity_Sold]],2), "PASS", "CHECK")</f>
        <v>PASS</v>
      </c>
    </row>
    <row r="485" spans="1:20" x14ac:dyDescent="0.35">
      <c r="A485" s="7">
        <v>484</v>
      </c>
      <c r="B485" s="9">
        <v>1088</v>
      </c>
      <c r="C485" s="7" t="str">
        <f>IFERROR(_xlfn.TEXTJOIN("-", TRUE, _xlfn.XLOOKUP(K485, product_category_id_lookup!$A$2:$A$5, product_category_id_lookup!$B$2:$B$5), B485), "Unknown Category")</f>
        <v>fnt-1088</v>
      </c>
      <c r="D485" s="8">
        <v>44713</v>
      </c>
      <c r="E485" s="7">
        <f t="shared" si="21"/>
        <v>2022</v>
      </c>
      <c r="F485" s="28" t="str">
        <f t="shared" si="22"/>
        <v>Jun</v>
      </c>
      <c r="G485" s="17" t="s">
        <v>22</v>
      </c>
      <c r="H485" s="17" t="s">
        <v>23</v>
      </c>
      <c r="I485" s="24">
        <v>43780.838399999993</v>
      </c>
      <c r="J485" s="32">
        <v>26</v>
      </c>
      <c r="K485" s="17" t="s">
        <v>16</v>
      </c>
      <c r="L485" s="24">
        <v>1115.1099999999999</v>
      </c>
      <c r="M485" s="24">
        <v>2338.7199999999998</v>
      </c>
      <c r="N485" s="34">
        <f>((sales_data_1[[#This Row],[Unit_Price]]*(1-sales_data_1[[#This Row],[Discount]]))-sales_data_1[[#This Row],[Unit_Cost]])*sales_data_1[[#This Row],[Quantity_Sold]]</f>
        <v>14787.978399999998</v>
      </c>
      <c r="O485" s="17" t="s">
        <v>27</v>
      </c>
      <c r="P485" s="26">
        <v>0.28000000000000003</v>
      </c>
      <c r="Q485" s="17" t="s">
        <v>18</v>
      </c>
      <c r="R485" s="17" t="s">
        <v>19</v>
      </c>
      <c r="S485" s="49" t="str">
        <f t="shared" si="23"/>
        <v>David-South</v>
      </c>
      <c r="T485" s="59" t="str">
        <f>IF(ROUND(sales_data_1[[#This Row],[Profit_Margin]],2)=ROUND((sales_data_1[[#This Row],[Unit_Price]]*(1-sales_data_1[[#This Row],[Discount]]) - sales_data_1[[#This Row],[Unit_Cost]])*sales_data_1[[#This Row],[Quantity_Sold]],2), "PASS", "CHECK")</f>
        <v>PASS</v>
      </c>
    </row>
    <row r="486" spans="1:20" x14ac:dyDescent="0.35">
      <c r="A486" s="7">
        <v>485</v>
      </c>
      <c r="B486" s="9">
        <v>1071</v>
      </c>
      <c r="C486" s="7" t="str">
        <f>IFERROR(_xlfn.TEXTJOIN("-", TRUE, _xlfn.XLOOKUP(K486, product_category_id_lookup!$A$2:$A$5, product_category_id_lookup!$B$2:$B$5), B486), "Unknown Category")</f>
        <v>ctg-1071</v>
      </c>
      <c r="D486" s="8">
        <v>44713</v>
      </c>
      <c r="E486" s="7">
        <f t="shared" si="21"/>
        <v>2022</v>
      </c>
      <c r="F486" s="28" t="str">
        <f t="shared" si="22"/>
        <v>Jun</v>
      </c>
      <c r="G486" s="17" t="s">
        <v>32</v>
      </c>
      <c r="H486" s="17" t="s">
        <v>30</v>
      </c>
      <c r="I486" s="24">
        <v>66186.271999999997</v>
      </c>
      <c r="J486" s="32">
        <v>32</v>
      </c>
      <c r="K486" s="17" t="s">
        <v>26</v>
      </c>
      <c r="L486" s="24">
        <v>323.37</v>
      </c>
      <c r="M486" s="24">
        <v>2177.1799999999998</v>
      </c>
      <c r="N486" s="34">
        <f>((sales_data_1[[#This Row],[Unit_Price]]*(1-sales_data_1[[#This Row],[Discount]]))-sales_data_1[[#This Row],[Unit_Cost]])*sales_data_1[[#This Row],[Quantity_Sold]]</f>
        <v>55838.432000000001</v>
      </c>
      <c r="O486" s="17" t="s">
        <v>27</v>
      </c>
      <c r="P486" s="26">
        <v>0.05</v>
      </c>
      <c r="Q486" s="17" t="s">
        <v>18</v>
      </c>
      <c r="R486" s="17" t="s">
        <v>19</v>
      </c>
      <c r="S486" s="49" t="str">
        <f t="shared" si="23"/>
        <v>Eve-East</v>
      </c>
      <c r="T486" s="59" t="str">
        <f>IF(ROUND(sales_data_1[[#This Row],[Profit_Margin]],2)=ROUND((sales_data_1[[#This Row],[Unit_Price]]*(1-sales_data_1[[#This Row],[Discount]]) - sales_data_1[[#This Row],[Unit_Cost]])*sales_data_1[[#This Row],[Quantity_Sold]],2), "PASS", "CHECK")</f>
        <v>PASS</v>
      </c>
    </row>
    <row r="487" spans="1:20" x14ac:dyDescent="0.35">
      <c r="A487" s="7">
        <v>486</v>
      </c>
      <c r="B487" s="9">
        <v>1056</v>
      </c>
      <c r="C487" s="7" t="str">
        <f>IFERROR(_xlfn.TEXTJOIN("-", TRUE, _xlfn.XLOOKUP(K487, product_category_id_lookup!$A$2:$A$5, product_category_id_lookup!$B$2:$B$5), B487), "Unknown Category")</f>
        <v>fnt-1056</v>
      </c>
      <c r="D487" s="8">
        <v>44714</v>
      </c>
      <c r="E487" s="7">
        <f t="shared" si="21"/>
        <v>2022</v>
      </c>
      <c r="F487" s="28" t="str">
        <f t="shared" si="22"/>
        <v>Jun</v>
      </c>
      <c r="G487" s="17" t="s">
        <v>22</v>
      </c>
      <c r="H487" s="17" t="s">
        <v>23</v>
      </c>
      <c r="I487" s="24">
        <v>144053.28245002413</v>
      </c>
      <c r="J487" s="32">
        <v>30</v>
      </c>
      <c r="K487" s="17" t="s">
        <v>16</v>
      </c>
      <c r="L487" s="24">
        <v>4509.8500000000004</v>
      </c>
      <c r="M487" s="24">
        <v>5006.25</v>
      </c>
      <c r="N487" s="34">
        <f>((sales_data_1[[#This Row],[Unit_Price]]*(1-sales_data_1[[#This Row],[Discount]]))-sales_data_1[[#This Row],[Unit_Cost]])*sales_data_1[[#This Row],[Quantity_Sold]]</f>
        <v>8884.4999999999891</v>
      </c>
      <c r="O487" s="17" t="s">
        <v>17</v>
      </c>
      <c r="P487" s="26">
        <v>0.04</v>
      </c>
      <c r="Q487" s="17" t="s">
        <v>28</v>
      </c>
      <c r="R487" s="17" t="s">
        <v>21</v>
      </c>
      <c r="S487" s="49" t="str">
        <f t="shared" si="23"/>
        <v>David-South</v>
      </c>
      <c r="T487" s="59" t="str">
        <f>IF(ROUND(sales_data_1[[#This Row],[Profit_Margin]],2)=ROUND((sales_data_1[[#This Row],[Unit_Price]]*(1-sales_data_1[[#This Row],[Discount]]) - sales_data_1[[#This Row],[Unit_Cost]])*sales_data_1[[#This Row],[Quantity_Sold]],2), "PASS", "CHECK")</f>
        <v>PASS</v>
      </c>
    </row>
    <row r="488" spans="1:20" x14ac:dyDescent="0.35">
      <c r="A488" s="7">
        <v>487</v>
      </c>
      <c r="B488" s="9">
        <v>1073</v>
      </c>
      <c r="C488" s="7" t="str">
        <f>IFERROR(_xlfn.TEXTJOIN("-", TRUE, _xlfn.XLOOKUP(K488, product_category_id_lookup!$A$2:$A$5, product_category_id_lookup!$B$2:$B$5), B488), "Unknown Category")</f>
        <v>fnt-1073</v>
      </c>
      <c r="D488" s="8">
        <v>44714</v>
      </c>
      <c r="E488" s="7">
        <f t="shared" si="21"/>
        <v>2022</v>
      </c>
      <c r="F488" s="28" t="str">
        <f t="shared" si="22"/>
        <v>Jun</v>
      </c>
      <c r="G488" s="17" t="s">
        <v>14</v>
      </c>
      <c r="H488" s="17" t="s">
        <v>15</v>
      </c>
      <c r="I488" s="24">
        <v>117823.572</v>
      </c>
      <c r="J488" s="32">
        <v>36</v>
      </c>
      <c r="K488" s="17" t="s">
        <v>16</v>
      </c>
      <c r="L488" s="24">
        <v>3022.98</v>
      </c>
      <c r="M488" s="24">
        <v>3374.1</v>
      </c>
      <c r="N488" s="34">
        <f>((sales_data_1[[#This Row],[Unit_Price]]*(1-sales_data_1[[#This Row],[Discount]]))-sales_data_1[[#This Row],[Unit_Cost]])*sales_data_1[[#This Row],[Quantity_Sold]]</f>
        <v>8996.2919999999976</v>
      </c>
      <c r="O488" s="17" t="s">
        <v>27</v>
      </c>
      <c r="P488" s="26">
        <v>0.03</v>
      </c>
      <c r="Q488" s="17" t="s">
        <v>28</v>
      </c>
      <c r="R488" s="17" t="s">
        <v>19</v>
      </c>
      <c r="S488" s="49" t="str">
        <f t="shared" si="23"/>
        <v>Bob-North</v>
      </c>
      <c r="T488" s="59" t="str">
        <f>IF(ROUND(sales_data_1[[#This Row],[Profit_Margin]],2)=ROUND((sales_data_1[[#This Row],[Unit_Price]]*(1-sales_data_1[[#This Row],[Discount]]) - sales_data_1[[#This Row],[Unit_Cost]])*sales_data_1[[#This Row],[Quantity_Sold]],2), "PASS", "CHECK")</f>
        <v>PASS</v>
      </c>
    </row>
    <row r="489" spans="1:20" x14ac:dyDescent="0.35">
      <c r="A489" s="7">
        <v>488</v>
      </c>
      <c r="B489" s="9">
        <v>1026</v>
      </c>
      <c r="C489" s="7" t="str">
        <f>IFERROR(_xlfn.TEXTJOIN("-", TRUE, _xlfn.XLOOKUP(K489, product_category_id_lookup!$A$2:$A$5, product_category_id_lookup!$B$2:$B$5), B489), "Unknown Category")</f>
        <v>ctg-1026</v>
      </c>
      <c r="D489" s="8">
        <v>44714</v>
      </c>
      <c r="E489" s="7">
        <f t="shared" si="21"/>
        <v>2022</v>
      </c>
      <c r="F489" s="28" t="str">
        <f t="shared" si="22"/>
        <v>Jun</v>
      </c>
      <c r="G489" s="17" t="s">
        <v>22</v>
      </c>
      <c r="H489" s="17" t="s">
        <v>15</v>
      </c>
      <c r="I489" s="24">
        <v>170314.2672</v>
      </c>
      <c r="J489" s="32">
        <v>42</v>
      </c>
      <c r="K489" s="17" t="s">
        <v>26</v>
      </c>
      <c r="L489" s="24">
        <v>3449.47</v>
      </c>
      <c r="M489" s="24">
        <v>5133.04</v>
      </c>
      <c r="N489" s="34">
        <f>((sales_data_1[[#This Row],[Unit_Price]]*(1-sales_data_1[[#This Row],[Discount]]))-sales_data_1[[#This Row],[Unit_Cost]])*sales_data_1[[#This Row],[Quantity_Sold]]</f>
        <v>25436.527200000008</v>
      </c>
      <c r="O489" s="17" t="s">
        <v>27</v>
      </c>
      <c r="P489" s="26">
        <v>0.21</v>
      </c>
      <c r="Q489" s="17" t="s">
        <v>25</v>
      </c>
      <c r="R489" s="17" t="s">
        <v>19</v>
      </c>
      <c r="S489" s="49" t="str">
        <f t="shared" si="23"/>
        <v>David-North</v>
      </c>
      <c r="T489" s="59" t="str">
        <f>IF(ROUND(sales_data_1[[#This Row],[Profit_Margin]],2)=ROUND((sales_data_1[[#This Row],[Unit_Price]]*(1-sales_data_1[[#This Row],[Discount]]) - sales_data_1[[#This Row],[Unit_Cost]])*sales_data_1[[#This Row],[Quantity_Sold]],2), "PASS", "CHECK")</f>
        <v>PASS</v>
      </c>
    </row>
    <row r="490" spans="1:20" x14ac:dyDescent="0.35">
      <c r="A490" s="7">
        <v>489</v>
      </c>
      <c r="B490" s="9">
        <v>1048</v>
      </c>
      <c r="C490" s="7" t="str">
        <f>IFERROR(_xlfn.TEXTJOIN("-", TRUE, _xlfn.XLOOKUP(K490, product_category_id_lookup!$A$2:$A$5, product_category_id_lookup!$B$2:$B$5), B490), "Unknown Category")</f>
        <v>fnt-1048</v>
      </c>
      <c r="D490" s="8">
        <v>44714</v>
      </c>
      <c r="E490" s="7">
        <f t="shared" si="21"/>
        <v>2022</v>
      </c>
      <c r="F490" s="28" t="str">
        <f t="shared" si="22"/>
        <v>Jun</v>
      </c>
      <c r="G490" s="17" t="s">
        <v>14</v>
      </c>
      <c r="H490" s="17" t="s">
        <v>20</v>
      </c>
      <c r="I490" s="24">
        <v>49818.053999999996</v>
      </c>
      <c r="J490" s="32">
        <v>11</v>
      </c>
      <c r="K490" s="17" t="s">
        <v>16</v>
      </c>
      <c r="L490" s="24">
        <v>1180.83</v>
      </c>
      <c r="M490" s="24">
        <v>4869.8</v>
      </c>
      <c r="N490" s="34">
        <f>((sales_data_1[[#This Row],[Unit_Price]]*(1-sales_data_1[[#This Row],[Discount]]))-sales_data_1[[#This Row],[Unit_Cost]])*sales_data_1[[#This Row],[Quantity_Sold]]</f>
        <v>36828.923999999999</v>
      </c>
      <c r="O490" s="17" t="s">
        <v>27</v>
      </c>
      <c r="P490" s="26">
        <v>7.0000000000000007E-2</v>
      </c>
      <c r="Q490" s="17" t="s">
        <v>25</v>
      </c>
      <c r="R490" s="17" t="s">
        <v>19</v>
      </c>
      <c r="S490" s="49" t="str">
        <f t="shared" si="23"/>
        <v>Bob-West</v>
      </c>
      <c r="T490" s="59" t="str">
        <f>IF(ROUND(sales_data_1[[#This Row],[Profit_Margin]],2)=ROUND((sales_data_1[[#This Row],[Unit_Price]]*(1-sales_data_1[[#This Row],[Discount]]) - sales_data_1[[#This Row],[Unit_Cost]])*sales_data_1[[#This Row],[Quantity_Sold]],2), "PASS", "CHECK")</f>
        <v>PASS</v>
      </c>
    </row>
    <row r="491" spans="1:20" x14ac:dyDescent="0.35">
      <c r="A491" s="7">
        <v>490</v>
      </c>
      <c r="B491" s="9">
        <v>1085</v>
      </c>
      <c r="C491" s="7" t="str">
        <f>IFERROR(_xlfn.TEXTJOIN("-", TRUE, _xlfn.XLOOKUP(K491, product_category_id_lookup!$A$2:$A$5, product_category_id_lookup!$B$2:$B$5), B491), "Unknown Category")</f>
        <v>fd-1085</v>
      </c>
      <c r="D491" s="8">
        <v>44714</v>
      </c>
      <c r="E491" s="7">
        <f t="shared" si="21"/>
        <v>2022</v>
      </c>
      <c r="F491" s="28" t="str">
        <f t="shared" si="22"/>
        <v>Jun</v>
      </c>
      <c r="G491" s="17" t="s">
        <v>32</v>
      </c>
      <c r="H491" s="17" t="s">
        <v>20</v>
      </c>
      <c r="I491" s="24">
        <v>70726.728000000003</v>
      </c>
      <c r="J491" s="32">
        <v>24</v>
      </c>
      <c r="K491" s="17" t="s">
        <v>24</v>
      </c>
      <c r="L491" s="24">
        <v>325.35000000000002</v>
      </c>
      <c r="M491" s="24">
        <v>3135.05</v>
      </c>
      <c r="N491" s="34">
        <f>((sales_data_1[[#This Row],[Unit_Price]]*(1-sales_data_1[[#This Row],[Discount]]))-sales_data_1[[#This Row],[Unit_Cost]])*sales_data_1[[#This Row],[Quantity_Sold]]</f>
        <v>62918.328000000009</v>
      </c>
      <c r="O491" s="17" t="s">
        <v>27</v>
      </c>
      <c r="P491" s="26">
        <v>0.06</v>
      </c>
      <c r="Q491" s="17" t="s">
        <v>25</v>
      </c>
      <c r="R491" s="17" t="s">
        <v>21</v>
      </c>
      <c r="S491" s="49" t="str">
        <f t="shared" si="23"/>
        <v>Eve-West</v>
      </c>
      <c r="T491" s="59" t="str">
        <f>IF(ROUND(sales_data_1[[#This Row],[Profit_Margin]],2)=ROUND((sales_data_1[[#This Row],[Unit_Price]]*(1-sales_data_1[[#This Row],[Discount]]) - sales_data_1[[#This Row],[Unit_Cost]])*sales_data_1[[#This Row],[Quantity_Sold]],2), "PASS", "CHECK")</f>
        <v>PASS</v>
      </c>
    </row>
    <row r="492" spans="1:20" x14ac:dyDescent="0.35">
      <c r="A492" s="7">
        <v>491</v>
      </c>
      <c r="B492" s="9">
        <v>1085</v>
      </c>
      <c r="C492" s="7" t="str">
        <f>IFERROR(_xlfn.TEXTJOIN("-", TRUE, _xlfn.XLOOKUP(K492, product_category_id_lookup!$A$2:$A$5, product_category_id_lookup!$B$2:$B$5), B492), "Unknown Category")</f>
        <v>ctg-1085</v>
      </c>
      <c r="D492" s="8">
        <v>44714</v>
      </c>
      <c r="E492" s="7">
        <f t="shared" si="21"/>
        <v>2022</v>
      </c>
      <c r="F492" s="28" t="str">
        <f t="shared" si="22"/>
        <v>Jun</v>
      </c>
      <c r="G492" s="17" t="s">
        <v>33</v>
      </c>
      <c r="H492" s="17" t="s">
        <v>20</v>
      </c>
      <c r="I492" s="24">
        <v>95151.857499999998</v>
      </c>
      <c r="J492" s="32">
        <v>35</v>
      </c>
      <c r="K492" s="17" t="s">
        <v>26</v>
      </c>
      <c r="L492" s="24">
        <v>495.98</v>
      </c>
      <c r="M492" s="24">
        <v>2861.71</v>
      </c>
      <c r="N492" s="34">
        <f>((sales_data_1[[#This Row],[Unit_Price]]*(1-sales_data_1[[#This Row],[Discount]]))-sales_data_1[[#This Row],[Unit_Cost]])*sales_data_1[[#This Row],[Quantity_Sold]]</f>
        <v>77792.557499999995</v>
      </c>
      <c r="O492" s="17" t="s">
        <v>27</v>
      </c>
      <c r="P492" s="26">
        <v>0.05</v>
      </c>
      <c r="Q492" s="17" t="s">
        <v>25</v>
      </c>
      <c r="R492" s="17" t="s">
        <v>19</v>
      </c>
      <c r="S492" s="49" t="str">
        <f t="shared" si="23"/>
        <v>Alice-West</v>
      </c>
      <c r="T492" s="59" t="str">
        <f>IF(ROUND(sales_data_1[[#This Row],[Profit_Margin]],2)=ROUND((sales_data_1[[#This Row],[Unit_Price]]*(1-sales_data_1[[#This Row],[Discount]]) - sales_data_1[[#This Row],[Unit_Cost]])*sales_data_1[[#This Row],[Quantity_Sold]],2), "PASS", "CHECK")</f>
        <v>PASS</v>
      </c>
    </row>
    <row r="493" spans="1:20" x14ac:dyDescent="0.35">
      <c r="A493" s="7">
        <v>492</v>
      </c>
      <c r="B493" s="9">
        <v>1011</v>
      </c>
      <c r="C493" s="7" t="str">
        <f>IFERROR(_xlfn.TEXTJOIN("-", TRUE, _xlfn.XLOOKUP(K493, product_category_id_lookup!$A$2:$A$5, product_category_id_lookup!$B$2:$B$5), B493), "Unknown Category")</f>
        <v>etc-1011</v>
      </c>
      <c r="D493" s="8">
        <v>44715</v>
      </c>
      <c r="E493" s="7">
        <f t="shared" si="21"/>
        <v>2022</v>
      </c>
      <c r="F493" s="28" t="str">
        <f t="shared" si="22"/>
        <v>Jun</v>
      </c>
      <c r="G493" s="17" t="s">
        <v>14</v>
      </c>
      <c r="H493" s="17" t="s">
        <v>15</v>
      </c>
      <c r="I493" s="24">
        <v>29699.159999999996</v>
      </c>
      <c r="J493" s="32">
        <v>12</v>
      </c>
      <c r="K493" s="17" t="s">
        <v>31</v>
      </c>
      <c r="L493" s="24">
        <v>2207.2399999999998</v>
      </c>
      <c r="M493" s="24">
        <v>3344.5</v>
      </c>
      <c r="N493" s="34">
        <f>((sales_data_1[[#This Row],[Unit_Price]]*(1-sales_data_1[[#This Row],[Discount]]))-sales_data_1[[#This Row],[Unit_Cost]])*sales_data_1[[#This Row],[Quantity_Sold]]</f>
        <v>3212.2800000000007</v>
      </c>
      <c r="O493" s="17" t="s">
        <v>27</v>
      </c>
      <c r="P493" s="26">
        <v>0.26</v>
      </c>
      <c r="Q493" s="17" t="s">
        <v>25</v>
      </c>
      <c r="R493" s="17" t="s">
        <v>19</v>
      </c>
      <c r="S493" s="49" t="str">
        <f t="shared" si="23"/>
        <v>Bob-North</v>
      </c>
      <c r="T493" s="59" t="str">
        <f>IF(ROUND(sales_data_1[[#This Row],[Profit_Margin]],2)=ROUND((sales_data_1[[#This Row],[Unit_Price]]*(1-sales_data_1[[#This Row],[Discount]]) - sales_data_1[[#This Row],[Unit_Cost]])*sales_data_1[[#This Row],[Quantity_Sold]],2), "PASS", "CHECK")</f>
        <v>PASS</v>
      </c>
    </row>
    <row r="494" spans="1:20" x14ac:dyDescent="0.35">
      <c r="A494" s="7">
        <v>493</v>
      </c>
      <c r="B494" s="9">
        <v>1054</v>
      </c>
      <c r="C494" s="7" t="str">
        <f>IFERROR(_xlfn.TEXTJOIN("-", TRUE, _xlfn.XLOOKUP(K494, product_category_id_lookup!$A$2:$A$5, product_category_id_lookup!$B$2:$B$5), B494), "Unknown Category")</f>
        <v>ctg-1054</v>
      </c>
      <c r="D494" s="8">
        <v>44715</v>
      </c>
      <c r="E494" s="7">
        <f t="shared" si="21"/>
        <v>2022</v>
      </c>
      <c r="F494" s="28" t="str">
        <f t="shared" si="22"/>
        <v>Jun</v>
      </c>
      <c r="G494" s="17" t="s">
        <v>14</v>
      </c>
      <c r="H494" s="17" t="s">
        <v>20</v>
      </c>
      <c r="I494" s="24">
        <v>5359.5895</v>
      </c>
      <c r="J494" s="32">
        <v>5</v>
      </c>
      <c r="K494" s="17" t="s">
        <v>26</v>
      </c>
      <c r="L494" s="24">
        <v>246.24</v>
      </c>
      <c r="M494" s="24">
        <v>1105.07</v>
      </c>
      <c r="N494" s="34">
        <f>((sales_data_1[[#This Row],[Unit_Price]]*(1-sales_data_1[[#This Row],[Discount]]))-sales_data_1[[#This Row],[Unit_Cost]])*sales_data_1[[#This Row],[Quantity_Sold]]</f>
        <v>4128.3894999999993</v>
      </c>
      <c r="O494" s="17" t="s">
        <v>27</v>
      </c>
      <c r="P494" s="26">
        <v>0.03</v>
      </c>
      <c r="Q494" s="17" t="s">
        <v>28</v>
      </c>
      <c r="R494" s="17" t="s">
        <v>19</v>
      </c>
      <c r="S494" s="49" t="str">
        <f t="shared" si="23"/>
        <v>Bob-West</v>
      </c>
      <c r="T494" s="59" t="str">
        <f>IF(ROUND(sales_data_1[[#This Row],[Profit_Margin]],2)=ROUND((sales_data_1[[#This Row],[Unit_Price]]*(1-sales_data_1[[#This Row],[Discount]]) - sales_data_1[[#This Row],[Unit_Cost]])*sales_data_1[[#This Row],[Quantity_Sold]],2), "PASS", "CHECK")</f>
        <v>PASS</v>
      </c>
    </row>
    <row r="495" spans="1:20" x14ac:dyDescent="0.35">
      <c r="A495" s="7">
        <v>494</v>
      </c>
      <c r="B495" s="9">
        <v>1027</v>
      </c>
      <c r="C495" s="7" t="str">
        <f>IFERROR(_xlfn.TEXTJOIN("-", TRUE, _xlfn.XLOOKUP(K495, product_category_id_lookup!$A$2:$A$5, product_category_id_lookup!$B$2:$B$5), B495), "Unknown Category")</f>
        <v>fd-1027</v>
      </c>
      <c r="D495" s="8">
        <v>44715</v>
      </c>
      <c r="E495" s="7">
        <f t="shared" si="21"/>
        <v>2022</v>
      </c>
      <c r="F495" s="28" t="str">
        <f t="shared" si="22"/>
        <v>Jun</v>
      </c>
      <c r="G495" s="17" t="s">
        <v>14</v>
      </c>
      <c r="H495" s="17" t="s">
        <v>30</v>
      </c>
      <c r="I495" s="24">
        <v>129578.41199999998</v>
      </c>
      <c r="J495" s="32">
        <v>30</v>
      </c>
      <c r="K495" s="17" t="s">
        <v>24</v>
      </c>
      <c r="L495" s="24">
        <v>3920.43</v>
      </c>
      <c r="M495" s="24">
        <v>4694.87</v>
      </c>
      <c r="N495" s="34">
        <f>((sales_data_1[[#This Row],[Unit_Price]]*(1-sales_data_1[[#This Row],[Discount]]))-sales_data_1[[#This Row],[Unit_Cost]])*sales_data_1[[#This Row],[Quantity_Sold]]</f>
        <v>11965.511999999995</v>
      </c>
      <c r="O495" s="17" t="s">
        <v>27</v>
      </c>
      <c r="P495" s="26">
        <v>0.08</v>
      </c>
      <c r="Q495" s="17" t="s">
        <v>25</v>
      </c>
      <c r="R495" s="17" t="s">
        <v>21</v>
      </c>
      <c r="S495" s="49" t="str">
        <f t="shared" si="23"/>
        <v>Bob-East</v>
      </c>
      <c r="T495" s="59" t="str">
        <f>IF(ROUND(sales_data_1[[#This Row],[Profit_Margin]],2)=ROUND((sales_data_1[[#This Row],[Unit_Price]]*(1-sales_data_1[[#This Row],[Discount]]) - sales_data_1[[#This Row],[Unit_Cost]])*sales_data_1[[#This Row],[Quantity_Sold]],2), "PASS", "CHECK")</f>
        <v>PASS</v>
      </c>
    </row>
    <row r="496" spans="1:20" x14ac:dyDescent="0.35">
      <c r="A496" s="7">
        <v>495</v>
      </c>
      <c r="B496" s="9">
        <v>1051</v>
      </c>
      <c r="C496" s="7" t="str">
        <f>IFERROR(_xlfn.TEXTJOIN("-", TRUE, _xlfn.XLOOKUP(K496, product_category_id_lookup!$A$2:$A$5, product_category_id_lookup!$B$2:$B$5), B496), "Unknown Category")</f>
        <v>etc-1051</v>
      </c>
      <c r="D496" s="8">
        <v>44715</v>
      </c>
      <c r="E496" s="7">
        <f t="shared" si="21"/>
        <v>2022</v>
      </c>
      <c r="F496" s="28" t="str">
        <f t="shared" si="22"/>
        <v>Jun</v>
      </c>
      <c r="G496" s="17" t="s">
        <v>32</v>
      </c>
      <c r="H496" s="17" t="s">
        <v>30</v>
      </c>
      <c r="I496" s="24">
        <v>132998.62080000003</v>
      </c>
      <c r="J496" s="32">
        <v>48</v>
      </c>
      <c r="K496" s="17" t="s">
        <v>31</v>
      </c>
      <c r="L496" s="24">
        <v>1017.56</v>
      </c>
      <c r="M496" s="24">
        <v>3379.03</v>
      </c>
      <c r="N496" s="34">
        <f>((sales_data_1[[#This Row],[Unit_Price]]*(1-sales_data_1[[#This Row],[Discount]]))-sales_data_1[[#This Row],[Unit_Cost]])*sales_data_1[[#This Row],[Quantity_Sold]]</f>
        <v>84155.740800000029</v>
      </c>
      <c r="O496" s="17" t="s">
        <v>17</v>
      </c>
      <c r="P496" s="26">
        <v>0.18</v>
      </c>
      <c r="Q496" s="17" t="s">
        <v>25</v>
      </c>
      <c r="R496" s="17" t="s">
        <v>21</v>
      </c>
      <c r="S496" s="49" t="str">
        <f t="shared" si="23"/>
        <v>Eve-East</v>
      </c>
      <c r="T496" s="59" t="str">
        <f>IF(ROUND(sales_data_1[[#This Row],[Profit_Margin]],2)=ROUND((sales_data_1[[#This Row],[Unit_Price]]*(1-sales_data_1[[#This Row],[Discount]]) - sales_data_1[[#This Row],[Unit_Cost]])*sales_data_1[[#This Row],[Quantity_Sold]],2), "PASS", "CHECK")</f>
        <v>PASS</v>
      </c>
    </row>
    <row r="497" spans="1:20" x14ac:dyDescent="0.35">
      <c r="A497" s="7">
        <v>496</v>
      </c>
      <c r="B497" s="9">
        <v>1062</v>
      </c>
      <c r="C497" s="7" t="str">
        <f>IFERROR(_xlfn.TEXTJOIN("-", TRUE, _xlfn.XLOOKUP(K497, product_category_id_lookup!$A$2:$A$5, product_category_id_lookup!$B$2:$B$5), B497), "Unknown Category")</f>
        <v>fd-1062</v>
      </c>
      <c r="D497" s="8">
        <v>44716</v>
      </c>
      <c r="E497" s="7">
        <f t="shared" si="21"/>
        <v>2022</v>
      </c>
      <c r="F497" s="28" t="str">
        <f t="shared" si="22"/>
        <v>Jun</v>
      </c>
      <c r="G497" s="17" t="s">
        <v>22</v>
      </c>
      <c r="H497" s="17" t="s">
        <v>23</v>
      </c>
      <c r="I497" s="24">
        <v>1194.3968</v>
      </c>
      <c r="J497" s="32">
        <v>4</v>
      </c>
      <c r="K497" s="17" t="s">
        <v>24</v>
      </c>
      <c r="L497" s="24">
        <v>96.57</v>
      </c>
      <c r="M497" s="24">
        <v>409.04</v>
      </c>
      <c r="N497" s="34">
        <f>((sales_data_1[[#This Row],[Unit_Price]]*(1-sales_data_1[[#This Row],[Discount]]))-sales_data_1[[#This Row],[Unit_Cost]])*sales_data_1[[#This Row],[Quantity_Sold]]</f>
        <v>808.11680000000001</v>
      </c>
      <c r="O497" s="17" t="s">
        <v>17</v>
      </c>
      <c r="P497" s="26">
        <v>0.27</v>
      </c>
      <c r="Q497" s="17" t="s">
        <v>18</v>
      </c>
      <c r="R497" s="17" t="s">
        <v>21</v>
      </c>
      <c r="S497" s="49" t="str">
        <f t="shared" si="23"/>
        <v>David-South</v>
      </c>
      <c r="T497" s="59" t="str">
        <f>IF(ROUND(sales_data_1[[#This Row],[Profit_Margin]],2)=ROUND((sales_data_1[[#This Row],[Unit_Price]]*(1-sales_data_1[[#This Row],[Discount]]) - sales_data_1[[#This Row],[Unit_Cost]])*sales_data_1[[#This Row],[Quantity_Sold]],2), "PASS", "CHECK")</f>
        <v>PASS</v>
      </c>
    </row>
    <row r="498" spans="1:20" x14ac:dyDescent="0.35">
      <c r="A498" s="7">
        <v>497</v>
      </c>
      <c r="B498" s="9">
        <v>1082</v>
      </c>
      <c r="C498" s="7" t="str">
        <f>IFERROR(_xlfn.TEXTJOIN("-", TRUE, _xlfn.XLOOKUP(K498, product_category_id_lookup!$A$2:$A$5, product_category_id_lookup!$B$2:$B$5), B498), "Unknown Category")</f>
        <v>ctg-1082</v>
      </c>
      <c r="D498" s="8">
        <v>44716</v>
      </c>
      <c r="E498" s="7">
        <f t="shared" si="21"/>
        <v>2022</v>
      </c>
      <c r="F498" s="28" t="str">
        <f t="shared" si="22"/>
        <v>Jun</v>
      </c>
      <c r="G498" s="17" t="s">
        <v>22</v>
      </c>
      <c r="H498" s="17" t="s">
        <v>23</v>
      </c>
      <c r="I498" s="24">
        <v>47139.854999999996</v>
      </c>
      <c r="J498" s="32">
        <v>30</v>
      </c>
      <c r="K498" s="17" t="s">
        <v>26</v>
      </c>
      <c r="L498" s="24">
        <v>1222.82</v>
      </c>
      <c r="M498" s="24">
        <v>1654.03</v>
      </c>
      <c r="N498" s="34">
        <f>((sales_data_1[[#This Row],[Unit_Price]]*(1-sales_data_1[[#This Row],[Discount]]))-sales_data_1[[#This Row],[Unit_Cost]])*sales_data_1[[#This Row],[Quantity_Sold]]</f>
        <v>10455.254999999997</v>
      </c>
      <c r="O498" s="17" t="s">
        <v>27</v>
      </c>
      <c r="P498" s="26">
        <v>0.05</v>
      </c>
      <c r="Q498" s="17" t="s">
        <v>18</v>
      </c>
      <c r="R498" s="17" t="s">
        <v>19</v>
      </c>
      <c r="S498" s="49" t="str">
        <f t="shared" si="23"/>
        <v>David-South</v>
      </c>
      <c r="T498" s="59" t="str">
        <f>IF(ROUND(sales_data_1[[#This Row],[Profit_Margin]],2)=ROUND((sales_data_1[[#This Row],[Unit_Price]]*(1-sales_data_1[[#This Row],[Discount]]) - sales_data_1[[#This Row],[Unit_Cost]])*sales_data_1[[#This Row],[Quantity_Sold]],2), "PASS", "CHECK")</f>
        <v>PASS</v>
      </c>
    </row>
    <row r="499" spans="1:20" x14ac:dyDescent="0.35">
      <c r="A499" s="7">
        <v>498</v>
      </c>
      <c r="B499" s="9">
        <v>1059</v>
      </c>
      <c r="C499" s="7" t="str">
        <f>IFERROR(_xlfn.TEXTJOIN("-", TRUE, _xlfn.XLOOKUP(K499, product_category_id_lookup!$A$2:$A$5, product_category_id_lookup!$B$2:$B$5), B499), "Unknown Category")</f>
        <v>fnt-1059</v>
      </c>
      <c r="D499" s="8">
        <v>44716</v>
      </c>
      <c r="E499" s="7">
        <f t="shared" si="21"/>
        <v>2022</v>
      </c>
      <c r="F499" s="28" t="str">
        <f t="shared" si="22"/>
        <v>Jun</v>
      </c>
      <c r="G499" s="17" t="s">
        <v>29</v>
      </c>
      <c r="H499" s="17" t="s">
        <v>15</v>
      </c>
      <c r="I499" s="24">
        <v>43575.839999999997</v>
      </c>
      <c r="J499" s="32">
        <v>25</v>
      </c>
      <c r="K499" s="17" t="s">
        <v>16</v>
      </c>
      <c r="L499" s="24">
        <v>699.47</v>
      </c>
      <c r="M499" s="24">
        <v>2420.88</v>
      </c>
      <c r="N499" s="34">
        <f>((sales_data_1[[#This Row],[Unit_Price]]*(1-sales_data_1[[#This Row],[Discount]]))-sales_data_1[[#This Row],[Unit_Cost]])*sales_data_1[[#This Row],[Quantity_Sold]]</f>
        <v>26089.09</v>
      </c>
      <c r="O499" s="17" t="s">
        <v>17</v>
      </c>
      <c r="P499" s="26">
        <v>0.28000000000000003</v>
      </c>
      <c r="Q499" s="17" t="s">
        <v>25</v>
      </c>
      <c r="R499" s="17" t="s">
        <v>21</v>
      </c>
      <c r="S499" s="49" t="str">
        <f t="shared" si="23"/>
        <v>Charlie-North</v>
      </c>
      <c r="T499" s="59" t="str">
        <f>IF(ROUND(sales_data_1[[#This Row],[Profit_Margin]],2)=ROUND((sales_data_1[[#This Row],[Unit_Price]]*(1-sales_data_1[[#This Row],[Discount]]) - sales_data_1[[#This Row],[Unit_Cost]])*sales_data_1[[#This Row],[Quantity_Sold]],2), "PASS", "CHECK")</f>
        <v>PASS</v>
      </c>
    </row>
    <row r="500" spans="1:20" x14ac:dyDescent="0.35">
      <c r="A500" s="7">
        <v>499</v>
      </c>
      <c r="B500" s="9">
        <v>1075</v>
      </c>
      <c r="C500" s="7" t="str">
        <f>IFERROR(_xlfn.TEXTJOIN("-", TRUE, _xlfn.XLOOKUP(K500, product_category_id_lookup!$A$2:$A$5, product_category_id_lookup!$B$2:$B$5), B500), "Unknown Category")</f>
        <v>fd-1075</v>
      </c>
      <c r="D500" s="8">
        <v>44716</v>
      </c>
      <c r="E500" s="7">
        <f t="shared" si="21"/>
        <v>2022</v>
      </c>
      <c r="F500" s="28" t="str">
        <f t="shared" si="22"/>
        <v>Jun</v>
      </c>
      <c r="G500" s="17" t="s">
        <v>14</v>
      </c>
      <c r="H500" s="17" t="s">
        <v>23</v>
      </c>
      <c r="I500" s="24">
        <v>69054.796800000011</v>
      </c>
      <c r="J500" s="32">
        <v>33</v>
      </c>
      <c r="K500" s="17" t="s">
        <v>24</v>
      </c>
      <c r="L500" s="24">
        <v>1292.5999999999999</v>
      </c>
      <c r="M500" s="24">
        <v>2179.7600000000002</v>
      </c>
      <c r="N500" s="34">
        <f>((sales_data_1[[#This Row],[Unit_Price]]*(1-sales_data_1[[#This Row],[Discount]]))-sales_data_1[[#This Row],[Unit_Cost]])*sales_data_1[[#This Row],[Quantity_Sold]]</f>
        <v>26398.996800000012</v>
      </c>
      <c r="O500" s="17" t="s">
        <v>27</v>
      </c>
      <c r="P500" s="26">
        <v>0.04</v>
      </c>
      <c r="Q500" s="17" t="s">
        <v>25</v>
      </c>
      <c r="R500" s="17" t="s">
        <v>21</v>
      </c>
      <c r="S500" s="49" t="str">
        <f t="shared" si="23"/>
        <v>Bob-South</v>
      </c>
      <c r="T500" s="59" t="str">
        <f>IF(ROUND(sales_data_1[[#This Row],[Profit_Margin]],2)=ROUND((sales_data_1[[#This Row],[Unit_Price]]*(1-sales_data_1[[#This Row],[Discount]]) - sales_data_1[[#This Row],[Unit_Cost]])*sales_data_1[[#This Row],[Quantity_Sold]],2), "PASS", "CHECK")</f>
        <v>PASS</v>
      </c>
    </row>
    <row r="501" spans="1:20" x14ac:dyDescent="0.35">
      <c r="A501" s="7">
        <v>500</v>
      </c>
      <c r="B501" s="9">
        <v>1020</v>
      </c>
      <c r="C501" s="7" t="str">
        <f>IFERROR(_xlfn.TEXTJOIN("-", TRUE, _xlfn.XLOOKUP(K501, product_category_id_lookup!$A$2:$A$5, product_category_id_lookup!$B$2:$B$5), B501), "Unknown Category")</f>
        <v>etc-1020</v>
      </c>
      <c r="D501" s="8">
        <v>44718</v>
      </c>
      <c r="E501" s="7">
        <f t="shared" si="21"/>
        <v>2022</v>
      </c>
      <c r="F501" s="28" t="str">
        <f t="shared" si="22"/>
        <v>Jun</v>
      </c>
      <c r="G501" s="17" t="s">
        <v>33</v>
      </c>
      <c r="H501" s="17" t="s">
        <v>30</v>
      </c>
      <c r="I501" s="24">
        <v>42109.643070770988</v>
      </c>
      <c r="J501" s="32">
        <v>33</v>
      </c>
      <c r="K501" s="17" t="s">
        <v>31</v>
      </c>
      <c r="L501" s="24">
        <v>1139.1300000000001</v>
      </c>
      <c r="M501" s="24">
        <v>1299.82</v>
      </c>
      <c r="N501" s="34">
        <f>((sales_data_1[[#This Row],[Unit_Price]]*(1-sales_data_1[[#This Row],[Discount]]))-sales_data_1[[#This Row],[Unit_Cost]])*sales_data_1[[#This Row],[Quantity_Sold]]</f>
        <v>4444.8887999999943</v>
      </c>
      <c r="O501" s="17" t="s">
        <v>27</v>
      </c>
      <c r="P501" s="26">
        <v>0.02</v>
      </c>
      <c r="Q501" s="17" t="s">
        <v>18</v>
      </c>
      <c r="R501" s="17" t="s">
        <v>21</v>
      </c>
      <c r="S501" s="49" t="str">
        <f t="shared" si="23"/>
        <v>Alice-East</v>
      </c>
      <c r="T501" s="59" t="str">
        <f>IF(ROUND(sales_data_1[[#This Row],[Profit_Margin]],2)=ROUND((sales_data_1[[#This Row],[Unit_Price]]*(1-sales_data_1[[#This Row],[Discount]]) - sales_data_1[[#This Row],[Unit_Cost]])*sales_data_1[[#This Row],[Quantity_Sold]],2), "PASS", "CHECK")</f>
        <v>PASS</v>
      </c>
    </row>
    <row r="502" spans="1:20" x14ac:dyDescent="0.35">
      <c r="A502" s="7">
        <v>501</v>
      </c>
      <c r="B502" s="9">
        <v>1058</v>
      </c>
      <c r="C502" s="7" t="str">
        <f>IFERROR(_xlfn.TEXTJOIN("-", TRUE, _xlfn.XLOOKUP(K502, product_category_id_lookup!$A$2:$A$5, product_category_id_lookup!$B$2:$B$5), B502), "Unknown Category")</f>
        <v>etc-1058</v>
      </c>
      <c r="D502" s="8">
        <v>44718</v>
      </c>
      <c r="E502" s="7">
        <f t="shared" si="21"/>
        <v>2022</v>
      </c>
      <c r="F502" s="28" t="str">
        <f t="shared" si="22"/>
        <v>Jun</v>
      </c>
      <c r="G502" s="17" t="s">
        <v>32</v>
      </c>
      <c r="H502" s="17" t="s">
        <v>23</v>
      </c>
      <c r="I502" s="24">
        <v>71233.488000000012</v>
      </c>
      <c r="J502" s="32">
        <v>20</v>
      </c>
      <c r="K502" s="17" t="s">
        <v>31</v>
      </c>
      <c r="L502" s="24">
        <v>1986.18</v>
      </c>
      <c r="M502" s="24">
        <v>4946.7700000000004</v>
      </c>
      <c r="N502" s="34">
        <f>((sales_data_1[[#This Row],[Unit_Price]]*(1-sales_data_1[[#This Row],[Discount]]))-sales_data_1[[#This Row],[Unit_Cost]])*sales_data_1[[#This Row],[Quantity_Sold]]</f>
        <v>31509.888000000006</v>
      </c>
      <c r="O502" s="17" t="s">
        <v>27</v>
      </c>
      <c r="P502" s="26">
        <v>0.28000000000000003</v>
      </c>
      <c r="Q502" s="17" t="s">
        <v>28</v>
      </c>
      <c r="R502" s="17" t="s">
        <v>19</v>
      </c>
      <c r="S502" s="49" t="str">
        <f t="shared" si="23"/>
        <v>Eve-South</v>
      </c>
      <c r="T502" s="59" t="str">
        <f>IF(ROUND(sales_data_1[[#This Row],[Profit_Margin]],2)=ROUND((sales_data_1[[#This Row],[Unit_Price]]*(1-sales_data_1[[#This Row],[Discount]]) - sales_data_1[[#This Row],[Unit_Cost]])*sales_data_1[[#This Row],[Quantity_Sold]],2), "PASS", "CHECK")</f>
        <v>PASS</v>
      </c>
    </row>
    <row r="503" spans="1:20" x14ac:dyDescent="0.35">
      <c r="A503" s="7">
        <v>502</v>
      </c>
      <c r="B503" s="9">
        <v>1058</v>
      </c>
      <c r="C503" s="7" t="str">
        <f>IFERROR(_xlfn.TEXTJOIN("-", TRUE, _xlfn.XLOOKUP(K503, product_category_id_lookup!$A$2:$A$5, product_category_id_lookup!$B$2:$B$5), B503), "Unknown Category")</f>
        <v>etc-1058</v>
      </c>
      <c r="D503" s="8">
        <v>44718</v>
      </c>
      <c r="E503" s="7">
        <f t="shared" si="21"/>
        <v>2022</v>
      </c>
      <c r="F503" s="28" t="str">
        <f t="shared" si="22"/>
        <v>Jun</v>
      </c>
      <c r="G503" s="17" t="s">
        <v>33</v>
      </c>
      <c r="H503" s="17" t="s">
        <v>15</v>
      </c>
      <c r="I503" s="24">
        <v>81277.14</v>
      </c>
      <c r="J503" s="32">
        <v>29</v>
      </c>
      <c r="K503" s="17" t="s">
        <v>31</v>
      </c>
      <c r="L503" s="24">
        <v>980.43</v>
      </c>
      <c r="M503" s="24">
        <v>4003.8</v>
      </c>
      <c r="N503" s="34">
        <f>((sales_data_1[[#This Row],[Unit_Price]]*(1-sales_data_1[[#This Row],[Discount]]))-sales_data_1[[#This Row],[Unit_Cost]])*sales_data_1[[#This Row],[Quantity_Sold]]</f>
        <v>52844.67</v>
      </c>
      <c r="O503" s="17" t="s">
        <v>27</v>
      </c>
      <c r="P503" s="26">
        <v>0.3</v>
      </c>
      <c r="Q503" s="17" t="s">
        <v>25</v>
      </c>
      <c r="R503" s="17" t="s">
        <v>21</v>
      </c>
      <c r="S503" s="49" t="str">
        <f t="shared" si="23"/>
        <v>Alice-North</v>
      </c>
      <c r="T503" s="59" t="str">
        <f>IF(ROUND(sales_data_1[[#This Row],[Profit_Margin]],2)=ROUND((sales_data_1[[#This Row],[Unit_Price]]*(1-sales_data_1[[#This Row],[Discount]]) - sales_data_1[[#This Row],[Unit_Cost]])*sales_data_1[[#This Row],[Quantity_Sold]],2), "PASS", "CHECK")</f>
        <v>PASS</v>
      </c>
    </row>
    <row r="504" spans="1:20" x14ac:dyDescent="0.35">
      <c r="A504" s="7">
        <v>503</v>
      </c>
      <c r="B504" s="9">
        <v>1049</v>
      </c>
      <c r="C504" s="7" t="str">
        <f>IFERROR(_xlfn.TEXTJOIN("-", TRUE, _xlfn.XLOOKUP(K504, product_category_id_lookup!$A$2:$A$5, product_category_id_lookup!$B$2:$B$5), B504), "Unknown Category")</f>
        <v>etc-1049</v>
      </c>
      <c r="D504" s="8">
        <v>44718</v>
      </c>
      <c r="E504" s="7">
        <f t="shared" si="21"/>
        <v>2022</v>
      </c>
      <c r="F504" s="28" t="str">
        <f t="shared" si="22"/>
        <v>Jun</v>
      </c>
      <c r="G504" s="17" t="s">
        <v>33</v>
      </c>
      <c r="H504" s="17" t="s">
        <v>20</v>
      </c>
      <c r="I504" s="24">
        <v>109605.4216</v>
      </c>
      <c r="J504" s="32">
        <v>38</v>
      </c>
      <c r="K504" s="17" t="s">
        <v>31</v>
      </c>
      <c r="L504" s="24">
        <v>675.13</v>
      </c>
      <c r="M504" s="24">
        <v>3651.08</v>
      </c>
      <c r="N504" s="34">
        <f>((sales_data_1[[#This Row],[Unit_Price]]*(1-sales_data_1[[#This Row],[Discount]]))-sales_data_1[[#This Row],[Unit_Cost]])*sales_data_1[[#This Row],[Quantity_Sold]]</f>
        <v>83950.481599999999</v>
      </c>
      <c r="O504" s="17" t="s">
        <v>17</v>
      </c>
      <c r="P504" s="26">
        <v>0.21</v>
      </c>
      <c r="Q504" s="17" t="s">
        <v>28</v>
      </c>
      <c r="R504" s="17" t="s">
        <v>21</v>
      </c>
      <c r="S504" s="49" t="str">
        <f t="shared" si="23"/>
        <v>Alice-West</v>
      </c>
      <c r="T504" s="59" t="str">
        <f>IF(ROUND(sales_data_1[[#This Row],[Profit_Margin]],2)=ROUND((sales_data_1[[#This Row],[Unit_Price]]*(1-sales_data_1[[#This Row],[Discount]]) - sales_data_1[[#This Row],[Unit_Cost]])*sales_data_1[[#This Row],[Quantity_Sold]],2), "PASS", "CHECK")</f>
        <v>PASS</v>
      </c>
    </row>
    <row r="505" spans="1:20" x14ac:dyDescent="0.35">
      <c r="A505" s="7">
        <v>504</v>
      </c>
      <c r="B505" s="9">
        <v>1033</v>
      </c>
      <c r="C505" s="7" t="str">
        <f>IFERROR(_xlfn.TEXTJOIN("-", TRUE, _xlfn.XLOOKUP(K505, product_category_id_lookup!$A$2:$A$5, product_category_id_lookup!$B$2:$B$5), B505), "Unknown Category")</f>
        <v>fnt-1033</v>
      </c>
      <c r="D505" s="8">
        <v>44719</v>
      </c>
      <c r="E505" s="7">
        <f t="shared" si="21"/>
        <v>2022</v>
      </c>
      <c r="F505" s="28" t="str">
        <f t="shared" si="22"/>
        <v>Jun</v>
      </c>
      <c r="G505" s="17" t="s">
        <v>22</v>
      </c>
      <c r="H505" s="17" t="s">
        <v>20</v>
      </c>
      <c r="I505" s="24">
        <v>47626.835200000001</v>
      </c>
      <c r="J505" s="32">
        <v>28</v>
      </c>
      <c r="K505" s="17" t="s">
        <v>16</v>
      </c>
      <c r="L505" s="24">
        <v>1649.45</v>
      </c>
      <c r="M505" s="24">
        <v>2330.08</v>
      </c>
      <c r="N505" s="34">
        <f>((sales_data_1[[#This Row],[Unit_Price]]*(1-sales_data_1[[#This Row],[Discount]]))-sales_data_1[[#This Row],[Unit_Cost]])*sales_data_1[[#This Row],[Quantity_Sold]]</f>
        <v>1442.2351999999983</v>
      </c>
      <c r="O505" s="17" t="s">
        <v>27</v>
      </c>
      <c r="P505" s="26">
        <v>0.27</v>
      </c>
      <c r="Q505" s="17" t="s">
        <v>28</v>
      </c>
      <c r="R505" s="17" t="s">
        <v>21</v>
      </c>
      <c r="S505" s="49" t="str">
        <f t="shared" si="23"/>
        <v>David-West</v>
      </c>
      <c r="T505" s="59" t="str">
        <f>IF(ROUND(sales_data_1[[#This Row],[Profit_Margin]],2)=ROUND((sales_data_1[[#This Row],[Unit_Price]]*(1-sales_data_1[[#This Row],[Discount]]) - sales_data_1[[#This Row],[Unit_Cost]])*sales_data_1[[#This Row],[Quantity_Sold]],2), "PASS", "CHECK")</f>
        <v>PASS</v>
      </c>
    </row>
    <row r="506" spans="1:20" x14ac:dyDescent="0.35">
      <c r="A506" s="7">
        <v>505</v>
      </c>
      <c r="B506" s="9">
        <v>1091</v>
      </c>
      <c r="C506" s="7" t="str">
        <f>IFERROR(_xlfn.TEXTJOIN("-", TRUE, _xlfn.XLOOKUP(K506, product_category_id_lookup!$A$2:$A$5, product_category_id_lookup!$B$2:$B$5), B506), "Unknown Category")</f>
        <v>ctg-1091</v>
      </c>
      <c r="D506" s="8">
        <v>44719</v>
      </c>
      <c r="E506" s="7">
        <f t="shared" si="21"/>
        <v>2022</v>
      </c>
      <c r="F506" s="28" t="str">
        <f t="shared" si="22"/>
        <v>Jun</v>
      </c>
      <c r="G506" s="17" t="s">
        <v>32</v>
      </c>
      <c r="H506" s="17" t="s">
        <v>20</v>
      </c>
      <c r="I506" s="24">
        <v>11312.688734477972</v>
      </c>
      <c r="J506" s="32">
        <v>5</v>
      </c>
      <c r="K506" s="17" t="s">
        <v>26</v>
      </c>
      <c r="L506" s="24">
        <v>1722.77</v>
      </c>
      <c r="M506" s="24">
        <v>2307.75</v>
      </c>
      <c r="N506" s="34">
        <f>((sales_data_1[[#This Row],[Unit_Price]]*(1-sales_data_1[[#This Row],[Discount]]))-sales_data_1[[#This Row],[Unit_Cost]])*sales_data_1[[#This Row],[Quantity_Sold]]</f>
        <v>2694.1249999999991</v>
      </c>
      <c r="O506" s="17" t="s">
        <v>27</v>
      </c>
      <c r="P506" s="26">
        <v>0.02</v>
      </c>
      <c r="Q506" s="17" t="s">
        <v>25</v>
      </c>
      <c r="R506" s="17" t="s">
        <v>21</v>
      </c>
      <c r="S506" s="49" t="str">
        <f t="shared" si="23"/>
        <v>Eve-West</v>
      </c>
      <c r="T506" s="59" t="str">
        <f>IF(ROUND(sales_data_1[[#This Row],[Profit_Margin]],2)=ROUND((sales_data_1[[#This Row],[Unit_Price]]*(1-sales_data_1[[#This Row],[Discount]]) - sales_data_1[[#This Row],[Unit_Cost]])*sales_data_1[[#This Row],[Quantity_Sold]],2), "PASS", "CHECK")</f>
        <v>PASS</v>
      </c>
    </row>
    <row r="507" spans="1:20" x14ac:dyDescent="0.35">
      <c r="A507" s="7">
        <v>506</v>
      </c>
      <c r="B507" s="9">
        <v>1015</v>
      </c>
      <c r="C507" s="7" t="str">
        <f>IFERROR(_xlfn.TEXTJOIN("-", TRUE, _xlfn.XLOOKUP(K507, product_category_id_lookup!$A$2:$A$5, product_category_id_lookup!$B$2:$B$5), B507), "Unknown Category")</f>
        <v>fd-1015</v>
      </c>
      <c r="D507" s="8">
        <v>44719</v>
      </c>
      <c r="E507" s="7">
        <f t="shared" si="21"/>
        <v>2022</v>
      </c>
      <c r="F507" s="28" t="str">
        <f t="shared" si="22"/>
        <v>Jun</v>
      </c>
      <c r="G507" s="17" t="s">
        <v>22</v>
      </c>
      <c r="H507" s="17" t="s">
        <v>15</v>
      </c>
      <c r="I507" s="24">
        <v>22541.870399999996</v>
      </c>
      <c r="J507" s="32">
        <v>6</v>
      </c>
      <c r="K507" s="17" t="s">
        <v>24</v>
      </c>
      <c r="L507" s="24">
        <v>892.28</v>
      </c>
      <c r="M507" s="24">
        <v>4526.4799999999996</v>
      </c>
      <c r="N507" s="34">
        <f>((sales_data_1[[#This Row],[Unit_Price]]*(1-sales_data_1[[#This Row],[Discount]]))-sales_data_1[[#This Row],[Unit_Cost]])*sales_data_1[[#This Row],[Quantity_Sold]]</f>
        <v>17188.190399999996</v>
      </c>
      <c r="O507" s="17" t="s">
        <v>27</v>
      </c>
      <c r="P507" s="26">
        <v>0.17</v>
      </c>
      <c r="Q507" s="17" t="s">
        <v>28</v>
      </c>
      <c r="R507" s="17" t="s">
        <v>21</v>
      </c>
      <c r="S507" s="49" t="str">
        <f t="shared" si="23"/>
        <v>David-North</v>
      </c>
      <c r="T507" s="59" t="str">
        <f>IF(ROUND(sales_data_1[[#This Row],[Profit_Margin]],2)=ROUND((sales_data_1[[#This Row],[Unit_Price]]*(1-sales_data_1[[#This Row],[Discount]]) - sales_data_1[[#This Row],[Unit_Cost]])*sales_data_1[[#This Row],[Quantity_Sold]],2), "PASS", "CHECK")</f>
        <v>PASS</v>
      </c>
    </row>
    <row r="508" spans="1:20" x14ac:dyDescent="0.35">
      <c r="A508" s="7">
        <v>507</v>
      </c>
      <c r="B508" s="9">
        <v>1076</v>
      </c>
      <c r="C508" s="7" t="str">
        <f>IFERROR(_xlfn.TEXTJOIN("-", TRUE, _xlfn.XLOOKUP(K508, product_category_id_lookup!$A$2:$A$5, product_category_id_lookup!$B$2:$B$5), B508), "Unknown Category")</f>
        <v>etc-1076</v>
      </c>
      <c r="D508" s="8">
        <v>44719</v>
      </c>
      <c r="E508" s="7">
        <f t="shared" si="21"/>
        <v>2022</v>
      </c>
      <c r="F508" s="28" t="str">
        <f t="shared" si="22"/>
        <v>Jun</v>
      </c>
      <c r="G508" s="17" t="s">
        <v>33</v>
      </c>
      <c r="H508" s="17" t="s">
        <v>23</v>
      </c>
      <c r="I508" s="24">
        <v>230000.86134204071</v>
      </c>
      <c r="J508" s="32">
        <v>46</v>
      </c>
      <c r="K508" s="17" t="s">
        <v>31</v>
      </c>
      <c r="L508" s="24">
        <v>4468.84</v>
      </c>
      <c r="M508" s="24">
        <v>5040.13</v>
      </c>
      <c r="N508" s="34">
        <f>((sales_data_1[[#This Row],[Unit_Price]]*(1-sales_data_1[[#This Row],[Discount]]))-sales_data_1[[#This Row],[Unit_Cost]])*sales_data_1[[#This Row],[Quantity_Sold]]</f>
        <v>23960.880199999978</v>
      </c>
      <c r="O508" s="17" t="s">
        <v>27</v>
      </c>
      <c r="P508" s="26">
        <v>0.01</v>
      </c>
      <c r="Q508" s="17" t="s">
        <v>25</v>
      </c>
      <c r="R508" s="17" t="s">
        <v>21</v>
      </c>
      <c r="S508" s="49" t="str">
        <f t="shared" si="23"/>
        <v>Alice-South</v>
      </c>
      <c r="T508" s="59" t="str">
        <f>IF(ROUND(sales_data_1[[#This Row],[Profit_Margin]],2)=ROUND((sales_data_1[[#This Row],[Unit_Price]]*(1-sales_data_1[[#This Row],[Discount]]) - sales_data_1[[#This Row],[Unit_Cost]])*sales_data_1[[#This Row],[Quantity_Sold]],2), "PASS", "CHECK")</f>
        <v>PASS</v>
      </c>
    </row>
    <row r="509" spans="1:20" x14ac:dyDescent="0.35">
      <c r="A509" s="7">
        <v>508</v>
      </c>
      <c r="B509" s="9">
        <v>1014</v>
      </c>
      <c r="C509" s="7" t="str">
        <f>IFERROR(_xlfn.TEXTJOIN("-", TRUE, _xlfn.XLOOKUP(K509, product_category_id_lookup!$A$2:$A$5, product_category_id_lookup!$B$2:$B$5), B509), "Unknown Category")</f>
        <v>ctg-1014</v>
      </c>
      <c r="D509" s="8">
        <v>44719</v>
      </c>
      <c r="E509" s="7">
        <f t="shared" si="21"/>
        <v>2022</v>
      </c>
      <c r="F509" s="28" t="str">
        <f t="shared" si="22"/>
        <v>Jun</v>
      </c>
      <c r="G509" s="17" t="s">
        <v>33</v>
      </c>
      <c r="H509" s="17" t="s">
        <v>15</v>
      </c>
      <c r="I509" s="24">
        <v>79970.5</v>
      </c>
      <c r="J509" s="32">
        <v>40</v>
      </c>
      <c r="K509" s="17" t="s">
        <v>26</v>
      </c>
      <c r="L509" s="24">
        <v>569.72</v>
      </c>
      <c r="M509" s="24">
        <v>2408.75</v>
      </c>
      <c r="N509" s="34">
        <f>((sales_data_1[[#This Row],[Unit_Price]]*(1-sales_data_1[[#This Row],[Discount]]))-sales_data_1[[#This Row],[Unit_Cost]])*sales_data_1[[#This Row],[Quantity_Sold]]</f>
        <v>57181.69999999999</v>
      </c>
      <c r="O509" s="17" t="s">
        <v>27</v>
      </c>
      <c r="P509" s="26">
        <v>0.17</v>
      </c>
      <c r="Q509" s="17" t="s">
        <v>18</v>
      </c>
      <c r="R509" s="17" t="s">
        <v>21</v>
      </c>
      <c r="S509" s="49" t="str">
        <f t="shared" si="23"/>
        <v>Alice-North</v>
      </c>
      <c r="T509" s="59" t="str">
        <f>IF(ROUND(sales_data_1[[#This Row],[Profit_Margin]],2)=ROUND((sales_data_1[[#This Row],[Unit_Price]]*(1-sales_data_1[[#This Row],[Discount]]) - sales_data_1[[#This Row],[Unit_Cost]])*sales_data_1[[#This Row],[Quantity_Sold]],2), "PASS", "CHECK")</f>
        <v>PASS</v>
      </c>
    </row>
    <row r="510" spans="1:20" x14ac:dyDescent="0.35">
      <c r="A510" s="7">
        <v>509</v>
      </c>
      <c r="B510" s="9">
        <v>1006</v>
      </c>
      <c r="C510" s="7" t="str">
        <f>IFERROR(_xlfn.TEXTJOIN("-", TRUE, _xlfn.XLOOKUP(K510, product_category_id_lookup!$A$2:$A$5, product_category_id_lookup!$B$2:$B$5), B510), "Unknown Category")</f>
        <v>fd-1006</v>
      </c>
      <c r="D510" s="8">
        <v>44720</v>
      </c>
      <c r="E510" s="7">
        <f t="shared" si="21"/>
        <v>2022</v>
      </c>
      <c r="F510" s="28" t="str">
        <f t="shared" si="22"/>
        <v>Jun</v>
      </c>
      <c r="G510" s="17" t="s">
        <v>33</v>
      </c>
      <c r="H510" s="17" t="s">
        <v>20</v>
      </c>
      <c r="I510" s="24">
        <v>127994.08156251074</v>
      </c>
      <c r="J510" s="32">
        <v>47</v>
      </c>
      <c r="K510" s="17" t="s">
        <v>24</v>
      </c>
      <c r="L510" s="24">
        <v>2523.2199999999998</v>
      </c>
      <c r="M510" s="24">
        <v>2742.59</v>
      </c>
      <c r="N510" s="34">
        <f>((sales_data_1[[#This Row],[Unit_Price]]*(1-sales_data_1[[#This Row],[Discount]]))-sales_data_1[[#This Row],[Unit_Cost]])*sales_data_1[[#This Row],[Quantity_Sold]]</f>
        <v>9021.3727000000072</v>
      </c>
      <c r="O510" s="17" t="s">
        <v>27</v>
      </c>
      <c r="P510" s="26">
        <v>0.01</v>
      </c>
      <c r="Q510" s="17" t="s">
        <v>18</v>
      </c>
      <c r="R510" s="17" t="s">
        <v>19</v>
      </c>
      <c r="S510" s="49" t="str">
        <f t="shared" si="23"/>
        <v>Alice-West</v>
      </c>
      <c r="T510" s="59" t="str">
        <f>IF(ROUND(sales_data_1[[#This Row],[Profit_Margin]],2)=ROUND((sales_data_1[[#This Row],[Unit_Price]]*(1-sales_data_1[[#This Row],[Discount]]) - sales_data_1[[#This Row],[Unit_Cost]])*sales_data_1[[#This Row],[Quantity_Sold]],2), "PASS", "CHECK")</f>
        <v>PASS</v>
      </c>
    </row>
    <row r="511" spans="1:20" x14ac:dyDescent="0.35">
      <c r="A511" s="7">
        <v>510</v>
      </c>
      <c r="B511" s="9">
        <v>1057</v>
      </c>
      <c r="C511" s="7" t="str">
        <f>IFERROR(_xlfn.TEXTJOIN("-", TRUE, _xlfn.XLOOKUP(K511, product_category_id_lookup!$A$2:$A$5, product_category_id_lookup!$B$2:$B$5), B511), "Unknown Category")</f>
        <v>fnt-1057</v>
      </c>
      <c r="D511" s="8">
        <v>44720</v>
      </c>
      <c r="E511" s="7">
        <f t="shared" si="21"/>
        <v>2022</v>
      </c>
      <c r="F511" s="28" t="str">
        <f t="shared" si="22"/>
        <v>Jun</v>
      </c>
      <c r="G511" s="17" t="s">
        <v>32</v>
      </c>
      <c r="H511" s="17" t="s">
        <v>15</v>
      </c>
      <c r="I511" s="24">
        <v>57501.3</v>
      </c>
      <c r="J511" s="32">
        <v>15</v>
      </c>
      <c r="K511" s="17" t="s">
        <v>16</v>
      </c>
      <c r="L511" s="24">
        <v>410.62</v>
      </c>
      <c r="M511" s="24">
        <v>3833.42</v>
      </c>
      <c r="N511" s="34">
        <f>((sales_data_1[[#This Row],[Unit_Price]]*(1-sales_data_1[[#This Row],[Discount]]))-sales_data_1[[#This Row],[Unit_Cost]])*sales_data_1[[#This Row],[Quantity_Sold]]</f>
        <v>51342</v>
      </c>
      <c r="O511" s="17" t="s">
        <v>27</v>
      </c>
      <c r="P511" s="26">
        <v>0</v>
      </c>
      <c r="Q511" s="17" t="s">
        <v>18</v>
      </c>
      <c r="R511" s="17" t="s">
        <v>21</v>
      </c>
      <c r="S511" s="49" t="str">
        <f t="shared" si="23"/>
        <v>Eve-North</v>
      </c>
      <c r="T511" s="59" t="str">
        <f>IF(ROUND(sales_data_1[[#This Row],[Profit_Margin]],2)=ROUND((sales_data_1[[#This Row],[Unit_Price]]*(1-sales_data_1[[#This Row],[Discount]]) - sales_data_1[[#This Row],[Unit_Cost]])*sales_data_1[[#This Row],[Quantity_Sold]],2), "PASS", "CHECK")</f>
        <v>PASS</v>
      </c>
    </row>
    <row r="512" spans="1:20" x14ac:dyDescent="0.35">
      <c r="A512" s="7">
        <v>511</v>
      </c>
      <c r="B512" s="9">
        <v>1057</v>
      </c>
      <c r="C512" s="7" t="str">
        <f>IFERROR(_xlfn.TEXTJOIN("-", TRUE, _xlfn.XLOOKUP(K512, product_category_id_lookup!$A$2:$A$5, product_category_id_lookup!$B$2:$B$5), B512), "Unknown Category")</f>
        <v>fnt-1057</v>
      </c>
      <c r="D512" s="8">
        <v>44720</v>
      </c>
      <c r="E512" s="7">
        <f t="shared" si="21"/>
        <v>2022</v>
      </c>
      <c r="F512" s="28" t="str">
        <f t="shared" si="22"/>
        <v>Jun</v>
      </c>
      <c r="G512" s="17" t="s">
        <v>33</v>
      </c>
      <c r="H512" s="17" t="s">
        <v>20</v>
      </c>
      <c r="I512" s="24">
        <v>130331.564</v>
      </c>
      <c r="J512" s="32">
        <v>38</v>
      </c>
      <c r="K512" s="17" t="s">
        <v>16</v>
      </c>
      <c r="L512" s="24">
        <v>970.59</v>
      </c>
      <c r="M512" s="24">
        <v>3648.7</v>
      </c>
      <c r="N512" s="34">
        <f>((sales_data_1[[#This Row],[Unit_Price]]*(1-sales_data_1[[#This Row],[Discount]]))-sales_data_1[[#This Row],[Unit_Cost]])*sales_data_1[[#This Row],[Quantity_Sold]]</f>
        <v>93449.143999999986</v>
      </c>
      <c r="O512" s="17" t="s">
        <v>27</v>
      </c>
      <c r="P512" s="26">
        <v>0.06</v>
      </c>
      <c r="Q512" s="17" t="s">
        <v>25</v>
      </c>
      <c r="R512" s="17" t="s">
        <v>19</v>
      </c>
      <c r="S512" s="49" t="str">
        <f t="shared" si="23"/>
        <v>Alice-West</v>
      </c>
      <c r="T512" s="59" t="str">
        <f>IF(ROUND(sales_data_1[[#This Row],[Profit_Margin]],2)=ROUND((sales_data_1[[#This Row],[Unit_Price]]*(1-sales_data_1[[#This Row],[Discount]]) - sales_data_1[[#This Row],[Unit_Cost]])*sales_data_1[[#This Row],[Quantity_Sold]],2), "PASS", "CHECK")</f>
        <v>PASS</v>
      </c>
    </row>
    <row r="513" spans="1:20" x14ac:dyDescent="0.35">
      <c r="A513" s="7">
        <v>512</v>
      </c>
      <c r="B513" s="9">
        <v>1046</v>
      </c>
      <c r="C513" s="7" t="str">
        <f>IFERROR(_xlfn.TEXTJOIN("-", TRUE, _xlfn.XLOOKUP(K513, product_category_id_lookup!$A$2:$A$5, product_category_id_lookup!$B$2:$B$5), B513), "Unknown Category")</f>
        <v>ctg-1046</v>
      </c>
      <c r="D513" s="8">
        <v>44721</v>
      </c>
      <c r="E513" s="7">
        <f t="shared" si="21"/>
        <v>2022</v>
      </c>
      <c r="F513" s="28" t="str">
        <f t="shared" si="22"/>
        <v>Jun</v>
      </c>
      <c r="G513" s="17" t="s">
        <v>32</v>
      </c>
      <c r="H513" s="17" t="s">
        <v>20</v>
      </c>
      <c r="I513" s="24">
        <v>16260.821121839077</v>
      </c>
      <c r="J513" s="32">
        <v>8</v>
      </c>
      <c r="K513" s="17" t="s">
        <v>26</v>
      </c>
      <c r="L513" s="24">
        <v>2002.12</v>
      </c>
      <c r="M513" s="24">
        <v>2128.4899999999998</v>
      </c>
      <c r="N513" s="34">
        <f>((sales_data_1[[#This Row],[Unit_Price]]*(1-sales_data_1[[#This Row],[Discount]]))-sales_data_1[[#This Row],[Unit_Cost]])*sales_data_1[[#This Row],[Quantity_Sold]]</f>
        <v>159.56399999999849</v>
      </c>
      <c r="O513" s="17" t="s">
        <v>27</v>
      </c>
      <c r="P513" s="26">
        <v>0.05</v>
      </c>
      <c r="Q513" s="17" t="s">
        <v>28</v>
      </c>
      <c r="R513" s="17" t="s">
        <v>21</v>
      </c>
      <c r="S513" s="49" t="str">
        <f t="shared" si="23"/>
        <v>Eve-West</v>
      </c>
      <c r="T513" s="59" t="str">
        <f>IF(ROUND(sales_data_1[[#This Row],[Profit_Margin]],2)=ROUND((sales_data_1[[#This Row],[Unit_Price]]*(1-sales_data_1[[#This Row],[Discount]]) - sales_data_1[[#This Row],[Unit_Cost]])*sales_data_1[[#This Row],[Quantity_Sold]],2), "PASS", "CHECK")</f>
        <v>PASS</v>
      </c>
    </row>
    <row r="514" spans="1:20" x14ac:dyDescent="0.35">
      <c r="A514" s="7">
        <v>513</v>
      </c>
      <c r="B514" s="9">
        <v>1044</v>
      </c>
      <c r="C514" s="7" t="str">
        <f>IFERROR(_xlfn.TEXTJOIN("-", TRUE, _xlfn.XLOOKUP(K514, product_category_id_lookup!$A$2:$A$5, product_category_id_lookup!$B$2:$B$5), B514), "Unknown Category")</f>
        <v>ctg-1044</v>
      </c>
      <c r="D514" s="8">
        <v>44721</v>
      </c>
      <c r="E514" s="7">
        <f t="shared" ref="E514:E577" si="24">YEAR(D514)</f>
        <v>2022</v>
      </c>
      <c r="F514" s="28" t="str">
        <f t="shared" ref="F514:F577" si="25">LEFT(TEXT(D514,"mmmm"),3)</f>
        <v>Jun</v>
      </c>
      <c r="G514" s="17" t="s">
        <v>32</v>
      </c>
      <c r="H514" s="17" t="s">
        <v>20</v>
      </c>
      <c r="I514" s="24">
        <v>30774.3128</v>
      </c>
      <c r="J514" s="32">
        <v>11</v>
      </c>
      <c r="K514" s="17" t="s">
        <v>26</v>
      </c>
      <c r="L514" s="24">
        <v>2317.96</v>
      </c>
      <c r="M514" s="24">
        <v>2854.76</v>
      </c>
      <c r="N514" s="34">
        <f>((sales_data_1[[#This Row],[Unit_Price]]*(1-sales_data_1[[#This Row],[Discount]]))-sales_data_1[[#This Row],[Unit_Cost]])*sales_data_1[[#This Row],[Quantity_Sold]]</f>
        <v>5276.7528000000002</v>
      </c>
      <c r="O514" s="17" t="s">
        <v>27</v>
      </c>
      <c r="P514" s="26">
        <v>0.02</v>
      </c>
      <c r="Q514" s="17" t="s">
        <v>25</v>
      </c>
      <c r="R514" s="17" t="s">
        <v>19</v>
      </c>
      <c r="S514" s="49" t="str">
        <f t="shared" ref="S514:S577" si="26">_xlfn.CONCAT(G514,"-",H514)</f>
        <v>Eve-West</v>
      </c>
      <c r="T514" s="59" t="str">
        <f>IF(ROUND(sales_data_1[[#This Row],[Profit_Margin]],2)=ROUND((sales_data_1[[#This Row],[Unit_Price]]*(1-sales_data_1[[#This Row],[Discount]]) - sales_data_1[[#This Row],[Unit_Cost]])*sales_data_1[[#This Row],[Quantity_Sold]],2), "PASS", "CHECK")</f>
        <v>PASS</v>
      </c>
    </row>
    <row r="515" spans="1:20" x14ac:dyDescent="0.35">
      <c r="A515" s="7">
        <v>514</v>
      </c>
      <c r="B515" s="9">
        <v>1033</v>
      </c>
      <c r="C515" s="7" t="str">
        <f>IFERROR(_xlfn.TEXTJOIN("-", TRUE, _xlfn.XLOOKUP(K515, product_category_id_lookup!$A$2:$A$5, product_category_id_lookup!$B$2:$B$5), B515), "Unknown Category")</f>
        <v>etc-1033</v>
      </c>
      <c r="D515" s="8">
        <v>44721</v>
      </c>
      <c r="E515" s="7">
        <f t="shared" si="24"/>
        <v>2022</v>
      </c>
      <c r="F515" s="28" t="str">
        <f t="shared" si="25"/>
        <v>Jun</v>
      </c>
      <c r="G515" s="17" t="s">
        <v>14</v>
      </c>
      <c r="H515" s="17" t="s">
        <v>23</v>
      </c>
      <c r="I515" s="24">
        <v>119320.00379999999</v>
      </c>
      <c r="J515" s="32">
        <v>27</v>
      </c>
      <c r="K515" s="17" t="s">
        <v>31</v>
      </c>
      <c r="L515" s="24">
        <v>3365.06</v>
      </c>
      <c r="M515" s="24">
        <v>4965.46</v>
      </c>
      <c r="N515" s="34">
        <f>((sales_data_1[[#This Row],[Unit_Price]]*(1-sales_data_1[[#This Row],[Discount]]))-sales_data_1[[#This Row],[Unit_Cost]])*sales_data_1[[#This Row],[Quantity_Sold]]</f>
        <v>28463.3838</v>
      </c>
      <c r="O515" s="17" t="s">
        <v>17</v>
      </c>
      <c r="P515" s="26">
        <v>0.11</v>
      </c>
      <c r="Q515" s="17" t="s">
        <v>18</v>
      </c>
      <c r="R515" s="17" t="s">
        <v>21</v>
      </c>
      <c r="S515" s="49" t="str">
        <f t="shared" si="26"/>
        <v>Bob-South</v>
      </c>
      <c r="T515" s="59" t="str">
        <f>IF(ROUND(sales_data_1[[#This Row],[Profit_Margin]],2)=ROUND((sales_data_1[[#This Row],[Unit_Price]]*(1-sales_data_1[[#This Row],[Discount]]) - sales_data_1[[#This Row],[Unit_Cost]])*sales_data_1[[#This Row],[Quantity_Sold]],2), "PASS", "CHECK")</f>
        <v>PASS</v>
      </c>
    </row>
    <row r="516" spans="1:20" x14ac:dyDescent="0.35">
      <c r="A516" s="7">
        <v>515</v>
      </c>
      <c r="B516" s="9">
        <v>1068</v>
      </c>
      <c r="C516" s="7" t="str">
        <f>IFERROR(_xlfn.TEXTJOIN("-", TRUE, _xlfn.XLOOKUP(K516, product_category_id_lookup!$A$2:$A$5, product_category_id_lookup!$B$2:$B$5), B516), "Unknown Category")</f>
        <v>ctg-1068</v>
      </c>
      <c r="D516" s="8">
        <v>44721</v>
      </c>
      <c r="E516" s="7">
        <f t="shared" si="24"/>
        <v>2022</v>
      </c>
      <c r="F516" s="28" t="str">
        <f t="shared" si="25"/>
        <v>Jun</v>
      </c>
      <c r="G516" s="17" t="s">
        <v>22</v>
      </c>
      <c r="H516" s="17" t="s">
        <v>20</v>
      </c>
      <c r="I516" s="24">
        <v>79988.153699999995</v>
      </c>
      <c r="J516" s="32">
        <v>49</v>
      </c>
      <c r="K516" s="17" t="s">
        <v>26</v>
      </c>
      <c r="L516" s="24">
        <v>458.82</v>
      </c>
      <c r="M516" s="24">
        <v>1834.17</v>
      </c>
      <c r="N516" s="34">
        <f>((sales_data_1[[#This Row],[Unit_Price]]*(1-sales_data_1[[#This Row],[Discount]]))-sales_data_1[[#This Row],[Unit_Cost]])*sales_data_1[[#This Row],[Quantity_Sold]]</f>
        <v>57505.973700000002</v>
      </c>
      <c r="O516" s="17" t="s">
        <v>17</v>
      </c>
      <c r="P516" s="26">
        <v>0.11</v>
      </c>
      <c r="Q516" s="17" t="s">
        <v>28</v>
      </c>
      <c r="R516" s="17" t="s">
        <v>19</v>
      </c>
      <c r="S516" s="49" t="str">
        <f t="shared" si="26"/>
        <v>David-West</v>
      </c>
      <c r="T516" s="59" t="str">
        <f>IF(ROUND(sales_data_1[[#This Row],[Profit_Margin]],2)=ROUND((sales_data_1[[#This Row],[Unit_Price]]*(1-sales_data_1[[#This Row],[Discount]]) - sales_data_1[[#This Row],[Unit_Cost]])*sales_data_1[[#This Row],[Quantity_Sold]],2), "PASS", "CHECK")</f>
        <v>PASS</v>
      </c>
    </row>
    <row r="517" spans="1:20" x14ac:dyDescent="0.35">
      <c r="A517" s="7">
        <v>516</v>
      </c>
      <c r="B517" s="9">
        <v>1021</v>
      </c>
      <c r="C517" s="7" t="str">
        <f>IFERROR(_xlfn.TEXTJOIN("-", TRUE, _xlfn.XLOOKUP(K517, product_category_id_lookup!$A$2:$A$5, product_category_id_lookup!$B$2:$B$5), B517), "Unknown Category")</f>
        <v>ctg-1021</v>
      </c>
      <c r="D517" s="8">
        <v>44722</v>
      </c>
      <c r="E517" s="7">
        <f t="shared" si="24"/>
        <v>2022</v>
      </c>
      <c r="F517" s="28" t="str">
        <f t="shared" si="25"/>
        <v>Jun</v>
      </c>
      <c r="G517" s="17" t="s">
        <v>22</v>
      </c>
      <c r="H517" s="17" t="s">
        <v>15</v>
      </c>
      <c r="I517" s="24">
        <v>86264.012800000011</v>
      </c>
      <c r="J517" s="32">
        <v>28</v>
      </c>
      <c r="K517" s="17" t="s">
        <v>26</v>
      </c>
      <c r="L517" s="24">
        <v>2854.46</v>
      </c>
      <c r="M517" s="24">
        <v>4053.76</v>
      </c>
      <c r="N517" s="34">
        <f>((sales_data_1[[#This Row],[Unit_Price]]*(1-sales_data_1[[#This Row],[Discount]]))-sales_data_1[[#This Row],[Unit_Cost]])*sales_data_1[[#This Row],[Quantity_Sold]]</f>
        <v>6339.1328000000067</v>
      </c>
      <c r="O517" s="17" t="s">
        <v>27</v>
      </c>
      <c r="P517" s="26">
        <v>0.24</v>
      </c>
      <c r="Q517" s="17" t="s">
        <v>18</v>
      </c>
      <c r="R517" s="17" t="s">
        <v>19</v>
      </c>
      <c r="S517" s="49" t="str">
        <f t="shared" si="26"/>
        <v>David-North</v>
      </c>
      <c r="T517" s="59" t="str">
        <f>IF(ROUND(sales_data_1[[#This Row],[Profit_Margin]],2)=ROUND((sales_data_1[[#This Row],[Unit_Price]]*(1-sales_data_1[[#This Row],[Discount]]) - sales_data_1[[#This Row],[Unit_Cost]])*sales_data_1[[#This Row],[Quantity_Sold]],2), "PASS", "CHECK")</f>
        <v>PASS</v>
      </c>
    </row>
    <row r="518" spans="1:20" x14ac:dyDescent="0.35">
      <c r="A518" s="7">
        <v>517</v>
      </c>
      <c r="B518" s="9">
        <v>1046</v>
      </c>
      <c r="C518" s="7" t="str">
        <f>IFERROR(_xlfn.TEXTJOIN("-", TRUE, _xlfn.XLOOKUP(K518, product_category_id_lookup!$A$2:$A$5, product_category_id_lookup!$B$2:$B$5), B518), "Unknown Category")</f>
        <v>etc-1046</v>
      </c>
      <c r="D518" s="8">
        <v>44722</v>
      </c>
      <c r="E518" s="7">
        <f t="shared" si="24"/>
        <v>2022</v>
      </c>
      <c r="F518" s="28" t="str">
        <f t="shared" si="25"/>
        <v>Jun</v>
      </c>
      <c r="G518" s="17" t="s">
        <v>29</v>
      </c>
      <c r="H518" s="17" t="s">
        <v>30</v>
      </c>
      <c r="I518" s="24">
        <v>143405.39920000001</v>
      </c>
      <c r="J518" s="32">
        <v>37</v>
      </c>
      <c r="K518" s="17" t="s">
        <v>31</v>
      </c>
      <c r="L518" s="24">
        <v>1710.87</v>
      </c>
      <c r="M518" s="24">
        <v>3954.92</v>
      </c>
      <c r="N518" s="34">
        <f>((sales_data_1[[#This Row],[Unit_Price]]*(1-sales_data_1[[#This Row],[Discount]]))-sales_data_1[[#This Row],[Unit_Cost]])*sales_data_1[[#This Row],[Quantity_Sold]]</f>
        <v>80103.209200000012</v>
      </c>
      <c r="O518" s="17" t="s">
        <v>27</v>
      </c>
      <c r="P518" s="26">
        <v>0.02</v>
      </c>
      <c r="Q518" s="17" t="s">
        <v>28</v>
      </c>
      <c r="R518" s="17" t="s">
        <v>21</v>
      </c>
      <c r="S518" s="49" t="str">
        <f t="shared" si="26"/>
        <v>Charlie-East</v>
      </c>
      <c r="T518" s="59" t="str">
        <f>IF(ROUND(sales_data_1[[#This Row],[Profit_Margin]],2)=ROUND((sales_data_1[[#This Row],[Unit_Price]]*(1-sales_data_1[[#This Row],[Discount]]) - sales_data_1[[#This Row],[Unit_Cost]])*sales_data_1[[#This Row],[Quantity_Sold]],2), "PASS", "CHECK")</f>
        <v>PASS</v>
      </c>
    </row>
    <row r="519" spans="1:20" x14ac:dyDescent="0.35">
      <c r="A519" s="7">
        <v>518</v>
      </c>
      <c r="B519" s="9">
        <v>1008</v>
      </c>
      <c r="C519" s="7" t="str">
        <f>IFERROR(_xlfn.TEXTJOIN("-", TRUE, _xlfn.XLOOKUP(K519, product_category_id_lookup!$A$2:$A$5, product_category_id_lookup!$B$2:$B$5), B519), "Unknown Category")</f>
        <v>etc-1008</v>
      </c>
      <c r="D519" s="8">
        <v>44723</v>
      </c>
      <c r="E519" s="7">
        <f t="shared" si="24"/>
        <v>2022</v>
      </c>
      <c r="F519" s="28" t="str">
        <f t="shared" si="25"/>
        <v>Jun</v>
      </c>
      <c r="G519" s="17" t="s">
        <v>32</v>
      </c>
      <c r="H519" s="17" t="s">
        <v>30</v>
      </c>
      <c r="I519" s="24">
        <v>3557.5043000000001</v>
      </c>
      <c r="J519" s="32">
        <v>1</v>
      </c>
      <c r="K519" s="17" t="s">
        <v>31</v>
      </c>
      <c r="L519" s="24">
        <v>311.70999999999998</v>
      </c>
      <c r="M519" s="24">
        <v>4503.17</v>
      </c>
      <c r="N519" s="34">
        <f>((sales_data_1[[#This Row],[Unit_Price]]*(1-sales_data_1[[#This Row],[Discount]]))-sales_data_1[[#This Row],[Unit_Cost]])*sales_data_1[[#This Row],[Quantity_Sold]]</f>
        <v>3245.7943</v>
      </c>
      <c r="O519" s="17" t="s">
        <v>27</v>
      </c>
      <c r="P519" s="26">
        <v>0.21</v>
      </c>
      <c r="Q519" s="17" t="s">
        <v>25</v>
      </c>
      <c r="R519" s="17" t="s">
        <v>19</v>
      </c>
      <c r="S519" s="49" t="str">
        <f t="shared" si="26"/>
        <v>Eve-East</v>
      </c>
      <c r="T519" s="59" t="str">
        <f>IF(ROUND(sales_data_1[[#This Row],[Profit_Margin]],2)=ROUND((sales_data_1[[#This Row],[Unit_Price]]*(1-sales_data_1[[#This Row],[Discount]]) - sales_data_1[[#This Row],[Unit_Cost]])*sales_data_1[[#This Row],[Quantity_Sold]],2), "PASS", "CHECK")</f>
        <v>PASS</v>
      </c>
    </row>
    <row r="520" spans="1:20" x14ac:dyDescent="0.35">
      <c r="A520" s="7">
        <v>519</v>
      </c>
      <c r="B520" s="9">
        <v>1039</v>
      </c>
      <c r="C520" s="7" t="str">
        <f>IFERROR(_xlfn.TEXTJOIN("-", TRUE, _xlfn.XLOOKUP(K520, product_category_id_lookup!$A$2:$A$5, product_category_id_lookup!$B$2:$B$5), B520), "Unknown Category")</f>
        <v>etc-1039</v>
      </c>
      <c r="D520" s="8">
        <v>44723</v>
      </c>
      <c r="E520" s="7">
        <f t="shared" si="24"/>
        <v>2022</v>
      </c>
      <c r="F520" s="28" t="str">
        <f t="shared" si="25"/>
        <v>Jun</v>
      </c>
      <c r="G520" s="17" t="s">
        <v>14</v>
      </c>
      <c r="H520" s="17" t="s">
        <v>15</v>
      </c>
      <c r="I520" s="24">
        <v>198268.88399999999</v>
      </c>
      <c r="J520" s="32">
        <v>45</v>
      </c>
      <c r="K520" s="17" t="s">
        <v>31</v>
      </c>
      <c r="L520" s="24">
        <v>3538.37</v>
      </c>
      <c r="M520" s="24">
        <v>5006.79</v>
      </c>
      <c r="N520" s="34">
        <f>((sales_data_1[[#This Row],[Unit_Price]]*(1-sales_data_1[[#This Row],[Discount]]))-sales_data_1[[#This Row],[Unit_Cost]])*sales_data_1[[#This Row],[Quantity_Sold]]</f>
        <v>39042.233999999997</v>
      </c>
      <c r="O520" s="17" t="s">
        <v>17</v>
      </c>
      <c r="P520" s="26">
        <v>0.12</v>
      </c>
      <c r="Q520" s="17" t="s">
        <v>28</v>
      </c>
      <c r="R520" s="17" t="s">
        <v>19</v>
      </c>
      <c r="S520" s="49" t="str">
        <f t="shared" si="26"/>
        <v>Bob-North</v>
      </c>
      <c r="T520" s="59" t="str">
        <f>IF(ROUND(sales_data_1[[#This Row],[Profit_Margin]],2)=ROUND((sales_data_1[[#This Row],[Unit_Price]]*(1-sales_data_1[[#This Row],[Discount]]) - sales_data_1[[#This Row],[Unit_Cost]])*sales_data_1[[#This Row],[Quantity_Sold]],2), "PASS", "CHECK")</f>
        <v>PASS</v>
      </c>
    </row>
    <row r="521" spans="1:20" x14ac:dyDescent="0.35">
      <c r="A521" s="7">
        <v>520</v>
      </c>
      <c r="B521" s="9">
        <v>1057</v>
      </c>
      <c r="C521" s="7" t="str">
        <f>IFERROR(_xlfn.TEXTJOIN("-", TRUE, _xlfn.XLOOKUP(K521, product_category_id_lookup!$A$2:$A$5, product_category_id_lookup!$B$2:$B$5), B521), "Unknown Category")</f>
        <v>ctg-1057</v>
      </c>
      <c r="D521" s="8">
        <v>44724</v>
      </c>
      <c r="E521" s="7">
        <f t="shared" si="24"/>
        <v>2022</v>
      </c>
      <c r="F521" s="28" t="str">
        <f t="shared" si="25"/>
        <v>Jun</v>
      </c>
      <c r="G521" s="17" t="s">
        <v>14</v>
      </c>
      <c r="H521" s="17" t="s">
        <v>15</v>
      </c>
      <c r="I521" s="24">
        <v>132241.47230266166</v>
      </c>
      <c r="J521" s="32">
        <v>30</v>
      </c>
      <c r="K521" s="17" t="s">
        <v>26</v>
      </c>
      <c r="L521" s="24">
        <v>3613.6</v>
      </c>
      <c r="M521" s="24">
        <v>4580.12</v>
      </c>
      <c r="N521" s="34">
        <f>((sales_data_1[[#This Row],[Unit_Price]]*(1-sales_data_1[[#This Row],[Discount]]))-sales_data_1[[#This Row],[Unit_Cost]])*sales_data_1[[#This Row],[Quantity_Sold]]</f>
        <v>23499.455999999987</v>
      </c>
      <c r="O521" s="17" t="s">
        <v>17</v>
      </c>
      <c r="P521" s="26">
        <v>0.04</v>
      </c>
      <c r="Q521" s="17" t="s">
        <v>25</v>
      </c>
      <c r="R521" s="17" t="s">
        <v>21</v>
      </c>
      <c r="S521" s="49" t="str">
        <f t="shared" si="26"/>
        <v>Bob-North</v>
      </c>
      <c r="T521" s="59" t="str">
        <f>IF(ROUND(sales_data_1[[#This Row],[Profit_Margin]],2)=ROUND((sales_data_1[[#This Row],[Unit_Price]]*(1-sales_data_1[[#This Row],[Discount]]) - sales_data_1[[#This Row],[Unit_Cost]])*sales_data_1[[#This Row],[Quantity_Sold]],2), "PASS", "CHECK")</f>
        <v>PASS</v>
      </c>
    </row>
    <row r="522" spans="1:20" x14ac:dyDescent="0.35">
      <c r="A522" s="7">
        <v>521</v>
      </c>
      <c r="B522" s="9">
        <v>1033</v>
      </c>
      <c r="C522" s="7" t="str">
        <f>IFERROR(_xlfn.TEXTJOIN("-", TRUE, _xlfn.XLOOKUP(K522, product_category_id_lookup!$A$2:$A$5, product_category_id_lookup!$B$2:$B$5), B522), "Unknown Category")</f>
        <v>ctg-1033</v>
      </c>
      <c r="D522" s="8">
        <v>44724</v>
      </c>
      <c r="E522" s="7">
        <f t="shared" si="24"/>
        <v>2022</v>
      </c>
      <c r="F522" s="28" t="str">
        <f t="shared" si="25"/>
        <v>Jun</v>
      </c>
      <c r="G522" s="17" t="s">
        <v>29</v>
      </c>
      <c r="H522" s="17" t="s">
        <v>23</v>
      </c>
      <c r="I522" s="24">
        <v>132518.65839999999</v>
      </c>
      <c r="J522" s="32">
        <v>34</v>
      </c>
      <c r="K522" s="17" t="s">
        <v>26</v>
      </c>
      <c r="L522" s="24">
        <v>289.55</v>
      </c>
      <c r="M522" s="24">
        <v>4236.53</v>
      </c>
      <c r="N522" s="34">
        <f>((sales_data_1[[#This Row],[Unit_Price]]*(1-sales_data_1[[#This Row],[Discount]]))-sales_data_1[[#This Row],[Unit_Cost]])*sales_data_1[[#This Row],[Quantity_Sold]]</f>
        <v>122673.95839999999</v>
      </c>
      <c r="O522" s="17" t="s">
        <v>27</v>
      </c>
      <c r="P522" s="26">
        <v>0.08</v>
      </c>
      <c r="Q522" s="17" t="s">
        <v>28</v>
      </c>
      <c r="R522" s="17" t="s">
        <v>21</v>
      </c>
      <c r="S522" s="49" t="str">
        <f t="shared" si="26"/>
        <v>Charlie-South</v>
      </c>
      <c r="T522" s="59" t="str">
        <f>IF(ROUND(sales_data_1[[#This Row],[Profit_Margin]],2)=ROUND((sales_data_1[[#This Row],[Unit_Price]]*(1-sales_data_1[[#This Row],[Discount]]) - sales_data_1[[#This Row],[Unit_Cost]])*sales_data_1[[#This Row],[Quantity_Sold]],2), "PASS", "CHECK")</f>
        <v>PASS</v>
      </c>
    </row>
    <row r="523" spans="1:20" x14ac:dyDescent="0.35">
      <c r="A523" s="7">
        <v>522</v>
      </c>
      <c r="B523" s="9">
        <v>1095</v>
      </c>
      <c r="C523" s="7" t="str">
        <f>IFERROR(_xlfn.TEXTJOIN("-", TRUE, _xlfn.XLOOKUP(K523, product_category_id_lookup!$A$2:$A$5, product_category_id_lookup!$B$2:$B$5), B523), "Unknown Category")</f>
        <v>fnt-1095</v>
      </c>
      <c r="D523" s="8">
        <v>44724</v>
      </c>
      <c r="E523" s="7">
        <f t="shared" si="24"/>
        <v>2022</v>
      </c>
      <c r="F523" s="28" t="str">
        <f t="shared" si="25"/>
        <v>Jun</v>
      </c>
      <c r="G523" s="17" t="s">
        <v>33</v>
      </c>
      <c r="H523" s="17" t="s">
        <v>20</v>
      </c>
      <c r="I523" s="24">
        <v>151029.61920000002</v>
      </c>
      <c r="J523" s="32">
        <v>37</v>
      </c>
      <c r="K523" s="17" t="s">
        <v>16</v>
      </c>
      <c r="L523" s="24">
        <v>763.34</v>
      </c>
      <c r="M523" s="24">
        <v>5039.3599999999997</v>
      </c>
      <c r="N523" s="34">
        <f>((sales_data_1[[#This Row],[Unit_Price]]*(1-sales_data_1[[#This Row],[Discount]]))-sales_data_1[[#This Row],[Unit_Cost]])*sales_data_1[[#This Row],[Quantity_Sold]]</f>
        <v>122786.0392</v>
      </c>
      <c r="O523" s="17" t="s">
        <v>27</v>
      </c>
      <c r="P523" s="26">
        <v>0.19</v>
      </c>
      <c r="Q523" s="17" t="s">
        <v>28</v>
      </c>
      <c r="R523" s="17" t="s">
        <v>19</v>
      </c>
      <c r="S523" s="49" t="str">
        <f t="shared" si="26"/>
        <v>Alice-West</v>
      </c>
      <c r="T523" s="59" t="str">
        <f>IF(ROUND(sales_data_1[[#This Row],[Profit_Margin]],2)=ROUND((sales_data_1[[#This Row],[Unit_Price]]*(1-sales_data_1[[#This Row],[Discount]]) - sales_data_1[[#This Row],[Unit_Cost]])*sales_data_1[[#This Row],[Quantity_Sold]],2), "PASS", "CHECK")</f>
        <v>PASS</v>
      </c>
    </row>
    <row r="524" spans="1:20" x14ac:dyDescent="0.35">
      <c r="A524" s="7">
        <v>523</v>
      </c>
      <c r="B524" s="9">
        <v>1079</v>
      </c>
      <c r="C524" s="7" t="str">
        <f>IFERROR(_xlfn.TEXTJOIN("-", TRUE, _xlfn.XLOOKUP(K524, product_category_id_lookup!$A$2:$A$5, product_category_id_lookup!$B$2:$B$5), B524), "Unknown Category")</f>
        <v>fnt-1079</v>
      </c>
      <c r="D524" s="8">
        <v>44725</v>
      </c>
      <c r="E524" s="7">
        <f t="shared" si="24"/>
        <v>2022</v>
      </c>
      <c r="F524" s="28" t="str">
        <f t="shared" si="25"/>
        <v>Jun</v>
      </c>
      <c r="G524" s="17" t="s">
        <v>14</v>
      </c>
      <c r="H524" s="17" t="s">
        <v>30</v>
      </c>
      <c r="I524" s="24">
        <v>45944.686804058874</v>
      </c>
      <c r="J524" s="32">
        <v>12</v>
      </c>
      <c r="K524" s="17" t="s">
        <v>16</v>
      </c>
      <c r="L524" s="24">
        <v>3750.73</v>
      </c>
      <c r="M524" s="24">
        <v>4000.79</v>
      </c>
      <c r="N524" s="34">
        <f>((sales_data_1[[#This Row],[Unit_Price]]*(1-sales_data_1[[#This Row],[Discount]]))-sales_data_1[[#This Row],[Unit_Cost]])*sales_data_1[[#This Row],[Quantity_Sold]]</f>
        <v>1080.3407999999963</v>
      </c>
      <c r="O524" s="17" t="s">
        <v>17</v>
      </c>
      <c r="P524" s="26">
        <v>0.04</v>
      </c>
      <c r="Q524" s="17" t="s">
        <v>18</v>
      </c>
      <c r="R524" s="17" t="s">
        <v>19</v>
      </c>
      <c r="S524" s="49" t="str">
        <f t="shared" si="26"/>
        <v>Bob-East</v>
      </c>
      <c r="T524" s="59" t="str">
        <f>IF(ROUND(sales_data_1[[#This Row],[Profit_Margin]],2)=ROUND((sales_data_1[[#This Row],[Unit_Price]]*(1-sales_data_1[[#This Row],[Discount]]) - sales_data_1[[#This Row],[Unit_Cost]])*sales_data_1[[#This Row],[Quantity_Sold]],2), "PASS", "CHECK")</f>
        <v>PASS</v>
      </c>
    </row>
    <row r="525" spans="1:20" x14ac:dyDescent="0.35">
      <c r="A525" s="7">
        <v>524</v>
      </c>
      <c r="B525" s="9">
        <v>1002</v>
      </c>
      <c r="C525" s="7" t="str">
        <f>IFERROR(_xlfn.TEXTJOIN("-", TRUE, _xlfn.XLOOKUP(K525, product_category_id_lookup!$A$2:$A$5, product_category_id_lookup!$B$2:$B$5), B525), "Unknown Category")</f>
        <v>fnt-1002</v>
      </c>
      <c r="D525" s="8">
        <v>44725</v>
      </c>
      <c r="E525" s="7">
        <f t="shared" si="24"/>
        <v>2022</v>
      </c>
      <c r="F525" s="28" t="str">
        <f t="shared" si="25"/>
        <v>Jun</v>
      </c>
      <c r="G525" s="17" t="s">
        <v>14</v>
      </c>
      <c r="H525" s="17" t="s">
        <v>23</v>
      </c>
      <c r="I525" s="24">
        <v>101181.024</v>
      </c>
      <c r="J525" s="32">
        <v>28</v>
      </c>
      <c r="K525" s="17" t="s">
        <v>16</v>
      </c>
      <c r="L525" s="24">
        <v>3373.53</v>
      </c>
      <c r="M525" s="24">
        <v>4015.12</v>
      </c>
      <c r="N525" s="34">
        <f>((sales_data_1[[#This Row],[Unit_Price]]*(1-sales_data_1[[#This Row],[Discount]]))-sales_data_1[[#This Row],[Unit_Cost]])*sales_data_1[[#This Row],[Quantity_Sold]]</f>
        <v>6722.1839999999993</v>
      </c>
      <c r="O525" s="17" t="s">
        <v>27</v>
      </c>
      <c r="P525" s="26">
        <v>0.1</v>
      </c>
      <c r="Q525" s="17" t="s">
        <v>25</v>
      </c>
      <c r="R525" s="17" t="s">
        <v>19</v>
      </c>
      <c r="S525" s="49" t="str">
        <f t="shared" si="26"/>
        <v>Bob-South</v>
      </c>
      <c r="T525" s="59" t="str">
        <f>IF(ROUND(sales_data_1[[#This Row],[Profit_Margin]],2)=ROUND((sales_data_1[[#This Row],[Unit_Price]]*(1-sales_data_1[[#This Row],[Discount]]) - sales_data_1[[#This Row],[Unit_Cost]])*sales_data_1[[#This Row],[Quantity_Sold]],2), "PASS", "CHECK")</f>
        <v>PASS</v>
      </c>
    </row>
    <row r="526" spans="1:20" x14ac:dyDescent="0.35">
      <c r="A526" s="7">
        <v>525</v>
      </c>
      <c r="B526" s="9">
        <v>1046</v>
      </c>
      <c r="C526" s="7" t="str">
        <f>IFERROR(_xlfn.TEXTJOIN("-", TRUE, _xlfn.XLOOKUP(K526, product_category_id_lookup!$A$2:$A$5, product_category_id_lookup!$B$2:$B$5), B526), "Unknown Category")</f>
        <v>fd-1046</v>
      </c>
      <c r="D526" s="8">
        <v>44725</v>
      </c>
      <c r="E526" s="7">
        <f t="shared" si="24"/>
        <v>2022</v>
      </c>
      <c r="F526" s="28" t="str">
        <f t="shared" si="25"/>
        <v>Jun</v>
      </c>
      <c r="G526" s="17" t="s">
        <v>32</v>
      </c>
      <c r="H526" s="17" t="s">
        <v>23</v>
      </c>
      <c r="I526" s="24">
        <v>131377.63573377882</v>
      </c>
      <c r="J526" s="32">
        <v>30</v>
      </c>
      <c r="K526" s="17" t="s">
        <v>24</v>
      </c>
      <c r="L526" s="24">
        <v>3591.93</v>
      </c>
      <c r="M526" s="24">
        <v>4424.91</v>
      </c>
      <c r="N526" s="34">
        <f>((sales_data_1[[#This Row],[Unit_Price]]*(1-sales_data_1[[#This Row],[Discount]]))-sales_data_1[[#This Row],[Unit_Cost]])*sales_data_1[[#This Row],[Quantity_Sold]]</f>
        <v>23661.927</v>
      </c>
      <c r="O526" s="17" t="s">
        <v>17</v>
      </c>
      <c r="P526" s="26">
        <v>0.01</v>
      </c>
      <c r="Q526" s="17" t="s">
        <v>18</v>
      </c>
      <c r="R526" s="17" t="s">
        <v>19</v>
      </c>
      <c r="S526" s="49" t="str">
        <f t="shared" si="26"/>
        <v>Eve-South</v>
      </c>
      <c r="T526" s="59" t="str">
        <f>IF(ROUND(sales_data_1[[#This Row],[Profit_Margin]],2)=ROUND((sales_data_1[[#This Row],[Unit_Price]]*(1-sales_data_1[[#This Row],[Discount]]) - sales_data_1[[#This Row],[Unit_Cost]])*sales_data_1[[#This Row],[Quantity_Sold]],2), "PASS", "CHECK")</f>
        <v>PASS</v>
      </c>
    </row>
    <row r="527" spans="1:20" x14ac:dyDescent="0.35">
      <c r="A527" s="7">
        <v>526</v>
      </c>
      <c r="B527" s="9">
        <v>1098</v>
      </c>
      <c r="C527" s="7" t="str">
        <f>IFERROR(_xlfn.TEXTJOIN("-", TRUE, _xlfn.XLOOKUP(K527, product_category_id_lookup!$A$2:$A$5, product_category_id_lookup!$B$2:$B$5), B527), "Unknown Category")</f>
        <v>ctg-1098</v>
      </c>
      <c r="D527" s="8">
        <v>44725</v>
      </c>
      <c r="E527" s="7">
        <f t="shared" si="24"/>
        <v>2022</v>
      </c>
      <c r="F527" s="28" t="str">
        <f t="shared" si="25"/>
        <v>Jun</v>
      </c>
      <c r="G527" s="17" t="s">
        <v>33</v>
      </c>
      <c r="H527" s="17" t="s">
        <v>15</v>
      </c>
      <c r="I527" s="24">
        <v>50250.962999999996</v>
      </c>
      <c r="J527" s="32">
        <v>42</v>
      </c>
      <c r="K527" s="17" t="s">
        <v>26</v>
      </c>
      <c r="L527" s="24">
        <v>363.96</v>
      </c>
      <c r="M527" s="24">
        <v>1407.59</v>
      </c>
      <c r="N527" s="34">
        <f>((sales_data_1[[#This Row],[Unit_Price]]*(1-sales_data_1[[#This Row],[Discount]]))-sales_data_1[[#This Row],[Unit_Cost]])*sales_data_1[[#This Row],[Quantity_Sold]]</f>
        <v>34964.642999999996</v>
      </c>
      <c r="O527" s="17" t="s">
        <v>27</v>
      </c>
      <c r="P527" s="26">
        <v>0.15</v>
      </c>
      <c r="Q527" s="17" t="s">
        <v>18</v>
      </c>
      <c r="R527" s="17" t="s">
        <v>19</v>
      </c>
      <c r="S527" s="49" t="str">
        <f t="shared" si="26"/>
        <v>Alice-North</v>
      </c>
      <c r="T527" s="59" t="str">
        <f>IF(ROUND(sales_data_1[[#This Row],[Profit_Margin]],2)=ROUND((sales_data_1[[#This Row],[Unit_Price]]*(1-sales_data_1[[#This Row],[Discount]]) - sales_data_1[[#This Row],[Unit_Cost]])*sales_data_1[[#This Row],[Quantity_Sold]],2), "PASS", "CHECK")</f>
        <v>PASS</v>
      </c>
    </row>
    <row r="528" spans="1:20" x14ac:dyDescent="0.35">
      <c r="A528" s="7">
        <v>527</v>
      </c>
      <c r="B528" s="9">
        <v>1098</v>
      </c>
      <c r="C528" s="7" t="str">
        <f>IFERROR(_xlfn.TEXTJOIN("-", TRUE, _xlfn.XLOOKUP(K528, product_category_id_lookup!$A$2:$A$5, product_category_id_lookup!$B$2:$B$5), B528), "Unknown Category")</f>
        <v>fd-1098</v>
      </c>
      <c r="D528" s="8">
        <v>44725</v>
      </c>
      <c r="E528" s="7">
        <f t="shared" si="24"/>
        <v>2022</v>
      </c>
      <c r="F528" s="28" t="str">
        <f t="shared" si="25"/>
        <v>Jun</v>
      </c>
      <c r="G528" s="17" t="s">
        <v>33</v>
      </c>
      <c r="H528" s="17" t="s">
        <v>15</v>
      </c>
      <c r="I528" s="24">
        <v>68745.186000000002</v>
      </c>
      <c r="J528" s="32">
        <v>27</v>
      </c>
      <c r="K528" s="17" t="s">
        <v>24</v>
      </c>
      <c r="L528" s="24">
        <v>908.8</v>
      </c>
      <c r="M528" s="24">
        <v>2829.02</v>
      </c>
      <c r="N528" s="34">
        <f>((sales_data_1[[#This Row],[Unit_Price]]*(1-sales_data_1[[#This Row],[Discount]]))-sales_data_1[[#This Row],[Unit_Cost]])*sales_data_1[[#This Row],[Quantity_Sold]]</f>
        <v>44207.586000000003</v>
      </c>
      <c r="O528" s="17" t="s">
        <v>17</v>
      </c>
      <c r="P528" s="26">
        <v>0.1</v>
      </c>
      <c r="Q528" s="17" t="s">
        <v>25</v>
      </c>
      <c r="R528" s="17" t="s">
        <v>19</v>
      </c>
      <c r="S528" s="49" t="str">
        <f t="shared" si="26"/>
        <v>Alice-North</v>
      </c>
      <c r="T528" s="59" t="str">
        <f>IF(ROUND(sales_data_1[[#This Row],[Profit_Margin]],2)=ROUND((sales_data_1[[#This Row],[Unit_Price]]*(1-sales_data_1[[#This Row],[Discount]]) - sales_data_1[[#This Row],[Unit_Cost]])*sales_data_1[[#This Row],[Quantity_Sold]],2), "PASS", "CHECK")</f>
        <v>PASS</v>
      </c>
    </row>
    <row r="529" spans="1:20" x14ac:dyDescent="0.35">
      <c r="A529" s="7">
        <v>528</v>
      </c>
      <c r="B529" s="9">
        <v>1057</v>
      </c>
      <c r="C529" s="7" t="str">
        <f>IFERROR(_xlfn.TEXTJOIN("-", TRUE, _xlfn.XLOOKUP(K529, product_category_id_lookup!$A$2:$A$5, product_category_id_lookup!$B$2:$B$5), B529), "Unknown Category")</f>
        <v>fd-1057</v>
      </c>
      <c r="D529" s="8">
        <v>44725</v>
      </c>
      <c r="E529" s="7">
        <f t="shared" si="24"/>
        <v>2022</v>
      </c>
      <c r="F529" s="28" t="str">
        <f t="shared" si="25"/>
        <v>Jun</v>
      </c>
      <c r="G529" s="17" t="s">
        <v>29</v>
      </c>
      <c r="H529" s="17" t="s">
        <v>23</v>
      </c>
      <c r="I529" s="24">
        <v>89561.459999999992</v>
      </c>
      <c r="J529" s="32">
        <v>37</v>
      </c>
      <c r="K529" s="17" t="s">
        <v>24</v>
      </c>
      <c r="L529" s="24">
        <v>645.79</v>
      </c>
      <c r="M529" s="24">
        <v>2420.58</v>
      </c>
      <c r="N529" s="34">
        <f>((sales_data_1[[#This Row],[Unit_Price]]*(1-sales_data_1[[#This Row],[Discount]]))-sales_data_1[[#This Row],[Unit_Cost]])*sales_data_1[[#This Row],[Quantity_Sold]]</f>
        <v>65667.23</v>
      </c>
      <c r="O529" s="17" t="s">
        <v>27</v>
      </c>
      <c r="P529" s="26">
        <v>0</v>
      </c>
      <c r="Q529" s="17" t="s">
        <v>18</v>
      </c>
      <c r="R529" s="17" t="s">
        <v>21</v>
      </c>
      <c r="S529" s="49" t="str">
        <f t="shared" si="26"/>
        <v>Charlie-South</v>
      </c>
      <c r="T529" s="59" t="str">
        <f>IF(ROUND(sales_data_1[[#This Row],[Profit_Margin]],2)=ROUND((sales_data_1[[#This Row],[Unit_Price]]*(1-sales_data_1[[#This Row],[Discount]]) - sales_data_1[[#This Row],[Unit_Cost]])*sales_data_1[[#This Row],[Quantity_Sold]],2), "PASS", "CHECK")</f>
        <v>PASS</v>
      </c>
    </row>
    <row r="530" spans="1:20" x14ac:dyDescent="0.35">
      <c r="A530" s="7">
        <v>529</v>
      </c>
      <c r="B530" s="9">
        <v>1079</v>
      </c>
      <c r="C530" s="7" t="str">
        <f>IFERROR(_xlfn.TEXTJOIN("-", TRUE, _xlfn.XLOOKUP(K530, product_category_id_lookup!$A$2:$A$5, product_category_id_lookup!$B$2:$B$5), B530), "Unknown Category")</f>
        <v>fd-1079</v>
      </c>
      <c r="D530" s="8">
        <v>44725</v>
      </c>
      <c r="E530" s="7">
        <f t="shared" si="24"/>
        <v>2022</v>
      </c>
      <c r="F530" s="28" t="str">
        <f t="shared" si="25"/>
        <v>Jun</v>
      </c>
      <c r="G530" s="17" t="s">
        <v>14</v>
      </c>
      <c r="H530" s="17" t="s">
        <v>15</v>
      </c>
      <c r="I530" s="24">
        <v>89410.670999999988</v>
      </c>
      <c r="J530" s="32">
        <v>30</v>
      </c>
      <c r="K530" s="17" t="s">
        <v>24</v>
      </c>
      <c r="L530" s="24">
        <v>317.07</v>
      </c>
      <c r="M530" s="24">
        <v>3590.79</v>
      </c>
      <c r="N530" s="34">
        <f>((sales_data_1[[#This Row],[Unit_Price]]*(1-sales_data_1[[#This Row],[Discount]]))-sales_data_1[[#This Row],[Unit_Cost]])*sales_data_1[[#This Row],[Quantity_Sold]]</f>
        <v>79898.570999999982</v>
      </c>
      <c r="O530" s="17" t="s">
        <v>17</v>
      </c>
      <c r="P530" s="26">
        <v>0.17</v>
      </c>
      <c r="Q530" s="17" t="s">
        <v>28</v>
      </c>
      <c r="R530" s="17" t="s">
        <v>21</v>
      </c>
      <c r="S530" s="49" t="str">
        <f t="shared" si="26"/>
        <v>Bob-North</v>
      </c>
      <c r="T530" s="59" t="str">
        <f>IF(ROUND(sales_data_1[[#This Row],[Profit_Margin]],2)=ROUND((sales_data_1[[#This Row],[Unit_Price]]*(1-sales_data_1[[#This Row],[Discount]]) - sales_data_1[[#This Row],[Unit_Cost]])*sales_data_1[[#This Row],[Quantity_Sold]],2), "PASS", "CHECK")</f>
        <v>PASS</v>
      </c>
    </row>
    <row r="531" spans="1:20" x14ac:dyDescent="0.35">
      <c r="A531" s="7">
        <v>530</v>
      </c>
      <c r="B531" s="9">
        <v>1084</v>
      </c>
      <c r="C531" s="7" t="str">
        <f>IFERROR(_xlfn.TEXTJOIN("-", TRUE, _xlfn.XLOOKUP(K531, product_category_id_lookup!$A$2:$A$5, product_category_id_lookup!$B$2:$B$5), B531), "Unknown Category")</f>
        <v>fnt-1084</v>
      </c>
      <c r="D531" s="8">
        <v>44726</v>
      </c>
      <c r="E531" s="7">
        <f t="shared" si="24"/>
        <v>2022</v>
      </c>
      <c r="F531" s="28" t="str">
        <f t="shared" si="25"/>
        <v>Jun</v>
      </c>
      <c r="G531" s="17" t="s">
        <v>33</v>
      </c>
      <c r="H531" s="17" t="s">
        <v>30</v>
      </c>
      <c r="I531" s="24">
        <v>36810.438499999997</v>
      </c>
      <c r="J531" s="32">
        <v>11</v>
      </c>
      <c r="K531" s="17" t="s">
        <v>16</v>
      </c>
      <c r="L531" s="24">
        <v>826.22</v>
      </c>
      <c r="M531" s="24">
        <v>3522.53</v>
      </c>
      <c r="N531" s="34">
        <f>((sales_data_1[[#This Row],[Unit_Price]]*(1-sales_data_1[[#This Row],[Discount]]))-sales_data_1[[#This Row],[Unit_Cost]])*sales_data_1[[#This Row],[Quantity_Sold]]</f>
        <v>27722.018500000002</v>
      </c>
      <c r="O531" s="17" t="s">
        <v>17</v>
      </c>
      <c r="P531" s="26">
        <v>0.05</v>
      </c>
      <c r="Q531" s="17" t="s">
        <v>25</v>
      </c>
      <c r="R531" s="17" t="s">
        <v>21</v>
      </c>
      <c r="S531" s="49" t="str">
        <f t="shared" si="26"/>
        <v>Alice-East</v>
      </c>
      <c r="T531" s="59" t="str">
        <f>IF(ROUND(sales_data_1[[#This Row],[Profit_Margin]],2)=ROUND((sales_data_1[[#This Row],[Unit_Price]]*(1-sales_data_1[[#This Row],[Discount]]) - sales_data_1[[#This Row],[Unit_Cost]])*sales_data_1[[#This Row],[Quantity_Sold]],2), "PASS", "CHECK")</f>
        <v>PASS</v>
      </c>
    </row>
    <row r="532" spans="1:20" x14ac:dyDescent="0.35">
      <c r="A532" s="7">
        <v>531</v>
      </c>
      <c r="B532" s="9">
        <v>1022</v>
      </c>
      <c r="C532" s="7" t="str">
        <f>IFERROR(_xlfn.TEXTJOIN("-", TRUE, _xlfn.XLOOKUP(K532, product_category_id_lookup!$A$2:$A$5, product_category_id_lookup!$B$2:$B$5), B532), "Unknown Category")</f>
        <v>fd-1022</v>
      </c>
      <c r="D532" s="8">
        <v>44727</v>
      </c>
      <c r="E532" s="7">
        <f t="shared" si="24"/>
        <v>2022</v>
      </c>
      <c r="F532" s="28" t="str">
        <f t="shared" si="25"/>
        <v>Jun</v>
      </c>
      <c r="G532" s="17" t="s">
        <v>22</v>
      </c>
      <c r="H532" s="17" t="s">
        <v>15</v>
      </c>
      <c r="I532" s="24">
        <v>4842.4459999999999</v>
      </c>
      <c r="J532" s="32">
        <v>2</v>
      </c>
      <c r="K532" s="17" t="s">
        <v>24</v>
      </c>
      <c r="L532" s="24">
        <v>696.3</v>
      </c>
      <c r="M532" s="24">
        <v>3458.89</v>
      </c>
      <c r="N532" s="34">
        <f>((sales_data_1[[#This Row],[Unit_Price]]*(1-sales_data_1[[#This Row],[Discount]]))-sales_data_1[[#This Row],[Unit_Cost]])*sales_data_1[[#This Row],[Quantity_Sold]]</f>
        <v>3449.846</v>
      </c>
      <c r="O532" s="17" t="s">
        <v>17</v>
      </c>
      <c r="P532" s="26">
        <v>0.3</v>
      </c>
      <c r="Q532" s="17" t="s">
        <v>25</v>
      </c>
      <c r="R532" s="17" t="s">
        <v>19</v>
      </c>
      <c r="S532" s="49" t="str">
        <f t="shared" si="26"/>
        <v>David-North</v>
      </c>
      <c r="T532" s="59" t="str">
        <f>IF(ROUND(sales_data_1[[#This Row],[Profit_Margin]],2)=ROUND((sales_data_1[[#This Row],[Unit_Price]]*(1-sales_data_1[[#This Row],[Discount]]) - sales_data_1[[#This Row],[Unit_Cost]])*sales_data_1[[#This Row],[Quantity_Sold]],2), "PASS", "CHECK")</f>
        <v>PASS</v>
      </c>
    </row>
    <row r="533" spans="1:20" x14ac:dyDescent="0.35">
      <c r="A533" s="7">
        <v>532</v>
      </c>
      <c r="B533" s="9">
        <v>1047</v>
      </c>
      <c r="C533" s="7" t="str">
        <f>IFERROR(_xlfn.TEXTJOIN("-", TRUE, _xlfn.XLOOKUP(K533, product_category_id_lookup!$A$2:$A$5, product_category_id_lookup!$B$2:$B$5), B533), "Unknown Category")</f>
        <v>fnt-1047</v>
      </c>
      <c r="D533" s="8">
        <v>44727</v>
      </c>
      <c r="E533" s="7">
        <f t="shared" si="24"/>
        <v>2022</v>
      </c>
      <c r="F533" s="28" t="str">
        <f t="shared" si="25"/>
        <v>Jun</v>
      </c>
      <c r="G533" s="17" t="s">
        <v>22</v>
      </c>
      <c r="H533" s="17" t="s">
        <v>20</v>
      </c>
      <c r="I533" s="24">
        <v>31297.0959</v>
      </c>
      <c r="J533" s="32">
        <v>23</v>
      </c>
      <c r="K533" s="17" t="s">
        <v>16</v>
      </c>
      <c r="L533" s="24">
        <v>659.2</v>
      </c>
      <c r="M533" s="24">
        <v>1679.93</v>
      </c>
      <c r="N533" s="34">
        <f>((sales_data_1[[#This Row],[Unit_Price]]*(1-sales_data_1[[#This Row],[Discount]]))-sales_data_1[[#This Row],[Unit_Cost]])*sales_data_1[[#This Row],[Quantity_Sold]]</f>
        <v>16135.495900000002</v>
      </c>
      <c r="O533" s="17" t="s">
        <v>17</v>
      </c>
      <c r="P533" s="26">
        <v>0.19</v>
      </c>
      <c r="Q533" s="17" t="s">
        <v>18</v>
      </c>
      <c r="R533" s="17" t="s">
        <v>21</v>
      </c>
      <c r="S533" s="49" t="str">
        <f t="shared" si="26"/>
        <v>David-West</v>
      </c>
      <c r="T533" s="59" t="str">
        <f>IF(ROUND(sales_data_1[[#This Row],[Profit_Margin]],2)=ROUND((sales_data_1[[#This Row],[Unit_Price]]*(1-sales_data_1[[#This Row],[Discount]]) - sales_data_1[[#This Row],[Unit_Cost]])*sales_data_1[[#This Row],[Quantity_Sold]],2), "PASS", "CHECK")</f>
        <v>PASS</v>
      </c>
    </row>
    <row r="534" spans="1:20" x14ac:dyDescent="0.35">
      <c r="A534" s="7">
        <v>533</v>
      </c>
      <c r="B534" s="9">
        <v>1040</v>
      </c>
      <c r="C534" s="7" t="str">
        <f>IFERROR(_xlfn.TEXTJOIN("-", TRUE, _xlfn.XLOOKUP(K534, product_category_id_lookup!$A$2:$A$5, product_category_id_lookup!$B$2:$B$5), B534), "Unknown Category")</f>
        <v>ctg-1040</v>
      </c>
      <c r="D534" s="8">
        <v>44727</v>
      </c>
      <c r="E534" s="7">
        <f t="shared" si="24"/>
        <v>2022</v>
      </c>
      <c r="F534" s="28" t="str">
        <f t="shared" si="25"/>
        <v>Jun</v>
      </c>
      <c r="G534" s="17" t="s">
        <v>22</v>
      </c>
      <c r="H534" s="17" t="s">
        <v>20</v>
      </c>
      <c r="I534" s="24">
        <v>100097.40240000001</v>
      </c>
      <c r="J534" s="32">
        <v>37</v>
      </c>
      <c r="K534" s="17" t="s">
        <v>26</v>
      </c>
      <c r="L534" s="24">
        <v>2108.1799999999998</v>
      </c>
      <c r="M534" s="24">
        <v>3757.41</v>
      </c>
      <c r="N534" s="34">
        <f>((sales_data_1[[#This Row],[Unit_Price]]*(1-sales_data_1[[#This Row],[Discount]]))-sales_data_1[[#This Row],[Unit_Cost]])*sales_data_1[[#This Row],[Quantity_Sold]]</f>
        <v>22094.742400000006</v>
      </c>
      <c r="O534" s="17" t="s">
        <v>17</v>
      </c>
      <c r="P534" s="26">
        <v>0.28000000000000003</v>
      </c>
      <c r="Q534" s="17" t="s">
        <v>18</v>
      </c>
      <c r="R534" s="17" t="s">
        <v>21</v>
      </c>
      <c r="S534" s="49" t="str">
        <f t="shared" si="26"/>
        <v>David-West</v>
      </c>
      <c r="T534" s="59" t="str">
        <f>IF(ROUND(sales_data_1[[#This Row],[Profit_Margin]],2)=ROUND((sales_data_1[[#This Row],[Unit_Price]]*(1-sales_data_1[[#This Row],[Discount]]) - sales_data_1[[#This Row],[Unit_Cost]])*sales_data_1[[#This Row],[Quantity_Sold]],2), "PASS", "CHECK")</f>
        <v>PASS</v>
      </c>
    </row>
    <row r="535" spans="1:20" x14ac:dyDescent="0.35">
      <c r="A535" s="7">
        <v>534</v>
      </c>
      <c r="B535" s="9">
        <v>1023</v>
      </c>
      <c r="C535" s="7" t="str">
        <f>IFERROR(_xlfn.TEXTJOIN("-", TRUE, _xlfn.XLOOKUP(K535, product_category_id_lookup!$A$2:$A$5, product_category_id_lookup!$B$2:$B$5), B535), "Unknown Category")</f>
        <v>fnt-1023</v>
      </c>
      <c r="D535" s="8">
        <v>44728</v>
      </c>
      <c r="E535" s="7">
        <f t="shared" si="24"/>
        <v>2022</v>
      </c>
      <c r="F535" s="28" t="str">
        <f t="shared" si="25"/>
        <v>Jun</v>
      </c>
      <c r="G535" s="17" t="s">
        <v>33</v>
      </c>
      <c r="H535" s="17" t="s">
        <v>20</v>
      </c>
      <c r="I535" s="24">
        <v>173925.87776606978</v>
      </c>
      <c r="J535" s="32">
        <v>38</v>
      </c>
      <c r="K535" s="17" t="s">
        <v>16</v>
      </c>
      <c r="L535" s="24">
        <v>3973.62</v>
      </c>
      <c r="M535" s="24">
        <v>4737.6499999999996</v>
      </c>
      <c r="N535" s="34">
        <f>((sales_data_1[[#This Row],[Unit_Price]]*(1-sales_data_1[[#This Row],[Discount]]))-sales_data_1[[#This Row],[Unit_Cost]])*sales_data_1[[#This Row],[Quantity_Sold]]</f>
        <v>23632.21899999999</v>
      </c>
      <c r="O535" s="17" t="s">
        <v>17</v>
      </c>
      <c r="P535" s="26">
        <v>0.03</v>
      </c>
      <c r="Q535" s="17" t="s">
        <v>18</v>
      </c>
      <c r="R535" s="17" t="s">
        <v>19</v>
      </c>
      <c r="S535" s="49" t="str">
        <f t="shared" si="26"/>
        <v>Alice-West</v>
      </c>
      <c r="T535" s="59" t="str">
        <f>IF(ROUND(sales_data_1[[#This Row],[Profit_Margin]],2)=ROUND((sales_data_1[[#This Row],[Unit_Price]]*(1-sales_data_1[[#This Row],[Discount]]) - sales_data_1[[#This Row],[Unit_Cost]])*sales_data_1[[#This Row],[Quantity_Sold]],2), "PASS", "CHECK")</f>
        <v>PASS</v>
      </c>
    </row>
    <row r="536" spans="1:20" x14ac:dyDescent="0.35">
      <c r="A536" s="7">
        <v>535</v>
      </c>
      <c r="B536" s="9">
        <v>1064</v>
      </c>
      <c r="C536" s="7" t="str">
        <f>IFERROR(_xlfn.TEXTJOIN("-", TRUE, _xlfn.XLOOKUP(K536, product_category_id_lookup!$A$2:$A$5, product_category_id_lookup!$B$2:$B$5), B536), "Unknown Category")</f>
        <v>etc-1064</v>
      </c>
      <c r="D536" s="8">
        <v>44728</v>
      </c>
      <c r="E536" s="7">
        <f t="shared" si="24"/>
        <v>2022</v>
      </c>
      <c r="F536" s="28" t="str">
        <f t="shared" si="25"/>
        <v>Jun</v>
      </c>
      <c r="G536" s="17" t="s">
        <v>29</v>
      </c>
      <c r="H536" s="17" t="s">
        <v>20</v>
      </c>
      <c r="I536" s="24">
        <v>67308.204599999997</v>
      </c>
      <c r="J536" s="32">
        <v>26</v>
      </c>
      <c r="K536" s="17" t="s">
        <v>31</v>
      </c>
      <c r="L536" s="24">
        <v>1663.39</v>
      </c>
      <c r="M536" s="24">
        <v>3546.27</v>
      </c>
      <c r="N536" s="34">
        <f>((sales_data_1[[#This Row],[Unit_Price]]*(1-sales_data_1[[#This Row],[Discount]]))-sales_data_1[[#This Row],[Unit_Cost]])*sales_data_1[[#This Row],[Quantity_Sold]]</f>
        <v>24060.064599999991</v>
      </c>
      <c r="O536" s="17" t="s">
        <v>27</v>
      </c>
      <c r="P536" s="26">
        <v>0.27</v>
      </c>
      <c r="Q536" s="17" t="s">
        <v>28</v>
      </c>
      <c r="R536" s="17" t="s">
        <v>21</v>
      </c>
      <c r="S536" s="49" t="str">
        <f t="shared" si="26"/>
        <v>Charlie-West</v>
      </c>
      <c r="T536" s="59" t="str">
        <f>IF(ROUND(sales_data_1[[#This Row],[Profit_Margin]],2)=ROUND((sales_data_1[[#This Row],[Unit_Price]]*(1-sales_data_1[[#This Row],[Discount]]) - sales_data_1[[#This Row],[Unit_Cost]])*sales_data_1[[#This Row],[Quantity_Sold]],2), "PASS", "CHECK")</f>
        <v>PASS</v>
      </c>
    </row>
    <row r="537" spans="1:20" x14ac:dyDescent="0.35">
      <c r="A537" s="7">
        <v>536</v>
      </c>
      <c r="B537" s="9">
        <v>1099</v>
      </c>
      <c r="C537" s="7" t="str">
        <f>IFERROR(_xlfn.TEXTJOIN("-", TRUE, _xlfn.XLOOKUP(K537, product_category_id_lookup!$A$2:$A$5, product_category_id_lookup!$B$2:$B$5), B537), "Unknown Category")</f>
        <v>etc-1099</v>
      </c>
      <c r="D537" s="8">
        <v>44728</v>
      </c>
      <c r="E537" s="7">
        <f t="shared" si="24"/>
        <v>2022</v>
      </c>
      <c r="F537" s="28" t="str">
        <f t="shared" si="25"/>
        <v>Jun</v>
      </c>
      <c r="G537" s="17" t="s">
        <v>33</v>
      </c>
      <c r="H537" s="17" t="s">
        <v>30</v>
      </c>
      <c r="I537" s="24">
        <v>33185.257999999994</v>
      </c>
      <c r="J537" s="32">
        <v>10</v>
      </c>
      <c r="K537" s="17" t="s">
        <v>31</v>
      </c>
      <c r="L537" s="24">
        <v>441.84</v>
      </c>
      <c r="M537" s="24">
        <v>4673.9799999999996</v>
      </c>
      <c r="N537" s="34">
        <f>((sales_data_1[[#This Row],[Unit_Price]]*(1-sales_data_1[[#This Row],[Discount]]))-sales_data_1[[#This Row],[Unit_Cost]])*sales_data_1[[#This Row],[Quantity_Sold]]</f>
        <v>28766.857999999993</v>
      </c>
      <c r="O537" s="17" t="s">
        <v>27</v>
      </c>
      <c r="P537" s="26">
        <v>0.28999999999999998</v>
      </c>
      <c r="Q537" s="17" t="s">
        <v>18</v>
      </c>
      <c r="R537" s="17" t="s">
        <v>19</v>
      </c>
      <c r="S537" s="49" t="str">
        <f t="shared" si="26"/>
        <v>Alice-East</v>
      </c>
      <c r="T537" s="59" t="str">
        <f>IF(ROUND(sales_data_1[[#This Row],[Profit_Margin]],2)=ROUND((sales_data_1[[#This Row],[Unit_Price]]*(1-sales_data_1[[#This Row],[Discount]]) - sales_data_1[[#This Row],[Unit_Cost]])*sales_data_1[[#This Row],[Quantity_Sold]],2), "PASS", "CHECK")</f>
        <v>PASS</v>
      </c>
    </row>
    <row r="538" spans="1:20" x14ac:dyDescent="0.35">
      <c r="A538" s="7">
        <v>537</v>
      </c>
      <c r="B538" s="9">
        <v>1097</v>
      </c>
      <c r="C538" s="7" t="str">
        <f>IFERROR(_xlfn.TEXTJOIN("-", TRUE, _xlfn.XLOOKUP(K538, product_category_id_lookup!$A$2:$A$5, product_category_id_lookup!$B$2:$B$5), B538), "Unknown Category")</f>
        <v>ctg-1097</v>
      </c>
      <c r="D538" s="8">
        <v>44728</v>
      </c>
      <c r="E538" s="7">
        <f t="shared" si="24"/>
        <v>2022</v>
      </c>
      <c r="F538" s="28" t="str">
        <f t="shared" si="25"/>
        <v>Jun</v>
      </c>
      <c r="G538" s="17" t="s">
        <v>14</v>
      </c>
      <c r="H538" s="17" t="s">
        <v>15</v>
      </c>
      <c r="I538" s="24">
        <v>100023.48999999999</v>
      </c>
      <c r="J538" s="32">
        <v>35</v>
      </c>
      <c r="K538" s="17" t="s">
        <v>26</v>
      </c>
      <c r="L538" s="24">
        <v>644.62</v>
      </c>
      <c r="M538" s="24">
        <v>2946.2</v>
      </c>
      <c r="N538" s="34">
        <f>((sales_data_1[[#This Row],[Unit_Price]]*(1-sales_data_1[[#This Row],[Discount]]))-sales_data_1[[#This Row],[Unit_Cost]])*sales_data_1[[#This Row],[Quantity_Sold]]</f>
        <v>77461.789999999994</v>
      </c>
      <c r="O538" s="17" t="s">
        <v>17</v>
      </c>
      <c r="P538" s="26">
        <v>0.03</v>
      </c>
      <c r="Q538" s="17" t="s">
        <v>18</v>
      </c>
      <c r="R538" s="17" t="s">
        <v>19</v>
      </c>
      <c r="S538" s="49" t="str">
        <f t="shared" si="26"/>
        <v>Bob-North</v>
      </c>
      <c r="T538" s="59" t="str">
        <f>IF(ROUND(sales_data_1[[#This Row],[Profit_Margin]],2)=ROUND((sales_data_1[[#This Row],[Unit_Price]]*(1-sales_data_1[[#This Row],[Discount]]) - sales_data_1[[#This Row],[Unit_Cost]])*sales_data_1[[#This Row],[Quantity_Sold]],2), "PASS", "CHECK")</f>
        <v>PASS</v>
      </c>
    </row>
    <row r="539" spans="1:20" x14ac:dyDescent="0.35">
      <c r="A539" s="7">
        <v>538</v>
      </c>
      <c r="B539" s="9">
        <v>1015</v>
      </c>
      <c r="C539" s="7" t="str">
        <f>IFERROR(_xlfn.TEXTJOIN("-", TRUE, _xlfn.XLOOKUP(K539, product_category_id_lookup!$A$2:$A$5, product_category_id_lookup!$B$2:$B$5), B539), "Unknown Category")</f>
        <v>fd-1015</v>
      </c>
      <c r="D539" s="8">
        <v>44728</v>
      </c>
      <c r="E539" s="7">
        <f t="shared" si="24"/>
        <v>2022</v>
      </c>
      <c r="F539" s="28" t="str">
        <f t="shared" si="25"/>
        <v>Jun</v>
      </c>
      <c r="G539" s="17" t="s">
        <v>33</v>
      </c>
      <c r="H539" s="17" t="s">
        <v>23</v>
      </c>
      <c r="I539" s="24">
        <v>157979.448</v>
      </c>
      <c r="J539" s="32">
        <v>40</v>
      </c>
      <c r="K539" s="17" t="s">
        <v>24</v>
      </c>
      <c r="L539" s="24">
        <v>1381.48</v>
      </c>
      <c r="M539" s="24">
        <v>3989.38</v>
      </c>
      <c r="N539" s="34">
        <f>((sales_data_1[[#This Row],[Unit_Price]]*(1-sales_data_1[[#This Row],[Discount]]))-sales_data_1[[#This Row],[Unit_Cost]])*sales_data_1[[#This Row],[Quantity_Sold]]</f>
        <v>102720.24800000001</v>
      </c>
      <c r="O539" s="17" t="s">
        <v>27</v>
      </c>
      <c r="P539" s="26">
        <v>0.01</v>
      </c>
      <c r="Q539" s="17" t="s">
        <v>25</v>
      </c>
      <c r="R539" s="17" t="s">
        <v>21</v>
      </c>
      <c r="S539" s="49" t="str">
        <f t="shared" si="26"/>
        <v>Alice-South</v>
      </c>
      <c r="T539" s="59" t="str">
        <f>IF(ROUND(sales_data_1[[#This Row],[Profit_Margin]],2)=ROUND((sales_data_1[[#This Row],[Unit_Price]]*(1-sales_data_1[[#This Row],[Discount]]) - sales_data_1[[#This Row],[Unit_Cost]])*sales_data_1[[#This Row],[Quantity_Sold]],2), "PASS", "CHECK")</f>
        <v>PASS</v>
      </c>
    </row>
    <row r="540" spans="1:20" x14ac:dyDescent="0.35">
      <c r="A540" s="7">
        <v>539</v>
      </c>
      <c r="B540" s="9">
        <v>1075</v>
      </c>
      <c r="C540" s="7" t="str">
        <f>IFERROR(_xlfn.TEXTJOIN("-", TRUE, _xlfn.XLOOKUP(K540, product_category_id_lookup!$A$2:$A$5, product_category_id_lookup!$B$2:$B$5), B540), "Unknown Category")</f>
        <v>ctg-1075</v>
      </c>
      <c r="D540" s="8">
        <v>44729</v>
      </c>
      <c r="E540" s="7">
        <f t="shared" si="24"/>
        <v>2022</v>
      </c>
      <c r="F540" s="28" t="str">
        <f t="shared" si="25"/>
        <v>Jun</v>
      </c>
      <c r="G540" s="17" t="s">
        <v>33</v>
      </c>
      <c r="H540" s="17" t="s">
        <v>15</v>
      </c>
      <c r="I540" s="24">
        <v>69231.737200000003</v>
      </c>
      <c r="J540" s="32">
        <v>43</v>
      </c>
      <c r="K540" s="17" t="s">
        <v>26</v>
      </c>
      <c r="L540" s="24">
        <v>162.76</v>
      </c>
      <c r="M540" s="24">
        <v>1872.14</v>
      </c>
      <c r="N540" s="34">
        <f>((sales_data_1[[#This Row],[Unit_Price]]*(1-sales_data_1[[#This Row],[Discount]]))-sales_data_1[[#This Row],[Unit_Cost]])*sales_data_1[[#This Row],[Quantity_Sold]]</f>
        <v>62233.057200000003</v>
      </c>
      <c r="O540" s="17" t="s">
        <v>17</v>
      </c>
      <c r="P540" s="26">
        <v>0.14000000000000001</v>
      </c>
      <c r="Q540" s="17" t="s">
        <v>28</v>
      </c>
      <c r="R540" s="17" t="s">
        <v>19</v>
      </c>
      <c r="S540" s="49" t="str">
        <f t="shared" si="26"/>
        <v>Alice-North</v>
      </c>
      <c r="T540" s="59" t="str">
        <f>IF(ROUND(sales_data_1[[#This Row],[Profit_Margin]],2)=ROUND((sales_data_1[[#This Row],[Unit_Price]]*(1-sales_data_1[[#This Row],[Discount]]) - sales_data_1[[#This Row],[Unit_Cost]])*sales_data_1[[#This Row],[Quantity_Sold]],2), "PASS", "CHECK")</f>
        <v>PASS</v>
      </c>
    </row>
    <row r="541" spans="1:20" x14ac:dyDescent="0.35">
      <c r="A541" s="7">
        <v>540</v>
      </c>
      <c r="B541" s="9">
        <v>1058</v>
      </c>
      <c r="C541" s="7" t="str">
        <f>IFERROR(_xlfn.TEXTJOIN("-", TRUE, _xlfn.XLOOKUP(K541, product_category_id_lookup!$A$2:$A$5, product_category_id_lookup!$B$2:$B$5), B541), "Unknown Category")</f>
        <v>ctg-1058</v>
      </c>
      <c r="D541" s="8">
        <v>44730</v>
      </c>
      <c r="E541" s="7">
        <f t="shared" si="24"/>
        <v>2022</v>
      </c>
      <c r="F541" s="28" t="str">
        <f t="shared" si="25"/>
        <v>Jun</v>
      </c>
      <c r="G541" s="17" t="s">
        <v>32</v>
      </c>
      <c r="H541" s="17" t="s">
        <v>20</v>
      </c>
      <c r="I541" s="24">
        <v>63637.299968105719</v>
      </c>
      <c r="J541" s="32">
        <v>21</v>
      </c>
      <c r="K541" s="17" t="s">
        <v>26</v>
      </c>
      <c r="L541" s="24">
        <v>2979.64</v>
      </c>
      <c r="M541" s="24">
        <v>3036.2</v>
      </c>
      <c r="N541" s="34">
        <f>((sales_data_1[[#This Row],[Unit_Price]]*(1-sales_data_1[[#This Row],[Discount]]))-sales_data_1[[#This Row],[Unit_Cost]])*sales_data_1[[#This Row],[Quantity_Sold]]</f>
        <v>1187.7599999999989</v>
      </c>
      <c r="O541" s="17" t="s">
        <v>17</v>
      </c>
      <c r="P541" s="26">
        <v>0</v>
      </c>
      <c r="Q541" s="17" t="s">
        <v>18</v>
      </c>
      <c r="R541" s="17" t="s">
        <v>19</v>
      </c>
      <c r="S541" s="49" t="str">
        <f t="shared" si="26"/>
        <v>Eve-West</v>
      </c>
      <c r="T541" s="59" t="str">
        <f>IF(ROUND(sales_data_1[[#This Row],[Profit_Margin]],2)=ROUND((sales_data_1[[#This Row],[Unit_Price]]*(1-sales_data_1[[#This Row],[Discount]]) - sales_data_1[[#This Row],[Unit_Cost]])*sales_data_1[[#This Row],[Quantity_Sold]],2), "PASS", "CHECK")</f>
        <v>PASS</v>
      </c>
    </row>
    <row r="542" spans="1:20" x14ac:dyDescent="0.35">
      <c r="A542" s="7">
        <v>541</v>
      </c>
      <c r="B542" s="9">
        <v>1024</v>
      </c>
      <c r="C542" s="7" t="str">
        <f>IFERROR(_xlfn.TEXTJOIN("-", TRUE, _xlfn.XLOOKUP(K542, product_category_id_lookup!$A$2:$A$5, product_category_id_lookup!$B$2:$B$5), B542), "Unknown Category")</f>
        <v>etc-1024</v>
      </c>
      <c r="D542" s="8">
        <v>44730</v>
      </c>
      <c r="E542" s="7">
        <f t="shared" si="24"/>
        <v>2022</v>
      </c>
      <c r="F542" s="28" t="str">
        <f t="shared" si="25"/>
        <v>Jun</v>
      </c>
      <c r="G542" s="17" t="s">
        <v>33</v>
      </c>
      <c r="H542" s="17" t="s">
        <v>15</v>
      </c>
      <c r="I542" s="24">
        <v>158358.51999999999</v>
      </c>
      <c r="J542" s="32">
        <v>37</v>
      </c>
      <c r="K542" s="17" t="s">
        <v>31</v>
      </c>
      <c r="L542" s="24">
        <v>1274.8800000000001</v>
      </c>
      <c r="M542" s="24">
        <v>4279.96</v>
      </c>
      <c r="N542" s="34">
        <f>((sales_data_1[[#This Row],[Unit_Price]]*(1-sales_data_1[[#This Row],[Discount]]))-sales_data_1[[#This Row],[Unit_Cost]])*sales_data_1[[#This Row],[Quantity_Sold]]</f>
        <v>111187.95999999999</v>
      </c>
      <c r="O542" s="17" t="s">
        <v>17</v>
      </c>
      <c r="P542" s="26">
        <v>0</v>
      </c>
      <c r="Q542" s="17" t="s">
        <v>18</v>
      </c>
      <c r="R542" s="17" t="s">
        <v>21</v>
      </c>
      <c r="S542" s="49" t="str">
        <f t="shared" si="26"/>
        <v>Alice-North</v>
      </c>
      <c r="T542" s="59" t="str">
        <f>IF(ROUND(sales_data_1[[#This Row],[Profit_Margin]],2)=ROUND((sales_data_1[[#This Row],[Unit_Price]]*(1-sales_data_1[[#This Row],[Discount]]) - sales_data_1[[#This Row],[Unit_Cost]])*sales_data_1[[#This Row],[Quantity_Sold]],2), "PASS", "CHECK")</f>
        <v>PASS</v>
      </c>
    </row>
    <row r="543" spans="1:20" x14ac:dyDescent="0.35">
      <c r="A543" s="7">
        <v>542</v>
      </c>
      <c r="B543" s="9">
        <v>1063</v>
      </c>
      <c r="C543" s="7" t="str">
        <f>IFERROR(_xlfn.TEXTJOIN("-", TRUE, _xlfn.XLOOKUP(K543, product_category_id_lookup!$A$2:$A$5, product_category_id_lookup!$B$2:$B$5), B543), "Unknown Category")</f>
        <v>fd-1063</v>
      </c>
      <c r="D543" s="8">
        <v>44731</v>
      </c>
      <c r="E543" s="7">
        <f t="shared" si="24"/>
        <v>2022</v>
      </c>
      <c r="F543" s="28" t="str">
        <f t="shared" si="25"/>
        <v>Jun</v>
      </c>
      <c r="G543" s="17" t="s">
        <v>33</v>
      </c>
      <c r="H543" s="17" t="s">
        <v>15</v>
      </c>
      <c r="I543" s="24">
        <v>234683.70408735817</v>
      </c>
      <c r="J543" s="32">
        <v>49</v>
      </c>
      <c r="K543" s="17" t="s">
        <v>24</v>
      </c>
      <c r="L543" s="24">
        <v>4705.99</v>
      </c>
      <c r="M543" s="24">
        <v>4950.04</v>
      </c>
      <c r="N543" s="34">
        <f>((sales_data_1[[#This Row],[Unit_Price]]*(1-sales_data_1[[#This Row],[Discount]]))-sales_data_1[[#This Row],[Unit_Cost]])*sales_data_1[[#This Row],[Quantity_Sold]]</f>
        <v>4681.8912000000237</v>
      </c>
      <c r="O543" s="17" t="s">
        <v>17</v>
      </c>
      <c r="P543" s="26">
        <v>0.03</v>
      </c>
      <c r="Q543" s="17" t="s">
        <v>28</v>
      </c>
      <c r="R543" s="17" t="s">
        <v>21</v>
      </c>
      <c r="S543" s="49" t="str">
        <f t="shared" si="26"/>
        <v>Alice-North</v>
      </c>
      <c r="T543" s="59" t="str">
        <f>IF(ROUND(sales_data_1[[#This Row],[Profit_Margin]],2)=ROUND((sales_data_1[[#This Row],[Unit_Price]]*(1-sales_data_1[[#This Row],[Discount]]) - sales_data_1[[#This Row],[Unit_Cost]])*sales_data_1[[#This Row],[Quantity_Sold]],2), "PASS", "CHECK")</f>
        <v>PASS</v>
      </c>
    </row>
    <row r="544" spans="1:20" x14ac:dyDescent="0.35">
      <c r="A544" s="7">
        <v>543</v>
      </c>
      <c r="B544" s="9">
        <v>1001</v>
      </c>
      <c r="C544" s="7" t="str">
        <f>IFERROR(_xlfn.TEXTJOIN("-", TRUE, _xlfn.XLOOKUP(K544, product_category_id_lookup!$A$2:$A$5, product_category_id_lookup!$B$2:$B$5), B544), "Unknown Category")</f>
        <v>ctg-1001</v>
      </c>
      <c r="D544" s="8">
        <v>44731</v>
      </c>
      <c r="E544" s="7">
        <f t="shared" si="24"/>
        <v>2022</v>
      </c>
      <c r="F544" s="28" t="str">
        <f t="shared" si="25"/>
        <v>Jun</v>
      </c>
      <c r="G544" s="17" t="s">
        <v>29</v>
      </c>
      <c r="H544" s="17" t="s">
        <v>15</v>
      </c>
      <c r="I544" s="24">
        <v>40569.802200000006</v>
      </c>
      <c r="J544" s="32">
        <v>18</v>
      </c>
      <c r="K544" s="17" t="s">
        <v>26</v>
      </c>
      <c r="L544" s="24">
        <v>507.88</v>
      </c>
      <c r="M544" s="24">
        <v>2853.01</v>
      </c>
      <c r="N544" s="34">
        <f>((sales_data_1[[#This Row],[Unit_Price]]*(1-sales_data_1[[#This Row],[Discount]]))-sales_data_1[[#This Row],[Unit_Cost]])*sales_data_1[[#This Row],[Quantity_Sold]]</f>
        <v>31427.962200000005</v>
      </c>
      <c r="O544" s="17" t="s">
        <v>17</v>
      </c>
      <c r="P544" s="26">
        <v>0.21</v>
      </c>
      <c r="Q544" s="17" t="s">
        <v>18</v>
      </c>
      <c r="R544" s="17" t="s">
        <v>21</v>
      </c>
      <c r="S544" s="49" t="str">
        <f t="shared" si="26"/>
        <v>Charlie-North</v>
      </c>
      <c r="T544" s="59" t="str">
        <f>IF(ROUND(sales_data_1[[#This Row],[Profit_Margin]],2)=ROUND((sales_data_1[[#This Row],[Unit_Price]]*(1-sales_data_1[[#This Row],[Discount]]) - sales_data_1[[#This Row],[Unit_Cost]])*sales_data_1[[#This Row],[Quantity_Sold]],2), "PASS", "CHECK")</f>
        <v>PASS</v>
      </c>
    </row>
    <row r="545" spans="1:20" x14ac:dyDescent="0.35">
      <c r="A545" s="7">
        <v>544</v>
      </c>
      <c r="B545" s="9">
        <v>1045</v>
      </c>
      <c r="C545" s="7" t="str">
        <f>IFERROR(_xlfn.TEXTJOIN("-", TRUE, _xlfn.XLOOKUP(K545, product_category_id_lookup!$A$2:$A$5, product_category_id_lookup!$B$2:$B$5), B545), "Unknown Category")</f>
        <v>ctg-1045</v>
      </c>
      <c r="D545" s="8">
        <v>44731</v>
      </c>
      <c r="E545" s="7">
        <f t="shared" si="24"/>
        <v>2022</v>
      </c>
      <c r="F545" s="28" t="str">
        <f t="shared" si="25"/>
        <v>Jun</v>
      </c>
      <c r="G545" s="17" t="s">
        <v>22</v>
      </c>
      <c r="H545" s="17" t="s">
        <v>20</v>
      </c>
      <c r="I545" s="24">
        <v>174647.40480000002</v>
      </c>
      <c r="J545" s="32">
        <v>41</v>
      </c>
      <c r="K545" s="17" t="s">
        <v>26</v>
      </c>
      <c r="L545" s="24">
        <v>2454.27</v>
      </c>
      <c r="M545" s="24">
        <v>4840.5600000000004</v>
      </c>
      <c r="N545" s="34">
        <f>((sales_data_1[[#This Row],[Unit_Price]]*(1-sales_data_1[[#This Row],[Discount]]))-sales_data_1[[#This Row],[Unit_Cost]])*sales_data_1[[#This Row],[Quantity_Sold]]</f>
        <v>74022.334800000026</v>
      </c>
      <c r="O545" s="17" t="s">
        <v>27</v>
      </c>
      <c r="P545" s="26">
        <v>0.12</v>
      </c>
      <c r="Q545" s="17" t="s">
        <v>18</v>
      </c>
      <c r="R545" s="17" t="s">
        <v>21</v>
      </c>
      <c r="S545" s="49" t="str">
        <f t="shared" si="26"/>
        <v>David-West</v>
      </c>
      <c r="T545" s="59" t="str">
        <f>IF(ROUND(sales_data_1[[#This Row],[Profit_Margin]],2)=ROUND((sales_data_1[[#This Row],[Unit_Price]]*(1-sales_data_1[[#This Row],[Discount]]) - sales_data_1[[#This Row],[Unit_Cost]])*sales_data_1[[#This Row],[Quantity_Sold]],2), "PASS", "CHECK")</f>
        <v>PASS</v>
      </c>
    </row>
    <row r="546" spans="1:20" x14ac:dyDescent="0.35">
      <c r="A546" s="7">
        <v>545</v>
      </c>
      <c r="B546" s="9">
        <v>1013</v>
      </c>
      <c r="C546" s="7" t="str">
        <f>IFERROR(_xlfn.TEXTJOIN("-", TRUE, _xlfn.XLOOKUP(K546, product_category_id_lookup!$A$2:$A$5, product_category_id_lookup!$B$2:$B$5), B546), "Unknown Category")</f>
        <v>etc-1013</v>
      </c>
      <c r="D546" s="8">
        <v>44732</v>
      </c>
      <c r="E546" s="7">
        <f t="shared" si="24"/>
        <v>2022</v>
      </c>
      <c r="F546" s="28" t="str">
        <f t="shared" si="25"/>
        <v>Jun</v>
      </c>
      <c r="G546" s="17" t="s">
        <v>33</v>
      </c>
      <c r="H546" s="17" t="s">
        <v>15</v>
      </c>
      <c r="I546" s="24">
        <v>7511.6880000000001</v>
      </c>
      <c r="J546" s="32">
        <v>3</v>
      </c>
      <c r="K546" s="17" t="s">
        <v>31</v>
      </c>
      <c r="L546" s="24">
        <v>2108.17</v>
      </c>
      <c r="M546" s="24">
        <v>3294.6</v>
      </c>
      <c r="N546" s="34">
        <f>((sales_data_1[[#This Row],[Unit_Price]]*(1-sales_data_1[[#This Row],[Discount]]))-sales_data_1[[#This Row],[Unit_Cost]])*sales_data_1[[#This Row],[Quantity_Sold]]</f>
        <v>1187.1780000000003</v>
      </c>
      <c r="O546" s="17" t="s">
        <v>27</v>
      </c>
      <c r="P546" s="26">
        <v>0.24</v>
      </c>
      <c r="Q546" s="17" t="s">
        <v>18</v>
      </c>
      <c r="R546" s="17" t="s">
        <v>21</v>
      </c>
      <c r="S546" s="49" t="str">
        <f t="shared" si="26"/>
        <v>Alice-North</v>
      </c>
      <c r="T546" s="59" t="str">
        <f>IF(ROUND(sales_data_1[[#This Row],[Profit_Margin]],2)=ROUND((sales_data_1[[#This Row],[Unit_Price]]*(1-sales_data_1[[#This Row],[Discount]]) - sales_data_1[[#This Row],[Unit_Cost]])*sales_data_1[[#This Row],[Quantity_Sold]],2), "PASS", "CHECK")</f>
        <v>PASS</v>
      </c>
    </row>
    <row r="547" spans="1:20" x14ac:dyDescent="0.35">
      <c r="A547" s="7">
        <v>546</v>
      </c>
      <c r="B547" s="9">
        <v>1017</v>
      </c>
      <c r="C547" s="7" t="str">
        <f>IFERROR(_xlfn.TEXTJOIN("-", TRUE, _xlfn.XLOOKUP(K547, product_category_id_lookup!$A$2:$A$5, product_category_id_lookup!$B$2:$B$5), B547), "Unknown Category")</f>
        <v>fnt-1017</v>
      </c>
      <c r="D547" s="8">
        <v>44732</v>
      </c>
      <c r="E547" s="7">
        <f t="shared" si="24"/>
        <v>2022</v>
      </c>
      <c r="F547" s="28" t="str">
        <f t="shared" si="25"/>
        <v>Jun</v>
      </c>
      <c r="G547" s="17" t="s">
        <v>29</v>
      </c>
      <c r="H547" s="17" t="s">
        <v>30</v>
      </c>
      <c r="I547" s="24">
        <v>69488.243999999992</v>
      </c>
      <c r="J547" s="32">
        <v>18</v>
      </c>
      <c r="K547" s="17" t="s">
        <v>16</v>
      </c>
      <c r="L547" s="24">
        <v>3241.59</v>
      </c>
      <c r="M547" s="24">
        <v>4063.64</v>
      </c>
      <c r="N547" s="34">
        <f>((sales_data_1[[#This Row],[Unit_Price]]*(1-sales_data_1[[#This Row],[Discount]]))-sales_data_1[[#This Row],[Unit_Cost]])*sales_data_1[[#This Row],[Quantity_Sold]]</f>
        <v>11139.623999999991</v>
      </c>
      <c r="O547" s="17" t="s">
        <v>17</v>
      </c>
      <c r="P547" s="26">
        <v>0.05</v>
      </c>
      <c r="Q547" s="17" t="s">
        <v>18</v>
      </c>
      <c r="R547" s="17" t="s">
        <v>21</v>
      </c>
      <c r="S547" s="49" t="str">
        <f t="shared" si="26"/>
        <v>Charlie-East</v>
      </c>
      <c r="T547" s="59" t="str">
        <f>IF(ROUND(sales_data_1[[#This Row],[Profit_Margin]],2)=ROUND((sales_data_1[[#This Row],[Unit_Price]]*(1-sales_data_1[[#This Row],[Discount]]) - sales_data_1[[#This Row],[Unit_Cost]])*sales_data_1[[#This Row],[Quantity_Sold]],2), "PASS", "CHECK")</f>
        <v>PASS</v>
      </c>
    </row>
    <row r="548" spans="1:20" x14ac:dyDescent="0.35">
      <c r="A548" s="7">
        <v>547</v>
      </c>
      <c r="B548" s="9">
        <v>1005</v>
      </c>
      <c r="C548" s="7" t="str">
        <f>IFERROR(_xlfn.TEXTJOIN("-", TRUE, _xlfn.XLOOKUP(K548, product_category_id_lookup!$A$2:$A$5, product_category_id_lookup!$B$2:$B$5), B548), "Unknown Category")</f>
        <v>ctg-1005</v>
      </c>
      <c r="D548" s="8">
        <v>44732</v>
      </c>
      <c r="E548" s="7">
        <f t="shared" si="24"/>
        <v>2022</v>
      </c>
      <c r="F548" s="28" t="str">
        <f t="shared" si="25"/>
        <v>Jun</v>
      </c>
      <c r="G548" s="17" t="s">
        <v>22</v>
      </c>
      <c r="H548" s="17" t="s">
        <v>30</v>
      </c>
      <c r="I548" s="24">
        <v>104143.23722060233</v>
      </c>
      <c r="J548" s="32">
        <v>33</v>
      </c>
      <c r="K548" s="17" t="s">
        <v>26</v>
      </c>
      <c r="L548" s="24">
        <v>2542.62</v>
      </c>
      <c r="M548" s="24">
        <v>3300.84</v>
      </c>
      <c r="N548" s="34">
        <f>((sales_data_1[[#This Row],[Unit_Price]]*(1-sales_data_1[[#This Row],[Discount]]))-sales_data_1[[#This Row],[Unit_Cost]])*sales_data_1[[#This Row],[Quantity_Sold]]</f>
        <v>20664.1512</v>
      </c>
      <c r="O548" s="17" t="s">
        <v>27</v>
      </c>
      <c r="P548" s="26">
        <v>0.04</v>
      </c>
      <c r="Q548" s="17" t="s">
        <v>25</v>
      </c>
      <c r="R548" s="17" t="s">
        <v>19</v>
      </c>
      <c r="S548" s="49" t="str">
        <f t="shared" si="26"/>
        <v>David-East</v>
      </c>
      <c r="T548" s="59" t="str">
        <f>IF(ROUND(sales_data_1[[#This Row],[Profit_Margin]],2)=ROUND((sales_data_1[[#This Row],[Unit_Price]]*(1-sales_data_1[[#This Row],[Discount]]) - sales_data_1[[#This Row],[Unit_Cost]])*sales_data_1[[#This Row],[Quantity_Sold]],2), "PASS", "CHECK")</f>
        <v>PASS</v>
      </c>
    </row>
    <row r="549" spans="1:20" x14ac:dyDescent="0.35">
      <c r="A549" s="7">
        <v>548</v>
      </c>
      <c r="B549" s="9">
        <v>1042</v>
      </c>
      <c r="C549" s="7" t="str">
        <f>IFERROR(_xlfn.TEXTJOIN("-", TRUE, _xlfn.XLOOKUP(K549, product_category_id_lookup!$A$2:$A$5, product_category_id_lookup!$B$2:$B$5), B549), "Unknown Category")</f>
        <v>fd-1042</v>
      </c>
      <c r="D549" s="8">
        <v>44732</v>
      </c>
      <c r="E549" s="7">
        <f t="shared" si="24"/>
        <v>2022</v>
      </c>
      <c r="F549" s="28" t="str">
        <f t="shared" si="25"/>
        <v>Jun</v>
      </c>
      <c r="G549" s="17" t="s">
        <v>22</v>
      </c>
      <c r="H549" s="17" t="s">
        <v>15</v>
      </c>
      <c r="I549" s="24">
        <v>73850.38</v>
      </c>
      <c r="J549" s="32">
        <v>17</v>
      </c>
      <c r="K549" s="17" t="s">
        <v>24</v>
      </c>
      <c r="L549" s="24">
        <v>1977.84</v>
      </c>
      <c r="M549" s="24">
        <v>4344.1400000000003</v>
      </c>
      <c r="N549" s="34">
        <f>((sales_data_1[[#This Row],[Unit_Price]]*(1-sales_data_1[[#This Row],[Discount]]))-sales_data_1[[#This Row],[Unit_Cost]])*sales_data_1[[#This Row],[Quantity_Sold]]</f>
        <v>40227.100000000006</v>
      </c>
      <c r="O549" s="17" t="s">
        <v>17</v>
      </c>
      <c r="P549" s="26">
        <v>0</v>
      </c>
      <c r="Q549" s="17" t="s">
        <v>25</v>
      </c>
      <c r="R549" s="17" t="s">
        <v>21</v>
      </c>
      <c r="S549" s="49" t="str">
        <f t="shared" si="26"/>
        <v>David-North</v>
      </c>
      <c r="T549" s="59" t="str">
        <f>IF(ROUND(sales_data_1[[#This Row],[Profit_Margin]],2)=ROUND((sales_data_1[[#This Row],[Unit_Price]]*(1-sales_data_1[[#This Row],[Discount]]) - sales_data_1[[#This Row],[Unit_Cost]])*sales_data_1[[#This Row],[Quantity_Sold]],2), "PASS", "CHECK")</f>
        <v>PASS</v>
      </c>
    </row>
    <row r="550" spans="1:20" x14ac:dyDescent="0.35">
      <c r="A550" s="7">
        <v>549</v>
      </c>
      <c r="B550" s="9">
        <v>1044</v>
      </c>
      <c r="C550" s="7" t="str">
        <f>IFERROR(_xlfn.TEXTJOIN("-", TRUE, _xlfn.XLOOKUP(K550, product_category_id_lookup!$A$2:$A$5, product_category_id_lookup!$B$2:$B$5), B550), "Unknown Category")</f>
        <v>fnt-1044</v>
      </c>
      <c r="D550" s="8">
        <v>44733</v>
      </c>
      <c r="E550" s="7">
        <f t="shared" si="24"/>
        <v>2022</v>
      </c>
      <c r="F550" s="28" t="str">
        <f t="shared" si="25"/>
        <v>Jun</v>
      </c>
      <c r="G550" s="17" t="s">
        <v>14</v>
      </c>
      <c r="H550" s="17" t="s">
        <v>15</v>
      </c>
      <c r="I550" s="24">
        <v>17412.552</v>
      </c>
      <c r="J550" s="32">
        <v>8</v>
      </c>
      <c r="K550" s="17" t="s">
        <v>16</v>
      </c>
      <c r="L550" s="24">
        <v>1461.7</v>
      </c>
      <c r="M550" s="24">
        <v>2418.41</v>
      </c>
      <c r="N550" s="34">
        <f>((sales_data_1[[#This Row],[Unit_Price]]*(1-sales_data_1[[#This Row],[Discount]]))-sales_data_1[[#This Row],[Unit_Cost]])*sales_data_1[[#This Row],[Quantity_Sold]]</f>
        <v>5718.9519999999993</v>
      </c>
      <c r="O550" s="17" t="s">
        <v>17</v>
      </c>
      <c r="P550" s="26">
        <v>0.1</v>
      </c>
      <c r="Q550" s="17" t="s">
        <v>25</v>
      </c>
      <c r="R550" s="17" t="s">
        <v>21</v>
      </c>
      <c r="S550" s="49" t="str">
        <f t="shared" si="26"/>
        <v>Bob-North</v>
      </c>
      <c r="T550" s="59" t="str">
        <f>IF(ROUND(sales_data_1[[#This Row],[Profit_Margin]],2)=ROUND((sales_data_1[[#This Row],[Unit_Price]]*(1-sales_data_1[[#This Row],[Discount]]) - sales_data_1[[#This Row],[Unit_Cost]])*sales_data_1[[#This Row],[Quantity_Sold]],2), "PASS", "CHECK")</f>
        <v>PASS</v>
      </c>
    </row>
    <row r="551" spans="1:20" x14ac:dyDescent="0.35">
      <c r="A551" s="7">
        <v>550</v>
      </c>
      <c r="B551" s="9">
        <v>1026</v>
      </c>
      <c r="C551" s="7" t="str">
        <f>IFERROR(_xlfn.TEXTJOIN("-", TRUE, _xlfn.XLOOKUP(K551, product_category_id_lookup!$A$2:$A$5, product_category_id_lookup!$B$2:$B$5), B551), "Unknown Category")</f>
        <v>fd-1026</v>
      </c>
      <c r="D551" s="8">
        <v>44734</v>
      </c>
      <c r="E551" s="7">
        <f t="shared" si="24"/>
        <v>2022</v>
      </c>
      <c r="F551" s="28" t="str">
        <f t="shared" si="25"/>
        <v>Jun</v>
      </c>
      <c r="G551" s="17" t="s">
        <v>22</v>
      </c>
      <c r="H551" s="17" t="s">
        <v>20</v>
      </c>
      <c r="I551" s="24">
        <v>7064.5511999999999</v>
      </c>
      <c r="J551" s="32">
        <v>2</v>
      </c>
      <c r="K551" s="17" t="s">
        <v>24</v>
      </c>
      <c r="L551" s="24">
        <v>1162.42</v>
      </c>
      <c r="M551" s="24">
        <v>3839.43</v>
      </c>
      <c r="N551" s="34">
        <f>((sales_data_1[[#This Row],[Unit_Price]]*(1-sales_data_1[[#This Row],[Discount]]))-sales_data_1[[#This Row],[Unit_Cost]])*sales_data_1[[#This Row],[Quantity_Sold]]</f>
        <v>4739.7111999999997</v>
      </c>
      <c r="O551" s="17" t="s">
        <v>27</v>
      </c>
      <c r="P551" s="26">
        <v>0.08</v>
      </c>
      <c r="Q551" s="17" t="s">
        <v>25</v>
      </c>
      <c r="R551" s="17" t="s">
        <v>21</v>
      </c>
      <c r="S551" s="49" t="str">
        <f t="shared" si="26"/>
        <v>David-West</v>
      </c>
      <c r="T551" s="59" t="str">
        <f>IF(ROUND(sales_data_1[[#This Row],[Profit_Margin]],2)=ROUND((sales_data_1[[#This Row],[Unit_Price]]*(1-sales_data_1[[#This Row],[Discount]]) - sales_data_1[[#This Row],[Unit_Cost]])*sales_data_1[[#This Row],[Quantity_Sold]],2), "PASS", "CHECK")</f>
        <v>PASS</v>
      </c>
    </row>
    <row r="552" spans="1:20" x14ac:dyDescent="0.35">
      <c r="A552" s="7">
        <v>551</v>
      </c>
      <c r="B552" s="9">
        <v>1013</v>
      </c>
      <c r="C552" s="7" t="str">
        <f>IFERROR(_xlfn.TEXTJOIN("-", TRUE, _xlfn.XLOOKUP(K552, product_category_id_lookup!$A$2:$A$5, product_category_id_lookup!$B$2:$B$5), B552), "Unknown Category")</f>
        <v>fnt-1013</v>
      </c>
      <c r="D552" s="8">
        <v>44734</v>
      </c>
      <c r="E552" s="7">
        <f t="shared" si="24"/>
        <v>2022</v>
      </c>
      <c r="F552" s="28" t="str">
        <f t="shared" si="25"/>
        <v>Jun</v>
      </c>
      <c r="G552" s="17" t="s">
        <v>32</v>
      </c>
      <c r="H552" s="17" t="s">
        <v>30</v>
      </c>
      <c r="I552" s="24">
        <v>41563.913399999998</v>
      </c>
      <c r="J552" s="32">
        <v>9</v>
      </c>
      <c r="K552" s="17" t="s">
        <v>16</v>
      </c>
      <c r="L552" s="24">
        <v>3080.15</v>
      </c>
      <c r="M552" s="24">
        <v>4965.82</v>
      </c>
      <c r="N552" s="34">
        <f>((sales_data_1[[#This Row],[Unit_Price]]*(1-sales_data_1[[#This Row],[Discount]]))-sales_data_1[[#This Row],[Unit_Cost]])*sales_data_1[[#This Row],[Quantity_Sold]]</f>
        <v>13842.563399999997</v>
      </c>
      <c r="O552" s="17" t="s">
        <v>17</v>
      </c>
      <c r="P552" s="26">
        <v>7.0000000000000007E-2</v>
      </c>
      <c r="Q552" s="17" t="s">
        <v>25</v>
      </c>
      <c r="R552" s="17" t="s">
        <v>21</v>
      </c>
      <c r="S552" s="49" t="str">
        <f t="shared" si="26"/>
        <v>Eve-East</v>
      </c>
      <c r="T552" s="59" t="str">
        <f>IF(ROUND(sales_data_1[[#This Row],[Profit_Margin]],2)=ROUND((sales_data_1[[#This Row],[Unit_Price]]*(1-sales_data_1[[#This Row],[Discount]]) - sales_data_1[[#This Row],[Unit_Cost]])*sales_data_1[[#This Row],[Quantity_Sold]],2), "PASS", "CHECK")</f>
        <v>PASS</v>
      </c>
    </row>
    <row r="553" spans="1:20" x14ac:dyDescent="0.35">
      <c r="A553" s="7">
        <v>552</v>
      </c>
      <c r="B553" s="9">
        <v>1048</v>
      </c>
      <c r="C553" s="7" t="str">
        <f>IFERROR(_xlfn.TEXTJOIN("-", TRUE, _xlfn.XLOOKUP(K553, product_category_id_lookup!$A$2:$A$5, product_category_id_lookup!$B$2:$B$5), B553), "Unknown Category")</f>
        <v>ctg-1048</v>
      </c>
      <c r="D553" s="8">
        <v>44734</v>
      </c>
      <c r="E553" s="7">
        <f t="shared" si="24"/>
        <v>2022</v>
      </c>
      <c r="F553" s="28" t="str">
        <f t="shared" si="25"/>
        <v>Jun</v>
      </c>
      <c r="G553" s="17" t="s">
        <v>32</v>
      </c>
      <c r="H553" s="17" t="s">
        <v>23</v>
      </c>
      <c r="I553" s="24">
        <v>84049.000200000009</v>
      </c>
      <c r="J553" s="32">
        <v>33</v>
      </c>
      <c r="K553" s="17" t="s">
        <v>26</v>
      </c>
      <c r="L553" s="24">
        <v>2044.13</v>
      </c>
      <c r="M553" s="24">
        <v>2709.51</v>
      </c>
      <c r="N553" s="34">
        <f>((sales_data_1[[#This Row],[Unit_Price]]*(1-sales_data_1[[#This Row],[Discount]]))-sales_data_1[[#This Row],[Unit_Cost]])*sales_data_1[[#This Row],[Quantity_Sold]]</f>
        <v>16592.710200000001</v>
      </c>
      <c r="O553" s="17" t="s">
        <v>17</v>
      </c>
      <c r="P553" s="26">
        <v>0.06</v>
      </c>
      <c r="Q553" s="17" t="s">
        <v>18</v>
      </c>
      <c r="R553" s="17" t="s">
        <v>21</v>
      </c>
      <c r="S553" s="49" t="str">
        <f t="shared" si="26"/>
        <v>Eve-South</v>
      </c>
      <c r="T553" s="59" t="str">
        <f>IF(ROUND(sales_data_1[[#This Row],[Profit_Margin]],2)=ROUND((sales_data_1[[#This Row],[Unit_Price]]*(1-sales_data_1[[#This Row],[Discount]]) - sales_data_1[[#This Row],[Unit_Cost]])*sales_data_1[[#This Row],[Quantity_Sold]],2), "PASS", "CHECK")</f>
        <v>PASS</v>
      </c>
    </row>
    <row r="554" spans="1:20" x14ac:dyDescent="0.35">
      <c r="A554" s="7">
        <v>553</v>
      </c>
      <c r="B554" s="9">
        <v>1005</v>
      </c>
      <c r="C554" s="7" t="str">
        <f>IFERROR(_xlfn.TEXTJOIN("-", TRUE, _xlfn.XLOOKUP(K554, product_category_id_lookup!$A$2:$A$5, product_category_id_lookup!$B$2:$B$5), B554), "Unknown Category")</f>
        <v>etc-1005</v>
      </c>
      <c r="D554" s="8">
        <v>44734</v>
      </c>
      <c r="E554" s="7">
        <f t="shared" si="24"/>
        <v>2022</v>
      </c>
      <c r="F554" s="28" t="str">
        <f t="shared" si="25"/>
        <v>Jun</v>
      </c>
      <c r="G554" s="17" t="s">
        <v>29</v>
      </c>
      <c r="H554" s="17" t="s">
        <v>15</v>
      </c>
      <c r="I554" s="24">
        <v>147183.30120000002</v>
      </c>
      <c r="J554" s="32">
        <v>39</v>
      </c>
      <c r="K554" s="17" t="s">
        <v>31</v>
      </c>
      <c r="L554" s="24">
        <v>2171.83</v>
      </c>
      <c r="M554" s="24">
        <v>4014.82</v>
      </c>
      <c r="N554" s="34">
        <f>((sales_data_1[[#This Row],[Unit_Price]]*(1-sales_data_1[[#This Row],[Discount]]))-sales_data_1[[#This Row],[Unit_Cost]])*sales_data_1[[#This Row],[Quantity_Sold]]</f>
        <v>62481.931200000006</v>
      </c>
      <c r="O554" s="17" t="s">
        <v>17</v>
      </c>
      <c r="P554" s="26">
        <v>0.06</v>
      </c>
      <c r="Q554" s="17" t="s">
        <v>18</v>
      </c>
      <c r="R554" s="17" t="s">
        <v>19</v>
      </c>
      <c r="S554" s="49" t="str">
        <f t="shared" si="26"/>
        <v>Charlie-North</v>
      </c>
      <c r="T554" s="59" t="str">
        <f>IF(ROUND(sales_data_1[[#This Row],[Profit_Margin]],2)=ROUND((sales_data_1[[#This Row],[Unit_Price]]*(1-sales_data_1[[#This Row],[Discount]]) - sales_data_1[[#This Row],[Unit_Cost]])*sales_data_1[[#This Row],[Quantity_Sold]],2), "PASS", "CHECK")</f>
        <v>PASS</v>
      </c>
    </row>
    <row r="555" spans="1:20" x14ac:dyDescent="0.35">
      <c r="A555" s="7">
        <v>554</v>
      </c>
      <c r="B555" s="9">
        <v>1075</v>
      </c>
      <c r="C555" s="7" t="str">
        <f>IFERROR(_xlfn.TEXTJOIN("-", TRUE, _xlfn.XLOOKUP(K555, product_category_id_lookup!$A$2:$A$5, product_category_id_lookup!$B$2:$B$5), B555), "Unknown Category")</f>
        <v>etc-1075</v>
      </c>
      <c r="D555" s="8">
        <v>44734</v>
      </c>
      <c r="E555" s="7">
        <f t="shared" si="24"/>
        <v>2022</v>
      </c>
      <c r="F555" s="28" t="str">
        <f t="shared" si="25"/>
        <v>Jun</v>
      </c>
      <c r="G555" s="17" t="s">
        <v>14</v>
      </c>
      <c r="H555" s="17" t="s">
        <v>23</v>
      </c>
      <c r="I555" s="24">
        <v>127260.08399999999</v>
      </c>
      <c r="J555" s="32">
        <v>31</v>
      </c>
      <c r="K555" s="17" t="s">
        <v>31</v>
      </c>
      <c r="L555" s="24">
        <v>1858.45</v>
      </c>
      <c r="M555" s="24">
        <v>4887.1000000000004</v>
      </c>
      <c r="N555" s="34">
        <f>((sales_data_1[[#This Row],[Unit_Price]]*(1-sales_data_1[[#This Row],[Discount]]))-sales_data_1[[#This Row],[Unit_Cost]])*sales_data_1[[#This Row],[Quantity_Sold]]</f>
        <v>69648.133999999991</v>
      </c>
      <c r="O555" s="17" t="s">
        <v>27</v>
      </c>
      <c r="P555" s="26">
        <v>0.16</v>
      </c>
      <c r="Q555" s="17" t="s">
        <v>18</v>
      </c>
      <c r="R555" s="17" t="s">
        <v>19</v>
      </c>
      <c r="S555" s="49" t="str">
        <f t="shared" si="26"/>
        <v>Bob-South</v>
      </c>
      <c r="T555" s="59" t="str">
        <f>IF(ROUND(sales_data_1[[#This Row],[Profit_Margin]],2)=ROUND((sales_data_1[[#This Row],[Unit_Price]]*(1-sales_data_1[[#This Row],[Discount]]) - sales_data_1[[#This Row],[Unit_Cost]])*sales_data_1[[#This Row],[Quantity_Sold]],2), "PASS", "CHECK")</f>
        <v>PASS</v>
      </c>
    </row>
    <row r="556" spans="1:20" x14ac:dyDescent="0.35">
      <c r="A556" s="7">
        <v>555</v>
      </c>
      <c r="B556" s="9">
        <v>1066</v>
      </c>
      <c r="C556" s="7" t="str">
        <f>IFERROR(_xlfn.TEXTJOIN("-", TRUE, _xlfn.XLOOKUP(K556, product_category_id_lookup!$A$2:$A$5, product_category_id_lookup!$B$2:$B$5), B556), "Unknown Category")</f>
        <v>ctg-1066</v>
      </c>
      <c r="D556" s="8">
        <v>44735</v>
      </c>
      <c r="E556" s="7">
        <f t="shared" si="24"/>
        <v>2022</v>
      </c>
      <c r="F556" s="28" t="str">
        <f t="shared" si="25"/>
        <v>Jun</v>
      </c>
      <c r="G556" s="17" t="s">
        <v>29</v>
      </c>
      <c r="H556" s="17" t="s">
        <v>30</v>
      </c>
      <c r="I556" s="24">
        <v>101177.16</v>
      </c>
      <c r="J556" s="32">
        <v>42</v>
      </c>
      <c r="K556" s="17" t="s">
        <v>26</v>
      </c>
      <c r="L556" s="24">
        <v>1208.53</v>
      </c>
      <c r="M556" s="24">
        <v>2408.98</v>
      </c>
      <c r="N556" s="34">
        <f>((sales_data_1[[#This Row],[Unit_Price]]*(1-sales_data_1[[#This Row],[Discount]]))-sales_data_1[[#This Row],[Unit_Cost]])*sales_data_1[[#This Row],[Quantity_Sold]]</f>
        <v>50418.9</v>
      </c>
      <c r="O556" s="17" t="s">
        <v>17</v>
      </c>
      <c r="P556" s="26">
        <v>0</v>
      </c>
      <c r="Q556" s="17" t="s">
        <v>28</v>
      </c>
      <c r="R556" s="17" t="s">
        <v>19</v>
      </c>
      <c r="S556" s="49" t="str">
        <f t="shared" si="26"/>
        <v>Charlie-East</v>
      </c>
      <c r="T556" s="59" t="str">
        <f>IF(ROUND(sales_data_1[[#This Row],[Profit_Margin]],2)=ROUND((sales_data_1[[#This Row],[Unit_Price]]*(1-sales_data_1[[#This Row],[Discount]]) - sales_data_1[[#This Row],[Unit_Cost]])*sales_data_1[[#This Row],[Quantity_Sold]],2), "PASS", "CHECK")</f>
        <v>PASS</v>
      </c>
    </row>
    <row r="557" spans="1:20" x14ac:dyDescent="0.35">
      <c r="A557" s="7">
        <v>556</v>
      </c>
      <c r="B557" s="9">
        <v>1009</v>
      </c>
      <c r="C557" s="7" t="str">
        <f>IFERROR(_xlfn.TEXTJOIN("-", TRUE, _xlfn.XLOOKUP(K557, product_category_id_lookup!$A$2:$A$5, product_category_id_lookup!$B$2:$B$5), B557), "Unknown Category")</f>
        <v>fd-1009</v>
      </c>
      <c r="D557" s="8">
        <v>44736</v>
      </c>
      <c r="E557" s="7">
        <f t="shared" si="24"/>
        <v>2022</v>
      </c>
      <c r="F557" s="28" t="str">
        <f t="shared" si="25"/>
        <v>Jun</v>
      </c>
      <c r="G557" s="17" t="s">
        <v>14</v>
      </c>
      <c r="H557" s="17" t="s">
        <v>30</v>
      </c>
      <c r="I557" s="24">
        <v>17149.4928</v>
      </c>
      <c r="J557" s="32">
        <v>6</v>
      </c>
      <c r="K557" s="17" t="s">
        <v>24</v>
      </c>
      <c r="L557" s="24">
        <v>2742.8</v>
      </c>
      <c r="M557" s="24">
        <v>2887.12</v>
      </c>
      <c r="N557" s="34">
        <f>((sales_data_1[[#This Row],[Unit_Price]]*(1-sales_data_1[[#This Row],[Discount]]))-sales_data_1[[#This Row],[Unit_Cost]])*sales_data_1[[#This Row],[Quantity_Sold]]</f>
        <v>692.69279999999799</v>
      </c>
      <c r="O557" s="17" t="s">
        <v>27</v>
      </c>
      <c r="P557" s="26">
        <v>0.01</v>
      </c>
      <c r="Q557" s="17" t="s">
        <v>25</v>
      </c>
      <c r="R557" s="17" t="s">
        <v>19</v>
      </c>
      <c r="S557" s="49" t="str">
        <f t="shared" si="26"/>
        <v>Bob-East</v>
      </c>
      <c r="T557" s="59" t="str">
        <f>IF(ROUND(sales_data_1[[#This Row],[Profit_Margin]],2)=ROUND((sales_data_1[[#This Row],[Unit_Price]]*(1-sales_data_1[[#This Row],[Discount]]) - sales_data_1[[#This Row],[Unit_Cost]])*sales_data_1[[#This Row],[Quantity_Sold]],2), "PASS", "CHECK")</f>
        <v>PASS</v>
      </c>
    </row>
    <row r="558" spans="1:20" x14ac:dyDescent="0.35">
      <c r="A558" s="7">
        <v>557</v>
      </c>
      <c r="B558" s="9">
        <v>1008</v>
      </c>
      <c r="C558" s="7" t="str">
        <f>IFERROR(_xlfn.TEXTJOIN("-", TRUE, _xlfn.XLOOKUP(K558, product_category_id_lookup!$A$2:$A$5, product_category_id_lookup!$B$2:$B$5), B558), "Unknown Category")</f>
        <v>ctg-1008</v>
      </c>
      <c r="D558" s="8">
        <v>44737</v>
      </c>
      <c r="E558" s="7">
        <f t="shared" si="24"/>
        <v>2022</v>
      </c>
      <c r="F558" s="28" t="str">
        <f t="shared" si="25"/>
        <v>Jun</v>
      </c>
      <c r="G558" s="17" t="s">
        <v>33</v>
      </c>
      <c r="H558" s="17" t="s">
        <v>23</v>
      </c>
      <c r="I558" s="24">
        <v>101009.40299999999</v>
      </c>
      <c r="J558" s="32">
        <v>30</v>
      </c>
      <c r="K558" s="17" t="s">
        <v>26</v>
      </c>
      <c r="L558" s="24">
        <v>1412.11</v>
      </c>
      <c r="M558" s="24">
        <v>3400.99</v>
      </c>
      <c r="N558" s="34">
        <f>((sales_data_1[[#This Row],[Unit_Price]]*(1-sales_data_1[[#This Row],[Discount]]))-sales_data_1[[#This Row],[Unit_Cost]])*sales_data_1[[#This Row],[Quantity_Sold]]</f>
        <v>58646.102999999996</v>
      </c>
      <c r="O558" s="17" t="s">
        <v>27</v>
      </c>
      <c r="P558" s="26">
        <v>0.01</v>
      </c>
      <c r="Q558" s="17" t="s">
        <v>18</v>
      </c>
      <c r="R558" s="17" t="s">
        <v>21</v>
      </c>
      <c r="S558" s="49" t="str">
        <f t="shared" si="26"/>
        <v>Alice-South</v>
      </c>
      <c r="T558" s="59" t="str">
        <f>IF(ROUND(sales_data_1[[#This Row],[Profit_Margin]],2)=ROUND((sales_data_1[[#This Row],[Unit_Price]]*(1-sales_data_1[[#This Row],[Discount]]) - sales_data_1[[#This Row],[Unit_Cost]])*sales_data_1[[#This Row],[Quantity_Sold]],2), "PASS", "CHECK")</f>
        <v>PASS</v>
      </c>
    </row>
    <row r="559" spans="1:20" x14ac:dyDescent="0.35">
      <c r="A559" s="7">
        <v>558</v>
      </c>
      <c r="B559" s="9">
        <v>1004</v>
      </c>
      <c r="C559" s="7" t="str">
        <f>IFERROR(_xlfn.TEXTJOIN("-", TRUE, _xlfn.XLOOKUP(K559, product_category_id_lookup!$A$2:$A$5, product_category_id_lookup!$B$2:$B$5), B559), "Unknown Category")</f>
        <v>ctg-1004</v>
      </c>
      <c r="D559" s="8">
        <v>44737</v>
      </c>
      <c r="E559" s="7">
        <f t="shared" si="24"/>
        <v>2022</v>
      </c>
      <c r="F559" s="28" t="str">
        <f t="shared" si="25"/>
        <v>Jun</v>
      </c>
      <c r="G559" s="17" t="s">
        <v>32</v>
      </c>
      <c r="H559" s="17" t="s">
        <v>20</v>
      </c>
      <c r="I559" s="24">
        <v>191727.31199999998</v>
      </c>
      <c r="J559" s="32">
        <v>40</v>
      </c>
      <c r="K559" s="17" t="s">
        <v>26</v>
      </c>
      <c r="L559" s="24">
        <v>2147.5300000000002</v>
      </c>
      <c r="M559" s="24">
        <v>5153.96</v>
      </c>
      <c r="N559" s="34">
        <f>((sales_data_1[[#This Row],[Unit_Price]]*(1-sales_data_1[[#This Row],[Discount]]))-sales_data_1[[#This Row],[Unit_Cost]])*sales_data_1[[#This Row],[Quantity_Sold]]</f>
        <v>105826.11199999998</v>
      </c>
      <c r="O559" s="17" t="s">
        <v>17</v>
      </c>
      <c r="P559" s="26">
        <v>7.0000000000000007E-2</v>
      </c>
      <c r="Q559" s="17" t="s">
        <v>25</v>
      </c>
      <c r="R559" s="17" t="s">
        <v>19</v>
      </c>
      <c r="S559" s="49" t="str">
        <f t="shared" si="26"/>
        <v>Eve-West</v>
      </c>
      <c r="T559" s="59" t="str">
        <f>IF(ROUND(sales_data_1[[#This Row],[Profit_Margin]],2)=ROUND((sales_data_1[[#This Row],[Unit_Price]]*(1-sales_data_1[[#This Row],[Discount]]) - sales_data_1[[#This Row],[Unit_Cost]])*sales_data_1[[#This Row],[Quantity_Sold]],2), "PASS", "CHECK")</f>
        <v>PASS</v>
      </c>
    </row>
    <row r="560" spans="1:20" x14ac:dyDescent="0.35">
      <c r="A560" s="7">
        <v>559</v>
      </c>
      <c r="B560" s="9">
        <v>1033</v>
      </c>
      <c r="C560" s="7" t="str">
        <f>IFERROR(_xlfn.TEXTJOIN("-", TRUE, _xlfn.XLOOKUP(K560, product_category_id_lookup!$A$2:$A$5, product_category_id_lookup!$B$2:$B$5), B560), "Unknown Category")</f>
        <v>ctg-1033</v>
      </c>
      <c r="D560" s="8">
        <v>44737</v>
      </c>
      <c r="E560" s="7">
        <f t="shared" si="24"/>
        <v>2022</v>
      </c>
      <c r="F560" s="28" t="str">
        <f t="shared" si="25"/>
        <v>Jun</v>
      </c>
      <c r="G560" s="17" t="s">
        <v>14</v>
      </c>
      <c r="H560" s="17" t="s">
        <v>15</v>
      </c>
      <c r="I560" s="24">
        <v>153277.6624</v>
      </c>
      <c r="J560" s="32">
        <v>43</v>
      </c>
      <c r="K560" s="17" t="s">
        <v>26</v>
      </c>
      <c r="L560" s="24">
        <v>220.73</v>
      </c>
      <c r="M560" s="24">
        <v>4144.88</v>
      </c>
      <c r="N560" s="34">
        <f>((sales_data_1[[#This Row],[Unit_Price]]*(1-sales_data_1[[#This Row],[Discount]]))-sales_data_1[[#This Row],[Unit_Cost]])*sales_data_1[[#This Row],[Quantity_Sold]]</f>
        <v>143786.27240000002</v>
      </c>
      <c r="O560" s="17" t="s">
        <v>17</v>
      </c>
      <c r="P560" s="26">
        <v>0.14000000000000001</v>
      </c>
      <c r="Q560" s="17" t="s">
        <v>18</v>
      </c>
      <c r="R560" s="17" t="s">
        <v>21</v>
      </c>
      <c r="S560" s="49" t="str">
        <f t="shared" si="26"/>
        <v>Bob-North</v>
      </c>
      <c r="T560" s="59" t="str">
        <f>IF(ROUND(sales_data_1[[#This Row],[Profit_Margin]],2)=ROUND((sales_data_1[[#This Row],[Unit_Price]]*(1-sales_data_1[[#This Row],[Discount]]) - sales_data_1[[#This Row],[Unit_Cost]])*sales_data_1[[#This Row],[Quantity_Sold]],2), "PASS", "CHECK")</f>
        <v>PASS</v>
      </c>
    </row>
    <row r="561" spans="1:20" x14ac:dyDescent="0.35">
      <c r="A561" s="7">
        <v>560</v>
      </c>
      <c r="B561" s="9">
        <v>1004</v>
      </c>
      <c r="C561" s="7" t="str">
        <f>IFERROR(_xlfn.TEXTJOIN("-", TRUE, _xlfn.XLOOKUP(K561, product_category_id_lookup!$A$2:$A$5, product_category_id_lookup!$B$2:$B$5), B561), "Unknown Category")</f>
        <v>fnt-1004</v>
      </c>
      <c r="D561" s="8">
        <v>44738</v>
      </c>
      <c r="E561" s="7">
        <f t="shared" si="24"/>
        <v>2022</v>
      </c>
      <c r="F561" s="28" t="str">
        <f t="shared" si="25"/>
        <v>Jun</v>
      </c>
      <c r="G561" s="17" t="s">
        <v>14</v>
      </c>
      <c r="H561" s="17" t="s">
        <v>23</v>
      </c>
      <c r="I561" s="24">
        <v>105866.2332</v>
      </c>
      <c r="J561" s="32">
        <v>42</v>
      </c>
      <c r="K561" s="17" t="s">
        <v>16</v>
      </c>
      <c r="L561" s="24">
        <v>2405.92</v>
      </c>
      <c r="M561" s="24">
        <v>3231.57</v>
      </c>
      <c r="N561" s="34">
        <f>((sales_data_1[[#This Row],[Unit_Price]]*(1-sales_data_1[[#This Row],[Discount]]))-sales_data_1[[#This Row],[Unit_Cost]])*sales_data_1[[#This Row],[Quantity_Sold]]</f>
        <v>4817.5932000000012</v>
      </c>
      <c r="O561" s="17" t="s">
        <v>27</v>
      </c>
      <c r="P561" s="26">
        <v>0.22</v>
      </c>
      <c r="Q561" s="17" t="s">
        <v>28</v>
      </c>
      <c r="R561" s="17" t="s">
        <v>21</v>
      </c>
      <c r="S561" s="49" t="str">
        <f t="shared" si="26"/>
        <v>Bob-South</v>
      </c>
      <c r="T561" s="59" t="str">
        <f>IF(ROUND(sales_data_1[[#This Row],[Profit_Margin]],2)=ROUND((sales_data_1[[#This Row],[Unit_Price]]*(1-sales_data_1[[#This Row],[Discount]]) - sales_data_1[[#This Row],[Unit_Cost]])*sales_data_1[[#This Row],[Quantity_Sold]],2), "PASS", "CHECK")</f>
        <v>PASS</v>
      </c>
    </row>
    <row r="562" spans="1:20" x14ac:dyDescent="0.35">
      <c r="A562" s="7">
        <v>561</v>
      </c>
      <c r="B562" s="9">
        <v>1018</v>
      </c>
      <c r="C562" s="7" t="str">
        <f>IFERROR(_xlfn.TEXTJOIN("-", TRUE, _xlfn.XLOOKUP(K562, product_category_id_lookup!$A$2:$A$5, product_category_id_lookup!$B$2:$B$5), B562), "Unknown Category")</f>
        <v>ctg-1018</v>
      </c>
      <c r="D562" s="8">
        <v>44738</v>
      </c>
      <c r="E562" s="7">
        <f t="shared" si="24"/>
        <v>2022</v>
      </c>
      <c r="F562" s="28" t="str">
        <f t="shared" si="25"/>
        <v>Jun</v>
      </c>
      <c r="G562" s="17" t="s">
        <v>32</v>
      </c>
      <c r="H562" s="17" t="s">
        <v>20</v>
      </c>
      <c r="I562" s="24">
        <v>77287.418999999994</v>
      </c>
      <c r="J562" s="32">
        <v>30</v>
      </c>
      <c r="K562" s="17" t="s">
        <v>26</v>
      </c>
      <c r="L562" s="24">
        <v>214.96</v>
      </c>
      <c r="M562" s="24">
        <v>2602.27</v>
      </c>
      <c r="N562" s="34">
        <f>((sales_data_1[[#This Row],[Unit_Price]]*(1-sales_data_1[[#This Row],[Discount]]))-sales_data_1[[#This Row],[Unit_Cost]])*sales_data_1[[#This Row],[Quantity_Sold]]</f>
        <v>70838.619000000006</v>
      </c>
      <c r="O562" s="17" t="s">
        <v>17</v>
      </c>
      <c r="P562" s="26">
        <v>0.01</v>
      </c>
      <c r="Q562" s="17" t="s">
        <v>18</v>
      </c>
      <c r="R562" s="17" t="s">
        <v>19</v>
      </c>
      <c r="S562" s="49" t="str">
        <f t="shared" si="26"/>
        <v>Eve-West</v>
      </c>
      <c r="T562" s="59" t="str">
        <f>IF(ROUND(sales_data_1[[#This Row],[Profit_Margin]],2)=ROUND((sales_data_1[[#This Row],[Unit_Price]]*(1-sales_data_1[[#This Row],[Discount]]) - sales_data_1[[#This Row],[Unit_Cost]])*sales_data_1[[#This Row],[Quantity_Sold]],2), "PASS", "CHECK")</f>
        <v>PASS</v>
      </c>
    </row>
    <row r="563" spans="1:20" x14ac:dyDescent="0.35">
      <c r="A563" s="7">
        <v>562</v>
      </c>
      <c r="B563" s="9">
        <v>1055</v>
      </c>
      <c r="C563" s="7" t="str">
        <f>IFERROR(_xlfn.TEXTJOIN("-", TRUE, _xlfn.XLOOKUP(K563, product_category_id_lookup!$A$2:$A$5, product_category_id_lookup!$B$2:$B$5), B563), "Unknown Category")</f>
        <v>etc-1055</v>
      </c>
      <c r="D563" s="8">
        <v>44739</v>
      </c>
      <c r="E563" s="7">
        <f t="shared" si="24"/>
        <v>2022</v>
      </c>
      <c r="F563" s="28" t="str">
        <f t="shared" si="25"/>
        <v>Jun</v>
      </c>
      <c r="G563" s="17" t="s">
        <v>22</v>
      </c>
      <c r="H563" s="17" t="s">
        <v>20</v>
      </c>
      <c r="I563" s="24">
        <v>127092.07299838915</v>
      </c>
      <c r="J563" s="32">
        <v>31</v>
      </c>
      <c r="K563" s="17" t="s">
        <v>31</v>
      </c>
      <c r="L563" s="24">
        <v>4038.72</v>
      </c>
      <c r="M563" s="24">
        <v>4310.88</v>
      </c>
      <c r="N563" s="34">
        <f>((sales_data_1[[#This Row],[Unit_Price]]*(1-sales_data_1[[#This Row],[Discount]]))-sales_data_1[[#This Row],[Unit_Cost]])*sales_data_1[[#This Row],[Quantity_Sold]]</f>
        <v>1755.0959999999995</v>
      </c>
      <c r="O563" s="17" t="s">
        <v>17</v>
      </c>
      <c r="P563" s="26">
        <v>0.05</v>
      </c>
      <c r="Q563" s="17" t="s">
        <v>25</v>
      </c>
      <c r="R563" s="17" t="s">
        <v>19</v>
      </c>
      <c r="S563" s="49" t="str">
        <f t="shared" si="26"/>
        <v>David-West</v>
      </c>
      <c r="T563" s="59" t="str">
        <f>IF(ROUND(sales_data_1[[#This Row],[Profit_Margin]],2)=ROUND((sales_data_1[[#This Row],[Unit_Price]]*(1-sales_data_1[[#This Row],[Discount]]) - sales_data_1[[#This Row],[Unit_Cost]])*sales_data_1[[#This Row],[Quantity_Sold]],2), "PASS", "CHECK")</f>
        <v>PASS</v>
      </c>
    </row>
    <row r="564" spans="1:20" x14ac:dyDescent="0.35">
      <c r="A564" s="7">
        <v>563</v>
      </c>
      <c r="B564" s="9">
        <v>1028</v>
      </c>
      <c r="C564" s="7" t="str">
        <f>IFERROR(_xlfn.TEXTJOIN("-", TRUE, _xlfn.XLOOKUP(K564, product_category_id_lookup!$A$2:$A$5, product_category_id_lookup!$B$2:$B$5), B564), "Unknown Category")</f>
        <v>ctg-1028</v>
      </c>
      <c r="D564" s="8">
        <v>44739</v>
      </c>
      <c r="E564" s="7">
        <f t="shared" si="24"/>
        <v>2022</v>
      </c>
      <c r="F564" s="28" t="str">
        <f t="shared" si="25"/>
        <v>Jun</v>
      </c>
      <c r="G564" s="17" t="s">
        <v>33</v>
      </c>
      <c r="H564" s="17" t="s">
        <v>20</v>
      </c>
      <c r="I564" s="24">
        <v>169671.663</v>
      </c>
      <c r="J564" s="32">
        <v>49</v>
      </c>
      <c r="K564" s="17" t="s">
        <v>26</v>
      </c>
      <c r="L564" s="24">
        <v>2886.89</v>
      </c>
      <c r="M564" s="24">
        <v>3980.1</v>
      </c>
      <c r="N564" s="34">
        <f>((sales_data_1[[#This Row],[Unit_Price]]*(1-sales_data_1[[#This Row],[Discount]]))-sales_data_1[[#This Row],[Unit_Cost]])*sales_data_1[[#This Row],[Quantity_Sold]]</f>
        <v>28214.053</v>
      </c>
      <c r="O564" s="17" t="s">
        <v>17</v>
      </c>
      <c r="P564" s="26">
        <v>0.13</v>
      </c>
      <c r="Q564" s="17" t="s">
        <v>18</v>
      </c>
      <c r="R564" s="17" t="s">
        <v>21</v>
      </c>
      <c r="S564" s="49" t="str">
        <f t="shared" si="26"/>
        <v>Alice-West</v>
      </c>
      <c r="T564" s="59" t="str">
        <f>IF(ROUND(sales_data_1[[#This Row],[Profit_Margin]],2)=ROUND((sales_data_1[[#This Row],[Unit_Price]]*(1-sales_data_1[[#This Row],[Discount]]) - sales_data_1[[#This Row],[Unit_Cost]])*sales_data_1[[#This Row],[Quantity_Sold]],2), "PASS", "CHECK")</f>
        <v>PASS</v>
      </c>
    </row>
    <row r="565" spans="1:20" x14ac:dyDescent="0.35">
      <c r="A565" s="7">
        <v>564</v>
      </c>
      <c r="B565" s="9">
        <v>1072</v>
      </c>
      <c r="C565" s="7" t="str">
        <f>IFERROR(_xlfn.TEXTJOIN("-", TRUE, _xlfn.XLOOKUP(K565, product_category_id_lookup!$A$2:$A$5, product_category_id_lookup!$B$2:$B$5), B565), "Unknown Category")</f>
        <v>fd-1072</v>
      </c>
      <c r="D565" s="8">
        <v>44739</v>
      </c>
      <c r="E565" s="7">
        <f t="shared" si="24"/>
        <v>2022</v>
      </c>
      <c r="F565" s="28" t="str">
        <f t="shared" si="25"/>
        <v>Jun</v>
      </c>
      <c r="G565" s="17" t="s">
        <v>32</v>
      </c>
      <c r="H565" s="17" t="s">
        <v>23</v>
      </c>
      <c r="I565" s="24">
        <v>151131.65722095626</v>
      </c>
      <c r="J565" s="32">
        <v>45</v>
      </c>
      <c r="K565" s="17" t="s">
        <v>24</v>
      </c>
      <c r="L565" s="24">
        <v>2613.5300000000002</v>
      </c>
      <c r="M565" s="24">
        <v>3432.64</v>
      </c>
      <c r="N565" s="34">
        <f>((sales_data_1[[#This Row],[Unit_Price]]*(1-sales_data_1[[#This Row],[Discount]]))-sales_data_1[[#This Row],[Unit_Cost]])*sales_data_1[[#This Row],[Quantity_Sold]]</f>
        <v>33770.573999999993</v>
      </c>
      <c r="O565" s="17" t="s">
        <v>17</v>
      </c>
      <c r="P565" s="26">
        <v>0.02</v>
      </c>
      <c r="Q565" s="17" t="s">
        <v>25</v>
      </c>
      <c r="R565" s="17" t="s">
        <v>19</v>
      </c>
      <c r="S565" s="49" t="str">
        <f t="shared" si="26"/>
        <v>Eve-South</v>
      </c>
      <c r="T565" s="59" t="str">
        <f>IF(ROUND(sales_data_1[[#This Row],[Profit_Margin]],2)=ROUND((sales_data_1[[#This Row],[Unit_Price]]*(1-sales_data_1[[#This Row],[Discount]]) - sales_data_1[[#This Row],[Unit_Cost]])*sales_data_1[[#This Row],[Quantity_Sold]],2), "PASS", "CHECK")</f>
        <v>PASS</v>
      </c>
    </row>
    <row r="566" spans="1:20" x14ac:dyDescent="0.35">
      <c r="A566" s="7">
        <v>565</v>
      </c>
      <c r="B566" s="9">
        <v>1076</v>
      </c>
      <c r="C566" s="7" t="str">
        <f>IFERROR(_xlfn.TEXTJOIN("-", TRUE, _xlfn.XLOOKUP(K566, product_category_id_lookup!$A$2:$A$5, product_category_id_lookup!$B$2:$B$5), B566), "Unknown Category")</f>
        <v>ctg-1076</v>
      </c>
      <c r="D566" s="8">
        <v>44739</v>
      </c>
      <c r="E566" s="7">
        <f t="shared" si="24"/>
        <v>2022</v>
      </c>
      <c r="F566" s="28" t="str">
        <f t="shared" si="25"/>
        <v>Jun</v>
      </c>
      <c r="G566" s="17" t="s">
        <v>33</v>
      </c>
      <c r="H566" s="17" t="s">
        <v>15</v>
      </c>
      <c r="I566" s="24">
        <v>94313.937600000005</v>
      </c>
      <c r="J566" s="32">
        <v>24</v>
      </c>
      <c r="K566" s="17" t="s">
        <v>26</v>
      </c>
      <c r="L566" s="24">
        <v>925.72</v>
      </c>
      <c r="M566" s="24">
        <v>4851.54</v>
      </c>
      <c r="N566" s="34">
        <f>((sales_data_1[[#This Row],[Unit_Price]]*(1-sales_data_1[[#This Row],[Discount]]))-sales_data_1[[#This Row],[Unit_Cost]])*sales_data_1[[#This Row],[Quantity_Sold]]</f>
        <v>72096.657600000006</v>
      </c>
      <c r="O566" s="17" t="s">
        <v>27</v>
      </c>
      <c r="P566" s="26">
        <v>0.19</v>
      </c>
      <c r="Q566" s="17" t="s">
        <v>18</v>
      </c>
      <c r="R566" s="17" t="s">
        <v>19</v>
      </c>
      <c r="S566" s="49" t="str">
        <f t="shared" si="26"/>
        <v>Alice-North</v>
      </c>
      <c r="T566" s="59" t="str">
        <f>IF(ROUND(sales_data_1[[#This Row],[Profit_Margin]],2)=ROUND((sales_data_1[[#This Row],[Unit_Price]]*(1-sales_data_1[[#This Row],[Discount]]) - sales_data_1[[#This Row],[Unit_Cost]])*sales_data_1[[#This Row],[Quantity_Sold]],2), "PASS", "CHECK")</f>
        <v>PASS</v>
      </c>
    </row>
    <row r="567" spans="1:20" x14ac:dyDescent="0.35">
      <c r="A567" s="7">
        <v>566</v>
      </c>
      <c r="B567" s="9">
        <v>1050</v>
      </c>
      <c r="C567" s="7" t="str">
        <f>IFERROR(_xlfn.TEXTJOIN("-", TRUE, _xlfn.XLOOKUP(K567, product_category_id_lookup!$A$2:$A$5, product_category_id_lookup!$B$2:$B$5), B567), "Unknown Category")</f>
        <v>fnt-1050</v>
      </c>
      <c r="D567" s="8">
        <v>44740</v>
      </c>
      <c r="E567" s="7">
        <f t="shared" si="24"/>
        <v>2022</v>
      </c>
      <c r="F567" s="28" t="str">
        <f t="shared" si="25"/>
        <v>Jun</v>
      </c>
      <c r="G567" s="17" t="s">
        <v>14</v>
      </c>
      <c r="H567" s="17" t="s">
        <v>15</v>
      </c>
      <c r="I567" s="24">
        <v>135322.41879999998</v>
      </c>
      <c r="J567" s="32">
        <v>41</v>
      </c>
      <c r="K567" s="17" t="s">
        <v>16</v>
      </c>
      <c r="L567" s="24">
        <v>2963.29</v>
      </c>
      <c r="M567" s="24">
        <v>3511.22</v>
      </c>
      <c r="N567" s="34">
        <f>((sales_data_1[[#This Row],[Unit_Price]]*(1-sales_data_1[[#This Row],[Discount]]))-sales_data_1[[#This Row],[Unit_Cost]])*sales_data_1[[#This Row],[Quantity_Sold]]</f>
        <v>13827.528799999985</v>
      </c>
      <c r="O567" s="17" t="s">
        <v>27</v>
      </c>
      <c r="P567" s="26">
        <v>0.06</v>
      </c>
      <c r="Q567" s="17" t="s">
        <v>28</v>
      </c>
      <c r="R567" s="17" t="s">
        <v>21</v>
      </c>
      <c r="S567" s="49" t="str">
        <f t="shared" si="26"/>
        <v>Bob-North</v>
      </c>
      <c r="T567" s="59" t="str">
        <f>IF(ROUND(sales_data_1[[#This Row],[Profit_Margin]],2)=ROUND((sales_data_1[[#This Row],[Unit_Price]]*(1-sales_data_1[[#This Row],[Discount]]) - sales_data_1[[#This Row],[Unit_Cost]])*sales_data_1[[#This Row],[Quantity_Sold]],2), "PASS", "CHECK")</f>
        <v>PASS</v>
      </c>
    </row>
    <row r="568" spans="1:20" x14ac:dyDescent="0.35">
      <c r="A568" s="7">
        <v>567</v>
      </c>
      <c r="B568" s="9">
        <v>1012</v>
      </c>
      <c r="C568" s="7" t="str">
        <f>IFERROR(_xlfn.TEXTJOIN("-", TRUE, _xlfn.XLOOKUP(K568, product_category_id_lookup!$A$2:$A$5, product_category_id_lookup!$B$2:$B$5), B568), "Unknown Category")</f>
        <v>fd-1012</v>
      </c>
      <c r="D568" s="8">
        <v>44740</v>
      </c>
      <c r="E568" s="7">
        <f t="shared" si="24"/>
        <v>2022</v>
      </c>
      <c r="F568" s="28" t="str">
        <f t="shared" si="25"/>
        <v>Jun</v>
      </c>
      <c r="G568" s="17" t="s">
        <v>29</v>
      </c>
      <c r="H568" s="17" t="s">
        <v>20</v>
      </c>
      <c r="I568" s="24">
        <v>30358.655000000006</v>
      </c>
      <c r="J568" s="32">
        <v>25</v>
      </c>
      <c r="K568" s="17" t="s">
        <v>24</v>
      </c>
      <c r="L568" s="24">
        <v>623.71</v>
      </c>
      <c r="M568" s="24">
        <v>1480.91</v>
      </c>
      <c r="N568" s="34">
        <f>((sales_data_1[[#This Row],[Unit_Price]]*(1-sales_data_1[[#This Row],[Discount]]))-sales_data_1[[#This Row],[Unit_Cost]])*sales_data_1[[#This Row],[Quantity_Sold]]</f>
        <v>14765.905000000004</v>
      </c>
      <c r="O568" s="17" t="s">
        <v>17</v>
      </c>
      <c r="P568" s="26">
        <v>0.18</v>
      </c>
      <c r="Q568" s="17" t="s">
        <v>28</v>
      </c>
      <c r="R568" s="17" t="s">
        <v>19</v>
      </c>
      <c r="S568" s="49" t="str">
        <f t="shared" si="26"/>
        <v>Charlie-West</v>
      </c>
      <c r="T568" s="59" t="str">
        <f>IF(ROUND(sales_data_1[[#This Row],[Profit_Margin]],2)=ROUND((sales_data_1[[#This Row],[Unit_Price]]*(1-sales_data_1[[#This Row],[Discount]]) - sales_data_1[[#This Row],[Unit_Cost]])*sales_data_1[[#This Row],[Quantity_Sold]],2), "PASS", "CHECK")</f>
        <v>PASS</v>
      </c>
    </row>
    <row r="569" spans="1:20" x14ac:dyDescent="0.35">
      <c r="A569" s="7">
        <v>568</v>
      </c>
      <c r="B569" s="9">
        <v>1049</v>
      </c>
      <c r="C569" s="7" t="str">
        <f>IFERROR(_xlfn.TEXTJOIN("-", TRUE, _xlfn.XLOOKUP(K569, product_category_id_lookup!$A$2:$A$5, product_category_id_lookup!$B$2:$B$5), B569), "Unknown Category")</f>
        <v>fnt-1049</v>
      </c>
      <c r="D569" s="8">
        <v>44741</v>
      </c>
      <c r="E569" s="7">
        <f t="shared" si="24"/>
        <v>2022</v>
      </c>
      <c r="F569" s="28" t="str">
        <f t="shared" si="25"/>
        <v>Jun</v>
      </c>
      <c r="G569" s="17" t="s">
        <v>14</v>
      </c>
      <c r="H569" s="17" t="s">
        <v>20</v>
      </c>
      <c r="I569" s="24">
        <v>75137.932799999995</v>
      </c>
      <c r="J569" s="32">
        <v>42</v>
      </c>
      <c r="K569" s="17" t="s">
        <v>16</v>
      </c>
      <c r="L569" s="24">
        <v>393.97</v>
      </c>
      <c r="M569" s="24">
        <v>2208.64</v>
      </c>
      <c r="N569" s="34">
        <f>((sales_data_1[[#This Row],[Unit_Price]]*(1-sales_data_1[[#This Row],[Discount]]))-sales_data_1[[#This Row],[Unit_Cost]])*sales_data_1[[#This Row],[Quantity_Sold]]</f>
        <v>58591.192799999997</v>
      </c>
      <c r="O569" s="17" t="s">
        <v>17</v>
      </c>
      <c r="P569" s="26">
        <v>0.19</v>
      </c>
      <c r="Q569" s="17" t="s">
        <v>18</v>
      </c>
      <c r="R569" s="17" t="s">
        <v>19</v>
      </c>
      <c r="S569" s="49" t="str">
        <f t="shared" si="26"/>
        <v>Bob-West</v>
      </c>
      <c r="T569" s="59" t="str">
        <f>IF(ROUND(sales_data_1[[#This Row],[Profit_Margin]],2)=ROUND((sales_data_1[[#This Row],[Unit_Price]]*(1-sales_data_1[[#This Row],[Discount]]) - sales_data_1[[#This Row],[Unit_Cost]])*sales_data_1[[#This Row],[Quantity_Sold]],2), "PASS", "CHECK")</f>
        <v>PASS</v>
      </c>
    </row>
    <row r="570" spans="1:20" x14ac:dyDescent="0.35">
      <c r="A570" s="7">
        <v>569</v>
      </c>
      <c r="B570" s="9">
        <v>1014</v>
      </c>
      <c r="C570" s="7" t="str">
        <f>IFERROR(_xlfn.TEXTJOIN("-", TRUE, _xlfn.XLOOKUP(K570, product_category_id_lookup!$A$2:$A$5, product_category_id_lookup!$B$2:$B$5), B570), "Unknown Category")</f>
        <v>ctg-1014</v>
      </c>
      <c r="D570" s="8">
        <v>44742</v>
      </c>
      <c r="E570" s="7">
        <f t="shared" si="24"/>
        <v>2022</v>
      </c>
      <c r="F570" s="28" t="str">
        <f t="shared" si="25"/>
        <v>Jun</v>
      </c>
      <c r="G570" s="17" t="s">
        <v>14</v>
      </c>
      <c r="H570" s="17" t="s">
        <v>20</v>
      </c>
      <c r="I570" s="24">
        <v>178811.01276861457</v>
      </c>
      <c r="J570" s="32">
        <v>39</v>
      </c>
      <c r="K570" s="17" t="s">
        <v>26</v>
      </c>
      <c r="L570" s="24">
        <v>4197.58</v>
      </c>
      <c r="M570" s="24">
        <v>4701.68</v>
      </c>
      <c r="N570" s="34">
        <f>((sales_data_1[[#This Row],[Unit_Price]]*(1-sales_data_1[[#This Row],[Discount]]))-sales_data_1[[#This Row],[Unit_Cost]])*sales_data_1[[#This Row],[Quantity_Sold]]</f>
        <v>15992.589600000025</v>
      </c>
      <c r="O570" s="17" t="s">
        <v>27</v>
      </c>
      <c r="P570" s="26">
        <v>0.02</v>
      </c>
      <c r="Q570" s="17" t="s">
        <v>18</v>
      </c>
      <c r="R570" s="17" t="s">
        <v>19</v>
      </c>
      <c r="S570" s="49" t="str">
        <f t="shared" si="26"/>
        <v>Bob-West</v>
      </c>
      <c r="T570" s="59" t="str">
        <f>IF(ROUND(sales_data_1[[#This Row],[Profit_Margin]],2)=ROUND((sales_data_1[[#This Row],[Unit_Price]]*(1-sales_data_1[[#This Row],[Discount]]) - sales_data_1[[#This Row],[Unit_Cost]])*sales_data_1[[#This Row],[Quantity_Sold]],2), "PASS", "CHECK")</f>
        <v>PASS</v>
      </c>
    </row>
    <row r="571" spans="1:20" x14ac:dyDescent="0.35">
      <c r="A571" s="7">
        <v>570</v>
      </c>
      <c r="B571" s="9">
        <v>1090</v>
      </c>
      <c r="C571" s="7" t="str">
        <f>IFERROR(_xlfn.TEXTJOIN("-", TRUE, _xlfn.XLOOKUP(K571, product_category_id_lookup!$A$2:$A$5, product_category_id_lookup!$B$2:$B$5), B571), "Unknown Category")</f>
        <v>fnt-1090</v>
      </c>
      <c r="D571" s="8">
        <v>44742</v>
      </c>
      <c r="E571" s="7">
        <f t="shared" si="24"/>
        <v>2022</v>
      </c>
      <c r="F571" s="28" t="str">
        <f t="shared" si="25"/>
        <v>Jun</v>
      </c>
      <c r="G571" s="17" t="s">
        <v>33</v>
      </c>
      <c r="H571" s="17" t="s">
        <v>20</v>
      </c>
      <c r="I571" s="24">
        <v>174199.03760000001</v>
      </c>
      <c r="J571" s="32">
        <v>46</v>
      </c>
      <c r="K571" s="17" t="s">
        <v>16</v>
      </c>
      <c r="L571" s="24">
        <v>3072.77</v>
      </c>
      <c r="M571" s="24">
        <v>4982.8100000000004</v>
      </c>
      <c r="N571" s="34">
        <f>((sales_data_1[[#This Row],[Unit_Price]]*(1-sales_data_1[[#This Row],[Discount]]))-sales_data_1[[#This Row],[Unit_Cost]])*sales_data_1[[#This Row],[Quantity_Sold]]</f>
        <v>32851.617600000012</v>
      </c>
      <c r="O571" s="17" t="s">
        <v>17</v>
      </c>
      <c r="P571" s="26">
        <v>0.24</v>
      </c>
      <c r="Q571" s="17" t="s">
        <v>28</v>
      </c>
      <c r="R571" s="17" t="s">
        <v>19</v>
      </c>
      <c r="S571" s="49" t="str">
        <f t="shared" si="26"/>
        <v>Alice-West</v>
      </c>
      <c r="T571" s="59" t="str">
        <f>IF(ROUND(sales_data_1[[#This Row],[Profit_Margin]],2)=ROUND((sales_data_1[[#This Row],[Unit_Price]]*(1-sales_data_1[[#This Row],[Discount]]) - sales_data_1[[#This Row],[Unit_Cost]])*sales_data_1[[#This Row],[Quantity_Sold]],2), "PASS", "CHECK")</f>
        <v>PASS</v>
      </c>
    </row>
    <row r="572" spans="1:20" x14ac:dyDescent="0.35">
      <c r="A572" s="7">
        <v>571</v>
      </c>
      <c r="B572" s="9">
        <v>1075</v>
      </c>
      <c r="C572" s="7" t="str">
        <f>IFERROR(_xlfn.TEXTJOIN("-", TRUE, _xlfn.XLOOKUP(K572, product_category_id_lookup!$A$2:$A$5, product_category_id_lookup!$B$2:$B$5), B572), "Unknown Category")</f>
        <v>fnt-1075</v>
      </c>
      <c r="D572" s="8">
        <v>44744</v>
      </c>
      <c r="E572" s="7">
        <f t="shared" si="24"/>
        <v>2022</v>
      </c>
      <c r="F572" s="28" t="str">
        <f t="shared" si="25"/>
        <v>Jul</v>
      </c>
      <c r="G572" s="17" t="s">
        <v>33</v>
      </c>
      <c r="H572" s="17" t="s">
        <v>23</v>
      </c>
      <c r="I572" s="24">
        <v>86188.680832955317</v>
      </c>
      <c r="J572" s="32">
        <v>20</v>
      </c>
      <c r="K572" s="17" t="s">
        <v>16</v>
      </c>
      <c r="L572" s="24">
        <v>4295.33</v>
      </c>
      <c r="M572" s="24">
        <v>4327.03</v>
      </c>
      <c r="N572" s="34">
        <f>((sales_data_1[[#This Row],[Unit_Price]]*(1-sales_data_1[[#This Row],[Discount]]))-sales_data_1[[#This Row],[Unit_Cost]])*sales_data_1[[#This Row],[Quantity_Sold]]</f>
        <v>633.99999999999636</v>
      </c>
      <c r="O572" s="17" t="s">
        <v>27</v>
      </c>
      <c r="P572" s="26">
        <v>0</v>
      </c>
      <c r="Q572" s="17" t="s">
        <v>25</v>
      </c>
      <c r="R572" s="17" t="s">
        <v>21</v>
      </c>
      <c r="S572" s="49" t="str">
        <f t="shared" si="26"/>
        <v>Alice-South</v>
      </c>
      <c r="T572" s="59" t="str">
        <f>IF(ROUND(sales_data_1[[#This Row],[Profit_Margin]],2)=ROUND((sales_data_1[[#This Row],[Unit_Price]]*(1-sales_data_1[[#This Row],[Discount]]) - sales_data_1[[#This Row],[Unit_Cost]])*sales_data_1[[#This Row],[Quantity_Sold]],2), "PASS", "CHECK")</f>
        <v>PASS</v>
      </c>
    </row>
    <row r="573" spans="1:20" x14ac:dyDescent="0.35">
      <c r="A573" s="7">
        <v>572</v>
      </c>
      <c r="B573" s="9">
        <v>1006</v>
      </c>
      <c r="C573" s="7" t="str">
        <f>IFERROR(_xlfn.TEXTJOIN("-", TRUE, _xlfn.XLOOKUP(K573, product_category_id_lookup!$A$2:$A$5, product_category_id_lookup!$B$2:$B$5), B573), "Unknown Category")</f>
        <v>fnt-1006</v>
      </c>
      <c r="D573" s="8">
        <v>44744</v>
      </c>
      <c r="E573" s="7">
        <f t="shared" si="24"/>
        <v>2022</v>
      </c>
      <c r="F573" s="28" t="str">
        <f t="shared" si="25"/>
        <v>Jul</v>
      </c>
      <c r="G573" s="17" t="s">
        <v>33</v>
      </c>
      <c r="H573" s="17" t="s">
        <v>20</v>
      </c>
      <c r="I573" s="24">
        <v>175632.01073686601</v>
      </c>
      <c r="J573" s="32">
        <v>38</v>
      </c>
      <c r="K573" s="17" t="s">
        <v>16</v>
      </c>
      <c r="L573" s="24">
        <v>4607.82</v>
      </c>
      <c r="M573" s="24">
        <v>4666.29</v>
      </c>
      <c r="N573" s="34">
        <f>((sales_data_1[[#This Row],[Unit_Price]]*(1-sales_data_1[[#This Row],[Discount]]))-sales_data_1[[#This Row],[Unit_Cost]])*sales_data_1[[#This Row],[Quantity_Sold]]</f>
        <v>448.66979999999967</v>
      </c>
      <c r="O573" s="17" t="s">
        <v>27</v>
      </c>
      <c r="P573" s="26">
        <v>0.01</v>
      </c>
      <c r="Q573" s="17" t="s">
        <v>18</v>
      </c>
      <c r="R573" s="17" t="s">
        <v>21</v>
      </c>
      <c r="S573" s="49" t="str">
        <f t="shared" si="26"/>
        <v>Alice-West</v>
      </c>
      <c r="T573" s="59" t="str">
        <f>IF(ROUND(sales_data_1[[#This Row],[Profit_Margin]],2)=ROUND((sales_data_1[[#This Row],[Unit_Price]]*(1-sales_data_1[[#This Row],[Discount]]) - sales_data_1[[#This Row],[Unit_Cost]])*sales_data_1[[#This Row],[Quantity_Sold]],2), "PASS", "CHECK")</f>
        <v>PASS</v>
      </c>
    </row>
    <row r="574" spans="1:20" x14ac:dyDescent="0.35">
      <c r="A574" s="7">
        <v>573</v>
      </c>
      <c r="B574" s="9">
        <v>1005</v>
      </c>
      <c r="C574" s="7" t="str">
        <f>IFERROR(_xlfn.TEXTJOIN("-", TRUE, _xlfn.XLOOKUP(K574, product_category_id_lookup!$A$2:$A$5, product_category_id_lookup!$B$2:$B$5), B574), "Unknown Category")</f>
        <v>fnt-1005</v>
      </c>
      <c r="D574" s="8">
        <v>44744</v>
      </c>
      <c r="E574" s="7">
        <f t="shared" si="24"/>
        <v>2022</v>
      </c>
      <c r="F574" s="28" t="str">
        <f t="shared" si="25"/>
        <v>Jul</v>
      </c>
      <c r="G574" s="17" t="s">
        <v>29</v>
      </c>
      <c r="H574" s="17" t="s">
        <v>23</v>
      </c>
      <c r="I574" s="24">
        <v>13994.041599999999</v>
      </c>
      <c r="J574" s="32">
        <v>8</v>
      </c>
      <c r="K574" s="17" t="s">
        <v>16</v>
      </c>
      <c r="L574" s="24">
        <v>494.12</v>
      </c>
      <c r="M574" s="24">
        <v>2396.2399999999998</v>
      </c>
      <c r="N574" s="34">
        <f>((sales_data_1[[#This Row],[Unit_Price]]*(1-sales_data_1[[#This Row],[Discount]]))-sales_data_1[[#This Row],[Unit_Cost]])*sales_data_1[[#This Row],[Quantity_Sold]]</f>
        <v>10041.081599999998</v>
      </c>
      <c r="O574" s="17" t="s">
        <v>17</v>
      </c>
      <c r="P574" s="26">
        <v>0.27</v>
      </c>
      <c r="Q574" s="17" t="s">
        <v>18</v>
      </c>
      <c r="R574" s="17" t="s">
        <v>19</v>
      </c>
      <c r="S574" s="49" t="str">
        <f t="shared" si="26"/>
        <v>Charlie-South</v>
      </c>
      <c r="T574" s="59" t="str">
        <f>IF(ROUND(sales_data_1[[#This Row],[Profit_Margin]],2)=ROUND((sales_data_1[[#This Row],[Unit_Price]]*(1-sales_data_1[[#This Row],[Discount]]) - sales_data_1[[#This Row],[Unit_Cost]])*sales_data_1[[#This Row],[Quantity_Sold]],2), "PASS", "CHECK")</f>
        <v>PASS</v>
      </c>
    </row>
    <row r="575" spans="1:20" x14ac:dyDescent="0.35">
      <c r="A575" s="7">
        <v>574</v>
      </c>
      <c r="B575" s="9">
        <v>1073</v>
      </c>
      <c r="C575" s="7" t="str">
        <f>IFERROR(_xlfn.TEXTJOIN("-", TRUE, _xlfn.XLOOKUP(K575, product_category_id_lookup!$A$2:$A$5, product_category_id_lookup!$B$2:$B$5), B575), "Unknown Category")</f>
        <v>etc-1073</v>
      </c>
      <c r="D575" s="8">
        <v>44744</v>
      </c>
      <c r="E575" s="7">
        <f t="shared" si="24"/>
        <v>2022</v>
      </c>
      <c r="F575" s="28" t="str">
        <f t="shared" si="25"/>
        <v>Jul</v>
      </c>
      <c r="G575" s="17" t="s">
        <v>33</v>
      </c>
      <c r="H575" s="17" t="s">
        <v>20</v>
      </c>
      <c r="I575" s="24">
        <v>124299.31139999998</v>
      </c>
      <c r="J575" s="32">
        <v>27</v>
      </c>
      <c r="K575" s="17" t="s">
        <v>31</v>
      </c>
      <c r="L575" s="24">
        <v>2210.4</v>
      </c>
      <c r="M575" s="24">
        <v>4897.53</v>
      </c>
      <c r="N575" s="34">
        <f>((sales_data_1[[#This Row],[Unit_Price]]*(1-sales_data_1[[#This Row],[Discount]]))-sales_data_1[[#This Row],[Unit_Cost]])*sales_data_1[[#This Row],[Quantity_Sold]]</f>
        <v>64618.511399999981</v>
      </c>
      <c r="O575" s="17" t="s">
        <v>27</v>
      </c>
      <c r="P575" s="26">
        <v>0.06</v>
      </c>
      <c r="Q575" s="17" t="s">
        <v>25</v>
      </c>
      <c r="R575" s="17" t="s">
        <v>19</v>
      </c>
      <c r="S575" s="49" t="str">
        <f t="shared" si="26"/>
        <v>Alice-West</v>
      </c>
      <c r="T575" s="59" t="str">
        <f>IF(ROUND(sales_data_1[[#This Row],[Profit_Margin]],2)=ROUND((sales_data_1[[#This Row],[Unit_Price]]*(1-sales_data_1[[#This Row],[Discount]]) - sales_data_1[[#This Row],[Unit_Cost]])*sales_data_1[[#This Row],[Quantity_Sold]],2), "PASS", "CHECK")</f>
        <v>PASS</v>
      </c>
    </row>
    <row r="576" spans="1:20" x14ac:dyDescent="0.35">
      <c r="A576" s="7">
        <v>575</v>
      </c>
      <c r="B576" s="9">
        <v>1036</v>
      </c>
      <c r="C576" s="7" t="str">
        <f>IFERROR(_xlfn.TEXTJOIN("-", TRUE, _xlfn.XLOOKUP(K576, product_category_id_lookup!$A$2:$A$5, product_category_id_lookup!$B$2:$B$5), B576), "Unknown Category")</f>
        <v>fd-1036</v>
      </c>
      <c r="D576" s="8">
        <v>44744</v>
      </c>
      <c r="E576" s="7">
        <f t="shared" si="24"/>
        <v>2022</v>
      </c>
      <c r="F576" s="28" t="str">
        <f t="shared" si="25"/>
        <v>Jul</v>
      </c>
      <c r="G576" s="17" t="s">
        <v>32</v>
      </c>
      <c r="H576" s="17" t="s">
        <v>23</v>
      </c>
      <c r="I576" s="24">
        <v>131018.86140000001</v>
      </c>
      <c r="J576" s="32">
        <v>42</v>
      </c>
      <c r="K576" s="17" t="s">
        <v>24</v>
      </c>
      <c r="L576" s="24">
        <v>614.82000000000005</v>
      </c>
      <c r="M576" s="24">
        <v>3948.73</v>
      </c>
      <c r="N576" s="34">
        <f>((sales_data_1[[#This Row],[Unit_Price]]*(1-sales_data_1[[#This Row],[Discount]]))-sales_data_1[[#This Row],[Unit_Cost]])*sales_data_1[[#This Row],[Quantity_Sold]]</f>
        <v>105196.42139999999</v>
      </c>
      <c r="O576" s="17" t="s">
        <v>27</v>
      </c>
      <c r="P576" s="26">
        <v>0.21</v>
      </c>
      <c r="Q576" s="17" t="s">
        <v>25</v>
      </c>
      <c r="R576" s="17" t="s">
        <v>19</v>
      </c>
      <c r="S576" s="49" t="str">
        <f t="shared" si="26"/>
        <v>Eve-South</v>
      </c>
      <c r="T576" s="59" t="str">
        <f>IF(ROUND(sales_data_1[[#This Row],[Profit_Margin]],2)=ROUND((sales_data_1[[#This Row],[Unit_Price]]*(1-sales_data_1[[#This Row],[Discount]]) - sales_data_1[[#This Row],[Unit_Cost]])*sales_data_1[[#This Row],[Quantity_Sold]],2), "PASS", "CHECK")</f>
        <v>PASS</v>
      </c>
    </row>
    <row r="577" spans="1:20" x14ac:dyDescent="0.35">
      <c r="A577" s="7">
        <v>576</v>
      </c>
      <c r="B577" s="9">
        <v>1058</v>
      </c>
      <c r="C577" s="7" t="str">
        <f>IFERROR(_xlfn.TEXTJOIN("-", TRUE, _xlfn.XLOOKUP(K577, product_category_id_lookup!$A$2:$A$5, product_category_id_lookup!$B$2:$B$5), B577), "Unknown Category")</f>
        <v>ctg-1058</v>
      </c>
      <c r="D577" s="8">
        <v>44745</v>
      </c>
      <c r="E577" s="7">
        <f t="shared" si="24"/>
        <v>2022</v>
      </c>
      <c r="F577" s="28" t="str">
        <f t="shared" si="25"/>
        <v>Jul</v>
      </c>
      <c r="G577" s="17" t="s">
        <v>14</v>
      </c>
      <c r="H577" s="17" t="s">
        <v>23</v>
      </c>
      <c r="I577" s="24">
        <v>161872.7488</v>
      </c>
      <c r="J577" s="32">
        <v>34</v>
      </c>
      <c r="K577" s="17" t="s">
        <v>26</v>
      </c>
      <c r="L577" s="24">
        <v>4710.8500000000004</v>
      </c>
      <c r="M577" s="24">
        <v>5174.96</v>
      </c>
      <c r="N577" s="34">
        <f>((sales_data_1[[#This Row],[Unit_Price]]*(1-sales_data_1[[#This Row],[Discount]]))-sales_data_1[[#This Row],[Unit_Cost]])*sales_data_1[[#This Row],[Quantity_Sold]]</f>
        <v>1703.8487999999925</v>
      </c>
      <c r="O577" s="17" t="s">
        <v>27</v>
      </c>
      <c r="P577" s="26">
        <v>0.08</v>
      </c>
      <c r="Q577" s="17" t="s">
        <v>18</v>
      </c>
      <c r="R577" s="17" t="s">
        <v>19</v>
      </c>
      <c r="S577" s="49" t="str">
        <f t="shared" si="26"/>
        <v>Bob-South</v>
      </c>
      <c r="T577" s="59" t="str">
        <f>IF(ROUND(sales_data_1[[#This Row],[Profit_Margin]],2)=ROUND((sales_data_1[[#This Row],[Unit_Price]]*(1-sales_data_1[[#This Row],[Discount]]) - sales_data_1[[#This Row],[Unit_Cost]])*sales_data_1[[#This Row],[Quantity_Sold]],2), "PASS", "CHECK")</f>
        <v>PASS</v>
      </c>
    </row>
    <row r="578" spans="1:20" x14ac:dyDescent="0.35">
      <c r="A578" s="7">
        <v>577</v>
      </c>
      <c r="B578" s="9">
        <v>1009</v>
      </c>
      <c r="C578" s="7" t="str">
        <f>IFERROR(_xlfn.TEXTJOIN("-", TRUE, _xlfn.XLOOKUP(K578, product_category_id_lookup!$A$2:$A$5, product_category_id_lookup!$B$2:$B$5), B578), "Unknown Category")</f>
        <v>fnt-1009</v>
      </c>
      <c r="D578" s="8">
        <v>44745</v>
      </c>
      <c r="E578" s="7">
        <f t="shared" ref="E578:E641" si="27">YEAR(D578)</f>
        <v>2022</v>
      </c>
      <c r="F578" s="28" t="str">
        <f t="shared" ref="F578:F641" si="28">LEFT(TEXT(D578,"mmmm"),3)</f>
        <v>Jul</v>
      </c>
      <c r="G578" s="17" t="s">
        <v>33</v>
      </c>
      <c r="H578" s="17" t="s">
        <v>15</v>
      </c>
      <c r="I578" s="24">
        <v>77317.296000000002</v>
      </c>
      <c r="J578" s="32">
        <v>35</v>
      </c>
      <c r="K578" s="17" t="s">
        <v>16</v>
      </c>
      <c r="L578" s="24">
        <v>231.4</v>
      </c>
      <c r="M578" s="24">
        <v>2301.11</v>
      </c>
      <c r="N578" s="34">
        <f>((sales_data_1[[#This Row],[Unit_Price]]*(1-sales_data_1[[#This Row],[Discount]]))-sales_data_1[[#This Row],[Unit_Cost]])*sales_data_1[[#This Row],[Quantity_Sold]]</f>
        <v>69218.295999999988</v>
      </c>
      <c r="O578" s="17" t="s">
        <v>27</v>
      </c>
      <c r="P578" s="26">
        <v>0.04</v>
      </c>
      <c r="Q578" s="17" t="s">
        <v>18</v>
      </c>
      <c r="R578" s="17" t="s">
        <v>21</v>
      </c>
      <c r="S578" s="49" t="str">
        <f t="shared" ref="S578:S641" si="29">_xlfn.CONCAT(G578,"-",H578)</f>
        <v>Alice-North</v>
      </c>
      <c r="T578" s="59" t="str">
        <f>IF(ROUND(sales_data_1[[#This Row],[Profit_Margin]],2)=ROUND((sales_data_1[[#This Row],[Unit_Price]]*(1-sales_data_1[[#This Row],[Discount]]) - sales_data_1[[#This Row],[Unit_Cost]])*sales_data_1[[#This Row],[Quantity_Sold]],2), "PASS", "CHECK")</f>
        <v>PASS</v>
      </c>
    </row>
    <row r="579" spans="1:20" x14ac:dyDescent="0.35">
      <c r="A579" s="7">
        <v>578</v>
      </c>
      <c r="B579" s="9">
        <v>1069</v>
      </c>
      <c r="C579" s="7" t="str">
        <f>IFERROR(_xlfn.TEXTJOIN("-", TRUE, _xlfn.XLOOKUP(K579, product_category_id_lookup!$A$2:$A$5, product_category_id_lookup!$B$2:$B$5), B579), "Unknown Category")</f>
        <v>etc-1069</v>
      </c>
      <c r="D579" s="8">
        <v>44746</v>
      </c>
      <c r="E579" s="7">
        <f t="shared" si="27"/>
        <v>2022</v>
      </c>
      <c r="F579" s="28" t="str">
        <f t="shared" si="28"/>
        <v>Jul</v>
      </c>
      <c r="G579" s="17" t="s">
        <v>22</v>
      </c>
      <c r="H579" s="17" t="s">
        <v>23</v>
      </c>
      <c r="I579" s="24">
        <v>21461.320799999998</v>
      </c>
      <c r="J579" s="32">
        <v>9</v>
      </c>
      <c r="K579" s="17" t="s">
        <v>31</v>
      </c>
      <c r="L579" s="24">
        <v>1424.87</v>
      </c>
      <c r="M579" s="24">
        <v>3137.62</v>
      </c>
      <c r="N579" s="34">
        <f>((sales_data_1[[#This Row],[Unit_Price]]*(1-sales_data_1[[#This Row],[Discount]]))-sales_data_1[[#This Row],[Unit_Cost]])*sales_data_1[[#This Row],[Quantity_Sold]]</f>
        <v>8637.4907999999996</v>
      </c>
      <c r="O579" s="17" t="s">
        <v>17</v>
      </c>
      <c r="P579" s="26">
        <v>0.24</v>
      </c>
      <c r="Q579" s="17" t="s">
        <v>18</v>
      </c>
      <c r="R579" s="17" t="s">
        <v>21</v>
      </c>
      <c r="S579" s="49" t="str">
        <f t="shared" si="29"/>
        <v>David-South</v>
      </c>
      <c r="T579" s="59" t="str">
        <f>IF(ROUND(sales_data_1[[#This Row],[Profit_Margin]],2)=ROUND((sales_data_1[[#This Row],[Unit_Price]]*(1-sales_data_1[[#This Row],[Discount]]) - sales_data_1[[#This Row],[Unit_Cost]])*sales_data_1[[#This Row],[Quantity_Sold]],2), "PASS", "CHECK")</f>
        <v>PASS</v>
      </c>
    </row>
    <row r="580" spans="1:20" x14ac:dyDescent="0.35">
      <c r="A580" s="7">
        <v>579</v>
      </c>
      <c r="B580" s="9">
        <v>1078</v>
      </c>
      <c r="C580" s="7" t="str">
        <f>IFERROR(_xlfn.TEXTJOIN("-", TRUE, _xlfn.XLOOKUP(K580, product_category_id_lookup!$A$2:$A$5, product_category_id_lookup!$B$2:$B$5), B580), "Unknown Category")</f>
        <v>fd-1078</v>
      </c>
      <c r="D580" s="8">
        <v>44747</v>
      </c>
      <c r="E580" s="7">
        <f t="shared" si="27"/>
        <v>2022</v>
      </c>
      <c r="F580" s="28" t="str">
        <f t="shared" si="28"/>
        <v>Jul</v>
      </c>
      <c r="G580" s="17" t="s">
        <v>14</v>
      </c>
      <c r="H580" s="17" t="s">
        <v>23</v>
      </c>
      <c r="I580" s="24">
        <v>41227.207900000001</v>
      </c>
      <c r="J580" s="32">
        <v>23</v>
      </c>
      <c r="K580" s="17" t="s">
        <v>24</v>
      </c>
      <c r="L580" s="24">
        <v>1690.06</v>
      </c>
      <c r="M580" s="24">
        <v>2524.63</v>
      </c>
      <c r="N580" s="34">
        <f>((sales_data_1[[#This Row],[Unit_Price]]*(1-sales_data_1[[#This Row],[Discount]]))-sales_data_1[[#This Row],[Unit_Cost]])*sales_data_1[[#This Row],[Quantity_Sold]]</f>
        <v>2355.8279000000011</v>
      </c>
      <c r="O580" s="17" t="s">
        <v>17</v>
      </c>
      <c r="P580" s="26">
        <v>0.28999999999999998</v>
      </c>
      <c r="Q580" s="17" t="s">
        <v>25</v>
      </c>
      <c r="R580" s="17" t="s">
        <v>19</v>
      </c>
      <c r="S580" s="49" t="str">
        <f t="shared" si="29"/>
        <v>Bob-South</v>
      </c>
      <c r="T580" s="59" t="str">
        <f>IF(ROUND(sales_data_1[[#This Row],[Profit_Margin]],2)=ROUND((sales_data_1[[#This Row],[Unit_Price]]*(1-sales_data_1[[#This Row],[Discount]]) - sales_data_1[[#This Row],[Unit_Cost]])*sales_data_1[[#This Row],[Quantity_Sold]],2), "PASS", "CHECK")</f>
        <v>PASS</v>
      </c>
    </row>
    <row r="581" spans="1:20" x14ac:dyDescent="0.35">
      <c r="A581" s="7">
        <v>580</v>
      </c>
      <c r="B581" s="9">
        <v>1018</v>
      </c>
      <c r="C581" s="7" t="str">
        <f>IFERROR(_xlfn.TEXTJOIN("-", TRUE, _xlfn.XLOOKUP(K581, product_category_id_lookup!$A$2:$A$5, product_category_id_lookup!$B$2:$B$5), B581), "Unknown Category")</f>
        <v>etc-1018</v>
      </c>
      <c r="D581" s="8">
        <v>44747</v>
      </c>
      <c r="E581" s="7">
        <f t="shared" si="27"/>
        <v>2022</v>
      </c>
      <c r="F581" s="28" t="str">
        <f t="shared" si="28"/>
        <v>Jul</v>
      </c>
      <c r="G581" s="17" t="s">
        <v>33</v>
      </c>
      <c r="H581" s="17" t="s">
        <v>20</v>
      </c>
      <c r="I581" s="24">
        <v>22130.387999999999</v>
      </c>
      <c r="J581" s="32">
        <v>7</v>
      </c>
      <c r="K581" s="17" t="s">
        <v>31</v>
      </c>
      <c r="L581" s="24">
        <v>1715.59</v>
      </c>
      <c r="M581" s="24">
        <v>4390.95</v>
      </c>
      <c r="N581" s="34">
        <f>((sales_data_1[[#This Row],[Unit_Price]]*(1-sales_data_1[[#This Row],[Discount]]))-sales_data_1[[#This Row],[Unit_Cost]])*sales_data_1[[#This Row],[Quantity_Sold]]</f>
        <v>10121.258</v>
      </c>
      <c r="O581" s="17" t="s">
        <v>17</v>
      </c>
      <c r="P581" s="26">
        <v>0.28000000000000003</v>
      </c>
      <c r="Q581" s="17" t="s">
        <v>28</v>
      </c>
      <c r="R581" s="17" t="s">
        <v>19</v>
      </c>
      <c r="S581" s="49" t="str">
        <f t="shared" si="29"/>
        <v>Alice-West</v>
      </c>
      <c r="T581" s="59" t="str">
        <f>IF(ROUND(sales_data_1[[#This Row],[Profit_Margin]],2)=ROUND((sales_data_1[[#This Row],[Unit_Price]]*(1-sales_data_1[[#This Row],[Discount]]) - sales_data_1[[#This Row],[Unit_Cost]])*sales_data_1[[#This Row],[Quantity_Sold]],2), "PASS", "CHECK")</f>
        <v>PASS</v>
      </c>
    </row>
    <row r="582" spans="1:20" x14ac:dyDescent="0.35">
      <c r="A582" s="7">
        <v>581</v>
      </c>
      <c r="B582" s="9">
        <v>1027</v>
      </c>
      <c r="C582" s="7" t="str">
        <f>IFERROR(_xlfn.TEXTJOIN("-", TRUE, _xlfn.XLOOKUP(K582, product_category_id_lookup!$A$2:$A$5, product_category_id_lookup!$B$2:$B$5), B582), "Unknown Category")</f>
        <v>etc-1027</v>
      </c>
      <c r="D582" s="8">
        <v>44747</v>
      </c>
      <c r="E582" s="7">
        <f t="shared" si="27"/>
        <v>2022</v>
      </c>
      <c r="F582" s="28" t="str">
        <f t="shared" si="28"/>
        <v>Jul</v>
      </c>
      <c r="G582" s="17" t="s">
        <v>29</v>
      </c>
      <c r="H582" s="17" t="s">
        <v>30</v>
      </c>
      <c r="I582" s="24">
        <v>38546.0075</v>
      </c>
      <c r="J582" s="32">
        <v>25</v>
      </c>
      <c r="K582" s="17" t="s">
        <v>31</v>
      </c>
      <c r="L582" s="24">
        <v>908.55</v>
      </c>
      <c r="M582" s="24">
        <v>1694.33</v>
      </c>
      <c r="N582" s="34">
        <f>((sales_data_1[[#This Row],[Unit_Price]]*(1-sales_data_1[[#This Row],[Discount]]))-sales_data_1[[#This Row],[Unit_Cost]])*sales_data_1[[#This Row],[Quantity_Sold]]</f>
        <v>15832.257500000003</v>
      </c>
      <c r="O582" s="17" t="s">
        <v>27</v>
      </c>
      <c r="P582" s="26">
        <v>0.09</v>
      </c>
      <c r="Q582" s="17" t="s">
        <v>18</v>
      </c>
      <c r="R582" s="17" t="s">
        <v>19</v>
      </c>
      <c r="S582" s="49" t="str">
        <f t="shared" si="29"/>
        <v>Charlie-East</v>
      </c>
      <c r="T582" s="59" t="str">
        <f>IF(ROUND(sales_data_1[[#This Row],[Profit_Margin]],2)=ROUND((sales_data_1[[#This Row],[Unit_Price]]*(1-sales_data_1[[#This Row],[Discount]]) - sales_data_1[[#This Row],[Unit_Cost]])*sales_data_1[[#This Row],[Quantity_Sold]],2), "PASS", "CHECK")</f>
        <v>PASS</v>
      </c>
    </row>
    <row r="583" spans="1:20" x14ac:dyDescent="0.35">
      <c r="A583" s="7">
        <v>582</v>
      </c>
      <c r="B583" s="9">
        <v>1081</v>
      </c>
      <c r="C583" s="7" t="str">
        <f>IFERROR(_xlfn.TEXTJOIN("-", TRUE, _xlfn.XLOOKUP(K583, product_category_id_lookup!$A$2:$A$5, product_category_id_lookup!$B$2:$B$5), B583), "Unknown Category")</f>
        <v>fd-1081</v>
      </c>
      <c r="D583" s="8">
        <v>44748</v>
      </c>
      <c r="E583" s="7">
        <f t="shared" si="27"/>
        <v>2022</v>
      </c>
      <c r="F583" s="28" t="str">
        <f t="shared" si="28"/>
        <v>Jul</v>
      </c>
      <c r="G583" s="17" t="s">
        <v>14</v>
      </c>
      <c r="H583" s="17" t="s">
        <v>20</v>
      </c>
      <c r="I583" s="24">
        <v>6570.6066000000001</v>
      </c>
      <c r="J583" s="32">
        <v>2</v>
      </c>
      <c r="K583" s="17" t="s">
        <v>24</v>
      </c>
      <c r="L583" s="24">
        <v>840.49</v>
      </c>
      <c r="M583" s="24">
        <v>4055.93</v>
      </c>
      <c r="N583" s="34">
        <f>((sales_data_1[[#This Row],[Unit_Price]]*(1-sales_data_1[[#This Row],[Discount]]))-sales_data_1[[#This Row],[Unit_Cost]])*sales_data_1[[#This Row],[Quantity_Sold]]</f>
        <v>4889.6265999999996</v>
      </c>
      <c r="O583" s="17" t="s">
        <v>27</v>
      </c>
      <c r="P583" s="26">
        <v>0.19</v>
      </c>
      <c r="Q583" s="17" t="s">
        <v>18</v>
      </c>
      <c r="R583" s="17" t="s">
        <v>21</v>
      </c>
      <c r="S583" s="49" t="str">
        <f t="shared" si="29"/>
        <v>Bob-West</v>
      </c>
      <c r="T583" s="59" t="str">
        <f>IF(ROUND(sales_data_1[[#This Row],[Profit_Margin]],2)=ROUND((sales_data_1[[#This Row],[Unit_Price]]*(1-sales_data_1[[#This Row],[Discount]]) - sales_data_1[[#This Row],[Unit_Cost]])*sales_data_1[[#This Row],[Quantity_Sold]],2), "PASS", "CHECK")</f>
        <v>PASS</v>
      </c>
    </row>
    <row r="584" spans="1:20" x14ac:dyDescent="0.35">
      <c r="A584" s="7">
        <v>583</v>
      </c>
      <c r="B584" s="9">
        <v>1060</v>
      </c>
      <c r="C584" s="7" t="str">
        <f>IFERROR(_xlfn.TEXTJOIN("-", TRUE, _xlfn.XLOOKUP(K584, product_category_id_lookup!$A$2:$A$5, product_category_id_lookup!$B$2:$B$5), B584), "Unknown Category")</f>
        <v>fd-1060</v>
      </c>
      <c r="D584" s="8">
        <v>44748</v>
      </c>
      <c r="E584" s="7">
        <f t="shared" si="27"/>
        <v>2022</v>
      </c>
      <c r="F584" s="28" t="str">
        <f t="shared" si="28"/>
        <v>Jul</v>
      </c>
      <c r="G584" s="17" t="s">
        <v>29</v>
      </c>
      <c r="H584" s="17" t="s">
        <v>30</v>
      </c>
      <c r="I584" s="24">
        <v>89513.579999999987</v>
      </c>
      <c r="J584" s="32">
        <v>25</v>
      </c>
      <c r="K584" s="17" t="s">
        <v>24</v>
      </c>
      <c r="L584" s="24">
        <v>1843.22</v>
      </c>
      <c r="M584" s="24">
        <v>4590.4399999999996</v>
      </c>
      <c r="N584" s="34">
        <f>((sales_data_1[[#This Row],[Unit_Price]]*(1-sales_data_1[[#This Row],[Discount]]))-sales_data_1[[#This Row],[Unit_Cost]])*sales_data_1[[#This Row],[Quantity_Sold]]</f>
        <v>43433.079999999987</v>
      </c>
      <c r="O584" s="17" t="s">
        <v>27</v>
      </c>
      <c r="P584" s="26">
        <v>0.22</v>
      </c>
      <c r="Q584" s="17" t="s">
        <v>28</v>
      </c>
      <c r="R584" s="17" t="s">
        <v>19</v>
      </c>
      <c r="S584" s="49" t="str">
        <f t="shared" si="29"/>
        <v>Charlie-East</v>
      </c>
      <c r="T584" s="59" t="str">
        <f>IF(ROUND(sales_data_1[[#This Row],[Profit_Margin]],2)=ROUND((sales_data_1[[#This Row],[Unit_Price]]*(1-sales_data_1[[#This Row],[Discount]]) - sales_data_1[[#This Row],[Unit_Cost]])*sales_data_1[[#This Row],[Quantity_Sold]],2), "PASS", "CHECK")</f>
        <v>PASS</v>
      </c>
    </row>
    <row r="585" spans="1:20" x14ac:dyDescent="0.35">
      <c r="A585" s="7">
        <v>584</v>
      </c>
      <c r="B585" s="9">
        <v>1073</v>
      </c>
      <c r="C585" s="7" t="str">
        <f>IFERROR(_xlfn.TEXTJOIN("-", TRUE, _xlfn.XLOOKUP(K585, product_category_id_lookup!$A$2:$A$5, product_category_id_lookup!$B$2:$B$5), B585), "Unknown Category")</f>
        <v>etc-1073</v>
      </c>
      <c r="D585" s="8">
        <v>44749</v>
      </c>
      <c r="E585" s="7">
        <f t="shared" si="27"/>
        <v>2022</v>
      </c>
      <c r="F585" s="28" t="str">
        <f t="shared" si="28"/>
        <v>Jul</v>
      </c>
      <c r="G585" s="17" t="s">
        <v>33</v>
      </c>
      <c r="H585" s="17" t="s">
        <v>30</v>
      </c>
      <c r="I585" s="24">
        <v>39389.664991664555</v>
      </c>
      <c r="J585" s="32">
        <v>16</v>
      </c>
      <c r="K585" s="17" t="s">
        <v>31</v>
      </c>
      <c r="L585" s="24">
        <v>2365.64</v>
      </c>
      <c r="M585" s="24">
        <v>2506.63</v>
      </c>
      <c r="N585" s="34">
        <f>((sales_data_1[[#This Row],[Unit_Price]]*(1-sales_data_1[[#This Row],[Discount]]))-sales_data_1[[#This Row],[Unit_Cost]])*sales_data_1[[#This Row],[Quantity_Sold]]</f>
        <v>1453.7184000000052</v>
      </c>
      <c r="O585" s="17" t="s">
        <v>27</v>
      </c>
      <c r="P585" s="26">
        <v>0.02</v>
      </c>
      <c r="Q585" s="17" t="s">
        <v>28</v>
      </c>
      <c r="R585" s="17" t="s">
        <v>21</v>
      </c>
      <c r="S585" s="49" t="str">
        <f t="shared" si="29"/>
        <v>Alice-East</v>
      </c>
      <c r="T585" s="59" t="str">
        <f>IF(ROUND(sales_data_1[[#This Row],[Profit_Margin]],2)=ROUND((sales_data_1[[#This Row],[Unit_Price]]*(1-sales_data_1[[#This Row],[Discount]]) - sales_data_1[[#This Row],[Unit_Cost]])*sales_data_1[[#This Row],[Quantity_Sold]],2), "PASS", "CHECK")</f>
        <v>PASS</v>
      </c>
    </row>
    <row r="586" spans="1:20" x14ac:dyDescent="0.35">
      <c r="A586" s="7">
        <v>585</v>
      </c>
      <c r="B586" s="9">
        <v>1016</v>
      </c>
      <c r="C586" s="7" t="str">
        <f>IFERROR(_xlfn.TEXTJOIN("-", TRUE, _xlfn.XLOOKUP(K586, product_category_id_lookup!$A$2:$A$5, product_category_id_lookup!$B$2:$B$5), B586), "Unknown Category")</f>
        <v>fd-1016</v>
      </c>
      <c r="D586" s="8">
        <v>44749</v>
      </c>
      <c r="E586" s="7">
        <f t="shared" si="27"/>
        <v>2022</v>
      </c>
      <c r="F586" s="28" t="str">
        <f t="shared" si="28"/>
        <v>Jul</v>
      </c>
      <c r="G586" s="17" t="s">
        <v>22</v>
      </c>
      <c r="H586" s="17" t="s">
        <v>15</v>
      </c>
      <c r="I586" s="24">
        <v>31875.337200000002</v>
      </c>
      <c r="J586" s="32">
        <v>14</v>
      </c>
      <c r="K586" s="17" t="s">
        <v>24</v>
      </c>
      <c r="L586" s="24">
        <v>1696.46</v>
      </c>
      <c r="M586" s="24">
        <v>3076.77</v>
      </c>
      <c r="N586" s="34">
        <f>((sales_data_1[[#This Row],[Unit_Price]]*(1-sales_data_1[[#This Row],[Discount]]))-sales_data_1[[#This Row],[Unit_Cost]])*sales_data_1[[#This Row],[Quantity_Sold]]</f>
        <v>8124.8971999999994</v>
      </c>
      <c r="O586" s="17" t="s">
        <v>27</v>
      </c>
      <c r="P586" s="26">
        <v>0.26</v>
      </c>
      <c r="Q586" s="17" t="s">
        <v>18</v>
      </c>
      <c r="R586" s="17" t="s">
        <v>19</v>
      </c>
      <c r="S586" s="49" t="str">
        <f t="shared" si="29"/>
        <v>David-North</v>
      </c>
      <c r="T586" s="59" t="str">
        <f>IF(ROUND(sales_data_1[[#This Row],[Profit_Margin]],2)=ROUND((sales_data_1[[#This Row],[Unit_Price]]*(1-sales_data_1[[#This Row],[Discount]]) - sales_data_1[[#This Row],[Unit_Cost]])*sales_data_1[[#This Row],[Quantity_Sold]],2), "PASS", "CHECK")</f>
        <v>PASS</v>
      </c>
    </row>
    <row r="587" spans="1:20" x14ac:dyDescent="0.35">
      <c r="A587" s="7">
        <v>586</v>
      </c>
      <c r="B587" s="9">
        <v>1097</v>
      </c>
      <c r="C587" s="7" t="str">
        <f>IFERROR(_xlfn.TEXTJOIN("-", TRUE, _xlfn.XLOOKUP(K587, product_category_id_lookup!$A$2:$A$5, product_category_id_lookup!$B$2:$B$5), B587), "Unknown Category")</f>
        <v>fd-1097</v>
      </c>
      <c r="D587" s="8">
        <v>44749</v>
      </c>
      <c r="E587" s="7">
        <f t="shared" si="27"/>
        <v>2022</v>
      </c>
      <c r="F587" s="28" t="str">
        <f t="shared" si="28"/>
        <v>Jul</v>
      </c>
      <c r="G587" s="17" t="s">
        <v>22</v>
      </c>
      <c r="H587" s="17" t="s">
        <v>30</v>
      </c>
      <c r="I587" s="24">
        <v>105194.24100000001</v>
      </c>
      <c r="J587" s="32">
        <v>27</v>
      </c>
      <c r="K587" s="17" t="s">
        <v>24</v>
      </c>
      <c r="L587" s="24">
        <v>3518.18</v>
      </c>
      <c r="M587" s="24">
        <v>4101.1400000000003</v>
      </c>
      <c r="N587" s="34">
        <f>((sales_data_1[[#This Row],[Unit_Price]]*(1-sales_data_1[[#This Row],[Discount]]))-sales_data_1[[#This Row],[Unit_Cost]])*sales_data_1[[#This Row],[Quantity_Sold]]</f>
        <v>10203.381000000007</v>
      </c>
      <c r="O587" s="17" t="s">
        <v>17</v>
      </c>
      <c r="P587" s="26">
        <v>0.05</v>
      </c>
      <c r="Q587" s="17" t="s">
        <v>28</v>
      </c>
      <c r="R587" s="17" t="s">
        <v>19</v>
      </c>
      <c r="S587" s="49" t="str">
        <f t="shared" si="29"/>
        <v>David-East</v>
      </c>
      <c r="T587" s="59" t="str">
        <f>IF(ROUND(sales_data_1[[#This Row],[Profit_Margin]],2)=ROUND((sales_data_1[[#This Row],[Unit_Price]]*(1-sales_data_1[[#This Row],[Discount]]) - sales_data_1[[#This Row],[Unit_Cost]])*sales_data_1[[#This Row],[Quantity_Sold]],2), "PASS", "CHECK")</f>
        <v>PASS</v>
      </c>
    </row>
    <row r="588" spans="1:20" x14ac:dyDescent="0.35">
      <c r="A588" s="7">
        <v>587</v>
      </c>
      <c r="B588" s="9">
        <v>1016</v>
      </c>
      <c r="C588" s="7" t="str">
        <f>IFERROR(_xlfn.TEXTJOIN("-", TRUE, _xlfn.XLOOKUP(K588, product_category_id_lookup!$A$2:$A$5, product_category_id_lookup!$B$2:$B$5), B588), "Unknown Category")</f>
        <v>ctg-1016</v>
      </c>
      <c r="D588" s="8">
        <v>44749</v>
      </c>
      <c r="E588" s="7">
        <f t="shared" si="27"/>
        <v>2022</v>
      </c>
      <c r="F588" s="28" t="str">
        <f t="shared" si="28"/>
        <v>Jul</v>
      </c>
      <c r="G588" s="17" t="s">
        <v>22</v>
      </c>
      <c r="H588" s="17" t="s">
        <v>20</v>
      </c>
      <c r="I588" s="24">
        <v>51183.375999999997</v>
      </c>
      <c r="J588" s="32">
        <v>16</v>
      </c>
      <c r="K588" s="17" t="s">
        <v>26</v>
      </c>
      <c r="L588" s="24">
        <v>2457.06</v>
      </c>
      <c r="M588" s="24">
        <v>3403.15</v>
      </c>
      <c r="N588" s="34">
        <f>((sales_data_1[[#This Row],[Unit_Price]]*(1-sales_data_1[[#This Row],[Discount]]))-sales_data_1[[#This Row],[Unit_Cost]])*sales_data_1[[#This Row],[Quantity_Sold]]</f>
        <v>11870.415999999997</v>
      </c>
      <c r="O588" s="17" t="s">
        <v>17</v>
      </c>
      <c r="P588" s="26">
        <v>0.06</v>
      </c>
      <c r="Q588" s="17" t="s">
        <v>18</v>
      </c>
      <c r="R588" s="17" t="s">
        <v>21</v>
      </c>
      <c r="S588" s="49" t="str">
        <f t="shared" si="29"/>
        <v>David-West</v>
      </c>
      <c r="T588" s="59" t="str">
        <f>IF(ROUND(sales_data_1[[#This Row],[Profit_Margin]],2)=ROUND((sales_data_1[[#This Row],[Unit_Price]]*(1-sales_data_1[[#This Row],[Discount]]) - sales_data_1[[#This Row],[Unit_Cost]])*sales_data_1[[#This Row],[Quantity_Sold]],2), "PASS", "CHECK")</f>
        <v>PASS</v>
      </c>
    </row>
    <row r="589" spans="1:20" x14ac:dyDescent="0.35">
      <c r="A589" s="7">
        <v>588</v>
      </c>
      <c r="B589" s="9">
        <v>1033</v>
      </c>
      <c r="C589" s="7" t="str">
        <f>IFERROR(_xlfn.TEXTJOIN("-", TRUE, _xlfn.XLOOKUP(K589, product_category_id_lookup!$A$2:$A$5, product_category_id_lookup!$B$2:$B$5), B589), "Unknown Category")</f>
        <v>fnt-1033</v>
      </c>
      <c r="D589" s="8">
        <v>44749</v>
      </c>
      <c r="E589" s="7">
        <f t="shared" si="27"/>
        <v>2022</v>
      </c>
      <c r="F589" s="28" t="str">
        <f t="shared" si="28"/>
        <v>Jul</v>
      </c>
      <c r="G589" s="17" t="s">
        <v>22</v>
      </c>
      <c r="H589" s="17" t="s">
        <v>23</v>
      </c>
      <c r="I589" s="24">
        <v>34614.961199999998</v>
      </c>
      <c r="J589" s="32">
        <v>18</v>
      </c>
      <c r="K589" s="17" t="s">
        <v>16</v>
      </c>
      <c r="L589" s="24">
        <v>996.37</v>
      </c>
      <c r="M589" s="24">
        <v>2374.14</v>
      </c>
      <c r="N589" s="34">
        <f>((sales_data_1[[#This Row],[Unit_Price]]*(1-sales_data_1[[#This Row],[Discount]]))-sales_data_1[[#This Row],[Unit_Cost]])*sales_data_1[[#This Row],[Quantity_Sold]]</f>
        <v>16680.301200000002</v>
      </c>
      <c r="O589" s="17" t="s">
        <v>27</v>
      </c>
      <c r="P589" s="26">
        <v>0.19</v>
      </c>
      <c r="Q589" s="17" t="s">
        <v>28</v>
      </c>
      <c r="R589" s="17" t="s">
        <v>19</v>
      </c>
      <c r="S589" s="49" t="str">
        <f t="shared" si="29"/>
        <v>David-South</v>
      </c>
      <c r="T589" s="59" t="str">
        <f>IF(ROUND(sales_data_1[[#This Row],[Profit_Margin]],2)=ROUND((sales_data_1[[#This Row],[Unit_Price]]*(1-sales_data_1[[#This Row],[Discount]]) - sales_data_1[[#This Row],[Unit_Cost]])*sales_data_1[[#This Row],[Quantity_Sold]],2), "PASS", "CHECK")</f>
        <v>PASS</v>
      </c>
    </row>
    <row r="590" spans="1:20" x14ac:dyDescent="0.35">
      <c r="A590" s="7">
        <v>589</v>
      </c>
      <c r="B590" s="9">
        <v>1035</v>
      </c>
      <c r="C590" s="7" t="str">
        <f>IFERROR(_xlfn.TEXTJOIN("-", TRUE, _xlfn.XLOOKUP(K590, product_category_id_lookup!$A$2:$A$5, product_category_id_lookup!$B$2:$B$5), B590), "Unknown Category")</f>
        <v>fnt-1035</v>
      </c>
      <c r="D590" s="8">
        <v>44749</v>
      </c>
      <c r="E590" s="7">
        <f t="shared" si="27"/>
        <v>2022</v>
      </c>
      <c r="F590" s="28" t="str">
        <f t="shared" si="28"/>
        <v>Jul</v>
      </c>
      <c r="G590" s="17" t="s">
        <v>29</v>
      </c>
      <c r="H590" s="17" t="s">
        <v>20</v>
      </c>
      <c r="I590" s="24">
        <v>151452.0422</v>
      </c>
      <c r="J590" s="32">
        <v>46</v>
      </c>
      <c r="K590" s="17" t="s">
        <v>16</v>
      </c>
      <c r="L590" s="24">
        <v>2579.9699999999998</v>
      </c>
      <c r="M590" s="24">
        <v>3966.79</v>
      </c>
      <c r="N590" s="34">
        <f>((sales_data_1[[#This Row],[Unit_Price]]*(1-sales_data_1[[#This Row],[Discount]]))-sales_data_1[[#This Row],[Unit_Cost]])*sales_data_1[[#This Row],[Quantity_Sold]]</f>
        <v>32773.422200000008</v>
      </c>
      <c r="O590" s="17" t="s">
        <v>27</v>
      </c>
      <c r="P590" s="26">
        <v>0.17</v>
      </c>
      <c r="Q590" s="17" t="s">
        <v>18</v>
      </c>
      <c r="R590" s="17" t="s">
        <v>19</v>
      </c>
      <c r="S590" s="49" t="str">
        <f t="shared" si="29"/>
        <v>Charlie-West</v>
      </c>
      <c r="T590" s="59" t="str">
        <f>IF(ROUND(sales_data_1[[#This Row],[Profit_Margin]],2)=ROUND((sales_data_1[[#This Row],[Unit_Price]]*(1-sales_data_1[[#This Row],[Discount]]) - sales_data_1[[#This Row],[Unit_Cost]])*sales_data_1[[#This Row],[Quantity_Sold]],2), "PASS", "CHECK")</f>
        <v>PASS</v>
      </c>
    </row>
    <row r="591" spans="1:20" x14ac:dyDescent="0.35">
      <c r="A591" s="7">
        <v>590</v>
      </c>
      <c r="B591" s="9">
        <v>1083</v>
      </c>
      <c r="C591" s="7" t="str">
        <f>IFERROR(_xlfn.TEXTJOIN("-", TRUE, _xlfn.XLOOKUP(K591, product_category_id_lookup!$A$2:$A$5, product_category_id_lookup!$B$2:$B$5), B591), "Unknown Category")</f>
        <v>fd-1083</v>
      </c>
      <c r="D591" s="8">
        <v>44750</v>
      </c>
      <c r="E591" s="7">
        <f t="shared" si="27"/>
        <v>2022</v>
      </c>
      <c r="F591" s="28" t="str">
        <f t="shared" si="28"/>
        <v>Jul</v>
      </c>
      <c r="G591" s="17" t="s">
        <v>29</v>
      </c>
      <c r="H591" s="17" t="s">
        <v>23</v>
      </c>
      <c r="I591" s="24">
        <v>43428.342399999994</v>
      </c>
      <c r="J591" s="32">
        <v>16</v>
      </c>
      <c r="K591" s="17" t="s">
        <v>24</v>
      </c>
      <c r="L591" s="24">
        <v>1143.45</v>
      </c>
      <c r="M591" s="24">
        <v>3718.18</v>
      </c>
      <c r="N591" s="34">
        <f>((sales_data_1[[#This Row],[Unit_Price]]*(1-sales_data_1[[#This Row],[Discount]]))-sales_data_1[[#This Row],[Unit_Cost]])*sales_data_1[[#This Row],[Quantity_Sold]]</f>
        <v>25133.142399999993</v>
      </c>
      <c r="O591" s="17" t="s">
        <v>17</v>
      </c>
      <c r="P591" s="26">
        <v>0.27</v>
      </c>
      <c r="Q591" s="17" t="s">
        <v>28</v>
      </c>
      <c r="R591" s="17" t="s">
        <v>19</v>
      </c>
      <c r="S591" s="49" t="str">
        <f t="shared" si="29"/>
        <v>Charlie-South</v>
      </c>
      <c r="T591" s="59" t="str">
        <f>IF(ROUND(sales_data_1[[#This Row],[Profit_Margin]],2)=ROUND((sales_data_1[[#This Row],[Unit_Price]]*(1-sales_data_1[[#This Row],[Discount]]) - sales_data_1[[#This Row],[Unit_Cost]])*sales_data_1[[#This Row],[Quantity_Sold]],2), "PASS", "CHECK")</f>
        <v>PASS</v>
      </c>
    </row>
    <row r="592" spans="1:20" x14ac:dyDescent="0.35">
      <c r="A592" s="7">
        <v>591</v>
      </c>
      <c r="B592" s="9">
        <v>1032</v>
      </c>
      <c r="C592" s="7" t="str">
        <f>IFERROR(_xlfn.TEXTJOIN("-", TRUE, _xlfn.XLOOKUP(K592, product_category_id_lookup!$A$2:$A$5, product_category_id_lookup!$B$2:$B$5), B592), "Unknown Category")</f>
        <v>fnt-1032</v>
      </c>
      <c r="D592" s="8">
        <v>44751</v>
      </c>
      <c r="E592" s="7">
        <f t="shared" si="27"/>
        <v>2022</v>
      </c>
      <c r="F592" s="28" t="str">
        <f t="shared" si="28"/>
        <v>Jul</v>
      </c>
      <c r="G592" s="17" t="s">
        <v>22</v>
      </c>
      <c r="H592" s="17" t="s">
        <v>20</v>
      </c>
      <c r="I592" s="24">
        <v>10678.376855980487</v>
      </c>
      <c r="J592" s="32">
        <v>12</v>
      </c>
      <c r="K592" s="17" t="s">
        <v>16</v>
      </c>
      <c r="L592" s="24">
        <v>872.91</v>
      </c>
      <c r="M592" s="24">
        <v>891.44</v>
      </c>
      <c r="N592" s="34">
        <f>((sales_data_1[[#This Row],[Unit_Price]]*(1-sales_data_1[[#This Row],[Discount]]))-sales_data_1[[#This Row],[Unit_Cost]])*sales_data_1[[#This Row],[Quantity_Sold]]</f>
        <v>222.36000000000104</v>
      </c>
      <c r="O592" s="17" t="s">
        <v>27</v>
      </c>
      <c r="P592" s="26">
        <v>0</v>
      </c>
      <c r="Q592" s="17" t="s">
        <v>28</v>
      </c>
      <c r="R592" s="17" t="s">
        <v>19</v>
      </c>
      <c r="S592" s="49" t="str">
        <f t="shared" si="29"/>
        <v>David-West</v>
      </c>
      <c r="T592" s="59" t="str">
        <f>IF(ROUND(sales_data_1[[#This Row],[Profit_Margin]],2)=ROUND((sales_data_1[[#This Row],[Unit_Price]]*(1-sales_data_1[[#This Row],[Discount]]) - sales_data_1[[#This Row],[Unit_Cost]])*sales_data_1[[#This Row],[Quantity_Sold]],2), "PASS", "CHECK")</f>
        <v>PASS</v>
      </c>
    </row>
    <row r="593" spans="1:20" x14ac:dyDescent="0.35">
      <c r="A593" s="7">
        <v>592</v>
      </c>
      <c r="B593" s="9">
        <v>1033</v>
      </c>
      <c r="C593" s="7" t="str">
        <f>IFERROR(_xlfn.TEXTJOIN("-", TRUE, _xlfn.XLOOKUP(K593, product_category_id_lookup!$A$2:$A$5, product_category_id_lookup!$B$2:$B$5), B593), "Unknown Category")</f>
        <v>ctg-1033</v>
      </c>
      <c r="D593" s="8">
        <v>44751</v>
      </c>
      <c r="E593" s="7">
        <f t="shared" si="27"/>
        <v>2022</v>
      </c>
      <c r="F593" s="28" t="str">
        <f t="shared" si="28"/>
        <v>Jul</v>
      </c>
      <c r="G593" s="17" t="s">
        <v>32</v>
      </c>
      <c r="H593" s="17" t="s">
        <v>15</v>
      </c>
      <c r="I593" s="24">
        <v>50058.139599999995</v>
      </c>
      <c r="J593" s="32">
        <v>14</v>
      </c>
      <c r="K593" s="17" t="s">
        <v>26</v>
      </c>
      <c r="L593" s="24">
        <v>1178.4000000000001</v>
      </c>
      <c r="M593" s="24">
        <v>3803.81</v>
      </c>
      <c r="N593" s="34">
        <f>((sales_data_1[[#This Row],[Unit_Price]]*(1-sales_data_1[[#This Row],[Discount]]))-sales_data_1[[#This Row],[Unit_Cost]])*sales_data_1[[#This Row],[Quantity_Sold]]</f>
        <v>33560.539599999989</v>
      </c>
      <c r="O593" s="17" t="s">
        <v>27</v>
      </c>
      <c r="P593" s="26">
        <v>0.06</v>
      </c>
      <c r="Q593" s="17" t="s">
        <v>18</v>
      </c>
      <c r="R593" s="17" t="s">
        <v>19</v>
      </c>
      <c r="S593" s="49" t="str">
        <f t="shared" si="29"/>
        <v>Eve-North</v>
      </c>
      <c r="T593" s="59" t="str">
        <f>IF(ROUND(sales_data_1[[#This Row],[Profit_Margin]],2)=ROUND((sales_data_1[[#This Row],[Unit_Price]]*(1-sales_data_1[[#This Row],[Discount]]) - sales_data_1[[#This Row],[Unit_Cost]])*sales_data_1[[#This Row],[Quantity_Sold]],2), "PASS", "CHECK")</f>
        <v>PASS</v>
      </c>
    </row>
    <row r="594" spans="1:20" x14ac:dyDescent="0.35">
      <c r="A594" s="7">
        <v>593</v>
      </c>
      <c r="B594" s="9">
        <v>1068</v>
      </c>
      <c r="C594" s="7" t="str">
        <f>IFERROR(_xlfn.TEXTJOIN("-", TRUE, _xlfn.XLOOKUP(K594, product_category_id_lookup!$A$2:$A$5, product_category_id_lookup!$B$2:$B$5), B594), "Unknown Category")</f>
        <v>ctg-1068</v>
      </c>
      <c r="D594" s="8">
        <v>44751</v>
      </c>
      <c r="E594" s="7">
        <f t="shared" si="27"/>
        <v>2022</v>
      </c>
      <c r="F594" s="28" t="str">
        <f t="shared" si="28"/>
        <v>Jul</v>
      </c>
      <c r="G594" s="17" t="s">
        <v>33</v>
      </c>
      <c r="H594" s="17" t="s">
        <v>20</v>
      </c>
      <c r="I594" s="24">
        <v>122178.28600000001</v>
      </c>
      <c r="J594" s="32">
        <v>47</v>
      </c>
      <c r="K594" s="17" t="s">
        <v>26</v>
      </c>
      <c r="L594" s="24">
        <v>696.02</v>
      </c>
      <c r="M594" s="24">
        <v>3058.28</v>
      </c>
      <c r="N594" s="34">
        <f>((sales_data_1[[#This Row],[Unit_Price]]*(1-sales_data_1[[#This Row],[Discount]]))-sales_data_1[[#This Row],[Unit_Cost]])*sales_data_1[[#This Row],[Quantity_Sold]]</f>
        <v>89465.346000000005</v>
      </c>
      <c r="O594" s="17" t="s">
        <v>17</v>
      </c>
      <c r="P594" s="26">
        <v>0.15</v>
      </c>
      <c r="Q594" s="17" t="s">
        <v>18</v>
      </c>
      <c r="R594" s="17" t="s">
        <v>19</v>
      </c>
      <c r="S594" s="49" t="str">
        <f t="shared" si="29"/>
        <v>Alice-West</v>
      </c>
      <c r="T594" s="59" t="str">
        <f>IF(ROUND(sales_data_1[[#This Row],[Profit_Margin]],2)=ROUND((sales_data_1[[#This Row],[Unit_Price]]*(1-sales_data_1[[#This Row],[Discount]]) - sales_data_1[[#This Row],[Unit_Cost]])*sales_data_1[[#This Row],[Quantity_Sold]],2), "PASS", "CHECK")</f>
        <v>PASS</v>
      </c>
    </row>
    <row r="595" spans="1:20" x14ac:dyDescent="0.35">
      <c r="A595" s="7">
        <v>594</v>
      </c>
      <c r="B595" s="9">
        <v>1005</v>
      </c>
      <c r="C595" s="7" t="str">
        <f>IFERROR(_xlfn.TEXTJOIN("-", TRUE, _xlfn.XLOOKUP(K595, product_category_id_lookup!$A$2:$A$5, product_category_id_lookup!$B$2:$B$5), B595), "Unknown Category")</f>
        <v>etc-1005</v>
      </c>
      <c r="D595" s="8">
        <v>44752</v>
      </c>
      <c r="E595" s="7">
        <f t="shared" si="27"/>
        <v>2022</v>
      </c>
      <c r="F595" s="28" t="str">
        <f t="shared" si="28"/>
        <v>Jul</v>
      </c>
      <c r="G595" s="17" t="s">
        <v>32</v>
      </c>
      <c r="H595" s="17" t="s">
        <v>15</v>
      </c>
      <c r="I595" s="24">
        <v>6330.5240000000003</v>
      </c>
      <c r="J595" s="32">
        <v>4</v>
      </c>
      <c r="K595" s="17" t="s">
        <v>31</v>
      </c>
      <c r="L595" s="24">
        <v>1084.24</v>
      </c>
      <c r="M595" s="24">
        <v>1683.65</v>
      </c>
      <c r="N595" s="34">
        <f>((sales_data_1[[#This Row],[Unit_Price]]*(1-sales_data_1[[#This Row],[Discount]]))-sales_data_1[[#This Row],[Unit_Cost]])*sales_data_1[[#This Row],[Quantity_Sold]]</f>
        <v>1993.5640000000003</v>
      </c>
      <c r="O595" s="17" t="s">
        <v>17</v>
      </c>
      <c r="P595" s="26">
        <v>0.06</v>
      </c>
      <c r="Q595" s="17" t="s">
        <v>25</v>
      </c>
      <c r="R595" s="17" t="s">
        <v>19</v>
      </c>
      <c r="S595" s="49" t="str">
        <f t="shared" si="29"/>
        <v>Eve-North</v>
      </c>
      <c r="T595" s="59" t="str">
        <f>IF(ROUND(sales_data_1[[#This Row],[Profit_Margin]],2)=ROUND((sales_data_1[[#This Row],[Unit_Price]]*(1-sales_data_1[[#This Row],[Discount]]) - sales_data_1[[#This Row],[Unit_Cost]])*sales_data_1[[#This Row],[Quantity_Sold]],2), "PASS", "CHECK")</f>
        <v>PASS</v>
      </c>
    </row>
    <row r="596" spans="1:20" x14ac:dyDescent="0.35">
      <c r="A596" s="7">
        <v>595</v>
      </c>
      <c r="B596" s="9">
        <v>1088</v>
      </c>
      <c r="C596" s="7" t="str">
        <f>IFERROR(_xlfn.TEXTJOIN("-", TRUE, _xlfn.XLOOKUP(K596, product_category_id_lookup!$A$2:$A$5, product_category_id_lookup!$B$2:$B$5), B596), "Unknown Category")</f>
        <v>ctg-1088</v>
      </c>
      <c r="D596" s="8">
        <v>44752</v>
      </c>
      <c r="E596" s="7">
        <f t="shared" si="27"/>
        <v>2022</v>
      </c>
      <c r="F596" s="28" t="str">
        <f t="shared" si="28"/>
        <v>Jul</v>
      </c>
      <c r="G596" s="17" t="s">
        <v>22</v>
      </c>
      <c r="H596" s="17" t="s">
        <v>30</v>
      </c>
      <c r="I596" s="24">
        <v>44946.288</v>
      </c>
      <c r="J596" s="32">
        <v>10</v>
      </c>
      <c r="K596" s="17" t="s">
        <v>26</v>
      </c>
      <c r="L596" s="24">
        <v>2292.88</v>
      </c>
      <c r="M596" s="24">
        <v>4781.5200000000004</v>
      </c>
      <c r="N596" s="34">
        <f>((sales_data_1[[#This Row],[Unit_Price]]*(1-sales_data_1[[#This Row],[Discount]]))-sales_data_1[[#This Row],[Unit_Cost]])*sales_data_1[[#This Row],[Quantity_Sold]]</f>
        <v>22017.488000000005</v>
      </c>
      <c r="O596" s="17" t="s">
        <v>27</v>
      </c>
      <c r="P596" s="26">
        <v>0.06</v>
      </c>
      <c r="Q596" s="17" t="s">
        <v>18</v>
      </c>
      <c r="R596" s="17" t="s">
        <v>19</v>
      </c>
      <c r="S596" s="49" t="str">
        <f t="shared" si="29"/>
        <v>David-East</v>
      </c>
      <c r="T596" s="59" t="str">
        <f>IF(ROUND(sales_data_1[[#This Row],[Profit_Margin]],2)=ROUND((sales_data_1[[#This Row],[Unit_Price]]*(1-sales_data_1[[#This Row],[Discount]]) - sales_data_1[[#This Row],[Unit_Cost]])*sales_data_1[[#This Row],[Quantity_Sold]],2), "PASS", "CHECK")</f>
        <v>PASS</v>
      </c>
    </row>
    <row r="597" spans="1:20" x14ac:dyDescent="0.35">
      <c r="A597" s="7">
        <v>596</v>
      </c>
      <c r="B597" s="9">
        <v>1064</v>
      </c>
      <c r="C597" s="7" t="str">
        <f>IFERROR(_xlfn.TEXTJOIN("-", TRUE, _xlfn.XLOOKUP(K597, product_category_id_lookup!$A$2:$A$5, product_category_id_lookup!$B$2:$B$5), B597), "Unknown Category")</f>
        <v>fd-1064</v>
      </c>
      <c r="D597" s="8">
        <v>44752</v>
      </c>
      <c r="E597" s="7">
        <f t="shared" si="27"/>
        <v>2022</v>
      </c>
      <c r="F597" s="28" t="str">
        <f t="shared" si="28"/>
        <v>Jul</v>
      </c>
      <c r="G597" s="17" t="s">
        <v>32</v>
      </c>
      <c r="H597" s="17" t="s">
        <v>23</v>
      </c>
      <c r="I597" s="24">
        <v>70192.95719999999</v>
      </c>
      <c r="J597" s="32">
        <v>29</v>
      </c>
      <c r="K597" s="17" t="s">
        <v>24</v>
      </c>
      <c r="L597" s="24">
        <v>1423.65</v>
      </c>
      <c r="M597" s="24">
        <v>3409.08</v>
      </c>
      <c r="N597" s="34">
        <f>((sales_data_1[[#This Row],[Unit_Price]]*(1-sales_data_1[[#This Row],[Discount]]))-sales_data_1[[#This Row],[Unit_Cost]])*sales_data_1[[#This Row],[Quantity_Sold]]</f>
        <v>28907.107199999988</v>
      </c>
      <c r="O597" s="17" t="s">
        <v>27</v>
      </c>
      <c r="P597" s="26">
        <v>0.28999999999999998</v>
      </c>
      <c r="Q597" s="17" t="s">
        <v>25</v>
      </c>
      <c r="R597" s="17" t="s">
        <v>21</v>
      </c>
      <c r="S597" s="49" t="str">
        <f t="shared" si="29"/>
        <v>Eve-South</v>
      </c>
      <c r="T597" s="59" t="str">
        <f>IF(ROUND(sales_data_1[[#This Row],[Profit_Margin]],2)=ROUND((sales_data_1[[#This Row],[Unit_Price]]*(1-sales_data_1[[#This Row],[Discount]]) - sales_data_1[[#This Row],[Unit_Cost]])*sales_data_1[[#This Row],[Quantity_Sold]],2), "PASS", "CHECK")</f>
        <v>PASS</v>
      </c>
    </row>
    <row r="598" spans="1:20" x14ac:dyDescent="0.35">
      <c r="A598" s="7">
        <v>597</v>
      </c>
      <c r="B598" s="9">
        <v>1044</v>
      </c>
      <c r="C598" s="7" t="str">
        <f>IFERROR(_xlfn.TEXTJOIN("-", TRUE, _xlfn.XLOOKUP(K598, product_category_id_lookup!$A$2:$A$5, product_category_id_lookup!$B$2:$B$5), B598), "Unknown Category")</f>
        <v>fnt-1044</v>
      </c>
      <c r="D598" s="8">
        <v>44753</v>
      </c>
      <c r="E598" s="7">
        <f t="shared" si="27"/>
        <v>2022</v>
      </c>
      <c r="F598" s="28" t="str">
        <f t="shared" si="28"/>
        <v>Jul</v>
      </c>
      <c r="G598" s="17" t="s">
        <v>29</v>
      </c>
      <c r="H598" s="17" t="s">
        <v>30</v>
      </c>
      <c r="I598" s="24">
        <v>81305.207999999999</v>
      </c>
      <c r="J598" s="32">
        <v>45</v>
      </c>
      <c r="K598" s="17" t="s">
        <v>16</v>
      </c>
      <c r="L598" s="24">
        <v>1802.95</v>
      </c>
      <c r="M598" s="24">
        <v>2509.42</v>
      </c>
      <c r="N598" s="34">
        <f>((sales_data_1[[#This Row],[Unit_Price]]*(1-sales_data_1[[#This Row],[Discount]]))-sales_data_1[[#This Row],[Unit_Cost]])*sales_data_1[[#This Row],[Quantity_Sold]]</f>
        <v>172.45800000000031</v>
      </c>
      <c r="O598" s="17" t="s">
        <v>17</v>
      </c>
      <c r="P598" s="26">
        <v>0.28000000000000003</v>
      </c>
      <c r="Q598" s="17" t="s">
        <v>28</v>
      </c>
      <c r="R598" s="17" t="s">
        <v>21</v>
      </c>
      <c r="S598" s="49" t="str">
        <f t="shared" si="29"/>
        <v>Charlie-East</v>
      </c>
      <c r="T598" s="59" t="str">
        <f>IF(ROUND(sales_data_1[[#This Row],[Profit_Margin]],2)=ROUND((sales_data_1[[#This Row],[Unit_Price]]*(1-sales_data_1[[#This Row],[Discount]]) - sales_data_1[[#This Row],[Unit_Cost]])*sales_data_1[[#This Row],[Quantity_Sold]],2), "PASS", "CHECK")</f>
        <v>PASS</v>
      </c>
    </row>
    <row r="599" spans="1:20" x14ac:dyDescent="0.35">
      <c r="A599" s="7">
        <v>598</v>
      </c>
      <c r="B599" s="9">
        <v>1014</v>
      </c>
      <c r="C599" s="7" t="str">
        <f>IFERROR(_xlfn.TEXTJOIN("-", TRUE, _xlfn.XLOOKUP(K599, product_category_id_lookup!$A$2:$A$5, product_category_id_lookup!$B$2:$B$5), B599), "Unknown Category")</f>
        <v>fd-1014</v>
      </c>
      <c r="D599" s="8">
        <v>44753</v>
      </c>
      <c r="E599" s="7">
        <f t="shared" si="27"/>
        <v>2022</v>
      </c>
      <c r="F599" s="28" t="str">
        <f t="shared" si="28"/>
        <v>Jul</v>
      </c>
      <c r="G599" s="17" t="s">
        <v>14</v>
      </c>
      <c r="H599" s="17" t="s">
        <v>15</v>
      </c>
      <c r="I599" s="24">
        <v>8901.4652999999998</v>
      </c>
      <c r="J599" s="32">
        <v>9</v>
      </c>
      <c r="K599" s="17" t="s">
        <v>24</v>
      </c>
      <c r="L599" s="24">
        <v>891.4</v>
      </c>
      <c r="M599" s="24">
        <v>1086.8699999999999</v>
      </c>
      <c r="N599" s="34">
        <f>((sales_data_1[[#This Row],[Unit_Price]]*(1-sales_data_1[[#This Row],[Discount]]))-sales_data_1[[#This Row],[Unit_Cost]])*sales_data_1[[#This Row],[Quantity_Sold]]</f>
        <v>878.86530000000005</v>
      </c>
      <c r="O599" s="17" t="s">
        <v>27</v>
      </c>
      <c r="P599" s="26">
        <v>0.09</v>
      </c>
      <c r="Q599" s="17" t="s">
        <v>28</v>
      </c>
      <c r="R599" s="17" t="s">
        <v>19</v>
      </c>
      <c r="S599" s="49" t="str">
        <f t="shared" si="29"/>
        <v>Bob-North</v>
      </c>
      <c r="T599" s="59" t="str">
        <f>IF(ROUND(sales_data_1[[#This Row],[Profit_Margin]],2)=ROUND((sales_data_1[[#This Row],[Unit_Price]]*(1-sales_data_1[[#This Row],[Discount]]) - sales_data_1[[#This Row],[Unit_Cost]])*sales_data_1[[#This Row],[Quantity_Sold]],2), "PASS", "CHECK")</f>
        <v>PASS</v>
      </c>
    </row>
    <row r="600" spans="1:20" x14ac:dyDescent="0.35">
      <c r="A600" s="7">
        <v>599</v>
      </c>
      <c r="B600" s="9">
        <v>1059</v>
      </c>
      <c r="C600" s="7" t="str">
        <f>IFERROR(_xlfn.TEXTJOIN("-", TRUE, _xlfn.XLOOKUP(K600, product_category_id_lookup!$A$2:$A$5, product_category_id_lookup!$B$2:$B$5), B600), "Unknown Category")</f>
        <v>etc-1059</v>
      </c>
      <c r="D600" s="8">
        <v>44753</v>
      </c>
      <c r="E600" s="7">
        <f t="shared" si="27"/>
        <v>2022</v>
      </c>
      <c r="F600" s="28" t="str">
        <f t="shared" si="28"/>
        <v>Jul</v>
      </c>
      <c r="G600" s="17" t="s">
        <v>32</v>
      </c>
      <c r="H600" s="17" t="s">
        <v>30</v>
      </c>
      <c r="I600" s="24">
        <v>189606.02000000002</v>
      </c>
      <c r="J600" s="32">
        <v>50</v>
      </c>
      <c r="K600" s="17" t="s">
        <v>31</v>
      </c>
      <c r="L600" s="24">
        <v>1009.43</v>
      </c>
      <c r="M600" s="24">
        <v>4121.87</v>
      </c>
      <c r="N600" s="34">
        <f>((sales_data_1[[#This Row],[Unit_Price]]*(1-sales_data_1[[#This Row],[Discount]]))-sales_data_1[[#This Row],[Unit_Cost]])*sales_data_1[[#This Row],[Quantity_Sold]]</f>
        <v>139134.52000000002</v>
      </c>
      <c r="O600" s="17" t="s">
        <v>27</v>
      </c>
      <c r="P600" s="26">
        <v>0.08</v>
      </c>
      <c r="Q600" s="17" t="s">
        <v>28</v>
      </c>
      <c r="R600" s="17" t="s">
        <v>19</v>
      </c>
      <c r="S600" s="49" t="str">
        <f t="shared" si="29"/>
        <v>Eve-East</v>
      </c>
      <c r="T600" s="59" t="str">
        <f>IF(ROUND(sales_data_1[[#This Row],[Profit_Margin]],2)=ROUND((sales_data_1[[#This Row],[Unit_Price]]*(1-sales_data_1[[#This Row],[Discount]]) - sales_data_1[[#This Row],[Unit_Cost]])*sales_data_1[[#This Row],[Quantity_Sold]],2), "PASS", "CHECK")</f>
        <v>PASS</v>
      </c>
    </row>
    <row r="601" spans="1:20" x14ac:dyDescent="0.35">
      <c r="A601" s="7">
        <v>600</v>
      </c>
      <c r="B601" s="9">
        <v>1008</v>
      </c>
      <c r="C601" s="7" t="str">
        <f>IFERROR(_xlfn.TEXTJOIN("-", TRUE, _xlfn.XLOOKUP(K601, product_category_id_lookup!$A$2:$A$5, product_category_id_lookup!$B$2:$B$5), B601), "Unknown Category")</f>
        <v>ctg-1008</v>
      </c>
      <c r="D601" s="8">
        <v>44754</v>
      </c>
      <c r="E601" s="7">
        <f t="shared" si="27"/>
        <v>2022</v>
      </c>
      <c r="F601" s="28" t="str">
        <f t="shared" si="28"/>
        <v>Jul</v>
      </c>
      <c r="G601" s="17" t="s">
        <v>32</v>
      </c>
      <c r="H601" s="17" t="s">
        <v>20</v>
      </c>
      <c r="I601" s="24">
        <v>45117.9</v>
      </c>
      <c r="J601" s="32">
        <v>40</v>
      </c>
      <c r="K601" s="17" t="s">
        <v>26</v>
      </c>
      <c r="L601" s="24">
        <v>949.64</v>
      </c>
      <c r="M601" s="24">
        <v>1503.93</v>
      </c>
      <c r="N601" s="34">
        <f>((sales_data_1[[#This Row],[Unit_Price]]*(1-sales_data_1[[#This Row],[Discount]]))-sales_data_1[[#This Row],[Unit_Cost]])*sales_data_1[[#This Row],[Quantity_Sold]]</f>
        <v>7132.3</v>
      </c>
      <c r="O601" s="17" t="s">
        <v>27</v>
      </c>
      <c r="P601" s="26">
        <v>0.25</v>
      </c>
      <c r="Q601" s="17" t="s">
        <v>25</v>
      </c>
      <c r="R601" s="17" t="s">
        <v>21</v>
      </c>
      <c r="S601" s="49" t="str">
        <f t="shared" si="29"/>
        <v>Eve-West</v>
      </c>
      <c r="T601" s="59" t="str">
        <f>IF(ROUND(sales_data_1[[#This Row],[Profit_Margin]],2)=ROUND((sales_data_1[[#This Row],[Unit_Price]]*(1-sales_data_1[[#This Row],[Discount]]) - sales_data_1[[#This Row],[Unit_Cost]])*sales_data_1[[#This Row],[Quantity_Sold]],2), "PASS", "CHECK")</f>
        <v>PASS</v>
      </c>
    </row>
    <row r="602" spans="1:20" x14ac:dyDescent="0.35">
      <c r="A602" s="7">
        <v>601</v>
      </c>
      <c r="B602" s="9">
        <v>1071</v>
      </c>
      <c r="C602" s="7" t="str">
        <f>IFERROR(_xlfn.TEXTJOIN("-", TRUE, _xlfn.XLOOKUP(K602, product_category_id_lookup!$A$2:$A$5, product_category_id_lookup!$B$2:$B$5), B602), "Unknown Category")</f>
        <v>ctg-1071</v>
      </c>
      <c r="D602" s="8">
        <v>44754</v>
      </c>
      <c r="E602" s="7">
        <f t="shared" si="27"/>
        <v>2022</v>
      </c>
      <c r="F602" s="28" t="str">
        <f t="shared" si="28"/>
        <v>Jul</v>
      </c>
      <c r="G602" s="17" t="s">
        <v>32</v>
      </c>
      <c r="H602" s="17" t="s">
        <v>15</v>
      </c>
      <c r="I602" s="24">
        <v>106697.22</v>
      </c>
      <c r="J602" s="32">
        <v>21</v>
      </c>
      <c r="K602" s="17" t="s">
        <v>26</v>
      </c>
      <c r="L602" s="24">
        <v>2290.69</v>
      </c>
      <c r="M602" s="24">
        <v>5080.82</v>
      </c>
      <c r="N602" s="34">
        <f>((sales_data_1[[#This Row],[Unit_Price]]*(1-sales_data_1[[#This Row],[Discount]]))-sales_data_1[[#This Row],[Unit_Cost]])*sales_data_1[[#This Row],[Quantity_Sold]]</f>
        <v>58592.729999999996</v>
      </c>
      <c r="O602" s="17" t="s">
        <v>27</v>
      </c>
      <c r="P602" s="26">
        <v>0</v>
      </c>
      <c r="Q602" s="17" t="s">
        <v>18</v>
      </c>
      <c r="R602" s="17" t="s">
        <v>19</v>
      </c>
      <c r="S602" s="49" t="str">
        <f t="shared" si="29"/>
        <v>Eve-North</v>
      </c>
      <c r="T602" s="59" t="str">
        <f>IF(ROUND(sales_data_1[[#This Row],[Profit_Margin]],2)=ROUND((sales_data_1[[#This Row],[Unit_Price]]*(1-sales_data_1[[#This Row],[Discount]]) - sales_data_1[[#This Row],[Unit_Cost]])*sales_data_1[[#This Row],[Quantity_Sold]],2), "PASS", "CHECK")</f>
        <v>PASS</v>
      </c>
    </row>
    <row r="603" spans="1:20" x14ac:dyDescent="0.35">
      <c r="A603" s="7">
        <v>602</v>
      </c>
      <c r="B603" s="9">
        <v>1003</v>
      </c>
      <c r="C603" s="7" t="str">
        <f>IFERROR(_xlfn.TEXTJOIN("-", TRUE, _xlfn.XLOOKUP(K603, product_category_id_lookup!$A$2:$A$5, product_category_id_lookup!$B$2:$B$5), B603), "Unknown Category")</f>
        <v>fd-1003</v>
      </c>
      <c r="D603" s="8">
        <v>44755</v>
      </c>
      <c r="E603" s="7">
        <f t="shared" si="27"/>
        <v>2022</v>
      </c>
      <c r="F603" s="28" t="str">
        <f t="shared" si="28"/>
        <v>Jul</v>
      </c>
      <c r="G603" s="17" t="s">
        <v>14</v>
      </c>
      <c r="H603" s="17" t="s">
        <v>30</v>
      </c>
      <c r="I603" s="24">
        <v>2479.2138</v>
      </c>
      <c r="J603" s="32">
        <v>1</v>
      </c>
      <c r="K603" s="17" t="s">
        <v>24</v>
      </c>
      <c r="L603" s="24">
        <v>727.01</v>
      </c>
      <c r="M603" s="24">
        <v>2529.81</v>
      </c>
      <c r="N603" s="34">
        <f>((sales_data_1[[#This Row],[Unit_Price]]*(1-sales_data_1[[#This Row],[Discount]]))-sales_data_1[[#This Row],[Unit_Cost]])*sales_data_1[[#This Row],[Quantity_Sold]]</f>
        <v>1752.2038</v>
      </c>
      <c r="O603" s="17" t="s">
        <v>17</v>
      </c>
      <c r="P603" s="26">
        <v>0.02</v>
      </c>
      <c r="Q603" s="17" t="s">
        <v>18</v>
      </c>
      <c r="R603" s="17" t="s">
        <v>21</v>
      </c>
      <c r="S603" s="49" t="str">
        <f t="shared" si="29"/>
        <v>Bob-East</v>
      </c>
      <c r="T603" s="59" t="str">
        <f>IF(ROUND(sales_data_1[[#This Row],[Profit_Margin]],2)=ROUND((sales_data_1[[#This Row],[Unit_Price]]*(1-sales_data_1[[#This Row],[Discount]]) - sales_data_1[[#This Row],[Unit_Cost]])*sales_data_1[[#This Row],[Quantity_Sold]],2), "PASS", "CHECK")</f>
        <v>PASS</v>
      </c>
    </row>
    <row r="604" spans="1:20" x14ac:dyDescent="0.35">
      <c r="A604" s="7">
        <v>603</v>
      </c>
      <c r="B604" s="9">
        <v>1050</v>
      </c>
      <c r="C604" s="7" t="str">
        <f>IFERROR(_xlfn.TEXTJOIN("-", TRUE, _xlfn.XLOOKUP(K604, product_category_id_lookup!$A$2:$A$5, product_category_id_lookup!$B$2:$B$5), B604), "Unknown Category")</f>
        <v>fnt-1050</v>
      </c>
      <c r="D604" s="8">
        <v>44755</v>
      </c>
      <c r="E604" s="7">
        <f t="shared" si="27"/>
        <v>2022</v>
      </c>
      <c r="F604" s="28" t="str">
        <f t="shared" si="28"/>
        <v>Jul</v>
      </c>
      <c r="G604" s="17" t="s">
        <v>32</v>
      </c>
      <c r="H604" s="17" t="s">
        <v>20</v>
      </c>
      <c r="I604" s="24">
        <v>5389.4475000000002</v>
      </c>
      <c r="J604" s="32">
        <v>3</v>
      </c>
      <c r="K604" s="17" t="s">
        <v>16</v>
      </c>
      <c r="L604" s="24">
        <v>1163.4000000000001</v>
      </c>
      <c r="M604" s="24">
        <v>2395.31</v>
      </c>
      <c r="N604" s="34">
        <f>((sales_data_1[[#This Row],[Unit_Price]]*(1-sales_data_1[[#This Row],[Discount]]))-sales_data_1[[#This Row],[Unit_Cost]])*sales_data_1[[#This Row],[Quantity_Sold]]</f>
        <v>1899.2474999999999</v>
      </c>
      <c r="O604" s="17" t="s">
        <v>27</v>
      </c>
      <c r="P604" s="26">
        <v>0.25</v>
      </c>
      <c r="Q604" s="17" t="s">
        <v>28</v>
      </c>
      <c r="R604" s="17" t="s">
        <v>19</v>
      </c>
      <c r="S604" s="49" t="str">
        <f t="shared" si="29"/>
        <v>Eve-West</v>
      </c>
      <c r="T604" s="59" t="str">
        <f>IF(ROUND(sales_data_1[[#This Row],[Profit_Margin]],2)=ROUND((sales_data_1[[#This Row],[Unit_Price]]*(1-sales_data_1[[#This Row],[Discount]]) - sales_data_1[[#This Row],[Unit_Cost]])*sales_data_1[[#This Row],[Quantity_Sold]],2), "PASS", "CHECK")</f>
        <v>PASS</v>
      </c>
    </row>
    <row r="605" spans="1:20" x14ac:dyDescent="0.35">
      <c r="A605" s="7">
        <v>604</v>
      </c>
      <c r="B605" s="9">
        <v>1097</v>
      </c>
      <c r="C605" s="7" t="str">
        <f>IFERROR(_xlfn.TEXTJOIN("-", TRUE, _xlfn.XLOOKUP(K605, product_category_id_lookup!$A$2:$A$5, product_category_id_lookup!$B$2:$B$5), B605), "Unknown Category")</f>
        <v>ctg-1097</v>
      </c>
      <c r="D605" s="8">
        <v>44755</v>
      </c>
      <c r="E605" s="7">
        <f t="shared" si="27"/>
        <v>2022</v>
      </c>
      <c r="F605" s="28" t="str">
        <f t="shared" si="28"/>
        <v>Jul</v>
      </c>
      <c r="G605" s="17" t="s">
        <v>14</v>
      </c>
      <c r="H605" s="17" t="s">
        <v>20</v>
      </c>
      <c r="I605" s="24">
        <v>15076.672500000001</v>
      </c>
      <c r="J605" s="32">
        <v>5</v>
      </c>
      <c r="K605" s="17" t="s">
        <v>26</v>
      </c>
      <c r="L605" s="24">
        <v>2155.5</v>
      </c>
      <c r="M605" s="24">
        <v>4246.95</v>
      </c>
      <c r="N605" s="34">
        <f>((sales_data_1[[#This Row],[Unit_Price]]*(1-sales_data_1[[#This Row],[Discount]]))-sales_data_1[[#This Row],[Unit_Cost]])*sales_data_1[[#This Row],[Quantity_Sold]]</f>
        <v>4299.1724999999997</v>
      </c>
      <c r="O605" s="17" t="s">
        <v>27</v>
      </c>
      <c r="P605" s="26">
        <v>0.28999999999999998</v>
      </c>
      <c r="Q605" s="17" t="s">
        <v>28</v>
      </c>
      <c r="R605" s="17" t="s">
        <v>19</v>
      </c>
      <c r="S605" s="49" t="str">
        <f t="shared" si="29"/>
        <v>Bob-West</v>
      </c>
      <c r="T605" s="59" t="str">
        <f>IF(ROUND(sales_data_1[[#This Row],[Profit_Margin]],2)=ROUND((sales_data_1[[#This Row],[Unit_Price]]*(1-sales_data_1[[#This Row],[Discount]]) - sales_data_1[[#This Row],[Unit_Cost]])*sales_data_1[[#This Row],[Quantity_Sold]],2), "PASS", "CHECK")</f>
        <v>PASS</v>
      </c>
    </row>
    <row r="606" spans="1:20" x14ac:dyDescent="0.35">
      <c r="A606" s="7">
        <v>605</v>
      </c>
      <c r="B606" s="9">
        <v>1009</v>
      </c>
      <c r="C606" s="7" t="str">
        <f>IFERROR(_xlfn.TEXTJOIN("-", TRUE, _xlfn.XLOOKUP(K606, product_category_id_lookup!$A$2:$A$5, product_category_id_lookup!$B$2:$B$5), B606), "Unknown Category")</f>
        <v>etc-1009</v>
      </c>
      <c r="D606" s="8">
        <v>44755</v>
      </c>
      <c r="E606" s="7">
        <f t="shared" si="27"/>
        <v>2022</v>
      </c>
      <c r="F606" s="28" t="str">
        <f t="shared" si="28"/>
        <v>Jul</v>
      </c>
      <c r="G606" s="17" t="s">
        <v>33</v>
      </c>
      <c r="H606" s="17" t="s">
        <v>30</v>
      </c>
      <c r="I606" s="24">
        <v>76779.637499999997</v>
      </c>
      <c r="J606" s="32">
        <v>31</v>
      </c>
      <c r="K606" s="17" t="s">
        <v>31</v>
      </c>
      <c r="L606" s="24">
        <v>843.89</v>
      </c>
      <c r="M606" s="24">
        <v>3302.35</v>
      </c>
      <c r="N606" s="34">
        <f>((sales_data_1[[#This Row],[Unit_Price]]*(1-sales_data_1[[#This Row],[Discount]]))-sales_data_1[[#This Row],[Unit_Cost]])*sales_data_1[[#This Row],[Quantity_Sold]]</f>
        <v>50619.047500000001</v>
      </c>
      <c r="O606" s="17" t="s">
        <v>27</v>
      </c>
      <c r="P606" s="26">
        <v>0.25</v>
      </c>
      <c r="Q606" s="17" t="s">
        <v>18</v>
      </c>
      <c r="R606" s="17" t="s">
        <v>19</v>
      </c>
      <c r="S606" s="49" t="str">
        <f t="shared" si="29"/>
        <v>Alice-East</v>
      </c>
      <c r="T606" s="59" t="str">
        <f>IF(ROUND(sales_data_1[[#This Row],[Profit_Margin]],2)=ROUND((sales_data_1[[#This Row],[Unit_Price]]*(1-sales_data_1[[#This Row],[Discount]]) - sales_data_1[[#This Row],[Unit_Cost]])*sales_data_1[[#This Row],[Quantity_Sold]],2), "PASS", "CHECK")</f>
        <v>PASS</v>
      </c>
    </row>
    <row r="607" spans="1:20" x14ac:dyDescent="0.35">
      <c r="A607" s="7">
        <v>606</v>
      </c>
      <c r="B607" s="9">
        <v>1044</v>
      </c>
      <c r="C607" s="7" t="str">
        <f>IFERROR(_xlfn.TEXTJOIN("-", TRUE, _xlfn.XLOOKUP(K607, product_category_id_lookup!$A$2:$A$5, product_category_id_lookup!$B$2:$B$5), B607), "Unknown Category")</f>
        <v>fd-1044</v>
      </c>
      <c r="D607" s="8">
        <v>44755</v>
      </c>
      <c r="E607" s="7">
        <f t="shared" si="27"/>
        <v>2022</v>
      </c>
      <c r="F607" s="28" t="str">
        <f t="shared" si="28"/>
        <v>Jul</v>
      </c>
      <c r="G607" s="17" t="s">
        <v>32</v>
      </c>
      <c r="H607" s="17" t="s">
        <v>15</v>
      </c>
      <c r="I607" s="24">
        <v>189399.85680000001</v>
      </c>
      <c r="J607" s="32">
        <v>44</v>
      </c>
      <c r="K607" s="17" t="s">
        <v>24</v>
      </c>
      <c r="L607" s="24">
        <v>2355.6799999999998</v>
      </c>
      <c r="M607" s="24">
        <v>4628.54</v>
      </c>
      <c r="N607" s="34">
        <f>((sales_data_1[[#This Row],[Unit_Price]]*(1-sales_data_1[[#This Row],[Discount]]))-sales_data_1[[#This Row],[Unit_Cost]])*sales_data_1[[#This Row],[Quantity_Sold]]</f>
        <v>85749.936799999996</v>
      </c>
      <c r="O607" s="17" t="s">
        <v>27</v>
      </c>
      <c r="P607" s="26">
        <v>7.0000000000000007E-2</v>
      </c>
      <c r="Q607" s="17" t="s">
        <v>28</v>
      </c>
      <c r="R607" s="17" t="s">
        <v>19</v>
      </c>
      <c r="S607" s="49" t="str">
        <f t="shared" si="29"/>
        <v>Eve-North</v>
      </c>
      <c r="T607" s="59" t="str">
        <f>IF(ROUND(sales_data_1[[#This Row],[Profit_Margin]],2)=ROUND((sales_data_1[[#This Row],[Unit_Price]]*(1-sales_data_1[[#This Row],[Discount]]) - sales_data_1[[#This Row],[Unit_Cost]])*sales_data_1[[#This Row],[Quantity_Sold]],2), "PASS", "CHECK")</f>
        <v>PASS</v>
      </c>
    </row>
    <row r="608" spans="1:20" x14ac:dyDescent="0.35">
      <c r="A608" s="7">
        <v>607</v>
      </c>
      <c r="B608" s="9">
        <v>1098</v>
      </c>
      <c r="C608" s="7" t="str">
        <f>IFERROR(_xlfn.TEXTJOIN("-", TRUE, _xlfn.XLOOKUP(K608, product_category_id_lookup!$A$2:$A$5, product_category_id_lookup!$B$2:$B$5), B608), "Unknown Category")</f>
        <v>etc-1098</v>
      </c>
      <c r="D608" s="8">
        <v>44756</v>
      </c>
      <c r="E608" s="7">
        <f t="shared" si="27"/>
        <v>2022</v>
      </c>
      <c r="F608" s="28" t="str">
        <f t="shared" si="28"/>
        <v>Jul</v>
      </c>
      <c r="G608" s="17" t="s">
        <v>33</v>
      </c>
      <c r="H608" s="17" t="s">
        <v>15</v>
      </c>
      <c r="I608" s="24">
        <v>101760.48960000002</v>
      </c>
      <c r="J608" s="32">
        <v>32</v>
      </c>
      <c r="K608" s="17" t="s">
        <v>31</v>
      </c>
      <c r="L608" s="24">
        <v>3145.91</v>
      </c>
      <c r="M608" s="24">
        <v>4129.8900000000003</v>
      </c>
      <c r="N608" s="34">
        <f>((sales_data_1[[#This Row],[Unit_Price]]*(1-sales_data_1[[#This Row],[Discount]]))-sales_data_1[[#This Row],[Unit_Cost]])*sales_data_1[[#This Row],[Quantity_Sold]]</f>
        <v>1091.36960000002</v>
      </c>
      <c r="O608" s="17" t="s">
        <v>27</v>
      </c>
      <c r="P608" s="26">
        <v>0.23</v>
      </c>
      <c r="Q608" s="17" t="s">
        <v>28</v>
      </c>
      <c r="R608" s="17" t="s">
        <v>19</v>
      </c>
      <c r="S608" s="49" t="str">
        <f t="shared" si="29"/>
        <v>Alice-North</v>
      </c>
      <c r="T608" s="59" t="str">
        <f>IF(ROUND(sales_data_1[[#This Row],[Profit_Margin]],2)=ROUND((sales_data_1[[#This Row],[Unit_Price]]*(1-sales_data_1[[#This Row],[Discount]]) - sales_data_1[[#This Row],[Unit_Cost]])*sales_data_1[[#This Row],[Quantity_Sold]],2), "PASS", "CHECK")</f>
        <v>PASS</v>
      </c>
    </row>
    <row r="609" spans="1:20" x14ac:dyDescent="0.35">
      <c r="A609" s="7">
        <v>608</v>
      </c>
      <c r="B609" s="9">
        <v>1033</v>
      </c>
      <c r="C609" s="7" t="str">
        <f>IFERROR(_xlfn.TEXTJOIN("-", TRUE, _xlfn.XLOOKUP(K609, product_category_id_lookup!$A$2:$A$5, product_category_id_lookup!$B$2:$B$5), B609), "Unknown Category")</f>
        <v>fd-1033</v>
      </c>
      <c r="D609" s="8">
        <v>44756</v>
      </c>
      <c r="E609" s="7">
        <f t="shared" si="27"/>
        <v>2022</v>
      </c>
      <c r="F609" s="28" t="str">
        <f t="shared" si="28"/>
        <v>Jul</v>
      </c>
      <c r="G609" s="17" t="s">
        <v>33</v>
      </c>
      <c r="H609" s="17" t="s">
        <v>15</v>
      </c>
      <c r="I609" s="24">
        <v>38359.473677161121</v>
      </c>
      <c r="J609" s="32">
        <v>29</v>
      </c>
      <c r="K609" s="17" t="s">
        <v>24</v>
      </c>
      <c r="L609" s="24">
        <v>1095.7</v>
      </c>
      <c r="M609" s="24">
        <v>1337.54</v>
      </c>
      <c r="N609" s="34">
        <f>((sales_data_1[[#This Row],[Unit_Price]]*(1-sales_data_1[[#This Row],[Discount]]))-sales_data_1[[#This Row],[Unit_Cost]])*sales_data_1[[#This Row],[Quantity_Sold]]</f>
        <v>6625.4734000000008</v>
      </c>
      <c r="O609" s="17" t="s">
        <v>17</v>
      </c>
      <c r="P609" s="26">
        <v>0.01</v>
      </c>
      <c r="Q609" s="17" t="s">
        <v>28</v>
      </c>
      <c r="R609" s="17" t="s">
        <v>21</v>
      </c>
      <c r="S609" s="49" t="str">
        <f t="shared" si="29"/>
        <v>Alice-North</v>
      </c>
      <c r="T609" s="59" t="str">
        <f>IF(ROUND(sales_data_1[[#This Row],[Profit_Margin]],2)=ROUND((sales_data_1[[#This Row],[Unit_Price]]*(1-sales_data_1[[#This Row],[Discount]]) - sales_data_1[[#This Row],[Unit_Cost]])*sales_data_1[[#This Row],[Quantity_Sold]],2), "PASS", "CHECK")</f>
        <v>PASS</v>
      </c>
    </row>
    <row r="610" spans="1:20" x14ac:dyDescent="0.35">
      <c r="A610" s="7">
        <v>609</v>
      </c>
      <c r="B610" s="9">
        <v>1048</v>
      </c>
      <c r="C610" s="7" t="str">
        <f>IFERROR(_xlfn.TEXTJOIN("-", TRUE, _xlfn.XLOOKUP(K610, product_category_id_lookup!$A$2:$A$5, product_category_id_lookup!$B$2:$B$5), B610), "Unknown Category")</f>
        <v>ctg-1048</v>
      </c>
      <c r="D610" s="8">
        <v>44756</v>
      </c>
      <c r="E610" s="7">
        <f t="shared" si="27"/>
        <v>2022</v>
      </c>
      <c r="F610" s="28" t="str">
        <f t="shared" si="28"/>
        <v>Jul</v>
      </c>
      <c r="G610" s="17" t="s">
        <v>33</v>
      </c>
      <c r="H610" s="17" t="s">
        <v>30</v>
      </c>
      <c r="I610" s="24">
        <v>58819.445999999989</v>
      </c>
      <c r="J610" s="32">
        <v>27</v>
      </c>
      <c r="K610" s="17" t="s">
        <v>26</v>
      </c>
      <c r="L610" s="24">
        <v>894.29</v>
      </c>
      <c r="M610" s="24">
        <v>2593.4499999999998</v>
      </c>
      <c r="N610" s="34">
        <f>((sales_data_1[[#This Row],[Unit_Price]]*(1-sales_data_1[[#This Row],[Discount]]))-sales_data_1[[#This Row],[Unit_Cost]])*sales_data_1[[#This Row],[Quantity_Sold]]</f>
        <v>34673.615999999987</v>
      </c>
      <c r="O610" s="17" t="s">
        <v>17</v>
      </c>
      <c r="P610" s="26">
        <v>0.16</v>
      </c>
      <c r="Q610" s="17" t="s">
        <v>28</v>
      </c>
      <c r="R610" s="17" t="s">
        <v>21</v>
      </c>
      <c r="S610" s="49" t="str">
        <f t="shared" si="29"/>
        <v>Alice-East</v>
      </c>
      <c r="T610" s="59" t="str">
        <f>IF(ROUND(sales_data_1[[#This Row],[Profit_Margin]],2)=ROUND((sales_data_1[[#This Row],[Unit_Price]]*(1-sales_data_1[[#This Row],[Discount]]) - sales_data_1[[#This Row],[Unit_Cost]])*sales_data_1[[#This Row],[Quantity_Sold]],2), "PASS", "CHECK")</f>
        <v>PASS</v>
      </c>
    </row>
    <row r="611" spans="1:20" x14ac:dyDescent="0.35">
      <c r="A611" s="7">
        <v>610</v>
      </c>
      <c r="B611" s="9">
        <v>1085</v>
      </c>
      <c r="C611" s="7" t="str">
        <f>IFERROR(_xlfn.TEXTJOIN("-", TRUE, _xlfn.XLOOKUP(K611, product_category_id_lookup!$A$2:$A$5, product_category_id_lookup!$B$2:$B$5), B611), "Unknown Category")</f>
        <v>fnt-1085</v>
      </c>
      <c r="D611" s="8">
        <v>44756</v>
      </c>
      <c r="E611" s="7">
        <f t="shared" si="27"/>
        <v>2022</v>
      </c>
      <c r="F611" s="28" t="str">
        <f t="shared" si="28"/>
        <v>Jul</v>
      </c>
      <c r="G611" s="17" t="s">
        <v>29</v>
      </c>
      <c r="H611" s="17" t="s">
        <v>23</v>
      </c>
      <c r="I611" s="24">
        <v>68584.838400000008</v>
      </c>
      <c r="J611" s="32">
        <v>26</v>
      </c>
      <c r="K611" s="17" t="s">
        <v>16</v>
      </c>
      <c r="L611" s="24">
        <v>1269.6300000000001</v>
      </c>
      <c r="M611" s="24">
        <v>3256.64</v>
      </c>
      <c r="N611" s="34">
        <f>((sales_data_1[[#This Row],[Unit_Price]]*(1-sales_data_1[[#This Row],[Discount]]))-sales_data_1[[#This Row],[Unit_Cost]])*sales_data_1[[#This Row],[Quantity_Sold]]</f>
        <v>35574.458399999996</v>
      </c>
      <c r="O611" s="17" t="s">
        <v>27</v>
      </c>
      <c r="P611" s="26">
        <v>0.19</v>
      </c>
      <c r="Q611" s="17" t="s">
        <v>28</v>
      </c>
      <c r="R611" s="17" t="s">
        <v>19</v>
      </c>
      <c r="S611" s="49" t="str">
        <f t="shared" si="29"/>
        <v>Charlie-South</v>
      </c>
      <c r="T611" s="59" t="str">
        <f>IF(ROUND(sales_data_1[[#This Row],[Profit_Margin]],2)=ROUND((sales_data_1[[#This Row],[Unit_Price]]*(1-sales_data_1[[#This Row],[Discount]]) - sales_data_1[[#This Row],[Unit_Cost]])*sales_data_1[[#This Row],[Quantity_Sold]],2), "PASS", "CHECK")</f>
        <v>PASS</v>
      </c>
    </row>
    <row r="612" spans="1:20" x14ac:dyDescent="0.35">
      <c r="A612" s="7">
        <v>611</v>
      </c>
      <c r="B612" s="9">
        <v>1007</v>
      </c>
      <c r="C612" s="7" t="str">
        <f>IFERROR(_xlfn.TEXTJOIN("-", TRUE, _xlfn.XLOOKUP(K612, product_category_id_lookup!$A$2:$A$5, product_category_id_lookup!$B$2:$B$5), B612), "Unknown Category")</f>
        <v>ctg-1007</v>
      </c>
      <c r="D612" s="8">
        <v>44756</v>
      </c>
      <c r="E612" s="7">
        <f t="shared" si="27"/>
        <v>2022</v>
      </c>
      <c r="F612" s="28" t="str">
        <f t="shared" si="28"/>
        <v>Jul</v>
      </c>
      <c r="G612" s="17" t="s">
        <v>29</v>
      </c>
      <c r="H612" s="17" t="s">
        <v>23</v>
      </c>
      <c r="I612" s="24">
        <v>117520.8232</v>
      </c>
      <c r="J612" s="32">
        <v>43</v>
      </c>
      <c r="K612" s="17" t="s">
        <v>26</v>
      </c>
      <c r="L612" s="24">
        <v>896.47</v>
      </c>
      <c r="M612" s="24">
        <v>3105.73</v>
      </c>
      <c r="N612" s="34">
        <f>((sales_data_1[[#This Row],[Unit_Price]]*(1-sales_data_1[[#This Row],[Discount]]))-sales_data_1[[#This Row],[Unit_Cost]])*sales_data_1[[#This Row],[Quantity_Sold]]</f>
        <v>78972.613199999993</v>
      </c>
      <c r="O612" s="17" t="s">
        <v>27</v>
      </c>
      <c r="P612" s="26">
        <v>0.12</v>
      </c>
      <c r="Q612" s="17" t="s">
        <v>28</v>
      </c>
      <c r="R612" s="17" t="s">
        <v>21</v>
      </c>
      <c r="S612" s="49" t="str">
        <f t="shared" si="29"/>
        <v>Charlie-South</v>
      </c>
      <c r="T612" s="59" t="str">
        <f>IF(ROUND(sales_data_1[[#This Row],[Profit_Margin]],2)=ROUND((sales_data_1[[#This Row],[Unit_Price]]*(1-sales_data_1[[#This Row],[Discount]]) - sales_data_1[[#This Row],[Unit_Cost]])*sales_data_1[[#This Row],[Quantity_Sold]],2), "PASS", "CHECK")</f>
        <v>PASS</v>
      </c>
    </row>
    <row r="613" spans="1:20" x14ac:dyDescent="0.35">
      <c r="A613" s="7">
        <v>612</v>
      </c>
      <c r="B613" s="9">
        <v>1015</v>
      </c>
      <c r="C613" s="7" t="str">
        <f>IFERROR(_xlfn.TEXTJOIN("-", TRUE, _xlfn.XLOOKUP(K613, product_category_id_lookup!$A$2:$A$5, product_category_id_lookup!$B$2:$B$5), B613), "Unknown Category")</f>
        <v>fnt-1015</v>
      </c>
      <c r="D613" s="8">
        <v>44757</v>
      </c>
      <c r="E613" s="7">
        <f t="shared" si="27"/>
        <v>2022</v>
      </c>
      <c r="F613" s="28" t="str">
        <f t="shared" si="28"/>
        <v>Jul</v>
      </c>
      <c r="G613" s="17" t="s">
        <v>32</v>
      </c>
      <c r="H613" s="17" t="s">
        <v>20</v>
      </c>
      <c r="I613" s="24">
        <v>168727.61360000001</v>
      </c>
      <c r="J613" s="32">
        <v>46</v>
      </c>
      <c r="K613" s="17" t="s">
        <v>16</v>
      </c>
      <c r="L613" s="24">
        <v>3594.06</v>
      </c>
      <c r="M613" s="24">
        <v>4030.76</v>
      </c>
      <c r="N613" s="34">
        <f>((sales_data_1[[#This Row],[Unit_Price]]*(1-sales_data_1[[#This Row],[Discount]]))-sales_data_1[[#This Row],[Unit_Cost]])*sales_data_1[[#This Row],[Quantity_Sold]]</f>
        <v>3400.8536000000158</v>
      </c>
      <c r="O613" s="17" t="s">
        <v>17</v>
      </c>
      <c r="P613" s="26">
        <v>0.09</v>
      </c>
      <c r="Q613" s="17" t="s">
        <v>28</v>
      </c>
      <c r="R613" s="17" t="s">
        <v>19</v>
      </c>
      <c r="S613" s="49" t="str">
        <f t="shared" si="29"/>
        <v>Eve-West</v>
      </c>
      <c r="T613" s="59" t="str">
        <f>IF(ROUND(sales_data_1[[#This Row],[Profit_Margin]],2)=ROUND((sales_data_1[[#This Row],[Unit_Price]]*(1-sales_data_1[[#This Row],[Discount]]) - sales_data_1[[#This Row],[Unit_Cost]])*sales_data_1[[#This Row],[Quantity_Sold]],2), "PASS", "CHECK")</f>
        <v>PASS</v>
      </c>
    </row>
    <row r="614" spans="1:20" x14ac:dyDescent="0.35">
      <c r="A614" s="7">
        <v>613</v>
      </c>
      <c r="B614" s="9">
        <v>1042</v>
      </c>
      <c r="C614" s="7" t="str">
        <f>IFERROR(_xlfn.TEXTJOIN("-", TRUE, _xlfn.XLOOKUP(K614, product_category_id_lookup!$A$2:$A$5, product_category_id_lookup!$B$2:$B$5), B614), "Unknown Category")</f>
        <v>fd-1042</v>
      </c>
      <c r="D614" s="8">
        <v>44757</v>
      </c>
      <c r="E614" s="7">
        <f t="shared" si="27"/>
        <v>2022</v>
      </c>
      <c r="F614" s="28" t="str">
        <f t="shared" si="28"/>
        <v>Jul</v>
      </c>
      <c r="G614" s="17" t="s">
        <v>14</v>
      </c>
      <c r="H614" s="17" t="s">
        <v>23</v>
      </c>
      <c r="I614" s="24">
        <v>46704.023797964954</v>
      </c>
      <c r="J614" s="32">
        <v>9</v>
      </c>
      <c r="K614" s="17" t="s">
        <v>24</v>
      </c>
      <c r="L614" s="24">
        <v>4800.18</v>
      </c>
      <c r="M614" s="24">
        <v>5429.76</v>
      </c>
      <c r="N614" s="34">
        <f>((sales_data_1[[#This Row],[Unit_Price]]*(1-sales_data_1[[#This Row],[Discount]]))-sales_data_1[[#This Row],[Unit_Cost]])*sales_data_1[[#This Row],[Quantity_Sold]]</f>
        <v>3711.5063999999957</v>
      </c>
      <c r="O614" s="17" t="s">
        <v>17</v>
      </c>
      <c r="P614" s="26">
        <v>0.04</v>
      </c>
      <c r="Q614" s="17" t="s">
        <v>28</v>
      </c>
      <c r="R614" s="17" t="s">
        <v>19</v>
      </c>
      <c r="S614" s="49" t="str">
        <f t="shared" si="29"/>
        <v>Bob-South</v>
      </c>
      <c r="T614" s="59" t="str">
        <f>IF(ROUND(sales_data_1[[#This Row],[Profit_Margin]],2)=ROUND((sales_data_1[[#This Row],[Unit_Price]]*(1-sales_data_1[[#This Row],[Discount]]) - sales_data_1[[#This Row],[Unit_Cost]])*sales_data_1[[#This Row],[Quantity_Sold]],2), "PASS", "CHECK")</f>
        <v>PASS</v>
      </c>
    </row>
    <row r="615" spans="1:20" x14ac:dyDescent="0.35">
      <c r="A615" s="7">
        <v>614</v>
      </c>
      <c r="B615" s="9">
        <v>1062</v>
      </c>
      <c r="C615" s="7" t="str">
        <f>IFERROR(_xlfn.TEXTJOIN("-", TRUE, _xlfn.XLOOKUP(K615, product_category_id_lookup!$A$2:$A$5, product_category_id_lookup!$B$2:$B$5), B615), "Unknown Category")</f>
        <v>fnt-1062</v>
      </c>
      <c r="D615" s="8">
        <v>44757</v>
      </c>
      <c r="E615" s="7">
        <f t="shared" si="27"/>
        <v>2022</v>
      </c>
      <c r="F615" s="28" t="str">
        <f t="shared" si="28"/>
        <v>Jul</v>
      </c>
      <c r="G615" s="17" t="s">
        <v>14</v>
      </c>
      <c r="H615" s="17" t="s">
        <v>20</v>
      </c>
      <c r="I615" s="24">
        <v>6838.4879999999994</v>
      </c>
      <c r="J615" s="32">
        <v>2</v>
      </c>
      <c r="K615" s="17" t="s">
        <v>16</v>
      </c>
      <c r="L615" s="24">
        <v>1085.0999999999999</v>
      </c>
      <c r="M615" s="24">
        <v>4748.95</v>
      </c>
      <c r="N615" s="34">
        <f>((sales_data_1[[#This Row],[Unit_Price]]*(1-sales_data_1[[#This Row],[Discount]]))-sales_data_1[[#This Row],[Unit_Cost]])*sales_data_1[[#This Row],[Quantity_Sold]]</f>
        <v>4668.2879999999996</v>
      </c>
      <c r="O615" s="17" t="s">
        <v>27</v>
      </c>
      <c r="P615" s="26">
        <v>0.28000000000000003</v>
      </c>
      <c r="Q615" s="17" t="s">
        <v>18</v>
      </c>
      <c r="R615" s="17" t="s">
        <v>21</v>
      </c>
      <c r="S615" s="49" t="str">
        <f t="shared" si="29"/>
        <v>Bob-West</v>
      </c>
      <c r="T615" s="59" t="str">
        <f>IF(ROUND(sales_data_1[[#This Row],[Profit_Margin]],2)=ROUND((sales_data_1[[#This Row],[Unit_Price]]*(1-sales_data_1[[#This Row],[Discount]]) - sales_data_1[[#This Row],[Unit_Cost]])*sales_data_1[[#This Row],[Quantity_Sold]],2), "PASS", "CHECK")</f>
        <v>PASS</v>
      </c>
    </row>
    <row r="616" spans="1:20" x14ac:dyDescent="0.35">
      <c r="A616" s="7">
        <v>615</v>
      </c>
      <c r="B616" s="9">
        <v>1068</v>
      </c>
      <c r="C616" s="7" t="str">
        <f>IFERROR(_xlfn.TEXTJOIN("-", TRUE, _xlfn.XLOOKUP(K616, product_category_id_lookup!$A$2:$A$5, product_category_id_lookup!$B$2:$B$5), B616), "Unknown Category")</f>
        <v>fnt-1068</v>
      </c>
      <c r="D616" s="8">
        <v>44757</v>
      </c>
      <c r="E616" s="7">
        <f t="shared" si="27"/>
        <v>2022</v>
      </c>
      <c r="F616" s="28" t="str">
        <f t="shared" si="28"/>
        <v>Jul</v>
      </c>
      <c r="G616" s="17" t="s">
        <v>14</v>
      </c>
      <c r="H616" s="17" t="s">
        <v>15</v>
      </c>
      <c r="I616" s="24">
        <v>55917.004800000002</v>
      </c>
      <c r="J616" s="32">
        <v>16</v>
      </c>
      <c r="K616" s="17" t="s">
        <v>16</v>
      </c>
      <c r="L616" s="24">
        <v>145.22</v>
      </c>
      <c r="M616" s="24">
        <v>4722.72</v>
      </c>
      <c r="N616" s="34">
        <f>((sales_data_1[[#This Row],[Unit_Price]]*(1-sales_data_1[[#This Row],[Discount]]))-sales_data_1[[#This Row],[Unit_Cost]])*sales_data_1[[#This Row],[Quantity_Sold]]</f>
        <v>53593.484800000006</v>
      </c>
      <c r="O616" s="17" t="s">
        <v>27</v>
      </c>
      <c r="P616" s="26">
        <v>0.26</v>
      </c>
      <c r="Q616" s="17" t="s">
        <v>28</v>
      </c>
      <c r="R616" s="17" t="s">
        <v>21</v>
      </c>
      <c r="S616" s="49" t="str">
        <f t="shared" si="29"/>
        <v>Bob-North</v>
      </c>
      <c r="T616" s="59" t="str">
        <f>IF(ROUND(sales_data_1[[#This Row],[Profit_Margin]],2)=ROUND((sales_data_1[[#This Row],[Unit_Price]]*(1-sales_data_1[[#This Row],[Discount]]) - sales_data_1[[#This Row],[Unit_Cost]])*sales_data_1[[#This Row],[Quantity_Sold]],2), "PASS", "CHECK")</f>
        <v>PASS</v>
      </c>
    </row>
    <row r="617" spans="1:20" x14ac:dyDescent="0.35">
      <c r="A617" s="7">
        <v>616</v>
      </c>
      <c r="B617" s="9">
        <v>1084</v>
      </c>
      <c r="C617" s="7" t="str">
        <f>IFERROR(_xlfn.TEXTJOIN("-", TRUE, _xlfn.XLOOKUP(K617, product_category_id_lookup!$A$2:$A$5, product_category_id_lookup!$B$2:$B$5), B617), "Unknown Category")</f>
        <v>fd-1084</v>
      </c>
      <c r="D617" s="8">
        <v>44758</v>
      </c>
      <c r="E617" s="7">
        <f t="shared" si="27"/>
        <v>2022</v>
      </c>
      <c r="F617" s="28" t="str">
        <f t="shared" si="28"/>
        <v>Jul</v>
      </c>
      <c r="G617" s="17" t="s">
        <v>29</v>
      </c>
      <c r="H617" s="17" t="s">
        <v>23</v>
      </c>
      <c r="I617" s="24">
        <v>30904.057800000002</v>
      </c>
      <c r="J617" s="32">
        <v>18</v>
      </c>
      <c r="K617" s="17" t="s">
        <v>24</v>
      </c>
      <c r="L617" s="24">
        <v>1625.31</v>
      </c>
      <c r="M617" s="24">
        <v>2229.73</v>
      </c>
      <c r="N617" s="34">
        <f>((sales_data_1[[#This Row],[Unit_Price]]*(1-sales_data_1[[#This Row],[Discount]]))-sales_data_1[[#This Row],[Unit_Cost]])*sales_data_1[[#This Row],[Quantity_Sold]]</f>
        <v>1648.4778000000015</v>
      </c>
      <c r="O617" s="17" t="s">
        <v>27</v>
      </c>
      <c r="P617" s="26">
        <v>0.23</v>
      </c>
      <c r="Q617" s="17" t="s">
        <v>25</v>
      </c>
      <c r="R617" s="17" t="s">
        <v>19</v>
      </c>
      <c r="S617" s="49" t="str">
        <f t="shared" si="29"/>
        <v>Charlie-South</v>
      </c>
      <c r="T617" s="59" t="str">
        <f>IF(ROUND(sales_data_1[[#This Row],[Profit_Margin]],2)=ROUND((sales_data_1[[#This Row],[Unit_Price]]*(1-sales_data_1[[#This Row],[Discount]]) - sales_data_1[[#This Row],[Unit_Cost]])*sales_data_1[[#This Row],[Quantity_Sold]],2), "PASS", "CHECK")</f>
        <v>PASS</v>
      </c>
    </row>
    <row r="618" spans="1:20" x14ac:dyDescent="0.35">
      <c r="A618" s="7">
        <v>617</v>
      </c>
      <c r="B618" s="9">
        <v>1015</v>
      </c>
      <c r="C618" s="7" t="str">
        <f>IFERROR(_xlfn.TEXTJOIN("-", TRUE, _xlfn.XLOOKUP(K618, product_category_id_lookup!$A$2:$A$5, product_category_id_lookup!$B$2:$B$5), B618), "Unknown Category")</f>
        <v>fnt-1015</v>
      </c>
      <c r="D618" s="8">
        <v>44758</v>
      </c>
      <c r="E618" s="7">
        <f t="shared" si="27"/>
        <v>2022</v>
      </c>
      <c r="F618" s="28" t="str">
        <f t="shared" si="28"/>
        <v>Jul</v>
      </c>
      <c r="G618" s="17" t="s">
        <v>14</v>
      </c>
      <c r="H618" s="17" t="s">
        <v>23</v>
      </c>
      <c r="I618" s="24">
        <v>97159.318599999999</v>
      </c>
      <c r="J618" s="32">
        <v>46</v>
      </c>
      <c r="K618" s="17" t="s">
        <v>16</v>
      </c>
      <c r="L618" s="24">
        <v>1925.74</v>
      </c>
      <c r="M618" s="24">
        <v>2544.77</v>
      </c>
      <c r="N618" s="34">
        <f>((sales_data_1[[#This Row],[Unit_Price]]*(1-sales_data_1[[#This Row],[Discount]]))-sales_data_1[[#This Row],[Unit_Cost]])*sales_data_1[[#This Row],[Quantity_Sold]]</f>
        <v>8575.2785999999924</v>
      </c>
      <c r="O618" s="17" t="s">
        <v>27</v>
      </c>
      <c r="P618" s="26">
        <v>0.17</v>
      </c>
      <c r="Q618" s="17" t="s">
        <v>28</v>
      </c>
      <c r="R618" s="17" t="s">
        <v>19</v>
      </c>
      <c r="S618" s="49" t="str">
        <f t="shared" si="29"/>
        <v>Bob-South</v>
      </c>
      <c r="T618" s="59" t="str">
        <f>IF(ROUND(sales_data_1[[#This Row],[Profit_Margin]],2)=ROUND((sales_data_1[[#This Row],[Unit_Price]]*(1-sales_data_1[[#This Row],[Discount]]) - sales_data_1[[#This Row],[Unit_Cost]])*sales_data_1[[#This Row],[Quantity_Sold]],2), "PASS", "CHECK")</f>
        <v>PASS</v>
      </c>
    </row>
    <row r="619" spans="1:20" x14ac:dyDescent="0.35">
      <c r="A619" s="7">
        <v>618</v>
      </c>
      <c r="B619" s="9">
        <v>1022</v>
      </c>
      <c r="C619" s="7" t="str">
        <f>IFERROR(_xlfn.TEXTJOIN("-", TRUE, _xlfn.XLOOKUP(K619, product_category_id_lookup!$A$2:$A$5, product_category_id_lookup!$B$2:$B$5), B619), "Unknown Category")</f>
        <v>etc-1022</v>
      </c>
      <c r="D619" s="8">
        <v>44758</v>
      </c>
      <c r="E619" s="7">
        <f t="shared" si="27"/>
        <v>2022</v>
      </c>
      <c r="F619" s="28" t="str">
        <f t="shared" si="28"/>
        <v>Jul</v>
      </c>
      <c r="G619" s="17" t="s">
        <v>22</v>
      </c>
      <c r="H619" s="17" t="s">
        <v>30</v>
      </c>
      <c r="I619" s="24">
        <v>22409.928</v>
      </c>
      <c r="J619" s="32">
        <v>9</v>
      </c>
      <c r="K619" s="17" t="s">
        <v>31</v>
      </c>
      <c r="L619" s="24">
        <v>971.32</v>
      </c>
      <c r="M619" s="24">
        <v>3112.49</v>
      </c>
      <c r="N619" s="34">
        <f>((sales_data_1[[#This Row],[Unit_Price]]*(1-sales_data_1[[#This Row],[Discount]]))-sales_data_1[[#This Row],[Unit_Cost]])*sales_data_1[[#This Row],[Quantity_Sold]]</f>
        <v>13668.048000000001</v>
      </c>
      <c r="O619" s="17" t="s">
        <v>27</v>
      </c>
      <c r="P619" s="26">
        <v>0.2</v>
      </c>
      <c r="Q619" s="17" t="s">
        <v>18</v>
      </c>
      <c r="R619" s="17" t="s">
        <v>21</v>
      </c>
      <c r="S619" s="49" t="str">
        <f t="shared" si="29"/>
        <v>David-East</v>
      </c>
      <c r="T619" s="59" t="str">
        <f>IF(ROUND(sales_data_1[[#This Row],[Profit_Margin]],2)=ROUND((sales_data_1[[#This Row],[Unit_Price]]*(1-sales_data_1[[#This Row],[Discount]]) - sales_data_1[[#This Row],[Unit_Cost]])*sales_data_1[[#This Row],[Quantity_Sold]],2), "PASS", "CHECK")</f>
        <v>PASS</v>
      </c>
    </row>
    <row r="620" spans="1:20" x14ac:dyDescent="0.35">
      <c r="A620" s="7">
        <v>619</v>
      </c>
      <c r="B620" s="9">
        <v>1099</v>
      </c>
      <c r="C620" s="7" t="str">
        <f>IFERROR(_xlfn.TEXTJOIN("-", TRUE, _xlfn.XLOOKUP(K620, product_category_id_lookup!$A$2:$A$5, product_category_id_lookup!$B$2:$B$5), B620), "Unknown Category")</f>
        <v>etc-1099</v>
      </c>
      <c r="D620" s="8">
        <v>44758</v>
      </c>
      <c r="E620" s="7">
        <f t="shared" si="27"/>
        <v>2022</v>
      </c>
      <c r="F620" s="28" t="str">
        <f t="shared" si="28"/>
        <v>Jul</v>
      </c>
      <c r="G620" s="17" t="s">
        <v>14</v>
      </c>
      <c r="H620" s="17" t="s">
        <v>23</v>
      </c>
      <c r="I620" s="24">
        <v>129564.22484423075</v>
      </c>
      <c r="J620" s="32">
        <v>33</v>
      </c>
      <c r="K620" s="17" t="s">
        <v>31</v>
      </c>
      <c r="L620" s="24">
        <v>3415.66</v>
      </c>
      <c r="M620" s="24">
        <v>3968.94</v>
      </c>
      <c r="N620" s="34">
        <f>((sales_data_1[[#This Row],[Unit_Price]]*(1-sales_data_1[[#This Row],[Discount]]))-sales_data_1[[#This Row],[Unit_Cost]])*sales_data_1[[#This Row],[Quantity_Sold]]</f>
        <v>16948.489799999999</v>
      </c>
      <c r="O620" s="17" t="s">
        <v>17</v>
      </c>
      <c r="P620" s="26">
        <v>0.01</v>
      </c>
      <c r="Q620" s="17" t="s">
        <v>18</v>
      </c>
      <c r="R620" s="17" t="s">
        <v>21</v>
      </c>
      <c r="S620" s="49" t="str">
        <f t="shared" si="29"/>
        <v>Bob-South</v>
      </c>
      <c r="T620" s="59" t="str">
        <f>IF(ROUND(sales_data_1[[#This Row],[Profit_Margin]],2)=ROUND((sales_data_1[[#This Row],[Unit_Price]]*(1-sales_data_1[[#This Row],[Discount]]) - sales_data_1[[#This Row],[Unit_Cost]])*sales_data_1[[#This Row],[Quantity_Sold]],2), "PASS", "CHECK")</f>
        <v>PASS</v>
      </c>
    </row>
    <row r="621" spans="1:20" x14ac:dyDescent="0.35">
      <c r="A621" s="7">
        <v>620</v>
      </c>
      <c r="B621" s="9">
        <v>1016</v>
      </c>
      <c r="C621" s="7" t="str">
        <f>IFERROR(_xlfn.TEXTJOIN("-", TRUE, _xlfn.XLOOKUP(K621, product_category_id_lookup!$A$2:$A$5, product_category_id_lookup!$B$2:$B$5), B621), "Unknown Category")</f>
        <v>ctg-1016</v>
      </c>
      <c r="D621" s="8">
        <v>44759</v>
      </c>
      <c r="E621" s="7">
        <f t="shared" si="27"/>
        <v>2022</v>
      </c>
      <c r="F621" s="28" t="str">
        <f t="shared" si="28"/>
        <v>Jul</v>
      </c>
      <c r="G621" s="17" t="s">
        <v>14</v>
      </c>
      <c r="H621" s="17" t="s">
        <v>20</v>
      </c>
      <c r="I621" s="24">
        <v>37802.962688625281</v>
      </c>
      <c r="J621" s="32">
        <v>12</v>
      </c>
      <c r="K621" s="17" t="s">
        <v>26</v>
      </c>
      <c r="L621" s="24">
        <v>3084.91</v>
      </c>
      <c r="M621" s="24">
        <v>3154.24</v>
      </c>
      <c r="N621" s="34">
        <f>((sales_data_1[[#This Row],[Unit_Price]]*(1-sales_data_1[[#This Row],[Discount]]))-sales_data_1[[#This Row],[Unit_Cost]])*sales_data_1[[#This Row],[Quantity_Sold]]</f>
        <v>831.95999999999913</v>
      </c>
      <c r="O621" s="17" t="s">
        <v>27</v>
      </c>
      <c r="P621" s="26">
        <v>0</v>
      </c>
      <c r="Q621" s="17" t="s">
        <v>28</v>
      </c>
      <c r="R621" s="17" t="s">
        <v>21</v>
      </c>
      <c r="S621" s="49" t="str">
        <f t="shared" si="29"/>
        <v>Bob-West</v>
      </c>
      <c r="T621" s="59" t="str">
        <f>IF(ROUND(sales_data_1[[#This Row],[Profit_Margin]],2)=ROUND((sales_data_1[[#This Row],[Unit_Price]]*(1-sales_data_1[[#This Row],[Discount]]) - sales_data_1[[#This Row],[Unit_Cost]])*sales_data_1[[#This Row],[Quantity_Sold]],2), "PASS", "CHECK")</f>
        <v>PASS</v>
      </c>
    </row>
    <row r="622" spans="1:20" x14ac:dyDescent="0.35">
      <c r="A622" s="7">
        <v>621</v>
      </c>
      <c r="B622" s="9">
        <v>1078</v>
      </c>
      <c r="C622" s="7" t="str">
        <f>IFERROR(_xlfn.TEXTJOIN("-", TRUE, _xlfn.XLOOKUP(K622, product_category_id_lookup!$A$2:$A$5, product_category_id_lookup!$B$2:$B$5), B622), "Unknown Category")</f>
        <v>ctg-1078</v>
      </c>
      <c r="D622" s="8">
        <v>44760</v>
      </c>
      <c r="E622" s="7">
        <f t="shared" si="27"/>
        <v>2022</v>
      </c>
      <c r="F622" s="28" t="str">
        <f t="shared" si="28"/>
        <v>Jul</v>
      </c>
      <c r="G622" s="17" t="s">
        <v>32</v>
      </c>
      <c r="H622" s="17" t="s">
        <v>15</v>
      </c>
      <c r="I622" s="24">
        <v>21572.611199999999</v>
      </c>
      <c r="J622" s="32">
        <v>6</v>
      </c>
      <c r="K622" s="17" t="s">
        <v>26</v>
      </c>
      <c r="L622" s="24">
        <v>3512.1</v>
      </c>
      <c r="M622" s="24">
        <v>4993.66</v>
      </c>
      <c r="N622" s="34">
        <f>((sales_data_1[[#This Row],[Unit_Price]]*(1-sales_data_1[[#This Row],[Discount]]))-sales_data_1[[#This Row],[Unit_Cost]])*sales_data_1[[#This Row],[Quantity_Sold]]</f>
        <v>500.01119999999992</v>
      </c>
      <c r="O622" s="17" t="s">
        <v>27</v>
      </c>
      <c r="P622" s="26">
        <v>0.28000000000000003</v>
      </c>
      <c r="Q622" s="17" t="s">
        <v>28</v>
      </c>
      <c r="R622" s="17" t="s">
        <v>19</v>
      </c>
      <c r="S622" s="49" t="str">
        <f t="shared" si="29"/>
        <v>Eve-North</v>
      </c>
      <c r="T622" s="59" t="str">
        <f>IF(ROUND(sales_data_1[[#This Row],[Profit_Margin]],2)=ROUND((sales_data_1[[#This Row],[Unit_Price]]*(1-sales_data_1[[#This Row],[Discount]]) - sales_data_1[[#This Row],[Unit_Cost]])*sales_data_1[[#This Row],[Quantity_Sold]],2), "PASS", "CHECK")</f>
        <v>PASS</v>
      </c>
    </row>
    <row r="623" spans="1:20" x14ac:dyDescent="0.35">
      <c r="A623" s="7">
        <v>622</v>
      </c>
      <c r="B623" s="9">
        <v>1013</v>
      </c>
      <c r="C623" s="7" t="str">
        <f>IFERROR(_xlfn.TEXTJOIN("-", TRUE, _xlfn.XLOOKUP(K623, product_category_id_lookup!$A$2:$A$5, product_category_id_lookup!$B$2:$B$5), B623), "Unknown Category")</f>
        <v>fnt-1013</v>
      </c>
      <c r="D623" s="8">
        <v>44760</v>
      </c>
      <c r="E623" s="7">
        <f t="shared" si="27"/>
        <v>2022</v>
      </c>
      <c r="F623" s="28" t="str">
        <f t="shared" si="28"/>
        <v>Jul</v>
      </c>
      <c r="G623" s="17" t="s">
        <v>33</v>
      </c>
      <c r="H623" s="17" t="s">
        <v>15</v>
      </c>
      <c r="I623" s="24">
        <v>48235.0674</v>
      </c>
      <c r="J623" s="32">
        <v>13</v>
      </c>
      <c r="K623" s="17" t="s">
        <v>16</v>
      </c>
      <c r="L623" s="24">
        <v>809.24</v>
      </c>
      <c r="M623" s="24">
        <v>4756.91</v>
      </c>
      <c r="N623" s="34">
        <f>((sales_data_1[[#This Row],[Unit_Price]]*(1-sales_data_1[[#This Row],[Discount]]))-sales_data_1[[#This Row],[Unit_Cost]])*sales_data_1[[#This Row],[Quantity_Sold]]</f>
        <v>37714.947400000005</v>
      </c>
      <c r="O623" s="17" t="s">
        <v>27</v>
      </c>
      <c r="P623" s="26">
        <v>0.22</v>
      </c>
      <c r="Q623" s="17" t="s">
        <v>18</v>
      </c>
      <c r="R623" s="17" t="s">
        <v>21</v>
      </c>
      <c r="S623" s="49" t="str">
        <f t="shared" si="29"/>
        <v>Alice-North</v>
      </c>
      <c r="T623" s="59" t="str">
        <f>IF(ROUND(sales_data_1[[#This Row],[Profit_Margin]],2)=ROUND((sales_data_1[[#This Row],[Unit_Price]]*(1-sales_data_1[[#This Row],[Discount]]) - sales_data_1[[#This Row],[Unit_Cost]])*sales_data_1[[#This Row],[Quantity_Sold]],2), "PASS", "CHECK")</f>
        <v>PASS</v>
      </c>
    </row>
    <row r="624" spans="1:20" x14ac:dyDescent="0.35">
      <c r="A624" s="7">
        <v>623</v>
      </c>
      <c r="B624" s="9">
        <v>1053</v>
      </c>
      <c r="C624" s="7" t="str">
        <f>IFERROR(_xlfn.TEXTJOIN("-", TRUE, _xlfn.XLOOKUP(K624, product_category_id_lookup!$A$2:$A$5, product_category_id_lookup!$B$2:$B$5), B624), "Unknown Category")</f>
        <v>fd-1053</v>
      </c>
      <c r="D624" s="8">
        <v>44760</v>
      </c>
      <c r="E624" s="7">
        <f t="shared" si="27"/>
        <v>2022</v>
      </c>
      <c r="F624" s="28" t="str">
        <f t="shared" si="28"/>
        <v>Jul</v>
      </c>
      <c r="G624" s="17" t="s">
        <v>29</v>
      </c>
      <c r="H624" s="17" t="s">
        <v>23</v>
      </c>
      <c r="I624" s="24">
        <v>94361.668799999999</v>
      </c>
      <c r="J624" s="32">
        <v>31</v>
      </c>
      <c r="K624" s="17" t="s">
        <v>24</v>
      </c>
      <c r="L624" s="24">
        <v>566.4</v>
      </c>
      <c r="M624" s="24">
        <v>3623.72</v>
      </c>
      <c r="N624" s="34">
        <f>((sales_data_1[[#This Row],[Unit_Price]]*(1-sales_data_1[[#This Row],[Discount]]))-sales_data_1[[#This Row],[Unit_Cost]])*sales_data_1[[#This Row],[Quantity_Sold]]</f>
        <v>76803.268799999991</v>
      </c>
      <c r="O624" s="17" t="s">
        <v>17</v>
      </c>
      <c r="P624" s="26">
        <v>0.16</v>
      </c>
      <c r="Q624" s="17" t="s">
        <v>18</v>
      </c>
      <c r="R624" s="17" t="s">
        <v>21</v>
      </c>
      <c r="S624" s="49" t="str">
        <f t="shared" si="29"/>
        <v>Charlie-South</v>
      </c>
      <c r="T624" s="59" t="str">
        <f>IF(ROUND(sales_data_1[[#This Row],[Profit_Margin]],2)=ROUND((sales_data_1[[#This Row],[Unit_Price]]*(1-sales_data_1[[#This Row],[Discount]]) - sales_data_1[[#This Row],[Unit_Cost]])*sales_data_1[[#This Row],[Quantity_Sold]],2), "PASS", "CHECK")</f>
        <v>PASS</v>
      </c>
    </row>
    <row r="625" spans="1:20" x14ac:dyDescent="0.35">
      <c r="A625" s="7">
        <v>624</v>
      </c>
      <c r="B625" s="9">
        <v>1038</v>
      </c>
      <c r="C625" s="7" t="str">
        <f>IFERROR(_xlfn.TEXTJOIN("-", TRUE, _xlfn.XLOOKUP(K625, product_category_id_lookup!$A$2:$A$5, product_category_id_lookup!$B$2:$B$5), B625), "Unknown Category")</f>
        <v>fnt-1038</v>
      </c>
      <c r="D625" s="8">
        <v>44761</v>
      </c>
      <c r="E625" s="7">
        <f t="shared" si="27"/>
        <v>2022</v>
      </c>
      <c r="F625" s="28" t="str">
        <f t="shared" si="28"/>
        <v>Jul</v>
      </c>
      <c r="G625" s="17" t="s">
        <v>33</v>
      </c>
      <c r="H625" s="17" t="s">
        <v>30</v>
      </c>
      <c r="I625" s="24">
        <v>72506.646800000002</v>
      </c>
      <c r="J625" s="32">
        <v>29</v>
      </c>
      <c r="K625" s="17" t="s">
        <v>16</v>
      </c>
      <c r="L625" s="24">
        <v>2062.54</v>
      </c>
      <c r="M625" s="24">
        <v>3049.06</v>
      </c>
      <c r="N625" s="34">
        <f>((sales_data_1[[#This Row],[Unit_Price]]*(1-sales_data_1[[#This Row],[Discount]]))-sales_data_1[[#This Row],[Unit_Cost]])*sales_data_1[[#This Row],[Quantity_Sold]]</f>
        <v>12692.986800000008</v>
      </c>
      <c r="O625" s="17" t="s">
        <v>17</v>
      </c>
      <c r="P625" s="26">
        <v>0.18</v>
      </c>
      <c r="Q625" s="17" t="s">
        <v>18</v>
      </c>
      <c r="R625" s="17" t="s">
        <v>19</v>
      </c>
      <c r="S625" s="49" t="str">
        <f t="shared" si="29"/>
        <v>Alice-East</v>
      </c>
      <c r="T625" s="59" t="str">
        <f>IF(ROUND(sales_data_1[[#This Row],[Profit_Margin]],2)=ROUND((sales_data_1[[#This Row],[Unit_Price]]*(1-sales_data_1[[#This Row],[Discount]]) - sales_data_1[[#This Row],[Unit_Cost]])*sales_data_1[[#This Row],[Quantity_Sold]],2), "PASS", "CHECK")</f>
        <v>PASS</v>
      </c>
    </row>
    <row r="626" spans="1:20" x14ac:dyDescent="0.35">
      <c r="A626" s="7">
        <v>625</v>
      </c>
      <c r="B626" s="9">
        <v>1084</v>
      </c>
      <c r="C626" s="7" t="str">
        <f>IFERROR(_xlfn.TEXTJOIN("-", TRUE, _xlfn.XLOOKUP(K626, product_category_id_lookup!$A$2:$A$5, product_category_id_lookup!$B$2:$B$5), B626), "Unknown Category")</f>
        <v>fd-1084</v>
      </c>
      <c r="D626" s="8">
        <v>44761</v>
      </c>
      <c r="E626" s="7">
        <f t="shared" si="27"/>
        <v>2022</v>
      </c>
      <c r="F626" s="28" t="str">
        <f t="shared" si="28"/>
        <v>Jul</v>
      </c>
      <c r="G626" s="17" t="s">
        <v>29</v>
      </c>
      <c r="H626" s="17" t="s">
        <v>23</v>
      </c>
      <c r="I626" s="24">
        <v>90149.323999999993</v>
      </c>
      <c r="J626" s="32">
        <v>20</v>
      </c>
      <c r="K626" s="17" t="s">
        <v>24</v>
      </c>
      <c r="L626" s="24">
        <v>3031.64</v>
      </c>
      <c r="M626" s="24">
        <v>5496.91</v>
      </c>
      <c r="N626" s="34">
        <f>((sales_data_1[[#This Row],[Unit_Price]]*(1-sales_data_1[[#This Row],[Discount]]))-sales_data_1[[#This Row],[Unit_Cost]])*sales_data_1[[#This Row],[Quantity_Sold]]</f>
        <v>29516.523999999998</v>
      </c>
      <c r="O626" s="17" t="s">
        <v>17</v>
      </c>
      <c r="P626" s="26">
        <v>0.18</v>
      </c>
      <c r="Q626" s="17" t="s">
        <v>28</v>
      </c>
      <c r="R626" s="17" t="s">
        <v>21</v>
      </c>
      <c r="S626" s="49" t="str">
        <f t="shared" si="29"/>
        <v>Charlie-South</v>
      </c>
      <c r="T626" s="59" t="str">
        <f>IF(ROUND(sales_data_1[[#This Row],[Profit_Margin]],2)=ROUND((sales_data_1[[#This Row],[Unit_Price]]*(1-sales_data_1[[#This Row],[Discount]]) - sales_data_1[[#This Row],[Unit_Cost]])*sales_data_1[[#This Row],[Quantity_Sold]],2), "PASS", "CHECK")</f>
        <v>PASS</v>
      </c>
    </row>
    <row r="627" spans="1:20" x14ac:dyDescent="0.35">
      <c r="A627" s="7">
        <v>626</v>
      </c>
      <c r="B627" s="9">
        <v>1065</v>
      </c>
      <c r="C627" s="7" t="str">
        <f>IFERROR(_xlfn.TEXTJOIN("-", TRUE, _xlfn.XLOOKUP(K627, product_category_id_lookup!$A$2:$A$5, product_category_id_lookup!$B$2:$B$5), B627), "Unknown Category")</f>
        <v>fd-1065</v>
      </c>
      <c r="D627" s="8">
        <v>44761</v>
      </c>
      <c r="E627" s="7">
        <f t="shared" si="27"/>
        <v>2022</v>
      </c>
      <c r="F627" s="28" t="str">
        <f t="shared" si="28"/>
        <v>Jul</v>
      </c>
      <c r="G627" s="17" t="s">
        <v>14</v>
      </c>
      <c r="H627" s="17" t="s">
        <v>30</v>
      </c>
      <c r="I627" s="24">
        <v>64895.771999999997</v>
      </c>
      <c r="J627" s="32">
        <v>40</v>
      </c>
      <c r="K627" s="17" t="s">
        <v>24</v>
      </c>
      <c r="L627" s="24">
        <v>615.67999999999995</v>
      </c>
      <c r="M627" s="24">
        <v>1744.51</v>
      </c>
      <c r="N627" s="34">
        <f>((sales_data_1[[#This Row],[Unit_Price]]*(1-sales_data_1[[#This Row],[Discount]]))-sales_data_1[[#This Row],[Unit_Cost]])*sales_data_1[[#This Row],[Quantity_Sold]]</f>
        <v>40268.572</v>
      </c>
      <c r="O627" s="17" t="s">
        <v>17</v>
      </c>
      <c r="P627" s="26">
        <v>7.0000000000000007E-2</v>
      </c>
      <c r="Q627" s="17" t="s">
        <v>18</v>
      </c>
      <c r="R627" s="17" t="s">
        <v>21</v>
      </c>
      <c r="S627" s="49" t="str">
        <f t="shared" si="29"/>
        <v>Bob-East</v>
      </c>
      <c r="T627" s="59" t="str">
        <f>IF(ROUND(sales_data_1[[#This Row],[Profit_Margin]],2)=ROUND((sales_data_1[[#This Row],[Unit_Price]]*(1-sales_data_1[[#This Row],[Discount]]) - sales_data_1[[#This Row],[Unit_Cost]])*sales_data_1[[#This Row],[Quantity_Sold]],2), "PASS", "CHECK")</f>
        <v>PASS</v>
      </c>
    </row>
    <row r="628" spans="1:20" x14ac:dyDescent="0.35">
      <c r="A628" s="7">
        <v>627</v>
      </c>
      <c r="B628" s="9">
        <v>1020</v>
      </c>
      <c r="C628" s="7" t="str">
        <f>IFERROR(_xlfn.TEXTJOIN("-", TRUE, _xlfn.XLOOKUP(K628, product_category_id_lookup!$A$2:$A$5, product_category_id_lookup!$B$2:$B$5), B628), "Unknown Category")</f>
        <v>fd-1020</v>
      </c>
      <c r="D628" s="8">
        <v>44761</v>
      </c>
      <c r="E628" s="7">
        <f t="shared" si="27"/>
        <v>2022</v>
      </c>
      <c r="F628" s="28" t="str">
        <f t="shared" si="28"/>
        <v>Jul</v>
      </c>
      <c r="G628" s="17" t="s">
        <v>14</v>
      </c>
      <c r="H628" s="17" t="s">
        <v>30</v>
      </c>
      <c r="I628" s="24">
        <v>107898.00840000001</v>
      </c>
      <c r="J628" s="32">
        <v>36</v>
      </c>
      <c r="K628" s="17" t="s">
        <v>24</v>
      </c>
      <c r="L628" s="24">
        <v>420.44</v>
      </c>
      <c r="M628" s="24">
        <v>3293.59</v>
      </c>
      <c r="N628" s="34">
        <f>((sales_data_1[[#This Row],[Unit_Price]]*(1-sales_data_1[[#This Row],[Discount]]))-sales_data_1[[#This Row],[Unit_Cost]])*sales_data_1[[#This Row],[Quantity_Sold]]</f>
        <v>92762.16840000001</v>
      </c>
      <c r="O628" s="17" t="s">
        <v>17</v>
      </c>
      <c r="P628" s="26">
        <v>0.09</v>
      </c>
      <c r="Q628" s="17" t="s">
        <v>25</v>
      </c>
      <c r="R628" s="17" t="s">
        <v>21</v>
      </c>
      <c r="S628" s="49" t="str">
        <f t="shared" si="29"/>
        <v>Bob-East</v>
      </c>
      <c r="T628" s="59" t="str">
        <f>IF(ROUND(sales_data_1[[#This Row],[Profit_Margin]],2)=ROUND((sales_data_1[[#This Row],[Unit_Price]]*(1-sales_data_1[[#This Row],[Discount]]) - sales_data_1[[#This Row],[Unit_Cost]])*sales_data_1[[#This Row],[Quantity_Sold]],2), "PASS", "CHECK")</f>
        <v>PASS</v>
      </c>
    </row>
    <row r="629" spans="1:20" x14ac:dyDescent="0.35">
      <c r="A629" s="7">
        <v>628</v>
      </c>
      <c r="B629" s="9">
        <v>1058</v>
      </c>
      <c r="C629" s="7" t="str">
        <f>IFERROR(_xlfn.TEXTJOIN("-", TRUE, _xlfn.XLOOKUP(K629, product_category_id_lookup!$A$2:$A$5, product_category_id_lookup!$B$2:$B$5), B629), "Unknown Category")</f>
        <v>etc-1058</v>
      </c>
      <c r="D629" s="8">
        <v>44762</v>
      </c>
      <c r="E629" s="7">
        <f t="shared" si="27"/>
        <v>2022</v>
      </c>
      <c r="F629" s="28" t="str">
        <f t="shared" si="28"/>
        <v>Jul</v>
      </c>
      <c r="G629" s="17" t="s">
        <v>32</v>
      </c>
      <c r="H629" s="17" t="s">
        <v>15</v>
      </c>
      <c r="I629" s="24">
        <v>91487.751700205888</v>
      </c>
      <c r="J629" s="32">
        <v>30</v>
      </c>
      <c r="K629" s="17" t="s">
        <v>31</v>
      </c>
      <c r="L629" s="24">
        <v>2735.69</v>
      </c>
      <c r="M629" s="24">
        <v>3199.27</v>
      </c>
      <c r="N629" s="34">
        <f>((sales_data_1[[#This Row],[Unit_Price]]*(1-sales_data_1[[#This Row],[Discount]]))-sales_data_1[[#This Row],[Unit_Cost]])*sales_data_1[[#This Row],[Quantity_Sold]]</f>
        <v>9108.4949999999881</v>
      </c>
      <c r="O629" s="17" t="s">
        <v>27</v>
      </c>
      <c r="P629" s="26">
        <v>0.05</v>
      </c>
      <c r="Q629" s="17" t="s">
        <v>18</v>
      </c>
      <c r="R629" s="17" t="s">
        <v>21</v>
      </c>
      <c r="S629" s="49" t="str">
        <f t="shared" si="29"/>
        <v>Eve-North</v>
      </c>
      <c r="T629" s="59" t="str">
        <f>IF(ROUND(sales_data_1[[#This Row],[Profit_Margin]],2)=ROUND((sales_data_1[[#This Row],[Unit_Price]]*(1-sales_data_1[[#This Row],[Discount]]) - sales_data_1[[#This Row],[Unit_Cost]])*sales_data_1[[#This Row],[Quantity_Sold]],2), "PASS", "CHECK")</f>
        <v>PASS</v>
      </c>
    </row>
    <row r="630" spans="1:20" x14ac:dyDescent="0.35">
      <c r="A630" s="7">
        <v>629</v>
      </c>
      <c r="B630" s="9">
        <v>1038</v>
      </c>
      <c r="C630" s="7" t="str">
        <f>IFERROR(_xlfn.TEXTJOIN("-", TRUE, _xlfn.XLOOKUP(K630, product_category_id_lookup!$A$2:$A$5, product_category_id_lookup!$B$2:$B$5), B630), "Unknown Category")</f>
        <v>fnt-1038</v>
      </c>
      <c r="D630" s="8">
        <v>44763</v>
      </c>
      <c r="E630" s="7">
        <f t="shared" si="27"/>
        <v>2022</v>
      </c>
      <c r="F630" s="28" t="str">
        <f t="shared" si="28"/>
        <v>Jul</v>
      </c>
      <c r="G630" s="17" t="s">
        <v>14</v>
      </c>
      <c r="H630" s="17" t="s">
        <v>30</v>
      </c>
      <c r="I630" s="24">
        <v>24777.600000000002</v>
      </c>
      <c r="J630" s="32">
        <v>20</v>
      </c>
      <c r="K630" s="17" t="s">
        <v>16</v>
      </c>
      <c r="L630" s="24">
        <v>329.78</v>
      </c>
      <c r="M630" s="24">
        <v>1238.8800000000001</v>
      </c>
      <c r="N630" s="34">
        <f>((sales_data_1[[#This Row],[Unit_Price]]*(1-sales_data_1[[#This Row],[Discount]]))-sales_data_1[[#This Row],[Unit_Cost]])*sales_data_1[[#This Row],[Quantity_Sold]]</f>
        <v>18182.000000000004</v>
      </c>
      <c r="O630" s="17" t="s">
        <v>17</v>
      </c>
      <c r="P630" s="26">
        <v>0</v>
      </c>
      <c r="Q630" s="17" t="s">
        <v>25</v>
      </c>
      <c r="R630" s="17" t="s">
        <v>19</v>
      </c>
      <c r="S630" s="49" t="str">
        <f t="shared" si="29"/>
        <v>Bob-East</v>
      </c>
      <c r="T630" s="59" t="str">
        <f>IF(ROUND(sales_data_1[[#This Row],[Profit_Margin]],2)=ROUND((sales_data_1[[#This Row],[Unit_Price]]*(1-sales_data_1[[#This Row],[Discount]]) - sales_data_1[[#This Row],[Unit_Cost]])*sales_data_1[[#This Row],[Quantity_Sold]],2), "PASS", "CHECK")</f>
        <v>PASS</v>
      </c>
    </row>
    <row r="631" spans="1:20" x14ac:dyDescent="0.35">
      <c r="A631" s="7">
        <v>630</v>
      </c>
      <c r="B631" s="9">
        <v>1027</v>
      </c>
      <c r="C631" s="7" t="str">
        <f>IFERROR(_xlfn.TEXTJOIN("-", TRUE, _xlfn.XLOOKUP(K631, product_category_id_lookup!$A$2:$A$5, product_category_id_lookup!$B$2:$B$5), B631), "Unknown Category")</f>
        <v>etc-1027</v>
      </c>
      <c r="D631" s="8">
        <v>44763</v>
      </c>
      <c r="E631" s="7">
        <f t="shared" si="27"/>
        <v>2022</v>
      </c>
      <c r="F631" s="28" t="str">
        <f t="shared" si="28"/>
        <v>Jul</v>
      </c>
      <c r="G631" s="17" t="s">
        <v>32</v>
      </c>
      <c r="H631" s="17" t="s">
        <v>30</v>
      </c>
      <c r="I631" s="24">
        <v>30337.5072</v>
      </c>
      <c r="J631" s="32">
        <v>8</v>
      </c>
      <c r="K631" s="17" t="s">
        <v>31</v>
      </c>
      <c r="L631" s="24">
        <v>932.3</v>
      </c>
      <c r="M631" s="24">
        <v>4167.24</v>
      </c>
      <c r="N631" s="34">
        <f>((sales_data_1[[#This Row],[Unit_Price]]*(1-sales_data_1[[#This Row],[Discount]]))-sales_data_1[[#This Row],[Unit_Cost]])*sales_data_1[[#This Row],[Quantity_Sold]]</f>
        <v>22879.107199999999</v>
      </c>
      <c r="O631" s="17" t="s">
        <v>27</v>
      </c>
      <c r="P631" s="26">
        <v>0.09</v>
      </c>
      <c r="Q631" s="17" t="s">
        <v>25</v>
      </c>
      <c r="R631" s="17" t="s">
        <v>21</v>
      </c>
      <c r="S631" s="49" t="str">
        <f t="shared" si="29"/>
        <v>Eve-East</v>
      </c>
      <c r="T631" s="59" t="str">
        <f>IF(ROUND(sales_data_1[[#This Row],[Profit_Margin]],2)=ROUND((sales_data_1[[#This Row],[Unit_Price]]*(1-sales_data_1[[#This Row],[Discount]]) - sales_data_1[[#This Row],[Unit_Cost]])*sales_data_1[[#This Row],[Quantity_Sold]],2), "PASS", "CHECK")</f>
        <v>PASS</v>
      </c>
    </row>
    <row r="632" spans="1:20" x14ac:dyDescent="0.35">
      <c r="A632" s="7">
        <v>631</v>
      </c>
      <c r="B632" s="9">
        <v>1090</v>
      </c>
      <c r="C632" s="7" t="str">
        <f>IFERROR(_xlfn.TEXTJOIN("-", TRUE, _xlfn.XLOOKUP(K632, product_category_id_lookup!$A$2:$A$5, product_category_id_lookup!$B$2:$B$5), B632), "Unknown Category")</f>
        <v>fd-1090</v>
      </c>
      <c r="D632" s="8">
        <v>44763</v>
      </c>
      <c r="E632" s="7">
        <f t="shared" si="27"/>
        <v>2022</v>
      </c>
      <c r="F632" s="28" t="str">
        <f t="shared" si="28"/>
        <v>Jul</v>
      </c>
      <c r="G632" s="17" t="s">
        <v>32</v>
      </c>
      <c r="H632" s="17" t="s">
        <v>15</v>
      </c>
      <c r="I632" s="24">
        <v>57115.856999999996</v>
      </c>
      <c r="J632" s="32">
        <v>15</v>
      </c>
      <c r="K632" s="17" t="s">
        <v>24</v>
      </c>
      <c r="L632" s="24">
        <v>1612.32</v>
      </c>
      <c r="M632" s="24">
        <v>4050.77</v>
      </c>
      <c r="N632" s="34">
        <f>((sales_data_1[[#This Row],[Unit_Price]]*(1-sales_data_1[[#This Row],[Discount]]))-sales_data_1[[#This Row],[Unit_Cost]])*sales_data_1[[#This Row],[Quantity_Sold]]</f>
        <v>32931.057000000001</v>
      </c>
      <c r="O632" s="17" t="s">
        <v>17</v>
      </c>
      <c r="P632" s="26">
        <v>0.06</v>
      </c>
      <c r="Q632" s="17" t="s">
        <v>25</v>
      </c>
      <c r="R632" s="17" t="s">
        <v>21</v>
      </c>
      <c r="S632" s="49" t="str">
        <f t="shared" si="29"/>
        <v>Eve-North</v>
      </c>
      <c r="T632" s="59" t="str">
        <f>IF(ROUND(sales_data_1[[#This Row],[Profit_Margin]],2)=ROUND((sales_data_1[[#This Row],[Unit_Price]]*(1-sales_data_1[[#This Row],[Discount]]) - sales_data_1[[#This Row],[Unit_Cost]])*sales_data_1[[#This Row],[Quantity_Sold]],2), "PASS", "CHECK")</f>
        <v>PASS</v>
      </c>
    </row>
    <row r="633" spans="1:20" x14ac:dyDescent="0.35">
      <c r="A633" s="7">
        <v>632</v>
      </c>
      <c r="B633" s="9">
        <v>1078</v>
      </c>
      <c r="C633" s="7" t="str">
        <f>IFERROR(_xlfn.TEXTJOIN("-", TRUE, _xlfn.XLOOKUP(K633, product_category_id_lookup!$A$2:$A$5, product_category_id_lookup!$B$2:$B$5), B633), "Unknown Category")</f>
        <v>etc-1078</v>
      </c>
      <c r="D633" s="8">
        <v>44763</v>
      </c>
      <c r="E633" s="7">
        <f t="shared" si="27"/>
        <v>2022</v>
      </c>
      <c r="F633" s="28" t="str">
        <f t="shared" si="28"/>
        <v>Jul</v>
      </c>
      <c r="G633" s="17" t="s">
        <v>29</v>
      </c>
      <c r="H633" s="17" t="s">
        <v>30</v>
      </c>
      <c r="I633" s="24">
        <v>60999.81719999999</v>
      </c>
      <c r="J633" s="32">
        <v>43</v>
      </c>
      <c r="K633" s="17" t="s">
        <v>31</v>
      </c>
      <c r="L633" s="24">
        <v>630.24</v>
      </c>
      <c r="M633" s="24">
        <v>1688.81</v>
      </c>
      <c r="N633" s="34">
        <f>((sales_data_1[[#This Row],[Unit_Price]]*(1-sales_data_1[[#This Row],[Discount]]))-sales_data_1[[#This Row],[Unit_Cost]])*sales_data_1[[#This Row],[Quantity_Sold]]</f>
        <v>33899.497199999991</v>
      </c>
      <c r="O633" s="17" t="s">
        <v>27</v>
      </c>
      <c r="P633" s="26">
        <v>0.16</v>
      </c>
      <c r="Q633" s="17" t="s">
        <v>25</v>
      </c>
      <c r="R633" s="17" t="s">
        <v>19</v>
      </c>
      <c r="S633" s="49" t="str">
        <f t="shared" si="29"/>
        <v>Charlie-East</v>
      </c>
      <c r="T633" s="59" t="str">
        <f>IF(ROUND(sales_data_1[[#This Row],[Profit_Margin]],2)=ROUND((sales_data_1[[#This Row],[Unit_Price]]*(1-sales_data_1[[#This Row],[Discount]]) - sales_data_1[[#This Row],[Unit_Cost]])*sales_data_1[[#This Row],[Quantity_Sold]],2), "PASS", "CHECK")</f>
        <v>PASS</v>
      </c>
    </row>
    <row r="634" spans="1:20" x14ac:dyDescent="0.35">
      <c r="A634" s="7">
        <v>633</v>
      </c>
      <c r="B634" s="9">
        <v>1032</v>
      </c>
      <c r="C634" s="7" t="str">
        <f>IFERROR(_xlfn.TEXTJOIN("-", TRUE, _xlfn.XLOOKUP(K634, product_category_id_lookup!$A$2:$A$5, product_category_id_lookup!$B$2:$B$5), B634), "Unknown Category")</f>
        <v>ctg-1032</v>
      </c>
      <c r="D634" s="8">
        <v>44763</v>
      </c>
      <c r="E634" s="7">
        <f t="shared" si="27"/>
        <v>2022</v>
      </c>
      <c r="F634" s="28" t="str">
        <f t="shared" si="28"/>
        <v>Jul</v>
      </c>
      <c r="G634" s="17" t="s">
        <v>22</v>
      </c>
      <c r="H634" s="17" t="s">
        <v>15</v>
      </c>
      <c r="I634" s="24">
        <v>214370.72719999999</v>
      </c>
      <c r="J634" s="32">
        <v>49</v>
      </c>
      <c r="K634" s="17" t="s">
        <v>26</v>
      </c>
      <c r="L634" s="24">
        <v>3045.1</v>
      </c>
      <c r="M634" s="24">
        <v>4755.34</v>
      </c>
      <c r="N634" s="34">
        <f>((sales_data_1[[#This Row],[Unit_Price]]*(1-sales_data_1[[#This Row],[Discount]]))-sales_data_1[[#This Row],[Unit_Cost]])*sales_data_1[[#This Row],[Quantity_Sold]]</f>
        <v>65160.827200000007</v>
      </c>
      <c r="O634" s="17" t="s">
        <v>27</v>
      </c>
      <c r="P634" s="26">
        <v>0.08</v>
      </c>
      <c r="Q634" s="17" t="s">
        <v>25</v>
      </c>
      <c r="R634" s="17" t="s">
        <v>21</v>
      </c>
      <c r="S634" s="49" t="str">
        <f t="shared" si="29"/>
        <v>David-North</v>
      </c>
      <c r="T634" s="59" t="str">
        <f>IF(ROUND(sales_data_1[[#This Row],[Profit_Margin]],2)=ROUND((sales_data_1[[#This Row],[Unit_Price]]*(1-sales_data_1[[#This Row],[Discount]]) - sales_data_1[[#This Row],[Unit_Cost]])*sales_data_1[[#This Row],[Quantity_Sold]],2), "PASS", "CHECK")</f>
        <v>PASS</v>
      </c>
    </row>
    <row r="635" spans="1:20" x14ac:dyDescent="0.35">
      <c r="A635" s="7">
        <v>634</v>
      </c>
      <c r="B635" s="9">
        <v>1098</v>
      </c>
      <c r="C635" s="7" t="str">
        <f>IFERROR(_xlfn.TEXTJOIN("-", TRUE, _xlfn.XLOOKUP(K635, product_category_id_lookup!$A$2:$A$5, product_category_id_lookup!$B$2:$B$5), B635), "Unknown Category")</f>
        <v>ctg-1098</v>
      </c>
      <c r="D635" s="8">
        <v>44764</v>
      </c>
      <c r="E635" s="7">
        <f t="shared" si="27"/>
        <v>2022</v>
      </c>
      <c r="F635" s="28" t="str">
        <f t="shared" si="28"/>
        <v>Jul</v>
      </c>
      <c r="G635" s="17" t="s">
        <v>29</v>
      </c>
      <c r="H635" s="17" t="s">
        <v>15</v>
      </c>
      <c r="I635" s="24">
        <v>55889.349600000001</v>
      </c>
      <c r="J635" s="32">
        <v>17</v>
      </c>
      <c r="K635" s="17" t="s">
        <v>26</v>
      </c>
      <c r="L635" s="24">
        <v>3196.22</v>
      </c>
      <c r="M635" s="24">
        <v>3913.82</v>
      </c>
      <c r="N635" s="34">
        <f>((sales_data_1[[#This Row],[Unit_Price]]*(1-sales_data_1[[#This Row],[Discount]]))-sales_data_1[[#This Row],[Unit_Cost]])*sales_data_1[[#This Row],[Quantity_Sold]]</f>
        <v>1553.609600000003</v>
      </c>
      <c r="O635" s="17" t="s">
        <v>17</v>
      </c>
      <c r="P635" s="26">
        <v>0.16</v>
      </c>
      <c r="Q635" s="17" t="s">
        <v>28</v>
      </c>
      <c r="R635" s="17" t="s">
        <v>19</v>
      </c>
      <c r="S635" s="49" t="str">
        <f t="shared" si="29"/>
        <v>Charlie-North</v>
      </c>
      <c r="T635" s="59" t="str">
        <f>IF(ROUND(sales_data_1[[#This Row],[Profit_Margin]],2)=ROUND((sales_data_1[[#This Row],[Unit_Price]]*(1-sales_data_1[[#This Row],[Discount]]) - sales_data_1[[#This Row],[Unit_Cost]])*sales_data_1[[#This Row],[Quantity_Sold]],2), "PASS", "CHECK")</f>
        <v>PASS</v>
      </c>
    </row>
    <row r="636" spans="1:20" x14ac:dyDescent="0.35">
      <c r="A636" s="7">
        <v>635</v>
      </c>
      <c r="B636" s="9">
        <v>1055</v>
      </c>
      <c r="C636" s="7" t="str">
        <f>IFERROR(_xlfn.TEXTJOIN("-", TRUE, _xlfn.XLOOKUP(K636, product_category_id_lookup!$A$2:$A$5, product_category_id_lookup!$B$2:$B$5), B636), "Unknown Category")</f>
        <v>fd-1055</v>
      </c>
      <c r="D636" s="8">
        <v>44764</v>
      </c>
      <c r="E636" s="7">
        <f t="shared" si="27"/>
        <v>2022</v>
      </c>
      <c r="F636" s="28" t="str">
        <f t="shared" si="28"/>
        <v>Jul</v>
      </c>
      <c r="G636" s="17" t="s">
        <v>14</v>
      </c>
      <c r="H636" s="17" t="s">
        <v>23</v>
      </c>
      <c r="I636" s="24">
        <v>122607.48240000001</v>
      </c>
      <c r="J636" s="32">
        <v>43</v>
      </c>
      <c r="K636" s="17" t="s">
        <v>24</v>
      </c>
      <c r="L636" s="24">
        <v>853.73</v>
      </c>
      <c r="M636" s="24">
        <v>3960.19</v>
      </c>
      <c r="N636" s="34">
        <f>((sales_data_1[[#This Row],[Unit_Price]]*(1-sales_data_1[[#This Row],[Discount]]))-sales_data_1[[#This Row],[Unit_Cost]])*sales_data_1[[#This Row],[Quantity_Sold]]</f>
        <v>85897.092399999994</v>
      </c>
      <c r="O636" s="17" t="s">
        <v>27</v>
      </c>
      <c r="P636" s="26">
        <v>0.28000000000000003</v>
      </c>
      <c r="Q636" s="17" t="s">
        <v>25</v>
      </c>
      <c r="R636" s="17" t="s">
        <v>19</v>
      </c>
      <c r="S636" s="49" t="str">
        <f t="shared" si="29"/>
        <v>Bob-South</v>
      </c>
      <c r="T636" s="59" t="str">
        <f>IF(ROUND(sales_data_1[[#This Row],[Profit_Margin]],2)=ROUND((sales_data_1[[#This Row],[Unit_Price]]*(1-sales_data_1[[#This Row],[Discount]]) - sales_data_1[[#This Row],[Unit_Cost]])*sales_data_1[[#This Row],[Quantity_Sold]],2), "PASS", "CHECK")</f>
        <v>PASS</v>
      </c>
    </row>
    <row r="637" spans="1:20" x14ac:dyDescent="0.35">
      <c r="A637" s="7">
        <v>636</v>
      </c>
      <c r="B637" s="9">
        <v>1009</v>
      </c>
      <c r="C637" s="7" t="str">
        <f>IFERROR(_xlfn.TEXTJOIN("-", TRUE, _xlfn.XLOOKUP(K637, product_category_id_lookup!$A$2:$A$5, product_category_id_lookup!$B$2:$B$5), B637), "Unknown Category")</f>
        <v>etc-1009</v>
      </c>
      <c r="D637" s="8">
        <v>44765</v>
      </c>
      <c r="E637" s="7">
        <f t="shared" si="27"/>
        <v>2022</v>
      </c>
      <c r="F637" s="28" t="str">
        <f t="shared" si="28"/>
        <v>Jul</v>
      </c>
      <c r="G637" s="17" t="s">
        <v>14</v>
      </c>
      <c r="H637" s="17" t="s">
        <v>20</v>
      </c>
      <c r="I637" s="24">
        <v>23629.248499999998</v>
      </c>
      <c r="J637" s="32">
        <v>11</v>
      </c>
      <c r="K637" s="17" t="s">
        <v>31</v>
      </c>
      <c r="L637" s="24">
        <v>2135.3000000000002</v>
      </c>
      <c r="M637" s="24">
        <v>2214.5500000000002</v>
      </c>
      <c r="N637" s="34">
        <f>((sales_data_1[[#This Row],[Unit_Price]]*(1-sales_data_1[[#This Row],[Discount]]))-sales_data_1[[#This Row],[Unit_Cost]])*sales_data_1[[#This Row],[Quantity_Sold]]</f>
        <v>140.94849999999724</v>
      </c>
      <c r="O637" s="17" t="s">
        <v>27</v>
      </c>
      <c r="P637" s="26">
        <v>0.03</v>
      </c>
      <c r="Q637" s="17" t="s">
        <v>18</v>
      </c>
      <c r="R637" s="17" t="s">
        <v>21</v>
      </c>
      <c r="S637" s="49" t="str">
        <f t="shared" si="29"/>
        <v>Bob-West</v>
      </c>
      <c r="T637" s="59" t="str">
        <f>IF(ROUND(sales_data_1[[#This Row],[Profit_Margin]],2)=ROUND((sales_data_1[[#This Row],[Unit_Price]]*(1-sales_data_1[[#This Row],[Discount]]) - sales_data_1[[#This Row],[Unit_Cost]])*sales_data_1[[#This Row],[Quantity_Sold]],2), "PASS", "CHECK")</f>
        <v>PASS</v>
      </c>
    </row>
    <row r="638" spans="1:20" x14ac:dyDescent="0.35">
      <c r="A638" s="7">
        <v>637</v>
      </c>
      <c r="B638" s="9">
        <v>1027</v>
      </c>
      <c r="C638" s="7" t="str">
        <f>IFERROR(_xlfn.TEXTJOIN("-", TRUE, _xlfn.XLOOKUP(K638, product_category_id_lookup!$A$2:$A$5, product_category_id_lookup!$B$2:$B$5), B638), "Unknown Category")</f>
        <v>fnt-1027</v>
      </c>
      <c r="D638" s="8">
        <v>44765</v>
      </c>
      <c r="E638" s="7">
        <f t="shared" si="27"/>
        <v>2022</v>
      </c>
      <c r="F638" s="28" t="str">
        <f t="shared" si="28"/>
        <v>Jul</v>
      </c>
      <c r="G638" s="17" t="s">
        <v>22</v>
      </c>
      <c r="H638" s="17" t="s">
        <v>20</v>
      </c>
      <c r="I638" s="24">
        <v>26016.319999999996</v>
      </c>
      <c r="J638" s="32">
        <v>10</v>
      </c>
      <c r="K638" s="17" t="s">
        <v>16</v>
      </c>
      <c r="L638" s="24">
        <v>330.34</v>
      </c>
      <c r="M638" s="24">
        <v>2738.56</v>
      </c>
      <c r="N638" s="34">
        <f>((sales_data_1[[#This Row],[Unit_Price]]*(1-sales_data_1[[#This Row],[Discount]]))-sales_data_1[[#This Row],[Unit_Cost]])*sales_data_1[[#This Row],[Quantity_Sold]]</f>
        <v>22712.919999999995</v>
      </c>
      <c r="O638" s="17" t="s">
        <v>27</v>
      </c>
      <c r="P638" s="26">
        <v>0.05</v>
      </c>
      <c r="Q638" s="17" t="s">
        <v>25</v>
      </c>
      <c r="R638" s="17" t="s">
        <v>21</v>
      </c>
      <c r="S638" s="49" t="str">
        <f t="shared" si="29"/>
        <v>David-West</v>
      </c>
      <c r="T638" s="59" t="str">
        <f>IF(ROUND(sales_data_1[[#This Row],[Profit_Margin]],2)=ROUND((sales_data_1[[#This Row],[Unit_Price]]*(1-sales_data_1[[#This Row],[Discount]]) - sales_data_1[[#This Row],[Unit_Cost]])*sales_data_1[[#This Row],[Quantity_Sold]],2), "PASS", "CHECK")</f>
        <v>PASS</v>
      </c>
    </row>
    <row r="639" spans="1:20" x14ac:dyDescent="0.35">
      <c r="A639" s="7">
        <v>638</v>
      </c>
      <c r="B639" s="9">
        <v>1039</v>
      </c>
      <c r="C639" s="7" t="str">
        <f>IFERROR(_xlfn.TEXTJOIN("-", TRUE, _xlfn.XLOOKUP(K639, product_category_id_lookup!$A$2:$A$5, product_category_id_lookup!$B$2:$B$5), B639), "Unknown Category")</f>
        <v>etc-1039</v>
      </c>
      <c r="D639" s="8">
        <v>44766</v>
      </c>
      <c r="E639" s="7">
        <f t="shared" si="27"/>
        <v>2022</v>
      </c>
      <c r="F639" s="28" t="str">
        <f t="shared" si="28"/>
        <v>Jul</v>
      </c>
      <c r="G639" s="17" t="s">
        <v>22</v>
      </c>
      <c r="H639" s="17" t="s">
        <v>15</v>
      </c>
      <c r="I639" s="24">
        <v>4630.3949999999995</v>
      </c>
      <c r="J639" s="32">
        <v>2</v>
      </c>
      <c r="K639" s="17" t="s">
        <v>31</v>
      </c>
      <c r="L639" s="24">
        <v>1702.38</v>
      </c>
      <c r="M639" s="24">
        <v>3086.93</v>
      </c>
      <c r="N639" s="34">
        <f>((sales_data_1[[#This Row],[Unit_Price]]*(1-sales_data_1[[#This Row],[Discount]]))-sales_data_1[[#This Row],[Unit_Cost]])*sales_data_1[[#This Row],[Quantity_Sold]]</f>
        <v>1225.6349999999993</v>
      </c>
      <c r="O639" s="17" t="s">
        <v>27</v>
      </c>
      <c r="P639" s="26">
        <v>0.25</v>
      </c>
      <c r="Q639" s="17" t="s">
        <v>25</v>
      </c>
      <c r="R639" s="17" t="s">
        <v>21</v>
      </c>
      <c r="S639" s="49" t="str">
        <f t="shared" si="29"/>
        <v>David-North</v>
      </c>
      <c r="T639" s="59" t="str">
        <f>IF(ROUND(sales_data_1[[#This Row],[Profit_Margin]],2)=ROUND((sales_data_1[[#This Row],[Unit_Price]]*(1-sales_data_1[[#This Row],[Discount]]) - sales_data_1[[#This Row],[Unit_Cost]])*sales_data_1[[#This Row],[Quantity_Sold]],2), "PASS", "CHECK")</f>
        <v>PASS</v>
      </c>
    </row>
    <row r="640" spans="1:20" x14ac:dyDescent="0.35">
      <c r="A640" s="7">
        <v>639</v>
      </c>
      <c r="B640" s="9">
        <v>1081</v>
      </c>
      <c r="C640" s="7" t="str">
        <f>IFERROR(_xlfn.TEXTJOIN("-", TRUE, _xlfn.XLOOKUP(K640, product_category_id_lookup!$A$2:$A$5, product_category_id_lookup!$B$2:$B$5), B640), "Unknown Category")</f>
        <v>fd-1081</v>
      </c>
      <c r="D640" s="8">
        <v>44766</v>
      </c>
      <c r="E640" s="7">
        <f t="shared" si="27"/>
        <v>2022</v>
      </c>
      <c r="F640" s="28" t="str">
        <f t="shared" si="28"/>
        <v>Jul</v>
      </c>
      <c r="G640" s="17" t="s">
        <v>32</v>
      </c>
      <c r="H640" s="17" t="s">
        <v>23</v>
      </c>
      <c r="I640" s="24">
        <v>28013.467999999997</v>
      </c>
      <c r="J640" s="32">
        <v>35</v>
      </c>
      <c r="K640" s="17" t="s">
        <v>24</v>
      </c>
      <c r="L640" s="24">
        <v>253.89</v>
      </c>
      <c r="M640" s="24">
        <v>930.68</v>
      </c>
      <c r="N640" s="34">
        <f>((sales_data_1[[#This Row],[Unit_Price]]*(1-sales_data_1[[#This Row],[Discount]]))-sales_data_1[[#This Row],[Unit_Cost]])*sales_data_1[[#This Row],[Quantity_Sold]]</f>
        <v>19127.317999999999</v>
      </c>
      <c r="O640" s="17" t="s">
        <v>27</v>
      </c>
      <c r="P640" s="26">
        <v>0.14000000000000001</v>
      </c>
      <c r="Q640" s="17" t="s">
        <v>18</v>
      </c>
      <c r="R640" s="17" t="s">
        <v>19</v>
      </c>
      <c r="S640" s="49" t="str">
        <f t="shared" si="29"/>
        <v>Eve-South</v>
      </c>
      <c r="T640" s="59" t="str">
        <f>IF(ROUND(sales_data_1[[#This Row],[Profit_Margin]],2)=ROUND((sales_data_1[[#This Row],[Unit_Price]]*(1-sales_data_1[[#This Row],[Discount]]) - sales_data_1[[#This Row],[Unit_Cost]])*sales_data_1[[#This Row],[Quantity_Sold]],2), "PASS", "CHECK")</f>
        <v>PASS</v>
      </c>
    </row>
    <row r="641" spans="1:20" x14ac:dyDescent="0.35">
      <c r="A641" s="7">
        <v>640</v>
      </c>
      <c r="B641" s="9">
        <v>1025</v>
      </c>
      <c r="C641" s="7" t="str">
        <f>IFERROR(_xlfn.TEXTJOIN("-", TRUE, _xlfn.XLOOKUP(K641, product_category_id_lookup!$A$2:$A$5, product_category_id_lookup!$B$2:$B$5), B641), "Unknown Category")</f>
        <v>fnt-1025</v>
      </c>
      <c r="D641" s="8">
        <v>44766</v>
      </c>
      <c r="E641" s="7">
        <f t="shared" si="27"/>
        <v>2022</v>
      </c>
      <c r="F641" s="28" t="str">
        <f t="shared" si="28"/>
        <v>Jul</v>
      </c>
      <c r="G641" s="17" t="s">
        <v>33</v>
      </c>
      <c r="H641" s="17" t="s">
        <v>20</v>
      </c>
      <c r="I641" s="24">
        <v>54725.227199999994</v>
      </c>
      <c r="J641" s="32">
        <v>14</v>
      </c>
      <c r="K641" s="17" t="s">
        <v>16</v>
      </c>
      <c r="L641" s="24">
        <v>1394.07</v>
      </c>
      <c r="M641" s="24">
        <v>4493.04</v>
      </c>
      <c r="N641" s="34">
        <f>((sales_data_1[[#This Row],[Unit_Price]]*(1-sales_data_1[[#This Row],[Discount]]))-sales_data_1[[#This Row],[Unit_Cost]])*sales_data_1[[#This Row],[Quantity_Sold]]</f>
        <v>35208.247199999998</v>
      </c>
      <c r="O641" s="17" t="s">
        <v>17</v>
      </c>
      <c r="P641" s="26">
        <v>0.13</v>
      </c>
      <c r="Q641" s="17" t="s">
        <v>25</v>
      </c>
      <c r="R641" s="17" t="s">
        <v>19</v>
      </c>
      <c r="S641" s="49" t="str">
        <f t="shared" si="29"/>
        <v>Alice-West</v>
      </c>
      <c r="T641" s="59" t="str">
        <f>IF(ROUND(sales_data_1[[#This Row],[Profit_Margin]],2)=ROUND((sales_data_1[[#This Row],[Unit_Price]]*(1-sales_data_1[[#This Row],[Discount]]) - sales_data_1[[#This Row],[Unit_Cost]])*sales_data_1[[#This Row],[Quantity_Sold]],2), "PASS", "CHECK")</f>
        <v>PASS</v>
      </c>
    </row>
    <row r="642" spans="1:20" x14ac:dyDescent="0.35">
      <c r="A642" s="7">
        <v>641</v>
      </c>
      <c r="B642" s="9">
        <v>1083</v>
      </c>
      <c r="C642" s="7" t="str">
        <f>IFERROR(_xlfn.TEXTJOIN("-", TRUE, _xlfn.XLOOKUP(K642, product_category_id_lookup!$A$2:$A$5, product_category_id_lookup!$B$2:$B$5), B642), "Unknown Category")</f>
        <v>etc-1083</v>
      </c>
      <c r="D642" s="8">
        <v>44766</v>
      </c>
      <c r="E642" s="7">
        <f t="shared" ref="E642:E705" si="30">YEAR(D642)</f>
        <v>2022</v>
      </c>
      <c r="F642" s="28" t="str">
        <f t="shared" ref="F642:F705" si="31">LEFT(TEXT(D642,"mmmm"),3)</f>
        <v>Jul</v>
      </c>
      <c r="G642" s="17" t="s">
        <v>32</v>
      </c>
      <c r="H642" s="17" t="s">
        <v>30</v>
      </c>
      <c r="I642" s="24">
        <v>243166.245</v>
      </c>
      <c r="J642" s="32">
        <v>50</v>
      </c>
      <c r="K642" s="17" t="s">
        <v>31</v>
      </c>
      <c r="L642" s="24">
        <v>971.49</v>
      </c>
      <c r="M642" s="24">
        <v>5464.41</v>
      </c>
      <c r="N642" s="34">
        <f>((sales_data_1[[#This Row],[Unit_Price]]*(1-sales_data_1[[#This Row],[Discount]]))-sales_data_1[[#This Row],[Unit_Cost]])*sales_data_1[[#This Row],[Quantity_Sold]]</f>
        <v>194591.745</v>
      </c>
      <c r="O642" s="17" t="s">
        <v>17</v>
      </c>
      <c r="P642" s="26">
        <v>0.11</v>
      </c>
      <c r="Q642" s="17" t="s">
        <v>18</v>
      </c>
      <c r="R642" s="17" t="s">
        <v>21</v>
      </c>
      <c r="S642" s="49" t="str">
        <f t="shared" ref="S642:S705" si="32">_xlfn.CONCAT(G642,"-",H642)</f>
        <v>Eve-East</v>
      </c>
      <c r="T642" s="59" t="str">
        <f>IF(ROUND(sales_data_1[[#This Row],[Profit_Margin]],2)=ROUND((sales_data_1[[#This Row],[Unit_Price]]*(1-sales_data_1[[#This Row],[Discount]]) - sales_data_1[[#This Row],[Unit_Cost]])*sales_data_1[[#This Row],[Quantity_Sold]],2), "PASS", "CHECK")</f>
        <v>PASS</v>
      </c>
    </row>
    <row r="643" spans="1:20" x14ac:dyDescent="0.35">
      <c r="A643" s="7">
        <v>642</v>
      </c>
      <c r="B643" s="9">
        <v>1098</v>
      </c>
      <c r="C643" s="7" t="str">
        <f>IFERROR(_xlfn.TEXTJOIN("-", TRUE, _xlfn.XLOOKUP(K643, product_category_id_lookup!$A$2:$A$5, product_category_id_lookup!$B$2:$B$5), B643), "Unknown Category")</f>
        <v>ctg-1098</v>
      </c>
      <c r="D643" s="8">
        <v>44767</v>
      </c>
      <c r="E643" s="7">
        <f t="shared" si="30"/>
        <v>2022</v>
      </c>
      <c r="F643" s="28" t="str">
        <f t="shared" si="31"/>
        <v>Jul</v>
      </c>
      <c r="G643" s="17" t="s">
        <v>14</v>
      </c>
      <c r="H643" s="17" t="s">
        <v>20</v>
      </c>
      <c r="I643" s="24">
        <v>20303.8</v>
      </c>
      <c r="J643" s="32">
        <v>4</v>
      </c>
      <c r="K643" s="17" t="s">
        <v>26</v>
      </c>
      <c r="L643" s="24">
        <v>3806.23</v>
      </c>
      <c r="M643" s="24">
        <v>5075.95</v>
      </c>
      <c r="N643" s="34">
        <f>((sales_data_1[[#This Row],[Unit_Price]]*(1-sales_data_1[[#This Row],[Discount]]))-sales_data_1[[#This Row],[Unit_Cost]])*sales_data_1[[#This Row],[Quantity_Sold]]</f>
        <v>5078.8799999999992</v>
      </c>
      <c r="O643" s="17" t="s">
        <v>27</v>
      </c>
      <c r="P643" s="26">
        <v>0</v>
      </c>
      <c r="Q643" s="17" t="s">
        <v>28</v>
      </c>
      <c r="R643" s="17" t="s">
        <v>19</v>
      </c>
      <c r="S643" s="49" t="str">
        <f t="shared" si="32"/>
        <v>Bob-West</v>
      </c>
      <c r="T643" s="59" t="str">
        <f>IF(ROUND(sales_data_1[[#This Row],[Profit_Margin]],2)=ROUND((sales_data_1[[#This Row],[Unit_Price]]*(1-sales_data_1[[#This Row],[Discount]]) - sales_data_1[[#This Row],[Unit_Cost]])*sales_data_1[[#This Row],[Quantity_Sold]],2), "PASS", "CHECK")</f>
        <v>PASS</v>
      </c>
    </row>
    <row r="644" spans="1:20" x14ac:dyDescent="0.35">
      <c r="A644" s="7">
        <v>643</v>
      </c>
      <c r="B644" s="9">
        <v>1079</v>
      </c>
      <c r="C644" s="7" t="str">
        <f>IFERROR(_xlfn.TEXTJOIN("-", TRUE, _xlfn.XLOOKUP(K644, product_category_id_lookup!$A$2:$A$5, product_category_id_lookup!$B$2:$B$5), B644), "Unknown Category")</f>
        <v>etc-1079</v>
      </c>
      <c r="D644" s="8">
        <v>44767</v>
      </c>
      <c r="E644" s="7">
        <f t="shared" si="30"/>
        <v>2022</v>
      </c>
      <c r="F644" s="28" t="str">
        <f t="shared" si="31"/>
        <v>Jul</v>
      </c>
      <c r="G644" s="17" t="s">
        <v>22</v>
      </c>
      <c r="H644" s="17" t="s">
        <v>15</v>
      </c>
      <c r="I644" s="24">
        <v>134732.32304854499</v>
      </c>
      <c r="J644" s="32">
        <v>33</v>
      </c>
      <c r="K644" s="17" t="s">
        <v>31</v>
      </c>
      <c r="L644" s="24">
        <v>3269.65</v>
      </c>
      <c r="M644" s="24">
        <v>4095.69</v>
      </c>
      <c r="N644" s="34">
        <f>((sales_data_1[[#This Row],[Unit_Price]]*(1-sales_data_1[[#This Row],[Discount]]))-sales_data_1[[#This Row],[Unit_Cost]])*sales_data_1[[#This Row],[Quantity_Sold]]</f>
        <v>27259.32</v>
      </c>
      <c r="O644" s="17" t="s">
        <v>17</v>
      </c>
      <c r="P644" s="26">
        <v>0</v>
      </c>
      <c r="Q644" s="17" t="s">
        <v>18</v>
      </c>
      <c r="R644" s="17" t="s">
        <v>19</v>
      </c>
      <c r="S644" s="49" t="str">
        <f t="shared" si="32"/>
        <v>David-North</v>
      </c>
      <c r="T644" s="59" t="str">
        <f>IF(ROUND(sales_data_1[[#This Row],[Profit_Margin]],2)=ROUND((sales_data_1[[#This Row],[Unit_Price]]*(1-sales_data_1[[#This Row],[Discount]]) - sales_data_1[[#This Row],[Unit_Cost]])*sales_data_1[[#This Row],[Quantity_Sold]],2), "PASS", "CHECK")</f>
        <v>PASS</v>
      </c>
    </row>
    <row r="645" spans="1:20" x14ac:dyDescent="0.35">
      <c r="A645" s="7">
        <v>644</v>
      </c>
      <c r="B645" s="9">
        <v>1092</v>
      </c>
      <c r="C645" s="7" t="str">
        <f>IFERROR(_xlfn.TEXTJOIN("-", TRUE, _xlfn.XLOOKUP(K645, product_category_id_lookup!$A$2:$A$5, product_category_id_lookup!$B$2:$B$5), B645), "Unknown Category")</f>
        <v>fnt-1092</v>
      </c>
      <c r="D645" s="8">
        <v>44767</v>
      </c>
      <c r="E645" s="7">
        <f t="shared" si="30"/>
        <v>2022</v>
      </c>
      <c r="F645" s="28" t="str">
        <f t="shared" si="31"/>
        <v>Jul</v>
      </c>
      <c r="G645" s="17" t="s">
        <v>33</v>
      </c>
      <c r="H645" s="17" t="s">
        <v>20</v>
      </c>
      <c r="I645" s="24">
        <v>70194.502799999987</v>
      </c>
      <c r="J645" s="32">
        <v>17</v>
      </c>
      <c r="K645" s="17" t="s">
        <v>16</v>
      </c>
      <c r="L645" s="24">
        <v>1163.22</v>
      </c>
      <c r="M645" s="24">
        <v>4439.88</v>
      </c>
      <c r="N645" s="34">
        <f>((sales_data_1[[#This Row],[Unit_Price]]*(1-sales_data_1[[#This Row],[Discount]]))-sales_data_1[[#This Row],[Unit_Cost]])*sales_data_1[[#This Row],[Quantity_Sold]]</f>
        <v>50419.76279999999</v>
      </c>
      <c r="O645" s="17" t="s">
        <v>17</v>
      </c>
      <c r="P645" s="26">
        <v>7.0000000000000007E-2</v>
      </c>
      <c r="Q645" s="17" t="s">
        <v>25</v>
      </c>
      <c r="R645" s="17" t="s">
        <v>19</v>
      </c>
      <c r="S645" s="49" t="str">
        <f t="shared" si="32"/>
        <v>Alice-West</v>
      </c>
      <c r="T645" s="59" t="str">
        <f>IF(ROUND(sales_data_1[[#This Row],[Profit_Margin]],2)=ROUND((sales_data_1[[#This Row],[Unit_Price]]*(1-sales_data_1[[#This Row],[Discount]]) - sales_data_1[[#This Row],[Unit_Cost]])*sales_data_1[[#This Row],[Quantity_Sold]],2), "PASS", "CHECK")</f>
        <v>PASS</v>
      </c>
    </row>
    <row r="646" spans="1:20" x14ac:dyDescent="0.35">
      <c r="A646" s="7">
        <v>645</v>
      </c>
      <c r="B646" s="9">
        <v>1022</v>
      </c>
      <c r="C646" s="7" t="str">
        <f>IFERROR(_xlfn.TEXTJOIN("-", TRUE, _xlfn.XLOOKUP(K646, product_category_id_lookup!$A$2:$A$5, product_category_id_lookup!$B$2:$B$5), B646), "Unknown Category")</f>
        <v>fnt-1022</v>
      </c>
      <c r="D646" s="8">
        <v>44767</v>
      </c>
      <c r="E646" s="7">
        <f t="shared" si="30"/>
        <v>2022</v>
      </c>
      <c r="F646" s="28" t="str">
        <f t="shared" si="31"/>
        <v>Jul</v>
      </c>
      <c r="G646" s="17" t="s">
        <v>33</v>
      </c>
      <c r="H646" s="17" t="s">
        <v>15</v>
      </c>
      <c r="I646" s="24">
        <v>89207.247999999992</v>
      </c>
      <c r="J646" s="32">
        <v>40</v>
      </c>
      <c r="K646" s="17" t="s">
        <v>16</v>
      </c>
      <c r="L646" s="24">
        <v>937.46</v>
      </c>
      <c r="M646" s="24">
        <v>2424.11</v>
      </c>
      <c r="N646" s="34">
        <f>((sales_data_1[[#This Row],[Unit_Price]]*(1-sales_data_1[[#This Row],[Discount]]))-sales_data_1[[#This Row],[Unit_Cost]])*sales_data_1[[#This Row],[Quantity_Sold]]</f>
        <v>51708.847999999998</v>
      </c>
      <c r="O646" s="17" t="s">
        <v>17</v>
      </c>
      <c r="P646" s="26">
        <v>0.08</v>
      </c>
      <c r="Q646" s="17" t="s">
        <v>18</v>
      </c>
      <c r="R646" s="17" t="s">
        <v>21</v>
      </c>
      <c r="S646" s="49" t="str">
        <f t="shared" si="32"/>
        <v>Alice-North</v>
      </c>
      <c r="T646" s="59" t="str">
        <f>IF(ROUND(sales_data_1[[#This Row],[Profit_Margin]],2)=ROUND((sales_data_1[[#This Row],[Unit_Price]]*(1-sales_data_1[[#This Row],[Discount]]) - sales_data_1[[#This Row],[Unit_Cost]])*sales_data_1[[#This Row],[Quantity_Sold]],2), "PASS", "CHECK")</f>
        <v>PASS</v>
      </c>
    </row>
    <row r="647" spans="1:20" x14ac:dyDescent="0.35">
      <c r="A647" s="7">
        <v>646</v>
      </c>
      <c r="B647" s="9">
        <v>1084</v>
      </c>
      <c r="C647" s="7" t="str">
        <f>IFERROR(_xlfn.TEXTJOIN("-", TRUE, _xlfn.XLOOKUP(K647, product_category_id_lookup!$A$2:$A$5, product_category_id_lookup!$B$2:$B$5), B647), "Unknown Category")</f>
        <v>fnt-1084</v>
      </c>
      <c r="D647" s="8">
        <v>44767</v>
      </c>
      <c r="E647" s="7">
        <f t="shared" si="30"/>
        <v>2022</v>
      </c>
      <c r="F647" s="28" t="str">
        <f t="shared" si="31"/>
        <v>Jul</v>
      </c>
      <c r="G647" s="17" t="s">
        <v>32</v>
      </c>
      <c r="H647" s="17" t="s">
        <v>30</v>
      </c>
      <c r="I647" s="24">
        <v>100910.07160000001</v>
      </c>
      <c r="J647" s="32">
        <v>26</v>
      </c>
      <c r="K647" s="17" t="s">
        <v>16</v>
      </c>
      <c r="L647" s="24">
        <v>1065.5999999999999</v>
      </c>
      <c r="M647" s="24">
        <v>4128.8900000000003</v>
      </c>
      <c r="N647" s="34">
        <f>((sales_data_1[[#This Row],[Unit_Price]]*(1-sales_data_1[[#This Row],[Discount]]))-sales_data_1[[#This Row],[Unit_Cost]])*sales_data_1[[#This Row],[Quantity_Sold]]</f>
        <v>73204.471600000004</v>
      </c>
      <c r="O647" s="17" t="s">
        <v>27</v>
      </c>
      <c r="P647" s="26">
        <v>0.06</v>
      </c>
      <c r="Q647" s="17" t="s">
        <v>25</v>
      </c>
      <c r="R647" s="17" t="s">
        <v>19</v>
      </c>
      <c r="S647" s="49" t="str">
        <f t="shared" si="32"/>
        <v>Eve-East</v>
      </c>
      <c r="T647" s="59" t="str">
        <f>IF(ROUND(sales_data_1[[#This Row],[Profit_Margin]],2)=ROUND((sales_data_1[[#This Row],[Unit_Price]]*(1-sales_data_1[[#This Row],[Discount]]) - sales_data_1[[#This Row],[Unit_Cost]])*sales_data_1[[#This Row],[Quantity_Sold]],2), "PASS", "CHECK")</f>
        <v>PASS</v>
      </c>
    </row>
    <row r="648" spans="1:20" x14ac:dyDescent="0.35">
      <c r="A648" s="7">
        <v>647</v>
      </c>
      <c r="B648" s="9">
        <v>1013</v>
      </c>
      <c r="C648" s="7" t="str">
        <f>IFERROR(_xlfn.TEXTJOIN("-", TRUE, _xlfn.XLOOKUP(K648, product_category_id_lookup!$A$2:$A$5, product_category_id_lookup!$B$2:$B$5), B648), "Unknown Category")</f>
        <v>etc-1013</v>
      </c>
      <c r="D648" s="8">
        <v>44768</v>
      </c>
      <c r="E648" s="7">
        <f t="shared" si="30"/>
        <v>2022</v>
      </c>
      <c r="F648" s="28" t="str">
        <f t="shared" si="31"/>
        <v>Jul</v>
      </c>
      <c r="G648" s="17" t="s">
        <v>32</v>
      </c>
      <c r="H648" s="17" t="s">
        <v>20</v>
      </c>
      <c r="I648" s="24">
        <v>144801.95899539426</v>
      </c>
      <c r="J648" s="32">
        <v>45</v>
      </c>
      <c r="K648" s="17" t="s">
        <v>31</v>
      </c>
      <c r="L648" s="24">
        <v>3187.72</v>
      </c>
      <c r="M648" s="24">
        <v>3236.27</v>
      </c>
      <c r="N648" s="34">
        <f>((sales_data_1[[#This Row],[Unit_Price]]*(1-sales_data_1[[#This Row],[Discount]]))-sales_data_1[[#This Row],[Unit_Cost]])*sales_data_1[[#This Row],[Quantity_Sold]]</f>
        <v>728.42850000000226</v>
      </c>
      <c r="O648" s="17" t="s">
        <v>17</v>
      </c>
      <c r="P648" s="26">
        <v>0.01</v>
      </c>
      <c r="Q648" s="17" t="s">
        <v>25</v>
      </c>
      <c r="R648" s="17" t="s">
        <v>19</v>
      </c>
      <c r="S648" s="49" t="str">
        <f t="shared" si="32"/>
        <v>Eve-West</v>
      </c>
      <c r="T648" s="59" t="str">
        <f>IF(ROUND(sales_data_1[[#This Row],[Profit_Margin]],2)=ROUND((sales_data_1[[#This Row],[Unit_Price]]*(1-sales_data_1[[#This Row],[Discount]]) - sales_data_1[[#This Row],[Unit_Cost]])*sales_data_1[[#This Row],[Quantity_Sold]],2), "PASS", "CHECK")</f>
        <v>PASS</v>
      </c>
    </row>
    <row r="649" spans="1:20" x14ac:dyDescent="0.35">
      <c r="A649" s="7">
        <v>648</v>
      </c>
      <c r="B649" s="9">
        <v>1026</v>
      </c>
      <c r="C649" s="7" t="str">
        <f>IFERROR(_xlfn.TEXTJOIN("-", TRUE, _xlfn.XLOOKUP(K649, product_category_id_lookup!$A$2:$A$5, product_category_id_lookup!$B$2:$B$5), B649), "Unknown Category")</f>
        <v>etc-1026</v>
      </c>
      <c r="D649" s="8">
        <v>44768</v>
      </c>
      <c r="E649" s="7">
        <f t="shared" si="30"/>
        <v>2022</v>
      </c>
      <c r="F649" s="28" t="str">
        <f t="shared" si="31"/>
        <v>Jul</v>
      </c>
      <c r="G649" s="17" t="s">
        <v>32</v>
      </c>
      <c r="H649" s="17" t="s">
        <v>30</v>
      </c>
      <c r="I649" s="24">
        <v>14427.423999999999</v>
      </c>
      <c r="J649" s="32">
        <v>4</v>
      </c>
      <c r="K649" s="17" t="s">
        <v>31</v>
      </c>
      <c r="L649" s="24">
        <v>3064.69</v>
      </c>
      <c r="M649" s="24">
        <v>4098.7</v>
      </c>
      <c r="N649" s="34">
        <f>((sales_data_1[[#This Row],[Unit_Price]]*(1-sales_data_1[[#This Row],[Discount]]))-sales_data_1[[#This Row],[Unit_Cost]])*sales_data_1[[#This Row],[Quantity_Sold]]</f>
        <v>2168.6639999999989</v>
      </c>
      <c r="O649" s="17" t="s">
        <v>27</v>
      </c>
      <c r="P649" s="26">
        <v>0.12</v>
      </c>
      <c r="Q649" s="17" t="s">
        <v>25</v>
      </c>
      <c r="R649" s="17" t="s">
        <v>19</v>
      </c>
      <c r="S649" s="49" t="str">
        <f t="shared" si="32"/>
        <v>Eve-East</v>
      </c>
      <c r="T649" s="59" t="str">
        <f>IF(ROUND(sales_data_1[[#This Row],[Profit_Margin]],2)=ROUND((sales_data_1[[#This Row],[Unit_Price]]*(1-sales_data_1[[#This Row],[Discount]]) - sales_data_1[[#This Row],[Unit_Cost]])*sales_data_1[[#This Row],[Quantity_Sold]],2), "PASS", "CHECK")</f>
        <v>PASS</v>
      </c>
    </row>
    <row r="650" spans="1:20" x14ac:dyDescent="0.35">
      <c r="A650" s="7">
        <v>649</v>
      </c>
      <c r="B650" s="9">
        <v>1082</v>
      </c>
      <c r="C650" s="7" t="str">
        <f>IFERROR(_xlfn.TEXTJOIN("-", TRUE, _xlfn.XLOOKUP(K650, product_category_id_lookup!$A$2:$A$5, product_category_id_lookup!$B$2:$B$5), B650), "Unknown Category")</f>
        <v>etc-1082</v>
      </c>
      <c r="D650" s="8">
        <v>44768</v>
      </c>
      <c r="E650" s="7">
        <f t="shared" si="30"/>
        <v>2022</v>
      </c>
      <c r="F650" s="28" t="str">
        <f t="shared" si="31"/>
        <v>Jul</v>
      </c>
      <c r="G650" s="17" t="s">
        <v>33</v>
      </c>
      <c r="H650" s="17" t="s">
        <v>23</v>
      </c>
      <c r="I650" s="24">
        <v>67803.797600000005</v>
      </c>
      <c r="J650" s="32">
        <v>22</v>
      </c>
      <c r="K650" s="17" t="s">
        <v>31</v>
      </c>
      <c r="L650" s="24">
        <v>2057.69</v>
      </c>
      <c r="M650" s="24">
        <v>3349.99</v>
      </c>
      <c r="N650" s="34">
        <f>((sales_data_1[[#This Row],[Unit_Price]]*(1-sales_data_1[[#This Row],[Discount]]))-sales_data_1[[#This Row],[Unit_Cost]])*sales_data_1[[#This Row],[Quantity_Sold]]</f>
        <v>22534.617599999998</v>
      </c>
      <c r="O650" s="17" t="s">
        <v>27</v>
      </c>
      <c r="P650" s="26">
        <v>0.08</v>
      </c>
      <c r="Q650" s="17" t="s">
        <v>28</v>
      </c>
      <c r="R650" s="17" t="s">
        <v>19</v>
      </c>
      <c r="S650" s="49" t="str">
        <f t="shared" si="32"/>
        <v>Alice-South</v>
      </c>
      <c r="T650" s="59" t="str">
        <f>IF(ROUND(sales_data_1[[#This Row],[Profit_Margin]],2)=ROUND((sales_data_1[[#This Row],[Unit_Price]]*(1-sales_data_1[[#This Row],[Discount]]) - sales_data_1[[#This Row],[Unit_Cost]])*sales_data_1[[#This Row],[Quantity_Sold]],2), "PASS", "CHECK")</f>
        <v>PASS</v>
      </c>
    </row>
    <row r="651" spans="1:20" x14ac:dyDescent="0.35">
      <c r="A651" s="7">
        <v>650</v>
      </c>
      <c r="B651" s="9">
        <v>1001</v>
      </c>
      <c r="C651" s="7" t="str">
        <f>IFERROR(_xlfn.TEXTJOIN("-", TRUE, _xlfn.XLOOKUP(K651, product_category_id_lookup!$A$2:$A$5, product_category_id_lookup!$B$2:$B$5), B651), "Unknown Category")</f>
        <v>etc-1001</v>
      </c>
      <c r="D651" s="8">
        <v>44768</v>
      </c>
      <c r="E651" s="7">
        <f t="shared" si="30"/>
        <v>2022</v>
      </c>
      <c r="F651" s="28" t="str">
        <f t="shared" si="31"/>
        <v>Jul</v>
      </c>
      <c r="G651" s="17" t="s">
        <v>33</v>
      </c>
      <c r="H651" s="17" t="s">
        <v>15</v>
      </c>
      <c r="I651" s="24">
        <v>39968.860799999995</v>
      </c>
      <c r="J651" s="32">
        <v>12</v>
      </c>
      <c r="K651" s="17" t="s">
        <v>31</v>
      </c>
      <c r="L651" s="24">
        <v>598.91</v>
      </c>
      <c r="M651" s="24">
        <v>3784.93</v>
      </c>
      <c r="N651" s="34">
        <f>((sales_data_1[[#This Row],[Unit_Price]]*(1-sales_data_1[[#This Row],[Discount]]))-sales_data_1[[#This Row],[Unit_Cost]])*sales_data_1[[#This Row],[Quantity_Sold]]</f>
        <v>32781.940799999997</v>
      </c>
      <c r="O651" s="17" t="s">
        <v>27</v>
      </c>
      <c r="P651" s="26">
        <v>0.12</v>
      </c>
      <c r="Q651" s="17" t="s">
        <v>18</v>
      </c>
      <c r="R651" s="17" t="s">
        <v>21</v>
      </c>
      <c r="S651" s="49" t="str">
        <f t="shared" si="32"/>
        <v>Alice-North</v>
      </c>
      <c r="T651" s="59" t="str">
        <f>IF(ROUND(sales_data_1[[#This Row],[Profit_Margin]],2)=ROUND((sales_data_1[[#This Row],[Unit_Price]]*(1-sales_data_1[[#This Row],[Discount]]) - sales_data_1[[#This Row],[Unit_Cost]])*sales_data_1[[#This Row],[Quantity_Sold]],2), "PASS", "CHECK")</f>
        <v>PASS</v>
      </c>
    </row>
    <row r="652" spans="1:20" x14ac:dyDescent="0.35">
      <c r="A652" s="7">
        <v>651</v>
      </c>
      <c r="B652" s="9">
        <v>1020</v>
      </c>
      <c r="C652" s="7" t="str">
        <f>IFERROR(_xlfn.TEXTJOIN("-", TRUE, _xlfn.XLOOKUP(K652, product_category_id_lookup!$A$2:$A$5, product_category_id_lookup!$B$2:$B$5), B652), "Unknown Category")</f>
        <v>etc-1020</v>
      </c>
      <c r="D652" s="8">
        <v>44768</v>
      </c>
      <c r="E652" s="7">
        <f t="shared" si="30"/>
        <v>2022</v>
      </c>
      <c r="F652" s="28" t="str">
        <f t="shared" si="31"/>
        <v>Jul</v>
      </c>
      <c r="G652" s="17" t="s">
        <v>32</v>
      </c>
      <c r="H652" s="17" t="s">
        <v>23</v>
      </c>
      <c r="I652" s="24">
        <v>128024.21799999998</v>
      </c>
      <c r="J652" s="32">
        <v>37</v>
      </c>
      <c r="K652" s="17" t="s">
        <v>31</v>
      </c>
      <c r="L652" s="24">
        <v>1935.61</v>
      </c>
      <c r="M652" s="24">
        <v>4873.3999999999996</v>
      </c>
      <c r="N652" s="34">
        <f>((sales_data_1[[#This Row],[Unit_Price]]*(1-sales_data_1[[#This Row],[Discount]]))-sales_data_1[[#This Row],[Unit_Cost]])*sales_data_1[[#This Row],[Quantity_Sold]]</f>
        <v>56406.647999999986</v>
      </c>
      <c r="O652" s="17" t="s">
        <v>17</v>
      </c>
      <c r="P652" s="26">
        <v>0.28999999999999998</v>
      </c>
      <c r="Q652" s="17" t="s">
        <v>25</v>
      </c>
      <c r="R652" s="17" t="s">
        <v>19</v>
      </c>
      <c r="S652" s="49" t="str">
        <f t="shared" si="32"/>
        <v>Eve-South</v>
      </c>
      <c r="T652" s="59" t="str">
        <f>IF(ROUND(sales_data_1[[#This Row],[Profit_Margin]],2)=ROUND((sales_data_1[[#This Row],[Unit_Price]]*(1-sales_data_1[[#This Row],[Discount]]) - sales_data_1[[#This Row],[Unit_Cost]])*sales_data_1[[#This Row],[Quantity_Sold]],2), "PASS", "CHECK")</f>
        <v>PASS</v>
      </c>
    </row>
    <row r="653" spans="1:20" x14ac:dyDescent="0.35">
      <c r="A653" s="7">
        <v>652</v>
      </c>
      <c r="B653" s="9">
        <v>1077</v>
      </c>
      <c r="C653" s="7" t="str">
        <f>IFERROR(_xlfn.TEXTJOIN("-", TRUE, _xlfn.XLOOKUP(K653, product_category_id_lookup!$A$2:$A$5, product_category_id_lookup!$B$2:$B$5), B653), "Unknown Category")</f>
        <v>ctg-1077</v>
      </c>
      <c r="D653" s="8">
        <v>44768</v>
      </c>
      <c r="E653" s="7">
        <f t="shared" si="30"/>
        <v>2022</v>
      </c>
      <c r="F653" s="28" t="str">
        <f t="shared" si="31"/>
        <v>Jul</v>
      </c>
      <c r="G653" s="17" t="s">
        <v>14</v>
      </c>
      <c r="H653" s="17" t="s">
        <v>23</v>
      </c>
      <c r="I653" s="24">
        <v>105969.24</v>
      </c>
      <c r="J653" s="32">
        <v>36</v>
      </c>
      <c r="K653" s="17" t="s">
        <v>26</v>
      </c>
      <c r="L653" s="24">
        <v>273.58999999999997</v>
      </c>
      <c r="M653" s="24">
        <v>2943.59</v>
      </c>
      <c r="N653" s="34">
        <f>((sales_data_1[[#This Row],[Unit_Price]]*(1-sales_data_1[[#This Row],[Discount]]))-sales_data_1[[#This Row],[Unit_Cost]])*sales_data_1[[#This Row],[Quantity_Sold]]</f>
        <v>96120</v>
      </c>
      <c r="O653" s="17" t="s">
        <v>27</v>
      </c>
      <c r="P653" s="26">
        <v>0</v>
      </c>
      <c r="Q653" s="17" t="s">
        <v>18</v>
      </c>
      <c r="R653" s="17" t="s">
        <v>19</v>
      </c>
      <c r="S653" s="49" t="str">
        <f t="shared" si="32"/>
        <v>Bob-South</v>
      </c>
      <c r="T653" s="59" t="str">
        <f>IF(ROUND(sales_data_1[[#This Row],[Profit_Margin]],2)=ROUND((sales_data_1[[#This Row],[Unit_Price]]*(1-sales_data_1[[#This Row],[Discount]]) - sales_data_1[[#This Row],[Unit_Cost]])*sales_data_1[[#This Row],[Quantity_Sold]],2), "PASS", "CHECK")</f>
        <v>PASS</v>
      </c>
    </row>
    <row r="654" spans="1:20" x14ac:dyDescent="0.35">
      <c r="A654" s="7">
        <v>653</v>
      </c>
      <c r="B654" s="9">
        <v>1033</v>
      </c>
      <c r="C654" s="7" t="str">
        <f>IFERROR(_xlfn.TEXTJOIN("-", TRUE, _xlfn.XLOOKUP(K654, product_category_id_lookup!$A$2:$A$5, product_category_id_lookup!$B$2:$B$5), B654), "Unknown Category")</f>
        <v>etc-1033</v>
      </c>
      <c r="D654" s="8">
        <v>44769</v>
      </c>
      <c r="E654" s="7">
        <f t="shared" si="30"/>
        <v>2022</v>
      </c>
      <c r="F654" s="28" t="str">
        <f t="shared" si="31"/>
        <v>Jul</v>
      </c>
      <c r="G654" s="17" t="s">
        <v>33</v>
      </c>
      <c r="H654" s="17" t="s">
        <v>23</v>
      </c>
      <c r="I654" s="24">
        <v>99228.307648756745</v>
      </c>
      <c r="J654" s="32">
        <v>26</v>
      </c>
      <c r="K654" s="17" t="s">
        <v>31</v>
      </c>
      <c r="L654" s="24">
        <v>3543.91</v>
      </c>
      <c r="M654" s="24">
        <v>3873.07</v>
      </c>
      <c r="N654" s="34">
        <f>((sales_data_1[[#This Row],[Unit_Price]]*(1-sales_data_1[[#This Row],[Discount]]))-sales_data_1[[#This Row],[Unit_Cost]])*sales_data_1[[#This Row],[Quantity_Sold]]</f>
        <v>7551.1618000000062</v>
      </c>
      <c r="O654" s="17" t="s">
        <v>27</v>
      </c>
      <c r="P654" s="26">
        <v>0.01</v>
      </c>
      <c r="Q654" s="17" t="s">
        <v>18</v>
      </c>
      <c r="R654" s="17" t="s">
        <v>19</v>
      </c>
      <c r="S654" s="49" t="str">
        <f t="shared" si="32"/>
        <v>Alice-South</v>
      </c>
      <c r="T654" s="59" t="str">
        <f>IF(ROUND(sales_data_1[[#This Row],[Profit_Margin]],2)=ROUND((sales_data_1[[#This Row],[Unit_Price]]*(1-sales_data_1[[#This Row],[Discount]]) - sales_data_1[[#This Row],[Unit_Cost]])*sales_data_1[[#This Row],[Quantity_Sold]],2), "PASS", "CHECK")</f>
        <v>PASS</v>
      </c>
    </row>
    <row r="655" spans="1:20" x14ac:dyDescent="0.35">
      <c r="A655" s="7">
        <v>654</v>
      </c>
      <c r="B655" s="9">
        <v>1091</v>
      </c>
      <c r="C655" s="7" t="str">
        <f>IFERROR(_xlfn.TEXTJOIN("-", TRUE, _xlfn.XLOOKUP(K655, product_category_id_lookup!$A$2:$A$5, product_category_id_lookup!$B$2:$B$5), B655), "Unknown Category")</f>
        <v>fnt-1091</v>
      </c>
      <c r="D655" s="8">
        <v>44769</v>
      </c>
      <c r="E655" s="7">
        <f t="shared" si="30"/>
        <v>2022</v>
      </c>
      <c r="F655" s="28" t="str">
        <f t="shared" si="31"/>
        <v>Jul</v>
      </c>
      <c r="G655" s="17" t="s">
        <v>32</v>
      </c>
      <c r="H655" s="17" t="s">
        <v>15</v>
      </c>
      <c r="I655" s="24">
        <v>17519.805</v>
      </c>
      <c r="J655" s="32">
        <v>15</v>
      </c>
      <c r="K655" s="17" t="s">
        <v>16</v>
      </c>
      <c r="L655" s="24">
        <v>608.02</v>
      </c>
      <c r="M655" s="24">
        <v>1255.9000000000001</v>
      </c>
      <c r="N655" s="34">
        <f>((sales_data_1[[#This Row],[Unit_Price]]*(1-sales_data_1[[#This Row],[Discount]]))-sales_data_1[[#This Row],[Unit_Cost]])*sales_data_1[[#This Row],[Quantity_Sold]]</f>
        <v>8399.505000000001</v>
      </c>
      <c r="O655" s="17" t="s">
        <v>27</v>
      </c>
      <c r="P655" s="26">
        <v>7.0000000000000007E-2</v>
      </c>
      <c r="Q655" s="17" t="s">
        <v>25</v>
      </c>
      <c r="R655" s="17" t="s">
        <v>21</v>
      </c>
      <c r="S655" s="49" t="str">
        <f t="shared" si="32"/>
        <v>Eve-North</v>
      </c>
      <c r="T655" s="59" t="str">
        <f>IF(ROUND(sales_data_1[[#This Row],[Profit_Margin]],2)=ROUND((sales_data_1[[#This Row],[Unit_Price]]*(1-sales_data_1[[#This Row],[Discount]]) - sales_data_1[[#This Row],[Unit_Cost]])*sales_data_1[[#This Row],[Quantity_Sold]],2), "PASS", "CHECK")</f>
        <v>PASS</v>
      </c>
    </row>
    <row r="656" spans="1:20" x14ac:dyDescent="0.35">
      <c r="A656" s="7">
        <v>655</v>
      </c>
      <c r="B656" s="9">
        <v>1003</v>
      </c>
      <c r="C656" s="7" t="str">
        <f>IFERROR(_xlfn.TEXTJOIN("-", TRUE, _xlfn.XLOOKUP(K656, product_category_id_lookup!$A$2:$A$5, product_category_id_lookup!$B$2:$B$5), B656), "Unknown Category")</f>
        <v>ctg-1003</v>
      </c>
      <c r="D656" s="8">
        <v>44769</v>
      </c>
      <c r="E656" s="7">
        <f t="shared" si="30"/>
        <v>2022</v>
      </c>
      <c r="F656" s="28" t="str">
        <f t="shared" si="31"/>
        <v>Jul</v>
      </c>
      <c r="G656" s="17" t="s">
        <v>33</v>
      </c>
      <c r="H656" s="17" t="s">
        <v>20</v>
      </c>
      <c r="I656" s="24">
        <v>81953.235000000001</v>
      </c>
      <c r="J656" s="32">
        <v>42</v>
      </c>
      <c r="K656" s="17" t="s">
        <v>26</v>
      </c>
      <c r="L656" s="24">
        <v>991.37</v>
      </c>
      <c r="M656" s="24">
        <v>2601.69</v>
      </c>
      <c r="N656" s="34">
        <f>((sales_data_1[[#This Row],[Unit_Price]]*(1-sales_data_1[[#This Row],[Discount]]))-sales_data_1[[#This Row],[Unit_Cost]])*sales_data_1[[#This Row],[Quantity_Sold]]</f>
        <v>40315.695</v>
      </c>
      <c r="O656" s="17" t="s">
        <v>27</v>
      </c>
      <c r="P656" s="26">
        <v>0.25</v>
      </c>
      <c r="Q656" s="17" t="s">
        <v>18</v>
      </c>
      <c r="R656" s="17" t="s">
        <v>19</v>
      </c>
      <c r="S656" s="49" t="str">
        <f t="shared" si="32"/>
        <v>Alice-West</v>
      </c>
      <c r="T656" s="59" t="str">
        <f>IF(ROUND(sales_data_1[[#This Row],[Profit_Margin]],2)=ROUND((sales_data_1[[#This Row],[Unit_Price]]*(1-sales_data_1[[#This Row],[Discount]]) - sales_data_1[[#This Row],[Unit_Cost]])*sales_data_1[[#This Row],[Quantity_Sold]],2), "PASS", "CHECK")</f>
        <v>PASS</v>
      </c>
    </row>
    <row r="657" spans="1:20" x14ac:dyDescent="0.35">
      <c r="A657" s="7">
        <v>656</v>
      </c>
      <c r="B657" s="9">
        <v>1073</v>
      </c>
      <c r="C657" s="7" t="str">
        <f>IFERROR(_xlfn.TEXTJOIN("-", TRUE, _xlfn.XLOOKUP(K657, product_category_id_lookup!$A$2:$A$5, product_category_id_lookup!$B$2:$B$5), B657), "Unknown Category")</f>
        <v>ctg-1073</v>
      </c>
      <c r="D657" s="8">
        <v>44769</v>
      </c>
      <c r="E657" s="7">
        <f t="shared" si="30"/>
        <v>2022</v>
      </c>
      <c r="F657" s="28" t="str">
        <f t="shared" si="31"/>
        <v>Jul</v>
      </c>
      <c r="G657" s="17" t="s">
        <v>33</v>
      </c>
      <c r="H657" s="17" t="s">
        <v>20</v>
      </c>
      <c r="I657" s="24">
        <v>110430.31999999999</v>
      </c>
      <c r="J657" s="32">
        <v>22</v>
      </c>
      <c r="K657" s="17" t="s">
        <v>26</v>
      </c>
      <c r="L657" s="24">
        <v>2386.0300000000002</v>
      </c>
      <c r="M657" s="24">
        <v>5122</v>
      </c>
      <c r="N657" s="34">
        <f>((sales_data_1[[#This Row],[Unit_Price]]*(1-sales_data_1[[#This Row],[Discount]]))-sales_data_1[[#This Row],[Unit_Cost]])*sales_data_1[[#This Row],[Quantity_Sold]]</f>
        <v>57937.659999999982</v>
      </c>
      <c r="O657" s="17" t="s">
        <v>27</v>
      </c>
      <c r="P657" s="26">
        <v>0.02</v>
      </c>
      <c r="Q657" s="17" t="s">
        <v>18</v>
      </c>
      <c r="R657" s="17" t="s">
        <v>19</v>
      </c>
      <c r="S657" s="49" t="str">
        <f t="shared" si="32"/>
        <v>Alice-West</v>
      </c>
      <c r="T657" s="59" t="str">
        <f>IF(ROUND(sales_data_1[[#This Row],[Profit_Margin]],2)=ROUND((sales_data_1[[#This Row],[Unit_Price]]*(1-sales_data_1[[#This Row],[Discount]]) - sales_data_1[[#This Row],[Unit_Cost]])*sales_data_1[[#This Row],[Quantity_Sold]],2), "PASS", "CHECK")</f>
        <v>PASS</v>
      </c>
    </row>
    <row r="658" spans="1:20" x14ac:dyDescent="0.35">
      <c r="A658" s="7">
        <v>657</v>
      </c>
      <c r="B658" s="9">
        <v>1004</v>
      </c>
      <c r="C658" s="7" t="str">
        <f>IFERROR(_xlfn.TEXTJOIN("-", TRUE, _xlfn.XLOOKUP(K658, product_category_id_lookup!$A$2:$A$5, product_category_id_lookup!$B$2:$B$5), B658), "Unknown Category")</f>
        <v>ctg-1004</v>
      </c>
      <c r="D658" s="8">
        <v>44769</v>
      </c>
      <c r="E658" s="7">
        <f t="shared" si="30"/>
        <v>2022</v>
      </c>
      <c r="F658" s="28" t="str">
        <f t="shared" si="31"/>
        <v>Jul</v>
      </c>
      <c r="G658" s="17" t="s">
        <v>22</v>
      </c>
      <c r="H658" s="17" t="s">
        <v>30</v>
      </c>
      <c r="I658" s="24">
        <v>192524.54520000002</v>
      </c>
      <c r="J658" s="32">
        <v>39</v>
      </c>
      <c r="K658" s="17" t="s">
        <v>26</v>
      </c>
      <c r="L658" s="24">
        <v>470.26</v>
      </c>
      <c r="M658" s="24">
        <v>5365.79</v>
      </c>
      <c r="N658" s="34">
        <f>((sales_data_1[[#This Row],[Unit_Price]]*(1-sales_data_1[[#This Row],[Discount]]))-sales_data_1[[#This Row],[Unit_Cost]])*sales_data_1[[#This Row],[Quantity_Sold]]</f>
        <v>174184.40520000001</v>
      </c>
      <c r="O658" s="17" t="s">
        <v>27</v>
      </c>
      <c r="P658" s="26">
        <v>0.08</v>
      </c>
      <c r="Q658" s="17" t="s">
        <v>25</v>
      </c>
      <c r="R658" s="17" t="s">
        <v>21</v>
      </c>
      <c r="S658" s="49" t="str">
        <f t="shared" si="32"/>
        <v>David-East</v>
      </c>
      <c r="T658" s="59" t="str">
        <f>IF(ROUND(sales_data_1[[#This Row],[Profit_Margin]],2)=ROUND((sales_data_1[[#This Row],[Unit_Price]]*(1-sales_data_1[[#This Row],[Discount]]) - sales_data_1[[#This Row],[Unit_Cost]])*sales_data_1[[#This Row],[Quantity_Sold]],2), "PASS", "CHECK")</f>
        <v>PASS</v>
      </c>
    </row>
    <row r="659" spans="1:20" x14ac:dyDescent="0.35">
      <c r="A659" s="7">
        <v>658</v>
      </c>
      <c r="B659" s="9">
        <v>1043</v>
      </c>
      <c r="C659" s="7" t="str">
        <f>IFERROR(_xlfn.TEXTJOIN("-", TRUE, _xlfn.XLOOKUP(K659, product_category_id_lookup!$A$2:$A$5, product_category_id_lookup!$B$2:$B$5), B659), "Unknown Category")</f>
        <v>etc-1043</v>
      </c>
      <c r="D659" s="8">
        <v>44770</v>
      </c>
      <c r="E659" s="7">
        <f t="shared" si="30"/>
        <v>2022</v>
      </c>
      <c r="F659" s="28" t="str">
        <f t="shared" si="31"/>
        <v>Jul</v>
      </c>
      <c r="G659" s="17" t="s">
        <v>29</v>
      </c>
      <c r="H659" s="17" t="s">
        <v>23</v>
      </c>
      <c r="I659" s="24">
        <v>22681.721824127897</v>
      </c>
      <c r="J659" s="32">
        <v>5</v>
      </c>
      <c r="K659" s="17" t="s">
        <v>31</v>
      </c>
      <c r="L659" s="24">
        <v>4077.69</v>
      </c>
      <c r="M659" s="24">
        <v>4725.09</v>
      </c>
      <c r="N659" s="34">
        <f>((sales_data_1[[#This Row],[Unit_Price]]*(1-sales_data_1[[#This Row],[Discount]]))-sales_data_1[[#This Row],[Unit_Cost]])*sales_data_1[[#This Row],[Quantity_Sold]]</f>
        <v>2291.9820000000004</v>
      </c>
      <c r="O659" s="17" t="s">
        <v>17</v>
      </c>
      <c r="P659" s="26">
        <v>0.04</v>
      </c>
      <c r="Q659" s="17" t="s">
        <v>18</v>
      </c>
      <c r="R659" s="17" t="s">
        <v>21</v>
      </c>
      <c r="S659" s="49" t="str">
        <f t="shared" si="32"/>
        <v>Charlie-South</v>
      </c>
      <c r="T659" s="59" t="str">
        <f>IF(ROUND(sales_data_1[[#This Row],[Profit_Margin]],2)=ROUND((sales_data_1[[#This Row],[Unit_Price]]*(1-sales_data_1[[#This Row],[Discount]]) - sales_data_1[[#This Row],[Unit_Cost]])*sales_data_1[[#This Row],[Quantity_Sold]],2), "PASS", "CHECK")</f>
        <v>PASS</v>
      </c>
    </row>
    <row r="660" spans="1:20" x14ac:dyDescent="0.35">
      <c r="A660" s="7">
        <v>659</v>
      </c>
      <c r="B660" s="9">
        <v>1089</v>
      </c>
      <c r="C660" s="7" t="str">
        <f>IFERROR(_xlfn.TEXTJOIN("-", TRUE, _xlfn.XLOOKUP(K660, product_category_id_lookup!$A$2:$A$5, product_category_id_lookup!$B$2:$B$5), B660), "Unknown Category")</f>
        <v>fnt-1089</v>
      </c>
      <c r="D660" s="8">
        <v>44771</v>
      </c>
      <c r="E660" s="7">
        <f t="shared" si="30"/>
        <v>2022</v>
      </c>
      <c r="F660" s="28" t="str">
        <f t="shared" si="31"/>
        <v>Jul</v>
      </c>
      <c r="G660" s="17" t="s">
        <v>14</v>
      </c>
      <c r="H660" s="17" t="s">
        <v>20</v>
      </c>
      <c r="I660" s="24">
        <v>25703.0982</v>
      </c>
      <c r="J660" s="32">
        <v>6</v>
      </c>
      <c r="K660" s="17" t="s">
        <v>16</v>
      </c>
      <c r="L660" s="24">
        <v>2998.08</v>
      </c>
      <c r="M660" s="24">
        <v>4606.29</v>
      </c>
      <c r="N660" s="34">
        <f>((sales_data_1[[#This Row],[Unit_Price]]*(1-sales_data_1[[#This Row],[Discount]]))-sales_data_1[[#This Row],[Unit_Cost]])*sales_data_1[[#This Row],[Quantity_Sold]]</f>
        <v>7714.618199999999</v>
      </c>
      <c r="O660" s="17" t="s">
        <v>27</v>
      </c>
      <c r="P660" s="26">
        <v>7.0000000000000007E-2</v>
      </c>
      <c r="Q660" s="17" t="s">
        <v>28</v>
      </c>
      <c r="R660" s="17" t="s">
        <v>21</v>
      </c>
      <c r="S660" s="49" t="str">
        <f t="shared" si="32"/>
        <v>Bob-West</v>
      </c>
      <c r="T660" s="59" t="str">
        <f>IF(ROUND(sales_data_1[[#This Row],[Profit_Margin]],2)=ROUND((sales_data_1[[#This Row],[Unit_Price]]*(1-sales_data_1[[#This Row],[Discount]]) - sales_data_1[[#This Row],[Unit_Cost]])*sales_data_1[[#This Row],[Quantity_Sold]],2), "PASS", "CHECK")</f>
        <v>PASS</v>
      </c>
    </row>
    <row r="661" spans="1:20" x14ac:dyDescent="0.35">
      <c r="A661" s="7">
        <v>660</v>
      </c>
      <c r="B661" s="9">
        <v>1001</v>
      </c>
      <c r="C661" s="7" t="str">
        <f>IFERROR(_xlfn.TEXTJOIN("-", TRUE, _xlfn.XLOOKUP(K661, product_category_id_lookup!$A$2:$A$5, product_category_id_lookup!$B$2:$B$5), B661), "Unknown Category")</f>
        <v>fnt-1001</v>
      </c>
      <c r="D661" s="8">
        <v>44772</v>
      </c>
      <c r="E661" s="7">
        <f t="shared" si="30"/>
        <v>2022</v>
      </c>
      <c r="F661" s="28" t="str">
        <f t="shared" si="31"/>
        <v>Jul</v>
      </c>
      <c r="G661" s="17" t="s">
        <v>29</v>
      </c>
      <c r="H661" s="17" t="s">
        <v>15</v>
      </c>
      <c r="I661" s="24">
        <v>12349.215199999999</v>
      </c>
      <c r="J661" s="32">
        <v>4</v>
      </c>
      <c r="K661" s="17" t="s">
        <v>16</v>
      </c>
      <c r="L661" s="24">
        <v>2459.77</v>
      </c>
      <c r="M661" s="24">
        <v>3150.31</v>
      </c>
      <c r="N661" s="34">
        <f>((sales_data_1[[#This Row],[Unit_Price]]*(1-sales_data_1[[#This Row],[Discount]]))-sales_data_1[[#This Row],[Unit_Cost]])*sales_data_1[[#This Row],[Quantity_Sold]]</f>
        <v>2510.1351999999988</v>
      </c>
      <c r="O661" s="17" t="s">
        <v>27</v>
      </c>
      <c r="P661" s="26">
        <v>0.02</v>
      </c>
      <c r="Q661" s="17" t="s">
        <v>28</v>
      </c>
      <c r="R661" s="17" t="s">
        <v>21</v>
      </c>
      <c r="S661" s="49" t="str">
        <f t="shared" si="32"/>
        <v>Charlie-North</v>
      </c>
      <c r="T661" s="59" t="str">
        <f>IF(ROUND(sales_data_1[[#This Row],[Profit_Margin]],2)=ROUND((sales_data_1[[#This Row],[Unit_Price]]*(1-sales_data_1[[#This Row],[Discount]]) - sales_data_1[[#This Row],[Unit_Cost]])*sales_data_1[[#This Row],[Quantity_Sold]],2), "PASS", "CHECK")</f>
        <v>PASS</v>
      </c>
    </row>
    <row r="662" spans="1:20" x14ac:dyDescent="0.35">
      <c r="A662" s="7">
        <v>661</v>
      </c>
      <c r="B662" s="9">
        <v>1070</v>
      </c>
      <c r="C662" s="7" t="str">
        <f>IFERROR(_xlfn.TEXTJOIN("-", TRUE, _xlfn.XLOOKUP(K662, product_category_id_lookup!$A$2:$A$5, product_category_id_lookup!$B$2:$B$5), B662), "Unknown Category")</f>
        <v>ctg-1070</v>
      </c>
      <c r="D662" s="8">
        <v>44772</v>
      </c>
      <c r="E662" s="7">
        <f t="shared" si="30"/>
        <v>2022</v>
      </c>
      <c r="F662" s="28" t="str">
        <f t="shared" si="31"/>
        <v>Jul</v>
      </c>
      <c r="G662" s="17" t="s">
        <v>29</v>
      </c>
      <c r="H662" s="17" t="s">
        <v>15</v>
      </c>
      <c r="I662" s="24">
        <v>33150.3655</v>
      </c>
      <c r="J662" s="32">
        <v>41</v>
      </c>
      <c r="K662" s="17" t="s">
        <v>26</v>
      </c>
      <c r="L662" s="24">
        <v>502.44</v>
      </c>
      <c r="M662" s="24">
        <v>951.23</v>
      </c>
      <c r="N662" s="34">
        <f>((sales_data_1[[#This Row],[Unit_Price]]*(1-sales_data_1[[#This Row],[Discount]]))-sales_data_1[[#This Row],[Unit_Cost]])*sales_data_1[[#This Row],[Quantity_Sold]]</f>
        <v>12550.325499999997</v>
      </c>
      <c r="O662" s="17" t="s">
        <v>27</v>
      </c>
      <c r="P662" s="26">
        <v>0.15</v>
      </c>
      <c r="Q662" s="17" t="s">
        <v>18</v>
      </c>
      <c r="R662" s="17" t="s">
        <v>19</v>
      </c>
      <c r="S662" s="49" t="str">
        <f t="shared" si="32"/>
        <v>Charlie-North</v>
      </c>
      <c r="T662" s="59" t="str">
        <f>IF(ROUND(sales_data_1[[#This Row],[Profit_Margin]],2)=ROUND((sales_data_1[[#This Row],[Unit_Price]]*(1-sales_data_1[[#This Row],[Discount]]) - sales_data_1[[#This Row],[Unit_Cost]])*sales_data_1[[#This Row],[Quantity_Sold]],2), "PASS", "CHECK")</f>
        <v>PASS</v>
      </c>
    </row>
    <row r="663" spans="1:20" x14ac:dyDescent="0.35">
      <c r="A663" s="7">
        <v>662</v>
      </c>
      <c r="B663" s="9">
        <v>1093</v>
      </c>
      <c r="C663" s="7" t="str">
        <f>IFERROR(_xlfn.TEXTJOIN("-", TRUE, _xlfn.XLOOKUP(K663, product_category_id_lookup!$A$2:$A$5, product_category_id_lookup!$B$2:$B$5), B663), "Unknown Category")</f>
        <v>fd-1093</v>
      </c>
      <c r="D663" s="8">
        <v>44772</v>
      </c>
      <c r="E663" s="7">
        <f t="shared" si="30"/>
        <v>2022</v>
      </c>
      <c r="F663" s="28" t="str">
        <f t="shared" si="31"/>
        <v>Jul</v>
      </c>
      <c r="G663" s="17" t="s">
        <v>29</v>
      </c>
      <c r="H663" s="17" t="s">
        <v>15</v>
      </c>
      <c r="I663" s="24">
        <v>56076.6</v>
      </c>
      <c r="J663" s="32">
        <v>15</v>
      </c>
      <c r="K663" s="17" t="s">
        <v>24</v>
      </c>
      <c r="L663" s="24">
        <v>1083.1099999999999</v>
      </c>
      <c r="M663" s="24">
        <v>4919</v>
      </c>
      <c r="N663" s="34">
        <f>((sales_data_1[[#This Row],[Unit_Price]]*(1-sales_data_1[[#This Row],[Discount]]))-sales_data_1[[#This Row],[Unit_Cost]])*sales_data_1[[#This Row],[Quantity_Sold]]</f>
        <v>39829.949999999997</v>
      </c>
      <c r="O663" s="17" t="s">
        <v>27</v>
      </c>
      <c r="P663" s="26">
        <v>0.24</v>
      </c>
      <c r="Q663" s="17" t="s">
        <v>28</v>
      </c>
      <c r="R663" s="17" t="s">
        <v>21</v>
      </c>
      <c r="S663" s="49" t="str">
        <f t="shared" si="32"/>
        <v>Charlie-North</v>
      </c>
      <c r="T663" s="59" t="str">
        <f>IF(ROUND(sales_data_1[[#This Row],[Profit_Margin]],2)=ROUND((sales_data_1[[#This Row],[Unit_Price]]*(1-sales_data_1[[#This Row],[Discount]]) - sales_data_1[[#This Row],[Unit_Cost]])*sales_data_1[[#This Row],[Quantity_Sold]],2), "PASS", "CHECK")</f>
        <v>PASS</v>
      </c>
    </row>
    <row r="664" spans="1:20" x14ac:dyDescent="0.35">
      <c r="A664" s="7">
        <v>663</v>
      </c>
      <c r="B664" s="9">
        <v>1018</v>
      </c>
      <c r="C664" s="7" t="str">
        <f>IFERROR(_xlfn.TEXTJOIN("-", TRUE, _xlfn.XLOOKUP(K664, product_category_id_lookup!$A$2:$A$5, product_category_id_lookup!$B$2:$B$5), B664), "Unknown Category")</f>
        <v>fnt-1018</v>
      </c>
      <c r="D664" s="8">
        <v>44773</v>
      </c>
      <c r="E664" s="7">
        <f t="shared" si="30"/>
        <v>2022</v>
      </c>
      <c r="F664" s="28" t="str">
        <f t="shared" si="31"/>
        <v>Jul</v>
      </c>
      <c r="G664" s="17" t="s">
        <v>29</v>
      </c>
      <c r="H664" s="17" t="s">
        <v>23</v>
      </c>
      <c r="I664" s="24">
        <v>121089.20850000001</v>
      </c>
      <c r="J664" s="32">
        <v>39</v>
      </c>
      <c r="K664" s="17" t="s">
        <v>16</v>
      </c>
      <c r="L664" s="24">
        <v>613.29</v>
      </c>
      <c r="M664" s="24">
        <v>3833.15</v>
      </c>
      <c r="N664" s="34">
        <f>((sales_data_1[[#This Row],[Unit_Price]]*(1-sales_data_1[[#This Row],[Discount]]))-sales_data_1[[#This Row],[Unit_Cost]])*sales_data_1[[#This Row],[Quantity_Sold]]</f>
        <v>97170.89850000001</v>
      </c>
      <c r="O664" s="17" t="s">
        <v>27</v>
      </c>
      <c r="P664" s="26">
        <v>0.19</v>
      </c>
      <c r="Q664" s="17" t="s">
        <v>18</v>
      </c>
      <c r="R664" s="17" t="s">
        <v>21</v>
      </c>
      <c r="S664" s="49" t="str">
        <f t="shared" si="32"/>
        <v>Charlie-South</v>
      </c>
      <c r="T664" s="59" t="str">
        <f>IF(ROUND(sales_data_1[[#This Row],[Profit_Margin]],2)=ROUND((sales_data_1[[#This Row],[Unit_Price]]*(1-sales_data_1[[#This Row],[Discount]]) - sales_data_1[[#This Row],[Unit_Cost]])*sales_data_1[[#This Row],[Quantity_Sold]],2), "PASS", "CHECK")</f>
        <v>PASS</v>
      </c>
    </row>
    <row r="665" spans="1:20" x14ac:dyDescent="0.35">
      <c r="A665" s="7">
        <v>664</v>
      </c>
      <c r="B665" s="9">
        <v>1005</v>
      </c>
      <c r="C665" s="7" t="str">
        <f>IFERROR(_xlfn.TEXTJOIN("-", TRUE, _xlfn.XLOOKUP(K665, product_category_id_lookup!$A$2:$A$5, product_category_id_lookup!$B$2:$B$5), B665), "Unknown Category")</f>
        <v>fd-1005</v>
      </c>
      <c r="D665" s="8">
        <v>44774</v>
      </c>
      <c r="E665" s="7">
        <f t="shared" si="30"/>
        <v>2022</v>
      </c>
      <c r="F665" s="28" t="str">
        <f t="shared" si="31"/>
        <v>Aug</v>
      </c>
      <c r="G665" s="17" t="s">
        <v>32</v>
      </c>
      <c r="H665" s="17" t="s">
        <v>30</v>
      </c>
      <c r="I665" s="24">
        <v>95168.908800000005</v>
      </c>
      <c r="J665" s="32">
        <v>48</v>
      </c>
      <c r="K665" s="17" t="s">
        <v>24</v>
      </c>
      <c r="L665" s="24">
        <v>701.45</v>
      </c>
      <c r="M665" s="24">
        <v>2753.73</v>
      </c>
      <c r="N665" s="34">
        <f>((sales_data_1[[#This Row],[Unit_Price]]*(1-sales_data_1[[#This Row],[Discount]]))-sales_data_1[[#This Row],[Unit_Cost]])*sales_data_1[[#This Row],[Quantity_Sold]]</f>
        <v>61499.308799999999</v>
      </c>
      <c r="O665" s="17" t="s">
        <v>17</v>
      </c>
      <c r="P665" s="26">
        <v>0.28000000000000003</v>
      </c>
      <c r="Q665" s="17" t="s">
        <v>25</v>
      </c>
      <c r="R665" s="17" t="s">
        <v>19</v>
      </c>
      <c r="S665" s="49" t="str">
        <f t="shared" si="32"/>
        <v>Eve-East</v>
      </c>
      <c r="T665" s="59" t="str">
        <f>IF(ROUND(sales_data_1[[#This Row],[Profit_Margin]],2)=ROUND((sales_data_1[[#This Row],[Unit_Price]]*(1-sales_data_1[[#This Row],[Discount]]) - sales_data_1[[#This Row],[Unit_Cost]])*sales_data_1[[#This Row],[Quantity_Sold]],2), "PASS", "CHECK")</f>
        <v>PASS</v>
      </c>
    </row>
    <row r="666" spans="1:20" x14ac:dyDescent="0.35">
      <c r="A666" s="7">
        <v>665</v>
      </c>
      <c r="B666" s="9">
        <v>1005</v>
      </c>
      <c r="C666" s="7" t="str">
        <f>IFERROR(_xlfn.TEXTJOIN("-", TRUE, _xlfn.XLOOKUP(K666, product_category_id_lookup!$A$2:$A$5, product_category_id_lookup!$B$2:$B$5), B666), "Unknown Category")</f>
        <v>etc-1005</v>
      </c>
      <c r="D666" s="8">
        <v>44774</v>
      </c>
      <c r="E666" s="7">
        <f t="shared" si="30"/>
        <v>2022</v>
      </c>
      <c r="F666" s="28" t="str">
        <f t="shared" si="31"/>
        <v>Aug</v>
      </c>
      <c r="G666" s="17" t="s">
        <v>29</v>
      </c>
      <c r="H666" s="17" t="s">
        <v>30</v>
      </c>
      <c r="I666" s="24">
        <v>123085.3728</v>
      </c>
      <c r="J666" s="32">
        <v>29</v>
      </c>
      <c r="K666" s="17" t="s">
        <v>31</v>
      </c>
      <c r="L666" s="24">
        <v>407.89</v>
      </c>
      <c r="M666" s="24">
        <v>4421.17</v>
      </c>
      <c r="N666" s="34">
        <f>((sales_data_1[[#This Row],[Unit_Price]]*(1-sales_data_1[[#This Row],[Discount]]))-sales_data_1[[#This Row],[Unit_Cost]])*sales_data_1[[#This Row],[Quantity_Sold]]</f>
        <v>111256.5628</v>
      </c>
      <c r="O666" s="17" t="s">
        <v>27</v>
      </c>
      <c r="P666" s="26">
        <v>0.04</v>
      </c>
      <c r="Q666" s="17" t="s">
        <v>25</v>
      </c>
      <c r="R666" s="17" t="s">
        <v>21</v>
      </c>
      <c r="S666" s="49" t="str">
        <f t="shared" si="32"/>
        <v>Charlie-East</v>
      </c>
      <c r="T666" s="59" t="str">
        <f>IF(ROUND(sales_data_1[[#This Row],[Profit_Margin]],2)=ROUND((sales_data_1[[#This Row],[Unit_Price]]*(1-sales_data_1[[#This Row],[Discount]]) - sales_data_1[[#This Row],[Unit_Cost]])*sales_data_1[[#This Row],[Quantity_Sold]],2), "PASS", "CHECK")</f>
        <v>PASS</v>
      </c>
    </row>
    <row r="667" spans="1:20" x14ac:dyDescent="0.35">
      <c r="A667" s="7">
        <v>666</v>
      </c>
      <c r="B667" s="9">
        <v>1038</v>
      </c>
      <c r="C667" s="7" t="str">
        <f>IFERROR(_xlfn.TEXTJOIN("-", TRUE, _xlfn.XLOOKUP(K667, product_category_id_lookup!$A$2:$A$5, product_category_id_lookup!$B$2:$B$5), B667), "Unknown Category")</f>
        <v>fd-1038</v>
      </c>
      <c r="D667" s="8">
        <v>44775</v>
      </c>
      <c r="E667" s="7">
        <f t="shared" si="30"/>
        <v>2022</v>
      </c>
      <c r="F667" s="28" t="str">
        <f t="shared" si="31"/>
        <v>Aug</v>
      </c>
      <c r="G667" s="17" t="s">
        <v>22</v>
      </c>
      <c r="H667" s="17" t="s">
        <v>30</v>
      </c>
      <c r="I667" s="24">
        <v>17724.64</v>
      </c>
      <c r="J667" s="32">
        <v>16</v>
      </c>
      <c r="K667" s="17" t="s">
        <v>24</v>
      </c>
      <c r="L667" s="24">
        <v>484.68</v>
      </c>
      <c r="M667" s="24">
        <v>1178.5</v>
      </c>
      <c r="N667" s="34">
        <f>((sales_data_1[[#This Row],[Unit_Price]]*(1-sales_data_1[[#This Row],[Discount]]))-sales_data_1[[#This Row],[Unit_Cost]])*sales_data_1[[#This Row],[Quantity_Sold]]</f>
        <v>9969.7599999999984</v>
      </c>
      <c r="O667" s="17" t="s">
        <v>17</v>
      </c>
      <c r="P667" s="26">
        <v>0.06</v>
      </c>
      <c r="Q667" s="17" t="s">
        <v>28</v>
      </c>
      <c r="R667" s="17" t="s">
        <v>21</v>
      </c>
      <c r="S667" s="49" t="str">
        <f t="shared" si="32"/>
        <v>David-East</v>
      </c>
      <c r="T667" s="59" t="str">
        <f>IF(ROUND(sales_data_1[[#This Row],[Profit_Margin]],2)=ROUND((sales_data_1[[#This Row],[Unit_Price]]*(1-sales_data_1[[#This Row],[Discount]]) - sales_data_1[[#This Row],[Unit_Cost]])*sales_data_1[[#This Row],[Quantity_Sold]],2), "PASS", "CHECK")</f>
        <v>PASS</v>
      </c>
    </row>
    <row r="668" spans="1:20" x14ac:dyDescent="0.35">
      <c r="A668" s="7">
        <v>667</v>
      </c>
      <c r="B668" s="9">
        <v>1026</v>
      </c>
      <c r="C668" s="7" t="str">
        <f>IFERROR(_xlfn.TEXTJOIN("-", TRUE, _xlfn.XLOOKUP(K668, product_category_id_lookup!$A$2:$A$5, product_category_id_lookup!$B$2:$B$5), B668), "Unknown Category")</f>
        <v>fd-1026</v>
      </c>
      <c r="D668" s="8">
        <v>44775</v>
      </c>
      <c r="E668" s="7">
        <f t="shared" si="30"/>
        <v>2022</v>
      </c>
      <c r="F668" s="28" t="str">
        <f t="shared" si="31"/>
        <v>Aug</v>
      </c>
      <c r="G668" s="17" t="s">
        <v>33</v>
      </c>
      <c r="H668" s="17" t="s">
        <v>15</v>
      </c>
      <c r="I668" s="24">
        <v>16861.25</v>
      </c>
      <c r="J668" s="32">
        <v>14</v>
      </c>
      <c r="K668" s="17" t="s">
        <v>24</v>
      </c>
      <c r="L668" s="24">
        <v>163.22999999999999</v>
      </c>
      <c r="M668" s="24">
        <v>1468.75</v>
      </c>
      <c r="N668" s="34">
        <f>((sales_data_1[[#This Row],[Unit_Price]]*(1-sales_data_1[[#This Row],[Discount]]))-sales_data_1[[#This Row],[Unit_Cost]])*sales_data_1[[#This Row],[Quantity_Sold]]</f>
        <v>14576.029999999999</v>
      </c>
      <c r="O668" s="17" t="s">
        <v>17</v>
      </c>
      <c r="P668" s="26">
        <v>0.18</v>
      </c>
      <c r="Q668" s="17" t="s">
        <v>18</v>
      </c>
      <c r="R668" s="17" t="s">
        <v>21</v>
      </c>
      <c r="S668" s="49" t="str">
        <f t="shared" si="32"/>
        <v>Alice-North</v>
      </c>
      <c r="T668" s="59" t="str">
        <f>IF(ROUND(sales_data_1[[#This Row],[Profit_Margin]],2)=ROUND((sales_data_1[[#This Row],[Unit_Price]]*(1-sales_data_1[[#This Row],[Discount]]) - sales_data_1[[#This Row],[Unit_Cost]])*sales_data_1[[#This Row],[Quantity_Sold]],2), "PASS", "CHECK")</f>
        <v>PASS</v>
      </c>
    </row>
    <row r="669" spans="1:20" x14ac:dyDescent="0.35">
      <c r="A669" s="7">
        <v>668</v>
      </c>
      <c r="B669" s="9">
        <v>1026</v>
      </c>
      <c r="C669" s="7" t="str">
        <f>IFERROR(_xlfn.TEXTJOIN("-", TRUE, _xlfn.XLOOKUP(K669, product_category_id_lookup!$A$2:$A$5, product_category_id_lookup!$B$2:$B$5), B669), "Unknown Category")</f>
        <v>fnt-1026</v>
      </c>
      <c r="D669" s="8">
        <v>44775</v>
      </c>
      <c r="E669" s="7">
        <f t="shared" si="30"/>
        <v>2022</v>
      </c>
      <c r="F669" s="28" t="str">
        <f t="shared" si="31"/>
        <v>Aug</v>
      </c>
      <c r="G669" s="17" t="s">
        <v>32</v>
      </c>
      <c r="H669" s="17" t="s">
        <v>15</v>
      </c>
      <c r="I669" s="24">
        <v>208591.07999999996</v>
      </c>
      <c r="J669" s="32">
        <v>50</v>
      </c>
      <c r="K669" s="17" t="s">
        <v>16</v>
      </c>
      <c r="L669" s="24">
        <v>3775.69</v>
      </c>
      <c r="M669" s="24">
        <v>4687.4399999999996</v>
      </c>
      <c r="N669" s="34">
        <f>((sales_data_1[[#This Row],[Unit_Price]]*(1-sales_data_1[[#This Row],[Discount]]))-sales_data_1[[#This Row],[Unit_Cost]])*sales_data_1[[#This Row],[Quantity_Sold]]</f>
        <v>19806.579999999962</v>
      </c>
      <c r="O669" s="17" t="s">
        <v>27</v>
      </c>
      <c r="P669" s="26">
        <v>0.11</v>
      </c>
      <c r="Q669" s="17" t="s">
        <v>25</v>
      </c>
      <c r="R669" s="17" t="s">
        <v>21</v>
      </c>
      <c r="S669" s="49" t="str">
        <f t="shared" si="32"/>
        <v>Eve-North</v>
      </c>
      <c r="T669" s="59" t="str">
        <f>IF(ROUND(sales_data_1[[#This Row],[Profit_Margin]],2)=ROUND((sales_data_1[[#This Row],[Unit_Price]]*(1-sales_data_1[[#This Row],[Discount]]) - sales_data_1[[#This Row],[Unit_Cost]])*sales_data_1[[#This Row],[Quantity_Sold]],2), "PASS", "CHECK")</f>
        <v>PASS</v>
      </c>
    </row>
    <row r="670" spans="1:20" x14ac:dyDescent="0.35">
      <c r="A670" s="7">
        <v>669</v>
      </c>
      <c r="B670" s="9">
        <v>1050</v>
      </c>
      <c r="C670" s="7" t="str">
        <f>IFERROR(_xlfn.TEXTJOIN("-", TRUE, _xlfn.XLOOKUP(K670, product_category_id_lookup!$A$2:$A$5, product_category_id_lookup!$B$2:$B$5), B670), "Unknown Category")</f>
        <v>fd-1050</v>
      </c>
      <c r="D670" s="8">
        <v>44775</v>
      </c>
      <c r="E670" s="7">
        <f t="shared" si="30"/>
        <v>2022</v>
      </c>
      <c r="F670" s="28" t="str">
        <f t="shared" si="31"/>
        <v>Aug</v>
      </c>
      <c r="G670" s="17" t="s">
        <v>33</v>
      </c>
      <c r="H670" s="17" t="s">
        <v>23</v>
      </c>
      <c r="I670" s="24">
        <v>51395.797199999994</v>
      </c>
      <c r="J670" s="32">
        <v>37</v>
      </c>
      <c r="K670" s="17" t="s">
        <v>24</v>
      </c>
      <c r="L670" s="24">
        <v>626.04</v>
      </c>
      <c r="M670" s="24">
        <v>1477.74</v>
      </c>
      <c r="N670" s="34">
        <f>((sales_data_1[[#This Row],[Unit_Price]]*(1-sales_data_1[[#This Row],[Discount]]))-sales_data_1[[#This Row],[Unit_Cost]])*sales_data_1[[#This Row],[Quantity_Sold]]</f>
        <v>28232.317199999998</v>
      </c>
      <c r="O670" s="17" t="s">
        <v>17</v>
      </c>
      <c r="P670" s="26">
        <v>0.06</v>
      </c>
      <c r="Q670" s="17" t="s">
        <v>18</v>
      </c>
      <c r="R670" s="17" t="s">
        <v>21</v>
      </c>
      <c r="S670" s="49" t="str">
        <f t="shared" si="32"/>
        <v>Alice-South</v>
      </c>
      <c r="T670" s="59" t="str">
        <f>IF(ROUND(sales_data_1[[#This Row],[Profit_Margin]],2)=ROUND((sales_data_1[[#This Row],[Unit_Price]]*(1-sales_data_1[[#This Row],[Discount]]) - sales_data_1[[#This Row],[Unit_Cost]])*sales_data_1[[#This Row],[Quantity_Sold]],2), "PASS", "CHECK")</f>
        <v>PASS</v>
      </c>
    </row>
    <row r="671" spans="1:20" x14ac:dyDescent="0.35">
      <c r="A671" s="7">
        <v>670</v>
      </c>
      <c r="B671" s="9">
        <v>1038</v>
      </c>
      <c r="C671" s="7" t="str">
        <f>IFERROR(_xlfn.TEXTJOIN("-", TRUE, _xlfn.XLOOKUP(K671, product_category_id_lookup!$A$2:$A$5, product_category_id_lookup!$B$2:$B$5), B671), "Unknown Category")</f>
        <v>etc-1038</v>
      </c>
      <c r="D671" s="8">
        <v>44775</v>
      </c>
      <c r="E671" s="7">
        <f t="shared" si="30"/>
        <v>2022</v>
      </c>
      <c r="F671" s="28" t="str">
        <f t="shared" si="31"/>
        <v>Aug</v>
      </c>
      <c r="G671" s="17" t="s">
        <v>32</v>
      </c>
      <c r="H671" s="17" t="s">
        <v>20</v>
      </c>
      <c r="I671" s="24">
        <v>69071.656500000012</v>
      </c>
      <c r="J671" s="32">
        <v>23</v>
      </c>
      <c r="K671" s="17" t="s">
        <v>31</v>
      </c>
      <c r="L671" s="24">
        <v>518.16999999999996</v>
      </c>
      <c r="M671" s="24">
        <v>3900.15</v>
      </c>
      <c r="N671" s="34">
        <f>((sales_data_1[[#This Row],[Unit_Price]]*(1-sales_data_1[[#This Row],[Discount]]))-sales_data_1[[#This Row],[Unit_Cost]])*sales_data_1[[#This Row],[Quantity_Sold]]</f>
        <v>57153.746500000008</v>
      </c>
      <c r="O671" s="17" t="s">
        <v>27</v>
      </c>
      <c r="P671" s="26">
        <v>0.23</v>
      </c>
      <c r="Q671" s="17" t="s">
        <v>28</v>
      </c>
      <c r="R671" s="17" t="s">
        <v>21</v>
      </c>
      <c r="S671" s="49" t="str">
        <f t="shared" si="32"/>
        <v>Eve-West</v>
      </c>
      <c r="T671" s="59" t="str">
        <f>IF(ROUND(sales_data_1[[#This Row],[Profit_Margin]],2)=ROUND((sales_data_1[[#This Row],[Unit_Price]]*(1-sales_data_1[[#This Row],[Discount]]) - sales_data_1[[#This Row],[Unit_Cost]])*sales_data_1[[#This Row],[Quantity_Sold]],2), "PASS", "CHECK")</f>
        <v>PASS</v>
      </c>
    </row>
    <row r="672" spans="1:20" x14ac:dyDescent="0.35">
      <c r="A672" s="7">
        <v>671</v>
      </c>
      <c r="B672" s="9">
        <v>1076</v>
      </c>
      <c r="C672" s="7" t="str">
        <f>IFERROR(_xlfn.TEXTJOIN("-", TRUE, _xlfn.XLOOKUP(K672, product_category_id_lookup!$A$2:$A$5, product_category_id_lookup!$B$2:$B$5), B672), "Unknown Category")</f>
        <v>fnt-1076</v>
      </c>
      <c r="D672" s="8">
        <v>44775</v>
      </c>
      <c r="E672" s="7">
        <f t="shared" si="30"/>
        <v>2022</v>
      </c>
      <c r="F672" s="28" t="str">
        <f t="shared" si="31"/>
        <v>Aug</v>
      </c>
      <c r="G672" s="17" t="s">
        <v>29</v>
      </c>
      <c r="H672" s="17" t="s">
        <v>15</v>
      </c>
      <c r="I672" s="24">
        <v>212082.04799999995</v>
      </c>
      <c r="J672" s="32">
        <v>47</v>
      </c>
      <c r="K672" s="17" t="s">
        <v>16</v>
      </c>
      <c r="L672" s="24">
        <v>3028.96</v>
      </c>
      <c r="M672" s="24">
        <v>4700.3999999999996</v>
      </c>
      <c r="N672" s="34">
        <f>((sales_data_1[[#This Row],[Unit_Price]]*(1-sales_data_1[[#This Row],[Discount]]))-sales_data_1[[#This Row],[Unit_Cost]])*sales_data_1[[#This Row],[Quantity_Sold]]</f>
        <v>69720.927999999956</v>
      </c>
      <c r="O672" s="17" t="s">
        <v>27</v>
      </c>
      <c r="P672" s="26">
        <v>0.04</v>
      </c>
      <c r="Q672" s="17" t="s">
        <v>25</v>
      </c>
      <c r="R672" s="17" t="s">
        <v>21</v>
      </c>
      <c r="S672" s="49" t="str">
        <f t="shared" si="32"/>
        <v>Charlie-North</v>
      </c>
      <c r="T672" s="59" t="str">
        <f>IF(ROUND(sales_data_1[[#This Row],[Profit_Margin]],2)=ROUND((sales_data_1[[#This Row],[Unit_Price]]*(1-sales_data_1[[#This Row],[Discount]]) - sales_data_1[[#This Row],[Unit_Cost]])*sales_data_1[[#This Row],[Quantity_Sold]],2), "PASS", "CHECK")</f>
        <v>PASS</v>
      </c>
    </row>
    <row r="673" spans="1:20" x14ac:dyDescent="0.35">
      <c r="A673" s="7">
        <v>672</v>
      </c>
      <c r="B673" s="9">
        <v>1016</v>
      </c>
      <c r="C673" s="7" t="str">
        <f>IFERROR(_xlfn.TEXTJOIN("-", TRUE, _xlfn.XLOOKUP(K673, product_category_id_lookup!$A$2:$A$5, product_category_id_lookup!$B$2:$B$5), B673), "Unknown Category")</f>
        <v>fd-1016</v>
      </c>
      <c r="D673" s="8">
        <v>44776</v>
      </c>
      <c r="E673" s="7">
        <f t="shared" si="30"/>
        <v>2022</v>
      </c>
      <c r="F673" s="28" t="str">
        <f t="shared" si="31"/>
        <v>Aug</v>
      </c>
      <c r="G673" s="17" t="s">
        <v>33</v>
      </c>
      <c r="H673" s="17" t="s">
        <v>15</v>
      </c>
      <c r="I673" s="24">
        <v>74454.504799999995</v>
      </c>
      <c r="J673" s="32">
        <v>26</v>
      </c>
      <c r="K673" s="17" t="s">
        <v>24</v>
      </c>
      <c r="L673" s="24">
        <v>1352.67</v>
      </c>
      <c r="M673" s="24">
        <v>3046.42</v>
      </c>
      <c r="N673" s="34">
        <f>((sales_data_1[[#This Row],[Unit_Price]]*(1-sales_data_1[[#This Row],[Discount]]))-sales_data_1[[#This Row],[Unit_Cost]])*sales_data_1[[#This Row],[Quantity_Sold]]</f>
        <v>39285.084799999997</v>
      </c>
      <c r="O673" s="17" t="s">
        <v>17</v>
      </c>
      <c r="P673" s="26">
        <v>0.06</v>
      </c>
      <c r="Q673" s="17" t="s">
        <v>28</v>
      </c>
      <c r="R673" s="17" t="s">
        <v>21</v>
      </c>
      <c r="S673" s="49" t="str">
        <f t="shared" si="32"/>
        <v>Alice-North</v>
      </c>
      <c r="T673" s="59" t="str">
        <f>IF(ROUND(sales_data_1[[#This Row],[Profit_Margin]],2)=ROUND((sales_data_1[[#This Row],[Unit_Price]]*(1-sales_data_1[[#This Row],[Discount]]) - sales_data_1[[#This Row],[Unit_Cost]])*sales_data_1[[#This Row],[Quantity_Sold]],2), "PASS", "CHECK")</f>
        <v>PASS</v>
      </c>
    </row>
    <row r="674" spans="1:20" x14ac:dyDescent="0.35">
      <c r="A674" s="7">
        <v>673</v>
      </c>
      <c r="B674" s="9">
        <v>1068</v>
      </c>
      <c r="C674" s="7" t="str">
        <f>IFERROR(_xlfn.TEXTJOIN("-", TRUE, _xlfn.XLOOKUP(K674, product_category_id_lookup!$A$2:$A$5, product_category_id_lookup!$B$2:$B$5), B674), "Unknown Category")</f>
        <v>ctg-1068</v>
      </c>
      <c r="D674" s="8">
        <v>44776</v>
      </c>
      <c r="E674" s="7">
        <f t="shared" si="30"/>
        <v>2022</v>
      </c>
      <c r="F674" s="28" t="str">
        <f t="shared" si="31"/>
        <v>Aug</v>
      </c>
      <c r="G674" s="17" t="s">
        <v>32</v>
      </c>
      <c r="H674" s="17" t="s">
        <v>15</v>
      </c>
      <c r="I674" s="24">
        <v>170606.29949999999</v>
      </c>
      <c r="J674" s="32">
        <v>45</v>
      </c>
      <c r="K674" s="17" t="s">
        <v>26</v>
      </c>
      <c r="L674" s="24">
        <v>2907.27</v>
      </c>
      <c r="M674" s="24">
        <v>4166.21</v>
      </c>
      <c r="N674" s="34">
        <f>((sales_data_1[[#This Row],[Unit_Price]]*(1-sales_data_1[[#This Row],[Discount]]))-sales_data_1[[#This Row],[Unit_Cost]])*sales_data_1[[#This Row],[Quantity_Sold]]</f>
        <v>39779.1495</v>
      </c>
      <c r="O674" s="17" t="s">
        <v>27</v>
      </c>
      <c r="P674" s="26">
        <v>0.09</v>
      </c>
      <c r="Q674" s="17" t="s">
        <v>18</v>
      </c>
      <c r="R674" s="17" t="s">
        <v>19</v>
      </c>
      <c r="S674" s="49" t="str">
        <f t="shared" si="32"/>
        <v>Eve-North</v>
      </c>
      <c r="T674" s="59" t="str">
        <f>IF(ROUND(sales_data_1[[#This Row],[Profit_Margin]],2)=ROUND((sales_data_1[[#This Row],[Unit_Price]]*(1-sales_data_1[[#This Row],[Discount]]) - sales_data_1[[#This Row],[Unit_Cost]])*sales_data_1[[#This Row],[Quantity_Sold]],2), "PASS", "CHECK")</f>
        <v>PASS</v>
      </c>
    </row>
    <row r="675" spans="1:20" x14ac:dyDescent="0.35">
      <c r="A675" s="7">
        <v>674</v>
      </c>
      <c r="B675" s="9">
        <v>1073</v>
      </c>
      <c r="C675" s="7" t="str">
        <f>IFERROR(_xlfn.TEXTJOIN("-", TRUE, _xlfn.XLOOKUP(K675, product_category_id_lookup!$A$2:$A$5, product_category_id_lookup!$B$2:$B$5), B675), "Unknown Category")</f>
        <v>etc-1073</v>
      </c>
      <c r="D675" s="8">
        <v>44776</v>
      </c>
      <c r="E675" s="7">
        <f t="shared" si="30"/>
        <v>2022</v>
      </c>
      <c r="F675" s="28" t="str">
        <f t="shared" si="31"/>
        <v>Aug</v>
      </c>
      <c r="G675" s="17" t="s">
        <v>22</v>
      </c>
      <c r="H675" s="17" t="s">
        <v>15</v>
      </c>
      <c r="I675" s="24">
        <v>75485.049599999998</v>
      </c>
      <c r="J675" s="32">
        <v>32</v>
      </c>
      <c r="K675" s="17" t="s">
        <v>31</v>
      </c>
      <c r="L675" s="24">
        <v>1028.56</v>
      </c>
      <c r="M675" s="24">
        <v>2536.46</v>
      </c>
      <c r="N675" s="34">
        <f>((sales_data_1[[#This Row],[Unit_Price]]*(1-sales_data_1[[#This Row],[Discount]]))-sales_data_1[[#This Row],[Unit_Cost]])*sales_data_1[[#This Row],[Quantity_Sold]]</f>
        <v>42571.1296</v>
      </c>
      <c r="O675" s="17" t="s">
        <v>27</v>
      </c>
      <c r="P675" s="26">
        <v>7.0000000000000007E-2</v>
      </c>
      <c r="Q675" s="17" t="s">
        <v>28</v>
      </c>
      <c r="R675" s="17" t="s">
        <v>21</v>
      </c>
      <c r="S675" s="49" t="str">
        <f t="shared" si="32"/>
        <v>David-North</v>
      </c>
      <c r="T675" s="59" t="str">
        <f>IF(ROUND(sales_data_1[[#This Row],[Profit_Margin]],2)=ROUND((sales_data_1[[#This Row],[Unit_Price]]*(1-sales_data_1[[#This Row],[Discount]]) - sales_data_1[[#This Row],[Unit_Cost]])*sales_data_1[[#This Row],[Quantity_Sold]],2), "PASS", "CHECK")</f>
        <v>PASS</v>
      </c>
    </row>
    <row r="676" spans="1:20" x14ac:dyDescent="0.35">
      <c r="A676" s="7">
        <v>675</v>
      </c>
      <c r="B676" s="9">
        <v>1080</v>
      </c>
      <c r="C676" s="7" t="str">
        <f>IFERROR(_xlfn.TEXTJOIN("-", TRUE, _xlfn.XLOOKUP(K676, product_category_id_lookup!$A$2:$A$5, product_category_id_lookup!$B$2:$B$5), B676), "Unknown Category")</f>
        <v>ctg-1080</v>
      </c>
      <c r="D676" s="8">
        <v>44777</v>
      </c>
      <c r="E676" s="7">
        <f t="shared" si="30"/>
        <v>2022</v>
      </c>
      <c r="F676" s="28" t="str">
        <f t="shared" si="31"/>
        <v>Aug</v>
      </c>
      <c r="G676" s="17" t="s">
        <v>33</v>
      </c>
      <c r="H676" s="17" t="s">
        <v>15</v>
      </c>
      <c r="I676" s="24">
        <v>147772.60439456379</v>
      </c>
      <c r="J676" s="32">
        <v>30</v>
      </c>
      <c r="K676" s="17" t="s">
        <v>26</v>
      </c>
      <c r="L676" s="24">
        <v>4906.7299999999996</v>
      </c>
      <c r="M676" s="24">
        <v>4980.2</v>
      </c>
      <c r="N676" s="34">
        <f>((sales_data_1[[#This Row],[Unit_Price]]*(1-sales_data_1[[#This Row],[Discount]]))-sales_data_1[[#This Row],[Unit_Cost]])*sales_data_1[[#This Row],[Quantity_Sold]]</f>
        <v>710.04000000001724</v>
      </c>
      <c r="O676" s="17" t="s">
        <v>27</v>
      </c>
      <c r="P676" s="26">
        <v>0.01</v>
      </c>
      <c r="Q676" s="17" t="s">
        <v>25</v>
      </c>
      <c r="R676" s="17" t="s">
        <v>21</v>
      </c>
      <c r="S676" s="49" t="str">
        <f t="shared" si="32"/>
        <v>Alice-North</v>
      </c>
      <c r="T676" s="59" t="str">
        <f>IF(ROUND(sales_data_1[[#This Row],[Profit_Margin]],2)=ROUND((sales_data_1[[#This Row],[Unit_Price]]*(1-sales_data_1[[#This Row],[Discount]]) - sales_data_1[[#This Row],[Unit_Cost]])*sales_data_1[[#This Row],[Quantity_Sold]],2), "PASS", "CHECK")</f>
        <v>PASS</v>
      </c>
    </row>
    <row r="677" spans="1:20" x14ac:dyDescent="0.35">
      <c r="A677" s="7">
        <v>676</v>
      </c>
      <c r="B677" s="9">
        <v>1051</v>
      </c>
      <c r="C677" s="7" t="str">
        <f>IFERROR(_xlfn.TEXTJOIN("-", TRUE, _xlfn.XLOOKUP(K677, product_category_id_lookup!$A$2:$A$5, product_category_id_lookup!$B$2:$B$5), B677), "Unknown Category")</f>
        <v>etc-1051</v>
      </c>
      <c r="D677" s="8">
        <v>44777</v>
      </c>
      <c r="E677" s="7">
        <f t="shared" si="30"/>
        <v>2022</v>
      </c>
      <c r="F677" s="28" t="str">
        <f t="shared" si="31"/>
        <v>Aug</v>
      </c>
      <c r="G677" s="17" t="s">
        <v>33</v>
      </c>
      <c r="H677" s="17" t="s">
        <v>20</v>
      </c>
      <c r="I677" s="24">
        <v>119085.795</v>
      </c>
      <c r="J677" s="32">
        <v>27</v>
      </c>
      <c r="K677" s="17" t="s">
        <v>31</v>
      </c>
      <c r="L677" s="24">
        <v>2567.17</v>
      </c>
      <c r="M677" s="24">
        <v>4900.6499999999996</v>
      </c>
      <c r="N677" s="34">
        <f>((sales_data_1[[#This Row],[Unit_Price]]*(1-sales_data_1[[#This Row],[Discount]]))-sales_data_1[[#This Row],[Unit_Cost]])*sales_data_1[[#This Row],[Quantity_Sold]]</f>
        <v>49772.205000000002</v>
      </c>
      <c r="O677" s="17" t="s">
        <v>27</v>
      </c>
      <c r="P677" s="26">
        <v>0.1</v>
      </c>
      <c r="Q677" s="17" t="s">
        <v>28</v>
      </c>
      <c r="R677" s="17" t="s">
        <v>19</v>
      </c>
      <c r="S677" s="49" t="str">
        <f t="shared" si="32"/>
        <v>Alice-West</v>
      </c>
      <c r="T677" s="59" t="str">
        <f>IF(ROUND(sales_data_1[[#This Row],[Profit_Margin]],2)=ROUND((sales_data_1[[#This Row],[Unit_Price]]*(1-sales_data_1[[#This Row],[Discount]]) - sales_data_1[[#This Row],[Unit_Cost]])*sales_data_1[[#This Row],[Quantity_Sold]],2), "PASS", "CHECK")</f>
        <v>PASS</v>
      </c>
    </row>
    <row r="678" spans="1:20" x14ac:dyDescent="0.35">
      <c r="A678" s="7">
        <v>677</v>
      </c>
      <c r="B678" s="9">
        <v>1026</v>
      </c>
      <c r="C678" s="7" t="str">
        <f>IFERROR(_xlfn.TEXTJOIN("-", TRUE, _xlfn.XLOOKUP(K678, product_category_id_lookup!$A$2:$A$5, product_category_id_lookup!$B$2:$B$5), B678), "Unknown Category")</f>
        <v>fd-1026</v>
      </c>
      <c r="D678" s="8">
        <v>44777</v>
      </c>
      <c r="E678" s="7">
        <f t="shared" si="30"/>
        <v>2022</v>
      </c>
      <c r="F678" s="28" t="str">
        <f t="shared" si="31"/>
        <v>Aug</v>
      </c>
      <c r="G678" s="17" t="s">
        <v>14</v>
      </c>
      <c r="H678" s="17" t="s">
        <v>30</v>
      </c>
      <c r="I678" s="24">
        <v>82160.113200000007</v>
      </c>
      <c r="J678" s="32">
        <v>33</v>
      </c>
      <c r="K678" s="17" t="s">
        <v>24</v>
      </c>
      <c r="L678" s="24">
        <v>633.36</v>
      </c>
      <c r="M678" s="24">
        <v>3036.22</v>
      </c>
      <c r="N678" s="34">
        <f>((sales_data_1[[#This Row],[Unit_Price]]*(1-sales_data_1[[#This Row],[Discount]]))-sales_data_1[[#This Row],[Unit_Cost]])*sales_data_1[[#This Row],[Quantity_Sold]]</f>
        <v>61259.233200000002</v>
      </c>
      <c r="O678" s="17" t="s">
        <v>17</v>
      </c>
      <c r="P678" s="26">
        <v>0.18</v>
      </c>
      <c r="Q678" s="17" t="s">
        <v>28</v>
      </c>
      <c r="R678" s="17" t="s">
        <v>19</v>
      </c>
      <c r="S678" s="49" t="str">
        <f t="shared" si="32"/>
        <v>Bob-East</v>
      </c>
      <c r="T678" s="59" t="str">
        <f>IF(ROUND(sales_data_1[[#This Row],[Profit_Margin]],2)=ROUND((sales_data_1[[#This Row],[Unit_Price]]*(1-sales_data_1[[#This Row],[Discount]]) - sales_data_1[[#This Row],[Unit_Cost]])*sales_data_1[[#This Row],[Quantity_Sold]],2), "PASS", "CHECK")</f>
        <v>PASS</v>
      </c>
    </row>
    <row r="679" spans="1:20" x14ac:dyDescent="0.35">
      <c r="A679" s="7">
        <v>678</v>
      </c>
      <c r="B679" s="9">
        <v>1095</v>
      </c>
      <c r="C679" s="7" t="str">
        <f>IFERROR(_xlfn.TEXTJOIN("-", TRUE, _xlfn.XLOOKUP(K679, product_category_id_lookup!$A$2:$A$5, product_category_id_lookup!$B$2:$B$5), B679), "Unknown Category")</f>
        <v>fd-1095</v>
      </c>
      <c r="D679" s="8">
        <v>44778</v>
      </c>
      <c r="E679" s="7">
        <f t="shared" si="30"/>
        <v>2022</v>
      </c>
      <c r="F679" s="28" t="str">
        <f t="shared" si="31"/>
        <v>Aug</v>
      </c>
      <c r="G679" s="17" t="s">
        <v>32</v>
      </c>
      <c r="H679" s="17" t="s">
        <v>15</v>
      </c>
      <c r="I679" s="24">
        <v>224378.32377337664</v>
      </c>
      <c r="J679" s="32">
        <v>47</v>
      </c>
      <c r="K679" s="17" t="s">
        <v>24</v>
      </c>
      <c r="L679" s="24">
        <v>4153.78</v>
      </c>
      <c r="M679" s="24">
        <v>4798.9399999999996</v>
      </c>
      <c r="N679" s="34">
        <f>((sales_data_1[[#This Row],[Unit_Price]]*(1-sales_data_1[[#This Row],[Discount]]))-sales_data_1[[#This Row],[Unit_Cost]])*sales_data_1[[#This Row],[Quantity_Sold]]</f>
        <v>28067.018199999977</v>
      </c>
      <c r="O679" s="17" t="s">
        <v>27</v>
      </c>
      <c r="P679" s="26">
        <v>0.01</v>
      </c>
      <c r="Q679" s="17" t="s">
        <v>18</v>
      </c>
      <c r="R679" s="17" t="s">
        <v>19</v>
      </c>
      <c r="S679" s="49" t="str">
        <f t="shared" si="32"/>
        <v>Eve-North</v>
      </c>
      <c r="T679" s="59" t="str">
        <f>IF(ROUND(sales_data_1[[#This Row],[Profit_Margin]],2)=ROUND((sales_data_1[[#This Row],[Unit_Price]]*(1-sales_data_1[[#This Row],[Discount]]) - sales_data_1[[#This Row],[Unit_Cost]])*sales_data_1[[#This Row],[Quantity_Sold]],2), "PASS", "CHECK")</f>
        <v>PASS</v>
      </c>
    </row>
    <row r="680" spans="1:20" x14ac:dyDescent="0.35">
      <c r="A680" s="7">
        <v>679</v>
      </c>
      <c r="B680" s="9">
        <v>1034</v>
      </c>
      <c r="C680" s="7" t="str">
        <f>IFERROR(_xlfn.TEXTJOIN("-", TRUE, _xlfn.XLOOKUP(K680, product_category_id_lookup!$A$2:$A$5, product_category_id_lookup!$B$2:$B$5), B680), "Unknown Category")</f>
        <v>fd-1034</v>
      </c>
      <c r="D680" s="8">
        <v>44779</v>
      </c>
      <c r="E680" s="7">
        <f t="shared" si="30"/>
        <v>2022</v>
      </c>
      <c r="F680" s="28" t="str">
        <f t="shared" si="31"/>
        <v>Aug</v>
      </c>
      <c r="G680" s="17" t="s">
        <v>14</v>
      </c>
      <c r="H680" s="17" t="s">
        <v>15</v>
      </c>
      <c r="I680" s="24">
        <v>106759.8576</v>
      </c>
      <c r="J680" s="32">
        <v>27</v>
      </c>
      <c r="K680" s="17" t="s">
        <v>24</v>
      </c>
      <c r="L680" s="24">
        <v>2695.44</v>
      </c>
      <c r="M680" s="24">
        <v>4493.26</v>
      </c>
      <c r="N680" s="34">
        <f>((sales_data_1[[#This Row],[Unit_Price]]*(1-sales_data_1[[#This Row],[Discount]]))-sales_data_1[[#This Row],[Unit_Cost]])*sales_data_1[[#This Row],[Quantity_Sold]]</f>
        <v>33982.977599999998</v>
      </c>
      <c r="O680" s="17" t="s">
        <v>17</v>
      </c>
      <c r="P680" s="26">
        <v>0.12</v>
      </c>
      <c r="Q680" s="17" t="s">
        <v>28</v>
      </c>
      <c r="R680" s="17" t="s">
        <v>19</v>
      </c>
      <c r="S680" s="49" t="str">
        <f t="shared" si="32"/>
        <v>Bob-North</v>
      </c>
      <c r="T680" s="59" t="str">
        <f>IF(ROUND(sales_data_1[[#This Row],[Profit_Margin]],2)=ROUND((sales_data_1[[#This Row],[Unit_Price]]*(1-sales_data_1[[#This Row],[Discount]]) - sales_data_1[[#This Row],[Unit_Cost]])*sales_data_1[[#This Row],[Quantity_Sold]],2), "PASS", "CHECK")</f>
        <v>PASS</v>
      </c>
    </row>
    <row r="681" spans="1:20" x14ac:dyDescent="0.35">
      <c r="A681" s="7">
        <v>680</v>
      </c>
      <c r="B681" s="9">
        <v>1040</v>
      </c>
      <c r="C681" s="7" t="str">
        <f>IFERROR(_xlfn.TEXTJOIN("-", TRUE, _xlfn.XLOOKUP(K681, product_category_id_lookup!$A$2:$A$5, product_category_id_lookup!$B$2:$B$5), B681), "Unknown Category")</f>
        <v>fd-1040</v>
      </c>
      <c r="D681" s="8">
        <v>44779</v>
      </c>
      <c r="E681" s="7">
        <f t="shared" si="30"/>
        <v>2022</v>
      </c>
      <c r="F681" s="28" t="str">
        <f t="shared" si="31"/>
        <v>Aug</v>
      </c>
      <c r="G681" s="17" t="s">
        <v>22</v>
      </c>
      <c r="H681" s="17" t="s">
        <v>20</v>
      </c>
      <c r="I681" s="24">
        <v>122464.45529999999</v>
      </c>
      <c r="J681" s="32">
        <v>33</v>
      </c>
      <c r="K681" s="17" t="s">
        <v>24</v>
      </c>
      <c r="L681" s="24">
        <v>487.82</v>
      </c>
      <c r="M681" s="24">
        <v>3990.37</v>
      </c>
      <c r="N681" s="34">
        <f>((sales_data_1[[#This Row],[Unit_Price]]*(1-sales_data_1[[#This Row],[Discount]]))-sales_data_1[[#This Row],[Unit_Cost]])*sales_data_1[[#This Row],[Quantity_Sold]]</f>
        <v>106366.39529999997</v>
      </c>
      <c r="O681" s="17" t="s">
        <v>17</v>
      </c>
      <c r="P681" s="26">
        <v>7.0000000000000007E-2</v>
      </c>
      <c r="Q681" s="17" t="s">
        <v>25</v>
      </c>
      <c r="R681" s="17" t="s">
        <v>21</v>
      </c>
      <c r="S681" s="49" t="str">
        <f t="shared" si="32"/>
        <v>David-West</v>
      </c>
      <c r="T681" s="59" t="str">
        <f>IF(ROUND(sales_data_1[[#This Row],[Profit_Margin]],2)=ROUND((sales_data_1[[#This Row],[Unit_Price]]*(1-sales_data_1[[#This Row],[Discount]]) - sales_data_1[[#This Row],[Unit_Cost]])*sales_data_1[[#This Row],[Quantity_Sold]],2), "PASS", "CHECK")</f>
        <v>PASS</v>
      </c>
    </row>
    <row r="682" spans="1:20" x14ac:dyDescent="0.35">
      <c r="A682" s="7">
        <v>681</v>
      </c>
      <c r="B682" s="9">
        <v>1078</v>
      </c>
      <c r="C682" s="7" t="str">
        <f>IFERROR(_xlfn.TEXTJOIN("-", TRUE, _xlfn.XLOOKUP(K682, product_category_id_lookup!$A$2:$A$5, product_category_id_lookup!$B$2:$B$5), B682), "Unknown Category")</f>
        <v>etc-1078</v>
      </c>
      <c r="D682" s="8">
        <v>44780</v>
      </c>
      <c r="E682" s="7">
        <f t="shared" si="30"/>
        <v>2022</v>
      </c>
      <c r="F682" s="28" t="str">
        <f t="shared" si="31"/>
        <v>Aug</v>
      </c>
      <c r="G682" s="17" t="s">
        <v>32</v>
      </c>
      <c r="H682" s="17" t="s">
        <v>30</v>
      </c>
      <c r="I682" s="24">
        <v>4026.5010000000002</v>
      </c>
      <c r="J682" s="32">
        <v>1</v>
      </c>
      <c r="K682" s="17" t="s">
        <v>31</v>
      </c>
      <c r="L682" s="24">
        <v>2573.7199999999998</v>
      </c>
      <c r="M682" s="24">
        <v>4737.0600000000004</v>
      </c>
      <c r="N682" s="34">
        <f>((sales_data_1[[#This Row],[Unit_Price]]*(1-sales_data_1[[#This Row],[Discount]]))-sales_data_1[[#This Row],[Unit_Cost]])*sales_data_1[[#This Row],[Quantity_Sold]]</f>
        <v>1452.7810000000004</v>
      </c>
      <c r="O682" s="17" t="s">
        <v>27</v>
      </c>
      <c r="P682" s="26">
        <v>0.15</v>
      </c>
      <c r="Q682" s="17" t="s">
        <v>28</v>
      </c>
      <c r="R682" s="17" t="s">
        <v>19</v>
      </c>
      <c r="S682" s="49" t="str">
        <f t="shared" si="32"/>
        <v>Eve-East</v>
      </c>
      <c r="T682" s="59" t="str">
        <f>IF(ROUND(sales_data_1[[#This Row],[Profit_Margin]],2)=ROUND((sales_data_1[[#This Row],[Unit_Price]]*(1-sales_data_1[[#This Row],[Discount]]) - sales_data_1[[#This Row],[Unit_Cost]])*sales_data_1[[#This Row],[Quantity_Sold]],2), "PASS", "CHECK")</f>
        <v>PASS</v>
      </c>
    </row>
    <row r="683" spans="1:20" x14ac:dyDescent="0.35">
      <c r="A683" s="7">
        <v>682</v>
      </c>
      <c r="B683" s="9">
        <v>1088</v>
      </c>
      <c r="C683" s="7" t="str">
        <f>IFERROR(_xlfn.TEXTJOIN("-", TRUE, _xlfn.XLOOKUP(K683, product_category_id_lookup!$A$2:$A$5, product_category_id_lookup!$B$2:$B$5), B683), "Unknown Category")</f>
        <v>ctg-1088</v>
      </c>
      <c r="D683" s="8">
        <v>44781</v>
      </c>
      <c r="E683" s="7">
        <f t="shared" si="30"/>
        <v>2022</v>
      </c>
      <c r="F683" s="28" t="str">
        <f t="shared" si="31"/>
        <v>Aug</v>
      </c>
      <c r="G683" s="17" t="s">
        <v>14</v>
      </c>
      <c r="H683" s="17" t="s">
        <v>30</v>
      </c>
      <c r="I683" s="24">
        <v>12226.7145</v>
      </c>
      <c r="J683" s="32">
        <v>3</v>
      </c>
      <c r="K683" s="17" t="s">
        <v>26</v>
      </c>
      <c r="L683" s="24">
        <v>3074.89</v>
      </c>
      <c r="M683" s="24">
        <v>4478.6499999999996</v>
      </c>
      <c r="N683" s="34">
        <f>((sales_data_1[[#This Row],[Unit_Price]]*(1-sales_data_1[[#This Row],[Discount]]))-sales_data_1[[#This Row],[Unit_Cost]])*sales_data_1[[#This Row],[Quantity_Sold]]</f>
        <v>3002.0445000000004</v>
      </c>
      <c r="O683" s="17" t="s">
        <v>27</v>
      </c>
      <c r="P683" s="26">
        <v>0.09</v>
      </c>
      <c r="Q683" s="17" t="s">
        <v>25</v>
      </c>
      <c r="R683" s="17" t="s">
        <v>21</v>
      </c>
      <c r="S683" s="49" t="str">
        <f t="shared" si="32"/>
        <v>Bob-East</v>
      </c>
      <c r="T683" s="59" t="str">
        <f>IF(ROUND(sales_data_1[[#This Row],[Profit_Margin]],2)=ROUND((sales_data_1[[#This Row],[Unit_Price]]*(1-sales_data_1[[#This Row],[Discount]]) - sales_data_1[[#This Row],[Unit_Cost]])*sales_data_1[[#This Row],[Quantity_Sold]],2), "PASS", "CHECK")</f>
        <v>PASS</v>
      </c>
    </row>
    <row r="684" spans="1:20" x14ac:dyDescent="0.35">
      <c r="A684" s="7">
        <v>683</v>
      </c>
      <c r="B684" s="9">
        <v>1055</v>
      </c>
      <c r="C684" s="7" t="str">
        <f>IFERROR(_xlfn.TEXTJOIN("-", TRUE, _xlfn.XLOOKUP(K684, product_category_id_lookup!$A$2:$A$5, product_category_id_lookup!$B$2:$B$5), B684), "Unknown Category")</f>
        <v>fd-1055</v>
      </c>
      <c r="D684" s="8">
        <v>44781</v>
      </c>
      <c r="E684" s="7">
        <f t="shared" si="30"/>
        <v>2022</v>
      </c>
      <c r="F684" s="28" t="str">
        <f t="shared" si="31"/>
        <v>Aug</v>
      </c>
      <c r="G684" s="17" t="s">
        <v>33</v>
      </c>
      <c r="H684" s="17" t="s">
        <v>23</v>
      </c>
      <c r="I684" s="24">
        <v>32441.594400000002</v>
      </c>
      <c r="J684" s="32">
        <v>36</v>
      </c>
      <c r="K684" s="17" t="s">
        <v>24</v>
      </c>
      <c r="L684" s="24">
        <v>720.16</v>
      </c>
      <c r="M684" s="24">
        <v>1098.97</v>
      </c>
      <c r="N684" s="34">
        <f>((sales_data_1[[#This Row],[Unit_Price]]*(1-sales_data_1[[#This Row],[Discount]]))-sales_data_1[[#This Row],[Unit_Cost]])*sales_data_1[[#This Row],[Quantity_Sold]]</f>
        <v>6515.8344000000052</v>
      </c>
      <c r="O684" s="17" t="s">
        <v>27</v>
      </c>
      <c r="P684" s="26">
        <v>0.18</v>
      </c>
      <c r="Q684" s="17" t="s">
        <v>28</v>
      </c>
      <c r="R684" s="17" t="s">
        <v>19</v>
      </c>
      <c r="S684" s="49" t="str">
        <f t="shared" si="32"/>
        <v>Alice-South</v>
      </c>
      <c r="T684" s="59" t="str">
        <f>IF(ROUND(sales_data_1[[#This Row],[Profit_Margin]],2)=ROUND((sales_data_1[[#This Row],[Unit_Price]]*(1-sales_data_1[[#This Row],[Discount]]) - sales_data_1[[#This Row],[Unit_Cost]])*sales_data_1[[#This Row],[Quantity_Sold]],2), "PASS", "CHECK")</f>
        <v>PASS</v>
      </c>
    </row>
    <row r="685" spans="1:20" x14ac:dyDescent="0.35">
      <c r="A685" s="7">
        <v>684</v>
      </c>
      <c r="B685" s="9">
        <v>1068</v>
      </c>
      <c r="C685" s="7" t="str">
        <f>IFERROR(_xlfn.TEXTJOIN("-", TRUE, _xlfn.XLOOKUP(K685, product_category_id_lookup!$A$2:$A$5, product_category_id_lookup!$B$2:$B$5), B685), "Unknown Category")</f>
        <v>fnt-1068</v>
      </c>
      <c r="D685" s="8">
        <v>44781</v>
      </c>
      <c r="E685" s="7">
        <f t="shared" si="30"/>
        <v>2022</v>
      </c>
      <c r="F685" s="28" t="str">
        <f t="shared" si="31"/>
        <v>Aug</v>
      </c>
      <c r="G685" s="17" t="s">
        <v>14</v>
      </c>
      <c r="H685" s="17" t="s">
        <v>20</v>
      </c>
      <c r="I685" s="24">
        <v>69230.949800000002</v>
      </c>
      <c r="J685" s="32">
        <v>38</v>
      </c>
      <c r="K685" s="17" t="s">
        <v>16</v>
      </c>
      <c r="L685" s="24">
        <v>1128.8</v>
      </c>
      <c r="M685" s="24">
        <v>2566.0100000000002</v>
      </c>
      <c r="N685" s="34">
        <f>((sales_data_1[[#This Row],[Unit_Price]]*(1-sales_data_1[[#This Row],[Discount]]))-sales_data_1[[#This Row],[Unit_Cost]])*sales_data_1[[#This Row],[Quantity_Sold]]</f>
        <v>26336.549800000008</v>
      </c>
      <c r="O685" s="17" t="s">
        <v>27</v>
      </c>
      <c r="P685" s="26">
        <v>0.28999999999999998</v>
      </c>
      <c r="Q685" s="17" t="s">
        <v>25</v>
      </c>
      <c r="R685" s="17" t="s">
        <v>21</v>
      </c>
      <c r="S685" s="49" t="str">
        <f t="shared" si="32"/>
        <v>Bob-West</v>
      </c>
      <c r="T685" s="59" t="str">
        <f>IF(ROUND(sales_data_1[[#This Row],[Profit_Margin]],2)=ROUND((sales_data_1[[#This Row],[Unit_Price]]*(1-sales_data_1[[#This Row],[Discount]]) - sales_data_1[[#This Row],[Unit_Cost]])*sales_data_1[[#This Row],[Quantity_Sold]],2), "PASS", "CHECK")</f>
        <v>PASS</v>
      </c>
    </row>
    <row r="686" spans="1:20" x14ac:dyDescent="0.35">
      <c r="A686" s="7">
        <v>685</v>
      </c>
      <c r="B686" s="9">
        <v>1012</v>
      </c>
      <c r="C686" s="7" t="str">
        <f>IFERROR(_xlfn.TEXTJOIN("-", TRUE, _xlfn.XLOOKUP(K686, product_category_id_lookup!$A$2:$A$5, product_category_id_lookup!$B$2:$B$5), B686), "Unknown Category")</f>
        <v>fnt-1012</v>
      </c>
      <c r="D686" s="8">
        <v>44781</v>
      </c>
      <c r="E686" s="7">
        <f t="shared" si="30"/>
        <v>2022</v>
      </c>
      <c r="F686" s="28" t="str">
        <f t="shared" si="31"/>
        <v>Aug</v>
      </c>
      <c r="G686" s="17" t="s">
        <v>29</v>
      </c>
      <c r="H686" s="17" t="s">
        <v>30</v>
      </c>
      <c r="I686" s="24">
        <v>90956.90879999999</v>
      </c>
      <c r="J686" s="32">
        <v>18</v>
      </c>
      <c r="K686" s="17" t="s">
        <v>16</v>
      </c>
      <c r="L686" s="24">
        <v>2513.3200000000002</v>
      </c>
      <c r="M686" s="24">
        <v>5263.71</v>
      </c>
      <c r="N686" s="34">
        <f>((sales_data_1[[#This Row],[Unit_Price]]*(1-sales_data_1[[#This Row],[Discount]]))-sales_data_1[[#This Row],[Unit_Cost]])*sales_data_1[[#This Row],[Quantity_Sold]]</f>
        <v>45717.148799999988</v>
      </c>
      <c r="O686" s="17" t="s">
        <v>27</v>
      </c>
      <c r="P686" s="26">
        <v>0.04</v>
      </c>
      <c r="Q686" s="17" t="s">
        <v>28</v>
      </c>
      <c r="R686" s="17" t="s">
        <v>21</v>
      </c>
      <c r="S686" s="49" t="str">
        <f t="shared" si="32"/>
        <v>Charlie-East</v>
      </c>
      <c r="T686" s="59" t="str">
        <f>IF(ROUND(sales_data_1[[#This Row],[Profit_Margin]],2)=ROUND((sales_data_1[[#This Row],[Unit_Price]]*(1-sales_data_1[[#This Row],[Discount]]) - sales_data_1[[#This Row],[Unit_Cost]])*sales_data_1[[#This Row],[Quantity_Sold]],2), "PASS", "CHECK")</f>
        <v>PASS</v>
      </c>
    </row>
    <row r="687" spans="1:20" x14ac:dyDescent="0.35">
      <c r="A687" s="7">
        <v>686</v>
      </c>
      <c r="B687" s="9">
        <v>1092</v>
      </c>
      <c r="C687" s="7" t="str">
        <f>IFERROR(_xlfn.TEXTJOIN("-", TRUE, _xlfn.XLOOKUP(K687, product_category_id_lookup!$A$2:$A$5, product_category_id_lookup!$B$2:$B$5), B687), "Unknown Category")</f>
        <v>etc-1092</v>
      </c>
      <c r="D687" s="8">
        <v>44782</v>
      </c>
      <c r="E687" s="7">
        <f t="shared" si="30"/>
        <v>2022</v>
      </c>
      <c r="F687" s="28" t="str">
        <f t="shared" si="31"/>
        <v>Aug</v>
      </c>
      <c r="G687" s="17" t="s">
        <v>14</v>
      </c>
      <c r="H687" s="17" t="s">
        <v>20</v>
      </c>
      <c r="I687" s="24">
        <v>11944.626</v>
      </c>
      <c r="J687" s="32">
        <v>6</v>
      </c>
      <c r="K687" s="17" t="s">
        <v>31</v>
      </c>
      <c r="L687" s="24">
        <v>1658.24</v>
      </c>
      <c r="M687" s="24">
        <v>2314.85</v>
      </c>
      <c r="N687" s="34">
        <f>((sales_data_1[[#This Row],[Unit_Price]]*(1-sales_data_1[[#This Row],[Discount]]))-sales_data_1[[#This Row],[Unit_Cost]])*sales_data_1[[#This Row],[Quantity_Sold]]</f>
        <v>1995.1859999999997</v>
      </c>
      <c r="O687" s="17" t="s">
        <v>17</v>
      </c>
      <c r="P687" s="26">
        <v>0.14000000000000001</v>
      </c>
      <c r="Q687" s="17" t="s">
        <v>25</v>
      </c>
      <c r="R687" s="17" t="s">
        <v>21</v>
      </c>
      <c r="S687" s="49" t="str">
        <f t="shared" si="32"/>
        <v>Bob-West</v>
      </c>
      <c r="T687" s="59" t="str">
        <f>IF(ROUND(sales_data_1[[#This Row],[Profit_Margin]],2)=ROUND((sales_data_1[[#This Row],[Unit_Price]]*(1-sales_data_1[[#This Row],[Discount]]) - sales_data_1[[#This Row],[Unit_Cost]])*sales_data_1[[#This Row],[Quantity_Sold]],2), "PASS", "CHECK")</f>
        <v>PASS</v>
      </c>
    </row>
    <row r="688" spans="1:20" x14ac:dyDescent="0.35">
      <c r="A688" s="7">
        <v>687</v>
      </c>
      <c r="B688" s="9">
        <v>1013</v>
      </c>
      <c r="C688" s="7" t="str">
        <f>IFERROR(_xlfn.TEXTJOIN("-", TRUE, _xlfn.XLOOKUP(K688, product_category_id_lookup!$A$2:$A$5, product_category_id_lookup!$B$2:$B$5), B688), "Unknown Category")</f>
        <v>ctg-1013</v>
      </c>
      <c r="D688" s="8">
        <v>44782</v>
      </c>
      <c r="E688" s="7">
        <f t="shared" si="30"/>
        <v>2022</v>
      </c>
      <c r="F688" s="28" t="str">
        <f t="shared" si="31"/>
        <v>Aug</v>
      </c>
      <c r="G688" s="17" t="s">
        <v>29</v>
      </c>
      <c r="H688" s="17" t="s">
        <v>15</v>
      </c>
      <c r="I688" s="24">
        <v>42173.191999999995</v>
      </c>
      <c r="J688" s="32">
        <v>17</v>
      </c>
      <c r="K688" s="17" t="s">
        <v>26</v>
      </c>
      <c r="L688" s="24">
        <v>2150.5700000000002</v>
      </c>
      <c r="M688" s="24">
        <v>3100.97</v>
      </c>
      <c r="N688" s="34">
        <f>((sales_data_1[[#This Row],[Unit_Price]]*(1-sales_data_1[[#This Row],[Discount]]))-sales_data_1[[#This Row],[Unit_Cost]])*sales_data_1[[#This Row],[Quantity_Sold]]</f>
        <v>5613.501999999995</v>
      </c>
      <c r="O688" s="17" t="s">
        <v>27</v>
      </c>
      <c r="P688" s="26">
        <v>0.2</v>
      </c>
      <c r="Q688" s="17" t="s">
        <v>28</v>
      </c>
      <c r="R688" s="17" t="s">
        <v>19</v>
      </c>
      <c r="S688" s="49" t="str">
        <f t="shared" si="32"/>
        <v>Charlie-North</v>
      </c>
      <c r="T688" s="59" t="str">
        <f>IF(ROUND(sales_data_1[[#This Row],[Profit_Margin]],2)=ROUND((sales_data_1[[#This Row],[Unit_Price]]*(1-sales_data_1[[#This Row],[Discount]]) - sales_data_1[[#This Row],[Unit_Cost]])*sales_data_1[[#This Row],[Quantity_Sold]],2), "PASS", "CHECK")</f>
        <v>PASS</v>
      </c>
    </row>
    <row r="689" spans="1:20" x14ac:dyDescent="0.35">
      <c r="A689" s="7">
        <v>688</v>
      </c>
      <c r="B689" s="9">
        <v>1011</v>
      </c>
      <c r="C689" s="7" t="str">
        <f>IFERROR(_xlfn.TEXTJOIN("-", TRUE, _xlfn.XLOOKUP(K689, product_category_id_lookup!$A$2:$A$5, product_category_id_lookup!$B$2:$B$5), B689), "Unknown Category")</f>
        <v>etc-1011</v>
      </c>
      <c r="D689" s="8">
        <v>44782</v>
      </c>
      <c r="E689" s="7">
        <f t="shared" si="30"/>
        <v>2022</v>
      </c>
      <c r="F689" s="28" t="str">
        <f t="shared" si="31"/>
        <v>Aug</v>
      </c>
      <c r="G689" s="17" t="s">
        <v>29</v>
      </c>
      <c r="H689" s="17" t="s">
        <v>30</v>
      </c>
      <c r="I689" s="24">
        <v>39221.052000000003</v>
      </c>
      <c r="J689" s="32">
        <v>10</v>
      </c>
      <c r="K689" s="17" t="s">
        <v>31</v>
      </c>
      <c r="L689" s="24">
        <v>1651.78</v>
      </c>
      <c r="M689" s="24">
        <v>5028.34</v>
      </c>
      <c r="N689" s="34">
        <f>((sales_data_1[[#This Row],[Unit_Price]]*(1-sales_data_1[[#This Row],[Discount]]))-sales_data_1[[#This Row],[Unit_Cost]])*sales_data_1[[#This Row],[Quantity_Sold]]</f>
        <v>22703.252</v>
      </c>
      <c r="O689" s="17" t="s">
        <v>27</v>
      </c>
      <c r="P689" s="26">
        <v>0.22</v>
      </c>
      <c r="Q689" s="17" t="s">
        <v>25</v>
      </c>
      <c r="R689" s="17" t="s">
        <v>19</v>
      </c>
      <c r="S689" s="49" t="str">
        <f t="shared" si="32"/>
        <v>Charlie-East</v>
      </c>
      <c r="T689" s="59" t="str">
        <f>IF(ROUND(sales_data_1[[#This Row],[Profit_Margin]],2)=ROUND((sales_data_1[[#This Row],[Unit_Price]]*(1-sales_data_1[[#This Row],[Discount]]) - sales_data_1[[#This Row],[Unit_Cost]])*sales_data_1[[#This Row],[Quantity_Sold]],2), "PASS", "CHECK")</f>
        <v>PASS</v>
      </c>
    </row>
    <row r="690" spans="1:20" x14ac:dyDescent="0.35">
      <c r="A690" s="7">
        <v>689</v>
      </c>
      <c r="B690" s="9">
        <v>1015</v>
      </c>
      <c r="C690" s="7" t="str">
        <f>IFERROR(_xlfn.TEXTJOIN("-", TRUE, _xlfn.XLOOKUP(K690, product_category_id_lookup!$A$2:$A$5, product_category_id_lookup!$B$2:$B$5), B690), "Unknown Category")</f>
        <v>fd-1015</v>
      </c>
      <c r="D690" s="8">
        <v>44782</v>
      </c>
      <c r="E690" s="7">
        <f t="shared" si="30"/>
        <v>2022</v>
      </c>
      <c r="F690" s="28" t="str">
        <f t="shared" si="31"/>
        <v>Aug</v>
      </c>
      <c r="G690" s="17" t="s">
        <v>22</v>
      </c>
      <c r="H690" s="17" t="s">
        <v>15</v>
      </c>
      <c r="I690" s="24">
        <v>120945.52799999999</v>
      </c>
      <c r="J690" s="32">
        <v>40</v>
      </c>
      <c r="K690" s="17" t="s">
        <v>24</v>
      </c>
      <c r="L690" s="24">
        <v>287.72000000000003</v>
      </c>
      <c r="M690" s="24">
        <v>3054.18</v>
      </c>
      <c r="N690" s="34">
        <f>((sales_data_1[[#This Row],[Unit_Price]]*(1-sales_data_1[[#This Row],[Discount]]))-sales_data_1[[#This Row],[Unit_Cost]])*sales_data_1[[#This Row],[Quantity_Sold]]</f>
        <v>109436.728</v>
      </c>
      <c r="O690" s="17" t="s">
        <v>27</v>
      </c>
      <c r="P690" s="26">
        <v>0.01</v>
      </c>
      <c r="Q690" s="17" t="s">
        <v>25</v>
      </c>
      <c r="R690" s="17" t="s">
        <v>19</v>
      </c>
      <c r="S690" s="49" t="str">
        <f t="shared" si="32"/>
        <v>David-North</v>
      </c>
      <c r="T690" s="59" t="str">
        <f>IF(ROUND(sales_data_1[[#This Row],[Profit_Margin]],2)=ROUND((sales_data_1[[#This Row],[Unit_Price]]*(1-sales_data_1[[#This Row],[Discount]]) - sales_data_1[[#This Row],[Unit_Cost]])*sales_data_1[[#This Row],[Quantity_Sold]],2), "PASS", "CHECK")</f>
        <v>PASS</v>
      </c>
    </row>
    <row r="691" spans="1:20" x14ac:dyDescent="0.35">
      <c r="A691" s="7">
        <v>690</v>
      </c>
      <c r="B691" s="9">
        <v>1028</v>
      </c>
      <c r="C691" s="7" t="str">
        <f>IFERROR(_xlfn.TEXTJOIN("-", TRUE, _xlfn.XLOOKUP(K691, product_category_id_lookup!$A$2:$A$5, product_category_id_lookup!$B$2:$B$5), B691), "Unknown Category")</f>
        <v>fd-1028</v>
      </c>
      <c r="D691" s="8">
        <v>44783</v>
      </c>
      <c r="E691" s="7">
        <f t="shared" si="30"/>
        <v>2022</v>
      </c>
      <c r="F691" s="28" t="str">
        <f t="shared" si="31"/>
        <v>Aug</v>
      </c>
      <c r="G691" s="17" t="s">
        <v>33</v>
      </c>
      <c r="H691" s="17" t="s">
        <v>15</v>
      </c>
      <c r="I691" s="24">
        <v>25832.404799999997</v>
      </c>
      <c r="J691" s="32">
        <v>36</v>
      </c>
      <c r="K691" s="17" t="s">
        <v>24</v>
      </c>
      <c r="L691" s="24">
        <v>280.35000000000002</v>
      </c>
      <c r="M691" s="24">
        <v>834.38</v>
      </c>
      <c r="N691" s="34">
        <f>((sales_data_1[[#This Row],[Unit_Price]]*(1-sales_data_1[[#This Row],[Discount]]))-sales_data_1[[#This Row],[Unit_Cost]])*sales_data_1[[#This Row],[Quantity_Sold]]</f>
        <v>15739.804799999998</v>
      </c>
      <c r="O691" s="17" t="s">
        <v>17</v>
      </c>
      <c r="P691" s="26">
        <v>0.14000000000000001</v>
      </c>
      <c r="Q691" s="17" t="s">
        <v>28</v>
      </c>
      <c r="R691" s="17" t="s">
        <v>21</v>
      </c>
      <c r="S691" s="49" t="str">
        <f t="shared" si="32"/>
        <v>Alice-North</v>
      </c>
      <c r="T691" s="59" t="str">
        <f>IF(ROUND(sales_data_1[[#This Row],[Profit_Margin]],2)=ROUND((sales_data_1[[#This Row],[Unit_Price]]*(1-sales_data_1[[#This Row],[Discount]]) - sales_data_1[[#This Row],[Unit_Cost]])*sales_data_1[[#This Row],[Quantity_Sold]],2), "PASS", "CHECK")</f>
        <v>PASS</v>
      </c>
    </row>
    <row r="692" spans="1:20" x14ac:dyDescent="0.35">
      <c r="A692" s="7">
        <v>691</v>
      </c>
      <c r="B692" s="9">
        <v>1026</v>
      </c>
      <c r="C692" s="7" t="str">
        <f>IFERROR(_xlfn.TEXTJOIN("-", TRUE, _xlfn.XLOOKUP(K692, product_category_id_lookup!$A$2:$A$5, product_category_id_lookup!$B$2:$B$5), B692), "Unknown Category")</f>
        <v>fd-1026</v>
      </c>
      <c r="D692" s="8">
        <v>44783</v>
      </c>
      <c r="E692" s="7">
        <f t="shared" si="30"/>
        <v>2022</v>
      </c>
      <c r="F692" s="28" t="str">
        <f t="shared" si="31"/>
        <v>Aug</v>
      </c>
      <c r="G692" s="17" t="s">
        <v>14</v>
      </c>
      <c r="H692" s="17" t="s">
        <v>23</v>
      </c>
      <c r="I692" s="24">
        <v>37591.516800000005</v>
      </c>
      <c r="J692" s="32">
        <v>36</v>
      </c>
      <c r="K692" s="17" t="s">
        <v>24</v>
      </c>
      <c r="L692" s="24">
        <v>349.94</v>
      </c>
      <c r="M692" s="24">
        <v>1200.24</v>
      </c>
      <c r="N692" s="34">
        <f>((sales_data_1[[#This Row],[Unit_Price]]*(1-sales_data_1[[#This Row],[Discount]]))-sales_data_1[[#This Row],[Unit_Cost]])*sales_data_1[[#This Row],[Quantity_Sold]]</f>
        <v>24993.676800000001</v>
      </c>
      <c r="O692" s="17" t="s">
        <v>17</v>
      </c>
      <c r="P692" s="26">
        <v>0.13</v>
      </c>
      <c r="Q692" s="17" t="s">
        <v>28</v>
      </c>
      <c r="R692" s="17" t="s">
        <v>21</v>
      </c>
      <c r="S692" s="49" t="str">
        <f t="shared" si="32"/>
        <v>Bob-South</v>
      </c>
      <c r="T692" s="59" t="str">
        <f>IF(ROUND(sales_data_1[[#This Row],[Profit_Margin]],2)=ROUND((sales_data_1[[#This Row],[Unit_Price]]*(1-sales_data_1[[#This Row],[Discount]]) - sales_data_1[[#This Row],[Unit_Cost]])*sales_data_1[[#This Row],[Quantity_Sold]],2), "PASS", "CHECK")</f>
        <v>PASS</v>
      </c>
    </row>
    <row r="693" spans="1:20" x14ac:dyDescent="0.35">
      <c r="A693" s="7">
        <v>692</v>
      </c>
      <c r="B693" s="9">
        <v>1074</v>
      </c>
      <c r="C693" s="7" t="str">
        <f>IFERROR(_xlfn.TEXTJOIN("-", TRUE, _xlfn.XLOOKUP(K693, product_category_id_lookup!$A$2:$A$5, product_category_id_lookup!$B$2:$B$5), B693), "Unknown Category")</f>
        <v>fd-1074</v>
      </c>
      <c r="D693" s="8">
        <v>44783</v>
      </c>
      <c r="E693" s="7">
        <f t="shared" si="30"/>
        <v>2022</v>
      </c>
      <c r="F693" s="28" t="str">
        <f t="shared" si="31"/>
        <v>Aug</v>
      </c>
      <c r="G693" s="17" t="s">
        <v>22</v>
      </c>
      <c r="H693" s="17" t="s">
        <v>30</v>
      </c>
      <c r="I693" s="24">
        <v>100949.50799999999</v>
      </c>
      <c r="J693" s="32">
        <v>33</v>
      </c>
      <c r="K693" s="17" t="s">
        <v>24</v>
      </c>
      <c r="L693" s="24">
        <v>434.34</v>
      </c>
      <c r="M693" s="24">
        <v>3220.08</v>
      </c>
      <c r="N693" s="34">
        <f>((sales_data_1[[#This Row],[Unit_Price]]*(1-sales_data_1[[#This Row],[Discount]]))-sales_data_1[[#This Row],[Unit_Cost]])*sales_data_1[[#This Row],[Quantity_Sold]]</f>
        <v>86616.287999999986</v>
      </c>
      <c r="O693" s="17" t="s">
        <v>27</v>
      </c>
      <c r="P693" s="26">
        <v>0.05</v>
      </c>
      <c r="Q693" s="17" t="s">
        <v>25</v>
      </c>
      <c r="R693" s="17" t="s">
        <v>19</v>
      </c>
      <c r="S693" s="49" t="str">
        <f t="shared" si="32"/>
        <v>David-East</v>
      </c>
      <c r="T693" s="59" t="str">
        <f>IF(ROUND(sales_data_1[[#This Row],[Profit_Margin]],2)=ROUND((sales_data_1[[#This Row],[Unit_Price]]*(1-sales_data_1[[#This Row],[Discount]]) - sales_data_1[[#This Row],[Unit_Cost]])*sales_data_1[[#This Row],[Quantity_Sold]],2), "PASS", "CHECK")</f>
        <v>PASS</v>
      </c>
    </row>
    <row r="694" spans="1:20" x14ac:dyDescent="0.35">
      <c r="A694" s="7">
        <v>693</v>
      </c>
      <c r="B694" s="9">
        <v>1058</v>
      </c>
      <c r="C694" s="7" t="str">
        <f>IFERROR(_xlfn.TEXTJOIN("-", TRUE, _xlfn.XLOOKUP(K694, product_category_id_lookup!$A$2:$A$5, product_category_id_lookup!$B$2:$B$5), B694), "Unknown Category")</f>
        <v>etc-1058</v>
      </c>
      <c r="D694" s="8">
        <v>44784</v>
      </c>
      <c r="E694" s="7">
        <f t="shared" si="30"/>
        <v>2022</v>
      </c>
      <c r="F694" s="28" t="str">
        <f t="shared" si="31"/>
        <v>Aug</v>
      </c>
      <c r="G694" s="17" t="s">
        <v>32</v>
      </c>
      <c r="H694" s="17" t="s">
        <v>20</v>
      </c>
      <c r="I694" s="24">
        <v>59519.488000000005</v>
      </c>
      <c r="J694" s="32">
        <v>16</v>
      </c>
      <c r="K694" s="17" t="s">
        <v>31</v>
      </c>
      <c r="L694" s="24">
        <v>3644</v>
      </c>
      <c r="M694" s="24">
        <v>4649.96</v>
      </c>
      <c r="N694" s="34">
        <f>((sales_data_1[[#This Row],[Unit_Price]]*(1-sales_data_1[[#This Row],[Discount]]))-sales_data_1[[#This Row],[Unit_Cost]])*sales_data_1[[#This Row],[Quantity_Sold]]</f>
        <v>1215.4880000000048</v>
      </c>
      <c r="O694" s="17" t="s">
        <v>27</v>
      </c>
      <c r="P694" s="26">
        <v>0.2</v>
      </c>
      <c r="Q694" s="17" t="s">
        <v>28</v>
      </c>
      <c r="R694" s="17" t="s">
        <v>21</v>
      </c>
      <c r="S694" s="49" t="str">
        <f t="shared" si="32"/>
        <v>Eve-West</v>
      </c>
      <c r="T694" s="59" t="str">
        <f>IF(ROUND(sales_data_1[[#This Row],[Profit_Margin]],2)=ROUND((sales_data_1[[#This Row],[Unit_Price]]*(1-sales_data_1[[#This Row],[Discount]]) - sales_data_1[[#This Row],[Unit_Cost]])*sales_data_1[[#This Row],[Quantity_Sold]],2), "PASS", "CHECK")</f>
        <v>PASS</v>
      </c>
    </row>
    <row r="695" spans="1:20" x14ac:dyDescent="0.35">
      <c r="A695" s="7">
        <v>694</v>
      </c>
      <c r="B695" s="9">
        <v>1035</v>
      </c>
      <c r="C695" s="7" t="str">
        <f>IFERROR(_xlfn.TEXTJOIN("-", TRUE, _xlfn.XLOOKUP(K695, product_category_id_lookup!$A$2:$A$5, product_category_id_lookup!$B$2:$B$5), B695), "Unknown Category")</f>
        <v>fd-1035</v>
      </c>
      <c r="D695" s="8">
        <v>44784</v>
      </c>
      <c r="E695" s="7">
        <f t="shared" si="30"/>
        <v>2022</v>
      </c>
      <c r="F695" s="28" t="str">
        <f t="shared" si="31"/>
        <v>Aug</v>
      </c>
      <c r="G695" s="17" t="s">
        <v>14</v>
      </c>
      <c r="H695" s="17" t="s">
        <v>15</v>
      </c>
      <c r="I695" s="24">
        <v>144245.024</v>
      </c>
      <c r="J695" s="32">
        <v>40</v>
      </c>
      <c r="K695" s="17" t="s">
        <v>24</v>
      </c>
      <c r="L695" s="24">
        <v>3261.95</v>
      </c>
      <c r="M695" s="24">
        <v>4097.87</v>
      </c>
      <c r="N695" s="34">
        <f>((sales_data_1[[#This Row],[Unit_Price]]*(1-sales_data_1[[#This Row],[Discount]]))-sales_data_1[[#This Row],[Unit_Cost]])*sales_data_1[[#This Row],[Quantity_Sold]]</f>
        <v>13767.024000000001</v>
      </c>
      <c r="O695" s="17" t="s">
        <v>17</v>
      </c>
      <c r="P695" s="26">
        <v>0.12</v>
      </c>
      <c r="Q695" s="17" t="s">
        <v>28</v>
      </c>
      <c r="R695" s="17" t="s">
        <v>21</v>
      </c>
      <c r="S695" s="49" t="str">
        <f t="shared" si="32"/>
        <v>Bob-North</v>
      </c>
      <c r="T695" s="59" t="str">
        <f>IF(ROUND(sales_data_1[[#This Row],[Profit_Margin]],2)=ROUND((sales_data_1[[#This Row],[Unit_Price]]*(1-sales_data_1[[#This Row],[Discount]]) - sales_data_1[[#This Row],[Unit_Cost]])*sales_data_1[[#This Row],[Quantity_Sold]],2), "PASS", "CHECK")</f>
        <v>PASS</v>
      </c>
    </row>
    <row r="696" spans="1:20" x14ac:dyDescent="0.35">
      <c r="A696" s="7">
        <v>695</v>
      </c>
      <c r="B696" s="9">
        <v>1078</v>
      </c>
      <c r="C696" s="7" t="str">
        <f>IFERROR(_xlfn.TEXTJOIN("-", TRUE, _xlfn.XLOOKUP(K696, product_category_id_lookup!$A$2:$A$5, product_category_id_lookup!$B$2:$B$5), B696), "Unknown Category")</f>
        <v>etc-1078</v>
      </c>
      <c r="D696" s="8">
        <v>44785</v>
      </c>
      <c r="E696" s="7">
        <f t="shared" si="30"/>
        <v>2022</v>
      </c>
      <c r="F696" s="28" t="str">
        <f t="shared" si="31"/>
        <v>Aug</v>
      </c>
      <c r="G696" s="17" t="s">
        <v>29</v>
      </c>
      <c r="H696" s="17" t="s">
        <v>30</v>
      </c>
      <c r="I696" s="24">
        <v>24163.392</v>
      </c>
      <c r="J696" s="32">
        <v>32</v>
      </c>
      <c r="K696" s="17" t="s">
        <v>31</v>
      </c>
      <c r="L696" s="24">
        <v>396.29</v>
      </c>
      <c r="M696" s="24">
        <v>888.36</v>
      </c>
      <c r="N696" s="34">
        <f>((sales_data_1[[#This Row],[Unit_Price]]*(1-sales_data_1[[#This Row],[Discount]]))-sales_data_1[[#This Row],[Unit_Cost]])*sales_data_1[[#This Row],[Quantity_Sold]]</f>
        <v>11482.111999999999</v>
      </c>
      <c r="O696" s="17" t="s">
        <v>27</v>
      </c>
      <c r="P696" s="26">
        <v>0.15</v>
      </c>
      <c r="Q696" s="17" t="s">
        <v>25</v>
      </c>
      <c r="R696" s="17" t="s">
        <v>21</v>
      </c>
      <c r="S696" s="49" t="str">
        <f t="shared" si="32"/>
        <v>Charlie-East</v>
      </c>
      <c r="T696" s="59" t="str">
        <f>IF(ROUND(sales_data_1[[#This Row],[Profit_Margin]],2)=ROUND((sales_data_1[[#This Row],[Unit_Price]]*(1-sales_data_1[[#This Row],[Discount]]) - sales_data_1[[#This Row],[Unit_Cost]])*sales_data_1[[#This Row],[Quantity_Sold]],2), "PASS", "CHECK")</f>
        <v>PASS</v>
      </c>
    </row>
    <row r="697" spans="1:20" x14ac:dyDescent="0.35">
      <c r="A697" s="7">
        <v>696</v>
      </c>
      <c r="B697" s="9">
        <v>1015</v>
      </c>
      <c r="C697" s="7" t="str">
        <f>IFERROR(_xlfn.TEXTJOIN("-", TRUE, _xlfn.XLOOKUP(K697, product_category_id_lookup!$A$2:$A$5, product_category_id_lookup!$B$2:$B$5), B697), "Unknown Category")</f>
        <v>fnt-1015</v>
      </c>
      <c r="D697" s="8">
        <v>44785</v>
      </c>
      <c r="E697" s="7">
        <f t="shared" si="30"/>
        <v>2022</v>
      </c>
      <c r="F697" s="28" t="str">
        <f t="shared" si="31"/>
        <v>Aug</v>
      </c>
      <c r="G697" s="17" t="s">
        <v>22</v>
      </c>
      <c r="H697" s="17" t="s">
        <v>23</v>
      </c>
      <c r="I697" s="24">
        <v>97484.164399999994</v>
      </c>
      <c r="J697" s="32">
        <v>28</v>
      </c>
      <c r="K697" s="17" t="s">
        <v>16</v>
      </c>
      <c r="L697" s="24">
        <v>2914.32</v>
      </c>
      <c r="M697" s="24">
        <v>4903.63</v>
      </c>
      <c r="N697" s="34">
        <f>((sales_data_1[[#This Row],[Unit_Price]]*(1-sales_data_1[[#This Row],[Discount]]))-sales_data_1[[#This Row],[Unit_Cost]])*sales_data_1[[#This Row],[Quantity_Sold]]</f>
        <v>15883.204399999993</v>
      </c>
      <c r="O697" s="17" t="s">
        <v>27</v>
      </c>
      <c r="P697" s="26">
        <v>0.28999999999999998</v>
      </c>
      <c r="Q697" s="17" t="s">
        <v>28</v>
      </c>
      <c r="R697" s="17" t="s">
        <v>19</v>
      </c>
      <c r="S697" s="49" t="str">
        <f t="shared" si="32"/>
        <v>David-South</v>
      </c>
      <c r="T697" s="59" t="str">
        <f>IF(ROUND(sales_data_1[[#This Row],[Profit_Margin]],2)=ROUND((sales_data_1[[#This Row],[Unit_Price]]*(1-sales_data_1[[#This Row],[Discount]]) - sales_data_1[[#This Row],[Unit_Cost]])*sales_data_1[[#This Row],[Quantity_Sold]],2), "PASS", "CHECK")</f>
        <v>PASS</v>
      </c>
    </row>
    <row r="698" spans="1:20" x14ac:dyDescent="0.35">
      <c r="A698" s="7">
        <v>697</v>
      </c>
      <c r="B698" s="9">
        <v>1041</v>
      </c>
      <c r="C698" s="7" t="str">
        <f>IFERROR(_xlfn.TEXTJOIN("-", TRUE, _xlfn.XLOOKUP(K698, product_category_id_lookup!$A$2:$A$5, product_category_id_lookup!$B$2:$B$5), B698), "Unknown Category")</f>
        <v>ctg-1041</v>
      </c>
      <c r="D698" s="8">
        <v>44785</v>
      </c>
      <c r="E698" s="7">
        <f t="shared" si="30"/>
        <v>2022</v>
      </c>
      <c r="F698" s="28" t="str">
        <f t="shared" si="31"/>
        <v>Aug</v>
      </c>
      <c r="G698" s="17" t="s">
        <v>29</v>
      </c>
      <c r="H698" s="17" t="s">
        <v>23</v>
      </c>
      <c r="I698" s="24">
        <v>38646.931199999999</v>
      </c>
      <c r="J698" s="32">
        <v>16</v>
      </c>
      <c r="K698" s="17" t="s">
        <v>26</v>
      </c>
      <c r="L698" s="24">
        <v>812.75</v>
      </c>
      <c r="M698" s="24">
        <v>2776.36</v>
      </c>
      <c r="N698" s="34">
        <f>((sales_data_1[[#This Row],[Unit_Price]]*(1-sales_data_1[[#This Row],[Discount]]))-sales_data_1[[#This Row],[Unit_Cost]])*sales_data_1[[#This Row],[Quantity_Sold]]</f>
        <v>25642.931199999999</v>
      </c>
      <c r="O698" s="17" t="s">
        <v>17</v>
      </c>
      <c r="P698" s="26">
        <v>0.13</v>
      </c>
      <c r="Q698" s="17" t="s">
        <v>25</v>
      </c>
      <c r="R698" s="17" t="s">
        <v>19</v>
      </c>
      <c r="S698" s="49" t="str">
        <f t="shared" si="32"/>
        <v>Charlie-South</v>
      </c>
      <c r="T698" s="59" t="str">
        <f>IF(ROUND(sales_data_1[[#This Row],[Profit_Margin]],2)=ROUND((sales_data_1[[#This Row],[Unit_Price]]*(1-sales_data_1[[#This Row],[Discount]]) - sales_data_1[[#This Row],[Unit_Cost]])*sales_data_1[[#This Row],[Quantity_Sold]],2), "PASS", "CHECK")</f>
        <v>PASS</v>
      </c>
    </row>
    <row r="699" spans="1:20" x14ac:dyDescent="0.35">
      <c r="A699" s="7">
        <v>698</v>
      </c>
      <c r="B699" s="9">
        <v>1081</v>
      </c>
      <c r="C699" s="7" t="str">
        <f>IFERROR(_xlfn.TEXTJOIN("-", TRUE, _xlfn.XLOOKUP(K699, product_category_id_lookup!$A$2:$A$5, product_category_id_lookup!$B$2:$B$5), B699), "Unknown Category")</f>
        <v>fnt-1081</v>
      </c>
      <c r="D699" s="8">
        <v>44785</v>
      </c>
      <c r="E699" s="7">
        <f t="shared" si="30"/>
        <v>2022</v>
      </c>
      <c r="F699" s="28" t="str">
        <f t="shared" si="31"/>
        <v>Aug</v>
      </c>
      <c r="G699" s="17" t="s">
        <v>33</v>
      </c>
      <c r="H699" s="17" t="s">
        <v>20</v>
      </c>
      <c r="I699" s="24">
        <v>111675.95999999999</v>
      </c>
      <c r="J699" s="32">
        <v>33</v>
      </c>
      <c r="K699" s="17" t="s">
        <v>16</v>
      </c>
      <c r="L699" s="24">
        <v>1480.82</v>
      </c>
      <c r="M699" s="24">
        <v>4512.16</v>
      </c>
      <c r="N699" s="34">
        <f>((sales_data_1[[#This Row],[Unit_Price]]*(1-sales_data_1[[#This Row],[Discount]]))-sales_data_1[[#This Row],[Unit_Cost]])*sales_data_1[[#This Row],[Quantity_Sold]]</f>
        <v>62808.9</v>
      </c>
      <c r="O699" s="17" t="s">
        <v>27</v>
      </c>
      <c r="P699" s="26">
        <v>0.25</v>
      </c>
      <c r="Q699" s="17" t="s">
        <v>28</v>
      </c>
      <c r="R699" s="17" t="s">
        <v>21</v>
      </c>
      <c r="S699" s="49" t="str">
        <f t="shared" si="32"/>
        <v>Alice-West</v>
      </c>
      <c r="T699" s="59" t="str">
        <f>IF(ROUND(sales_data_1[[#This Row],[Profit_Margin]],2)=ROUND((sales_data_1[[#This Row],[Unit_Price]]*(1-sales_data_1[[#This Row],[Discount]]) - sales_data_1[[#This Row],[Unit_Cost]])*sales_data_1[[#This Row],[Quantity_Sold]],2), "PASS", "CHECK")</f>
        <v>PASS</v>
      </c>
    </row>
    <row r="700" spans="1:20" x14ac:dyDescent="0.35">
      <c r="A700" s="7">
        <v>699</v>
      </c>
      <c r="B700" s="9">
        <v>1072</v>
      </c>
      <c r="C700" s="7" t="str">
        <f>IFERROR(_xlfn.TEXTJOIN("-", TRUE, _xlfn.XLOOKUP(K700, product_category_id_lookup!$A$2:$A$5, product_category_id_lookup!$B$2:$B$5), B700), "Unknown Category")</f>
        <v>etc-1072</v>
      </c>
      <c r="D700" s="8">
        <v>44786</v>
      </c>
      <c r="E700" s="7">
        <f t="shared" si="30"/>
        <v>2022</v>
      </c>
      <c r="F700" s="28" t="str">
        <f t="shared" si="31"/>
        <v>Aug</v>
      </c>
      <c r="G700" s="17" t="s">
        <v>14</v>
      </c>
      <c r="H700" s="17" t="s">
        <v>30</v>
      </c>
      <c r="I700" s="24">
        <v>72564.632800000007</v>
      </c>
      <c r="J700" s="32">
        <v>44</v>
      </c>
      <c r="K700" s="17" t="s">
        <v>31</v>
      </c>
      <c r="L700" s="24">
        <v>110.9</v>
      </c>
      <c r="M700" s="24">
        <v>1917.67</v>
      </c>
      <c r="N700" s="34">
        <f>((sales_data_1[[#This Row],[Unit_Price]]*(1-sales_data_1[[#This Row],[Discount]]))-sales_data_1[[#This Row],[Unit_Cost]])*sales_data_1[[#This Row],[Quantity_Sold]]</f>
        <v>67685.032800000001</v>
      </c>
      <c r="O700" s="17" t="s">
        <v>27</v>
      </c>
      <c r="P700" s="26">
        <v>0.14000000000000001</v>
      </c>
      <c r="Q700" s="17" t="s">
        <v>25</v>
      </c>
      <c r="R700" s="17" t="s">
        <v>21</v>
      </c>
      <c r="S700" s="49" t="str">
        <f t="shared" si="32"/>
        <v>Bob-East</v>
      </c>
      <c r="T700" s="59" t="str">
        <f>IF(ROUND(sales_data_1[[#This Row],[Profit_Margin]],2)=ROUND((sales_data_1[[#This Row],[Unit_Price]]*(1-sales_data_1[[#This Row],[Discount]]) - sales_data_1[[#This Row],[Unit_Cost]])*sales_data_1[[#This Row],[Quantity_Sold]],2), "PASS", "CHECK")</f>
        <v>PASS</v>
      </c>
    </row>
    <row r="701" spans="1:20" x14ac:dyDescent="0.35">
      <c r="A701" s="7">
        <v>700</v>
      </c>
      <c r="B701" s="9">
        <v>1072</v>
      </c>
      <c r="C701" s="7" t="str">
        <f>IFERROR(_xlfn.TEXTJOIN("-", TRUE, _xlfn.XLOOKUP(K701, product_category_id_lookup!$A$2:$A$5, product_category_id_lookup!$B$2:$B$5), B701), "Unknown Category")</f>
        <v>fnt-1072</v>
      </c>
      <c r="D701" s="8">
        <v>44786</v>
      </c>
      <c r="E701" s="7">
        <f t="shared" si="30"/>
        <v>2022</v>
      </c>
      <c r="F701" s="28" t="str">
        <f t="shared" si="31"/>
        <v>Aug</v>
      </c>
      <c r="G701" s="17" t="s">
        <v>33</v>
      </c>
      <c r="H701" s="17" t="s">
        <v>15</v>
      </c>
      <c r="I701" s="24">
        <v>149820.3334</v>
      </c>
      <c r="J701" s="32">
        <v>37</v>
      </c>
      <c r="K701" s="17" t="s">
        <v>16</v>
      </c>
      <c r="L701" s="24">
        <v>286.97000000000003</v>
      </c>
      <c r="M701" s="24">
        <v>4708.37</v>
      </c>
      <c r="N701" s="34">
        <f>((sales_data_1[[#This Row],[Unit_Price]]*(1-sales_data_1[[#This Row],[Discount]]))-sales_data_1[[#This Row],[Unit_Cost]])*sales_data_1[[#This Row],[Quantity_Sold]]</f>
        <v>139202.44339999999</v>
      </c>
      <c r="O701" s="17" t="s">
        <v>27</v>
      </c>
      <c r="P701" s="26">
        <v>0.14000000000000001</v>
      </c>
      <c r="Q701" s="17" t="s">
        <v>25</v>
      </c>
      <c r="R701" s="17" t="s">
        <v>19</v>
      </c>
      <c r="S701" s="49" t="str">
        <f t="shared" si="32"/>
        <v>Alice-North</v>
      </c>
      <c r="T701" s="59" t="str">
        <f>IF(ROUND(sales_data_1[[#This Row],[Profit_Margin]],2)=ROUND((sales_data_1[[#This Row],[Unit_Price]]*(1-sales_data_1[[#This Row],[Discount]]) - sales_data_1[[#This Row],[Unit_Cost]])*sales_data_1[[#This Row],[Quantity_Sold]],2), "PASS", "CHECK")</f>
        <v>PASS</v>
      </c>
    </row>
    <row r="702" spans="1:20" x14ac:dyDescent="0.35">
      <c r="A702" s="7">
        <v>701</v>
      </c>
      <c r="B702" s="9">
        <v>1043</v>
      </c>
      <c r="C702" s="7" t="str">
        <f>IFERROR(_xlfn.TEXTJOIN("-", TRUE, _xlfn.XLOOKUP(K702, product_category_id_lookup!$A$2:$A$5, product_category_id_lookup!$B$2:$B$5), B702), "Unknown Category")</f>
        <v>etc-1043</v>
      </c>
      <c r="D702" s="8">
        <v>44787</v>
      </c>
      <c r="E702" s="7">
        <f t="shared" si="30"/>
        <v>2022</v>
      </c>
      <c r="F702" s="28" t="str">
        <f t="shared" si="31"/>
        <v>Aug</v>
      </c>
      <c r="G702" s="17" t="s">
        <v>33</v>
      </c>
      <c r="H702" s="17" t="s">
        <v>23</v>
      </c>
      <c r="I702" s="24">
        <v>39789.861799999999</v>
      </c>
      <c r="J702" s="32">
        <v>13</v>
      </c>
      <c r="K702" s="17" t="s">
        <v>31</v>
      </c>
      <c r="L702" s="24">
        <v>309.42</v>
      </c>
      <c r="M702" s="24">
        <v>4192.82</v>
      </c>
      <c r="N702" s="34">
        <f>((sales_data_1[[#This Row],[Unit_Price]]*(1-sales_data_1[[#This Row],[Discount]]))-sales_data_1[[#This Row],[Unit_Cost]])*sales_data_1[[#This Row],[Quantity_Sold]]</f>
        <v>35767.401799999992</v>
      </c>
      <c r="O702" s="17" t="s">
        <v>27</v>
      </c>
      <c r="P702" s="26">
        <v>0.27</v>
      </c>
      <c r="Q702" s="17" t="s">
        <v>18</v>
      </c>
      <c r="R702" s="17" t="s">
        <v>21</v>
      </c>
      <c r="S702" s="49" t="str">
        <f t="shared" si="32"/>
        <v>Alice-South</v>
      </c>
      <c r="T702" s="59" t="str">
        <f>IF(ROUND(sales_data_1[[#This Row],[Profit_Margin]],2)=ROUND((sales_data_1[[#This Row],[Unit_Price]]*(1-sales_data_1[[#This Row],[Discount]]) - sales_data_1[[#This Row],[Unit_Cost]])*sales_data_1[[#This Row],[Quantity_Sold]],2), "PASS", "CHECK")</f>
        <v>PASS</v>
      </c>
    </row>
    <row r="703" spans="1:20" x14ac:dyDescent="0.35">
      <c r="A703" s="7">
        <v>702</v>
      </c>
      <c r="B703" s="9">
        <v>1008</v>
      </c>
      <c r="C703" s="7" t="str">
        <f>IFERROR(_xlfn.TEXTJOIN("-", TRUE, _xlfn.XLOOKUP(K703, product_category_id_lookup!$A$2:$A$5, product_category_id_lookup!$B$2:$B$5), B703), "Unknown Category")</f>
        <v>ctg-1008</v>
      </c>
      <c r="D703" s="8">
        <v>44787</v>
      </c>
      <c r="E703" s="7">
        <f t="shared" si="30"/>
        <v>2022</v>
      </c>
      <c r="F703" s="28" t="str">
        <f t="shared" si="31"/>
        <v>Aug</v>
      </c>
      <c r="G703" s="17" t="s">
        <v>33</v>
      </c>
      <c r="H703" s="17" t="s">
        <v>20</v>
      </c>
      <c r="I703" s="24">
        <v>60157.013800000001</v>
      </c>
      <c r="J703" s="32">
        <v>13</v>
      </c>
      <c r="K703" s="17" t="s">
        <v>26</v>
      </c>
      <c r="L703" s="24">
        <v>477.47</v>
      </c>
      <c r="M703" s="24">
        <v>4770.58</v>
      </c>
      <c r="N703" s="34">
        <f>((sales_data_1[[#This Row],[Unit_Price]]*(1-sales_data_1[[#This Row],[Discount]]))-sales_data_1[[#This Row],[Unit_Cost]])*sales_data_1[[#This Row],[Quantity_Sold]]</f>
        <v>53949.903799999993</v>
      </c>
      <c r="O703" s="17" t="s">
        <v>17</v>
      </c>
      <c r="P703" s="26">
        <v>0.03</v>
      </c>
      <c r="Q703" s="17" t="s">
        <v>18</v>
      </c>
      <c r="R703" s="17" t="s">
        <v>21</v>
      </c>
      <c r="S703" s="49" t="str">
        <f t="shared" si="32"/>
        <v>Alice-West</v>
      </c>
      <c r="T703" s="59" t="str">
        <f>IF(ROUND(sales_data_1[[#This Row],[Profit_Margin]],2)=ROUND((sales_data_1[[#This Row],[Unit_Price]]*(1-sales_data_1[[#This Row],[Discount]]) - sales_data_1[[#This Row],[Unit_Cost]])*sales_data_1[[#This Row],[Quantity_Sold]],2), "PASS", "CHECK")</f>
        <v>PASS</v>
      </c>
    </row>
    <row r="704" spans="1:20" x14ac:dyDescent="0.35">
      <c r="A704" s="7">
        <v>703</v>
      </c>
      <c r="B704" s="9">
        <v>1098</v>
      </c>
      <c r="C704" s="7" t="str">
        <f>IFERROR(_xlfn.TEXTJOIN("-", TRUE, _xlfn.XLOOKUP(K704, product_category_id_lookup!$A$2:$A$5, product_category_id_lookup!$B$2:$B$5), B704), "Unknown Category")</f>
        <v>fnt-1098</v>
      </c>
      <c r="D704" s="8">
        <v>44787</v>
      </c>
      <c r="E704" s="7">
        <f t="shared" si="30"/>
        <v>2022</v>
      </c>
      <c r="F704" s="28" t="str">
        <f t="shared" si="31"/>
        <v>Aug</v>
      </c>
      <c r="G704" s="17" t="s">
        <v>32</v>
      </c>
      <c r="H704" s="17" t="s">
        <v>15</v>
      </c>
      <c r="I704" s="24">
        <v>103145.14679999999</v>
      </c>
      <c r="J704" s="32">
        <v>23</v>
      </c>
      <c r="K704" s="17" t="s">
        <v>16</v>
      </c>
      <c r="L704" s="24">
        <v>930.14</v>
      </c>
      <c r="M704" s="24">
        <v>4822.12</v>
      </c>
      <c r="N704" s="34">
        <f>((sales_data_1[[#This Row],[Unit_Price]]*(1-sales_data_1[[#This Row],[Discount]]))-sales_data_1[[#This Row],[Unit_Cost]])*sales_data_1[[#This Row],[Quantity_Sold]]</f>
        <v>81751.926799999987</v>
      </c>
      <c r="O704" s="17" t="s">
        <v>27</v>
      </c>
      <c r="P704" s="26">
        <v>7.0000000000000007E-2</v>
      </c>
      <c r="Q704" s="17" t="s">
        <v>28</v>
      </c>
      <c r="R704" s="17" t="s">
        <v>19</v>
      </c>
      <c r="S704" s="49" t="str">
        <f t="shared" si="32"/>
        <v>Eve-North</v>
      </c>
      <c r="T704" s="59" t="str">
        <f>IF(ROUND(sales_data_1[[#This Row],[Profit_Margin]],2)=ROUND((sales_data_1[[#This Row],[Unit_Price]]*(1-sales_data_1[[#This Row],[Discount]]) - sales_data_1[[#This Row],[Unit_Cost]])*sales_data_1[[#This Row],[Quantity_Sold]],2), "PASS", "CHECK")</f>
        <v>PASS</v>
      </c>
    </row>
    <row r="705" spans="1:20" x14ac:dyDescent="0.35">
      <c r="A705" s="7">
        <v>704</v>
      </c>
      <c r="B705" s="9">
        <v>1026</v>
      </c>
      <c r="C705" s="7" t="str">
        <f>IFERROR(_xlfn.TEXTJOIN("-", TRUE, _xlfn.XLOOKUP(K705, product_category_id_lookup!$A$2:$A$5, product_category_id_lookup!$B$2:$B$5), B705), "Unknown Category")</f>
        <v>etc-1026</v>
      </c>
      <c r="D705" s="8">
        <v>44788</v>
      </c>
      <c r="E705" s="7">
        <f t="shared" si="30"/>
        <v>2022</v>
      </c>
      <c r="F705" s="28" t="str">
        <f t="shared" si="31"/>
        <v>Aug</v>
      </c>
      <c r="G705" s="17" t="s">
        <v>22</v>
      </c>
      <c r="H705" s="17" t="s">
        <v>23</v>
      </c>
      <c r="I705" s="24">
        <v>184607.26924429662</v>
      </c>
      <c r="J705" s="32">
        <v>38</v>
      </c>
      <c r="K705" s="17" t="s">
        <v>31</v>
      </c>
      <c r="L705" s="24">
        <v>4455.21</v>
      </c>
      <c r="M705" s="24">
        <v>5100.45</v>
      </c>
      <c r="N705" s="34">
        <f>((sales_data_1[[#This Row],[Unit_Price]]*(1-sales_data_1[[#This Row],[Discount]]))-sales_data_1[[#This Row],[Unit_Cost]])*sales_data_1[[#This Row],[Quantity_Sold]]</f>
        <v>14828.26499999999</v>
      </c>
      <c r="O705" s="17" t="s">
        <v>17</v>
      </c>
      <c r="P705" s="26">
        <v>0.05</v>
      </c>
      <c r="Q705" s="17" t="s">
        <v>18</v>
      </c>
      <c r="R705" s="17" t="s">
        <v>21</v>
      </c>
      <c r="S705" s="49" t="str">
        <f t="shared" si="32"/>
        <v>David-South</v>
      </c>
      <c r="T705" s="59" t="str">
        <f>IF(ROUND(sales_data_1[[#This Row],[Profit_Margin]],2)=ROUND((sales_data_1[[#This Row],[Unit_Price]]*(1-sales_data_1[[#This Row],[Discount]]) - sales_data_1[[#This Row],[Unit_Cost]])*sales_data_1[[#This Row],[Quantity_Sold]],2), "PASS", "CHECK")</f>
        <v>PASS</v>
      </c>
    </row>
    <row r="706" spans="1:20" x14ac:dyDescent="0.35">
      <c r="A706" s="7">
        <v>705</v>
      </c>
      <c r="B706" s="9">
        <v>1062</v>
      </c>
      <c r="C706" s="7" t="str">
        <f>IFERROR(_xlfn.TEXTJOIN("-", TRUE, _xlfn.XLOOKUP(K706, product_category_id_lookup!$A$2:$A$5, product_category_id_lookup!$B$2:$B$5), B706), "Unknown Category")</f>
        <v>ctg-1062</v>
      </c>
      <c r="D706" s="8">
        <v>44788</v>
      </c>
      <c r="E706" s="7">
        <f t="shared" ref="E706:E769" si="33">YEAR(D706)</f>
        <v>2022</v>
      </c>
      <c r="F706" s="28" t="str">
        <f t="shared" ref="F706:F769" si="34">LEFT(TEXT(D706,"mmmm"),3)</f>
        <v>Aug</v>
      </c>
      <c r="G706" s="17" t="s">
        <v>32</v>
      </c>
      <c r="H706" s="17" t="s">
        <v>20</v>
      </c>
      <c r="I706" s="24">
        <v>112496.0496</v>
      </c>
      <c r="J706" s="32">
        <v>43</v>
      </c>
      <c r="K706" s="17" t="s">
        <v>26</v>
      </c>
      <c r="L706" s="24">
        <v>1417.75</v>
      </c>
      <c r="M706" s="24">
        <v>2972.94</v>
      </c>
      <c r="N706" s="34">
        <f>((sales_data_1[[#This Row],[Unit_Price]]*(1-sales_data_1[[#This Row],[Discount]]))-sales_data_1[[#This Row],[Unit_Cost]])*sales_data_1[[#This Row],[Quantity_Sold]]</f>
        <v>51532.799599999991</v>
      </c>
      <c r="O706" s="17" t="s">
        <v>17</v>
      </c>
      <c r="P706" s="26">
        <v>0.12</v>
      </c>
      <c r="Q706" s="17" t="s">
        <v>28</v>
      </c>
      <c r="R706" s="17" t="s">
        <v>21</v>
      </c>
      <c r="S706" s="49" t="str">
        <f t="shared" ref="S706:S769" si="35">_xlfn.CONCAT(G706,"-",H706)</f>
        <v>Eve-West</v>
      </c>
      <c r="T706" s="59" t="str">
        <f>IF(ROUND(sales_data_1[[#This Row],[Profit_Margin]],2)=ROUND((sales_data_1[[#This Row],[Unit_Price]]*(1-sales_data_1[[#This Row],[Discount]]) - sales_data_1[[#This Row],[Unit_Cost]])*sales_data_1[[#This Row],[Quantity_Sold]],2), "PASS", "CHECK")</f>
        <v>PASS</v>
      </c>
    </row>
    <row r="707" spans="1:20" x14ac:dyDescent="0.35">
      <c r="A707" s="7">
        <v>706</v>
      </c>
      <c r="B707" s="9">
        <v>1002</v>
      </c>
      <c r="C707" s="7" t="str">
        <f>IFERROR(_xlfn.TEXTJOIN("-", TRUE, _xlfn.XLOOKUP(K707, product_category_id_lookup!$A$2:$A$5, product_category_id_lookup!$B$2:$B$5), B707), "Unknown Category")</f>
        <v>fnt-1002</v>
      </c>
      <c r="D707" s="8">
        <v>44789</v>
      </c>
      <c r="E707" s="7">
        <f t="shared" si="33"/>
        <v>2022</v>
      </c>
      <c r="F707" s="28" t="str">
        <f t="shared" si="34"/>
        <v>Aug</v>
      </c>
      <c r="G707" s="17" t="s">
        <v>29</v>
      </c>
      <c r="H707" s="17" t="s">
        <v>20</v>
      </c>
      <c r="I707" s="24">
        <v>13515.72</v>
      </c>
      <c r="J707" s="32">
        <v>4</v>
      </c>
      <c r="K707" s="17" t="s">
        <v>16</v>
      </c>
      <c r="L707" s="24">
        <v>2785.71</v>
      </c>
      <c r="M707" s="24">
        <v>4505.24</v>
      </c>
      <c r="N707" s="34">
        <f>((sales_data_1[[#This Row],[Unit_Price]]*(1-sales_data_1[[#This Row],[Discount]]))-sales_data_1[[#This Row],[Unit_Cost]])*sales_data_1[[#This Row],[Quantity_Sold]]</f>
        <v>2372.8799999999992</v>
      </c>
      <c r="O707" s="17" t="s">
        <v>17</v>
      </c>
      <c r="P707" s="26">
        <v>0.25</v>
      </c>
      <c r="Q707" s="17" t="s">
        <v>25</v>
      </c>
      <c r="R707" s="17" t="s">
        <v>19</v>
      </c>
      <c r="S707" s="49" t="str">
        <f t="shared" si="35"/>
        <v>Charlie-West</v>
      </c>
      <c r="T707" s="59" t="str">
        <f>IF(ROUND(sales_data_1[[#This Row],[Profit_Margin]],2)=ROUND((sales_data_1[[#This Row],[Unit_Price]]*(1-sales_data_1[[#This Row],[Discount]]) - sales_data_1[[#This Row],[Unit_Cost]])*sales_data_1[[#This Row],[Quantity_Sold]],2), "PASS", "CHECK")</f>
        <v>PASS</v>
      </c>
    </row>
    <row r="708" spans="1:20" x14ac:dyDescent="0.35">
      <c r="A708" s="7">
        <v>707</v>
      </c>
      <c r="B708" s="9">
        <v>1049</v>
      </c>
      <c r="C708" s="7" t="str">
        <f>IFERROR(_xlfn.TEXTJOIN("-", TRUE, _xlfn.XLOOKUP(K708, product_category_id_lookup!$A$2:$A$5, product_category_id_lookup!$B$2:$B$5), B708), "Unknown Category")</f>
        <v>etc-1049</v>
      </c>
      <c r="D708" s="8">
        <v>44789</v>
      </c>
      <c r="E708" s="7">
        <f t="shared" si="33"/>
        <v>2022</v>
      </c>
      <c r="F708" s="28" t="str">
        <f t="shared" si="34"/>
        <v>Aug</v>
      </c>
      <c r="G708" s="17" t="s">
        <v>22</v>
      </c>
      <c r="H708" s="17" t="s">
        <v>30</v>
      </c>
      <c r="I708" s="24">
        <v>113056.09480000001</v>
      </c>
      <c r="J708" s="32">
        <v>44</v>
      </c>
      <c r="K708" s="17" t="s">
        <v>31</v>
      </c>
      <c r="L708" s="24">
        <v>561.59</v>
      </c>
      <c r="M708" s="24">
        <v>2887.03</v>
      </c>
      <c r="N708" s="34">
        <f>((sales_data_1[[#This Row],[Unit_Price]]*(1-sales_data_1[[#This Row],[Discount]]))-sales_data_1[[#This Row],[Unit_Cost]])*sales_data_1[[#This Row],[Quantity_Sold]]</f>
        <v>88346.1348</v>
      </c>
      <c r="O708" s="17" t="s">
        <v>17</v>
      </c>
      <c r="P708" s="26">
        <v>0.11</v>
      </c>
      <c r="Q708" s="17" t="s">
        <v>18</v>
      </c>
      <c r="R708" s="17" t="s">
        <v>21</v>
      </c>
      <c r="S708" s="49" t="str">
        <f t="shared" si="35"/>
        <v>David-East</v>
      </c>
      <c r="T708" s="59" t="str">
        <f>IF(ROUND(sales_data_1[[#This Row],[Profit_Margin]],2)=ROUND((sales_data_1[[#This Row],[Unit_Price]]*(1-sales_data_1[[#This Row],[Discount]]) - sales_data_1[[#This Row],[Unit_Cost]])*sales_data_1[[#This Row],[Quantity_Sold]],2), "PASS", "CHECK")</f>
        <v>PASS</v>
      </c>
    </row>
    <row r="709" spans="1:20" x14ac:dyDescent="0.35">
      <c r="A709" s="7">
        <v>708</v>
      </c>
      <c r="B709" s="9">
        <v>1079</v>
      </c>
      <c r="C709" s="7" t="str">
        <f>IFERROR(_xlfn.TEXTJOIN("-", TRUE, _xlfn.XLOOKUP(K709, product_category_id_lookup!$A$2:$A$5, product_category_id_lookup!$B$2:$B$5), B709), "Unknown Category")</f>
        <v>etc-1079</v>
      </c>
      <c r="D709" s="8">
        <v>44790</v>
      </c>
      <c r="E709" s="7">
        <f t="shared" si="33"/>
        <v>2022</v>
      </c>
      <c r="F709" s="28" t="str">
        <f t="shared" si="34"/>
        <v>Aug</v>
      </c>
      <c r="G709" s="17" t="s">
        <v>14</v>
      </c>
      <c r="H709" s="17" t="s">
        <v>20</v>
      </c>
      <c r="I709" s="24">
        <v>4214.3139999999994</v>
      </c>
      <c r="J709" s="32">
        <v>4</v>
      </c>
      <c r="K709" s="17" t="s">
        <v>31</v>
      </c>
      <c r="L709" s="24">
        <v>261.01</v>
      </c>
      <c r="M709" s="24">
        <v>1109.03</v>
      </c>
      <c r="N709" s="34">
        <f>((sales_data_1[[#This Row],[Unit_Price]]*(1-sales_data_1[[#This Row],[Discount]]))-sales_data_1[[#This Row],[Unit_Cost]])*sales_data_1[[#This Row],[Quantity_Sold]]</f>
        <v>3170.2739999999994</v>
      </c>
      <c r="O709" s="17" t="s">
        <v>27</v>
      </c>
      <c r="P709" s="26">
        <v>0.05</v>
      </c>
      <c r="Q709" s="17" t="s">
        <v>28</v>
      </c>
      <c r="R709" s="17" t="s">
        <v>19</v>
      </c>
      <c r="S709" s="49" t="str">
        <f t="shared" si="35"/>
        <v>Bob-West</v>
      </c>
      <c r="T709" s="59" t="str">
        <f>IF(ROUND(sales_data_1[[#This Row],[Profit_Margin]],2)=ROUND((sales_data_1[[#This Row],[Unit_Price]]*(1-sales_data_1[[#This Row],[Discount]]) - sales_data_1[[#This Row],[Unit_Cost]])*sales_data_1[[#This Row],[Quantity_Sold]],2), "PASS", "CHECK")</f>
        <v>PASS</v>
      </c>
    </row>
    <row r="710" spans="1:20" x14ac:dyDescent="0.35">
      <c r="A710" s="7">
        <v>709</v>
      </c>
      <c r="B710" s="9">
        <v>1049</v>
      </c>
      <c r="C710" s="7" t="str">
        <f>IFERROR(_xlfn.TEXTJOIN("-", TRUE, _xlfn.XLOOKUP(K710, product_category_id_lookup!$A$2:$A$5, product_category_id_lookup!$B$2:$B$5), B710), "Unknown Category")</f>
        <v>fnt-1049</v>
      </c>
      <c r="D710" s="8">
        <v>44790</v>
      </c>
      <c r="E710" s="7">
        <f t="shared" si="33"/>
        <v>2022</v>
      </c>
      <c r="F710" s="28" t="str">
        <f t="shared" si="34"/>
        <v>Aug</v>
      </c>
      <c r="G710" s="17" t="s">
        <v>22</v>
      </c>
      <c r="H710" s="17" t="s">
        <v>23</v>
      </c>
      <c r="I710" s="24">
        <v>4810.4628000000002</v>
      </c>
      <c r="J710" s="32">
        <v>2</v>
      </c>
      <c r="K710" s="17" t="s">
        <v>16</v>
      </c>
      <c r="L710" s="24">
        <v>700.99</v>
      </c>
      <c r="M710" s="24">
        <v>3083.63</v>
      </c>
      <c r="N710" s="34">
        <f>((sales_data_1[[#This Row],[Unit_Price]]*(1-sales_data_1[[#This Row],[Discount]]))-sales_data_1[[#This Row],[Unit_Cost]])*sales_data_1[[#This Row],[Quantity_Sold]]</f>
        <v>3408.4828000000002</v>
      </c>
      <c r="O710" s="17" t="s">
        <v>27</v>
      </c>
      <c r="P710" s="26">
        <v>0.22</v>
      </c>
      <c r="Q710" s="17" t="s">
        <v>25</v>
      </c>
      <c r="R710" s="17" t="s">
        <v>21</v>
      </c>
      <c r="S710" s="49" t="str">
        <f t="shared" si="35"/>
        <v>David-South</v>
      </c>
      <c r="T710" s="59" t="str">
        <f>IF(ROUND(sales_data_1[[#This Row],[Profit_Margin]],2)=ROUND((sales_data_1[[#This Row],[Unit_Price]]*(1-sales_data_1[[#This Row],[Discount]]) - sales_data_1[[#This Row],[Unit_Cost]])*sales_data_1[[#This Row],[Quantity_Sold]],2), "PASS", "CHECK")</f>
        <v>PASS</v>
      </c>
    </row>
    <row r="711" spans="1:20" x14ac:dyDescent="0.35">
      <c r="A711" s="7">
        <v>710</v>
      </c>
      <c r="B711" s="9">
        <v>1059</v>
      </c>
      <c r="C711" s="7" t="str">
        <f>IFERROR(_xlfn.TEXTJOIN("-", TRUE, _xlfn.XLOOKUP(K711, product_category_id_lookup!$A$2:$A$5, product_category_id_lookup!$B$2:$B$5), B711), "Unknown Category")</f>
        <v>fnt-1059</v>
      </c>
      <c r="D711" s="8">
        <v>44791</v>
      </c>
      <c r="E711" s="7">
        <f t="shared" si="33"/>
        <v>2022</v>
      </c>
      <c r="F711" s="28" t="str">
        <f t="shared" si="34"/>
        <v>Aug</v>
      </c>
      <c r="G711" s="17" t="s">
        <v>29</v>
      </c>
      <c r="H711" s="17" t="s">
        <v>15</v>
      </c>
      <c r="I711" s="24">
        <v>16866.685542281895</v>
      </c>
      <c r="J711" s="32">
        <v>4</v>
      </c>
      <c r="K711" s="17" t="s">
        <v>16</v>
      </c>
      <c r="L711" s="24">
        <v>3972.16</v>
      </c>
      <c r="M711" s="24">
        <v>4361.22</v>
      </c>
      <c r="N711" s="34">
        <f>((sales_data_1[[#This Row],[Unit_Price]]*(1-sales_data_1[[#This Row],[Discount]]))-sales_data_1[[#This Row],[Unit_Cost]])*sales_data_1[[#This Row],[Quantity_Sold]]</f>
        <v>1032.8935999999994</v>
      </c>
      <c r="O711" s="17" t="s">
        <v>17</v>
      </c>
      <c r="P711" s="26">
        <v>0.03</v>
      </c>
      <c r="Q711" s="17" t="s">
        <v>18</v>
      </c>
      <c r="R711" s="17" t="s">
        <v>21</v>
      </c>
      <c r="S711" s="49" t="str">
        <f t="shared" si="35"/>
        <v>Charlie-North</v>
      </c>
      <c r="T711" s="59" t="str">
        <f>IF(ROUND(sales_data_1[[#This Row],[Profit_Margin]],2)=ROUND((sales_data_1[[#This Row],[Unit_Price]]*(1-sales_data_1[[#This Row],[Discount]]) - sales_data_1[[#This Row],[Unit_Cost]])*sales_data_1[[#This Row],[Quantity_Sold]],2), "PASS", "CHECK")</f>
        <v>PASS</v>
      </c>
    </row>
    <row r="712" spans="1:20" x14ac:dyDescent="0.35">
      <c r="A712" s="7">
        <v>711</v>
      </c>
      <c r="B712" s="9">
        <v>1057</v>
      </c>
      <c r="C712" s="7" t="str">
        <f>IFERROR(_xlfn.TEXTJOIN("-", TRUE, _xlfn.XLOOKUP(K712, product_category_id_lookup!$A$2:$A$5, product_category_id_lookup!$B$2:$B$5), B712), "Unknown Category")</f>
        <v>fd-1057</v>
      </c>
      <c r="D712" s="8">
        <v>44791</v>
      </c>
      <c r="E712" s="7">
        <f t="shared" si="33"/>
        <v>2022</v>
      </c>
      <c r="F712" s="28" t="str">
        <f t="shared" si="34"/>
        <v>Aug</v>
      </c>
      <c r="G712" s="17" t="s">
        <v>33</v>
      </c>
      <c r="H712" s="17" t="s">
        <v>23</v>
      </c>
      <c r="I712" s="24">
        <v>21102.1296</v>
      </c>
      <c r="J712" s="32">
        <v>12</v>
      </c>
      <c r="K712" s="17" t="s">
        <v>24</v>
      </c>
      <c r="L712" s="24">
        <v>1272.3399999999999</v>
      </c>
      <c r="M712" s="24">
        <v>2044.78</v>
      </c>
      <c r="N712" s="34">
        <f>((sales_data_1[[#This Row],[Unit_Price]]*(1-sales_data_1[[#This Row],[Discount]]))-sales_data_1[[#This Row],[Unit_Cost]])*sales_data_1[[#This Row],[Quantity_Sold]]</f>
        <v>5834.0496000000012</v>
      </c>
      <c r="O712" s="17" t="s">
        <v>27</v>
      </c>
      <c r="P712" s="26">
        <v>0.14000000000000001</v>
      </c>
      <c r="Q712" s="17" t="s">
        <v>28</v>
      </c>
      <c r="R712" s="17" t="s">
        <v>19</v>
      </c>
      <c r="S712" s="49" t="str">
        <f t="shared" si="35"/>
        <v>Alice-South</v>
      </c>
      <c r="T712" s="59" t="str">
        <f>IF(ROUND(sales_data_1[[#This Row],[Profit_Margin]],2)=ROUND((sales_data_1[[#This Row],[Unit_Price]]*(1-sales_data_1[[#This Row],[Discount]]) - sales_data_1[[#This Row],[Unit_Cost]])*sales_data_1[[#This Row],[Quantity_Sold]],2), "PASS", "CHECK")</f>
        <v>PASS</v>
      </c>
    </row>
    <row r="713" spans="1:20" x14ac:dyDescent="0.35">
      <c r="A713" s="7">
        <v>712</v>
      </c>
      <c r="B713" s="9">
        <v>1100</v>
      </c>
      <c r="C713" s="7" t="str">
        <f>IFERROR(_xlfn.TEXTJOIN("-", TRUE, _xlfn.XLOOKUP(K713, product_category_id_lookup!$A$2:$A$5, product_category_id_lookup!$B$2:$B$5), B713), "Unknown Category")</f>
        <v>ctg-1100</v>
      </c>
      <c r="D713" s="8">
        <v>44791</v>
      </c>
      <c r="E713" s="7">
        <f t="shared" si="33"/>
        <v>2022</v>
      </c>
      <c r="F713" s="28" t="str">
        <f t="shared" si="34"/>
        <v>Aug</v>
      </c>
      <c r="G713" s="17" t="s">
        <v>22</v>
      </c>
      <c r="H713" s="17" t="s">
        <v>30</v>
      </c>
      <c r="I713" s="24">
        <v>70183.449599999993</v>
      </c>
      <c r="J713" s="32">
        <v>16</v>
      </c>
      <c r="K713" s="17" t="s">
        <v>26</v>
      </c>
      <c r="L713" s="24">
        <v>808.59</v>
      </c>
      <c r="M713" s="24">
        <v>4984.62</v>
      </c>
      <c r="N713" s="34">
        <f>((sales_data_1[[#This Row],[Unit_Price]]*(1-sales_data_1[[#This Row],[Discount]]))-sales_data_1[[#This Row],[Unit_Cost]])*sales_data_1[[#This Row],[Quantity_Sold]]</f>
        <v>57246.00959999999</v>
      </c>
      <c r="O713" s="17" t="s">
        <v>27</v>
      </c>
      <c r="P713" s="26">
        <v>0.12</v>
      </c>
      <c r="Q713" s="17" t="s">
        <v>25</v>
      </c>
      <c r="R713" s="17" t="s">
        <v>21</v>
      </c>
      <c r="S713" s="49" t="str">
        <f t="shared" si="35"/>
        <v>David-East</v>
      </c>
      <c r="T713" s="59" t="str">
        <f>IF(ROUND(sales_data_1[[#This Row],[Profit_Margin]],2)=ROUND((sales_data_1[[#This Row],[Unit_Price]]*(1-sales_data_1[[#This Row],[Discount]]) - sales_data_1[[#This Row],[Unit_Cost]])*sales_data_1[[#This Row],[Quantity_Sold]],2), "PASS", "CHECK")</f>
        <v>PASS</v>
      </c>
    </row>
    <row r="714" spans="1:20" x14ac:dyDescent="0.35">
      <c r="A714" s="7">
        <v>713</v>
      </c>
      <c r="B714" s="9">
        <v>1051</v>
      </c>
      <c r="C714" s="7" t="str">
        <f>IFERROR(_xlfn.TEXTJOIN("-", TRUE, _xlfn.XLOOKUP(K714, product_category_id_lookup!$A$2:$A$5, product_category_id_lookup!$B$2:$B$5), B714), "Unknown Category")</f>
        <v>ctg-1051</v>
      </c>
      <c r="D714" s="8">
        <v>44791</v>
      </c>
      <c r="E714" s="7">
        <f t="shared" si="33"/>
        <v>2022</v>
      </c>
      <c r="F714" s="28" t="str">
        <f t="shared" si="34"/>
        <v>Aug</v>
      </c>
      <c r="G714" s="17" t="s">
        <v>22</v>
      </c>
      <c r="H714" s="17" t="s">
        <v>30</v>
      </c>
      <c r="I714" s="24">
        <v>113129.7678</v>
      </c>
      <c r="J714" s="32">
        <v>42</v>
      </c>
      <c r="K714" s="17" t="s">
        <v>26</v>
      </c>
      <c r="L714" s="24">
        <v>1315.23</v>
      </c>
      <c r="M714" s="24">
        <v>3325.39</v>
      </c>
      <c r="N714" s="34">
        <f>((sales_data_1[[#This Row],[Unit_Price]]*(1-sales_data_1[[#This Row],[Discount]]))-sales_data_1[[#This Row],[Unit_Cost]])*sales_data_1[[#This Row],[Quantity_Sold]]</f>
        <v>57890.107799999998</v>
      </c>
      <c r="O714" s="17" t="s">
        <v>17</v>
      </c>
      <c r="P714" s="26">
        <v>0.19</v>
      </c>
      <c r="Q714" s="17" t="s">
        <v>18</v>
      </c>
      <c r="R714" s="17" t="s">
        <v>19</v>
      </c>
      <c r="S714" s="49" t="str">
        <f t="shared" si="35"/>
        <v>David-East</v>
      </c>
      <c r="T714" s="59" t="str">
        <f>IF(ROUND(sales_data_1[[#This Row],[Profit_Margin]],2)=ROUND((sales_data_1[[#This Row],[Unit_Price]]*(1-sales_data_1[[#This Row],[Discount]]) - sales_data_1[[#This Row],[Unit_Cost]])*sales_data_1[[#This Row],[Quantity_Sold]],2), "PASS", "CHECK")</f>
        <v>PASS</v>
      </c>
    </row>
    <row r="715" spans="1:20" x14ac:dyDescent="0.35">
      <c r="A715" s="7">
        <v>714</v>
      </c>
      <c r="B715" s="9">
        <v>1013</v>
      </c>
      <c r="C715" s="7" t="str">
        <f>IFERROR(_xlfn.TEXTJOIN("-", TRUE, _xlfn.XLOOKUP(K715, product_category_id_lookup!$A$2:$A$5, product_category_id_lookup!$B$2:$B$5), B715), "Unknown Category")</f>
        <v>ctg-1013</v>
      </c>
      <c r="D715" s="8">
        <v>44791</v>
      </c>
      <c r="E715" s="7">
        <f t="shared" si="33"/>
        <v>2022</v>
      </c>
      <c r="F715" s="28" t="str">
        <f t="shared" si="34"/>
        <v>Aug</v>
      </c>
      <c r="G715" s="17" t="s">
        <v>32</v>
      </c>
      <c r="H715" s="17" t="s">
        <v>15</v>
      </c>
      <c r="I715" s="24">
        <v>105949.64159999999</v>
      </c>
      <c r="J715" s="32">
        <v>44</v>
      </c>
      <c r="K715" s="17" t="s">
        <v>26</v>
      </c>
      <c r="L715" s="24">
        <v>579.54999999999995</v>
      </c>
      <c r="M715" s="24">
        <v>3344.37</v>
      </c>
      <c r="N715" s="34">
        <f>((sales_data_1[[#This Row],[Unit_Price]]*(1-sales_data_1[[#This Row],[Discount]]))-sales_data_1[[#This Row],[Unit_Cost]])*sales_data_1[[#This Row],[Quantity_Sold]]</f>
        <v>80449.441599999991</v>
      </c>
      <c r="O715" s="17" t="s">
        <v>27</v>
      </c>
      <c r="P715" s="26">
        <v>0.28000000000000003</v>
      </c>
      <c r="Q715" s="17" t="s">
        <v>28</v>
      </c>
      <c r="R715" s="17" t="s">
        <v>19</v>
      </c>
      <c r="S715" s="49" t="str">
        <f t="shared" si="35"/>
        <v>Eve-North</v>
      </c>
      <c r="T715" s="59" t="str">
        <f>IF(ROUND(sales_data_1[[#This Row],[Profit_Margin]],2)=ROUND((sales_data_1[[#This Row],[Unit_Price]]*(1-sales_data_1[[#This Row],[Discount]]) - sales_data_1[[#This Row],[Unit_Cost]])*sales_data_1[[#This Row],[Quantity_Sold]],2), "PASS", "CHECK")</f>
        <v>PASS</v>
      </c>
    </row>
    <row r="716" spans="1:20" x14ac:dyDescent="0.35">
      <c r="A716" s="7">
        <v>715</v>
      </c>
      <c r="B716" s="9">
        <v>1073</v>
      </c>
      <c r="C716" s="7" t="str">
        <f>IFERROR(_xlfn.TEXTJOIN("-", TRUE, _xlfn.XLOOKUP(K716, product_category_id_lookup!$A$2:$A$5, product_category_id_lookup!$B$2:$B$5), B716), "Unknown Category")</f>
        <v>ctg-1073</v>
      </c>
      <c r="D716" s="8">
        <v>44792</v>
      </c>
      <c r="E716" s="7">
        <f t="shared" si="33"/>
        <v>2022</v>
      </c>
      <c r="F716" s="28" t="str">
        <f t="shared" si="34"/>
        <v>Aug</v>
      </c>
      <c r="G716" s="17" t="s">
        <v>29</v>
      </c>
      <c r="H716" s="17" t="s">
        <v>30</v>
      </c>
      <c r="I716" s="24">
        <v>1809.0407</v>
      </c>
      <c r="J716" s="32">
        <v>1</v>
      </c>
      <c r="K716" s="17" t="s">
        <v>26</v>
      </c>
      <c r="L716" s="24">
        <v>777.36</v>
      </c>
      <c r="M716" s="24">
        <v>2032.63</v>
      </c>
      <c r="N716" s="34">
        <f>((sales_data_1[[#This Row],[Unit_Price]]*(1-sales_data_1[[#This Row],[Discount]]))-sales_data_1[[#This Row],[Unit_Cost]])*sales_data_1[[#This Row],[Quantity_Sold]]</f>
        <v>1031.6806999999999</v>
      </c>
      <c r="O716" s="17" t="s">
        <v>17</v>
      </c>
      <c r="P716" s="26">
        <v>0.11</v>
      </c>
      <c r="Q716" s="17" t="s">
        <v>28</v>
      </c>
      <c r="R716" s="17" t="s">
        <v>19</v>
      </c>
      <c r="S716" s="49" t="str">
        <f t="shared" si="35"/>
        <v>Charlie-East</v>
      </c>
      <c r="T716" s="59" t="str">
        <f>IF(ROUND(sales_data_1[[#This Row],[Profit_Margin]],2)=ROUND((sales_data_1[[#This Row],[Unit_Price]]*(1-sales_data_1[[#This Row],[Discount]]) - sales_data_1[[#This Row],[Unit_Cost]])*sales_data_1[[#This Row],[Quantity_Sold]],2), "PASS", "CHECK")</f>
        <v>PASS</v>
      </c>
    </row>
    <row r="717" spans="1:20" x14ac:dyDescent="0.35">
      <c r="A717" s="7">
        <v>716</v>
      </c>
      <c r="B717" s="9">
        <v>1057</v>
      </c>
      <c r="C717" s="7" t="str">
        <f>IFERROR(_xlfn.TEXTJOIN("-", TRUE, _xlfn.XLOOKUP(K717, product_category_id_lookup!$A$2:$A$5, product_category_id_lookup!$B$2:$B$5), B717), "Unknown Category")</f>
        <v>fnt-1057</v>
      </c>
      <c r="D717" s="8">
        <v>44792</v>
      </c>
      <c r="E717" s="7">
        <f t="shared" si="33"/>
        <v>2022</v>
      </c>
      <c r="F717" s="28" t="str">
        <f t="shared" si="34"/>
        <v>Aug</v>
      </c>
      <c r="G717" s="17" t="s">
        <v>22</v>
      </c>
      <c r="H717" s="17" t="s">
        <v>20</v>
      </c>
      <c r="I717" s="24">
        <v>36294.602200000008</v>
      </c>
      <c r="J717" s="32">
        <v>17</v>
      </c>
      <c r="K717" s="17" t="s">
        <v>16</v>
      </c>
      <c r="L717" s="24">
        <v>1795.92</v>
      </c>
      <c r="M717" s="24">
        <v>2603.63</v>
      </c>
      <c r="N717" s="34">
        <f>((sales_data_1[[#This Row],[Unit_Price]]*(1-sales_data_1[[#This Row],[Discount]]))-sales_data_1[[#This Row],[Unit_Cost]])*sales_data_1[[#This Row],[Quantity_Sold]]</f>
        <v>5763.9622000000054</v>
      </c>
      <c r="O717" s="17" t="s">
        <v>27</v>
      </c>
      <c r="P717" s="26">
        <v>0.18</v>
      </c>
      <c r="Q717" s="17" t="s">
        <v>25</v>
      </c>
      <c r="R717" s="17" t="s">
        <v>19</v>
      </c>
      <c r="S717" s="49" t="str">
        <f t="shared" si="35"/>
        <v>David-West</v>
      </c>
      <c r="T717" s="59" t="str">
        <f>IF(ROUND(sales_data_1[[#This Row],[Profit_Margin]],2)=ROUND((sales_data_1[[#This Row],[Unit_Price]]*(1-sales_data_1[[#This Row],[Discount]]) - sales_data_1[[#This Row],[Unit_Cost]])*sales_data_1[[#This Row],[Quantity_Sold]],2), "PASS", "CHECK")</f>
        <v>PASS</v>
      </c>
    </row>
    <row r="718" spans="1:20" x14ac:dyDescent="0.35">
      <c r="A718" s="7">
        <v>717</v>
      </c>
      <c r="B718" s="9">
        <v>1019</v>
      </c>
      <c r="C718" s="7" t="str">
        <f>IFERROR(_xlfn.TEXTJOIN("-", TRUE, _xlfn.XLOOKUP(K718, product_category_id_lookup!$A$2:$A$5, product_category_id_lookup!$B$2:$B$5), B718), "Unknown Category")</f>
        <v>fnt-1019</v>
      </c>
      <c r="D718" s="8">
        <v>44792</v>
      </c>
      <c r="E718" s="7">
        <f t="shared" si="33"/>
        <v>2022</v>
      </c>
      <c r="F718" s="28" t="str">
        <f t="shared" si="34"/>
        <v>Aug</v>
      </c>
      <c r="G718" s="17" t="s">
        <v>14</v>
      </c>
      <c r="H718" s="17" t="s">
        <v>20</v>
      </c>
      <c r="I718" s="24">
        <v>88353.591299999985</v>
      </c>
      <c r="J718" s="32">
        <v>39</v>
      </c>
      <c r="K718" s="17" t="s">
        <v>16</v>
      </c>
      <c r="L718" s="24">
        <v>481.48</v>
      </c>
      <c r="M718" s="24">
        <v>2729.49</v>
      </c>
      <c r="N718" s="34">
        <f>((sales_data_1[[#This Row],[Unit_Price]]*(1-sales_data_1[[#This Row],[Discount]]))-sales_data_1[[#This Row],[Unit_Cost]])*sales_data_1[[#This Row],[Quantity_Sold]]</f>
        <v>69575.871299999984</v>
      </c>
      <c r="O718" s="17" t="s">
        <v>17</v>
      </c>
      <c r="P718" s="26">
        <v>0.17</v>
      </c>
      <c r="Q718" s="17" t="s">
        <v>18</v>
      </c>
      <c r="R718" s="17" t="s">
        <v>19</v>
      </c>
      <c r="S718" s="49" t="str">
        <f t="shared" si="35"/>
        <v>Bob-West</v>
      </c>
      <c r="T718" s="59" t="str">
        <f>IF(ROUND(sales_data_1[[#This Row],[Profit_Margin]],2)=ROUND((sales_data_1[[#This Row],[Unit_Price]]*(1-sales_data_1[[#This Row],[Discount]]) - sales_data_1[[#This Row],[Unit_Cost]])*sales_data_1[[#This Row],[Quantity_Sold]],2), "PASS", "CHECK")</f>
        <v>PASS</v>
      </c>
    </row>
    <row r="719" spans="1:20" x14ac:dyDescent="0.35">
      <c r="A719" s="7">
        <v>718</v>
      </c>
      <c r="B719" s="9">
        <v>1084</v>
      </c>
      <c r="C719" s="7" t="str">
        <f>IFERROR(_xlfn.TEXTJOIN("-", TRUE, _xlfn.XLOOKUP(K719, product_category_id_lookup!$A$2:$A$5, product_category_id_lookup!$B$2:$B$5), B719), "Unknown Category")</f>
        <v>ctg-1084</v>
      </c>
      <c r="D719" s="8">
        <v>44793</v>
      </c>
      <c r="E719" s="7">
        <f t="shared" si="33"/>
        <v>2022</v>
      </c>
      <c r="F719" s="28" t="str">
        <f t="shared" si="34"/>
        <v>Aug</v>
      </c>
      <c r="G719" s="17" t="s">
        <v>14</v>
      </c>
      <c r="H719" s="17" t="s">
        <v>23</v>
      </c>
      <c r="I719" s="24">
        <v>5649.9169999999995</v>
      </c>
      <c r="J719" s="32">
        <v>5</v>
      </c>
      <c r="K719" s="17" t="s">
        <v>26</v>
      </c>
      <c r="L719" s="24">
        <v>318.89</v>
      </c>
      <c r="M719" s="24">
        <v>1202.1099999999999</v>
      </c>
      <c r="N719" s="34">
        <f>((sales_data_1[[#This Row],[Unit_Price]]*(1-sales_data_1[[#This Row],[Discount]]))-sales_data_1[[#This Row],[Unit_Cost]])*sales_data_1[[#This Row],[Quantity_Sold]]</f>
        <v>4055.4669999999992</v>
      </c>
      <c r="O719" s="17" t="s">
        <v>27</v>
      </c>
      <c r="P719" s="26">
        <v>0.06</v>
      </c>
      <c r="Q719" s="17" t="s">
        <v>28</v>
      </c>
      <c r="R719" s="17" t="s">
        <v>21</v>
      </c>
      <c r="S719" s="49" t="str">
        <f t="shared" si="35"/>
        <v>Bob-South</v>
      </c>
      <c r="T719" s="59" t="str">
        <f>IF(ROUND(sales_data_1[[#This Row],[Profit_Margin]],2)=ROUND((sales_data_1[[#This Row],[Unit_Price]]*(1-sales_data_1[[#This Row],[Discount]]) - sales_data_1[[#This Row],[Unit_Cost]])*sales_data_1[[#This Row],[Quantity_Sold]],2), "PASS", "CHECK")</f>
        <v>PASS</v>
      </c>
    </row>
    <row r="720" spans="1:20" x14ac:dyDescent="0.35">
      <c r="A720" s="7">
        <v>719</v>
      </c>
      <c r="B720" s="9">
        <v>1043</v>
      </c>
      <c r="C720" s="7" t="str">
        <f>IFERROR(_xlfn.TEXTJOIN("-", TRUE, _xlfn.XLOOKUP(K720, product_category_id_lookup!$A$2:$A$5, product_category_id_lookup!$B$2:$B$5), B720), "Unknown Category")</f>
        <v>fd-1043</v>
      </c>
      <c r="D720" s="8">
        <v>44794</v>
      </c>
      <c r="E720" s="7">
        <f t="shared" si="33"/>
        <v>2022</v>
      </c>
      <c r="F720" s="28" t="str">
        <f t="shared" si="34"/>
        <v>Aug</v>
      </c>
      <c r="G720" s="17" t="s">
        <v>22</v>
      </c>
      <c r="H720" s="17" t="s">
        <v>20</v>
      </c>
      <c r="I720" s="24">
        <v>108771.712</v>
      </c>
      <c r="J720" s="32">
        <v>28</v>
      </c>
      <c r="K720" s="17" t="s">
        <v>24</v>
      </c>
      <c r="L720" s="24">
        <v>3877.99</v>
      </c>
      <c r="M720" s="24">
        <v>4570.24</v>
      </c>
      <c r="N720" s="34">
        <f>((sales_data_1[[#This Row],[Unit_Price]]*(1-sales_data_1[[#This Row],[Discount]]))-sales_data_1[[#This Row],[Unit_Cost]])*sales_data_1[[#This Row],[Quantity_Sold]]</f>
        <v>187.99199999999837</v>
      </c>
      <c r="O720" s="17" t="s">
        <v>27</v>
      </c>
      <c r="P720" s="26">
        <v>0.15</v>
      </c>
      <c r="Q720" s="17" t="s">
        <v>28</v>
      </c>
      <c r="R720" s="17" t="s">
        <v>21</v>
      </c>
      <c r="S720" s="49" t="str">
        <f t="shared" si="35"/>
        <v>David-West</v>
      </c>
      <c r="T720" s="59" t="str">
        <f>IF(ROUND(sales_data_1[[#This Row],[Profit_Margin]],2)=ROUND((sales_data_1[[#This Row],[Unit_Price]]*(1-sales_data_1[[#This Row],[Discount]]) - sales_data_1[[#This Row],[Unit_Cost]])*sales_data_1[[#This Row],[Quantity_Sold]],2), "PASS", "CHECK")</f>
        <v>PASS</v>
      </c>
    </row>
    <row r="721" spans="1:20" x14ac:dyDescent="0.35">
      <c r="A721" s="7">
        <v>720</v>
      </c>
      <c r="B721" s="9">
        <v>1096</v>
      </c>
      <c r="C721" s="7" t="str">
        <f>IFERROR(_xlfn.TEXTJOIN("-", TRUE, _xlfn.XLOOKUP(K721, product_category_id_lookup!$A$2:$A$5, product_category_id_lookup!$B$2:$B$5), B721), "Unknown Category")</f>
        <v>fd-1096</v>
      </c>
      <c r="D721" s="8">
        <v>44794</v>
      </c>
      <c r="E721" s="7">
        <f t="shared" si="33"/>
        <v>2022</v>
      </c>
      <c r="F721" s="28" t="str">
        <f t="shared" si="34"/>
        <v>Aug</v>
      </c>
      <c r="G721" s="17" t="s">
        <v>32</v>
      </c>
      <c r="H721" s="17" t="s">
        <v>30</v>
      </c>
      <c r="I721" s="24">
        <v>100056.46800000001</v>
      </c>
      <c r="J721" s="32">
        <v>20</v>
      </c>
      <c r="K721" s="17" t="s">
        <v>24</v>
      </c>
      <c r="L721" s="24">
        <v>3669.27</v>
      </c>
      <c r="M721" s="24">
        <v>5379.38</v>
      </c>
      <c r="N721" s="34">
        <f>((sales_data_1[[#This Row],[Unit_Price]]*(1-sales_data_1[[#This Row],[Discount]]))-sales_data_1[[#This Row],[Unit_Cost]])*sales_data_1[[#This Row],[Quantity_Sold]]</f>
        <v>26671.068000000007</v>
      </c>
      <c r="O721" s="17" t="s">
        <v>27</v>
      </c>
      <c r="P721" s="26">
        <v>7.0000000000000007E-2</v>
      </c>
      <c r="Q721" s="17" t="s">
        <v>25</v>
      </c>
      <c r="R721" s="17" t="s">
        <v>19</v>
      </c>
      <c r="S721" s="49" t="str">
        <f t="shared" si="35"/>
        <v>Eve-East</v>
      </c>
      <c r="T721" s="59" t="str">
        <f>IF(ROUND(sales_data_1[[#This Row],[Profit_Margin]],2)=ROUND((sales_data_1[[#This Row],[Unit_Price]]*(1-sales_data_1[[#This Row],[Discount]]) - sales_data_1[[#This Row],[Unit_Cost]])*sales_data_1[[#This Row],[Quantity_Sold]],2), "PASS", "CHECK")</f>
        <v>PASS</v>
      </c>
    </row>
    <row r="722" spans="1:20" x14ac:dyDescent="0.35">
      <c r="A722" s="7">
        <v>721</v>
      </c>
      <c r="B722" s="9">
        <v>1088</v>
      </c>
      <c r="C722" s="7" t="str">
        <f>IFERROR(_xlfn.TEXTJOIN("-", TRUE, _xlfn.XLOOKUP(K722, product_category_id_lookup!$A$2:$A$5, product_category_id_lookup!$B$2:$B$5), B722), "Unknown Category")</f>
        <v>fnt-1088</v>
      </c>
      <c r="D722" s="8">
        <v>44794</v>
      </c>
      <c r="E722" s="7">
        <f t="shared" si="33"/>
        <v>2022</v>
      </c>
      <c r="F722" s="28" t="str">
        <f t="shared" si="34"/>
        <v>Aug</v>
      </c>
      <c r="G722" s="17" t="s">
        <v>29</v>
      </c>
      <c r="H722" s="17" t="s">
        <v>30</v>
      </c>
      <c r="I722" s="24">
        <v>90016.655999999988</v>
      </c>
      <c r="J722" s="32">
        <v>48</v>
      </c>
      <c r="K722" s="17" t="s">
        <v>16</v>
      </c>
      <c r="L722" s="24">
        <v>810.01</v>
      </c>
      <c r="M722" s="24">
        <v>1995.05</v>
      </c>
      <c r="N722" s="34">
        <f>((sales_data_1[[#This Row],[Unit_Price]]*(1-sales_data_1[[#This Row],[Discount]]))-sales_data_1[[#This Row],[Unit_Cost]])*sales_data_1[[#This Row],[Quantity_Sold]]</f>
        <v>51136.175999999992</v>
      </c>
      <c r="O722" s="17" t="s">
        <v>17</v>
      </c>
      <c r="P722" s="26">
        <v>0.06</v>
      </c>
      <c r="Q722" s="17" t="s">
        <v>28</v>
      </c>
      <c r="R722" s="17" t="s">
        <v>19</v>
      </c>
      <c r="S722" s="49" t="str">
        <f t="shared" si="35"/>
        <v>Charlie-East</v>
      </c>
      <c r="T722" s="59" t="str">
        <f>IF(ROUND(sales_data_1[[#This Row],[Profit_Margin]],2)=ROUND((sales_data_1[[#This Row],[Unit_Price]]*(1-sales_data_1[[#This Row],[Discount]]) - sales_data_1[[#This Row],[Unit_Cost]])*sales_data_1[[#This Row],[Quantity_Sold]],2), "PASS", "CHECK")</f>
        <v>PASS</v>
      </c>
    </row>
    <row r="723" spans="1:20" x14ac:dyDescent="0.35">
      <c r="A723" s="7">
        <v>722</v>
      </c>
      <c r="B723" s="9">
        <v>1019</v>
      </c>
      <c r="C723" s="7" t="str">
        <f>IFERROR(_xlfn.TEXTJOIN("-", TRUE, _xlfn.XLOOKUP(K723, product_category_id_lookup!$A$2:$A$5, product_category_id_lookup!$B$2:$B$5), B723), "Unknown Category")</f>
        <v>ctg-1019</v>
      </c>
      <c r="D723" s="8">
        <v>44795</v>
      </c>
      <c r="E723" s="7">
        <f t="shared" si="33"/>
        <v>2022</v>
      </c>
      <c r="F723" s="28" t="str">
        <f t="shared" si="34"/>
        <v>Aug</v>
      </c>
      <c r="G723" s="17" t="s">
        <v>29</v>
      </c>
      <c r="H723" s="17" t="s">
        <v>23</v>
      </c>
      <c r="I723" s="24">
        <v>7285.3091999999997</v>
      </c>
      <c r="J723" s="32">
        <v>2</v>
      </c>
      <c r="K723" s="17" t="s">
        <v>26</v>
      </c>
      <c r="L723" s="24">
        <v>3325.88</v>
      </c>
      <c r="M723" s="24">
        <v>4670.07</v>
      </c>
      <c r="N723" s="34">
        <f>((sales_data_1[[#This Row],[Unit_Price]]*(1-sales_data_1[[#This Row],[Discount]]))-sales_data_1[[#This Row],[Unit_Cost]])*sales_data_1[[#This Row],[Quantity_Sold]]</f>
        <v>633.54919999999947</v>
      </c>
      <c r="O723" s="17" t="s">
        <v>17</v>
      </c>
      <c r="P723" s="26">
        <v>0.22</v>
      </c>
      <c r="Q723" s="17" t="s">
        <v>28</v>
      </c>
      <c r="R723" s="17" t="s">
        <v>19</v>
      </c>
      <c r="S723" s="49" t="str">
        <f t="shared" si="35"/>
        <v>Charlie-South</v>
      </c>
      <c r="T723" s="59" t="str">
        <f>IF(ROUND(sales_data_1[[#This Row],[Profit_Margin]],2)=ROUND((sales_data_1[[#This Row],[Unit_Price]]*(1-sales_data_1[[#This Row],[Discount]]) - sales_data_1[[#This Row],[Unit_Cost]])*sales_data_1[[#This Row],[Quantity_Sold]],2), "PASS", "CHECK")</f>
        <v>PASS</v>
      </c>
    </row>
    <row r="724" spans="1:20" x14ac:dyDescent="0.35">
      <c r="A724" s="7">
        <v>723</v>
      </c>
      <c r="B724" s="9">
        <v>1087</v>
      </c>
      <c r="C724" s="7" t="str">
        <f>IFERROR(_xlfn.TEXTJOIN("-", TRUE, _xlfn.XLOOKUP(K724, product_category_id_lookup!$A$2:$A$5, product_category_id_lookup!$B$2:$B$5), B724), "Unknown Category")</f>
        <v>ctg-1087</v>
      </c>
      <c r="D724" s="8">
        <v>44795</v>
      </c>
      <c r="E724" s="7">
        <f t="shared" si="33"/>
        <v>2022</v>
      </c>
      <c r="F724" s="28" t="str">
        <f t="shared" si="34"/>
        <v>Aug</v>
      </c>
      <c r="G724" s="17" t="s">
        <v>29</v>
      </c>
      <c r="H724" s="17" t="s">
        <v>20</v>
      </c>
      <c r="I724" s="24">
        <v>3014.8403061606359</v>
      </c>
      <c r="J724" s="32">
        <v>6</v>
      </c>
      <c r="K724" s="17" t="s">
        <v>26</v>
      </c>
      <c r="L724" s="24">
        <v>384.6</v>
      </c>
      <c r="M724" s="24">
        <v>505.11</v>
      </c>
      <c r="N724" s="34">
        <f>((sales_data_1[[#This Row],[Unit_Price]]*(1-sales_data_1[[#This Row],[Discount]]))-sales_data_1[[#This Row],[Unit_Cost]])*sales_data_1[[#This Row],[Quantity_Sold]]</f>
        <v>692.75339999999983</v>
      </c>
      <c r="O724" s="17" t="s">
        <v>17</v>
      </c>
      <c r="P724" s="26">
        <v>0.01</v>
      </c>
      <c r="Q724" s="17" t="s">
        <v>28</v>
      </c>
      <c r="R724" s="17" t="s">
        <v>19</v>
      </c>
      <c r="S724" s="49" t="str">
        <f t="shared" si="35"/>
        <v>Charlie-West</v>
      </c>
      <c r="T724" s="59" t="str">
        <f>IF(ROUND(sales_data_1[[#This Row],[Profit_Margin]],2)=ROUND((sales_data_1[[#This Row],[Unit_Price]]*(1-sales_data_1[[#This Row],[Discount]]) - sales_data_1[[#This Row],[Unit_Cost]])*sales_data_1[[#This Row],[Quantity_Sold]],2), "PASS", "CHECK")</f>
        <v>PASS</v>
      </c>
    </row>
    <row r="725" spans="1:20" x14ac:dyDescent="0.35">
      <c r="A725" s="7">
        <v>724</v>
      </c>
      <c r="B725" s="9">
        <v>1036</v>
      </c>
      <c r="C725" s="7" t="str">
        <f>IFERROR(_xlfn.TEXTJOIN("-", TRUE, _xlfn.XLOOKUP(K725, product_category_id_lookup!$A$2:$A$5, product_category_id_lookup!$B$2:$B$5), B725), "Unknown Category")</f>
        <v>fd-1036</v>
      </c>
      <c r="D725" s="8">
        <v>44795</v>
      </c>
      <c r="E725" s="7">
        <f t="shared" si="33"/>
        <v>2022</v>
      </c>
      <c r="F725" s="28" t="str">
        <f t="shared" si="34"/>
        <v>Aug</v>
      </c>
      <c r="G725" s="17" t="s">
        <v>32</v>
      </c>
      <c r="H725" s="17" t="s">
        <v>30</v>
      </c>
      <c r="I725" s="24">
        <v>68153.434014496132</v>
      </c>
      <c r="J725" s="32">
        <v>38</v>
      </c>
      <c r="K725" s="17" t="s">
        <v>24</v>
      </c>
      <c r="L725" s="24">
        <v>1533.57</v>
      </c>
      <c r="M725" s="24">
        <v>1803.2</v>
      </c>
      <c r="N725" s="34">
        <f>((sales_data_1[[#This Row],[Unit_Price]]*(1-sales_data_1[[#This Row],[Discount]]))-sales_data_1[[#This Row],[Unit_Cost]])*sales_data_1[[#This Row],[Quantity_Sold]]</f>
        <v>9560.7240000000074</v>
      </c>
      <c r="O725" s="17" t="s">
        <v>17</v>
      </c>
      <c r="P725" s="26">
        <v>0.01</v>
      </c>
      <c r="Q725" s="17" t="s">
        <v>18</v>
      </c>
      <c r="R725" s="17" t="s">
        <v>19</v>
      </c>
      <c r="S725" s="49" t="str">
        <f t="shared" si="35"/>
        <v>Eve-East</v>
      </c>
      <c r="T725" s="59" t="str">
        <f>IF(ROUND(sales_data_1[[#This Row],[Profit_Margin]],2)=ROUND((sales_data_1[[#This Row],[Unit_Price]]*(1-sales_data_1[[#This Row],[Discount]]) - sales_data_1[[#This Row],[Unit_Cost]])*sales_data_1[[#This Row],[Quantity_Sold]],2), "PASS", "CHECK")</f>
        <v>PASS</v>
      </c>
    </row>
    <row r="726" spans="1:20" x14ac:dyDescent="0.35">
      <c r="A726" s="7">
        <v>725</v>
      </c>
      <c r="B726" s="9">
        <v>1059</v>
      </c>
      <c r="C726" s="7" t="str">
        <f>IFERROR(_xlfn.TEXTJOIN("-", TRUE, _xlfn.XLOOKUP(K726, product_category_id_lookup!$A$2:$A$5, product_category_id_lookup!$B$2:$B$5), B726), "Unknown Category")</f>
        <v>ctg-1059</v>
      </c>
      <c r="D726" s="8">
        <v>44795</v>
      </c>
      <c r="E726" s="7">
        <f t="shared" si="33"/>
        <v>2022</v>
      </c>
      <c r="F726" s="28" t="str">
        <f t="shared" si="34"/>
        <v>Aug</v>
      </c>
      <c r="G726" s="17" t="s">
        <v>32</v>
      </c>
      <c r="H726" s="17" t="s">
        <v>15</v>
      </c>
      <c r="I726" s="24">
        <v>73193.256500000003</v>
      </c>
      <c r="J726" s="32">
        <v>23</v>
      </c>
      <c r="K726" s="17" t="s">
        <v>26</v>
      </c>
      <c r="L726" s="24">
        <v>792.12</v>
      </c>
      <c r="M726" s="24">
        <v>3497.05</v>
      </c>
      <c r="N726" s="34">
        <f>((sales_data_1[[#This Row],[Unit_Price]]*(1-sales_data_1[[#This Row],[Discount]]))-sales_data_1[[#This Row],[Unit_Cost]])*sales_data_1[[#This Row],[Quantity_Sold]]</f>
        <v>54974.496500000008</v>
      </c>
      <c r="O726" s="17" t="s">
        <v>17</v>
      </c>
      <c r="P726" s="26">
        <v>0.09</v>
      </c>
      <c r="Q726" s="17" t="s">
        <v>18</v>
      </c>
      <c r="R726" s="17" t="s">
        <v>19</v>
      </c>
      <c r="S726" s="49" t="str">
        <f t="shared" si="35"/>
        <v>Eve-North</v>
      </c>
      <c r="T726" s="59" t="str">
        <f>IF(ROUND(sales_data_1[[#This Row],[Profit_Margin]],2)=ROUND((sales_data_1[[#This Row],[Unit_Price]]*(1-sales_data_1[[#This Row],[Discount]]) - sales_data_1[[#This Row],[Unit_Cost]])*sales_data_1[[#This Row],[Quantity_Sold]],2), "PASS", "CHECK")</f>
        <v>PASS</v>
      </c>
    </row>
    <row r="727" spans="1:20" x14ac:dyDescent="0.35">
      <c r="A727" s="7">
        <v>726</v>
      </c>
      <c r="B727" s="9">
        <v>1091</v>
      </c>
      <c r="C727" s="7" t="str">
        <f>IFERROR(_xlfn.TEXTJOIN("-", TRUE, _xlfn.XLOOKUP(K727, product_category_id_lookup!$A$2:$A$5, product_category_id_lookup!$B$2:$B$5), B727), "Unknown Category")</f>
        <v>fd-1091</v>
      </c>
      <c r="D727" s="8">
        <v>44796</v>
      </c>
      <c r="E727" s="7">
        <f t="shared" si="33"/>
        <v>2022</v>
      </c>
      <c r="F727" s="28" t="str">
        <f t="shared" si="34"/>
        <v>Aug</v>
      </c>
      <c r="G727" s="17" t="s">
        <v>33</v>
      </c>
      <c r="H727" s="17" t="s">
        <v>15</v>
      </c>
      <c r="I727" s="24">
        <v>4707.1728000000003</v>
      </c>
      <c r="J727" s="32">
        <v>1</v>
      </c>
      <c r="K727" s="17" t="s">
        <v>24</v>
      </c>
      <c r="L727" s="24">
        <v>2128.35</v>
      </c>
      <c r="M727" s="24">
        <v>4754.72</v>
      </c>
      <c r="N727" s="34">
        <f>((sales_data_1[[#This Row],[Unit_Price]]*(1-sales_data_1[[#This Row],[Discount]]))-sales_data_1[[#This Row],[Unit_Cost]])*sales_data_1[[#This Row],[Quantity_Sold]]</f>
        <v>2578.8228000000004</v>
      </c>
      <c r="O727" s="17" t="s">
        <v>17</v>
      </c>
      <c r="P727" s="26">
        <v>0.01</v>
      </c>
      <c r="Q727" s="17" t="s">
        <v>18</v>
      </c>
      <c r="R727" s="17" t="s">
        <v>21</v>
      </c>
      <c r="S727" s="49" t="str">
        <f t="shared" si="35"/>
        <v>Alice-North</v>
      </c>
      <c r="T727" s="59" t="str">
        <f>IF(ROUND(sales_data_1[[#This Row],[Profit_Margin]],2)=ROUND((sales_data_1[[#This Row],[Unit_Price]]*(1-sales_data_1[[#This Row],[Discount]]) - sales_data_1[[#This Row],[Unit_Cost]])*sales_data_1[[#This Row],[Quantity_Sold]],2), "PASS", "CHECK")</f>
        <v>PASS</v>
      </c>
    </row>
    <row r="728" spans="1:20" x14ac:dyDescent="0.35">
      <c r="A728" s="7">
        <v>727</v>
      </c>
      <c r="B728" s="9">
        <v>1008</v>
      </c>
      <c r="C728" s="7" t="str">
        <f>IFERROR(_xlfn.TEXTJOIN("-", TRUE, _xlfn.XLOOKUP(K728, product_category_id_lookup!$A$2:$A$5, product_category_id_lookup!$B$2:$B$5), B728), "Unknown Category")</f>
        <v>fnt-1008</v>
      </c>
      <c r="D728" s="8">
        <v>44796</v>
      </c>
      <c r="E728" s="7">
        <f t="shared" si="33"/>
        <v>2022</v>
      </c>
      <c r="F728" s="28" t="str">
        <f t="shared" si="34"/>
        <v>Aug</v>
      </c>
      <c r="G728" s="17" t="s">
        <v>33</v>
      </c>
      <c r="H728" s="17" t="s">
        <v>30</v>
      </c>
      <c r="I728" s="24">
        <v>83486.718378259728</v>
      </c>
      <c r="J728" s="32">
        <v>26</v>
      </c>
      <c r="K728" s="17" t="s">
        <v>16</v>
      </c>
      <c r="L728" s="24">
        <v>2961.03</v>
      </c>
      <c r="M728" s="24">
        <v>3332.43</v>
      </c>
      <c r="N728" s="34">
        <f>((sales_data_1[[#This Row],[Unit_Price]]*(1-sales_data_1[[#This Row],[Discount]]))-sales_data_1[[#This Row],[Unit_Cost]])*sales_data_1[[#This Row],[Quantity_Sold]]</f>
        <v>6190.6727999999912</v>
      </c>
      <c r="O728" s="17" t="s">
        <v>17</v>
      </c>
      <c r="P728" s="26">
        <v>0.04</v>
      </c>
      <c r="Q728" s="17" t="s">
        <v>18</v>
      </c>
      <c r="R728" s="17" t="s">
        <v>19</v>
      </c>
      <c r="S728" s="49" t="str">
        <f t="shared" si="35"/>
        <v>Alice-East</v>
      </c>
      <c r="T728" s="59" t="str">
        <f>IF(ROUND(sales_data_1[[#This Row],[Profit_Margin]],2)=ROUND((sales_data_1[[#This Row],[Unit_Price]]*(1-sales_data_1[[#This Row],[Discount]]) - sales_data_1[[#This Row],[Unit_Cost]])*sales_data_1[[#This Row],[Quantity_Sold]],2), "PASS", "CHECK")</f>
        <v>PASS</v>
      </c>
    </row>
    <row r="729" spans="1:20" x14ac:dyDescent="0.35">
      <c r="A729" s="7">
        <v>728</v>
      </c>
      <c r="B729" s="9">
        <v>1023</v>
      </c>
      <c r="C729" s="7" t="str">
        <f>IFERROR(_xlfn.TEXTJOIN("-", TRUE, _xlfn.XLOOKUP(K729, product_category_id_lookup!$A$2:$A$5, product_category_id_lookup!$B$2:$B$5), B729), "Unknown Category")</f>
        <v>fnt-1023</v>
      </c>
      <c r="D729" s="8">
        <v>44796</v>
      </c>
      <c r="E729" s="7">
        <f t="shared" si="33"/>
        <v>2022</v>
      </c>
      <c r="F729" s="28" t="str">
        <f t="shared" si="34"/>
        <v>Aug</v>
      </c>
      <c r="G729" s="17" t="s">
        <v>33</v>
      </c>
      <c r="H729" s="17" t="s">
        <v>15</v>
      </c>
      <c r="I729" s="24">
        <v>142061.68</v>
      </c>
      <c r="J729" s="32">
        <v>40</v>
      </c>
      <c r="K729" s="17" t="s">
        <v>16</v>
      </c>
      <c r="L729" s="24">
        <v>1588.55</v>
      </c>
      <c r="M729" s="24">
        <v>4129.7</v>
      </c>
      <c r="N729" s="34">
        <f>((sales_data_1[[#This Row],[Unit_Price]]*(1-sales_data_1[[#This Row],[Discount]]))-sales_data_1[[#This Row],[Unit_Cost]])*sales_data_1[[#This Row],[Quantity_Sold]]</f>
        <v>78519.679999999993</v>
      </c>
      <c r="O729" s="17" t="s">
        <v>17</v>
      </c>
      <c r="P729" s="26">
        <v>0.14000000000000001</v>
      </c>
      <c r="Q729" s="17" t="s">
        <v>25</v>
      </c>
      <c r="R729" s="17" t="s">
        <v>21</v>
      </c>
      <c r="S729" s="49" t="str">
        <f t="shared" si="35"/>
        <v>Alice-North</v>
      </c>
      <c r="T729" s="59" t="str">
        <f>IF(ROUND(sales_data_1[[#This Row],[Profit_Margin]],2)=ROUND((sales_data_1[[#This Row],[Unit_Price]]*(1-sales_data_1[[#This Row],[Discount]]) - sales_data_1[[#This Row],[Unit_Cost]])*sales_data_1[[#This Row],[Quantity_Sold]],2), "PASS", "CHECK")</f>
        <v>PASS</v>
      </c>
    </row>
    <row r="730" spans="1:20" x14ac:dyDescent="0.35">
      <c r="A730" s="7">
        <v>729</v>
      </c>
      <c r="B730" s="9">
        <v>1066</v>
      </c>
      <c r="C730" s="7" t="str">
        <f>IFERROR(_xlfn.TEXTJOIN("-", TRUE, _xlfn.XLOOKUP(K730, product_category_id_lookup!$A$2:$A$5, product_category_id_lookup!$B$2:$B$5), B730), "Unknown Category")</f>
        <v>ctg-1066</v>
      </c>
      <c r="D730" s="8">
        <v>44797</v>
      </c>
      <c r="E730" s="7">
        <f t="shared" si="33"/>
        <v>2022</v>
      </c>
      <c r="F730" s="28" t="str">
        <f t="shared" si="34"/>
        <v>Aug</v>
      </c>
      <c r="G730" s="17" t="s">
        <v>22</v>
      </c>
      <c r="H730" s="17" t="s">
        <v>23</v>
      </c>
      <c r="I730" s="24">
        <v>16863.510999999999</v>
      </c>
      <c r="J730" s="32">
        <v>14</v>
      </c>
      <c r="K730" s="17" t="s">
        <v>26</v>
      </c>
      <c r="L730" s="24">
        <v>1130.73</v>
      </c>
      <c r="M730" s="24">
        <v>1650.05</v>
      </c>
      <c r="N730" s="34">
        <f>((sales_data_1[[#This Row],[Unit_Price]]*(1-sales_data_1[[#This Row],[Discount]]))-sales_data_1[[#This Row],[Unit_Cost]])*sales_data_1[[#This Row],[Quantity_Sold]]</f>
        <v>1033.2909999999988</v>
      </c>
      <c r="O730" s="17" t="s">
        <v>27</v>
      </c>
      <c r="P730" s="26">
        <v>0.27</v>
      </c>
      <c r="Q730" s="17" t="s">
        <v>25</v>
      </c>
      <c r="R730" s="17" t="s">
        <v>21</v>
      </c>
      <c r="S730" s="49" t="str">
        <f t="shared" si="35"/>
        <v>David-South</v>
      </c>
      <c r="T730" s="59" t="str">
        <f>IF(ROUND(sales_data_1[[#This Row],[Profit_Margin]],2)=ROUND((sales_data_1[[#This Row],[Unit_Price]]*(1-sales_data_1[[#This Row],[Discount]]) - sales_data_1[[#This Row],[Unit_Cost]])*sales_data_1[[#This Row],[Quantity_Sold]],2), "PASS", "CHECK")</f>
        <v>PASS</v>
      </c>
    </row>
    <row r="731" spans="1:20" x14ac:dyDescent="0.35">
      <c r="A731" s="7">
        <v>730</v>
      </c>
      <c r="B731" s="9">
        <v>1062</v>
      </c>
      <c r="C731" s="7" t="str">
        <f>IFERROR(_xlfn.TEXTJOIN("-", TRUE, _xlfn.XLOOKUP(K731, product_category_id_lookup!$A$2:$A$5, product_category_id_lookup!$B$2:$B$5), B731), "Unknown Category")</f>
        <v>etc-1062</v>
      </c>
      <c r="D731" s="8">
        <v>44797</v>
      </c>
      <c r="E731" s="7">
        <f t="shared" si="33"/>
        <v>2022</v>
      </c>
      <c r="F731" s="28" t="str">
        <f t="shared" si="34"/>
        <v>Aug</v>
      </c>
      <c r="G731" s="17" t="s">
        <v>22</v>
      </c>
      <c r="H731" s="17" t="s">
        <v>15</v>
      </c>
      <c r="I731" s="24">
        <v>24781.356000000003</v>
      </c>
      <c r="J731" s="32">
        <v>12</v>
      </c>
      <c r="K731" s="17" t="s">
        <v>31</v>
      </c>
      <c r="L731" s="24">
        <v>1894.43</v>
      </c>
      <c r="M731" s="24">
        <v>2294.5700000000002</v>
      </c>
      <c r="N731" s="34">
        <f>((sales_data_1[[#This Row],[Unit_Price]]*(1-sales_data_1[[#This Row],[Discount]]))-sales_data_1[[#This Row],[Unit_Cost]])*sales_data_1[[#This Row],[Quantity_Sold]]</f>
        <v>2048.1960000000026</v>
      </c>
      <c r="O731" s="17" t="s">
        <v>17</v>
      </c>
      <c r="P731" s="26">
        <v>0.1</v>
      </c>
      <c r="Q731" s="17" t="s">
        <v>18</v>
      </c>
      <c r="R731" s="17" t="s">
        <v>19</v>
      </c>
      <c r="S731" s="49" t="str">
        <f t="shared" si="35"/>
        <v>David-North</v>
      </c>
      <c r="T731" s="59" t="str">
        <f>IF(ROUND(sales_data_1[[#This Row],[Profit_Margin]],2)=ROUND((sales_data_1[[#This Row],[Unit_Price]]*(1-sales_data_1[[#This Row],[Discount]]) - sales_data_1[[#This Row],[Unit_Cost]])*sales_data_1[[#This Row],[Quantity_Sold]],2), "PASS", "CHECK")</f>
        <v>PASS</v>
      </c>
    </row>
    <row r="732" spans="1:20" x14ac:dyDescent="0.35">
      <c r="A732" s="7">
        <v>731</v>
      </c>
      <c r="B732" s="9">
        <v>1037</v>
      </c>
      <c r="C732" s="7" t="str">
        <f>IFERROR(_xlfn.TEXTJOIN("-", TRUE, _xlfn.XLOOKUP(K732, product_category_id_lookup!$A$2:$A$5, product_category_id_lookup!$B$2:$B$5), B732), "Unknown Category")</f>
        <v>fnt-1037</v>
      </c>
      <c r="D732" s="8">
        <v>44797</v>
      </c>
      <c r="E732" s="7">
        <f t="shared" si="33"/>
        <v>2022</v>
      </c>
      <c r="F732" s="28" t="str">
        <f t="shared" si="34"/>
        <v>Aug</v>
      </c>
      <c r="G732" s="17" t="s">
        <v>14</v>
      </c>
      <c r="H732" s="17" t="s">
        <v>20</v>
      </c>
      <c r="I732" s="24">
        <v>88796.368000000002</v>
      </c>
      <c r="J732" s="32">
        <v>20</v>
      </c>
      <c r="K732" s="17" t="s">
        <v>16</v>
      </c>
      <c r="L732" s="24">
        <v>4108.83</v>
      </c>
      <c r="M732" s="24">
        <v>4988.5600000000004</v>
      </c>
      <c r="N732" s="34">
        <f>((sales_data_1[[#This Row],[Unit_Price]]*(1-sales_data_1[[#This Row],[Discount]]))-sales_data_1[[#This Row],[Unit_Cost]])*sales_data_1[[#This Row],[Quantity_Sold]]</f>
        <v>6619.7680000000037</v>
      </c>
      <c r="O732" s="17" t="s">
        <v>27</v>
      </c>
      <c r="P732" s="26">
        <v>0.11</v>
      </c>
      <c r="Q732" s="17" t="s">
        <v>18</v>
      </c>
      <c r="R732" s="17" t="s">
        <v>21</v>
      </c>
      <c r="S732" s="49" t="str">
        <f t="shared" si="35"/>
        <v>Bob-West</v>
      </c>
      <c r="T732" s="59" t="str">
        <f>IF(ROUND(sales_data_1[[#This Row],[Profit_Margin]],2)=ROUND((sales_data_1[[#This Row],[Unit_Price]]*(1-sales_data_1[[#This Row],[Discount]]) - sales_data_1[[#This Row],[Unit_Cost]])*sales_data_1[[#This Row],[Quantity_Sold]],2), "PASS", "CHECK")</f>
        <v>PASS</v>
      </c>
    </row>
    <row r="733" spans="1:20" x14ac:dyDescent="0.35">
      <c r="A733" s="7">
        <v>732</v>
      </c>
      <c r="B733" s="9">
        <v>1085</v>
      </c>
      <c r="C733" s="7" t="str">
        <f>IFERROR(_xlfn.TEXTJOIN("-", TRUE, _xlfn.XLOOKUP(K733, product_category_id_lookup!$A$2:$A$5, product_category_id_lookup!$B$2:$B$5), B733), "Unknown Category")</f>
        <v>ctg-1085</v>
      </c>
      <c r="D733" s="8">
        <v>44797</v>
      </c>
      <c r="E733" s="7">
        <f t="shared" si="33"/>
        <v>2022</v>
      </c>
      <c r="F733" s="28" t="str">
        <f t="shared" si="34"/>
        <v>Aug</v>
      </c>
      <c r="G733" s="17" t="s">
        <v>29</v>
      </c>
      <c r="H733" s="17" t="s">
        <v>30</v>
      </c>
      <c r="I733" s="24">
        <v>17807.691500000001</v>
      </c>
      <c r="J733" s="32">
        <v>5</v>
      </c>
      <c r="K733" s="17" t="s">
        <v>26</v>
      </c>
      <c r="L733" s="24">
        <v>901.8</v>
      </c>
      <c r="M733" s="24">
        <v>4291.01</v>
      </c>
      <c r="N733" s="34">
        <f>((sales_data_1[[#This Row],[Unit_Price]]*(1-sales_data_1[[#This Row],[Discount]]))-sales_data_1[[#This Row],[Unit_Cost]])*sales_data_1[[#This Row],[Quantity_Sold]]</f>
        <v>13298.691500000001</v>
      </c>
      <c r="O733" s="17" t="s">
        <v>17</v>
      </c>
      <c r="P733" s="26">
        <v>0.17</v>
      </c>
      <c r="Q733" s="17" t="s">
        <v>18</v>
      </c>
      <c r="R733" s="17" t="s">
        <v>19</v>
      </c>
      <c r="S733" s="49" t="str">
        <f t="shared" si="35"/>
        <v>Charlie-East</v>
      </c>
      <c r="T733" s="59" t="str">
        <f>IF(ROUND(sales_data_1[[#This Row],[Profit_Margin]],2)=ROUND((sales_data_1[[#This Row],[Unit_Price]]*(1-sales_data_1[[#This Row],[Discount]]) - sales_data_1[[#This Row],[Unit_Cost]])*sales_data_1[[#This Row],[Quantity_Sold]],2), "PASS", "CHECK")</f>
        <v>PASS</v>
      </c>
    </row>
    <row r="734" spans="1:20" x14ac:dyDescent="0.35">
      <c r="A734" s="7">
        <v>733</v>
      </c>
      <c r="B734" s="9">
        <v>1014</v>
      </c>
      <c r="C734" s="7" t="str">
        <f>IFERROR(_xlfn.TEXTJOIN("-", TRUE, _xlfn.XLOOKUP(K734, product_category_id_lookup!$A$2:$A$5, product_category_id_lookup!$B$2:$B$5), B734), "Unknown Category")</f>
        <v>etc-1014</v>
      </c>
      <c r="D734" s="8">
        <v>44797</v>
      </c>
      <c r="E734" s="7">
        <f t="shared" si="33"/>
        <v>2022</v>
      </c>
      <c r="F734" s="28" t="str">
        <f t="shared" si="34"/>
        <v>Aug</v>
      </c>
      <c r="G734" s="17" t="s">
        <v>22</v>
      </c>
      <c r="H734" s="17" t="s">
        <v>20</v>
      </c>
      <c r="I734" s="24">
        <v>56978.607599999996</v>
      </c>
      <c r="J734" s="32">
        <v>47</v>
      </c>
      <c r="K734" s="17" t="s">
        <v>31</v>
      </c>
      <c r="L734" s="24">
        <v>425.66</v>
      </c>
      <c r="M734" s="24">
        <v>1303.56</v>
      </c>
      <c r="N734" s="34">
        <f>((sales_data_1[[#This Row],[Unit_Price]]*(1-sales_data_1[[#This Row],[Discount]]))-sales_data_1[[#This Row],[Unit_Cost]])*sales_data_1[[#This Row],[Quantity_Sold]]</f>
        <v>36972.587599999992</v>
      </c>
      <c r="O734" s="17" t="s">
        <v>17</v>
      </c>
      <c r="P734" s="26">
        <v>7.0000000000000007E-2</v>
      </c>
      <c r="Q734" s="17" t="s">
        <v>28</v>
      </c>
      <c r="R734" s="17" t="s">
        <v>21</v>
      </c>
      <c r="S734" s="49" t="str">
        <f t="shared" si="35"/>
        <v>David-West</v>
      </c>
      <c r="T734" s="59" t="str">
        <f>IF(ROUND(sales_data_1[[#This Row],[Profit_Margin]],2)=ROUND((sales_data_1[[#This Row],[Unit_Price]]*(1-sales_data_1[[#This Row],[Discount]]) - sales_data_1[[#This Row],[Unit_Cost]])*sales_data_1[[#This Row],[Quantity_Sold]],2), "PASS", "CHECK")</f>
        <v>PASS</v>
      </c>
    </row>
    <row r="735" spans="1:20" x14ac:dyDescent="0.35">
      <c r="A735" s="7">
        <v>734</v>
      </c>
      <c r="B735" s="9">
        <v>1054</v>
      </c>
      <c r="C735" s="7" t="str">
        <f>IFERROR(_xlfn.TEXTJOIN("-", TRUE, _xlfn.XLOOKUP(K735, product_category_id_lookup!$A$2:$A$5, product_category_id_lookup!$B$2:$B$5), B735), "Unknown Category")</f>
        <v>fd-1054</v>
      </c>
      <c r="D735" s="8">
        <v>44797</v>
      </c>
      <c r="E735" s="7">
        <f t="shared" si="33"/>
        <v>2022</v>
      </c>
      <c r="F735" s="28" t="str">
        <f t="shared" si="34"/>
        <v>Aug</v>
      </c>
      <c r="G735" s="17" t="s">
        <v>29</v>
      </c>
      <c r="H735" s="17" t="s">
        <v>15</v>
      </c>
      <c r="I735" s="24">
        <v>130734.8523</v>
      </c>
      <c r="J735" s="32">
        <v>39</v>
      </c>
      <c r="K735" s="17" t="s">
        <v>24</v>
      </c>
      <c r="L735" s="24">
        <v>209.54</v>
      </c>
      <c r="M735" s="24">
        <v>3604.49</v>
      </c>
      <c r="N735" s="34">
        <f>((sales_data_1[[#This Row],[Unit_Price]]*(1-sales_data_1[[#This Row],[Discount]]))-sales_data_1[[#This Row],[Unit_Cost]])*sales_data_1[[#This Row],[Quantity_Sold]]</f>
        <v>122562.79229999999</v>
      </c>
      <c r="O735" s="17" t="s">
        <v>17</v>
      </c>
      <c r="P735" s="26">
        <v>7.0000000000000007E-2</v>
      </c>
      <c r="Q735" s="17" t="s">
        <v>28</v>
      </c>
      <c r="R735" s="17" t="s">
        <v>21</v>
      </c>
      <c r="S735" s="49" t="str">
        <f t="shared" si="35"/>
        <v>Charlie-North</v>
      </c>
      <c r="T735" s="59" t="str">
        <f>IF(ROUND(sales_data_1[[#This Row],[Profit_Margin]],2)=ROUND((sales_data_1[[#This Row],[Unit_Price]]*(1-sales_data_1[[#This Row],[Discount]]) - sales_data_1[[#This Row],[Unit_Cost]])*sales_data_1[[#This Row],[Quantity_Sold]],2), "PASS", "CHECK")</f>
        <v>PASS</v>
      </c>
    </row>
    <row r="736" spans="1:20" x14ac:dyDescent="0.35">
      <c r="A736" s="7">
        <v>735</v>
      </c>
      <c r="B736" s="9">
        <v>1045</v>
      </c>
      <c r="C736" s="7" t="str">
        <f>IFERROR(_xlfn.TEXTJOIN("-", TRUE, _xlfn.XLOOKUP(K736, product_category_id_lookup!$A$2:$A$5, product_category_id_lookup!$B$2:$B$5), B736), "Unknown Category")</f>
        <v>ctg-1045</v>
      </c>
      <c r="D736" s="8">
        <v>44798</v>
      </c>
      <c r="E736" s="7">
        <f t="shared" si="33"/>
        <v>2022</v>
      </c>
      <c r="F736" s="28" t="str">
        <f t="shared" si="34"/>
        <v>Aug</v>
      </c>
      <c r="G736" s="17" t="s">
        <v>22</v>
      </c>
      <c r="H736" s="17" t="s">
        <v>23</v>
      </c>
      <c r="I736" s="24">
        <v>53456.013200000009</v>
      </c>
      <c r="J736" s="32">
        <v>29</v>
      </c>
      <c r="K736" s="17" t="s">
        <v>26</v>
      </c>
      <c r="L736" s="24">
        <v>1658.63</v>
      </c>
      <c r="M736" s="24">
        <v>2247.94</v>
      </c>
      <c r="N736" s="34">
        <f>((sales_data_1[[#This Row],[Unit_Price]]*(1-sales_data_1[[#This Row],[Discount]]))-sales_data_1[[#This Row],[Unit_Cost]])*sales_data_1[[#This Row],[Quantity_Sold]]</f>
        <v>5355.7432000000026</v>
      </c>
      <c r="O736" s="17" t="s">
        <v>17</v>
      </c>
      <c r="P736" s="26">
        <v>0.18</v>
      </c>
      <c r="Q736" s="17" t="s">
        <v>28</v>
      </c>
      <c r="R736" s="17" t="s">
        <v>19</v>
      </c>
      <c r="S736" s="49" t="str">
        <f t="shared" si="35"/>
        <v>David-South</v>
      </c>
      <c r="T736" s="59" t="str">
        <f>IF(ROUND(sales_data_1[[#This Row],[Profit_Margin]],2)=ROUND((sales_data_1[[#This Row],[Unit_Price]]*(1-sales_data_1[[#This Row],[Discount]]) - sales_data_1[[#This Row],[Unit_Cost]])*sales_data_1[[#This Row],[Quantity_Sold]],2), "PASS", "CHECK")</f>
        <v>PASS</v>
      </c>
    </row>
    <row r="737" spans="1:20" x14ac:dyDescent="0.35">
      <c r="A737" s="7">
        <v>736</v>
      </c>
      <c r="B737" s="9">
        <v>1015</v>
      </c>
      <c r="C737" s="7" t="str">
        <f>IFERROR(_xlfn.TEXTJOIN("-", TRUE, _xlfn.XLOOKUP(K737, product_category_id_lookup!$A$2:$A$5, product_category_id_lookup!$B$2:$B$5), B737), "Unknown Category")</f>
        <v>fd-1015</v>
      </c>
      <c r="D737" s="8">
        <v>44799</v>
      </c>
      <c r="E737" s="7">
        <f t="shared" si="33"/>
        <v>2022</v>
      </c>
      <c r="F737" s="28" t="str">
        <f t="shared" si="34"/>
        <v>Aug</v>
      </c>
      <c r="G737" s="17" t="s">
        <v>22</v>
      </c>
      <c r="H737" s="17" t="s">
        <v>15</v>
      </c>
      <c r="I737" s="24">
        <v>94632.370800000004</v>
      </c>
      <c r="J737" s="32">
        <v>22</v>
      </c>
      <c r="K737" s="17" t="s">
        <v>24</v>
      </c>
      <c r="L737" s="24">
        <v>977.42</v>
      </c>
      <c r="M737" s="24">
        <v>4944.22</v>
      </c>
      <c r="N737" s="34">
        <f>((sales_data_1[[#This Row],[Unit_Price]]*(1-sales_data_1[[#This Row],[Discount]]))-sales_data_1[[#This Row],[Unit_Cost]])*sales_data_1[[#This Row],[Quantity_Sold]]</f>
        <v>73129.130800000014</v>
      </c>
      <c r="O737" s="17" t="s">
        <v>17</v>
      </c>
      <c r="P737" s="26">
        <v>0.13</v>
      </c>
      <c r="Q737" s="17" t="s">
        <v>28</v>
      </c>
      <c r="R737" s="17" t="s">
        <v>21</v>
      </c>
      <c r="S737" s="49" t="str">
        <f t="shared" si="35"/>
        <v>David-North</v>
      </c>
      <c r="T737" s="59" t="str">
        <f>IF(ROUND(sales_data_1[[#This Row],[Profit_Margin]],2)=ROUND((sales_data_1[[#This Row],[Unit_Price]]*(1-sales_data_1[[#This Row],[Discount]]) - sales_data_1[[#This Row],[Unit_Cost]])*sales_data_1[[#This Row],[Quantity_Sold]],2), "PASS", "CHECK")</f>
        <v>PASS</v>
      </c>
    </row>
    <row r="738" spans="1:20" x14ac:dyDescent="0.35">
      <c r="A738" s="7">
        <v>737</v>
      </c>
      <c r="B738" s="9">
        <v>1093</v>
      </c>
      <c r="C738" s="7" t="str">
        <f>IFERROR(_xlfn.TEXTJOIN("-", TRUE, _xlfn.XLOOKUP(K738, product_category_id_lookup!$A$2:$A$5, product_category_id_lookup!$B$2:$B$5), B738), "Unknown Category")</f>
        <v>etc-1093</v>
      </c>
      <c r="D738" s="8">
        <v>44800</v>
      </c>
      <c r="E738" s="7">
        <f t="shared" si="33"/>
        <v>2022</v>
      </c>
      <c r="F738" s="28" t="str">
        <f t="shared" si="34"/>
        <v>Aug</v>
      </c>
      <c r="G738" s="17" t="s">
        <v>32</v>
      </c>
      <c r="H738" s="17" t="s">
        <v>15</v>
      </c>
      <c r="I738" s="24">
        <v>4607.0486000000001</v>
      </c>
      <c r="J738" s="32">
        <v>11</v>
      </c>
      <c r="K738" s="17" t="s">
        <v>31</v>
      </c>
      <c r="L738" s="24">
        <v>385.57</v>
      </c>
      <c r="M738" s="24">
        <v>427.37</v>
      </c>
      <c r="N738" s="34">
        <f>((sales_data_1[[#This Row],[Unit_Price]]*(1-sales_data_1[[#This Row],[Discount]]))-sales_data_1[[#This Row],[Unit_Cost]])*sales_data_1[[#This Row],[Quantity_Sold]]</f>
        <v>365.77860000000032</v>
      </c>
      <c r="O738" s="17" t="s">
        <v>27</v>
      </c>
      <c r="P738" s="26">
        <v>0.02</v>
      </c>
      <c r="Q738" s="17" t="s">
        <v>18</v>
      </c>
      <c r="R738" s="17" t="s">
        <v>21</v>
      </c>
      <c r="S738" s="49" t="str">
        <f t="shared" si="35"/>
        <v>Eve-North</v>
      </c>
      <c r="T738" s="59" t="str">
        <f>IF(ROUND(sales_data_1[[#This Row],[Profit_Margin]],2)=ROUND((sales_data_1[[#This Row],[Unit_Price]]*(1-sales_data_1[[#This Row],[Discount]]) - sales_data_1[[#This Row],[Unit_Cost]])*sales_data_1[[#This Row],[Quantity_Sold]],2), "PASS", "CHECK")</f>
        <v>PASS</v>
      </c>
    </row>
    <row r="739" spans="1:20" x14ac:dyDescent="0.35">
      <c r="A739" s="7">
        <v>738</v>
      </c>
      <c r="B739" s="9">
        <v>1015</v>
      </c>
      <c r="C739" s="7" t="str">
        <f>IFERROR(_xlfn.TEXTJOIN("-", TRUE, _xlfn.XLOOKUP(K739, product_category_id_lookup!$A$2:$A$5, product_category_id_lookup!$B$2:$B$5), B739), "Unknown Category")</f>
        <v>ctg-1015</v>
      </c>
      <c r="D739" s="8">
        <v>44800</v>
      </c>
      <c r="E739" s="7">
        <f t="shared" si="33"/>
        <v>2022</v>
      </c>
      <c r="F739" s="28" t="str">
        <f t="shared" si="34"/>
        <v>Aug</v>
      </c>
      <c r="G739" s="17" t="s">
        <v>33</v>
      </c>
      <c r="H739" s="17" t="s">
        <v>23</v>
      </c>
      <c r="I739" s="24">
        <v>4146.7184000000007</v>
      </c>
      <c r="J739" s="32">
        <v>2</v>
      </c>
      <c r="K739" s="17" t="s">
        <v>26</v>
      </c>
      <c r="L739" s="24">
        <v>142.30000000000001</v>
      </c>
      <c r="M739" s="24">
        <v>2356.09</v>
      </c>
      <c r="N739" s="34">
        <f>((sales_data_1[[#This Row],[Unit_Price]]*(1-sales_data_1[[#This Row],[Discount]]))-sales_data_1[[#This Row],[Unit_Cost]])*sales_data_1[[#This Row],[Quantity_Sold]]</f>
        <v>3862.1184000000007</v>
      </c>
      <c r="O739" s="17" t="s">
        <v>17</v>
      </c>
      <c r="P739" s="26">
        <v>0.12</v>
      </c>
      <c r="Q739" s="17" t="s">
        <v>18</v>
      </c>
      <c r="R739" s="17" t="s">
        <v>19</v>
      </c>
      <c r="S739" s="49" t="str">
        <f t="shared" si="35"/>
        <v>Alice-South</v>
      </c>
      <c r="T739" s="59" t="str">
        <f>IF(ROUND(sales_data_1[[#This Row],[Profit_Margin]],2)=ROUND((sales_data_1[[#This Row],[Unit_Price]]*(1-sales_data_1[[#This Row],[Discount]]) - sales_data_1[[#This Row],[Unit_Cost]])*sales_data_1[[#This Row],[Quantity_Sold]],2), "PASS", "CHECK")</f>
        <v>PASS</v>
      </c>
    </row>
    <row r="740" spans="1:20" x14ac:dyDescent="0.35">
      <c r="A740" s="7">
        <v>739</v>
      </c>
      <c r="B740" s="9">
        <v>1076</v>
      </c>
      <c r="C740" s="7" t="str">
        <f>IFERROR(_xlfn.TEXTJOIN("-", TRUE, _xlfn.XLOOKUP(K740, product_category_id_lookup!$A$2:$A$5, product_category_id_lookup!$B$2:$B$5), B740), "Unknown Category")</f>
        <v>ctg-1076</v>
      </c>
      <c r="D740" s="8">
        <v>44800</v>
      </c>
      <c r="E740" s="7">
        <f t="shared" si="33"/>
        <v>2022</v>
      </c>
      <c r="F740" s="28" t="str">
        <f t="shared" si="34"/>
        <v>Aug</v>
      </c>
      <c r="G740" s="17" t="s">
        <v>32</v>
      </c>
      <c r="H740" s="17" t="s">
        <v>23</v>
      </c>
      <c r="I740" s="24">
        <v>159546.576</v>
      </c>
      <c r="J740" s="32">
        <v>47</v>
      </c>
      <c r="K740" s="17" t="s">
        <v>26</v>
      </c>
      <c r="L740" s="24">
        <v>354.18</v>
      </c>
      <c r="M740" s="24">
        <v>4041.2</v>
      </c>
      <c r="N740" s="34">
        <f>((sales_data_1[[#This Row],[Unit_Price]]*(1-sales_data_1[[#This Row],[Discount]]))-sales_data_1[[#This Row],[Unit_Cost]])*sales_data_1[[#This Row],[Quantity_Sold]]</f>
        <v>142900.11599999998</v>
      </c>
      <c r="O740" s="17" t="s">
        <v>27</v>
      </c>
      <c r="P740" s="26">
        <v>0.16</v>
      </c>
      <c r="Q740" s="17" t="s">
        <v>18</v>
      </c>
      <c r="R740" s="17" t="s">
        <v>21</v>
      </c>
      <c r="S740" s="49" t="str">
        <f t="shared" si="35"/>
        <v>Eve-South</v>
      </c>
      <c r="T740" s="59" t="str">
        <f>IF(ROUND(sales_data_1[[#This Row],[Profit_Margin]],2)=ROUND((sales_data_1[[#This Row],[Unit_Price]]*(1-sales_data_1[[#This Row],[Discount]]) - sales_data_1[[#This Row],[Unit_Cost]])*sales_data_1[[#This Row],[Quantity_Sold]],2), "PASS", "CHECK")</f>
        <v>PASS</v>
      </c>
    </row>
    <row r="741" spans="1:20" x14ac:dyDescent="0.35">
      <c r="A741" s="7">
        <v>740</v>
      </c>
      <c r="B741" s="9">
        <v>1044</v>
      </c>
      <c r="C741" s="7" t="str">
        <f>IFERROR(_xlfn.TEXTJOIN("-", TRUE, _xlfn.XLOOKUP(K741, product_category_id_lookup!$A$2:$A$5, product_category_id_lookup!$B$2:$B$5), B741), "Unknown Category")</f>
        <v>fd-1044</v>
      </c>
      <c r="D741" s="8">
        <v>44801</v>
      </c>
      <c r="E741" s="7">
        <f t="shared" si="33"/>
        <v>2022</v>
      </c>
      <c r="F741" s="28" t="str">
        <f t="shared" si="34"/>
        <v>Aug</v>
      </c>
      <c r="G741" s="17" t="s">
        <v>22</v>
      </c>
      <c r="H741" s="17" t="s">
        <v>20</v>
      </c>
      <c r="I741" s="24">
        <v>120545.334</v>
      </c>
      <c r="J741" s="32">
        <v>27</v>
      </c>
      <c r="K741" s="17" t="s">
        <v>24</v>
      </c>
      <c r="L741" s="24">
        <v>4452.26</v>
      </c>
      <c r="M741" s="24">
        <v>5252.52</v>
      </c>
      <c r="N741" s="34">
        <f>((sales_data_1[[#This Row],[Unit_Price]]*(1-sales_data_1[[#This Row],[Discount]]))-sales_data_1[[#This Row],[Unit_Cost]])*sales_data_1[[#This Row],[Quantity_Sold]]</f>
        <v>334.31399999998939</v>
      </c>
      <c r="O741" s="17" t="s">
        <v>27</v>
      </c>
      <c r="P741" s="26">
        <v>0.15</v>
      </c>
      <c r="Q741" s="17" t="s">
        <v>28</v>
      </c>
      <c r="R741" s="17" t="s">
        <v>21</v>
      </c>
      <c r="S741" s="49" t="str">
        <f t="shared" si="35"/>
        <v>David-West</v>
      </c>
      <c r="T741" s="59" t="str">
        <f>IF(ROUND(sales_data_1[[#This Row],[Profit_Margin]],2)=ROUND((sales_data_1[[#This Row],[Unit_Price]]*(1-sales_data_1[[#This Row],[Discount]]) - sales_data_1[[#This Row],[Unit_Cost]])*sales_data_1[[#This Row],[Quantity_Sold]],2), "PASS", "CHECK")</f>
        <v>PASS</v>
      </c>
    </row>
    <row r="742" spans="1:20" x14ac:dyDescent="0.35">
      <c r="A742" s="7">
        <v>741</v>
      </c>
      <c r="B742" s="9">
        <v>1017</v>
      </c>
      <c r="C742" s="7" t="str">
        <f>IFERROR(_xlfn.TEXTJOIN("-", TRUE, _xlfn.XLOOKUP(K742, product_category_id_lookup!$A$2:$A$5, product_category_id_lookup!$B$2:$B$5), B742), "Unknown Category")</f>
        <v>fd-1017</v>
      </c>
      <c r="D742" s="8">
        <v>44801</v>
      </c>
      <c r="E742" s="7">
        <f t="shared" si="33"/>
        <v>2022</v>
      </c>
      <c r="F742" s="28" t="str">
        <f t="shared" si="34"/>
        <v>Aug</v>
      </c>
      <c r="G742" s="17" t="s">
        <v>32</v>
      </c>
      <c r="H742" s="17" t="s">
        <v>30</v>
      </c>
      <c r="I742" s="24">
        <v>4396.1390687155736</v>
      </c>
      <c r="J742" s="32">
        <v>5</v>
      </c>
      <c r="K742" s="17" t="s">
        <v>24</v>
      </c>
      <c r="L742" s="24">
        <v>709.94</v>
      </c>
      <c r="M742" s="24">
        <v>883</v>
      </c>
      <c r="N742" s="34">
        <f>((sales_data_1[[#This Row],[Unit_Price]]*(1-sales_data_1[[#This Row],[Discount]]))-sales_data_1[[#This Row],[Unit_Cost]])*sales_data_1[[#This Row],[Quantity_Sold]]</f>
        <v>865.29999999999973</v>
      </c>
      <c r="O742" s="17" t="s">
        <v>27</v>
      </c>
      <c r="P742" s="26">
        <v>0</v>
      </c>
      <c r="Q742" s="17" t="s">
        <v>18</v>
      </c>
      <c r="R742" s="17" t="s">
        <v>21</v>
      </c>
      <c r="S742" s="49" t="str">
        <f t="shared" si="35"/>
        <v>Eve-East</v>
      </c>
      <c r="T742" s="59" t="str">
        <f>IF(ROUND(sales_data_1[[#This Row],[Profit_Margin]],2)=ROUND((sales_data_1[[#This Row],[Unit_Price]]*(1-sales_data_1[[#This Row],[Discount]]) - sales_data_1[[#This Row],[Unit_Cost]])*sales_data_1[[#This Row],[Quantity_Sold]],2), "PASS", "CHECK")</f>
        <v>PASS</v>
      </c>
    </row>
    <row r="743" spans="1:20" x14ac:dyDescent="0.35">
      <c r="A743" s="7">
        <v>742</v>
      </c>
      <c r="B743" s="9">
        <v>1086</v>
      </c>
      <c r="C743" s="7" t="str">
        <f>IFERROR(_xlfn.TEXTJOIN("-", TRUE, _xlfn.XLOOKUP(K743, product_category_id_lookup!$A$2:$A$5, product_category_id_lookup!$B$2:$B$5), B743), "Unknown Category")</f>
        <v>fd-1086</v>
      </c>
      <c r="D743" s="8">
        <v>44801</v>
      </c>
      <c r="E743" s="7">
        <f t="shared" si="33"/>
        <v>2022</v>
      </c>
      <c r="F743" s="28" t="str">
        <f t="shared" si="34"/>
        <v>Aug</v>
      </c>
      <c r="G743" s="17" t="s">
        <v>33</v>
      </c>
      <c r="H743" s="17" t="s">
        <v>30</v>
      </c>
      <c r="I743" s="24">
        <v>42138.332999999999</v>
      </c>
      <c r="J743" s="32">
        <v>9</v>
      </c>
      <c r="K743" s="17" t="s">
        <v>24</v>
      </c>
      <c r="L743" s="24">
        <v>2495.7600000000002</v>
      </c>
      <c r="M743" s="24">
        <v>4928.46</v>
      </c>
      <c r="N743" s="34">
        <f>((sales_data_1[[#This Row],[Unit_Price]]*(1-sales_data_1[[#This Row],[Discount]]))-sales_data_1[[#This Row],[Unit_Cost]])*sales_data_1[[#This Row],[Quantity_Sold]]</f>
        <v>19676.493000000002</v>
      </c>
      <c r="O743" s="17" t="s">
        <v>27</v>
      </c>
      <c r="P743" s="26">
        <v>0.05</v>
      </c>
      <c r="Q743" s="17" t="s">
        <v>28</v>
      </c>
      <c r="R743" s="17" t="s">
        <v>19</v>
      </c>
      <c r="S743" s="49" t="str">
        <f t="shared" si="35"/>
        <v>Alice-East</v>
      </c>
      <c r="T743" s="59" t="str">
        <f>IF(ROUND(sales_data_1[[#This Row],[Profit_Margin]],2)=ROUND((sales_data_1[[#This Row],[Unit_Price]]*(1-sales_data_1[[#This Row],[Discount]]) - sales_data_1[[#This Row],[Unit_Cost]])*sales_data_1[[#This Row],[Quantity_Sold]],2), "PASS", "CHECK")</f>
        <v>PASS</v>
      </c>
    </row>
    <row r="744" spans="1:20" x14ac:dyDescent="0.35">
      <c r="A744" s="7">
        <v>743</v>
      </c>
      <c r="B744" s="9">
        <v>1046</v>
      </c>
      <c r="C744" s="7" t="str">
        <f>IFERROR(_xlfn.TEXTJOIN("-", TRUE, _xlfn.XLOOKUP(K744, product_category_id_lookup!$A$2:$A$5, product_category_id_lookup!$B$2:$B$5), B744), "Unknown Category")</f>
        <v>ctg-1046</v>
      </c>
      <c r="D744" s="8">
        <v>44801</v>
      </c>
      <c r="E744" s="7">
        <f t="shared" si="33"/>
        <v>2022</v>
      </c>
      <c r="F744" s="28" t="str">
        <f t="shared" si="34"/>
        <v>Aug</v>
      </c>
      <c r="G744" s="17" t="s">
        <v>22</v>
      </c>
      <c r="H744" s="17" t="s">
        <v>30</v>
      </c>
      <c r="I744" s="24">
        <v>85928.427199999991</v>
      </c>
      <c r="J744" s="32">
        <v>28</v>
      </c>
      <c r="K744" s="17" t="s">
        <v>26</v>
      </c>
      <c r="L744" s="24">
        <v>494.19</v>
      </c>
      <c r="M744" s="24">
        <v>4037.99</v>
      </c>
      <c r="N744" s="34">
        <f>((sales_data_1[[#This Row],[Unit_Price]]*(1-sales_data_1[[#This Row],[Discount]]))-sales_data_1[[#This Row],[Unit_Cost]])*sales_data_1[[#This Row],[Quantity_Sold]]</f>
        <v>72091.107199999999</v>
      </c>
      <c r="O744" s="17" t="s">
        <v>17</v>
      </c>
      <c r="P744" s="26">
        <v>0.24</v>
      </c>
      <c r="Q744" s="17" t="s">
        <v>18</v>
      </c>
      <c r="R744" s="17" t="s">
        <v>21</v>
      </c>
      <c r="S744" s="49" t="str">
        <f t="shared" si="35"/>
        <v>David-East</v>
      </c>
      <c r="T744" s="59" t="str">
        <f>IF(ROUND(sales_data_1[[#This Row],[Profit_Margin]],2)=ROUND((sales_data_1[[#This Row],[Unit_Price]]*(1-sales_data_1[[#This Row],[Discount]]) - sales_data_1[[#This Row],[Unit_Cost]])*sales_data_1[[#This Row],[Quantity_Sold]],2), "PASS", "CHECK")</f>
        <v>PASS</v>
      </c>
    </row>
    <row r="745" spans="1:20" x14ac:dyDescent="0.35">
      <c r="A745" s="7">
        <v>744</v>
      </c>
      <c r="B745" s="9">
        <v>1017</v>
      </c>
      <c r="C745" s="7" t="str">
        <f>IFERROR(_xlfn.TEXTJOIN("-", TRUE, _xlfn.XLOOKUP(K745, product_category_id_lookup!$A$2:$A$5, product_category_id_lookup!$B$2:$B$5), B745), "Unknown Category")</f>
        <v>fd-1017</v>
      </c>
      <c r="D745" s="8">
        <v>44802</v>
      </c>
      <c r="E745" s="7">
        <f t="shared" si="33"/>
        <v>2022</v>
      </c>
      <c r="F745" s="28" t="str">
        <f t="shared" si="34"/>
        <v>Aug</v>
      </c>
      <c r="G745" s="17" t="s">
        <v>33</v>
      </c>
      <c r="H745" s="17" t="s">
        <v>20</v>
      </c>
      <c r="I745" s="24">
        <v>26196.316001051557</v>
      </c>
      <c r="J745" s="32">
        <v>12</v>
      </c>
      <c r="K745" s="17" t="s">
        <v>24</v>
      </c>
      <c r="L745" s="24">
        <v>1916.88</v>
      </c>
      <c r="M745" s="24">
        <v>2204.77</v>
      </c>
      <c r="N745" s="34">
        <f>((sales_data_1[[#This Row],[Unit_Price]]*(1-sales_data_1[[#This Row],[Discount]]))-sales_data_1[[#This Row],[Unit_Cost]])*sales_data_1[[#This Row],[Quantity_Sold]]</f>
        <v>3190.1075999999975</v>
      </c>
      <c r="O745" s="17" t="s">
        <v>27</v>
      </c>
      <c r="P745" s="26">
        <v>0.01</v>
      </c>
      <c r="Q745" s="17" t="s">
        <v>25</v>
      </c>
      <c r="R745" s="17" t="s">
        <v>19</v>
      </c>
      <c r="S745" s="49" t="str">
        <f t="shared" si="35"/>
        <v>Alice-West</v>
      </c>
      <c r="T745" s="59" t="str">
        <f>IF(ROUND(sales_data_1[[#This Row],[Profit_Margin]],2)=ROUND((sales_data_1[[#This Row],[Unit_Price]]*(1-sales_data_1[[#This Row],[Discount]]) - sales_data_1[[#This Row],[Unit_Cost]])*sales_data_1[[#This Row],[Quantity_Sold]],2), "PASS", "CHECK")</f>
        <v>PASS</v>
      </c>
    </row>
    <row r="746" spans="1:20" x14ac:dyDescent="0.35">
      <c r="A746" s="7">
        <v>745</v>
      </c>
      <c r="B746" s="9">
        <v>1081</v>
      </c>
      <c r="C746" s="7" t="str">
        <f>IFERROR(_xlfn.TEXTJOIN("-", TRUE, _xlfn.XLOOKUP(K746, product_category_id_lookup!$A$2:$A$5, product_category_id_lookup!$B$2:$B$5), B746), "Unknown Category")</f>
        <v>fd-1081</v>
      </c>
      <c r="D746" s="8">
        <v>44802</v>
      </c>
      <c r="E746" s="7">
        <f t="shared" si="33"/>
        <v>2022</v>
      </c>
      <c r="F746" s="28" t="str">
        <f t="shared" si="34"/>
        <v>Aug</v>
      </c>
      <c r="G746" s="17" t="s">
        <v>22</v>
      </c>
      <c r="H746" s="17" t="s">
        <v>30</v>
      </c>
      <c r="I746" s="24">
        <v>128221.47749517777</v>
      </c>
      <c r="J746" s="32">
        <v>30</v>
      </c>
      <c r="K746" s="17" t="s">
        <v>24</v>
      </c>
      <c r="L746" s="24">
        <v>3891.42</v>
      </c>
      <c r="M746" s="24">
        <v>4339.3500000000004</v>
      </c>
      <c r="N746" s="34">
        <f>((sales_data_1[[#This Row],[Unit_Price]]*(1-sales_data_1[[#This Row],[Discount]]))-sales_data_1[[#This Row],[Unit_Cost]])*sales_data_1[[#This Row],[Quantity_Sold]]</f>
        <v>10834.29</v>
      </c>
      <c r="O746" s="17" t="s">
        <v>27</v>
      </c>
      <c r="P746" s="26">
        <v>0.02</v>
      </c>
      <c r="Q746" s="17" t="s">
        <v>25</v>
      </c>
      <c r="R746" s="17" t="s">
        <v>19</v>
      </c>
      <c r="S746" s="49" t="str">
        <f t="shared" si="35"/>
        <v>David-East</v>
      </c>
      <c r="T746" s="59" t="str">
        <f>IF(ROUND(sales_data_1[[#This Row],[Profit_Margin]],2)=ROUND((sales_data_1[[#This Row],[Unit_Price]]*(1-sales_data_1[[#This Row],[Discount]]) - sales_data_1[[#This Row],[Unit_Cost]])*sales_data_1[[#This Row],[Quantity_Sold]],2), "PASS", "CHECK")</f>
        <v>PASS</v>
      </c>
    </row>
    <row r="747" spans="1:20" x14ac:dyDescent="0.35">
      <c r="A747" s="7">
        <v>746</v>
      </c>
      <c r="B747" s="9">
        <v>1059</v>
      </c>
      <c r="C747" s="7" t="str">
        <f>IFERROR(_xlfn.TEXTJOIN("-", TRUE, _xlfn.XLOOKUP(K747, product_category_id_lookup!$A$2:$A$5, product_category_id_lookup!$B$2:$B$5), B747), "Unknown Category")</f>
        <v>ctg-1059</v>
      </c>
      <c r="D747" s="8">
        <v>44802</v>
      </c>
      <c r="E747" s="7">
        <f t="shared" si="33"/>
        <v>2022</v>
      </c>
      <c r="F747" s="28" t="str">
        <f t="shared" si="34"/>
        <v>Aug</v>
      </c>
      <c r="G747" s="17" t="s">
        <v>22</v>
      </c>
      <c r="H747" s="17" t="s">
        <v>30</v>
      </c>
      <c r="I747" s="24">
        <v>66523.732000000004</v>
      </c>
      <c r="J747" s="32">
        <v>20</v>
      </c>
      <c r="K747" s="17" t="s">
        <v>26</v>
      </c>
      <c r="L747" s="24">
        <v>1570.43</v>
      </c>
      <c r="M747" s="24">
        <v>4556.42</v>
      </c>
      <c r="N747" s="34">
        <f>((sales_data_1[[#This Row],[Unit_Price]]*(1-sales_data_1[[#This Row],[Discount]]))-sales_data_1[[#This Row],[Unit_Cost]])*sales_data_1[[#This Row],[Quantity_Sold]]</f>
        <v>35115.131999999998</v>
      </c>
      <c r="O747" s="17" t="s">
        <v>27</v>
      </c>
      <c r="P747" s="26">
        <v>0.27</v>
      </c>
      <c r="Q747" s="17" t="s">
        <v>25</v>
      </c>
      <c r="R747" s="17" t="s">
        <v>19</v>
      </c>
      <c r="S747" s="49" t="str">
        <f t="shared" si="35"/>
        <v>David-East</v>
      </c>
      <c r="T747" s="59" t="str">
        <f>IF(ROUND(sales_data_1[[#This Row],[Profit_Margin]],2)=ROUND((sales_data_1[[#This Row],[Unit_Price]]*(1-sales_data_1[[#This Row],[Discount]]) - sales_data_1[[#This Row],[Unit_Cost]])*sales_data_1[[#This Row],[Quantity_Sold]],2), "PASS", "CHECK")</f>
        <v>PASS</v>
      </c>
    </row>
    <row r="748" spans="1:20" x14ac:dyDescent="0.35">
      <c r="A748" s="7">
        <v>747</v>
      </c>
      <c r="B748" s="9">
        <v>1082</v>
      </c>
      <c r="C748" s="7" t="str">
        <f>IFERROR(_xlfn.TEXTJOIN("-", TRUE, _xlfn.XLOOKUP(K748, product_category_id_lookup!$A$2:$A$5, product_category_id_lookup!$B$2:$B$5), B748), "Unknown Category")</f>
        <v>ctg-1082</v>
      </c>
      <c r="D748" s="8">
        <v>44803</v>
      </c>
      <c r="E748" s="7">
        <f t="shared" si="33"/>
        <v>2022</v>
      </c>
      <c r="F748" s="28" t="str">
        <f t="shared" si="34"/>
        <v>Aug</v>
      </c>
      <c r="G748" s="17" t="s">
        <v>29</v>
      </c>
      <c r="H748" s="17" t="s">
        <v>30</v>
      </c>
      <c r="I748" s="24">
        <v>5413.5873000000001</v>
      </c>
      <c r="J748" s="32">
        <v>1</v>
      </c>
      <c r="K748" s="17" t="s">
        <v>26</v>
      </c>
      <c r="L748" s="24">
        <v>689.1</v>
      </c>
      <c r="M748" s="24">
        <v>5468.27</v>
      </c>
      <c r="N748" s="34">
        <f>((sales_data_1[[#This Row],[Unit_Price]]*(1-sales_data_1[[#This Row],[Discount]]))-sales_data_1[[#This Row],[Unit_Cost]])*sales_data_1[[#This Row],[Quantity_Sold]]</f>
        <v>4724.4872999999998</v>
      </c>
      <c r="O748" s="17" t="s">
        <v>17</v>
      </c>
      <c r="P748" s="26">
        <v>0.01</v>
      </c>
      <c r="Q748" s="17" t="s">
        <v>18</v>
      </c>
      <c r="R748" s="17" t="s">
        <v>19</v>
      </c>
      <c r="S748" s="49" t="str">
        <f t="shared" si="35"/>
        <v>Charlie-East</v>
      </c>
      <c r="T748" s="59" t="str">
        <f>IF(ROUND(sales_data_1[[#This Row],[Profit_Margin]],2)=ROUND((sales_data_1[[#This Row],[Unit_Price]]*(1-sales_data_1[[#This Row],[Discount]]) - sales_data_1[[#This Row],[Unit_Cost]])*sales_data_1[[#This Row],[Quantity_Sold]],2), "PASS", "CHECK")</f>
        <v>PASS</v>
      </c>
    </row>
    <row r="749" spans="1:20" x14ac:dyDescent="0.35">
      <c r="A749" s="7">
        <v>748</v>
      </c>
      <c r="B749" s="9">
        <v>1064</v>
      </c>
      <c r="C749" s="7" t="str">
        <f>IFERROR(_xlfn.TEXTJOIN("-", TRUE, _xlfn.XLOOKUP(K749, product_category_id_lookup!$A$2:$A$5, product_category_id_lookup!$B$2:$B$5), B749), "Unknown Category")</f>
        <v>fd-1064</v>
      </c>
      <c r="D749" s="8">
        <v>44804</v>
      </c>
      <c r="E749" s="7">
        <f t="shared" si="33"/>
        <v>2022</v>
      </c>
      <c r="F749" s="28" t="str">
        <f t="shared" si="34"/>
        <v>Aug</v>
      </c>
      <c r="G749" s="17" t="s">
        <v>32</v>
      </c>
      <c r="H749" s="17" t="s">
        <v>15</v>
      </c>
      <c r="I749" s="24">
        <v>10547.742379020141</v>
      </c>
      <c r="J749" s="32">
        <v>27</v>
      </c>
      <c r="K749" s="17" t="s">
        <v>24</v>
      </c>
      <c r="L749" s="24">
        <v>337.56</v>
      </c>
      <c r="M749" s="24">
        <v>406.43</v>
      </c>
      <c r="N749" s="34">
        <f>((sales_data_1[[#This Row],[Unit_Price]]*(1-sales_data_1[[#This Row],[Discount]]))-sales_data_1[[#This Row],[Unit_Cost]])*sales_data_1[[#This Row],[Quantity_Sold]]</f>
        <v>1420.5455999999999</v>
      </c>
      <c r="O749" s="17" t="s">
        <v>17</v>
      </c>
      <c r="P749" s="26">
        <v>0.04</v>
      </c>
      <c r="Q749" s="17" t="s">
        <v>28</v>
      </c>
      <c r="R749" s="17" t="s">
        <v>21</v>
      </c>
      <c r="S749" s="49" t="str">
        <f t="shared" si="35"/>
        <v>Eve-North</v>
      </c>
      <c r="T749" s="59" t="str">
        <f>IF(ROUND(sales_data_1[[#This Row],[Profit_Margin]],2)=ROUND((sales_data_1[[#This Row],[Unit_Price]]*(1-sales_data_1[[#This Row],[Discount]]) - sales_data_1[[#This Row],[Unit_Cost]])*sales_data_1[[#This Row],[Quantity_Sold]],2), "PASS", "CHECK")</f>
        <v>PASS</v>
      </c>
    </row>
    <row r="750" spans="1:20" x14ac:dyDescent="0.35">
      <c r="A750" s="7">
        <v>749</v>
      </c>
      <c r="B750" s="9">
        <v>1051</v>
      </c>
      <c r="C750" s="7" t="str">
        <f>IFERROR(_xlfn.TEXTJOIN("-", TRUE, _xlfn.XLOOKUP(K750, product_category_id_lookup!$A$2:$A$5, product_category_id_lookup!$B$2:$B$5), B750), "Unknown Category")</f>
        <v>fd-1051</v>
      </c>
      <c r="D750" s="8">
        <v>44804</v>
      </c>
      <c r="E750" s="7">
        <f t="shared" si="33"/>
        <v>2022</v>
      </c>
      <c r="F750" s="28" t="str">
        <f t="shared" si="34"/>
        <v>Aug</v>
      </c>
      <c r="G750" s="17" t="s">
        <v>14</v>
      </c>
      <c r="H750" s="17" t="s">
        <v>30</v>
      </c>
      <c r="I750" s="24">
        <v>11254.660000000002</v>
      </c>
      <c r="J750" s="32">
        <v>20</v>
      </c>
      <c r="K750" s="17" t="s">
        <v>24</v>
      </c>
      <c r="L750" s="24">
        <v>284.33</v>
      </c>
      <c r="M750" s="24">
        <v>760.45</v>
      </c>
      <c r="N750" s="34">
        <f>((sales_data_1[[#This Row],[Unit_Price]]*(1-sales_data_1[[#This Row],[Discount]]))-sales_data_1[[#This Row],[Unit_Cost]])*sales_data_1[[#This Row],[Quantity_Sold]]</f>
        <v>5568.0600000000013</v>
      </c>
      <c r="O750" s="17" t="s">
        <v>27</v>
      </c>
      <c r="P750" s="26">
        <v>0.26</v>
      </c>
      <c r="Q750" s="17" t="s">
        <v>28</v>
      </c>
      <c r="R750" s="17" t="s">
        <v>21</v>
      </c>
      <c r="S750" s="49" t="str">
        <f t="shared" si="35"/>
        <v>Bob-East</v>
      </c>
      <c r="T750" s="59" t="str">
        <f>IF(ROUND(sales_data_1[[#This Row],[Profit_Margin]],2)=ROUND((sales_data_1[[#This Row],[Unit_Price]]*(1-sales_data_1[[#This Row],[Discount]]) - sales_data_1[[#This Row],[Unit_Cost]])*sales_data_1[[#This Row],[Quantity_Sold]],2), "PASS", "CHECK")</f>
        <v>PASS</v>
      </c>
    </row>
    <row r="751" spans="1:20" x14ac:dyDescent="0.35">
      <c r="A751" s="7">
        <v>750</v>
      </c>
      <c r="B751" s="9">
        <v>1033</v>
      </c>
      <c r="C751" s="7" t="str">
        <f>IFERROR(_xlfn.TEXTJOIN("-", TRUE, _xlfn.XLOOKUP(K751, product_category_id_lookup!$A$2:$A$5, product_category_id_lookup!$B$2:$B$5), B751), "Unknown Category")</f>
        <v>fnt-1033</v>
      </c>
      <c r="D751" s="8">
        <v>44804</v>
      </c>
      <c r="E751" s="7">
        <f t="shared" si="33"/>
        <v>2022</v>
      </c>
      <c r="F751" s="28" t="str">
        <f t="shared" si="34"/>
        <v>Aug</v>
      </c>
      <c r="G751" s="17" t="s">
        <v>22</v>
      </c>
      <c r="H751" s="17" t="s">
        <v>20</v>
      </c>
      <c r="I751" s="24">
        <v>115157.70000000001</v>
      </c>
      <c r="J751" s="32">
        <v>30</v>
      </c>
      <c r="K751" s="17" t="s">
        <v>16</v>
      </c>
      <c r="L751" s="24">
        <v>2929.7</v>
      </c>
      <c r="M751" s="24">
        <v>4265.1000000000004</v>
      </c>
      <c r="N751" s="34">
        <f>((sales_data_1[[#This Row],[Unit_Price]]*(1-sales_data_1[[#This Row],[Discount]]))-sales_data_1[[#This Row],[Unit_Cost]])*sales_data_1[[#This Row],[Quantity_Sold]]</f>
        <v>27266.700000000023</v>
      </c>
      <c r="O751" s="17" t="s">
        <v>17</v>
      </c>
      <c r="P751" s="26">
        <v>0.1</v>
      </c>
      <c r="Q751" s="17" t="s">
        <v>25</v>
      </c>
      <c r="R751" s="17" t="s">
        <v>19</v>
      </c>
      <c r="S751" s="49" t="str">
        <f t="shared" si="35"/>
        <v>David-West</v>
      </c>
      <c r="T751" s="59" t="str">
        <f>IF(ROUND(sales_data_1[[#This Row],[Profit_Margin]],2)=ROUND((sales_data_1[[#This Row],[Unit_Price]]*(1-sales_data_1[[#This Row],[Discount]]) - sales_data_1[[#This Row],[Unit_Cost]])*sales_data_1[[#This Row],[Quantity_Sold]],2), "PASS", "CHECK")</f>
        <v>PASS</v>
      </c>
    </row>
    <row r="752" spans="1:20" x14ac:dyDescent="0.35">
      <c r="A752" s="7">
        <v>751</v>
      </c>
      <c r="B752" s="9">
        <v>1067</v>
      </c>
      <c r="C752" s="7" t="str">
        <f>IFERROR(_xlfn.TEXTJOIN("-", TRUE, _xlfn.XLOOKUP(K752, product_category_id_lookup!$A$2:$A$5, product_category_id_lookup!$B$2:$B$5), B752), "Unknown Category")</f>
        <v>fd-1067</v>
      </c>
      <c r="D752" s="8">
        <v>44804</v>
      </c>
      <c r="E752" s="7">
        <f t="shared" si="33"/>
        <v>2022</v>
      </c>
      <c r="F752" s="28" t="str">
        <f t="shared" si="34"/>
        <v>Aug</v>
      </c>
      <c r="G752" s="17" t="s">
        <v>14</v>
      </c>
      <c r="H752" s="17" t="s">
        <v>23</v>
      </c>
      <c r="I752" s="24">
        <v>61182.928799999994</v>
      </c>
      <c r="J752" s="32">
        <v>36</v>
      </c>
      <c r="K752" s="17" t="s">
        <v>24</v>
      </c>
      <c r="L752" s="24">
        <v>332.47</v>
      </c>
      <c r="M752" s="24">
        <v>2098.1799999999998</v>
      </c>
      <c r="N752" s="34">
        <f>((sales_data_1[[#This Row],[Unit_Price]]*(1-sales_data_1[[#This Row],[Discount]]))-sales_data_1[[#This Row],[Unit_Cost]])*sales_data_1[[#This Row],[Quantity_Sold]]</f>
        <v>49214.008799999996</v>
      </c>
      <c r="O752" s="17" t="s">
        <v>27</v>
      </c>
      <c r="P752" s="26">
        <v>0.19</v>
      </c>
      <c r="Q752" s="17" t="s">
        <v>25</v>
      </c>
      <c r="R752" s="17" t="s">
        <v>19</v>
      </c>
      <c r="S752" s="49" t="str">
        <f t="shared" si="35"/>
        <v>Bob-South</v>
      </c>
      <c r="T752" s="59" t="str">
        <f>IF(ROUND(sales_data_1[[#This Row],[Profit_Margin]],2)=ROUND((sales_data_1[[#This Row],[Unit_Price]]*(1-sales_data_1[[#This Row],[Discount]]) - sales_data_1[[#This Row],[Unit_Cost]])*sales_data_1[[#This Row],[Quantity_Sold]],2), "PASS", "CHECK")</f>
        <v>PASS</v>
      </c>
    </row>
    <row r="753" spans="1:20" x14ac:dyDescent="0.35">
      <c r="A753" s="7">
        <v>752</v>
      </c>
      <c r="B753" s="9">
        <v>1059</v>
      </c>
      <c r="C753" s="7" t="str">
        <f>IFERROR(_xlfn.TEXTJOIN("-", TRUE, _xlfn.XLOOKUP(K753, product_category_id_lookup!$A$2:$A$5, product_category_id_lookup!$B$2:$B$5), B753), "Unknown Category")</f>
        <v>etc-1059</v>
      </c>
      <c r="D753" s="8">
        <v>44804</v>
      </c>
      <c r="E753" s="7">
        <f t="shared" si="33"/>
        <v>2022</v>
      </c>
      <c r="F753" s="28" t="str">
        <f t="shared" si="34"/>
        <v>Aug</v>
      </c>
      <c r="G753" s="17" t="s">
        <v>14</v>
      </c>
      <c r="H753" s="17" t="s">
        <v>30</v>
      </c>
      <c r="I753" s="24">
        <v>103662.58639999999</v>
      </c>
      <c r="J753" s="32">
        <v>31</v>
      </c>
      <c r="K753" s="17" t="s">
        <v>31</v>
      </c>
      <c r="L753" s="24">
        <v>1636.35</v>
      </c>
      <c r="M753" s="24">
        <v>4399.9399999999996</v>
      </c>
      <c r="N753" s="34">
        <f>((sales_data_1[[#This Row],[Unit_Price]]*(1-sales_data_1[[#This Row],[Discount]]))-sales_data_1[[#This Row],[Unit_Cost]])*sales_data_1[[#This Row],[Quantity_Sold]]</f>
        <v>52935.736399999994</v>
      </c>
      <c r="O753" s="17" t="s">
        <v>17</v>
      </c>
      <c r="P753" s="26">
        <v>0.24</v>
      </c>
      <c r="Q753" s="17" t="s">
        <v>18</v>
      </c>
      <c r="R753" s="17" t="s">
        <v>21</v>
      </c>
      <c r="S753" s="49" t="str">
        <f t="shared" si="35"/>
        <v>Bob-East</v>
      </c>
      <c r="T753" s="59" t="str">
        <f>IF(ROUND(sales_data_1[[#This Row],[Profit_Margin]],2)=ROUND((sales_data_1[[#This Row],[Unit_Price]]*(1-sales_data_1[[#This Row],[Discount]]) - sales_data_1[[#This Row],[Unit_Cost]])*sales_data_1[[#This Row],[Quantity_Sold]],2), "PASS", "CHECK")</f>
        <v>PASS</v>
      </c>
    </row>
    <row r="754" spans="1:20" x14ac:dyDescent="0.35">
      <c r="A754" s="7">
        <v>753</v>
      </c>
      <c r="B754" s="9">
        <v>1010</v>
      </c>
      <c r="C754" s="7" t="str">
        <f>IFERROR(_xlfn.TEXTJOIN("-", TRUE, _xlfn.XLOOKUP(K754, product_category_id_lookup!$A$2:$A$5, product_category_id_lookup!$B$2:$B$5), B754), "Unknown Category")</f>
        <v>ctg-1010</v>
      </c>
      <c r="D754" s="8">
        <v>44805</v>
      </c>
      <c r="E754" s="7">
        <f t="shared" si="33"/>
        <v>2022</v>
      </c>
      <c r="F754" s="28" t="str">
        <f t="shared" si="34"/>
        <v>Sep</v>
      </c>
      <c r="G754" s="17" t="s">
        <v>14</v>
      </c>
      <c r="H754" s="17" t="s">
        <v>15</v>
      </c>
      <c r="I754" s="24">
        <v>28770.794999999998</v>
      </c>
      <c r="J754" s="32">
        <v>10</v>
      </c>
      <c r="K754" s="17" t="s">
        <v>26</v>
      </c>
      <c r="L754" s="24">
        <v>1983.34</v>
      </c>
      <c r="M754" s="24">
        <v>3551.95</v>
      </c>
      <c r="N754" s="34">
        <f>((sales_data_1[[#This Row],[Unit_Price]]*(1-sales_data_1[[#This Row],[Discount]]))-sales_data_1[[#This Row],[Unit_Cost]])*sales_data_1[[#This Row],[Quantity_Sold]]</f>
        <v>8937.3949999999986</v>
      </c>
      <c r="O754" s="17" t="s">
        <v>17</v>
      </c>
      <c r="P754" s="26">
        <v>0.19</v>
      </c>
      <c r="Q754" s="17" t="s">
        <v>25</v>
      </c>
      <c r="R754" s="17" t="s">
        <v>19</v>
      </c>
      <c r="S754" s="49" t="str">
        <f t="shared" si="35"/>
        <v>Bob-North</v>
      </c>
      <c r="T754" s="59" t="str">
        <f>IF(ROUND(sales_data_1[[#This Row],[Profit_Margin]],2)=ROUND((sales_data_1[[#This Row],[Unit_Price]]*(1-sales_data_1[[#This Row],[Discount]]) - sales_data_1[[#This Row],[Unit_Cost]])*sales_data_1[[#This Row],[Quantity_Sold]],2), "PASS", "CHECK")</f>
        <v>PASS</v>
      </c>
    </row>
    <row r="755" spans="1:20" x14ac:dyDescent="0.35">
      <c r="A755" s="7">
        <v>754</v>
      </c>
      <c r="B755" s="9">
        <v>1028</v>
      </c>
      <c r="C755" s="7" t="str">
        <f>IFERROR(_xlfn.TEXTJOIN("-", TRUE, _xlfn.XLOOKUP(K755, product_category_id_lookup!$A$2:$A$5, product_category_id_lookup!$B$2:$B$5), B755), "Unknown Category")</f>
        <v>etc-1028</v>
      </c>
      <c r="D755" s="8">
        <v>44805</v>
      </c>
      <c r="E755" s="7">
        <f t="shared" si="33"/>
        <v>2022</v>
      </c>
      <c r="F755" s="28" t="str">
        <f t="shared" si="34"/>
        <v>Sep</v>
      </c>
      <c r="G755" s="17" t="s">
        <v>22</v>
      </c>
      <c r="H755" s="17" t="s">
        <v>20</v>
      </c>
      <c r="I755" s="24">
        <v>69647.432399999991</v>
      </c>
      <c r="J755" s="32">
        <v>42</v>
      </c>
      <c r="K755" s="17" t="s">
        <v>31</v>
      </c>
      <c r="L755" s="24">
        <v>421.41</v>
      </c>
      <c r="M755" s="24">
        <v>2125.9899999999998</v>
      </c>
      <c r="N755" s="34">
        <f>((sales_data_1[[#This Row],[Unit_Price]]*(1-sales_data_1[[#This Row],[Discount]]))-sales_data_1[[#This Row],[Unit_Cost]])*sales_data_1[[#This Row],[Quantity_Sold]]</f>
        <v>51948.212399999989</v>
      </c>
      <c r="O755" s="17" t="s">
        <v>17</v>
      </c>
      <c r="P755" s="26">
        <v>0.22</v>
      </c>
      <c r="Q755" s="17" t="s">
        <v>25</v>
      </c>
      <c r="R755" s="17" t="s">
        <v>19</v>
      </c>
      <c r="S755" s="49" t="str">
        <f t="shared" si="35"/>
        <v>David-West</v>
      </c>
      <c r="T755" s="59" t="str">
        <f>IF(ROUND(sales_data_1[[#This Row],[Profit_Margin]],2)=ROUND((sales_data_1[[#This Row],[Unit_Price]]*(1-sales_data_1[[#This Row],[Discount]]) - sales_data_1[[#This Row],[Unit_Cost]])*sales_data_1[[#This Row],[Quantity_Sold]],2), "PASS", "CHECK")</f>
        <v>PASS</v>
      </c>
    </row>
    <row r="756" spans="1:20" x14ac:dyDescent="0.35">
      <c r="A756" s="7">
        <v>755</v>
      </c>
      <c r="B756" s="9">
        <v>1065</v>
      </c>
      <c r="C756" s="7" t="str">
        <f>IFERROR(_xlfn.TEXTJOIN("-", TRUE, _xlfn.XLOOKUP(K756, product_category_id_lookup!$A$2:$A$5, product_category_id_lookup!$B$2:$B$5), B756), "Unknown Category")</f>
        <v>etc-1065</v>
      </c>
      <c r="D756" s="8">
        <v>44805</v>
      </c>
      <c r="E756" s="7">
        <f t="shared" si="33"/>
        <v>2022</v>
      </c>
      <c r="F756" s="28" t="str">
        <f t="shared" si="34"/>
        <v>Sep</v>
      </c>
      <c r="G756" s="17" t="s">
        <v>32</v>
      </c>
      <c r="H756" s="17" t="s">
        <v>20</v>
      </c>
      <c r="I756" s="24">
        <v>71460.593599999993</v>
      </c>
      <c r="J756" s="32">
        <v>29</v>
      </c>
      <c r="K756" s="17" t="s">
        <v>31</v>
      </c>
      <c r="L756" s="24">
        <v>478.58</v>
      </c>
      <c r="M756" s="24">
        <v>2800.18</v>
      </c>
      <c r="N756" s="34">
        <f>((sales_data_1[[#This Row],[Unit_Price]]*(1-sales_data_1[[#This Row],[Discount]]))-sales_data_1[[#This Row],[Unit_Cost]])*sales_data_1[[#This Row],[Quantity_Sold]]</f>
        <v>57581.773599999993</v>
      </c>
      <c r="O756" s="17" t="s">
        <v>27</v>
      </c>
      <c r="P756" s="26">
        <v>0.12</v>
      </c>
      <c r="Q756" s="17" t="s">
        <v>18</v>
      </c>
      <c r="R756" s="17" t="s">
        <v>21</v>
      </c>
      <c r="S756" s="49" t="str">
        <f t="shared" si="35"/>
        <v>Eve-West</v>
      </c>
      <c r="T756" s="59" t="str">
        <f>IF(ROUND(sales_data_1[[#This Row],[Profit_Margin]],2)=ROUND((sales_data_1[[#This Row],[Unit_Price]]*(1-sales_data_1[[#This Row],[Discount]]) - sales_data_1[[#This Row],[Unit_Cost]])*sales_data_1[[#This Row],[Quantity_Sold]],2), "PASS", "CHECK")</f>
        <v>PASS</v>
      </c>
    </row>
    <row r="757" spans="1:20" x14ac:dyDescent="0.35">
      <c r="A757" s="7">
        <v>756</v>
      </c>
      <c r="B757" s="9">
        <v>1007</v>
      </c>
      <c r="C757" s="7" t="str">
        <f>IFERROR(_xlfn.TEXTJOIN("-", TRUE, _xlfn.XLOOKUP(K757, product_category_id_lookup!$A$2:$A$5, product_category_id_lookup!$B$2:$B$5), B757), "Unknown Category")</f>
        <v>fnt-1007</v>
      </c>
      <c r="D757" s="8">
        <v>44805</v>
      </c>
      <c r="E757" s="7">
        <f t="shared" si="33"/>
        <v>2022</v>
      </c>
      <c r="F757" s="28" t="str">
        <f t="shared" si="34"/>
        <v>Sep</v>
      </c>
      <c r="G757" s="17" t="s">
        <v>32</v>
      </c>
      <c r="H757" s="17" t="s">
        <v>15</v>
      </c>
      <c r="I757" s="24">
        <v>112612.89599999999</v>
      </c>
      <c r="J757" s="32">
        <v>27</v>
      </c>
      <c r="K757" s="17" t="s">
        <v>16</v>
      </c>
      <c r="L757" s="24">
        <v>1903.25</v>
      </c>
      <c r="M757" s="24">
        <v>4906.88</v>
      </c>
      <c r="N757" s="34">
        <f>((sales_data_1[[#This Row],[Unit_Price]]*(1-sales_data_1[[#This Row],[Discount]]))-sales_data_1[[#This Row],[Unit_Cost]])*sales_data_1[[#This Row],[Quantity_Sold]]</f>
        <v>61225.146000000001</v>
      </c>
      <c r="O757" s="17" t="s">
        <v>17</v>
      </c>
      <c r="P757" s="26">
        <v>0.15</v>
      </c>
      <c r="Q757" s="17" t="s">
        <v>28</v>
      </c>
      <c r="R757" s="17" t="s">
        <v>19</v>
      </c>
      <c r="S757" s="49" t="str">
        <f t="shared" si="35"/>
        <v>Eve-North</v>
      </c>
      <c r="T757" s="59" t="str">
        <f>IF(ROUND(sales_data_1[[#This Row],[Profit_Margin]],2)=ROUND((sales_data_1[[#This Row],[Unit_Price]]*(1-sales_data_1[[#This Row],[Discount]]) - sales_data_1[[#This Row],[Unit_Cost]])*sales_data_1[[#This Row],[Quantity_Sold]],2), "PASS", "CHECK")</f>
        <v>PASS</v>
      </c>
    </row>
    <row r="758" spans="1:20" x14ac:dyDescent="0.35">
      <c r="A758" s="7">
        <v>757</v>
      </c>
      <c r="B758" s="9">
        <v>1052</v>
      </c>
      <c r="C758" s="7" t="str">
        <f>IFERROR(_xlfn.TEXTJOIN("-", TRUE, _xlfn.XLOOKUP(K758, product_category_id_lookup!$A$2:$A$5, product_category_id_lookup!$B$2:$B$5), B758), "Unknown Category")</f>
        <v>fnt-1052</v>
      </c>
      <c r="D758" s="8">
        <v>44806</v>
      </c>
      <c r="E758" s="7">
        <f t="shared" si="33"/>
        <v>2022</v>
      </c>
      <c r="F758" s="28" t="str">
        <f t="shared" si="34"/>
        <v>Sep</v>
      </c>
      <c r="G758" s="17" t="s">
        <v>14</v>
      </c>
      <c r="H758" s="17" t="s">
        <v>20</v>
      </c>
      <c r="I758" s="24">
        <v>13190.202000000001</v>
      </c>
      <c r="J758" s="32">
        <v>9</v>
      </c>
      <c r="K758" s="17" t="s">
        <v>16</v>
      </c>
      <c r="L758" s="24">
        <v>748.38</v>
      </c>
      <c r="M758" s="24">
        <v>1628.42</v>
      </c>
      <c r="N758" s="34">
        <f>((sales_data_1[[#This Row],[Unit_Price]]*(1-sales_data_1[[#This Row],[Discount]]))-sales_data_1[[#This Row],[Unit_Cost]])*sales_data_1[[#This Row],[Quantity_Sold]]</f>
        <v>6454.782000000002</v>
      </c>
      <c r="O758" s="17" t="s">
        <v>17</v>
      </c>
      <c r="P758" s="26">
        <v>0.1</v>
      </c>
      <c r="Q758" s="17" t="s">
        <v>25</v>
      </c>
      <c r="R758" s="17" t="s">
        <v>19</v>
      </c>
      <c r="S758" s="49" t="str">
        <f t="shared" si="35"/>
        <v>Bob-West</v>
      </c>
      <c r="T758" s="59" t="str">
        <f>IF(ROUND(sales_data_1[[#This Row],[Profit_Margin]],2)=ROUND((sales_data_1[[#This Row],[Unit_Price]]*(1-sales_data_1[[#This Row],[Discount]]) - sales_data_1[[#This Row],[Unit_Cost]])*sales_data_1[[#This Row],[Quantity_Sold]],2), "PASS", "CHECK")</f>
        <v>PASS</v>
      </c>
    </row>
    <row r="759" spans="1:20" x14ac:dyDescent="0.35">
      <c r="A759" s="7">
        <v>758</v>
      </c>
      <c r="B759" s="9">
        <v>1054</v>
      </c>
      <c r="C759" s="7" t="str">
        <f>IFERROR(_xlfn.TEXTJOIN("-", TRUE, _xlfn.XLOOKUP(K759, product_category_id_lookup!$A$2:$A$5, product_category_id_lookup!$B$2:$B$5), B759), "Unknown Category")</f>
        <v>fd-1054</v>
      </c>
      <c r="D759" s="8">
        <v>44806</v>
      </c>
      <c r="E759" s="7">
        <f t="shared" si="33"/>
        <v>2022</v>
      </c>
      <c r="F759" s="28" t="str">
        <f t="shared" si="34"/>
        <v>Sep</v>
      </c>
      <c r="G759" s="17" t="s">
        <v>33</v>
      </c>
      <c r="H759" s="17" t="s">
        <v>23</v>
      </c>
      <c r="I759" s="24">
        <v>45137.664000000004</v>
      </c>
      <c r="J759" s="32">
        <v>16</v>
      </c>
      <c r="K759" s="17" t="s">
        <v>24</v>
      </c>
      <c r="L759" s="24">
        <v>448.9</v>
      </c>
      <c r="M759" s="24">
        <v>3616.8</v>
      </c>
      <c r="N759" s="34">
        <f>((sales_data_1[[#This Row],[Unit_Price]]*(1-sales_data_1[[#This Row],[Discount]]))-sales_data_1[[#This Row],[Unit_Cost]])*sales_data_1[[#This Row],[Quantity_Sold]]</f>
        <v>37955.264000000003</v>
      </c>
      <c r="O759" s="17" t="s">
        <v>27</v>
      </c>
      <c r="P759" s="26">
        <v>0.22</v>
      </c>
      <c r="Q759" s="17" t="s">
        <v>18</v>
      </c>
      <c r="R759" s="17" t="s">
        <v>19</v>
      </c>
      <c r="S759" s="49" t="str">
        <f t="shared" si="35"/>
        <v>Alice-South</v>
      </c>
      <c r="T759" s="59" t="str">
        <f>IF(ROUND(sales_data_1[[#This Row],[Profit_Margin]],2)=ROUND((sales_data_1[[#This Row],[Unit_Price]]*(1-sales_data_1[[#This Row],[Discount]]) - sales_data_1[[#This Row],[Unit_Cost]])*sales_data_1[[#This Row],[Quantity_Sold]],2), "PASS", "CHECK")</f>
        <v>PASS</v>
      </c>
    </row>
    <row r="760" spans="1:20" x14ac:dyDescent="0.35">
      <c r="A760" s="7">
        <v>759</v>
      </c>
      <c r="B760" s="9">
        <v>1037</v>
      </c>
      <c r="C760" s="7" t="str">
        <f>IFERROR(_xlfn.TEXTJOIN("-", TRUE, _xlfn.XLOOKUP(K760, product_category_id_lookup!$A$2:$A$5, product_category_id_lookup!$B$2:$B$5), B760), "Unknown Category")</f>
        <v>fnt-1037</v>
      </c>
      <c r="D760" s="8">
        <v>44807</v>
      </c>
      <c r="E760" s="7">
        <f t="shared" si="33"/>
        <v>2022</v>
      </c>
      <c r="F760" s="28" t="str">
        <f t="shared" si="34"/>
        <v>Sep</v>
      </c>
      <c r="G760" s="17" t="s">
        <v>32</v>
      </c>
      <c r="H760" s="17" t="s">
        <v>15</v>
      </c>
      <c r="I760" s="24">
        <v>19234.157800000001</v>
      </c>
      <c r="J760" s="32">
        <v>13</v>
      </c>
      <c r="K760" s="17" t="s">
        <v>16</v>
      </c>
      <c r="L760" s="24">
        <v>897.92</v>
      </c>
      <c r="M760" s="24">
        <v>1573.99</v>
      </c>
      <c r="N760" s="34">
        <f>((sales_data_1[[#This Row],[Unit_Price]]*(1-sales_data_1[[#This Row],[Discount]]))-sales_data_1[[#This Row],[Unit_Cost]])*sales_data_1[[#This Row],[Quantity_Sold]]</f>
        <v>7561.1978000000008</v>
      </c>
      <c r="O760" s="17" t="s">
        <v>17</v>
      </c>
      <c r="P760" s="26">
        <v>0.06</v>
      </c>
      <c r="Q760" s="17" t="s">
        <v>28</v>
      </c>
      <c r="R760" s="17" t="s">
        <v>19</v>
      </c>
      <c r="S760" s="49" t="str">
        <f t="shared" si="35"/>
        <v>Eve-North</v>
      </c>
      <c r="T760" s="59" t="str">
        <f>IF(ROUND(sales_data_1[[#This Row],[Profit_Margin]],2)=ROUND((sales_data_1[[#This Row],[Unit_Price]]*(1-sales_data_1[[#This Row],[Discount]]) - sales_data_1[[#This Row],[Unit_Cost]])*sales_data_1[[#This Row],[Quantity_Sold]],2), "PASS", "CHECK")</f>
        <v>PASS</v>
      </c>
    </row>
    <row r="761" spans="1:20" x14ac:dyDescent="0.35">
      <c r="A761" s="7">
        <v>760</v>
      </c>
      <c r="B761" s="9">
        <v>1033</v>
      </c>
      <c r="C761" s="7" t="str">
        <f>IFERROR(_xlfn.TEXTJOIN("-", TRUE, _xlfn.XLOOKUP(K761, product_category_id_lookup!$A$2:$A$5, product_category_id_lookup!$B$2:$B$5), B761), "Unknown Category")</f>
        <v>etc-1033</v>
      </c>
      <c r="D761" s="8">
        <v>44807</v>
      </c>
      <c r="E761" s="7">
        <f t="shared" si="33"/>
        <v>2022</v>
      </c>
      <c r="F761" s="28" t="str">
        <f t="shared" si="34"/>
        <v>Sep</v>
      </c>
      <c r="G761" s="17" t="s">
        <v>33</v>
      </c>
      <c r="H761" s="17" t="s">
        <v>23</v>
      </c>
      <c r="I761" s="24">
        <v>105546.82319999998</v>
      </c>
      <c r="J761" s="32">
        <v>24</v>
      </c>
      <c r="K761" s="17" t="s">
        <v>31</v>
      </c>
      <c r="L761" s="24">
        <v>4030.39</v>
      </c>
      <c r="M761" s="24">
        <v>4832.7299999999996</v>
      </c>
      <c r="N761" s="34">
        <f>((sales_data_1[[#This Row],[Unit_Price]]*(1-sales_data_1[[#This Row],[Discount]]))-sales_data_1[[#This Row],[Unit_Cost]])*sales_data_1[[#This Row],[Quantity_Sold]]</f>
        <v>8817.4631999999874</v>
      </c>
      <c r="O761" s="17" t="s">
        <v>17</v>
      </c>
      <c r="P761" s="26">
        <v>0.09</v>
      </c>
      <c r="Q761" s="17" t="s">
        <v>18</v>
      </c>
      <c r="R761" s="17" t="s">
        <v>19</v>
      </c>
      <c r="S761" s="49" t="str">
        <f t="shared" si="35"/>
        <v>Alice-South</v>
      </c>
      <c r="T761" s="59" t="str">
        <f>IF(ROUND(sales_data_1[[#This Row],[Profit_Margin]],2)=ROUND((sales_data_1[[#This Row],[Unit_Price]]*(1-sales_data_1[[#This Row],[Discount]]) - sales_data_1[[#This Row],[Unit_Cost]])*sales_data_1[[#This Row],[Quantity_Sold]],2), "PASS", "CHECK")</f>
        <v>PASS</v>
      </c>
    </row>
    <row r="762" spans="1:20" x14ac:dyDescent="0.35">
      <c r="A762" s="7">
        <v>761</v>
      </c>
      <c r="B762" s="9">
        <v>1032</v>
      </c>
      <c r="C762" s="7" t="str">
        <f>IFERROR(_xlfn.TEXTJOIN("-", TRUE, _xlfn.XLOOKUP(K762, product_category_id_lookup!$A$2:$A$5, product_category_id_lookup!$B$2:$B$5), B762), "Unknown Category")</f>
        <v>ctg-1032</v>
      </c>
      <c r="D762" s="8">
        <v>44807</v>
      </c>
      <c r="E762" s="7">
        <f t="shared" si="33"/>
        <v>2022</v>
      </c>
      <c r="F762" s="28" t="str">
        <f t="shared" si="34"/>
        <v>Sep</v>
      </c>
      <c r="G762" s="17" t="s">
        <v>33</v>
      </c>
      <c r="H762" s="17" t="s">
        <v>15</v>
      </c>
      <c r="I762" s="24">
        <v>84226.485000000001</v>
      </c>
      <c r="J762" s="32">
        <v>30</v>
      </c>
      <c r="K762" s="17" t="s">
        <v>26</v>
      </c>
      <c r="L762" s="24">
        <v>1944.85</v>
      </c>
      <c r="M762" s="24">
        <v>3154.55</v>
      </c>
      <c r="N762" s="34">
        <f>((sales_data_1[[#This Row],[Unit_Price]]*(1-sales_data_1[[#This Row],[Discount]]))-sales_data_1[[#This Row],[Unit_Cost]])*sales_data_1[[#This Row],[Quantity_Sold]]</f>
        <v>25880.985000000004</v>
      </c>
      <c r="O762" s="17" t="s">
        <v>27</v>
      </c>
      <c r="P762" s="26">
        <v>0.11</v>
      </c>
      <c r="Q762" s="17" t="s">
        <v>28</v>
      </c>
      <c r="R762" s="17" t="s">
        <v>19</v>
      </c>
      <c r="S762" s="49" t="str">
        <f t="shared" si="35"/>
        <v>Alice-North</v>
      </c>
      <c r="T762" s="59" t="str">
        <f>IF(ROUND(sales_data_1[[#This Row],[Profit_Margin]],2)=ROUND((sales_data_1[[#This Row],[Unit_Price]]*(1-sales_data_1[[#This Row],[Discount]]) - sales_data_1[[#This Row],[Unit_Cost]])*sales_data_1[[#This Row],[Quantity_Sold]],2), "PASS", "CHECK")</f>
        <v>PASS</v>
      </c>
    </row>
    <row r="763" spans="1:20" x14ac:dyDescent="0.35">
      <c r="A763" s="7">
        <v>762</v>
      </c>
      <c r="B763" s="9">
        <v>1085</v>
      </c>
      <c r="C763" s="7" t="str">
        <f>IFERROR(_xlfn.TEXTJOIN("-", TRUE, _xlfn.XLOOKUP(K763, product_category_id_lookup!$A$2:$A$5, product_category_id_lookup!$B$2:$B$5), B763), "Unknown Category")</f>
        <v>ctg-1085</v>
      </c>
      <c r="D763" s="8">
        <v>44807</v>
      </c>
      <c r="E763" s="7">
        <f t="shared" si="33"/>
        <v>2022</v>
      </c>
      <c r="F763" s="28" t="str">
        <f t="shared" si="34"/>
        <v>Sep</v>
      </c>
      <c r="G763" s="17" t="s">
        <v>32</v>
      </c>
      <c r="H763" s="17" t="s">
        <v>30</v>
      </c>
      <c r="I763" s="24">
        <v>130480.56</v>
      </c>
      <c r="J763" s="32">
        <v>35</v>
      </c>
      <c r="K763" s="17" t="s">
        <v>26</v>
      </c>
      <c r="L763" s="24">
        <v>2734.16</v>
      </c>
      <c r="M763" s="24">
        <v>5177.8</v>
      </c>
      <c r="N763" s="34">
        <f>((sales_data_1[[#This Row],[Unit_Price]]*(1-sales_data_1[[#This Row],[Discount]]))-sales_data_1[[#This Row],[Unit_Cost]])*sales_data_1[[#This Row],[Quantity_Sold]]</f>
        <v>34784.960000000006</v>
      </c>
      <c r="O763" s="17" t="s">
        <v>17</v>
      </c>
      <c r="P763" s="26">
        <v>0.28000000000000003</v>
      </c>
      <c r="Q763" s="17" t="s">
        <v>18</v>
      </c>
      <c r="R763" s="17" t="s">
        <v>19</v>
      </c>
      <c r="S763" s="49" t="str">
        <f t="shared" si="35"/>
        <v>Eve-East</v>
      </c>
      <c r="T763" s="59" t="str">
        <f>IF(ROUND(sales_data_1[[#This Row],[Profit_Margin]],2)=ROUND((sales_data_1[[#This Row],[Unit_Price]]*(1-sales_data_1[[#This Row],[Discount]]) - sales_data_1[[#This Row],[Unit_Cost]])*sales_data_1[[#This Row],[Quantity_Sold]],2), "PASS", "CHECK")</f>
        <v>PASS</v>
      </c>
    </row>
    <row r="764" spans="1:20" x14ac:dyDescent="0.35">
      <c r="A764" s="7">
        <v>763</v>
      </c>
      <c r="B764" s="9">
        <v>1004</v>
      </c>
      <c r="C764" s="7" t="str">
        <f>IFERROR(_xlfn.TEXTJOIN("-", TRUE, _xlfn.XLOOKUP(K764, product_category_id_lookup!$A$2:$A$5, product_category_id_lookup!$B$2:$B$5), B764), "Unknown Category")</f>
        <v>fd-1004</v>
      </c>
      <c r="D764" s="8">
        <v>44807</v>
      </c>
      <c r="E764" s="7">
        <f t="shared" si="33"/>
        <v>2022</v>
      </c>
      <c r="F764" s="28" t="str">
        <f t="shared" si="34"/>
        <v>Sep</v>
      </c>
      <c r="G764" s="17" t="s">
        <v>14</v>
      </c>
      <c r="H764" s="17" t="s">
        <v>23</v>
      </c>
      <c r="I764" s="24">
        <v>176981.7672</v>
      </c>
      <c r="J764" s="32">
        <v>42</v>
      </c>
      <c r="K764" s="17" t="s">
        <v>24</v>
      </c>
      <c r="L764" s="24">
        <v>3374.13</v>
      </c>
      <c r="M764" s="24">
        <v>5016.49</v>
      </c>
      <c r="N764" s="34">
        <f>((sales_data_1[[#This Row],[Unit_Price]]*(1-sales_data_1[[#This Row],[Discount]]))-sales_data_1[[#This Row],[Unit_Cost]])*sales_data_1[[#This Row],[Quantity_Sold]]</f>
        <v>35268.307199999996</v>
      </c>
      <c r="O764" s="17" t="s">
        <v>17</v>
      </c>
      <c r="P764" s="26">
        <v>0.16</v>
      </c>
      <c r="Q764" s="17" t="s">
        <v>18</v>
      </c>
      <c r="R764" s="17" t="s">
        <v>19</v>
      </c>
      <c r="S764" s="49" t="str">
        <f t="shared" si="35"/>
        <v>Bob-South</v>
      </c>
      <c r="T764" s="59" t="str">
        <f>IF(ROUND(sales_data_1[[#This Row],[Profit_Margin]],2)=ROUND((sales_data_1[[#This Row],[Unit_Price]]*(1-sales_data_1[[#This Row],[Discount]]) - sales_data_1[[#This Row],[Unit_Cost]])*sales_data_1[[#This Row],[Quantity_Sold]],2), "PASS", "CHECK")</f>
        <v>PASS</v>
      </c>
    </row>
    <row r="765" spans="1:20" x14ac:dyDescent="0.35">
      <c r="A765" s="7">
        <v>764</v>
      </c>
      <c r="B765" s="9">
        <v>1002</v>
      </c>
      <c r="C765" s="7" t="str">
        <f>IFERROR(_xlfn.TEXTJOIN("-", TRUE, _xlfn.XLOOKUP(K765, product_category_id_lookup!$A$2:$A$5, product_category_id_lookup!$B$2:$B$5), B765), "Unknown Category")</f>
        <v>etc-1002</v>
      </c>
      <c r="D765" s="8">
        <v>44807</v>
      </c>
      <c r="E765" s="7">
        <f t="shared" si="33"/>
        <v>2022</v>
      </c>
      <c r="F765" s="28" t="str">
        <f t="shared" si="34"/>
        <v>Sep</v>
      </c>
      <c r="G765" s="17" t="s">
        <v>33</v>
      </c>
      <c r="H765" s="17" t="s">
        <v>20</v>
      </c>
      <c r="I765" s="24">
        <v>82254.380099999995</v>
      </c>
      <c r="J765" s="32">
        <v>19</v>
      </c>
      <c r="K765" s="17" t="s">
        <v>31</v>
      </c>
      <c r="L765" s="24">
        <v>711.21</v>
      </c>
      <c r="M765" s="24">
        <v>4655.03</v>
      </c>
      <c r="N765" s="34">
        <f>((sales_data_1[[#This Row],[Unit_Price]]*(1-sales_data_1[[#This Row],[Discount]]))-sales_data_1[[#This Row],[Unit_Cost]])*sales_data_1[[#This Row],[Quantity_Sold]]</f>
        <v>68741.39009999999</v>
      </c>
      <c r="O765" s="17" t="s">
        <v>17</v>
      </c>
      <c r="P765" s="26">
        <v>7.0000000000000007E-2</v>
      </c>
      <c r="Q765" s="17" t="s">
        <v>28</v>
      </c>
      <c r="R765" s="17" t="s">
        <v>21</v>
      </c>
      <c r="S765" s="49" t="str">
        <f t="shared" si="35"/>
        <v>Alice-West</v>
      </c>
      <c r="T765" s="59" t="str">
        <f>IF(ROUND(sales_data_1[[#This Row],[Profit_Margin]],2)=ROUND((sales_data_1[[#This Row],[Unit_Price]]*(1-sales_data_1[[#This Row],[Discount]]) - sales_data_1[[#This Row],[Unit_Cost]])*sales_data_1[[#This Row],[Quantity_Sold]],2), "PASS", "CHECK")</f>
        <v>PASS</v>
      </c>
    </row>
    <row r="766" spans="1:20" x14ac:dyDescent="0.35">
      <c r="A766" s="7">
        <v>765</v>
      </c>
      <c r="B766" s="9">
        <v>1099</v>
      </c>
      <c r="C766" s="7" t="str">
        <f>IFERROR(_xlfn.TEXTJOIN("-", TRUE, _xlfn.XLOOKUP(K766, product_category_id_lookup!$A$2:$A$5, product_category_id_lookup!$B$2:$B$5), B766), "Unknown Category")</f>
        <v>ctg-1099</v>
      </c>
      <c r="D766" s="8">
        <v>44808</v>
      </c>
      <c r="E766" s="7">
        <f t="shared" si="33"/>
        <v>2022</v>
      </c>
      <c r="F766" s="28" t="str">
        <f t="shared" si="34"/>
        <v>Sep</v>
      </c>
      <c r="G766" s="17" t="s">
        <v>29</v>
      </c>
      <c r="H766" s="17" t="s">
        <v>20</v>
      </c>
      <c r="I766" s="24">
        <v>16001.523902253737</v>
      </c>
      <c r="J766" s="32">
        <v>34</v>
      </c>
      <c r="K766" s="17" t="s">
        <v>26</v>
      </c>
      <c r="L766" s="24">
        <v>470.52</v>
      </c>
      <c r="M766" s="24">
        <v>493.99</v>
      </c>
      <c r="N766" s="34">
        <f>((sales_data_1[[#This Row],[Unit_Price]]*(1-sales_data_1[[#This Row],[Discount]]))-sales_data_1[[#This Row],[Unit_Cost]])*sales_data_1[[#This Row],[Quantity_Sold]]</f>
        <v>-41.802999999999088</v>
      </c>
      <c r="O766" s="17" t="s">
        <v>27</v>
      </c>
      <c r="P766" s="26">
        <v>0.05</v>
      </c>
      <c r="Q766" s="17" t="s">
        <v>18</v>
      </c>
      <c r="R766" s="17" t="s">
        <v>21</v>
      </c>
      <c r="S766" s="49" t="str">
        <f t="shared" si="35"/>
        <v>Charlie-West</v>
      </c>
      <c r="T766" s="59" t="str">
        <f>IF(ROUND(sales_data_1[[#This Row],[Profit_Margin]],2)=ROUND((sales_data_1[[#This Row],[Unit_Price]]*(1-sales_data_1[[#This Row],[Discount]]) - sales_data_1[[#This Row],[Unit_Cost]])*sales_data_1[[#This Row],[Quantity_Sold]],2), "PASS", "CHECK")</f>
        <v>PASS</v>
      </c>
    </row>
    <row r="767" spans="1:20" x14ac:dyDescent="0.35">
      <c r="A767" s="7">
        <v>766</v>
      </c>
      <c r="B767" s="9">
        <v>1084</v>
      </c>
      <c r="C767" s="7" t="str">
        <f>IFERROR(_xlfn.TEXTJOIN("-", TRUE, _xlfn.XLOOKUP(K767, product_category_id_lookup!$A$2:$A$5, product_category_id_lookup!$B$2:$B$5), B767), "Unknown Category")</f>
        <v>fd-1084</v>
      </c>
      <c r="D767" s="8">
        <v>44808</v>
      </c>
      <c r="E767" s="7">
        <f t="shared" si="33"/>
        <v>2022</v>
      </c>
      <c r="F767" s="28" t="str">
        <f t="shared" si="34"/>
        <v>Sep</v>
      </c>
      <c r="G767" s="17" t="s">
        <v>33</v>
      </c>
      <c r="H767" s="17" t="s">
        <v>30</v>
      </c>
      <c r="I767" s="24">
        <v>84088.896000000008</v>
      </c>
      <c r="J767" s="32">
        <v>24</v>
      </c>
      <c r="K767" s="17" t="s">
        <v>24</v>
      </c>
      <c r="L767" s="24">
        <v>1360.4</v>
      </c>
      <c r="M767" s="24">
        <v>4379.63</v>
      </c>
      <c r="N767" s="34">
        <f>((sales_data_1[[#This Row],[Unit_Price]]*(1-sales_data_1[[#This Row],[Discount]]))-sales_data_1[[#This Row],[Unit_Cost]])*sales_data_1[[#This Row],[Quantity_Sold]]</f>
        <v>51439.296000000002</v>
      </c>
      <c r="O767" s="17" t="s">
        <v>27</v>
      </c>
      <c r="P767" s="26">
        <v>0.2</v>
      </c>
      <c r="Q767" s="17" t="s">
        <v>25</v>
      </c>
      <c r="R767" s="17" t="s">
        <v>21</v>
      </c>
      <c r="S767" s="49" t="str">
        <f t="shared" si="35"/>
        <v>Alice-East</v>
      </c>
      <c r="T767" s="59" t="str">
        <f>IF(ROUND(sales_data_1[[#This Row],[Profit_Margin]],2)=ROUND((sales_data_1[[#This Row],[Unit_Price]]*(1-sales_data_1[[#This Row],[Discount]]) - sales_data_1[[#This Row],[Unit_Cost]])*sales_data_1[[#This Row],[Quantity_Sold]],2), "PASS", "CHECK")</f>
        <v>PASS</v>
      </c>
    </row>
    <row r="768" spans="1:20" x14ac:dyDescent="0.35">
      <c r="A768" s="7">
        <v>767</v>
      </c>
      <c r="B768" s="9">
        <v>1094</v>
      </c>
      <c r="C768" s="7" t="str">
        <f>IFERROR(_xlfn.TEXTJOIN("-", TRUE, _xlfn.XLOOKUP(K768, product_category_id_lookup!$A$2:$A$5, product_category_id_lookup!$B$2:$B$5), B768), "Unknown Category")</f>
        <v>ctg-1094</v>
      </c>
      <c r="D768" s="8">
        <v>44808</v>
      </c>
      <c r="E768" s="7">
        <f t="shared" si="33"/>
        <v>2022</v>
      </c>
      <c r="F768" s="28" t="str">
        <f t="shared" si="34"/>
        <v>Sep</v>
      </c>
      <c r="G768" s="17" t="s">
        <v>33</v>
      </c>
      <c r="H768" s="17" t="s">
        <v>20</v>
      </c>
      <c r="I768" s="24">
        <v>184676.25</v>
      </c>
      <c r="J768" s="32">
        <v>37</v>
      </c>
      <c r="K768" s="17" t="s">
        <v>26</v>
      </c>
      <c r="L768" s="24">
        <v>2124.19</v>
      </c>
      <c r="M768" s="24">
        <v>4991.25</v>
      </c>
      <c r="N768" s="34">
        <f>((sales_data_1[[#This Row],[Unit_Price]]*(1-sales_data_1[[#This Row],[Discount]]))-sales_data_1[[#This Row],[Unit_Cost]])*sales_data_1[[#This Row],[Quantity_Sold]]</f>
        <v>106081.22</v>
      </c>
      <c r="O768" s="17" t="s">
        <v>17</v>
      </c>
      <c r="P768" s="26">
        <v>0</v>
      </c>
      <c r="Q768" s="17" t="s">
        <v>25</v>
      </c>
      <c r="R768" s="17" t="s">
        <v>19</v>
      </c>
      <c r="S768" s="49" t="str">
        <f t="shared" si="35"/>
        <v>Alice-West</v>
      </c>
      <c r="T768" s="59" t="str">
        <f>IF(ROUND(sales_data_1[[#This Row],[Profit_Margin]],2)=ROUND((sales_data_1[[#This Row],[Unit_Price]]*(1-sales_data_1[[#This Row],[Discount]]) - sales_data_1[[#This Row],[Unit_Cost]])*sales_data_1[[#This Row],[Quantity_Sold]],2), "PASS", "CHECK")</f>
        <v>PASS</v>
      </c>
    </row>
    <row r="769" spans="1:20" x14ac:dyDescent="0.35">
      <c r="A769" s="7">
        <v>768</v>
      </c>
      <c r="B769" s="9">
        <v>1059</v>
      </c>
      <c r="C769" s="7" t="str">
        <f>IFERROR(_xlfn.TEXTJOIN("-", TRUE, _xlfn.XLOOKUP(K769, product_category_id_lookup!$A$2:$A$5, product_category_id_lookup!$B$2:$B$5), B769), "Unknown Category")</f>
        <v>fnt-1059</v>
      </c>
      <c r="D769" s="8">
        <v>44809</v>
      </c>
      <c r="E769" s="7">
        <f t="shared" si="33"/>
        <v>2022</v>
      </c>
      <c r="F769" s="28" t="str">
        <f t="shared" si="34"/>
        <v>Sep</v>
      </c>
      <c r="G769" s="17" t="s">
        <v>32</v>
      </c>
      <c r="H769" s="17" t="s">
        <v>23</v>
      </c>
      <c r="I769" s="24">
        <v>164724.54155362834</v>
      </c>
      <c r="J769" s="32">
        <v>39</v>
      </c>
      <c r="K769" s="17" t="s">
        <v>16</v>
      </c>
      <c r="L769" s="24">
        <v>3681.04</v>
      </c>
      <c r="M769" s="24">
        <v>4319.92</v>
      </c>
      <c r="N769" s="34">
        <f>((sales_data_1[[#This Row],[Unit_Price]]*(1-sales_data_1[[#This Row],[Discount]]))-sales_data_1[[#This Row],[Unit_Cost]])*sales_data_1[[#This Row],[Quantity_Sold]]</f>
        <v>21546.782400000004</v>
      </c>
      <c r="O769" s="17" t="s">
        <v>17</v>
      </c>
      <c r="P769" s="26">
        <v>0.02</v>
      </c>
      <c r="Q769" s="17" t="s">
        <v>25</v>
      </c>
      <c r="R769" s="17" t="s">
        <v>21</v>
      </c>
      <c r="S769" s="49" t="str">
        <f t="shared" si="35"/>
        <v>Eve-South</v>
      </c>
      <c r="T769" s="59" t="str">
        <f>IF(ROUND(sales_data_1[[#This Row],[Profit_Margin]],2)=ROUND((sales_data_1[[#This Row],[Unit_Price]]*(1-sales_data_1[[#This Row],[Discount]]) - sales_data_1[[#This Row],[Unit_Cost]])*sales_data_1[[#This Row],[Quantity_Sold]],2), "PASS", "CHECK")</f>
        <v>PASS</v>
      </c>
    </row>
    <row r="770" spans="1:20" x14ac:dyDescent="0.35">
      <c r="A770" s="7">
        <v>769</v>
      </c>
      <c r="B770" s="9">
        <v>1069</v>
      </c>
      <c r="C770" s="7" t="str">
        <f>IFERROR(_xlfn.TEXTJOIN("-", TRUE, _xlfn.XLOOKUP(K770, product_category_id_lookup!$A$2:$A$5, product_category_id_lookup!$B$2:$B$5), B770), "Unknown Category")</f>
        <v>fnt-1069</v>
      </c>
      <c r="D770" s="8">
        <v>44809</v>
      </c>
      <c r="E770" s="7">
        <f t="shared" ref="E770:E833" si="36">YEAR(D770)</f>
        <v>2022</v>
      </c>
      <c r="F770" s="28" t="str">
        <f t="shared" ref="F770:F833" si="37">LEFT(TEXT(D770,"mmmm"),3)</f>
        <v>Sep</v>
      </c>
      <c r="G770" s="17" t="s">
        <v>22</v>
      </c>
      <c r="H770" s="17" t="s">
        <v>20</v>
      </c>
      <c r="I770" s="24">
        <v>72632.592000000004</v>
      </c>
      <c r="J770" s="32">
        <v>19</v>
      </c>
      <c r="K770" s="17" t="s">
        <v>16</v>
      </c>
      <c r="L770" s="24">
        <v>958.03</v>
      </c>
      <c r="M770" s="24">
        <v>4247.5200000000004</v>
      </c>
      <c r="N770" s="34">
        <f>((sales_data_1[[#This Row],[Unit_Price]]*(1-sales_data_1[[#This Row],[Discount]]))-sales_data_1[[#This Row],[Unit_Cost]])*sales_data_1[[#This Row],[Quantity_Sold]]</f>
        <v>54430.022000000004</v>
      </c>
      <c r="O770" s="17" t="s">
        <v>17</v>
      </c>
      <c r="P770" s="26">
        <v>0.1</v>
      </c>
      <c r="Q770" s="17" t="s">
        <v>28</v>
      </c>
      <c r="R770" s="17" t="s">
        <v>19</v>
      </c>
      <c r="S770" s="49" t="str">
        <f t="shared" ref="S770:S833" si="38">_xlfn.CONCAT(G770,"-",H770)</f>
        <v>David-West</v>
      </c>
      <c r="T770" s="59" t="str">
        <f>IF(ROUND(sales_data_1[[#This Row],[Profit_Margin]],2)=ROUND((sales_data_1[[#This Row],[Unit_Price]]*(1-sales_data_1[[#This Row],[Discount]]) - sales_data_1[[#This Row],[Unit_Cost]])*sales_data_1[[#This Row],[Quantity_Sold]],2), "PASS", "CHECK")</f>
        <v>PASS</v>
      </c>
    </row>
    <row r="771" spans="1:20" x14ac:dyDescent="0.35">
      <c r="A771" s="7">
        <v>770</v>
      </c>
      <c r="B771" s="9">
        <v>1086</v>
      </c>
      <c r="C771" s="7" t="str">
        <f>IFERROR(_xlfn.TEXTJOIN("-", TRUE, _xlfn.XLOOKUP(K771, product_category_id_lookup!$A$2:$A$5, product_category_id_lookup!$B$2:$B$5), B771), "Unknown Category")</f>
        <v>etc-1086</v>
      </c>
      <c r="D771" s="8">
        <v>44810</v>
      </c>
      <c r="E771" s="7">
        <f t="shared" si="36"/>
        <v>2022</v>
      </c>
      <c r="F771" s="28" t="str">
        <f t="shared" si="37"/>
        <v>Sep</v>
      </c>
      <c r="G771" s="17" t="s">
        <v>14</v>
      </c>
      <c r="H771" s="17" t="s">
        <v>15</v>
      </c>
      <c r="I771" s="24">
        <v>78624.821499999991</v>
      </c>
      <c r="J771" s="32">
        <v>23</v>
      </c>
      <c r="K771" s="17" t="s">
        <v>31</v>
      </c>
      <c r="L771" s="24">
        <v>2031.27</v>
      </c>
      <c r="M771" s="24">
        <v>3598.39</v>
      </c>
      <c r="N771" s="34">
        <f>((sales_data_1[[#This Row],[Unit_Price]]*(1-sales_data_1[[#This Row],[Discount]]))-sales_data_1[[#This Row],[Unit_Cost]])*sales_data_1[[#This Row],[Quantity_Sold]]</f>
        <v>31905.611499999999</v>
      </c>
      <c r="O771" s="17" t="s">
        <v>27</v>
      </c>
      <c r="P771" s="26">
        <v>0.05</v>
      </c>
      <c r="Q771" s="17" t="s">
        <v>28</v>
      </c>
      <c r="R771" s="17" t="s">
        <v>19</v>
      </c>
      <c r="S771" s="49" t="str">
        <f t="shared" si="38"/>
        <v>Bob-North</v>
      </c>
      <c r="T771" s="59" t="str">
        <f>IF(ROUND(sales_data_1[[#This Row],[Profit_Margin]],2)=ROUND((sales_data_1[[#This Row],[Unit_Price]]*(1-sales_data_1[[#This Row],[Discount]]) - sales_data_1[[#This Row],[Unit_Cost]])*sales_data_1[[#This Row],[Quantity_Sold]],2), "PASS", "CHECK")</f>
        <v>PASS</v>
      </c>
    </row>
    <row r="772" spans="1:20" x14ac:dyDescent="0.35">
      <c r="A772" s="7">
        <v>771</v>
      </c>
      <c r="B772" s="9">
        <v>1054</v>
      </c>
      <c r="C772" s="7" t="str">
        <f>IFERROR(_xlfn.TEXTJOIN("-", TRUE, _xlfn.XLOOKUP(K772, product_category_id_lookup!$A$2:$A$5, product_category_id_lookup!$B$2:$B$5), B772), "Unknown Category")</f>
        <v>ctg-1054</v>
      </c>
      <c r="D772" s="8">
        <v>44810</v>
      </c>
      <c r="E772" s="7">
        <f t="shared" si="36"/>
        <v>2022</v>
      </c>
      <c r="F772" s="28" t="str">
        <f t="shared" si="37"/>
        <v>Sep</v>
      </c>
      <c r="G772" s="17" t="s">
        <v>22</v>
      </c>
      <c r="H772" s="17" t="s">
        <v>15</v>
      </c>
      <c r="I772" s="24">
        <v>129310.82080000002</v>
      </c>
      <c r="J772" s="32">
        <v>31</v>
      </c>
      <c r="K772" s="17" t="s">
        <v>26</v>
      </c>
      <c r="L772" s="24">
        <v>953.05</v>
      </c>
      <c r="M772" s="24">
        <v>4534.04</v>
      </c>
      <c r="N772" s="34">
        <f>((sales_data_1[[#This Row],[Unit_Price]]*(1-sales_data_1[[#This Row],[Discount]]))-sales_data_1[[#This Row],[Unit_Cost]])*sales_data_1[[#This Row],[Quantity_Sold]]</f>
        <v>99766.270800000013</v>
      </c>
      <c r="O772" s="17" t="s">
        <v>17</v>
      </c>
      <c r="P772" s="26">
        <v>0.08</v>
      </c>
      <c r="Q772" s="17" t="s">
        <v>28</v>
      </c>
      <c r="R772" s="17" t="s">
        <v>19</v>
      </c>
      <c r="S772" s="49" t="str">
        <f t="shared" si="38"/>
        <v>David-North</v>
      </c>
      <c r="T772" s="59" t="str">
        <f>IF(ROUND(sales_data_1[[#This Row],[Profit_Margin]],2)=ROUND((sales_data_1[[#This Row],[Unit_Price]]*(1-sales_data_1[[#This Row],[Discount]]) - sales_data_1[[#This Row],[Unit_Cost]])*sales_data_1[[#This Row],[Quantity_Sold]],2), "PASS", "CHECK")</f>
        <v>PASS</v>
      </c>
    </row>
    <row r="773" spans="1:20" x14ac:dyDescent="0.35">
      <c r="A773" s="7">
        <v>772</v>
      </c>
      <c r="B773" s="9">
        <v>1096</v>
      </c>
      <c r="C773" s="7" t="str">
        <f>IFERROR(_xlfn.TEXTJOIN("-", TRUE, _xlfn.XLOOKUP(K773, product_category_id_lookup!$A$2:$A$5, product_category_id_lookup!$B$2:$B$5), B773), "Unknown Category")</f>
        <v>etc-1096</v>
      </c>
      <c r="D773" s="8">
        <v>44811</v>
      </c>
      <c r="E773" s="7">
        <f t="shared" si="36"/>
        <v>2022</v>
      </c>
      <c r="F773" s="28" t="str">
        <f t="shared" si="37"/>
        <v>Sep</v>
      </c>
      <c r="G773" s="17" t="s">
        <v>33</v>
      </c>
      <c r="H773" s="17" t="s">
        <v>15</v>
      </c>
      <c r="I773" s="24">
        <v>49277.483999999997</v>
      </c>
      <c r="J773" s="32">
        <v>12</v>
      </c>
      <c r="K773" s="17" t="s">
        <v>31</v>
      </c>
      <c r="L773" s="24">
        <v>2612.4499999999998</v>
      </c>
      <c r="M773" s="24">
        <v>4774.95</v>
      </c>
      <c r="N773" s="34">
        <f>((sales_data_1[[#This Row],[Unit_Price]]*(1-sales_data_1[[#This Row],[Discount]]))-sales_data_1[[#This Row],[Unit_Cost]])*sales_data_1[[#This Row],[Quantity_Sold]]</f>
        <v>17928.083999999995</v>
      </c>
      <c r="O773" s="17" t="s">
        <v>17</v>
      </c>
      <c r="P773" s="26">
        <v>0.14000000000000001</v>
      </c>
      <c r="Q773" s="17" t="s">
        <v>18</v>
      </c>
      <c r="R773" s="17" t="s">
        <v>19</v>
      </c>
      <c r="S773" s="49" t="str">
        <f t="shared" si="38"/>
        <v>Alice-North</v>
      </c>
      <c r="T773" s="59" t="str">
        <f>IF(ROUND(sales_data_1[[#This Row],[Profit_Margin]],2)=ROUND((sales_data_1[[#This Row],[Unit_Price]]*(1-sales_data_1[[#This Row],[Discount]]) - sales_data_1[[#This Row],[Unit_Cost]])*sales_data_1[[#This Row],[Quantity_Sold]],2), "PASS", "CHECK")</f>
        <v>PASS</v>
      </c>
    </row>
    <row r="774" spans="1:20" x14ac:dyDescent="0.35">
      <c r="A774" s="7">
        <v>773</v>
      </c>
      <c r="B774" s="9">
        <v>1047</v>
      </c>
      <c r="C774" s="7" t="str">
        <f>IFERROR(_xlfn.TEXTJOIN("-", TRUE, _xlfn.XLOOKUP(K774, product_category_id_lookup!$A$2:$A$5, product_category_id_lookup!$B$2:$B$5), B774), "Unknown Category")</f>
        <v>etc-1047</v>
      </c>
      <c r="D774" s="8">
        <v>44812</v>
      </c>
      <c r="E774" s="7">
        <f t="shared" si="36"/>
        <v>2022</v>
      </c>
      <c r="F774" s="28" t="str">
        <f t="shared" si="37"/>
        <v>Sep</v>
      </c>
      <c r="G774" s="17" t="s">
        <v>33</v>
      </c>
      <c r="H774" s="17" t="s">
        <v>30</v>
      </c>
      <c r="I774" s="24">
        <v>42031.610399999998</v>
      </c>
      <c r="J774" s="32">
        <v>13</v>
      </c>
      <c r="K774" s="17" t="s">
        <v>31</v>
      </c>
      <c r="L774" s="24">
        <v>2401.92</v>
      </c>
      <c r="M774" s="24">
        <v>3476.56</v>
      </c>
      <c r="N774" s="34">
        <f>((sales_data_1[[#This Row],[Unit_Price]]*(1-sales_data_1[[#This Row],[Discount]]))-sales_data_1[[#This Row],[Unit_Cost]])*sales_data_1[[#This Row],[Quantity_Sold]]</f>
        <v>10806.650399999995</v>
      </c>
      <c r="O774" s="17" t="s">
        <v>17</v>
      </c>
      <c r="P774" s="26">
        <v>7.0000000000000007E-2</v>
      </c>
      <c r="Q774" s="17" t="s">
        <v>28</v>
      </c>
      <c r="R774" s="17" t="s">
        <v>19</v>
      </c>
      <c r="S774" s="49" t="str">
        <f t="shared" si="38"/>
        <v>Alice-East</v>
      </c>
      <c r="T774" s="59" t="str">
        <f>IF(ROUND(sales_data_1[[#This Row],[Profit_Margin]],2)=ROUND((sales_data_1[[#This Row],[Unit_Price]]*(1-sales_data_1[[#This Row],[Discount]]) - sales_data_1[[#This Row],[Unit_Cost]])*sales_data_1[[#This Row],[Quantity_Sold]],2), "PASS", "CHECK")</f>
        <v>PASS</v>
      </c>
    </row>
    <row r="775" spans="1:20" x14ac:dyDescent="0.35">
      <c r="A775" s="7">
        <v>774</v>
      </c>
      <c r="B775" s="9">
        <v>1068</v>
      </c>
      <c r="C775" s="7" t="str">
        <f>IFERROR(_xlfn.TEXTJOIN("-", TRUE, _xlfn.XLOOKUP(K775, product_category_id_lookup!$A$2:$A$5, product_category_id_lookup!$B$2:$B$5), B775), "Unknown Category")</f>
        <v>ctg-1068</v>
      </c>
      <c r="D775" s="8">
        <v>44812</v>
      </c>
      <c r="E775" s="7">
        <f t="shared" si="36"/>
        <v>2022</v>
      </c>
      <c r="F775" s="28" t="str">
        <f t="shared" si="37"/>
        <v>Sep</v>
      </c>
      <c r="G775" s="17" t="s">
        <v>29</v>
      </c>
      <c r="H775" s="17" t="s">
        <v>23</v>
      </c>
      <c r="I775" s="24">
        <v>63418.569299999996</v>
      </c>
      <c r="J775" s="32">
        <v>23</v>
      </c>
      <c r="K775" s="17" t="s">
        <v>26</v>
      </c>
      <c r="L775" s="24">
        <v>1323.56</v>
      </c>
      <c r="M775" s="24">
        <v>2964.87</v>
      </c>
      <c r="N775" s="34">
        <f>((sales_data_1[[#This Row],[Unit_Price]]*(1-sales_data_1[[#This Row],[Discount]]))-sales_data_1[[#This Row],[Unit_Cost]])*sales_data_1[[#This Row],[Quantity_Sold]]</f>
        <v>32976.689299999998</v>
      </c>
      <c r="O775" s="17" t="s">
        <v>27</v>
      </c>
      <c r="P775" s="26">
        <v>7.0000000000000007E-2</v>
      </c>
      <c r="Q775" s="17" t="s">
        <v>18</v>
      </c>
      <c r="R775" s="17" t="s">
        <v>21</v>
      </c>
      <c r="S775" s="49" t="str">
        <f t="shared" si="38"/>
        <v>Charlie-South</v>
      </c>
      <c r="T775" s="59" t="str">
        <f>IF(ROUND(sales_data_1[[#This Row],[Profit_Margin]],2)=ROUND((sales_data_1[[#This Row],[Unit_Price]]*(1-sales_data_1[[#This Row],[Discount]]) - sales_data_1[[#This Row],[Unit_Cost]])*sales_data_1[[#This Row],[Quantity_Sold]],2), "PASS", "CHECK")</f>
        <v>PASS</v>
      </c>
    </row>
    <row r="776" spans="1:20" x14ac:dyDescent="0.35">
      <c r="A776" s="7">
        <v>775</v>
      </c>
      <c r="B776" s="9">
        <v>1088</v>
      </c>
      <c r="C776" s="7" t="str">
        <f>IFERROR(_xlfn.TEXTJOIN("-", TRUE, _xlfn.XLOOKUP(K776, product_category_id_lookup!$A$2:$A$5, product_category_id_lookup!$B$2:$B$5), B776), "Unknown Category")</f>
        <v>etc-1088</v>
      </c>
      <c r="D776" s="8">
        <v>44812</v>
      </c>
      <c r="E776" s="7">
        <f t="shared" si="36"/>
        <v>2022</v>
      </c>
      <c r="F776" s="28" t="str">
        <f t="shared" si="37"/>
        <v>Sep</v>
      </c>
      <c r="G776" s="17" t="s">
        <v>32</v>
      </c>
      <c r="H776" s="17" t="s">
        <v>15</v>
      </c>
      <c r="I776" s="24">
        <v>115336.08</v>
      </c>
      <c r="J776" s="32">
        <v>30</v>
      </c>
      <c r="K776" s="17" t="s">
        <v>31</v>
      </c>
      <c r="L776" s="24">
        <v>2270.3000000000002</v>
      </c>
      <c r="M776" s="24">
        <v>4805.67</v>
      </c>
      <c r="N776" s="34">
        <f>((sales_data_1[[#This Row],[Unit_Price]]*(1-sales_data_1[[#This Row],[Discount]]))-sales_data_1[[#This Row],[Unit_Cost]])*sales_data_1[[#This Row],[Quantity_Sold]]</f>
        <v>47227.079999999994</v>
      </c>
      <c r="O776" s="17" t="s">
        <v>17</v>
      </c>
      <c r="P776" s="26">
        <v>0.2</v>
      </c>
      <c r="Q776" s="17" t="s">
        <v>25</v>
      </c>
      <c r="R776" s="17" t="s">
        <v>21</v>
      </c>
      <c r="S776" s="49" t="str">
        <f t="shared" si="38"/>
        <v>Eve-North</v>
      </c>
      <c r="T776" s="59" t="str">
        <f>IF(ROUND(sales_data_1[[#This Row],[Profit_Margin]],2)=ROUND((sales_data_1[[#This Row],[Unit_Price]]*(1-sales_data_1[[#This Row],[Discount]]) - sales_data_1[[#This Row],[Unit_Cost]])*sales_data_1[[#This Row],[Quantity_Sold]],2), "PASS", "CHECK")</f>
        <v>PASS</v>
      </c>
    </row>
    <row r="777" spans="1:20" x14ac:dyDescent="0.35">
      <c r="A777" s="7">
        <v>776</v>
      </c>
      <c r="B777" s="9">
        <v>1088</v>
      </c>
      <c r="C777" s="7" t="str">
        <f>IFERROR(_xlfn.TEXTJOIN("-", TRUE, _xlfn.XLOOKUP(K777, product_category_id_lookup!$A$2:$A$5, product_category_id_lookup!$B$2:$B$5), B777), "Unknown Category")</f>
        <v>ctg-1088</v>
      </c>
      <c r="D777" s="8">
        <v>44813</v>
      </c>
      <c r="E777" s="7">
        <f t="shared" si="36"/>
        <v>2022</v>
      </c>
      <c r="F777" s="28" t="str">
        <f t="shared" si="37"/>
        <v>Sep</v>
      </c>
      <c r="G777" s="17" t="s">
        <v>33</v>
      </c>
      <c r="H777" s="17" t="s">
        <v>30</v>
      </c>
      <c r="I777" s="24">
        <v>15528.93</v>
      </c>
      <c r="J777" s="32">
        <v>3</v>
      </c>
      <c r="K777" s="17" t="s">
        <v>26</v>
      </c>
      <c r="L777" s="24">
        <v>108.63</v>
      </c>
      <c r="M777" s="24">
        <v>5176.3100000000004</v>
      </c>
      <c r="N777" s="34">
        <f>((sales_data_1[[#This Row],[Unit_Price]]*(1-sales_data_1[[#This Row],[Discount]]))-sales_data_1[[#This Row],[Unit_Cost]])*sales_data_1[[#This Row],[Quantity_Sold]]</f>
        <v>15203.04</v>
      </c>
      <c r="O777" s="17" t="s">
        <v>17</v>
      </c>
      <c r="P777" s="26">
        <v>0</v>
      </c>
      <c r="Q777" s="17" t="s">
        <v>18</v>
      </c>
      <c r="R777" s="17" t="s">
        <v>21</v>
      </c>
      <c r="S777" s="49" t="str">
        <f t="shared" si="38"/>
        <v>Alice-East</v>
      </c>
      <c r="T777" s="59" t="str">
        <f>IF(ROUND(sales_data_1[[#This Row],[Profit_Margin]],2)=ROUND((sales_data_1[[#This Row],[Unit_Price]]*(1-sales_data_1[[#This Row],[Discount]]) - sales_data_1[[#This Row],[Unit_Cost]])*sales_data_1[[#This Row],[Quantity_Sold]],2), "PASS", "CHECK")</f>
        <v>PASS</v>
      </c>
    </row>
    <row r="778" spans="1:20" x14ac:dyDescent="0.35">
      <c r="A778" s="7">
        <v>777</v>
      </c>
      <c r="B778" s="9">
        <v>1077</v>
      </c>
      <c r="C778" s="7" t="str">
        <f>IFERROR(_xlfn.TEXTJOIN("-", TRUE, _xlfn.XLOOKUP(K778, product_category_id_lookup!$A$2:$A$5, product_category_id_lookup!$B$2:$B$5), B778), "Unknown Category")</f>
        <v>fnt-1077</v>
      </c>
      <c r="D778" s="8">
        <v>44813</v>
      </c>
      <c r="E778" s="7">
        <f t="shared" si="36"/>
        <v>2022</v>
      </c>
      <c r="F778" s="28" t="str">
        <f t="shared" si="37"/>
        <v>Sep</v>
      </c>
      <c r="G778" s="17" t="s">
        <v>32</v>
      </c>
      <c r="H778" s="17" t="s">
        <v>15</v>
      </c>
      <c r="I778" s="24">
        <v>170816.4184</v>
      </c>
      <c r="J778" s="32">
        <v>46</v>
      </c>
      <c r="K778" s="17" t="s">
        <v>16</v>
      </c>
      <c r="L778" s="24">
        <v>2294.4699999999998</v>
      </c>
      <c r="M778" s="24">
        <v>4172.3599999999997</v>
      </c>
      <c r="N778" s="34">
        <f>((sales_data_1[[#This Row],[Unit_Price]]*(1-sales_data_1[[#This Row],[Discount]]))-sales_data_1[[#This Row],[Unit_Cost]])*sales_data_1[[#This Row],[Quantity_Sold]]</f>
        <v>65270.798400000007</v>
      </c>
      <c r="O778" s="17" t="s">
        <v>17</v>
      </c>
      <c r="P778" s="26">
        <v>0.11</v>
      </c>
      <c r="Q778" s="17" t="s">
        <v>28</v>
      </c>
      <c r="R778" s="17" t="s">
        <v>21</v>
      </c>
      <c r="S778" s="49" t="str">
        <f t="shared" si="38"/>
        <v>Eve-North</v>
      </c>
      <c r="T778" s="59" t="str">
        <f>IF(ROUND(sales_data_1[[#This Row],[Profit_Margin]],2)=ROUND((sales_data_1[[#This Row],[Unit_Price]]*(1-sales_data_1[[#This Row],[Discount]]) - sales_data_1[[#This Row],[Unit_Cost]])*sales_data_1[[#This Row],[Quantity_Sold]],2), "PASS", "CHECK")</f>
        <v>PASS</v>
      </c>
    </row>
    <row r="779" spans="1:20" x14ac:dyDescent="0.35">
      <c r="A779" s="7">
        <v>778</v>
      </c>
      <c r="B779" s="9">
        <v>1008</v>
      </c>
      <c r="C779" s="7" t="str">
        <f>IFERROR(_xlfn.TEXTJOIN("-", TRUE, _xlfn.XLOOKUP(K779, product_category_id_lookup!$A$2:$A$5, product_category_id_lookup!$B$2:$B$5), B779), "Unknown Category")</f>
        <v>fd-1008</v>
      </c>
      <c r="D779" s="8">
        <v>44814</v>
      </c>
      <c r="E779" s="7">
        <f t="shared" si="36"/>
        <v>2022</v>
      </c>
      <c r="F779" s="28" t="str">
        <f t="shared" si="37"/>
        <v>Sep</v>
      </c>
      <c r="G779" s="17" t="s">
        <v>14</v>
      </c>
      <c r="H779" s="17" t="s">
        <v>20</v>
      </c>
      <c r="I779" s="24">
        <v>30007.938478644832</v>
      </c>
      <c r="J779" s="32">
        <v>7</v>
      </c>
      <c r="K779" s="17" t="s">
        <v>24</v>
      </c>
      <c r="L779" s="24">
        <v>4254</v>
      </c>
      <c r="M779" s="24">
        <v>4321.1099999999997</v>
      </c>
      <c r="N779" s="34">
        <f>((sales_data_1[[#This Row],[Unit_Price]]*(1-sales_data_1[[#This Row],[Discount]]))-sales_data_1[[#This Row],[Unit_Cost]])*sales_data_1[[#This Row],[Quantity_Sold]]</f>
        <v>167.29229999999461</v>
      </c>
      <c r="O779" s="17" t="s">
        <v>17</v>
      </c>
      <c r="P779" s="26">
        <v>0.01</v>
      </c>
      <c r="Q779" s="17" t="s">
        <v>28</v>
      </c>
      <c r="R779" s="17" t="s">
        <v>19</v>
      </c>
      <c r="S779" s="49" t="str">
        <f t="shared" si="38"/>
        <v>Bob-West</v>
      </c>
      <c r="T779" s="59" t="str">
        <f>IF(ROUND(sales_data_1[[#This Row],[Profit_Margin]],2)=ROUND((sales_data_1[[#This Row],[Unit_Price]]*(1-sales_data_1[[#This Row],[Discount]]) - sales_data_1[[#This Row],[Unit_Cost]])*sales_data_1[[#This Row],[Quantity_Sold]],2), "PASS", "CHECK")</f>
        <v>PASS</v>
      </c>
    </row>
    <row r="780" spans="1:20" x14ac:dyDescent="0.35">
      <c r="A780" s="7">
        <v>779</v>
      </c>
      <c r="B780" s="9">
        <v>1053</v>
      </c>
      <c r="C780" s="7" t="str">
        <f>IFERROR(_xlfn.TEXTJOIN("-", TRUE, _xlfn.XLOOKUP(K780, product_category_id_lookup!$A$2:$A$5, product_category_id_lookup!$B$2:$B$5), B780), "Unknown Category")</f>
        <v>etc-1053</v>
      </c>
      <c r="D780" s="8">
        <v>44814</v>
      </c>
      <c r="E780" s="7">
        <f t="shared" si="36"/>
        <v>2022</v>
      </c>
      <c r="F780" s="28" t="str">
        <f t="shared" si="37"/>
        <v>Sep</v>
      </c>
      <c r="G780" s="17" t="s">
        <v>33</v>
      </c>
      <c r="H780" s="17" t="s">
        <v>20</v>
      </c>
      <c r="I780" s="24">
        <v>24118.463200000002</v>
      </c>
      <c r="J780" s="32">
        <v>19</v>
      </c>
      <c r="K780" s="17" t="s">
        <v>31</v>
      </c>
      <c r="L780" s="24">
        <v>1053.52</v>
      </c>
      <c r="M780" s="24">
        <v>1548.04</v>
      </c>
      <c r="N780" s="34">
        <f>((sales_data_1[[#This Row],[Unit_Price]]*(1-sales_data_1[[#This Row],[Discount]]))-sales_data_1[[#This Row],[Unit_Cost]])*sales_data_1[[#This Row],[Quantity_Sold]]</f>
        <v>4101.5832000000019</v>
      </c>
      <c r="O780" s="17" t="s">
        <v>17</v>
      </c>
      <c r="P780" s="26">
        <v>0.18</v>
      </c>
      <c r="Q780" s="17" t="s">
        <v>18</v>
      </c>
      <c r="R780" s="17" t="s">
        <v>19</v>
      </c>
      <c r="S780" s="49" t="str">
        <f t="shared" si="38"/>
        <v>Alice-West</v>
      </c>
      <c r="T780" s="59" t="str">
        <f>IF(ROUND(sales_data_1[[#This Row],[Profit_Margin]],2)=ROUND((sales_data_1[[#This Row],[Unit_Price]]*(1-sales_data_1[[#This Row],[Discount]]) - sales_data_1[[#This Row],[Unit_Cost]])*sales_data_1[[#This Row],[Quantity_Sold]],2), "PASS", "CHECK")</f>
        <v>PASS</v>
      </c>
    </row>
    <row r="781" spans="1:20" x14ac:dyDescent="0.35">
      <c r="A781" s="7">
        <v>780</v>
      </c>
      <c r="B781" s="9">
        <v>1001</v>
      </c>
      <c r="C781" s="7" t="str">
        <f>IFERROR(_xlfn.TEXTJOIN("-", TRUE, _xlfn.XLOOKUP(K781, product_category_id_lookup!$A$2:$A$5, product_category_id_lookup!$B$2:$B$5), B781), "Unknown Category")</f>
        <v>etc-1001</v>
      </c>
      <c r="D781" s="8">
        <v>44814</v>
      </c>
      <c r="E781" s="7">
        <f t="shared" si="36"/>
        <v>2022</v>
      </c>
      <c r="F781" s="28" t="str">
        <f t="shared" si="37"/>
        <v>Sep</v>
      </c>
      <c r="G781" s="17" t="s">
        <v>33</v>
      </c>
      <c r="H781" s="17" t="s">
        <v>15</v>
      </c>
      <c r="I781" s="24">
        <v>27812.526700000002</v>
      </c>
      <c r="J781" s="32">
        <v>7</v>
      </c>
      <c r="K781" s="17" t="s">
        <v>31</v>
      </c>
      <c r="L781" s="24">
        <v>1318.08</v>
      </c>
      <c r="M781" s="24">
        <v>5029.3900000000003</v>
      </c>
      <c r="N781" s="34">
        <f>((sales_data_1[[#This Row],[Unit_Price]]*(1-sales_data_1[[#This Row],[Discount]]))-sales_data_1[[#This Row],[Unit_Cost]])*sales_data_1[[#This Row],[Quantity_Sold]]</f>
        <v>18585.966700000004</v>
      </c>
      <c r="O781" s="17" t="s">
        <v>17</v>
      </c>
      <c r="P781" s="26">
        <v>0.21</v>
      </c>
      <c r="Q781" s="17" t="s">
        <v>18</v>
      </c>
      <c r="R781" s="17" t="s">
        <v>21</v>
      </c>
      <c r="S781" s="49" t="str">
        <f t="shared" si="38"/>
        <v>Alice-North</v>
      </c>
      <c r="T781" s="59" t="str">
        <f>IF(ROUND(sales_data_1[[#This Row],[Profit_Margin]],2)=ROUND((sales_data_1[[#This Row],[Unit_Price]]*(1-sales_data_1[[#This Row],[Discount]]) - sales_data_1[[#This Row],[Unit_Cost]])*sales_data_1[[#This Row],[Quantity_Sold]],2), "PASS", "CHECK")</f>
        <v>PASS</v>
      </c>
    </row>
    <row r="782" spans="1:20" x14ac:dyDescent="0.35">
      <c r="A782" s="7">
        <v>781</v>
      </c>
      <c r="B782" s="9">
        <v>1085</v>
      </c>
      <c r="C782" s="7" t="str">
        <f>IFERROR(_xlfn.TEXTJOIN("-", TRUE, _xlfn.XLOOKUP(K782, product_category_id_lookup!$A$2:$A$5, product_category_id_lookup!$B$2:$B$5), B782), "Unknown Category")</f>
        <v>fnt-1085</v>
      </c>
      <c r="D782" s="8">
        <v>44815</v>
      </c>
      <c r="E782" s="7">
        <f t="shared" si="36"/>
        <v>2022</v>
      </c>
      <c r="F782" s="28" t="str">
        <f t="shared" si="37"/>
        <v>Sep</v>
      </c>
      <c r="G782" s="17" t="s">
        <v>14</v>
      </c>
      <c r="H782" s="17" t="s">
        <v>20</v>
      </c>
      <c r="I782" s="24">
        <v>56975.212405415492</v>
      </c>
      <c r="J782" s="32">
        <v>13</v>
      </c>
      <c r="K782" s="17" t="s">
        <v>16</v>
      </c>
      <c r="L782" s="24">
        <v>4382.4799999999996</v>
      </c>
      <c r="M782" s="24">
        <v>4442.33</v>
      </c>
      <c r="N782" s="34">
        <f>((sales_data_1[[#This Row],[Unit_Price]]*(1-sales_data_1[[#This Row],[Discount]]))-sales_data_1[[#This Row],[Unit_Cost]])*sales_data_1[[#This Row],[Quantity_Sold]]</f>
        <v>200.54709999999977</v>
      </c>
      <c r="O782" s="17" t="s">
        <v>17</v>
      </c>
      <c r="P782" s="26">
        <v>0.01</v>
      </c>
      <c r="Q782" s="17" t="s">
        <v>18</v>
      </c>
      <c r="R782" s="17" t="s">
        <v>19</v>
      </c>
      <c r="S782" s="49" t="str">
        <f t="shared" si="38"/>
        <v>Bob-West</v>
      </c>
      <c r="T782" s="59" t="str">
        <f>IF(ROUND(sales_data_1[[#This Row],[Profit_Margin]],2)=ROUND((sales_data_1[[#This Row],[Unit_Price]]*(1-sales_data_1[[#This Row],[Discount]]) - sales_data_1[[#This Row],[Unit_Cost]])*sales_data_1[[#This Row],[Quantity_Sold]],2), "PASS", "CHECK")</f>
        <v>PASS</v>
      </c>
    </row>
    <row r="783" spans="1:20" x14ac:dyDescent="0.35">
      <c r="A783" s="7">
        <v>782</v>
      </c>
      <c r="B783" s="9">
        <v>1004</v>
      </c>
      <c r="C783" s="7" t="str">
        <f>IFERROR(_xlfn.TEXTJOIN("-", TRUE, _xlfn.XLOOKUP(K783, product_category_id_lookup!$A$2:$A$5, product_category_id_lookup!$B$2:$B$5), B783), "Unknown Category")</f>
        <v>fnt-1004</v>
      </c>
      <c r="D783" s="8">
        <v>44815</v>
      </c>
      <c r="E783" s="7">
        <f t="shared" si="36"/>
        <v>2022</v>
      </c>
      <c r="F783" s="28" t="str">
        <f t="shared" si="37"/>
        <v>Sep</v>
      </c>
      <c r="G783" s="17" t="s">
        <v>14</v>
      </c>
      <c r="H783" s="17" t="s">
        <v>20</v>
      </c>
      <c r="I783" s="24">
        <v>11631.7575</v>
      </c>
      <c r="J783" s="32">
        <v>5</v>
      </c>
      <c r="K783" s="17" t="s">
        <v>16</v>
      </c>
      <c r="L783" s="24">
        <v>1611.49</v>
      </c>
      <c r="M783" s="24">
        <v>2349.85</v>
      </c>
      <c r="N783" s="34">
        <f>((sales_data_1[[#This Row],[Unit_Price]]*(1-sales_data_1[[#This Row],[Discount]]))-sales_data_1[[#This Row],[Unit_Cost]])*sales_data_1[[#This Row],[Quantity_Sold]]</f>
        <v>3574.307499999999</v>
      </c>
      <c r="O783" s="17" t="s">
        <v>27</v>
      </c>
      <c r="P783" s="26">
        <v>0.01</v>
      </c>
      <c r="Q783" s="17" t="s">
        <v>28</v>
      </c>
      <c r="R783" s="17" t="s">
        <v>19</v>
      </c>
      <c r="S783" s="49" t="str">
        <f t="shared" si="38"/>
        <v>Bob-West</v>
      </c>
      <c r="T783" s="59" t="str">
        <f>IF(ROUND(sales_data_1[[#This Row],[Profit_Margin]],2)=ROUND((sales_data_1[[#This Row],[Unit_Price]]*(1-sales_data_1[[#This Row],[Discount]]) - sales_data_1[[#This Row],[Unit_Cost]])*sales_data_1[[#This Row],[Quantity_Sold]],2), "PASS", "CHECK")</f>
        <v>PASS</v>
      </c>
    </row>
    <row r="784" spans="1:20" x14ac:dyDescent="0.35">
      <c r="A784" s="7">
        <v>783</v>
      </c>
      <c r="B784" s="9">
        <v>1090</v>
      </c>
      <c r="C784" s="7" t="str">
        <f>IFERROR(_xlfn.TEXTJOIN("-", TRUE, _xlfn.XLOOKUP(K784, product_category_id_lookup!$A$2:$A$5, product_category_id_lookup!$B$2:$B$5), B784), "Unknown Category")</f>
        <v>fnt-1090</v>
      </c>
      <c r="D784" s="8">
        <v>44815</v>
      </c>
      <c r="E784" s="7">
        <f t="shared" si="36"/>
        <v>2022</v>
      </c>
      <c r="F784" s="28" t="str">
        <f t="shared" si="37"/>
        <v>Sep</v>
      </c>
      <c r="G784" s="17" t="s">
        <v>32</v>
      </c>
      <c r="H784" s="17" t="s">
        <v>20</v>
      </c>
      <c r="I784" s="24">
        <v>12308.8128</v>
      </c>
      <c r="J784" s="32">
        <v>4</v>
      </c>
      <c r="K784" s="17" t="s">
        <v>16</v>
      </c>
      <c r="L784" s="24">
        <v>1889.95</v>
      </c>
      <c r="M784" s="24">
        <v>3205.42</v>
      </c>
      <c r="N784" s="34">
        <f>((sales_data_1[[#This Row],[Unit_Price]]*(1-sales_data_1[[#This Row],[Discount]]))-sales_data_1[[#This Row],[Unit_Cost]])*sales_data_1[[#This Row],[Quantity_Sold]]</f>
        <v>4749.0127999999995</v>
      </c>
      <c r="O784" s="17" t="s">
        <v>27</v>
      </c>
      <c r="P784" s="26">
        <v>0.04</v>
      </c>
      <c r="Q784" s="17" t="s">
        <v>28</v>
      </c>
      <c r="R784" s="17" t="s">
        <v>21</v>
      </c>
      <c r="S784" s="49" t="str">
        <f t="shared" si="38"/>
        <v>Eve-West</v>
      </c>
      <c r="T784" s="59" t="str">
        <f>IF(ROUND(sales_data_1[[#This Row],[Profit_Margin]],2)=ROUND((sales_data_1[[#This Row],[Unit_Price]]*(1-sales_data_1[[#This Row],[Discount]]) - sales_data_1[[#This Row],[Unit_Cost]])*sales_data_1[[#This Row],[Quantity_Sold]],2), "PASS", "CHECK")</f>
        <v>PASS</v>
      </c>
    </row>
    <row r="785" spans="1:20" x14ac:dyDescent="0.35">
      <c r="A785" s="7">
        <v>784</v>
      </c>
      <c r="B785" s="9">
        <v>1080</v>
      </c>
      <c r="C785" s="7" t="str">
        <f>IFERROR(_xlfn.TEXTJOIN("-", TRUE, _xlfn.XLOOKUP(K785, product_category_id_lookup!$A$2:$A$5, product_category_id_lookup!$B$2:$B$5), B785), "Unknown Category")</f>
        <v>fd-1080</v>
      </c>
      <c r="D785" s="8">
        <v>44815</v>
      </c>
      <c r="E785" s="7">
        <f t="shared" si="36"/>
        <v>2022</v>
      </c>
      <c r="F785" s="28" t="str">
        <f t="shared" si="37"/>
        <v>Sep</v>
      </c>
      <c r="G785" s="17" t="s">
        <v>14</v>
      </c>
      <c r="H785" s="17" t="s">
        <v>30</v>
      </c>
      <c r="I785" s="24">
        <v>20821.275400000002</v>
      </c>
      <c r="J785" s="32">
        <v>38</v>
      </c>
      <c r="K785" s="17" t="s">
        <v>24</v>
      </c>
      <c r="L785" s="24">
        <v>173.52</v>
      </c>
      <c r="M785" s="24">
        <v>771.73</v>
      </c>
      <c r="N785" s="34">
        <f>((sales_data_1[[#This Row],[Unit_Price]]*(1-sales_data_1[[#This Row],[Discount]]))-sales_data_1[[#This Row],[Unit_Cost]])*sales_data_1[[#This Row],[Quantity_Sold]]</f>
        <v>14227.515400000002</v>
      </c>
      <c r="O785" s="17" t="s">
        <v>27</v>
      </c>
      <c r="P785" s="26">
        <v>0.28999999999999998</v>
      </c>
      <c r="Q785" s="17" t="s">
        <v>25</v>
      </c>
      <c r="R785" s="17" t="s">
        <v>19</v>
      </c>
      <c r="S785" s="49" t="str">
        <f t="shared" si="38"/>
        <v>Bob-East</v>
      </c>
      <c r="T785" s="59" t="str">
        <f>IF(ROUND(sales_data_1[[#This Row],[Profit_Margin]],2)=ROUND((sales_data_1[[#This Row],[Unit_Price]]*(1-sales_data_1[[#This Row],[Discount]]) - sales_data_1[[#This Row],[Unit_Cost]])*sales_data_1[[#This Row],[Quantity_Sold]],2), "PASS", "CHECK")</f>
        <v>PASS</v>
      </c>
    </row>
    <row r="786" spans="1:20" x14ac:dyDescent="0.35">
      <c r="A786" s="7">
        <v>785</v>
      </c>
      <c r="B786" s="9">
        <v>1030</v>
      </c>
      <c r="C786" s="7" t="str">
        <f>IFERROR(_xlfn.TEXTJOIN("-", TRUE, _xlfn.XLOOKUP(K786, product_category_id_lookup!$A$2:$A$5, product_category_id_lookup!$B$2:$B$5), B786), "Unknown Category")</f>
        <v>etc-1030</v>
      </c>
      <c r="D786" s="8">
        <v>44815</v>
      </c>
      <c r="E786" s="7">
        <f t="shared" si="36"/>
        <v>2022</v>
      </c>
      <c r="F786" s="28" t="str">
        <f t="shared" si="37"/>
        <v>Sep</v>
      </c>
      <c r="G786" s="17" t="s">
        <v>33</v>
      </c>
      <c r="H786" s="17" t="s">
        <v>20</v>
      </c>
      <c r="I786" s="24">
        <v>41150.004000000001</v>
      </c>
      <c r="J786" s="32">
        <v>21</v>
      </c>
      <c r="K786" s="17" t="s">
        <v>31</v>
      </c>
      <c r="L786" s="24">
        <v>923.33</v>
      </c>
      <c r="M786" s="24">
        <v>2084.6</v>
      </c>
      <c r="N786" s="34">
        <f>((sales_data_1[[#This Row],[Unit_Price]]*(1-sales_data_1[[#This Row],[Discount]]))-sales_data_1[[#This Row],[Unit_Cost]])*sales_data_1[[#This Row],[Quantity_Sold]]</f>
        <v>21760.074000000001</v>
      </c>
      <c r="O786" s="17" t="s">
        <v>27</v>
      </c>
      <c r="P786" s="26">
        <v>0.06</v>
      </c>
      <c r="Q786" s="17" t="s">
        <v>28</v>
      </c>
      <c r="R786" s="17" t="s">
        <v>19</v>
      </c>
      <c r="S786" s="49" t="str">
        <f t="shared" si="38"/>
        <v>Alice-West</v>
      </c>
      <c r="T786" s="59" t="str">
        <f>IF(ROUND(sales_data_1[[#This Row],[Profit_Margin]],2)=ROUND((sales_data_1[[#This Row],[Unit_Price]]*(1-sales_data_1[[#This Row],[Discount]]) - sales_data_1[[#This Row],[Unit_Cost]])*sales_data_1[[#This Row],[Quantity_Sold]],2), "PASS", "CHECK")</f>
        <v>PASS</v>
      </c>
    </row>
    <row r="787" spans="1:20" x14ac:dyDescent="0.35">
      <c r="A787" s="7">
        <v>786</v>
      </c>
      <c r="B787" s="9">
        <v>1070</v>
      </c>
      <c r="C787" s="7" t="str">
        <f>IFERROR(_xlfn.TEXTJOIN("-", TRUE, _xlfn.XLOOKUP(K787, product_category_id_lookup!$A$2:$A$5, product_category_id_lookup!$B$2:$B$5), B787), "Unknown Category")</f>
        <v>etc-1070</v>
      </c>
      <c r="D787" s="8">
        <v>44815</v>
      </c>
      <c r="E787" s="7">
        <f t="shared" si="36"/>
        <v>2022</v>
      </c>
      <c r="F787" s="28" t="str">
        <f t="shared" si="37"/>
        <v>Sep</v>
      </c>
      <c r="G787" s="17" t="s">
        <v>14</v>
      </c>
      <c r="H787" s="17" t="s">
        <v>20</v>
      </c>
      <c r="I787" s="24">
        <v>108396.09479999999</v>
      </c>
      <c r="J787" s="32">
        <v>49</v>
      </c>
      <c r="K787" s="17" t="s">
        <v>31</v>
      </c>
      <c r="L787" s="24">
        <v>1279.76</v>
      </c>
      <c r="M787" s="24">
        <v>2633.53</v>
      </c>
      <c r="N787" s="34">
        <f>((sales_data_1[[#This Row],[Unit_Price]]*(1-sales_data_1[[#This Row],[Discount]]))-sales_data_1[[#This Row],[Unit_Cost]])*sales_data_1[[#This Row],[Quantity_Sold]]</f>
        <v>45687.854799999994</v>
      </c>
      <c r="O787" s="17" t="s">
        <v>17</v>
      </c>
      <c r="P787" s="26">
        <v>0.16</v>
      </c>
      <c r="Q787" s="17" t="s">
        <v>18</v>
      </c>
      <c r="R787" s="17" t="s">
        <v>19</v>
      </c>
      <c r="S787" s="49" t="str">
        <f t="shared" si="38"/>
        <v>Bob-West</v>
      </c>
      <c r="T787" s="59" t="str">
        <f>IF(ROUND(sales_data_1[[#This Row],[Profit_Margin]],2)=ROUND((sales_data_1[[#This Row],[Unit_Price]]*(1-sales_data_1[[#This Row],[Discount]]) - sales_data_1[[#This Row],[Unit_Cost]])*sales_data_1[[#This Row],[Quantity_Sold]],2), "PASS", "CHECK")</f>
        <v>PASS</v>
      </c>
    </row>
    <row r="788" spans="1:20" x14ac:dyDescent="0.35">
      <c r="A788" s="7">
        <v>787</v>
      </c>
      <c r="B788" s="9">
        <v>1074</v>
      </c>
      <c r="C788" s="7" t="str">
        <f>IFERROR(_xlfn.TEXTJOIN("-", TRUE, _xlfn.XLOOKUP(K788, product_category_id_lookup!$A$2:$A$5, product_category_id_lookup!$B$2:$B$5), B788), "Unknown Category")</f>
        <v>fd-1074</v>
      </c>
      <c r="D788" s="8">
        <v>44815</v>
      </c>
      <c r="E788" s="7">
        <f t="shared" si="36"/>
        <v>2022</v>
      </c>
      <c r="F788" s="28" t="str">
        <f t="shared" si="37"/>
        <v>Sep</v>
      </c>
      <c r="G788" s="17" t="s">
        <v>33</v>
      </c>
      <c r="H788" s="17" t="s">
        <v>30</v>
      </c>
      <c r="I788" s="24">
        <v>107693.11800000002</v>
      </c>
      <c r="J788" s="32">
        <v>26</v>
      </c>
      <c r="K788" s="17" t="s">
        <v>24</v>
      </c>
      <c r="L788" s="24">
        <v>159.72999999999999</v>
      </c>
      <c r="M788" s="24">
        <v>4602.2700000000004</v>
      </c>
      <c r="N788" s="34">
        <f>((sales_data_1[[#This Row],[Unit_Price]]*(1-sales_data_1[[#This Row],[Discount]]))-sales_data_1[[#This Row],[Unit_Cost]])*sales_data_1[[#This Row],[Quantity_Sold]]</f>
        <v>103540.13800000002</v>
      </c>
      <c r="O788" s="17" t="s">
        <v>17</v>
      </c>
      <c r="P788" s="26">
        <v>0.1</v>
      </c>
      <c r="Q788" s="17" t="s">
        <v>18</v>
      </c>
      <c r="R788" s="17" t="s">
        <v>21</v>
      </c>
      <c r="S788" s="49" t="str">
        <f t="shared" si="38"/>
        <v>Alice-East</v>
      </c>
      <c r="T788" s="59" t="str">
        <f>IF(ROUND(sales_data_1[[#This Row],[Profit_Margin]],2)=ROUND((sales_data_1[[#This Row],[Unit_Price]]*(1-sales_data_1[[#This Row],[Discount]]) - sales_data_1[[#This Row],[Unit_Cost]])*sales_data_1[[#This Row],[Quantity_Sold]],2), "PASS", "CHECK")</f>
        <v>PASS</v>
      </c>
    </row>
    <row r="789" spans="1:20" x14ac:dyDescent="0.35">
      <c r="A789" s="7">
        <v>788</v>
      </c>
      <c r="B789" s="9">
        <v>1020</v>
      </c>
      <c r="C789" s="7" t="str">
        <f>IFERROR(_xlfn.TEXTJOIN("-", TRUE, _xlfn.XLOOKUP(K789, product_category_id_lookup!$A$2:$A$5, product_category_id_lookup!$B$2:$B$5), B789), "Unknown Category")</f>
        <v>fnt-1020</v>
      </c>
      <c r="D789" s="8">
        <v>44816</v>
      </c>
      <c r="E789" s="7">
        <f t="shared" si="36"/>
        <v>2022</v>
      </c>
      <c r="F789" s="28" t="str">
        <f t="shared" si="37"/>
        <v>Sep</v>
      </c>
      <c r="G789" s="17" t="s">
        <v>33</v>
      </c>
      <c r="H789" s="17" t="s">
        <v>23</v>
      </c>
      <c r="I789" s="24">
        <v>27069.757035934981</v>
      </c>
      <c r="J789" s="32">
        <v>25</v>
      </c>
      <c r="K789" s="17" t="s">
        <v>16</v>
      </c>
      <c r="L789" s="24">
        <v>1054.8599999999999</v>
      </c>
      <c r="M789" s="24">
        <v>1094.5899999999999</v>
      </c>
      <c r="N789" s="34">
        <f>((sales_data_1[[#This Row],[Unit_Price]]*(1-sales_data_1[[#This Row],[Discount]]))-sales_data_1[[#This Row],[Unit_Cost]])*sales_data_1[[#This Row],[Quantity_Sold]]</f>
        <v>719.60250000000201</v>
      </c>
      <c r="O789" s="17" t="s">
        <v>27</v>
      </c>
      <c r="P789" s="26">
        <v>0.01</v>
      </c>
      <c r="Q789" s="17" t="s">
        <v>28</v>
      </c>
      <c r="R789" s="17" t="s">
        <v>21</v>
      </c>
      <c r="S789" s="49" t="str">
        <f t="shared" si="38"/>
        <v>Alice-South</v>
      </c>
      <c r="T789" s="59" t="str">
        <f>IF(ROUND(sales_data_1[[#This Row],[Profit_Margin]],2)=ROUND((sales_data_1[[#This Row],[Unit_Price]]*(1-sales_data_1[[#This Row],[Discount]]) - sales_data_1[[#This Row],[Unit_Cost]])*sales_data_1[[#This Row],[Quantity_Sold]],2), "PASS", "CHECK")</f>
        <v>PASS</v>
      </c>
    </row>
    <row r="790" spans="1:20" x14ac:dyDescent="0.35">
      <c r="A790" s="7">
        <v>789</v>
      </c>
      <c r="B790" s="9">
        <v>1012</v>
      </c>
      <c r="C790" s="7" t="str">
        <f>IFERROR(_xlfn.TEXTJOIN("-", TRUE, _xlfn.XLOOKUP(K790, product_category_id_lookup!$A$2:$A$5, product_category_id_lookup!$B$2:$B$5), B790), "Unknown Category")</f>
        <v>etc-1012</v>
      </c>
      <c r="D790" s="8">
        <v>44816</v>
      </c>
      <c r="E790" s="7">
        <f t="shared" si="36"/>
        <v>2022</v>
      </c>
      <c r="F790" s="28" t="str">
        <f t="shared" si="37"/>
        <v>Sep</v>
      </c>
      <c r="G790" s="17" t="s">
        <v>33</v>
      </c>
      <c r="H790" s="17" t="s">
        <v>30</v>
      </c>
      <c r="I790" s="24">
        <v>27631.912</v>
      </c>
      <c r="J790" s="32">
        <v>31</v>
      </c>
      <c r="K790" s="17" t="s">
        <v>31</v>
      </c>
      <c r="L790" s="24">
        <v>734.3</v>
      </c>
      <c r="M790" s="24">
        <v>1012.9</v>
      </c>
      <c r="N790" s="34">
        <f>((sales_data_1[[#This Row],[Unit_Price]]*(1-sales_data_1[[#This Row],[Discount]]))-sales_data_1[[#This Row],[Unit_Cost]])*sales_data_1[[#This Row],[Quantity_Sold]]</f>
        <v>4868.612000000001</v>
      </c>
      <c r="O790" s="17" t="s">
        <v>17</v>
      </c>
      <c r="P790" s="26">
        <v>0.12</v>
      </c>
      <c r="Q790" s="17" t="s">
        <v>28</v>
      </c>
      <c r="R790" s="17" t="s">
        <v>19</v>
      </c>
      <c r="S790" s="49" t="str">
        <f t="shared" si="38"/>
        <v>Alice-East</v>
      </c>
      <c r="T790" s="59" t="str">
        <f>IF(ROUND(sales_data_1[[#This Row],[Profit_Margin]],2)=ROUND((sales_data_1[[#This Row],[Unit_Price]]*(1-sales_data_1[[#This Row],[Discount]]) - sales_data_1[[#This Row],[Unit_Cost]])*sales_data_1[[#This Row],[Quantity_Sold]],2), "PASS", "CHECK")</f>
        <v>PASS</v>
      </c>
    </row>
    <row r="791" spans="1:20" x14ac:dyDescent="0.35">
      <c r="A791" s="7">
        <v>790</v>
      </c>
      <c r="B791" s="9">
        <v>1090</v>
      </c>
      <c r="C791" s="7" t="str">
        <f>IFERROR(_xlfn.TEXTJOIN("-", TRUE, _xlfn.XLOOKUP(K791, product_category_id_lookup!$A$2:$A$5, product_category_id_lookup!$B$2:$B$5), B791), "Unknown Category")</f>
        <v>fnt-1090</v>
      </c>
      <c r="D791" s="8">
        <v>44817</v>
      </c>
      <c r="E791" s="7">
        <f t="shared" si="36"/>
        <v>2022</v>
      </c>
      <c r="F791" s="28" t="str">
        <f t="shared" si="37"/>
        <v>Sep</v>
      </c>
      <c r="G791" s="17" t="s">
        <v>33</v>
      </c>
      <c r="H791" s="17" t="s">
        <v>30</v>
      </c>
      <c r="I791" s="24">
        <v>111923.76038556456</v>
      </c>
      <c r="J791" s="32">
        <v>38</v>
      </c>
      <c r="K791" s="17" t="s">
        <v>16</v>
      </c>
      <c r="L791" s="24">
        <v>2874.48</v>
      </c>
      <c r="M791" s="24">
        <v>3030.57</v>
      </c>
      <c r="N791" s="34">
        <f>((sales_data_1[[#This Row],[Unit_Price]]*(1-sales_data_1[[#This Row],[Discount]]))-sales_data_1[[#This Row],[Unit_Cost]])*sales_data_1[[#This Row],[Quantity_Sold]]</f>
        <v>2476.570200000001</v>
      </c>
      <c r="O791" s="17" t="s">
        <v>27</v>
      </c>
      <c r="P791" s="26">
        <v>0.03</v>
      </c>
      <c r="Q791" s="17" t="s">
        <v>18</v>
      </c>
      <c r="R791" s="17" t="s">
        <v>19</v>
      </c>
      <c r="S791" s="49" t="str">
        <f t="shared" si="38"/>
        <v>Alice-East</v>
      </c>
      <c r="T791" s="59" t="str">
        <f>IF(ROUND(sales_data_1[[#This Row],[Profit_Margin]],2)=ROUND((sales_data_1[[#This Row],[Unit_Price]]*(1-sales_data_1[[#This Row],[Discount]]) - sales_data_1[[#This Row],[Unit_Cost]])*sales_data_1[[#This Row],[Quantity_Sold]],2), "PASS", "CHECK")</f>
        <v>PASS</v>
      </c>
    </row>
    <row r="792" spans="1:20" x14ac:dyDescent="0.35">
      <c r="A792" s="7">
        <v>791</v>
      </c>
      <c r="B792" s="9">
        <v>1055</v>
      </c>
      <c r="C792" s="7" t="str">
        <f>IFERROR(_xlfn.TEXTJOIN("-", TRUE, _xlfn.XLOOKUP(K792, product_category_id_lookup!$A$2:$A$5, product_category_id_lookup!$B$2:$B$5), B792), "Unknown Category")</f>
        <v>fd-1055</v>
      </c>
      <c r="D792" s="8">
        <v>44817</v>
      </c>
      <c r="E792" s="7">
        <f t="shared" si="36"/>
        <v>2022</v>
      </c>
      <c r="F792" s="28" t="str">
        <f t="shared" si="37"/>
        <v>Sep</v>
      </c>
      <c r="G792" s="17" t="s">
        <v>14</v>
      </c>
      <c r="H792" s="17" t="s">
        <v>30</v>
      </c>
      <c r="I792" s="24">
        <v>185163.4008</v>
      </c>
      <c r="J792" s="32">
        <v>43</v>
      </c>
      <c r="K792" s="17" t="s">
        <v>24</v>
      </c>
      <c r="L792" s="24">
        <v>3518.46</v>
      </c>
      <c r="M792" s="24">
        <v>5126.34</v>
      </c>
      <c r="N792" s="34">
        <f>((sales_data_1[[#This Row],[Unit_Price]]*(1-sales_data_1[[#This Row],[Discount]]))-sales_data_1[[#This Row],[Unit_Cost]])*sales_data_1[[#This Row],[Quantity_Sold]]</f>
        <v>33869.620800000012</v>
      </c>
      <c r="O792" s="17" t="s">
        <v>27</v>
      </c>
      <c r="P792" s="26">
        <v>0.16</v>
      </c>
      <c r="Q792" s="17" t="s">
        <v>25</v>
      </c>
      <c r="R792" s="17" t="s">
        <v>21</v>
      </c>
      <c r="S792" s="49" t="str">
        <f t="shared" si="38"/>
        <v>Bob-East</v>
      </c>
      <c r="T792" s="59" t="str">
        <f>IF(ROUND(sales_data_1[[#This Row],[Profit_Margin]],2)=ROUND((sales_data_1[[#This Row],[Unit_Price]]*(1-sales_data_1[[#This Row],[Discount]]) - sales_data_1[[#This Row],[Unit_Cost]])*sales_data_1[[#This Row],[Quantity_Sold]],2), "PASS", "CHECK")</f>
        <v>PASS</v>
      </c>
    </row>
    <row r="793" spans="1:20" x14ac:dyDescent="0.35">
      <c r="A793" s="7">
        <v>792</v>
      </c>
      <c r="B793" s="9">
        <v>1016</v>
      </c>
      <c r="C793" s="7" t="str">
        <f>IFERROR(_xlfn.TEXTJOIN("-", TRUE, _xlfn.XLOOKUP(K793, product_category_id_lookup!$A$2:$A$5, product_category_id_lookup!$B$2:$B$5), B793), "Unknown Category")</f>
        <v>fnt-1016</v>
      </c>
      <c r="D793" s="8">
        <v>44817</v>
      </c>
      <c r="E793" s="7">
        <f t="shared" si="36"/>
        <v>2022</v>
      </c>
      <c r="F793" s="28" t="str">
        <f t="shared" si="37"/>
        <v>Sep</v>
      </c>
      <c r="G793" s="17" t="s">
        <v>32</v>
      </c>
      <c r="H793" s="17" t="s">
        <v>20</v>
      </c>
      <c r="I793" s="24">
        <v>184101.05280000003</v>
      </c>
      <c r="J793" s="32">
        <v>42</v>
      </c>
      <c r="K793" s="17" t="s">
        <v>16</v>
      </c>
      <c r="L793" s="24">
        <v>3151.39</v>
      </c>
      <c r="M793" s="24">
        <v>4764.5200000000004</v>
      </c>
      <c r="N793" s="34">
        <f>((sales_data_1[[#This Row],[Unit_Price]]*(1-sales_data_1[[#This Row],[Discount]]))-sales_data_1[[#This Row],[Unit_Cost]])*sales_data_1[[#This Row],[Quantity_Sold]]</f>
        <v>51742.672800000044</v>
      </c>
      <c r="O793" s="17" t="s">
        <v>27</v>
      </c>
      <c r="P793" s="26">
        <v>0.08</v>
      </c>
      <c r="Q793" s="17" t="s">
        <v>25</v>
      </c>
      <c r="R793" s="17" t="s">
        <v>19</v>
      </c>
      <c r="S793" s="49" t="str">
        <f t="shared" si="38"/>
        <v>Eve-West</v>
      </c>
      <c r="T793" s="59" t="str">
        <f>IF(ROUND(sales_data_1[[#This Row],[Profit_Margin]],2)=ROUND((sales_data_1[[#This Row],[Unit_Price]]*(1-sales_data_1[[#This Row],[Discount]]) - sales_data_1[[#This Row],[Unit_Cost]])*sales_data_1[[#This Row],[Quantity_Sold]],2), "PASS", "CHECK")</f>
        <v>PASS</v>
      </c>
    </row>
    <row r="794" spans="1:20" x14ac:dyDescent="0.35">
      <c r="A794" s="7">
        <v>793</v>
      </c>
      <c r="B794" s="9">
        <v>1018</v>
      </c>
      <c r="C794" s="7" t="str">
        <f>IFERROR(_xlfn.TEXTJOIN("-", TRUE, _xlfn.XLOOKUP(K794, product_category_id_lookup!$A$2:$A$5, product_category_id_lookup!$B$2:$B$5), B794), "Unknown Category")</f>
        <v>fnt-1018</v>
      </c>
      <c r="D794" s="8">
        <v>44817</v>
      </c>
      <c r="E794" s="7">
        <f t="shared" si="36"/>
        <v>2022</v>
      </c>
      <c r="F794" s="28" t="str">
        <f t="shared" si="37"/>
        <v>Sep</v>
      </c>
      <c r="G794" s="17" t="s">
        <v>32</v>
      </c>
      <c r="H794" s="17" t="s">
        <v>20</v>
      </c>
      <c r="I794" s="24">
        <v>138527.11440000002</v>
      </c>
      <c r="J794" s="32">
        <v>36</v>
      </c>
      <c r="K794" s="17" t="s">
        <v>16</v>
      </c>
      <c r="L794" s="24">
        <v>2019.75</v>
      </c>
      <c r="M794" s="24">
        <v>4474.3900000000003</v>
      </c>
      <c r="N794" s="34">
        <f>((sales_data_1[[#This Row],[Unit_Price]]*(1-sales_data_1[[#This Row],[Discount]]))-sales_data_1[[#This Row],[Unit_Cost]])*sales_data_1[[#This Row],[Quantity_Sold]]</f>
        <v>65816.114400000006</v>
      </c>
      <c r="O794" s="17" t="s">
        <v>27</v>
      </c>
      <c r="P794" s="26">
        <v>0.14000000000000001</v>
      </c>
      <c r="Q794" s="17" t="s">
        <v>28</v>
      </c>
      <c r="R794" s="17" t="s">
        <v>21</v>
      </c>
      <c r="S794" s="49" t="str">
        <f t="shared" si="38"/>
        <v>Eve-West</v>
      </c>
      <c r="T794" s="59" t="str">
        <f>IF(ROUND(sales_data_1[[#This Row],[Profit_Margin]],2)=ROUND((sales_data_1[[#This Row],[Unit_Price]]*(1-sales_data_1[[#This Row],[Discount]]) - sales_data_1[[#This Row],[Unit_Cost]])*sales_data_1[[#This Row],[Quantity_Sold]],2), "PASS", "CHECK")</f>
        <v>PASS</v>
      </c>
    </row>
    <row r="795" spans="1:20" x14ac:dyDescent="0.35">
      <c r="A795" s="7">
        <v>794</v>
      </c>
      <c r="B795" s="9">
        <v>1054</v>
      </c>
      <c r="C795" s="7" t="str">
        <f>IFERROR(_xlfn.TEXTJOIN("-", TRUE, _xlfn.XLOOKUP(K795, product_category_id_lookup!$A$2:$A$5, product_category_id_lookup!$B$2:$B$5), B795), "Unknown Category")</f>
        <v>fnt-1054</v>
      </c>
      <c r="D795" s="8">
        <v>44817</v>
      </c>
      <c r="E795" s="7">
        <f t="shared" si="36"/>
        <v>2022</v>
      </c>
      <c r="F795" s="28" t="str">
        <f t="shared" si="37"/>
        <v>Sep</v>
      </c>
      <c r="G795" s="17" t="s">
        <v>14</v>
      </c>
      <c r="H795" s="17" t="s">
        <v>30</v>
      </c>
      <c r="I795" s="24">
        <v>126045.405</v>
      </c>
      <c r="J795" s="32">
        <v>46</v>
      </c>
      <c r="K795" s="17" t="s">
        <v>16</v>
      </c>
      <c r="L795" s="24">
        <v>702.24</v>
      </c>
      <c r="M795" s="24">
        <v>3653.49</v>
      </c>
      <c r="N795" s="34">
        <f>((sales_data_1[[#This Row],[Unit_Price]]*(1-sales_data_1[[#This Row],[Discount]]))-sales_data_1[[#This Row],[Unit_Cost]])*sales_data_1[[#This Row],[Quantity_Sold]]</f>
        <v>93742.364999999991</v>
      </c>
      <c r="O795" s="17" t="s">
        <v>27</v>
      </c>
      <c r="P795" s="26">
        <v>0.25</v>
      </c>
      <c r="Q795" s="17" t="s">
        <v>25</v>
      </c>
      <c r="R795" s="17" t="s">
        <v>19</v>
      </c>
      <c r="S795" s="49" t="str">
        <f t="shared" si="38"/>
        <v>Bob-East</v>
      </c>
      <c r="T795" s="59" t="str">
        <f>IF(ROUND(sales_data_1[[#This Row],[Profit_Margin]],2)=ROUND((sales_data_1[[#This Row],[Unit_Price]]*(1-sales_data_1[[#This Row],[Discount]]) - sales_data_1[[#This Row],[Unit_Cost]])*sales_data_1[[#This Row],[Quantity_Sold]],2), "PASS", "CHECK")</f>
        <v>PASS</v>
      </c>
    </row>
    <row r="796" spans="1:20" x14ac:dyDescent="0.35">
      <c r="A796" s="7">
        <v>795</v>
      </c>
      <c r="B796" s="9">
        <v>1016</v>
      </c>
      <c r="C796" s="7" t="str">
        <f>IFERROR(_xlfn.TEXTJOIN("-", TRUE, _xlfn.XLOOKUP(K796, product_category_id_lookup!$A$2:$A$5, product_category_id_lookup!$B$2:$B$5), B796), "Unknown Category")</f>
        <v>etc-1016</v>
      </c>
      <c r="D796" s="8">
        <v>44817</v>
      </c>
      <c r="E796" s="7">
        <f t="shared" si="36"/>
        <v>2022</v>
      </c>
      <c r="F796" s="28" t="str">
        <f t="shared" si="37"/>
        <v>Sep</v>
      </c>
      <c r="G796" s="17" t="s">
        <v>22</v>
      </c>
      <c r="H796" s="17" t="s">
        <v>30</v>
      </c>
      <c r="I796" s="24">
        <v>114825.05580000002</v>
      </c>
      <c r="J796" s="32">
        <v>26</v>
      </c>
      <c r="K796" s="17" t="s">
        <v>31</v>
      </c>
      <c r="L796" s="24">
        <v>583.69000000000005</v>
      </c>
      <c r="M796" s="24">
        <v>4853.13</v>
      </c>
      <c r="N796" s="34">
        <f>((sales_data_1[[#This Row],[Unit_Price]]*(1-sales_data_1[[#This Row],[Discount]]))-sales_data_1[[#This Row],[Unit_Cost]])*sales_data_1[[#This Row],[Quantity_Sold]]</f>
        <v>99649.115800000014</v>
      </c>
      <c r="O796" s="17" t="s">
        <v>17</v>
      </c>
      <c r="P796" s="26">
        <v>0.09</v>
      </c>
      <c r="Q796" s="17" t="s">
        <v>25</v>
      </c>
      <c r="R796" s="17" t="s">
        <v>21</v>
      </c>
      <c r="S796" s="49" t="str">
        <f t="shared" si="38"/>
        <v>David-East</v>
      </c>
      <c r="T796" s="59" t="str">
        <f>IF(ROUND(sales_data_1[[#This Row],[Profit_Margin]],2)=ROUND((sales_data_1[[#This Row],[Unit_Price]]*(1-sales_data_1[[#This Row],[Discount]]) - sales_data_1[[#This Row],[Unit_Cost]])*sales_data_1[[#This Row],[Quantity_Sold]],2), "PASS", "CHECK")</f>
        <v>PASS</v>
      </c>
    </row>
    <row r="797" spans="1:20" x14ac:dyDescent="0.35">
      <c r="A797" s="7">
        <v>796</v>
      </c>
      <c r="B797" s="9">
        <v>1034</v>
      </c>
      <c r="C797" s="7" t="str">
        <f>IFERROR(_xlfn.TEXTJOIN("-", TRUE, _xlfn.XLOOKUP(K797, product_category_id_lookup!$A$2:$A$5, product_category_id_lookup!$B$2:$B$5), B797), "Unknown Category")</f>
        <v>ctg-1034</v>
      </c>
      <c r="D797" s="8">
        <v>44818</v>
      </c>
      <c r="E797" s="7">
        <f t="shared" si="36"/>
        <v>2022</v>
      </c>
      <c r="F797" s="28" t="str">
        <f t="shared" si="37"/>
        <v>Sep</v>
      </c>
      <c r="G797" s="17" t="s">
        <v>22</v>
      </c>
      <c r="H797" s="17" t="s">
        <v>15</v>
      </c>
      <c r="I797" s="24">
        <v>23358.011715571662</v>
      </c>
      <c r="J797" s="32">
        <v>5</v>
      </c>
      <c r="K797" s="17" t="s">
        <v>26</v>
      </c>
      <c r="L797" s="24">
        <v>4542.95</v>
      </c>
      <c r="M797" s="24">
        <v>4704.67</v>
      </c>
      <c r="N797" s="34">
        <f>((sales_data_1[[#This Row],[Unit_Price]]*(1-sales_data_1[[#This Row],[Discount]]))-sales_data_1[[#This Row],[Unit_Cost]])*sales_data_1[[#This Row],[Quantity_Sold]]</f>
        <v>573.36650000000191</v>
      </c>
      <c r="O797" s="17" t="s">
        <v>27</v>
      </c>
      <c r="P797" s="26">
        <v>0.01</v>
      </c>
      <c r="Q797" s="17" t="s">
        <v>28</v>
      </c>
      <c r="R797" s="17" t="s">
        <v>19</v>
      </c>
      <c r="S797" s="49" t="str">
        <f t="shared" si="38"/>
        <v>David-North</v>
      </c>
      <c r="T797" s="59" t="str">
        <f>IF(ROUND(sales_data_1[[#This Row],[Profit_Margin]],2)=ROUND((sales_data_1[[#This Row],[Unit_Price]]*(1-sales_data_1[[#This Row],[Discount]]) - sales_data_1[[#This Row],[Unit_Cost]])*sales_data_1[[#This Row],[Quantity_Sold]],2), "PASS", "CHECK")</f>
        <v>PASS</v>
      </c>
    </row>
    <row r="798" spans="1:20" x14ac:dyDescent="0.35">
      <c r="A798" s="7">
        <v>797</v>
      </c>
      <c r="B798" s="9">
        <v>1035</v>
      </c>
      <c r="C798" s="7" t="str">
        <f>IFERROR(_xlfn.TEXTJOIN("-", TRUE, _xlfn.XLOOKUP(K798, product_category_id_lookup!$A$2:$A$5, product_category_id_lookup!$B$2:$B$5), B798), "Unknown Category")</f>
        <v>ctg-1035</v>
      </c>
      <c r="D798" s="8">
        <v>44818</v>
      </c>
      <c r="E798" s="7">
        <f t="shared" si="36"/>
        <v>2022</v>
      </c>
      <c r="F798" s="28" t="str">
        <f t="shared" si="37"/>
        <v>Sep</v>
      </c>
      <c r="G798" s="17" t="s">
        <v>33</v>
      </c>
      <c r="H798" s="17" t="s">
        <v>30</v>
      </c>
      <c r="I798" s="24">
        <v>45630.620810858629</v>
      </c>
      <c r="J798" s="32">
        <v>40</v>
      </c>
      <c r="K798" s="17" t="s">
        <v>26</v>
      </c>
      <c r="L798" s="24">
        <v>1117.72</v>
      </c>
      <c r="M798" s="24">
        <v>1144.57</v>
      </c>
      <c r="N798" s="34">
        <f>((sales_data_1[[#This Row],[Unit_Price]]*(1-sales_data_1[[#This Row],[Discount]]))-sales_data_1[[#This Row],[Unit_Cost]])*sales_data_1[[#This Row],[Quantity_Sold]]</f>
        <v>1073.9999999999964</v>
      </c>
      <c r="O798" s="17" t="s">
        <v>27</v>
      </c>
      <c r="P798" s="26">
        <v>0</v>
      </c>
      <c r="Q798" s="17" t="s">
        <v>28</v>
      </c>
      <c r="R798" s="17" t="s">
        <v>21</v>
      </c>
      <c r="S798" s="49" t="str">
        <f t="shared" si="38"/>
        <v>Alice-East</v>
      </c>
      <c r="T798" s="59" t="str">
        <f>IF(ROUND(sales_data_1[[#This Row],[Profit_Margin]],2)=ROUND((sales_data_1[[#This Row],[Unit_Price]]*(1-sales_data_1[[#This Row],[Discount]]) - sales_data_1[[#This Row],[Unit_Cost]])*sales_data_1[[#This Row],[Quantity_Sold]],2), "PASS", "CHECK")</f>
        <v>PASS</v>
      </c>
    </row>
    <row r="799" spans="1:20" x14ac:dyDescent="0.35">
      <c r="A799" s="7">
        <v>798</v>
      </c>
      <c r="B799" s="9">
        <v>1042</v>
      </c>
      <c r="C799" s="7" t="str">
        <f>IFERROR(_xlfn.TEXTJOIN("-", TRUE, _xlfn.XLOOKUP(K799, product_category_id_lookup!$A$2:$A$5, product_category_id_lookup!$B$2:$B$5), B799), "Unknown Category")</f>
        <v>fnt-1042</v>
      </c>
      <c r="D799" s="8">
        <v>44818</v>
      </c>
      <c r="E799" s="7">
        <f t="shared" si="36"/>
        <v>2022</v>
      </c>
      <c r="F799" s="28" t="str">
        <f t="shared" si="37"/>
        <v>Sep</v>
      </c>
      <c r="G799" s="17" t="s">
        <v>22</v>
      </c>
      <c r="H799" s="17" t="s">
        <v>15</v>
      </c>
      <c r="I799" s="24">
        <v>133530.34691541156</v>
      </c>
      <c r="J799" s="32">
        <v>33</v>
      </c>
      <c r="K799" s="17" t="s">
        <v>16</v>
      </c>
      <c r="L799" s="24">
        <v>3682.27</v>
      </c>
      <c r="M799" s="24">
        <v>4174.8</v>
      </c>
      <c r="N799" s="34">
        <f>((sales_data_1[[#This Row],[Unit_Price]]*(1-sales_data_1[[#This Row],[Discount]]))-sales_data_1[[#This Row],[Unit_Cost]])*sales_data_1[[#This Row],[Quantity_Sold]]</f>
        <v>12120.438000000002</v>
      </c>
      <c r="O799" s="17" t="s">
        <v>17</v>
      </c>
      <c r="P799" s="26">
        <v>0.03</v>
      </c>
      <c r="Q799" s="17" t="s">
        <v>28</v>
      </c>
      <c r="R799" s="17" t="s">
        <v>21</v>
      </c>
      <c r="S799" s="49" t="str">
        <f t="shared" si="38"/>
        <v>David-North</v>
      </c>
      <c r="T799" s="59" t="str">
        <f>IF(ROUND(sales_data_1[[#This Row],[Profit_Margin]],2)=ROUND((sales_data_1[[#This Row],[Unit_Price]]*(1-sales_data_1[[#This Row],[Discount]]) - sales_data_1[[#This Row],[Unit_Cost]])*sales_data_1[[#This Row],[Quantity_Sold]],2), "PASS", "CHECK")</f>
        <v>PASS</v>
      </c>
    </row>
    <row r="800" spans="1:20" x14ac:dyDescent="0.35">
      <c r="A800" s="7">
        <v>799</v>
      </c>
      <c r="B800" s="9">
        <v>1055</v>
      </c>
      <c r="C800" s="7" t="str">
        <f>IFERROR(_xlfn.TEXTJOIN("-", TRUE, _xlfn.XLOOKUP(K800, product_category_id_lookup!$A$2:$A$5, product_category_id_lookup!$B$2:$B$5), B800), "Unknown Category")</f>
        <v>etc-1055</v>
      </c>
      <c r="D800" s="8">
        <v>44818</v>
      </c>
      <c r="E800" s="7">
        <f t="shared" si="36"/>
        <v>2022</v>
      </c>
      <c r="F800" s="28" t="str">
        <f t="shared" si="37"/>
        <v>Sep</v>
      </c>
      <c r="G800" s="17" t="s">
        <v>22</v>
      </c>
      <c r="H800" s="17" t="s">
        <v>23</v>
      </c>
      <c r="I800" s="24">
        <v>225594.3536</v>
      </c>
      <c r="J800" s="32">
        <v>49</v>
      </c>
      <c r="K800" s="17" t="s">
        <v>31</v>
      </c>
      <c r="L800" s="24">
        <v>3742.59</v>
      </c>
      <c r="M800" s="24">
        <v>5231.78</v>
      </c>
      <c r="N800" s="34">
        <f>((sales_data_1[[#This Row],[Unit_Price]]*(1-sales_data_1[[#This Row],[Discount]]))-sales_data_1[[#This Row],[Unit_Cost]])*sales_data_1[[#This Row],[Quantity_Sold]]</f>
        <v>42207.443600000006</v>
      </c>
      <c r="O800" s="17" t="s">
        <v>27</v>
      </c>
      <c r="P800" s="26">
        <v>0.12</v>
      </c>
      <c r="Q800" s="17" t="s">
        <v>18</v>
      </c>
      <c r="R800" s="17" t="s">
        <v>19</v>
      </c>
      <c r="S800" s="49" t="str">
        <f t="shared" si="38"/>
        <v>David-South</v>
      </c>
      <c r="T800" s="59" t="str">
        <f>IF(ROUND(sales_data_1[[#This Row],[Profit_Margin]],2)=ROUND((sales_data_1[[#This Row],[Unit_Price]]*(1-sales_data_1[[#This Row],[Discount]]) - sales_data_1[[#This Row],[Unit_Cost]])*sales_data_1[[#This Row],[Quantity_Sold]],2), "PASS", "CHECK")</f>
        <v>PASS</v>
      </c>
    </row>
    <row r="801" spans="1:20" x14ac:dyDescent="0.35">
      <c r="A801" s="7">
        <v>800</v>
      </c>
      <c r="B801" s="9">
        <v>1043</v>
      </c>
      <c r="C801" s="7" t="str">
        <f>IFERROR(_xlfn.TEXTJOIN("-", TRUE, _xlfn.XLOOKUP(K801, product_category_id_lookup!$A$2:$A$5, product_category_id_lookup!$B$2:$B$5), B801), "Unknown Category")</f>
        <v>ctg-1043</v>
      </c>
      <c r="D801" s="8">
        <v>44818</v>
      </c>
      <c r="E801" s="7">
        <f t="shared" si="36"/>
        <v>2022</v>
      </c>
      <c r="F801" s="28" t="str">
        <f t="shared" si="37"/>
        <v>Sep</v>
      </c>
      <c r="G801" s="17" t="s">
        <v>33</v>
      </c>
      <c r="H801" s="17" t="s">
        <v>20</v>
      </c>
      <c r="I801" s="24">
        <v>68168.606599999999</v>
      </c>
      <c r="J801" s="32">
        <v>38</v>
      </c>
      <c r="K801" s="17" t="s">
        <v>26</v>
      </c>
      <c r="L801" s="24">
        <v>294.67</v>
      </c>
      <c r="M801" s="24">
        <v>2015.63</v>
      </c>
      <c r="N801" s="34">
        <f>((sales_data_1[[#This Row],[Unit_Price]]*(1-sales_data_1[[#This Row],[Discount]]))-sales_data_1[[#This Row],[Unit_Cost]])*sales_data_1[[#This Row],[Quantity_Sold]]</f>
        <v>56971.1466</v>
      </c>
      <c r="O801" s="17" t="s">
        <v>27</v>
      </c>
      <c r="P801" s="26">
        <v>0.11</v>
      </c>
      <c r="Q801" s="17" t="s">
        <v>25</v>
      </c>
      <c r="R801" s="17" t="s">
        <v>19</v>
      </c>
      <c r="S801" s="49" t="str">
        <f t="shared" si="38"/>
        <v>Alice-West</v>
      </c>
      <c r="T801" s="59" t="str">
        <f>IF(ROUND(sales_data_1[[#This Row],[Profit_Margin]],2)=ROUND((sales_data_1[[#This Row],[Unit_Price]]*(1-sales_data_1[[#This Row],[Discount]]) - sales_data_1[[#This Row],[Unit_Cost]])*sales_data_1[[#This Row],[Quantity_Sold]],2), "PASS", "CHECK")</f>
        <v>PASS</v>
      </c>
    </row>
    <row r="802" spans="1:20" x14ac:dyDescent="0.35">
      <c r="A802" s="7">
        <v>801</v>
      </c>
      <c r="B802" s="9">
        <v>1012</v>
      </c>
      <c r="C802" s="7" t="str">
        <f>IFERROR(_xlfn.TEXTJOIN("-", TRUE, _xlfn.XLOOKUP(K802, product_category_id_lookup!$A$2:$A$5, product_category_id_lookup!$B$2:$B$5), B802), "Unknown Category")</f>
        <v>fd-1012</v>
      </c>
      <c r="D802" s="8">
        <v>44818</v>
      </c>
      <c r="E802" s="7">
        <f t="shared" si="36"/>
        <v>2022</v>
      </c>
      <c r="F802" s="28" t="str">
        <f t="shared" si="37"/>
        <v>Sep</v>
      </c>
      <c r="G802" s="17" t="s">
        <v>33</v>
      </c>
      <c r="H802" s="17" t="s">
        <v>20</v>
      </c>
      <c r="I802" s="24">
        <v>167571.39559999999</v>
      </c>
      <c r="J802" s="32">
        <v>49</v>
      </c>
      <c r="K802" s="17" t="s">
        <v>24</v>
      </c>
      <c r="L802" s="24">
        <v>2185.7800000000002</v>
      </c>
      <c r="M802" s="24">
        <v>3976.54</v>
      </c>
      <c r="N802" s="34">
        <f>((sales_data_1[[#This Row],[Unit_Price]]*(1-sales_data_1[[#This Row],[Discount]]))-sales_data_1[[#This Row],[Unit_Cost]])*sales_data_1[[#This Row],[Quantity_Sold]]</f>
        <v>60468.175599999988</v>
      </c>
      <c r="O802" s="17" t="s">
        <v>17</v>
      </c>
      <c r="P802" s="26">
        <v>0.14000000000000001</v>
      </c>
      <c r="Q802" s="17" t="s">
        <v>25</v>
      </c>
      <c r="R802" s="17" t="s">
        <v>19</v>
      </c>
      <c r="S802" s="49" t="str">
        <f t="shared" si="38"/>
        <v>Alice-West</v>
      </c>
      <c r="T802" s="59" t="str">
        <f>IF(ROUND(sales_data_1[[#This Row],[Profit_Margin]],2)=ROUND((sales_data_1[[#This Row],[Unit_Price]]*(1-sales_data_1[[#This Row],[Discount]]) - sales_data_1[[#This Row],[Unit_Cost]])*sales_data_1[[#This Row],[Quantity_Sold]],2), "PASS", "CHECK")</f>
        <v>PASS</v>
      </c>
    </row>
    <row r="803" spans="1:20" x14ac:dyDescent="0.35">
      <c r="A803" s="7">
        <v>802</v>
      </c>
      <c r="B803" s="9">
        <v>1100</v>
      </c>
      <c r="C803" s="7" t="str">
        <f>IFERROR(_xlfn.TEXTJOIN("-", TRUE, _xlfn.XLOOKUP(K803, product_category_id_lookup!$A$2:$A$5, product_category_id_lookup!$B$2:$B$5), B803), "Unknown Category")</f>
        <v>fd-1100</v>
      </c>
      <c r="D803" s="8">
        <v>44819</v>
      </c>
      <c r="E803" s="7">
        <f t="shared" si="36"/>
        <v>2022</v>
      </c>
      <c r="F803" s="28" t="str">
        <f t="shared" si="37"/>
        <v>Sep</v>
      </c>
      <c r="G803" s="17" t="s">
        <v>22</v>
      </c>
      <c r="H803" s="17" t="s">
        <v>15</v>
      </c>
      <c r="I803" s="24">
        <v>34795.277000000002</v>
      </c>
      <c r="J803" s="32">
        <v>22</v>
      </c>
      <c r="K803" s="17" t="s">
        <v>24</v>
      </c>
      <c r="L803" s="24">
        <v>500</v>
      </c>
      <c r="M803" s="24">
        <v>1860.71</v>
      </c>
      <c r="N803" s="34">
        <f>((sales_data_1[[#This Row],[Unit_Price]]*(1-sales_data_1[[#This Row],[Discount]]))-sales_data_1[[#This Row],[Unit_Cost]])*sales_data_1[[#This Row],[Quantity_Sold]]</f>
        <v>23795.276999999998</v>
      </c>
      <c r="O803" s="17" t="s">
        <v>27</v>
      </c>
      <c r="P803" s="26">
        <v>0.15</v>
      </c>
      <c r="Q803" s="17" t="s">
        <v>18</v>
      </c>
      <c r="R803" s="17" t="s">
        <v>21</v>
      </c>
      <c r="S803" s="49" t="str">
        <f t="shared" si="38"/>
        <v>David-North</v>
      </c>
      <c r="T803" s="59" t="str">
        <f>IF(ROUND(sales_data_1[[#This Row],[Profit_Margin]],2)=ROUND((sales_data_1[[#This Row],[Unit_Price]]*(1-sales_data_1[[#This Row],[Discount]]) - sales_data_1[[#This Row],[Unit_Cost]])*sales_data_1[[#This Row],[Quantity_Sold]],2), "PASS", "CHECK")</f>
        <v>PASS</v>
      </c>
    </row>
    <row r="804" spans="1:20" x14ac:dyDescent="0.35">
      <c r="A804" s="7">
        <v>803</v>
      </c>
      <c r="B804" s="9">
        <v>1021</v>
      </c>
      <c r="C804" s="7" t="str">
        <f>IFERROR(_xlfn.TEXTJOIN("-", TRUE, _xlfn.XLOOKUP(K804, product_category_id_lookup!$A$2:$A$5, product_category_id_lookup!$B$2:$B$5), B804), "Unknown Category")</f>
        <v>fnt-1021</v>
      </c>
      <c r="D804" s="8">
        <v>44820</v>
      </c>
      <c r="E804" s="7">
        <f t="shared" si="36"/>
        <v>2022</v>
      </c>
      <c r="F804" s="28" t="str">
        <f t="shared" si="37"/>
        <v>Sep</v>
      </c>
      <c r="G804" s="17" t="s">
        <v>29</v>
      </c>
      <c r="H804" s="17" t="s">
        <v>20</v>
      </c>
      <c r="I804" s="24">
        <v>26705.582399999999</v>
      </c>
      <c r="J804" s="32">
        <v>16</v>
      </c>
      <c r="K804" s="17" t="s">
        <v>16</v>
      </c>
      <c r="L804" s="24">
        <v>1262.6099999999999</v>
      </c>
      <c r="M804" s="24">
        <v>1794.73</v>
      </c>
      <c r="N804" s="34">
        <f>((sales_data_1[[#This Row],[Unit_Price]]*(1-sales_data_1[[#This Row],[Discount]]))-sales_data_1[[#This Row],[Unit_Cost]])*sales_data_1[[#This Row],[Quantity_Sold]]</f>
        <v>6503.8224000000009</v>
      </c>
      <c r="O804" s="17" t="s">
        <v>27</v>
      </c>
      <c r="P804" s="26">
        <v>7.0000000000000007E-2</v>
      </c>
      <c r="Q804" s="17" t="s">
        <v>25</v>
      </c>
      <c r="R804" s="17" t="s">
        <v>19</v>
      </c>
      <c r="S804" s="49" t="str">
        <f t="shared" si="38"/>
        <v>Charlie-West</v>
      </c>
      <c r="T804" s="59" t="str">
        <f>IF(ROUND(sales_data_1[[#This Row],[Profit_Margin]],2)=ROUND((sales_data_1[[#This Row],[Unit_Price]]*(1-sales_data_1[[#This Row],[Discount]]) - sales_data_1[[#This Row],[Unit_Cost]])*sales_data_1[[#This Row],[Quantity_Sold]],2), "PASS", "CHECK")</f>
        <v>PASS</v>
      </c>
    </row>
    <row r="805" spans="1:20" x14ac:dyDescent="0.35">
      <c r="A805" s="7">
        <v>804</v>
      </c>
      <c r="B805" s="9">
        <v>1004</v>
      </c>
      <c r="C805" s="7" t="str">
        <f>IFERROR(_xlfn.TEXTJOIN("-", TRUE, _xlfn.XLOOKUP(K805, product_category_id_lookup!$A$2:$A$5, product_category_id_lookup!$B$2:$B$5), B805), "Unknown Category")</f>
        <v>fd-1004</v>
      </c>
      <c r="D805" s="8">
        <v>44821</v>
      </c>
      <c r="E805" s="7">
        <f t="shared" si="36"/>
        <v>2022</v>
      </c>
      <c r="F805" s="28" t="str">
        <f t="shared" si="37"/>
        <v>Sep</v>
      </c>
      <c r="G805" s="17" t="s">
        <v>29</v>
      </c>
      <c r="H805" s="17" t="s">
        <v>23</v>
      </c>
      <c r="I805" s="24">
        <v>60790.713199999998</v>
      </c>
      <c r="J805" s="32">
        <v>14</v>
      </c>
      <c r="K805" s="17" t="s">
        <v>24</v>
      </c>
      <c r="L805" s="24">
        <v>1659.44</v>
      </c>
      <c r="M805" s="24">
        <v>4430.8100000000004</v>
      </c>
      <c r="N805" s="34">
        <f>((sales_data_1[[#This Row],[Unit_Price]]*(1-sales_data_1[[#This Row],[Discount]]))-sales_data_1[[#This Row],[Unit_Cost]])*sales_data_1[[#This Row],[Quantity_Sold]]</f>
        <v>37558.553200000002</v>
      </c>
      <c r="O805" s="17" t="s">
        <v>27</v>
      </c>
      <c r="P805" s="26">
        <v>0.02</v>
      </c>
      <c r="Q805" s="17" t="s">
        <v>28</v>
      </c>
      <c r="R805" s="17" t="s">
        <v>19</v>
      </c>
      <c r="S805" s="49" t="str">
        <f t="shared" si="38"/>
        <v>Charlie-South</v>
      </c>
      <c r="T805" s="59" t="str">
        <f>IF(ROUND(sales_data_1[[#This Row],[Profit_Margin]],2)=ROUND((sales_data_1[[#This Row],[Unit_Price]]*(1-sales_data_1[[#This Row],[Discount]]) - sales_data_1[[#This Row],[Unit_Cost]])*sales_data_1[[#This Row],[Quantity_Sold]],2), "PASS", "CHECK")</f>
        <v>PASS</v>
      </c>
    </row>
    <row r="806" spans="1:20" x14ac:dyDescent="0.35">
      <c r="A806" s="7">
        <v>805</v>
      </c>
      <c r="B806" s="9">
        <v>1080</v>
      </c>
      <c r="C806" s="7" t="str">
        <f>IFERROR(_xlfn.TEXTJOIN("-", TRUE, _xlfn.XLOOKUP(K806, product_category_id_lookup!$A$2:$A$5, product_category_id_lookup!$B$2:$B$5), B806), "Unknown Category")</f>
        <v>etc-1080</v>
      </c>
      <c r="D806" s="8">
        <v>44821</v>
      </c>
      <c r="E806" s="7">
        <f t="shared" si="36"/>
        <v>2022</v>
      </c>
      <c r="F806" s="28" t="str">
        <f t="shared" si="37"/>
        <v>Sep</v>
      </c>
      <c r="G806" s="17" t="s">
        <v>22</v>
      </c>
      <c r="H806" s="17" t="s">
        <v>15</v>
      </c>
      <c r="I806" s="24">
        <v>149568.18799999999</v>
      </c>
      <c r="J806" s="32">
        <v>44</v>
      </c>
      <c r="K806" s="17" t="s">
        <v>31</v>
      </c>
      <c r="L806" s="24">
        <v>759.28</v>
      </c>
      <c r="M806" s="24">
        <v>3468.65</v>
      </c>
      <c r="N806" s="34">
        <f>((sales_data_1[[#This Row],[Unit_Price]]*(1-sales_data_1[[#This Row],[Discount]]))-sales_data_1[[#This Row],[Unit_Cost]])*sales_data_1[[#This Row],[Quantity_Sold]]</f>
        <v>116159.86800000002</v>
      </c>
      <c r="O806" s="17" t="s">
        <v>17</v>
      </c>
      <c r="P806" s="26">
        <v>0.02</v>
      </c>
      <c r="Q806" s="17" t="s">
        <v>25</v>
      </c>
      <c r="R806" s="17" t="s">
        <v>21</v>
      </c>
      <c r="S806" s="49" t="str">
        <f t="shared" si="38"/>
        <v>David-North</v>
      </c>
      <c r="T806" s="59" t="str">
        <f>IF(ROUND(sales_data_1[[#This Row],[Profit_Margin]],2)=ROUND((sales_data_1[[#This Row],[Unit_Price]]*(1-sales_data_1[[#This Row],[Discount]]) - sales_data_1[[#This Row],[Unit_Cost]])*sales_data_1[[#This Row],[Quantity_Sold]],2), "PASS", "CHECK")</f>
        <v>PASS</v>
      </c>
    </row>
    <row r="807" spans="1:20" x14ac:dyDescent="0.35">
      <c r="A807" s="7">
        <v>806</v>
      </c>
      <c r="B807" s="9">
        <v>1037</v>
      </c>
      <c r="C807" s="7" t="str">
        <f>IFERROR(_xlfn.TEXTJOIN("-", TRUE, _xlfn.XLOOKUP(K807, product_category_id_lookup!$A$2:$A$5, product_category_id_lookup!$B$2:$B$5), B807), "Unknown Category")</f>
        <v>etc-1037</v>
      </c>
      <c r="D807" s="8">
        <v>44822</v>
      </c>
      <c r="E807" s="7">
        <f t="shared" si="36"/>
        <v>2022</v>
      </c>
      <c r="F807" s="28" t="str">
        <f t="shared" si="37"/>
        <v>Sep</v>
      </c>
      <c r="G807" s="17" t="s">
        <v>29</v>
      </c>
      <c r="H807" s="17" t="s">
        <v>23</v>
      </c>
      <c r="I807" s="24">
        <v>36088.65</v>
      </c>
      <c r="J807" s="32">
        <v>13</v>
      </c>
      <c r="K807" s="17" t="s">
        <v>31</v>
      </c>
      <c r="L807" s="24">
        <v>902.24</v>
      </c>
      <c r="M807" s="24">
        <v>3701.4</v>
      </c>
      <c r="N807" s="34">
        <f>((sales_data_1[[#This Row],[Unit_Price]]*(1-sales_data_1[[#This Row],[Discount]]))-sales_data_1[[#This Row],[Unit_Cost]])*sales_data_1[[#This Row],[Quantity_Sold]]</f>
        <v>24359.530000000002</v>
      </c>
      <c r="O807" s="17" t="s">
        <v>17</v>
      </c>
      <c r="P807" s="26">
        <v>0.25</v>
      </c>
      <c r="Q807" s="17" t="s">
        <v>18</v>
      </c>
      <c r="R807" s="17" t="s">
        <v>19</v>
      </c>
      <c r="S807" s="49" t="str">
        <f t="shared" si="38"/>
        <v>Charlie-South</v>
      </c>
      <c r="T807" s="59" t="str">
        <f>IF(ROUND(sales_data_1[[#This Row],[Profit_Margin]],2)=ROUND((sales_data_1[[#This Row],[Unit_Price]]*(1-sales_data_1[[#This Row],[Discount]]) - sales_data_1[[#This Row],[Unit_Cost]])*sales_data_1[[#This Row],[Quantity_Sold]],2), "PASS", "CHECK")</f>
        <v>PASS</v>
      </c>
    </row>
    <row r="808" spans="1:20" x14ac:dyDescent="0.35">
      <c r="A808" s="7">
        <v>807</v>
      </c>
      <c r="B808" s="9">
        <v>1083</v>
      </c>
      <c r="C808" s="7" t="str">
        <f>IFERROR(_xlfn.TEXTJOIN("-", TRUE, _xlfn.XLOOKUP(K808, product_category_id_lookup!$A$2:$A$5, product_category_id_lookup!$B$2:$B$5), B808), "Unknown Category")</f>
        <v>fd-1083</v>
      </c>
      <c r="D808" s="8">
        <v>44822</v>
      </c>
      <c r="E808" s="7">
        <f t="shared" si="36"/>
        <v>2022</v>
      </c>
      <c r="F808" s="28" t="str">
        <f t="shared" si="37"/>
        <v>Sep</v>
      </c>
      <c r="G808" s="17" t="s">
        <v>22</v>
      </c>
      <c r="H808" s="17" t="s">
        <v>23</v>
      </c>
      <c r="I808" s="24">
        <v>97396.550399999993</v>
      </c>
      <c r="J808" s="32">
        <v>37</v>
      </c>
      <c r="K808" s="17" t="s">
        <v>24</v>
      </c>
      <c r="L808" s="24">
        <v>898.06</v>
      </c>
      <c r="M808" s="24">
        <v>3707.52</v>
      </c>
      <c r="N808" s="34">
        <f>((sales_data_1[[#This Row],[Unit_Price]]*(1-sales_data_1[[#This Row],[Discount]]))-sales_data_1[[#This Row],[Unit_Cost]])*sales_data_1[[#This Row],[Quantity_Sold]]</f>
        <v>64168.330399999999</v>
      </c>
      <c r="O808" s="17" t="s">
        <v>27</v>
      </c>
      <c r="P808" s="26">
        <v>0.28999999999999998</v>
      </c>
      <c r="Q808" s="17" t="s">
        <v>25</v>
      </c>
      <c r="R808" s="17" t="s">
        <v>21</v>
      </c>
      <c r="S808" s="49" t="str">
        <f t="shared" si="38"/>
        <v>David-South</v>
      </c>
      <c r="T808" s="59" t="str">
        <f>IF(ROUND(sales_data_1[[#This Row],[Profit_Margin]],2)=ROUND((sales_data_1[[#This Row],[Unit_Price]]*(1-sales_data_1[[#This Row],[Discount]]) - sales_data_1[[#This Row],[Unit_Cost]])*sales_data_1[[#This Row],[Quantity_Sold]],2), "PASS", "CHECK")</f>
        <v>PASS</v>
      </c>
    </row>
    <row r="809" spans="1:20" x14ac:dyDescent="0.35">
      <c r="A809" s="7">
        <v>808</v>
      </c>
      <c r="B809" s="9">
        <v>1039</v>
      </c>
      <c r="C809" s="7" t="str">
        <f>IFERROR(_xlfn.TEXTJOIN("-", TRUE, _xlfn.XLOOKUP(K809, product_category_id_lookup!$A$2:$A$5, product_category_id_lookup!$B$2:$B$5), B809), "Unknown Category")</f>
        <v>fd-1039</v>
      </c>
      <c r="D809" s="8">
        <v>44823</v>
      </c>
      <c r="E809" s="7">
        <f t="shared" si="36"/>
        <v>2022</v>
      </c>
      <c r="F809" s="28" t="str">
        <f t="shared" si="37"/>
        <v>Sep</v>
      </c>
      <c r="G809" s="17" t="s">
        <v>33</v>
      </c>
      <c r="H809" s="17" t="s">
        <v>15</v>
      </c>
      <c r="I809" s="24">
        <v>15471.676000000001</v>
      </c>
      <c r="J809" s="32">
        <v>22</v>
      </c>
      <c r="K809" s="17" t="s">
        <v>24</v>
      </c>
      <c r="L809" s="24">
        <v>208.49</v>
      </c>
      <c r="M809" s="24">
        <v>890.2</v>
      </c>
      <c r="N809" s="34">
        <f>((sales_data_1[[#This Row],[Unit_Price]]*(1-sales_data_1[[#This Row],[Discount]]))-sales_data_1[[#This Row],[Unit_Cost]])*sales_data_1[[#This Row],[Quantity_Sold]]</f>
        <v>10884.896000000001</v>
      </c>
      <c r="O809" s="17" t="s">
        <v>27</v>
      </c>
      <c r="P809" s="26">
        <v>0.21</v>
      </c>
      <c r="Q809" s="17" t="s">
        <v>25</v>
      </c>
      <c r="R809" s="17" t="s">
        <v>21</v>
      </c>
      <c r="S809" s="49" t="str">
        <f t="shared" si="38"/>
        <v>Alice-North</v>
      </c>
      <c r="T809" s="59" t="str">
        <f>IF(ROUND(sales_data_1[[#This Row],[Profit_Margin]],2)=ROUND((sales_data_1[[#This Row],[Unit_Price]]*(1-sales_data_1[[#This Row],[Discount]]) - sales_data_1[[#This Row],[Unit_Cost]])*sales_data_1[[#This Row],[Quantity_Sold]],2), "PASS", "CHECK")</f>
        <v>PASS</v>
      </c>
    </row>
    <row r="810" spans="1:20" x14ac:dyDescent="0.35">
      <c r="A810" s="7">
        <v>809</v>
      </c>
      <c r="B810" s="9">
        <v>1050</v>
      </c>
      <c r="C810" s="7" t="str">
        <f>IFERROR(_xlfn.TEXTJOIN("-", TRUE, _xlfn.XLOOKUP(K810, product_category_id_lookup!$A$2:$A$5, product_category_id_lookup!$B$2:$B$5), B810), "Unknown Category")</f>
        <v>ctg-1050</v>
      </c>
      <c r="D810" s="8">
        <v>44823</v>
      </c>
      <c r="E810" s="7">
        <f t="shared" si="36"/>
        <v>2022</v>
      </c>
      <c r="F810" s="28" t="str">
        <f t="shared" si="37"/>
        <v>Sep</v>
      </c>
      <c r="G810" s="17" t="s">
        <v>29</v>
      </c>
      <c r="H810" s="17" t="s">
        <v>15</v>
      </c>
      <c r="I810" s="24">
        <v>195945.74</v>
      </c>
      <c r="J810" s="32">
        <v>50</v>
      </c>
      <c r="K810" s="17" t="s">
        <v>26</v>
      </c>
      <c r="L810" s="24">
        <v>2847.29</v>
      </c>
      <c r="M810" s="24">
        <v>4259.6899999999996</v>
      </c>
      <c r="N810" s="34">
        <f>((sales_data_1[[#This Row],[Unit_Price]]*(1-sales_data_1[[#This Row],[Discount]]))-sales_data_1[[#This Row],[Unit_Cost]])*sales_data_1[[#This Row],[Quantity_Sold]]</f>
        <v>53581.240000000005</v>
      </c>
      <c r="O810" s="17" t="s">
        <v>17</v>
      </c>
      <c r="P810" s="26">
        <v>0.08</v>
      </c>
      <c r="Q810" s="17" t="s">
        <v>18</v>
      </c>
      <c r="R810" s="17" t="s">
        <v>19</v>
      </c>
      <c r="S810" s="49" t="str">
        <f t="shared" si="38"/>
        <v>Charlie-North</v>
      </c>
      <c r="T810" s="59" t="str">
        <f>IF(ROUND(sales_data_1[[#This Row],[Profit_Margin]],2)=ROUND((sales_data_1[[#This Row],[Unit_Price]]*(1-sales_data_1[[#This Row],[Discount]]) - sales_data_1[[#This Row],[Unit_Cost]])*sales_data_1[[#This Row],[Quantity_Sold]],2), "PASS", "CHECK")</f>
        <v>PASS</v>
      </c>
    </row>
    <row r="811" spans="1:20" x14ac:dyDescent="0.35">
      <c r="A811" s="7">
        <v>810</v>
      </c>
      <c r="B811" s="9">
        <v>1014</v>
      </c>
      <c r="C811" s="7" t="str">
        <f>IFERROR(_xlfn.TEXTJOIN("-", TRUE, _xlfn.XLOOKUP(K811, product_category_id_lookup!$A$2:$A$5, product_category_id_lookup!$B$2:$B$5), B811), "Unknown Category")</f>
        <v>fnt-1014</v>
      </c>
      <c r="D811" s="8">
        <v>44824</v>
      </c>
      <c r="E811" s="7">
        <f t="shared" si="36"/>
        <v>2022</v>
      </c>
      <c r="F811" s="28" t="str">
        <f t="shared" si="37"/>
        <v>Sep</v>
      </c>
      <c r="G811" s="17" t="s">
        <v>32</v>
      </c>
      <c r="H811" s="17" t="s">
        <v>20</v>
      </c>
      <c r="I811" s="24">
        <v>9326.6039999999994</v>
      </c>
      <c r="J811" s="32">
        <v>3</v>
      </c>
      <c r="K811" s="17" t="s">
        <v>16</v>
      </c>
      <c r="L811" s="24">
        <v>1676.27</v>
      </c>
      <c r="M811" s="24">
        <v>4441.24</v>
      </c>
      <c r="N811" s="34">
        <f>((sales_data_1[[#This Row],[Unit_Price]]*(1-sales_data_1[[#This Row],[Discount]]))-sales_data_1[[#This Row],[Unit_Cost]])*sales_data_1[[#This Row],[Quantity_Sold]]</f>
        <v>4297.7939999999981</v>
      </c>
      <c r="O811" s="17" t="s">
        <v>17</v>
      </c>
      <c r="P811" s="26">
        <v>0.3</v>
      </c>
      <c r="Q811" s="17" t="s">
        <v>25</v>
      </c>
      <c r="R811" s="17" t="s">
        <v>19</v>
      </c>
      <c r="S811" s="49" t="str">
        <f t="shared" si="38"/>
        <v>Eve-West</v>
      </c>
      <c r="T811" s="59" t="str">
        <f>IF(ROUND(sales_data_1[[#This Row],[Profit_Margin]],2)=ROUND((sales_data_1[[#This Row],[Unit_Price]]*(1-sales_data_1[[#This Row],[Discount]]) - sales_data_1[[#This Row],[Unit_Cost]])*sales_data_1[[#This Row],[Quantity_Sold]],2), "PASS", "CHECK")</f>
        <v>PASS</v>
      </c>
    </row>
    <row r="812" spans="1:20" x14ac:dyDescent="0.35">
      <c r="A812" s="7">
        <v>811</v>
      </c>
      <c r="B812" s="9">
        <v>1086</v>
      </c>
      <c r="C812" s="7" t="str">
        <f>IFERROR(_xlfn.TEXTJOIN("-", TRUE, _xlfn.XLOOKUP(K812, product_category_id_lookup!$A$2:$A$5, product_category_id_lookup!$B$2:$B$5), B812), "Unknown Category")</f>
        <v>fd-1086</v>
      </c>
      <c r="D812" s="8">
        <v>44824</v>
      </c>
      <c r="E812" s="7">
        <f t="shared" si="36"/>
        <v>2022</v>
      </c>
      <c r="F812" s="28" t="str">
        <f t="shared" si="37"/>
        <v>Sep</v>
      </c>
      <c r="G812" s="17" t="s">
        <v>14</v>
      </c>
      <c r="H812" s="17" t="s">
        <v>30</v>
      </c>
      <c r="I812" s="24">
        <v>65911.780799999993</v>
      </c>
      <c r="J812" s="32">
        <v>23</v>
      </c>
      <c r="K812" s="17" t="s">
        <v>24</v>
      </c>
      <c r="L812" s="24">
        <v>791.16</v>
      </c>
      <c r="M812" s="24">
        <v>3980.18</v>
      </c>
      <c r="N812" s="34">
        <f>((sales_data_1[[#This Row],[Unit_Price]]*(1-sales_data_1[[#This Row],[Discount]]))-sales_data_1[[#This Row],[Unit_Cost]])*sales_data_1[[#This Row],[Quantity_Sold]]</f>
        <v>47715.100799999993</v>
      </c>
      <c r="O812" s="17" t="s">
        <v>17</v>
      </c>
      <c r="P812" s="26">
        <v>0.28000000000000003</v>
      </c>
      <c r="Q812" s="17" t="s">
        <v>25</v>
      </c>
      <c r="R812" s="17" t="s">
        <v>21</v>
      </c>
      <c r="S812" s="49" t="str">
        <f t="shared" si="38"/>
        <v>Bob-East</v>
      </c>
      <c r="T812" s="59" t="str">
        <f>IF(ROUND(sales_data_1[[#This Row],[Profit_Margin]],2)=ROUND((sales_data_1[[#This Row],[Unit_Price]]*(1-sales_data_1[[#This Row],[Discount]]) - sales_data_1[[#This Row],[Unit_Cost]])*sales_data_1[[#This Row],[Quantity_Sold]],2), "PASS", "CHECK")</f>
        <v>PASS</v>
      </c>
    </row>
    <row r="813" spans="1:20" x14ac:dyDescent="0.35">
      <c r="A813" s="7">
        <v>812</v>
      </c>
      <c r="B813" s="9">
        <v>1081</v>
      </c>
      <c r="C813" s="7" t="str">
        <f>IFERROR(_xlfn.TEXTJOIN("-", TRUE, _xlfn.XLOOKUP(K813, product_category_id_lookup!$A$2:$A$5, product_category_id_lookup!$B$2:$B$5), B813), "Unknown Category")</f>
        <v>etc-1081</v>
      </c>
      <c r="D813" s="8">
        <v>44825</v>
      </c>
      <c r="E813" s="7">
        <f t="shared" si="36"/>
        <v>2022</v>
      </c>
      <c r="F813" s="28" t="str">
        <f t="shared" si="37"/>
        <v>Sep</v>
      </c>
      <c r="G813" s="17" t="s">
        <v>14</v>
      </c>
      <c r="H813" s="17" t="s">
        <v>30</v>
      </c>
      <c r="I813" s="24">
        <v>128147.25839999999</v>
      </c>
      <c r="J813" s="32">
        <v>28</v>
      </c>
      <c r="K813" s="17" t="s">
        <v>31</v>
      </c>
      <c r="L813" s="24">
        <v>2027.8</v>
      </c>
      <c r="M813" s="24">
        <v>5321.73</v>
      </c>
      <c r="N813" s="34">
        <f>((sales_data_1[[#This Row],[Unit_Price]]*(1-sales_data_1[[#This Row],[Discount]]))-sales_data_1[[#This Row],[Unit_Cost]])*sales_data_1[[#This Row],[Quantity_Sold]]</f>
        <v>71368.858399999983</v>
      </c>
      <c r="O813" s="17" t="s">
        <v>17</v>
      </c>
      <c r="P813" s="26">
        <v>0.14000000000000001</v>
      </c>
      <c r="Q813" s="17" t="s">
        <v>18</v>
      </c>
      <c r="R813" s="17" t="s">
        <v>21</v>
      </c>
      <c r="S813" s="49" t="str">
        <f t="shared" si="38"/>
        <v>Bob-East</v>
      </c>
      <c r="T813" s="59" t="str">
        <f>IF(ROUND(sales_data_1[[#This Row],[Profit_Margin]],2)=ROUND((sales_data_1[[#This Row],[Unit_Price]]*(1-sales_data_1[[#This Row],[Discount]]) - sales_data_1[[#This Row],[Unit_Cost]])*sales_data_1[[#This Row],[Quantity_Sold]],2), "PASS", "CHECK")</f>
        <v>PASS</v>
      </c>
    </row>
    <row r="814" spans="1:20" x14ac:dyDescent="0.35">
      <c r="A814" s="7">
        <v>813</v>
      </c>
      <c r="B814" s="9">
        <v>1025</v>
      </c>
      <c r="C814" s="7" t="str">
        <f>IFERROR(_xlfn.TEXTJOIN("-", TRUE, _xlfn.XLOOKUP(K814, product_category_id_lookup!$A$2:$A$5, product_category_id_lookup!$B$2:$B$5), B814), "Unknown Category")</f>
        <v>fnt-1025</v>
      </c>
      <c r="D814" s="8">
        <v>44826</v>
      </c>
      <c r="E814" s="7">
        <f t="shared" si="36"/>
        <v>2022</v>
      </c>
      <c r="F814" s="28" t="str">
        <f t="shared" si="37"/>
        <v>Sep</v>
      </c>
      <c r="G814" s="17" t="s">
        <v>32</v>
      </c>
      <c r="H814" s="17" t="s">
        <v>20</v>
      </c>
      <c r="I814" s="24">
        <v>60009.087599999999</v>
      </c>
      <c r="J814" s="32">
        <v>42</v>
      </c>
      <c r="K814" s="17" t="s">
        <v>16</v>
      </c>
      <c r="L814" s="24">
        <v>1347.2</v>
      </c>
      <c r="M814" s="24">
        <v>1443.22</v>
      </c>
      <c r="N814" s="34">
        <f>((sales_data_1[[#This Row],[Unit_Price]]*(1-sales_data_1[[#This Row],[Discount]]))-sales_data_1[[#This Row],[Unit_Cost]])*sales_data_1[[#This Row],[Quantity_Sold]]</f>
        <v>3426.6876000000007</v>
      </c>
      <c r="O814" s="17" t="s">
        <v>17</v>
      </c>
      <c r="P814" s="26">
        <v>0.01</v>
      </c>
      <c r="Q814" s="17" t="s">
        <v>25</v>
      </c>
      <c r="R814" s="17" t="s">
        <v>19</v>
      </c>
      <c r="S814" s="49" t="str">
        <f t="shared" si="38"/>
        <v>Eve-West</v>
      </c>
      <c r="T814" s="59" t="str">
        <f>IF(ROUND(sales_data_1[[#This Row],[Profit_Margin]],2)=ROUND((sales_data_1[[#This Row],[Unit_Price]]*(1-sales_data_1[[#This Row],[Discount]]) - sales_data_1[[#This Row],[Unit_Cost]])*sales_data_1[[#This Row],[Quantity_Sold]],2), "PASS", "CHECK")</f>
        <v>PASS</v>
      </c>
    </row>
    <row r="815" spans="1:20" x14ac:dyDescent="0.35">
      <c r="A815" s="7">
        <v>814</v>
      </c>
      <c r="B815" s="9">
        <v>1097</v>
      </c>
      <c r="C815" s="7" t="str">
        <f>IFERROR(_xlfn.TEXTJOIN("-", TRUE, _xlfn.XLOOKUP(K815, product_category_id_lookup!$A$2:$A$5, product_category_id_lookup!$B$2:$B$5), B815), "Unknown Category")</f>
        <v>etc-1097</v>
      </c>
      <c r="D815" s="8">
        <v>44826</v>
      </c>
      <c r="E815" s="7">
        <f t="shared" si="36"/>
        <v>2022</v>
      </c>
      <c r="F815" s="28" t="str">
        <f t="shared" si="37"/>
        <v>Sep</v>
      </c>
      <c r="G815" s="17" t="s">
        <v>32</v>
      </c>
      <c r="H815" s="17" t="s">
        <v>20</v>
      </c>
      <c r="I815" s="24">
        <v>52874.463948952289</v>
      </c>
      <c r="J815" s="32">
        <v>12</v>
      </c>
      <c r="K815" s="17" t="s">
        <v>31</v>
      </c>
      <c r="L815" s="24">
        <v>3714.11</v>
      </c>
      <c r="M815" s="24">
        <v>4563.67</v>
      </c>
      <c r="N815" s="34">
        <f>((sales_data_1[[#This Row],[Unit_Price]]*(1-sales_data_1[[#This Row],[Discount]]))-sales_data_1[[#This Row],[Unit_Cost]])*sales_data_1[[#This Row],[Quantity_Sold]]</f>
        <v>8551.7987999999987</v>
      </c>
      <c r="O815" s="17" t="s">
        <v>27</v>
      </c>
      <c r="P815" s="26">
        <v>0.03</v>
      </c>
      <c r="Q815" s="17" t="s">
        <v>28</v>
      </c>
      <c r="R815" s="17" t="s">
        <v>21</v>
      </c>
      <c r="S815" s="49" t="str">
        <f t="shared" si="38"/>
        <v>Eve-West</v>
      </c>
      <c r="T815" s="59" t="str">
        <f>IF(ROUND(sales_data_1[[#This Row],[Profit_Margin]],2)=ROUND((sales_data_1[[#This Row],[Unit_Price]]*(1-sales_data_1[[#This Row],[Discount]]) - sales_data_1[[#This Row],[Unit_Cost]])*sales_data_1[[#This Row],[Quantity_Sold]],2), "PASS", "CHECK")</f>
        <v>PASS</v>
      </c>
    </row>
    <row r="816" spans="1:20" x14ac:dyDescent="0.35">
      <c r="A816" s="7">
        <v>815</v>
      </c>
      <c r="B816" s="9">
        <v>1062</v>
      </c>
      <c r="C816" s="7" t="str">
        <f>IFERROR(_xlfn.TEXTJOIN("-", TRUE, _xlfn.XLOOKUP(K816, product_category_id_lookup!$A$2:$A$5, product_category_id_lookup!$B$2:$B$5), B816), "Unknown Category")</f>
        <v>etc-1062</v>
      </c>
      <c r="D816" s="8">
        <v>44826</v>
      </c>
      <c r="E816" s="7">
        <f t="shared" si="36"/>
        <v>2022</v>
      </c>
      <c r="F816" s="28" t="str">
        <f t="shared" si="37"/>
        <v>Sep</v>
      </c>
      <c r="G816" s="17" t="s">
        <v>32</v>
      </c>
      <c r="H816" s="17" t="s">
        <v>15</v>
      </c>
      <c r="I816" s="24">
        <v>71662.598761095302</v>
      </c>
      <c r="J816" s="32">
        <v>27</v>
      </c>
      <c r="K816" s="17" t="s">
        <v>31</v>
      </c>
      <c r="L816" s="24">
        <v>2174.79</v>
      </c>
      <c r="M816" s="24">
        <v>2696.05</v>
      </c>
      <c r="N816" s="34">
        <f>((sales_data_1[[#This Row],[Unit_Price]]*(1-sales_data_1[[#This Row],[Discount]]))-sales_data_1[[#This Row],[Unit_Cost]])*sales_data_1[[#This Row],[Quantity_Sold]]</f>
        <v>12618.152999999998</v>
      </c>
      <c r="O816" s="17" t="s">
        <v>27</v>
      </c>
      <c r="P816" s="26">
        <v>0.02</v>
      </c>
      <c r="Q816" s="17" t="s">
        <v>28</v>
      </c>
      <c r="R816" s="17" t="s">
        <v>21</v>
      </c>
      <c r="S816" s="49" t="str">
        <f t="shared" si="38"/>
        <v>Eve-North</v>
      </c>
      <c r="T816" s="59" t="str">
        <f>IF(ROUND(sales_data_1[[#This Row],[Profit_Margin]],2)=ROUND((sales_data_1[[#This Row],[Unit_Price]]*(1-sales_data_1[[#This Row],[Discount]]) - sales_data_1[[#This Row],[Unit_Cost]])*sales_data_1[[#This Row],[Quantity_Sold]],2), "PASS", "CHECK")</f>
        <v>PASS</v>
      </c>
    </row>
    <row r="817" spans="1:20" x14ac:dyDescent="0.35">
      <c r="A817" s="7">
        <v>816</v>
      </c>
      <c r="B817" s="9">
        <v>1074</v>
      </c>
      <c r="C817" s="7" t="str">
        <f>IFERROR(_xlfn.TEXTJOIN("-", TRUE, _xlfn.XLOOKUP(K817, product_category_id_lookup!$A$2:$A$5, product_category_id_lookup!$B$2:$B$5), B817), "Unknown Category")</f>
        <v>fd-1074</v>
      </c>
      <c r="D817" s="8">
        <v>44826</v>
      </c>
      <c r="E817" s="7">
        <f t="shared" si="36"/>
        <v>2022</v>
      </c>
      <c r="F817" s="28" t="str">
        <f t="shared" si="37"/>
        <v>Sep</v>
      </c>
      <c r="G817" s="17" t="s">
        <v>32</v>
      </c>
      <c r="H817" s="17" t="s">
        <v>30</v>
      </c>
      <c r="I817" s="24">
        <v>142419.11319999999</v>
      </c>
      <c r="J817" s="32">
        <v>38</v>
      </c>
      <c r="K817" s="17" t="s">
        <v>24</v>
      </c>
      <c r="L817" s="24">
        <v>387.2</v>
      </c>
      <c r="M817" s="24">
        <v>4357.99</v>
      </c>
      <c r="N817" s="34">
        <f>((sales_data_1[[#This Row],[Unit_Price]]*(1-sales_data_1[[#This Row],[Discount]]))-sales_data_1[[#This Row],[Unit_Cost]])*sales_data_1[[#This Row],[Quantity_Sold]]</f>
        <v>127705.51319999999</v>
      </c>
      <c r="O817" s="17" t="s">
        <v>17</v>
      </c>
      <c r="P817" s="26">
        <v>0.14000000000000001</v>
      </c>
      <c r="Q817" s="17" t="s">
        <v>18</v>
      </c>
      <c r="R817" s="17" t="s">
        <v>21</v>
      </c>
      <c r="S817" s="49" t="str">
        <f t="shared" si="38"/>
        <v>Eve-East</v>
      </c>
      <c r="T817" s="59" t="str">
        <f>IF(ROUND(sales_data_1[[#This Row],[Profit_Margin]],2)=ROUND((sales_data_1[[#This Row],[Unit_Price]]*(1-sales_data_1[[#This Row],[Discount]]) - sales_data_1[[#This Row],[Unit_Cost]])*sales_data_1[[#This Row],[Quantity_Sold]],2), "PASS", "CHECK")</f>
        <v>PASS</v>
      </c>
    </row>
    <row r="818" spans="1:20" x14ac:dyDescent="0.35">
      <c r="A818" s="7">
        <v>817</v>
      </c>
      <c r="B818" s="9">
        <v>1053</v>
      </c>
      <c r="C818" s="7" t="str">
        <f>IFERROR(_xlfn.TEXTJOIN("-", TRUE, _xlfn.XLOOKUP(K818, product_category_id_lookup!$A$2:$A$5, product_category_id_lookup!$B$2:$B$5), B818), "Unknown Category")</f>
        <v>ctg-1053</v>
      </c>
      <c r="D818" s="8">
        <v>44827</v>
      </c>
      <c r="E818" s="7">
        <f t="shared" si="36"/>
        <v>2022</v>
      </c>
      <c r="F818" s="28" t="str">
        <f t="shared" si="37"/>
        <v>Sep</v>
      </c>
      <c r="G818" s="17" t="s">
        <v>22</v>
      </c>
      <c r="H818" s="17" t="s">
        <v>15</v>
      </c>
      <c r="I818" s="24">
        <v>39931.976377332401</v>
      </c>
      <c r="J818" s="32">
        <v>9</v>
      </c>
      <c r="K818" s="17" t="s">
        <v>26</v>
      </c>
      <c r="L818" s="24">
        <v>3620.02</v>
      </c>
      <c r="M818" s="24">
        <v>4528.32</v>
      </c>
      <c r="N818" s="34">
        <f>((sales_data_1[[#This Row],[Unit_Price]]*(1-sales_data_1[[#This Row],[Discount]]))-sales_data_1[[#This Row],[Unit_Cost]])*sales_data_1[[#This Row],[Quantity_Sold]]</f>
        <v>7359.6023999999998</v>
      </c>
      <c r="O818" s="17" t="s">
        <v>17</v>
      </c>
      <c r="P818" s="26">
        <v>0.02</v>
      </c>
      <c r="Q818" s="17" t="s">
        <v>28</v>
      </c>
      <c r="R818" s="17" t="s">
        <v>19</v>
      </c>
      <c r="S818" s="49" t="str">
        <f t="shared" si="38"/>
        <v>David-North</v>
      </c>
      <c r="T818" s="59" t="str">
        <f>IF(ROUND(sales_data_1[[#This Row],[Profit_Margin]],2)=ROUND((sales_data_1[[#This Row],[Unit_Price]]*(1-sales_data_1[[#This Row],[Discount]]) - sales_data_1[[#This Row],[Unit_Cost]])*sales_data_1[[#This Row],[Quantity_Sold]],2), "PASS", "CHECK")</f>
        <v>PASS</v>
      </c>
    </row>
    <row r="819" spans="1:20" x14ac:dyDescent="0.35">
      <c r="A819" s="7">
        <v>818</v>
      </c>
      <c r="B819" s="9">
        <v>1018</v>
      </c>
      <c r="C819" s="7" t="str">
        <f>IFERROR(_xlfn.TEXTJOIN("-", TRUE, _xlfn.XLOOKUP(K819, product_category_id_lookup!$A$2:$A$5, product_category_id_lookup!$B$2:$B$5), B819), "Unknown Category")</f>
        <v>fnt-1018</v>
      </c>
      <c r="D819" s="8">
        <v>44827</v>
      </c>
      <c r="E819" s="7">
        <f t="shared" si="36"/>
        <v>2022</v>
      </c>
      <c r="F819" s="28" t="str">
        <f t="shared" si="37"/>
        <v>Sep</v>
      </c>
      <c r="G819" s="17" t="s">
        <v>33</v>
      </c>
      <c r="H819" s="17" t="s">
        <v>15</v>
      </c>
      <c r="I819" s="24">
        <v>127175.07686826268</v>
      </c>
      <c r="J819" s="32">
        <v>35</v>
      </c>
      <c r="K819" s="17" t="s">
        <v>16</v>
      </c>
      <c r="L819" s="24">
        <v>3245.49</v>
      </c>
      <c r="M819" s="24">
        <v>3730.11</v>
      </c>
      <c r="N819" s="34">
        <f>((sales_data_1[[#This Row],[Unit_Price]]*(1-sales_data_1[[#This Row],[Discount]]))-sales_data_1[[#This Row],[Unit_Cost]])*sales_data_1[[#This Row],[Quantity_Sold]]</f>
        <v>13045.084500000014</v>
      </c>
      <c r="O819" s="17" t="s">
        <v>27</v>
      </c>
      <c r="P819" s="26">
        <v>0.03</v>
      </c>
      <c r="Q819" s="17" t="s">
        <v>28</v>
      </c>
      <c r="R819" s="17" t="s">
        <v>21</v>
      </c>
      <c r="S819" s="49" t="str">
        <f t="shared" si="38"/>
        <v>Alice-North</v>
      </c>
      <c r="T819" s="59" t="str">
        <f>IF(ROUND(sales_data_1[[#This Row],[Profit_Margin]],2)=ROUND((sales_data_1[[#This Row],[Unit_Price]]*(1-sales_data_1[[#This Row],[Discount]]) - sales_data_1[[#This Row],[Unit_Cost]])*sales_data_1[[#This Row],[Quantity_Sold]],2), "PASS", "CHECK")</f>
        <v>PASS</v>
      </c>
    </row>
    <row r="820" spans="1:20" x14ac:dyDescent="0.35">
      <c r="A820" s="7">
        <v>819</v>
      </c>
      <c r="B820" s="9">
        <v>1014</v>
      </c>
      <c r="C820" s="7" t="str">
        <f>IFERROR(_xlfn.TEXTJOIN("-", TRUE, _xlfn.XLOOKUP(K820, product_category_id_lookup!$A$2:$A$5, product_category_id_lookup!$B$2:$B$5), B820), "Unknown Category")</f>
        <v>etc-1014</v>
      </c>
      <c r="D820" s="8">
        <v>44827</v>
      </c>
      <c r="E820" s="7">
        <f t="shared" si="36"/>
        <v>2022</v>
      </c>
      <c r="F820" s="28" t="str">
        <f t="shared" si="37"/>
        <v>Sep</v>
      </c>
      <c r="G820" s="17" t="s">
        <v>33</v>
      </c>
      <c r="H820" s="17" t="s">
        <v>30</v>
      </c>
      <c r="I820" s="24">
        <v>109226.28659999999</v>
      </c>
      <c r="J820" s="32">
        <v>37</v>
      </c>
      <c r="K820" s="17" t="s">
        <v>31</v>
      </c>
      <c r="L820" s="24">
        <v>2526.8000000000002</v>
      </c>
      <c r="M820" s="24">
        <v>3432.63</v>
      </c>
      <c r="N820" s="34">
        <f>((sales_data_1[[#This Row],[Unit_Price]]*(1-sales_data_1[[#This Row],[Discount]]))-sales_data_1[[#This Row],[Unit_Cost]])*sales_data_1[[#This Row],[Quantity_Sold]]</f>
        <v>15734.686599999992</v>
      </c>
      <c r="O820" s="17" t="s">
        <v>17</v>
      </c>
      <c r="P820" s="26">
        <v>0.14000000000000001</v>
      </c>
      <c r="Q820" s="17" t="s">
        <v>25</v>
      </c>
      <c r="R820" s="17" t="s">
        <v>21</v>
      </c>
      <c r="S820" s="49" t="str">
        <f t="shared" si="38"/>
        <v>Alice-East</v>
      </c>
      <c r="T820" s="59" t="str">
        <f>IF(ROUND(sales_data_1[[#This Row],[Profit_Margin]],2)=ROUND((sales_data_1[[#This Row],[Unit_Price]]*(1-sales_data_1[[#This Row],[Discount]]) - sales_data_1[[#This Row],[Unit_Cost]])*sales_data_1[[#This Row],[Quantity_Sold]],2), "PASS", "CHECK")</f>
        <v>PASS</v>
      </c>
    </row>
    <row r="821" spans="1:20" x14ac:dyDescent="0.35">
      <c r="A821" s="7">
        <v>820</v>
      </c>
      <c r="B821" s="9">
        <v>1028</v>
      </c>
      <c r="C821" s="7" t="str">
        <f>IFERROR(_xlfn.TEXTJOIN("-", TRUE, _xlfn.XLOOKUP(K821, product_category_id_lookup!$A$2:$A$5, product_category_id_lookup!$B$2:$B$5), B821), "Unknown Category")</f>
        <v>ctg-1028</v>
      </c>
      <c r="D821" s="8">
        <v>44827</v>
      </c>
      <c r="E821" s="7">
        <f t="shared" si="36"/>
        <v>2022</v>
      </c>
      <c r="F821" s="28" t="str">
        <f t="shared" si="37"/>
        <v>Sep</v>
      </c>
      <c r="G821" s="17" t="s">
        <v>22</v>
      </c>
      <c r="H821" s="17" t="s">
        <v>20</v>
      </c>
      <c r="I821" s="24">
        <v>56867.517200000002</v>
      </c>
      <c r="J821" s="32">
        <v>26</v>
      </c>
      <c r="K821" s="17" t="s">
        <v>26</v>
      </c>
      <c r="L821" s="24">
        <v>1510.56</v>
      </c>
      <c r="M821" s="24">
        <v>2543.27</v>
      </c>
      <c r="N821" s="34">
        <f>((sales_data_1[[#This Row],[Unit_Price]]*(1-sales_data_1[[#This Row],[Discount]]))-sales_data_1[[#This Row],[Unit_Cost]])*sales_data_1[[#This Row],[Quantity_Sold]]</f>
        <v>17592.957200000001</v>
      </c>
      <c r="O821" s="17" t="s">
        <v>27</v>
      </c>
      <c r="P821" s="26">
        <v>0.14000000000000001</v>
      </c>
      <c r="Q821" s="17" t="s">
        <v>28</v>
      </c>
      <c r="R821" s="17" t="s">
        <v>19</v>
      </c>
      <c r="S821" s="49" t="str">
        <f t="shared" si="38"/>
        <v>David-West</v>
      </c>
      <c r="T821" s="59" t="str">
        <f>IF(ROUND(sales_data_1[[#This Row],[Profit_Margin]],2)=ROUND((sales_data_1[[#This Row],[Unit_Price]]*(1-sales_data_1[[#This Row],[Discount]]) - sales_data_1[[#This Row],[Unit_Cost]])*sales_data_1[[#This Row],[Quantity_Sold]],2), "PASS", "CHECK")</f>
        <v>PASS</v>
      </c>
    </row>
    <row r="822" spans="1:20" x14ac:dyDescent="0.35">
      <c r="A822" s="7">
        <v>821</v>
      </c>
      <c r="B822" s="9">
        <v>1075</v>
      </c>
      <c r="C822" s="7" t="str">
        <f>IFERROR(_xlfn.TEXTJOIN("-", TRUE, _xlfn.XLOOKUP(K822, product_category_id_lookup!$A$2:$A$5, product_category_id_lookup!$B$2:$B$5), B822), "Unknown Category")</f>
        <v>fd-1075</v>
      </c>
      <c r="D822" s="8">
        <v>44827</v>
      </c>
      <c r="E822" s="7">
        <f t="shared" si="36"/>
        <v>2022</v>
      </c>
      <c r="F822" s="28" t="str">
        <f t="shared" si="37"/>
        <v>Sep</v>
      </c>
      <c r="G822" s="17" t="s">
        <v>22</v>
      </c>
      <c r="H822" s="17" t="s">
        <v>23</v>
      </c>
      <c r="I822" s="24">
        <v>170013.4326</v>
      </c>
      <c r="J822" s="32">
        <v>38</v>
      </c>
      <c r="K822" s="17" t="s">
        <v>24</v>
      </c>
      <c r="L822" s="24">
        <v>2368.14</v>
      </c>
      <c r="M822" s="24">
        <v>4519.2299999999996</v>
      </c>
      <c r="N822" s="34">
        <f>((sales_data_1[[#This Row],[Unit_Price]]*(1-sales_data_1[[#This Row],[Discount]]))-sales_data_1[[#This Row],[Unit_Cost]])*sales_data_1[[#This Row],[Quantity_Sold]]</f>
        <v>80024.112599999993</v>
      </c>
      <c r="O822" s="17" t="s">
        <v>27</v>
      </c>
      <c r="P822" s="26">
        <v>0.01</v>
      </c>
      <c r="Q822" s="17" t="s">
        <v>25</v>
      </c>
      <c r="R822" s="17" t="s">
        <v>19</v>
      </c>
      <c r="S822" s="49" t="str">
        <f t="shared" si="38"/>
        <v>David-South</v>
      </c>
      <c r="T822" s="59" t="str">
        <f>IF(ROUND(sales_data_1[[#This Row],[Profit_Margin]],2)=ROUND((sales_data_1[[#This Row],[Unit_Price]]*(1-sales_data_1[[#This Row],[Discount]]) - sales_data_1[[#This Row],[Unit_Cost]])*sales_data_1[[#This Row],[Quantity_Sold]],2), "PASS", "CHECK")</f>
        <v>PASS</v>
      </c>
    </row>
    <row r="823" spans="1:20" x14ac:dyDescent="0.35">
      <c r="A823" s="7">
        <v>822</v>
      </c>
      <c r="B823" s="9">
        <v>1080</v>
      </c>
      <c r="C823" s="7" t="str">
        <f>IFERROR(_xlfn.TEXTJOIN("-", TRUE, _xlfn.XLOOKUP(K823, product_category_id_lookup!$A$2:$A$5, product_category_id_lookup!$B$2:$B$5), B823), "Unknown Category")</f>
        <v>etc-1080</v>
      </c>
      <c r="D823" s="8">
        <v>44828</v>
      </c>
      <c r="E823" s="7">
        <f t="shared" si="36"/>
        <v>2022</v>
      </c>
      <c r="F823" s="28" t="str">
        <f t="shared" si="37"/>
        <v>Sep</v>
      </c>
      <c r="G823" s="17" t="s">
        <v>33</v>
      </c>
      <c r="H823" s="17" t="s">
        <v>23</v>
      </c>
      <c r="I823" s="24">
        <v>6462.5</v>
      </c>
      <c r="J823" s="32">
        <v>5</v>
      </c>
      <c r="K823" s="17" t="s">
        <v>31</v>
      </c>
      <c r="L823" s="24">
        <v>611.88</v>
      </c>
      <c r="M823" s="24">
        <v>1468.75</v>
      </c>
      <c r="N823" s="34">
        <f>((sales_data_1[[#This Row],[Unit_Price]]*(1-sales_data_1[[#This Row],[Discount]]))-sales_data_1[[#This Row],[Unit_Cost]])*sales_data_1[[#This Row],[Quantity_Sold]]</f>
        <v>3403.1</v>
      </c>
      <c r="O823" s="17" t="s">
        <v>17</v>
      </c>
      <c r="P823" s="26">
        <v>0.12</v>
      </c>
      <c r="Q823" s="17" t="s">
        <v>28</v>
      </c>
      <c r="R823" s="17" t="s">
        <v>19</v>
      </c>
      <c r="S823" s="49" t="str">
        <f t="shared" si="38"/>
        <v>Alice-South</v>
      </c>
      <c r="T823" s="59" t="str">
        <f>IF(ROUND(sales_data_1[[#This Row],[Profit_Margin]],2)=ROUND((sales_data_1[[#This Row],[Unit_Price]]*(1-sales_data_1[[#This Row],[Discount]]) - sales_data_1[[#This Row],[Unit_Cost]])*sales_data_1[[#This Row],[Quantity_Sold]],2), "PASS", "CHECK")</f>
        <v>PASS</v>
      </c>
    </row>
    <row r="824" spans="1:20" x14ac:dyDescent="0.35">
      <c r="A824" s="7">
        <v>823</v>
      </c>
      <c r="B824" s="9">
        <v>1040</v>
      </c>
      <c r="C824" s="7" t="str">
        <f>IFERROR(_xlfn.TEXTJOIN("-", TRUE, _xlfn.XLOOKUP(K824, product_category_id_lookup!$A$2:$A$5, product_category_id_lookup!$B$2:$B$5), B824), "Unknown Category")</f>
        <v>etc-1040</v>
      </c>
      <c r="D824" s="8">
        <v>44828</v>
      </c>
      <c r="E824" s="7">
        <f t="shared" si="36"/>
        <v>2022</v>
      </c>
      <c r="F824" s="28" t="str">
        <f t="shared" si="37"/>
        <v>Sep</v>
      </c>
      <c r="G824" s="17" t="s">
        <v>22</v>
      </c>
      <c r="H824" s="17" t="s">
        <v>20</v>
      </c>
      <c r="I824" s="24">
        <v>116888.40418492179</v>
      </c>
      <c r="J824" s="32">
        <v>23</v>
      </c>
      <c r="K824" s="17" t="s">
        <v>31</v>
      </c>
      <c r="L824" s="24">
        <v>4884.8599999999997</v>
      </c>
      <c r="M824" s="24">
        <v>5245.18</v>
      </c>
      <c r="N824" s="34">
        <f>((sales_data_1[[#This Row],[Unit_Price]]*(1-sales_data_1[[#This Row],[Discount]]))-sales_data_1[[#This Row],[Unit_Cost]])*sales_data_1[[#This Row],[Quantity_Sold]]</f>
        <v>4668.1858000000057</v>
      </c>
      <c r="O824" s="17" t="s">
        <v>17</v>
      </c>
      <c r="P824" s="26">
        <v>0.03</v>
      </c>
      <c r="Q824" s="17" t="s">
        <v>18</v>
      </c>
      <c r="R824" s="17" t="s">
        <v>19</v>
      </c>
      <c r="S824" s="49" t="str">
        <f t="shared" si="38"/>
        <v>David-West</v>
      </c>
      <c r="T824" s="59" t="str">
        <f>IF(ROUND(sales_data_1[[#This Row],[Profit_Margin]],2)=ROUND((sales_data_1[[#This Row],[Unit_Price]]*(1-sales_data_1[[#This Row],[Discount]]) - sales_data_1[[#This Row],[Unit_Cost]])*sales_data_1[[#This Row],[Quantity_Sold]],2), "PASS", "CHECK")</f>
        <v>PASS</v>
      </c>
    </row>
    <row r="825" spans="1:20" x14ac:dyDescent="0.35">
      <c r="A825" s="7">
        <v>824</v>
      </c>
      <c r="B825" s="9">
        <v>1007</v>
      </c>
      <c r="C825" s="7" t="str">
        <f>IFERROR(_xlfn.TEXTJOIN("-", TRUE, _xlfn.XLOOKUP(K825, product_category_id_lookup!$A$2:$A$5, product_category_id_lookup!$B$2:$B$5), B825), "Unknown Category")</f>
        <v>etc-1007</v>
      </c>
      <c r="D825" s="8">
        <v>44828</v>
      </c>
      <c r="E825" s="7">
        <f t="shared" si="36"/>
        <v>2022</v>
      </c>
      <c r="F825" s="28" t="str">
        <f t="shared" si="37"/>
        <v>Sep</v>
      </c>
      <c r="G825" s="17" t="s">
        <v>33</v>
      </c>
      <c r="H825" s="17" t="s">
        <v>20</v>
      </c>
      <c r="I825" s="24">
        <v>44552.678399999997</v>
      </c>
      <c r="J825" s="32">
        <v>16</v>
      </c>
      <c r="K825" s="17" t="s">
        <v>31</v>
      </c>
      <c r="L825" s="24">
        <v>1934.9</v>
      </c>
      <c r="M825" s="24">
        <v>3867.42</v>
      </c>
      <c r="N825" s="34">
        <f>((sales_data_1[[#This Row],[Unit_Price]]*(1-sales_data_1[[#This Row],[Discount]]))-sales_data_1[[#This Row],[Unit_Cost]])*sales_data_1[[#This Row],[Quantity_Sold]]</f>
        <v>13594.278399999996</v>
      </c>
      <c r="O825" s="17" t="s">
        <v>27</v>
      </c>
      <c r="P825" s="26">
        <v>0.28000000000000003</v>
      </c>
      <c r="Q825" s="17" t="s">
        <v>25</v>
      </c>
      <c r="R825" s="17" t="s">
        <v>21</v>
      </c>
      <c r="S825" s="49" t="str">
        <f t="shared" si="38"/>
        <v>Alice-West</v>
      </c>
      <c r="T825" s="59" t="str">
        <f>IF(ROUND(sales_data_1[[#This Row],[Profit_Margin]],2)=ROUND((sales_data_1[[#This Row],[Unit_Price]]*(1-sales_data_1[[#This Row],[Discount]]) - sales_data_1[[#This Row],[Unit_Cost]])*sales_data_1[[#This Row],[Quantity_Sold]],2), "PASS", "CHECK")</f>
        <v>PASS</v>
      </c>
    </row>
    <row r="826" spans="1:20" x14ac:dyDescent="0.35">
      <c r="A826" s="7">
        <v>825</v>
      </c>
      <c r="B826" s="9">
        <v>1049</v>
      </c>
      <c r="C826" s="7" t="str">
        <f>IFERROR(_xlfn.TEXTJOIN("-", TRUE, _xlfn.XLOOKUP(K826, product_category_id_lookup!$A$2:$A$5, product_category_id_lookup!$B$2:$B$5), B826), "Unknown Category")</f>
        <v>fnt-1049</v>
      </c>
      <c r="D826" s="8">
        <v>44828</v>
      </c>
      <c r="E826" s="7">
        <f t="shared" si="36"/>
        <v>2022</v>
      </c>
      <c r="F826" s="28" t="str">
        <f t="shared" si="37"/>
        <v>Sep</v>
      </c>
      <c r="G826" s="17" t="s">
        <v>32</v>
      </c>
      <c r="H826" s="17" t="s">
        <v>30</v>
      </c>
      <c r="I826" s="24">
        <v>47944.079999999994</v>
      </c>
      <c r="J826" s="32">
        <v>34</v>
      </c>
      <c r="K826" s="17" t="s">
        <v>16</v>
      </c>
      <c r="L826" s="24">
        <v>193.83</v>
      </c>
      <c r="M826" s="24">
        <v>1958.5</v>
      </c>
      <c r="N826" s="34">
        <f>((sales_data_1[[#This Row],[Unit_Price]]*(1-sales_data_1[[#This Row],[Discount]]))-sales_data_1[[#This Row],[Unit_Cost]])*sales_data_1[[#This Row],[Quantity_Sold]]</f>
        <v>41353.86</v>
      </c>
      <c r="O826" s="17" t="s">
        <v>27</v>
      </c>
      <c r="P826" s="26">
        <v>0.28000000000000003</v>
      </c>
      <c r="Q826" s="17" t="s">
        <v>18</v>
      </c>
      <c r="R826" s="17" t="s">
        <v>21</v>
      </c>
      <c r="S826" s="49" t="str">
        <f t="shared" si="38"/>
        <v>Eve-East</v>
      </c>
      <c r="T826" s="59" t="str">
        <f>IF(ROUND(sales_data_1[[#This Row],[Profit_Margin]],2)=ROUND((sales_data_1[[#This Row],[Unit_Price]]*(1-sales_data_1[[#This Row],[Discount]]) - sales_data_1[[#This Row],[Unit_Cost]])*sales_data_1[[#This Row],[Quantity_Sold]],2), "PASS", "CHECK")</f>
        <v>PASS</v>
      </c>
    </row>
    <row r="827" spans="1:20" x14ac:dyDescent="0.35">
      <c r="A827" s="7">
        <v>826</v>
      </c>
      <c r="B827" s="9">
        <v>1058</v>
      </c>
      <c r="C827" s="7" t="str">
        <f>IFERROR(_xlfn.TEXTJOIN("-", TRUE, _xlfn.XLOOKUP(K827, product_category_id_lookup!$A$2:$A$5, product_category_id_lookup!$B$2:$B$5), B827), "Unknown Category")</f>
        <v>fnt-1058</v>
      </c>
      <c r="D827" s="8">
        <v>44829</v>
      </c>
      <c r="E827" s="7">
        <f t="shared" si="36"/>
        <v>2022</v>
      </c>
      <c r="F827" s="28" t="str">
        <f t="shared" si="37"/>
        <v>Sep</v>
      </c>
      <c r="G827" s="17" t="s">
        <v>33</v>
      </c>
      <c r="H827" s="17" t="s">
        <v>20</v>
      </c>
      <c r="I827" s="24">
        <v>52832.973399999995</v>
      </c>
      <c r="J827" s="32">
        <v>37</v>
      </c>
      <c r="K827" s="17" t="s">
        <v>16</v>
      </c>
      <c r="L827" s="24">
        <v>1312.51</v>
      </c>
      <c r="M827" s="24">
        <v>1660.37</v>
      </c>
      <c r="N827" s="34">
        <f>((sales_data_1[[#This Row],[Unit_Price]]*(1-sales_data_1[[#This Row],[Discount]]))-sales_data_1[[#This Row],[Unit_Cost]])*sales_data_1[[#This Row],[Quantity_Sold]]</f>
        <v>4270.1033999999945</v>
      </c>
      <c r="O827" s="17" t="s">
        <v>27</v>
      </c>
      <c r="P827" s="26">
        <v>0.14000000000000001</v>
      </c>
      <c r="Q827" s="17" t="s">
        <v>25</v>
      </c>
      <c r="R827" s="17" t="s">
        <v>19</v>
      </c>
      <c r="S827" s="49" t="str">
        <f t="shared" si="38"/>
        <v>Alice-West</v>
      </c>
      <c r="T827" s="59" t="str">
        <f>IF(ROUND(sales_data_1[[#This Row],[Profit_Margin]],2)=ROUND((sales_data_1[[#This Row],[Unit_Price]]*(1-sales_data_1[[#This Row],[Discount]]) - sales_data_1[[#This Row],[Unit_Cost]])*sales_data_1[[#This Row],[Quantity_Sold]],2), "PASS", "CHECK")</f>
        <v>PASS</v>
      </c>
    </row>
    <row r="828" spans="1:20" x14ac:dyDescent="0.35">
      <c r="A828" s="7">
        <v>827</v>
      </c>
      <c r="B828" s="9">
        <v>1064</v>
      </c>
      <c r="C828" s="7" t="str">
        <f>IFERROR(_xlfn.TEXTJOIN("-", TRUE, _xlfn.XLOOKUP(K828, product_category_id_lookup!$A$2:$A$5, product_category_id_lookup!$B$2:$B$5), B828), "Unknown Category")</f>
        <v>fd-1064</v>
      </c>
      <c r="D828" s="8">
        <v>44829</v>
      </c>
      <c r="E828" s="7">
        <f t="shared" si="36"/>
        <v>2022</v>
      </c>
      <c r="F828" s="28" t="str">
        <f t="shared" si="37"/>
        <v>Sep</v>
      </c>
      <c r="G828" s="17" t="s">
        <v>14</v>
      </c>
      <c r="H828" s="17" t="s">
        <v>15</v>
      </c>
      <c r="I828" s="24">
        <v>34754.540799999995</v>
      </c>
      <c r="J828" s="32">
        <v>16</v>
      </c>
      <c r="K828" s="17" t="s">
        <v>24</v>
      </c>
      <c r="L828" s="24">
        <v>1811.45</v>
      </c>
      <c r="M828" s="24">
        <v>2975.56</v>
      </c>
      <c r="N828" s="34">
        <f>((sales_data_1[[#This Row],[Unit_Price]]*(1-sales_data_1[[#This Row],[Discount]]))-sales_data_1[[#This Row],[Unit_Cost]])*sales_data_1[[#This Row],[Quantity_Sold]]</f>
        <v>5771.3407999999945</v>
      </c>
      <c r="O828" s="17" t="s">
        <v>17</v>
      </c>
      <c r="P828" s="26">
        <v>0.27</v>
      </c>
      <c r="Q828" s="17" t="s">
        <v>25</v>
      </c>
      <c r="R828" s="17" t="s">
        <v>21</v>
      </c>
      <c r="S828" s="49" t="str">
        <f t="shared" si="38"/>
        <v>Bob-North</v>
      </c>
      <c r="T828" s="59" t="str">
        <f>IF(ROUND(sales_data_1[[#This Row],[Profit_Margin]],2)=ROUND((sales_data_1[[#This Row],[Unit_Price]]*(1-sales_data_1[[#This Row],[Discount]]) - sales_data_1[[#This Row],[Unit_Cost]])*sales_data_1[[#This Row],[Quantity_Sold]],2), "PASS", "CHECK")</f>
        <v>PASS</v>
      </c>
    </row>
    <row r="829" spans="1:20" x14ac:dyDescent="0.35">
      <c r="A829" s="7">
        <v>828</v>
      </c>
      <c r="B829" s="9">
        <v>1043</v>
      </c>
      <c r="C829" s="7" t="str">
        <f>IFERROR(_xlfn.TEXTJOIN("-", TRUE, _xlfn.XLOOKUP(K829, product_category_id_lookup!$A$2:$A$5, product_category_id_lookup!$B$2:$B$5), B829), "Unknown Category")</f>
        <v>ctg-1043</v>
      </c>
      <c r="D829" s="8">
        <v>44830</v>
      </c>
      <c r="E829" s="7">
        <f t="shared" si="36"/>
        <v>2022</v>
      </c>
      <c r="F829" s="28" t="str">
        <f t="shared" si="37"/>
        <v>Sep</v>
      </c>
      <c r="G829" s="17" t="s">
        <v>29</v>
      </c>
      <c r="H829" s="17" t="s">
        <v>20</v>
      </c>
      <c r="I829" s="24">
        <v>22554.784800000001</v>
      </c>
      <c r="J829" s="32">
        <v>9</v>
      </c>
      <c r="K829" s="17" t="s">
        <v>26</v>
      </c>
      <c r="L829" s="24">
        <v>1145.3599999999999</v>
      </c>
      <c r="M829" s="24">
        <v>2880.56</v>
      </c>
      <c r="N829" s="34">
        <f>((sales_data_1[[#This Row],[Unit_Price]]*(1-sales_data_1[[#This Row],[Discount]]))-sales_data_1[[#This Row],[Unit_Cost]])*sales_data_1[[#This Row],[Quantity_Sold]]</f>
        <v>12246.5448</v>
      </c>
      <c r="O829" s="17" t="s">
        <v>17</v>
      </c>
      <c r="P829" s="26">
        <v>0.13</v>
      </c>
      <c r="Q829" s="17" t="s">
        <v>25</v>
      </c>
      <c r="R829" s="17" t="s">
        <v>19</v>
      </c>
      <c r="S829" s="49" t="str">
        <f t="shared" si="38"/>
        <v>Charlie-West</v>
      </c>
      <c r="T829" s="59" t="str">
        <f>IF(ROUND(sales_data_1[[#This Row],[Profit_Margin]],2)=ROUND((sales_data_1[[#This Row],[Unit_Price]]*(1-sales_data_1[[#This Row],[Discount]]) - sales_data_1[[#This Row],[Unit_Cost]])*sales_data_1[[#This Row],[Quantity_Sold]],2), "PASS", "CHECK")</f>
        <v>PASS</v>
      </c>
    </row>
    <row r="830" spans="1:20" x14ac:dyDescent="0.35">
      <c r="A830" s="7">
        <v>829</v>
      </c>
      <c r="B830" s="9">
        <v>1064</v>
      </c>
      <c r="C830" s="7" t="str">
        <f>IFERROR(_xlfn.TEXTJOIN("-", TRUE, _xlfn.XLOOKUP(K830, product_category_id_lookup!$A$2:$A$5, product_category_id_lookup!$B$2:$B$5), B830), "Unknown Category")</f>
        <v>ctg-1064</v>
      </c>
      <c r="D830" s="8">
        <v>44831</v>
      </c>
      <c r="E830" s="7">
        <f t="shared" si="36"/>
        <v>2022</v>
      </c>
      <c r="F830" s="28" t="str">
        <f t="shared" si="37"/>
        <v>Sep</v>
      </c>
      <c r="G830" s="17" t="s">
        <v>22</v>
      </c>
      <c r="H830" s="17" t="s">
        <v>15</v>
      </c>
      <c r="I830" s="24">
        <v>72750.646800000002</v>
      </c>
      <c r="J830" s="32">
        <v>26</v>
      </c>
      <c r="K830" s="17" t="s">
        <v>26</v>
      </c>
      <c r="L830" s="24">
        <v>2139.27</v>
      </c>
      <c r="M830" s="24">
        <v>3587.31</v>
      </c>
      <c r="N830" s="34">
        <f>((sales_data_1[[#This Row],[Unit_Price]]*(1-sales_data_1[[#This Row],[Discount]]))-sales_data_1[[#This Row],[Unit_Cost]])*sales_data_1[[#This Row],[Quantity_Sold]]</f>
        <v>17129.626799999998</v>
      </c>
      <c r="O830" s="17" t="s">
        <v>27</v>
      </c>
      <c r="P830" s="26">
        <v>0.22</v>
      </c>
      <c r="Q830" s="17" t="s">
        <v>28</v>
      </c>
      <c r="R830" s="17" t="s">
        <v>21</v>
      </c>
      <c r="S830" s="49" t="str">
        <f t="shared" si="38"/>
        <v>David-North</v>
      </c>
      <c r="T830" s="59" t="str">
        <f>IF(ROUND(sales_data_1[[#This Row],[Profit_Margin]],2)=ROUND((sales_data_1[[#This Row],[Unit_Price]]*(1-sales_data_1[[#This Row],[Discount]]) - sales_data_1[[#This Row],[Unit_Cost]])*sales_data_1[[#This Row],[Quantity_Sold]],2), "PASS", "CHECK")</f>
        <v>PASS</v>
      </c>
    </row>
    <row r="831" spans="1:20" x14ac:dyDescent="0.35">
      <c r="A831" s="7">
        <v>830</v>
      </c>
      <c r="B831" s="9">
        <v>1019</v>
      </c>
      <c r="C831" s="7" t="str">
        <f>IFERROR(_xlfn.TEXTJOIN("-", TRUE, _xlfn.XLOOKUP(K831, product_category_id_lookup!$A$2:$A$5, product_category_id_lookup!$B$2:$B$5), B831), "Unknown Category")</f>
        <v>etc-1019</v>
      </c>
      <c r="D831" s="8">
        <v>44832</v>
      </c>
      <c r="E831" s="7">
        <f t="shared" si="36"/>
        <v>2022</v>
      </c>
      <c r="F831" s="28" t="str">
        <f t="shared" si="37"/>
        <v>Sep</v>
      </c>
      <c r="G831" s="17" t="s">
        <v>14</v>
      </c>
      <c r="H831" s="17" t="s">
        <v>23</v>
      </c>
      <c r="I831" s="24">
        <v>87697.584000000003</v>
      </c>
      <c r="J831" s="32">
        <v>26</v>
      </c>
      <c r="K831" s="17" t="s">
        <v>31</v>
      </c>
      <c r="L831" s="24">
        <v>2405.7199999999998</v>
      </c>
      <c r="M831" s="24">
        <v>3747.76</v>
      </c>
      <c r="N831" s="34">
        <f>((sales_data_1[[#This Row],[Unit_Price]]*(1-sales_data_1[[#This Row],[Discount]]))-sales_data_1[[#This Row],[Unit_Cost]])*sales_data_1[[#This Row],[Quantity_Sold]]</f>
        <v>25148.864000000016</v>
      </c>
      <c r="O831" s="17" t="s">
        <v>27</v>
      </c>
      <c r="P831" s="26">
        <v>0.1</v>
      </c>
      <c r="Q831" s="17" t="s">
        <v>25</v>
      </c>
      <c r="R831" s="17" t="s">
        <v>19</v>
      </c>
      <c r="S831" s="49" t="str">
        <f t="shared" si="38"/>
        <v>Bob-South</v>
      </c>
      <c r="T831" s="59" t="str">
        <f>IF(ROUND(sales_data_1[[#This Row],[Profit_Margin]],2)=ROUND((sales_data_1[[#This Row],[Unit_Price]]*(1-sales_data_1[[#This Row],[Discount]]) - sales_data_1[[#This Row],[Unit_Cost]])*sales_data_1[[#This Row],[Quantity_Sold]],2), "PASS", "CHECK")</f>
        <v>PASS</v>
      </c>
    </row>
    <row r="832" spans="1:20" x14ac:dyDescent="0.35">
      <c r="A832" s="7">
        <v>831</v>
      </c>
      <c r="B832" s="9">
        <v>1050</v>
      </c>
      <c r="C832" s="7" t="str">
        <f>IFERROR(_xlfn.TEXTJOIN("-", TRUE, _xlfn.XLOOKUP(K832, product_category_id_lookup!$A$2:$A$5, product_category_id_lookup!$B$2:$B$5), B832), "Unknown Category")</f>
        <v>fd-1050</v>
      </c>
      <c r="D832" s="8">
        <v>44832</v>
      </c>
      <c r="E832" s="7">
        <f t="shared" si="36"/>
        <v>2022</v>
      </c>
      <c r="F832" s="28" t="str">
        <f t="shared" si="37"/>
        <v>Sep</v>
      </c>
      <c r="G832" s="17" t="s">
        <v>14</v>
      </c>
      <c r="H832" s="17" t="s">
        <v>15</v>
      </c>
      <c r="I832" s="24">
        <v>140069.4768</v>
      </c>
      <c r="J832" s="32">
        <v>44</v>
      </c>
      <c r="K832" s="17" t="s">
        <v>24</v>
      </c>
      <c r="L832" s="24">
        <v>939.34</v>
      </c>
      <c r="M832" s="24">
        <v>3930.12</v>
      </c>
      <c r="N832" s="34">
        <f>((sales_data_1[[#This Row],[Unit_Price]]*(1-sales_data_1[[#This Row],[Discount]]))-sales_data_1[[#This Row],[Unit_Cost]])*sales_data_1[[#This Row],[Quantity_Sold]]</f>
        <v>98738.516800000012</v>
      </c>
      <c r="O832" s="17" t="s">
        <v>27</v>
      </c>
      <c r="P832" s="26">
        <v>0.19</v>
      </c>
      <c r="Q832" s="17" t="s">
        <v>18</v>
      </c>
      <c r="R832" s="17" t="s">
        <v>19</v>
      </c>
      <c r="S832" s="49" t="str">
        <f t="shared" si="38"/>
        <v>Bob-North</v>
      </c>
      <c r="T832" s="59" t="str">
        <f>IF(ROUND(sales_data_1[[#This Row],[Profit_Margin]],2)=ROUND((sales_data_1[[#This Row],[Unit_Price]]*(1-sales_data_1[[#This Row],[Discount]]) - sales_data_1[[#This Row],[Unit_Cost]])*sales_data_1[[#This Row],[Quantity_Sold]],2), "PASS", "CHECK")</f>
        <v>PASS</v>
      </c>
    </row>
    <row r="833" spans="1:20" x14ac:dyDescent="0.35">
      <c r="A833" s="7">
        <v>832</v>
      </c>
      <c r="B833" s="9">
        <v>1026</v>
      </c>
      <c r="C833" s="7" t="str">
        <f>IFERROR(_xlfn.TEXTJOIN("-", TRUE, _xlfn.XLOOKUP(K833, product_category_id_lookup!$A$2:$A$5, product_category_id_lookup!$B$2:$B$5), B833), "Unknown Category")</f>
        <v>ctg-1026</v>
      </c>
      <c r="D833" s="8">
        <v>44833</v>
      </c>
      <c r="E833" s="7">
        <f t="shared" si="36"/>
        <v>2022</v>
      </c>
      <c r="F833" s="28" t="str">
        <f t="shared" si="37"/>
        <v>Sep</v>
      </c>
      <c r="G833" s="17" t="s">
        <v>33</v>
      </c>
      <c r="H833" s="17" t="s">
        <v>23</v>
      </c>
      <c r="I833" s="24">
        <v>6866.2691999999997</v>
      </c>
      <c r="J833" s="32">
        <v>2</v>
      </c>
      <c r="K833" s="17" t="s">
        <v>26</v>
      </c>
      <c r="L833" s="24">
        <v>2294.64</v>
      </c>
      <c r="M833" s="24">
        <v>4345.74</v>
      </c>
      <c r="N833" s="34">
        <f>((sales_data_1[[#This Row],[Unit_Price]]*(1-sales_data_1[[#This Row],[Discount]]))-sales_data_1[[#This Row],[Unit_Cost]])*sales_data_1[[#This Row],[Quantity_Sold]]</f>
        <v>2276.9892</v>
      </c>
      <c r="O833" s="17" t="s">
        <v>27</v>
      </c>
      <c r="P833" s="26">
        <v>0.21</v>
      </c>
      <c r="Q833" s="17" t="s">
        <v>25</v>
      </c>
      <c r="R833" s="17" t="s">
        <v>21</v>
      </c>
      <c r="S833" s="49" t="str">
        <f t="shared" si="38"/>
        <v>Alice-South</v>
      </c>
      <c r="T833" s="59" t="str">
        <f>IF(ROUND(sales_data_1[[#This Row],[Profit_Margin]],2)=ROUND((sales_data_1[[#This Row],[Unit_Price]]*(1-sales_data_1[[#This Row],[Discount]]) - sales_data_1[[#This Row],[Unit_Cost]])*sales_data_1[[#This Row],[Quantity_Sold]],2), "PASS", "CHECK")</f>
        <v>PASS</v>
      </c>
    </row>
    <row r="834" spans="1:20" x14ac:dyDescent="0.35">
      <c r="A834" s="7">
        <v>833</v>
      </c>
      <c r="B834" s="9">
        <v>1015</v>
      </c>
      <c r="C834" s="7" t="str">
        <f>IFERROR(_xlfn.TEXTJOIN("-", TRUE, _xlfn.XLOOKUP(K834, product_category_id_lookup!$A$2:$A$5, product_category_id_lookup!$B$2:$B$5), B834), "Unknown Category")</f>
        <v>fd-1015</v>
      </c>
      <c r="D834" s="8">
        <v>44834</v>
      </c>
      <c r="E834" s="7">
        <f t="shared" ref="E834:E897" si="39">YEAR(D834)</f>
        <v>2022</v>
      </c>
      <c r="F834" s="28" t="str">
        <f t="shared" ref="F834:F897" si="40">LEFT(TEXT(D834,"mmmm"),3)</f>
        <v>Sep</v>
      </c>
      <c r="G834" s="17" t="s">
        <v>33</v>
      </c>
      <c r="H834" s="17" t="s">
        <v>20</v>
      </c>
      <c r="I834" s="24">
        <v>29701.7199</v>
      </c>
      <c r="J834" s="32">
        <v>9</v>
      </c>
      <c r="K834" s="17" t="s">
        <v>24</v>
      </c>
      <c r="L834" s="24">
        <v>1396.33</v>
      </c>
      <c r="M834" s="24">
        <v>4074.31</v>
      </c>
      <c r="N834" s="34">
        <f>((sales_data_1[[#This Row],[Unit_Price]]*(1-sales_data_1[[#This Row],[Discount]]))-sales_data_1[[#This Row],[Unit_Cost]])*sales_data_1[[#This Row],[Quantity_Sold]]</f>
        <v>17134.749900000003</v>
      </c>
      <c r="O834" s="17" t="s">
        <v>27</v>
      </c>
      <c r="P834" s="26">
        <v>0.19</v>
      </c>
      <c r="Q834" s="17" t="s">
        <v>25</v>
      </c>
      <c r="R834" s="17" t="s">
        <v>19</v>
      </c>
      <c r="S834" s="49" t="str">
        <f t="shared" ref="S834:S897" si="41">_xlfn.CONCAT(G834,"-",H834)</f>
        <v>Alice-West</v>
      </c>
      <c r="T834" s="59" t="str">
        <f>IF(ROUND(sales_data_1[[#This Row],[Profit_Margin]],2)=ROUND((sales_data_1[[#This Row],[Unit_Price]]*(1-sales_data_1[[#This Row],[Discount]]) - sales_data_1[[#This Row],[Unit_Cost]])*sales_data_1[[#This Row],[Quantity_Sold]],2), "PASS", "CHECK")</f>
        <v>PASS</v>
      </c>
    </row>
    <row r="835" spans="1:20" x14ac:dyDescent="0.35">
      <c r="A835" s="7">
        <v>834</v>
      </c>
      <c r="B835" s="9">
        <v>1085</v>
      </c>
      <c r="C835" s="7" t="str">
        <f>IFERROR(_xlfn.TEXTJOIN("-", TRUE, _xlfn.XLOOKUP(K835, product_category_id_lookup!$A$2:$A$5, product_category_id_lookup!$B$2:$B$5), B835), "Unknown Category")</f>
        <v>fd-1085</v>
      </c>
      <c r="D835" s="8">
        <v>44835</v>
      </c>
      <c r="E835" s="7">
        <f t="shared" si="39"/>
        <v>2022</v>
      </c>
      <c r="F835" s="28" t="str">
        <f t="shared" si="40"/>
        <v>Oct</v>
      </c>
      <c r="G835" s="17" t="s">
        <v>14</v>
      </c>
      <c r="H835" s="17" t="s">
        <v>15</v>
      </c>
      <c r="I835" s="24">
        <v>196735.77869997019</v>
      </c>
      <c r="J835" s="32">
        <v>50</v>
      </c>
      <c r="K835" s="17" t="s">
        <v>24</v>
      </c>
      <c r="L835" s="24">
        <v>3893.29</v>
      </c>
      <c r="M835" s="24">
        <v>3946.34</v>
      </c>
      <c r="N835" s="34">
        <f>((sales_data_1[[#This Row],[Unit_Price]]*(1-sales_data_1[[#This Row],[Discount]]))-sales_data_1[[#This Row],[Unit_Cost]])*sales_data_1[[#This Row],[Quantity_Sold]]</f>
        <v>2652.5000000000091</v>
      </c>
      <c r="O835" s="17" t="s">
        <v>17</v>
      </c>
      <c r="P835" s="26">
        <v>0</v>
      </c>
      <c r="Q835" s="17" t="s">
        <v>18</v>
      </c>
      <c r="R835" s="17" t="s">
        <v>19</v>
      </c>
      <c r="S835" s="49" t="str">
        <f t="shared" si="41"/>
        <v>Bob-North</v>
      </c>
      <c r="T835" s="59" t="str">
        <f>IF(ROUND(sales_data_1[[#This Row],[Profit_Margin]],2)=ROUND((sales_data_1[[#This Row],[Unit_Price]]*(1-sales_data_1[[#This Row],[Discount]]) - sales_data_1[[#This Row],[Unit_Cost]])*sales_data_1[[#This Row],[Quantity_Sold]],2), "PASS", "CHECK")</f>
        <v>PASS</v>
      </c>
    </row>
    <row r="836" spans="1:20" x14ac:dyDescent="0.35">
      <c r="A836" s="7">
        <v>835</v>
      </c>
      <c r="B836" s="9">
        <v>1038</v>
      </c>
      <c r="C836" s="7" t="str">
        <f>IFERROR(_xlfn.TEXTJOIN("-", TRUE, _xlfn.XLOOKUP(K836, product_category_id_lookup!$A$2:$A$5, product_category_id_lookup!$B$2:$B$5), B836), "Unknown Category")</f>
        <v>fnt-1038</v>
      </c>
      <c r="D836" s="8">
        <v>44835</v>
      </c>
      <c r="E836" s="7">
        <f t="shared" si="39"/>
        <v>2022</v>
      </c>
      <c r="F836" s="28" t="str">
        <f t="shared" si="40"/>
        <v>Oct</v>
      </c>
      <c r="G836" s="17" t="s">
        <v>22</v>
      </c>
      <c r="H836" s="17" t="s">
        <v>30</v>
      </c>
      <c r="I836" s="24">
        <v>18702.84</v>
      </c>
      <c r="J836" s="32">
        <v>10</v>
      </c>
      <c r="K836" s="17" t="s">
        <v>16</v>
      </c>
      <c r="L836" s="24">
        <v>791.89</v>
      </c>
      <c r="M836" s="24">
        <v>2397.8000000000002</v>
      </c>
      <c r="N836" s="34">
        <f>((sales_data_1[[#This Row],[Unit_Price]]*(1-sales_data_1[[#This Row],[Discount]]))-sales_data_1[[#This Row],[Unit_Cost]])*sales_data_1[[#This Row],[Quantity_Sold]]</f>
        <v>10783.940000000002</v>
      </c>
      <c r="O836" s="17" t="s">
        <v>17</v>
      </c>
      <c r="P836" s="26">
        <v>0.22</v>
      </c>
      <c r="Q836" s="17" t="s">
        <v>25</v>
      </c>
      <c r="R836" s="17" t="s">
        <v>21</v>
      </c>
      <c r="S836" s="49" t="str">
        <f t="shared" si="41"/>
        <v>David-East</v>
      </c>
      <c r="T836" s="59" t="str">
        <f>IF(ROUND(sales_data_1[[#This Row],[Profit_Margin]],2)=ROUND((sales_data_1[[#This Row],[Unit_Price]]*(1-sales_data_1[[#This Row],[Discount]]) - sales_data_1[[#This Row],[Unit_Cost]])*sales_data_1[[#This Row],[Quantity_Sold]],2), "PASS", "CHECK")</f>
        <v>PASS</v>
      </c>
    </row>
    <row r="837" spans="1:20" x14ac:dyDescent="0.35">
      <c r="A837" s="7">
        <v>836</v>
      </c>
      <c r="B837" s="9">
        <v>1097</v>
      </c>
      <c r="C837" s="7" t="str">
        <f>IFERROR(_xlfn.TEXTJOIN("-", TRUE, _xlfn.XLOOKUP(K837, product_category_id_lookup!$A$2:$A$5, product_category_id_lookup!$B$2:$B$5), B837), "Unknown Category")</f>
        <v>ctg-1097</v>
      </c>
      <c r="D837" s="8">
        <v>44835</v>
      </c>
      <c r="E837" s="7">
        <f t="shared" si="39"/>
        <v>2022</v>
      </c>
      <c r="F837" s="28" t="str">
        <f t="shared" si="40"/>
        <v>Oct</v>
      </c>
      <c r="G837" s="17" t="s">
        <v>22</v>
      </c>
      <c r="H837" s="17" t="s">
        <v>30</v>
      </c>
      <c r="I837" s="24">
        <v>30632.985000000004</v>
      </c>
      <c r="J837" s="32">
        <v>45</v>
      </c>
      <c r="K837" s="17" t="s">
        <v>26</v>
      </c>
      <c r="L837" s="24">
        <v>302.94</v>
      </c>
      <c r="M837" s="24">
        <v>756.37</v>
      </c>
      <c r="N837" s="34">
        <f>((sales_data_1[[#This Row],[Unit_Price]]*(1-sales_data_1[[#This Row],[Discount]]))-sales_data_1[[#This Row],[Unit_Cost]])*sales_data_1[[#This Row],[Quantity_Sold]]</f>
        <v>17000.685000000001</v>
      </c>
      <c r="O837" s="17" t="s">
        <v>27</v>
      </c>
      <c r="P837" s="26">
        <v>0.1</v>
      </c>
      <c r="Q837" s="17" t="s">
        <v>25</v>
      </c>
      <c r="R837" s="17" t="s">
        <v>21</v>
      </c>
      <c r="S837" s="49" t="str">
        <f t="shared" si="41"/>
        <v>David-East</v>
      </c>
      <c r="T837" s="59" t="str">
        <f>IF(ROUND(sales_data_1[[#This Row],[Profit_Margin]],2)=ROUND((sales_data_1[[#This Row],[Unit_Price]]*(1-sales_data_1[[#This Row],[Discount]]) - sales_data_1[[#This Row],[Unit_Cost]])*sales_data_1[[#This Row],[Quantity_Sold]],2), "PASS", "CHECK")</f>
        <v>PASS</v>
      </c>
    </row>
    <row r="838" spans="1:20" x14ac:dyDescent="0.35">
      <c r="A838" s="7">
        <v>837</v>
      </c>
      <c r="B838" s="9">
        <v>1065</v>
      </c>
      <c r="C838" s="7" t="str">
        <f>IFERROR(_xlfn.TEXTJOIN("-", TRUE, _xlfn.XLOOKUP(K838, product_category_id_lookup!$A$2:$A$5, product_category_id_lookup!$B$2:$B$5), B838), "Unknown Category")</f>
        <v>fnt-1065</v>
      </c>
      <c r="D838" s="8">
        <v>44836</v>
      </c>
      <c r="E838" s="7">
        <f t="shared" si="39"/>
        <v>2022</v>
      </c>
      <c r="F838" s="28" t="str">
        <f t="shared" si="40"/>
        <v>Oct</v>
      </c>
      <c r="G838" s="17" t="s">
        <v>29</v>
      </c>
      <c r="H838" s="17" t="s">
        <v>15</v>
      </c>
      <c r="I838" s="24">
        <v>1320.942</v>
      </c>
      <c r="J838" s="32">
        <v>7</v>
      </c>
      <c r="K838" s="17" t="s">
        <v>16</v>
      </c>
      <c r="L838" s="24">
        <v>71.599999999999994</v>
      </c>
      <c r="M838" s="24">
        <v>269.58</v>
      </c>
      <c r="N838" s="34">
        <f>((sales_data_1[[#This Row],[Unit_Price]]*(1-sales_data_1[[#This Row],[Discount]]))-sales_data_1[[#This Row],[Unit_Cost]])*sales_data_1[[#This Row],[Quantity_Sold]]</f>
        <v>819.74199999999996</v>
      </c>
      <c r="O838" s="17" t="s">
        <v>27</v>
      </c>
      <c r="P838" s="26">
        <v>0.3</v>
      </c>
      <c r="Q838" s="17" t="s">
        <v>18</v>
      </c>
      <c r="R838" s="17" t="s">
        <v>19</v>
      </c>
      <c r="S838" s="49" t="str">
        <f t="shared" si="41"/>
        <v>Charlie-North</v>
      </c>
      <c r="T838" s="59" t="str">
        <f>IF(ROUND(sales_data_1[[#This Row],[Profit_Margin]],2)=ROUND((sales_data_1[[#This Row],[Unit_Price]]*(1-sales_data_1[[#This Row],[Discount]]) - sales_data_1[[#This Row],[Unit_Cost]])*sales_data_1[[#This Row],[Quantity_Sold]],2), "PASS", "CHECK")</f>
        <v>PASS</v>
      </c>
    </row>
    <row r="839" spans="1:20" x14ac:dyDescent="0.35">
      <c r="A839" s="7">
        <v>838</v>
      </c>
      <c r="B839" s="9">
        <v>1098</v>
      </c>
      <c r="C839" s="7" t="str">
        <f>IFERROR(_xlfn.TEXTJOIN("-", TRUE, _xlfn.XLOOKUP(K839, product_category_id_lookup!$A$2:$A$5, product_category_id_lookup!$B$2:$B$5), B839), "Unknown Category")</f>
        <v>ctg-1098</v>
      </c>
      <c r="D839" s="8">
        <v>44836</v>
      </c>
      <c r="E839" s="7">
        <f t="shared" si="39"/>
        <v>2022</v>
      </c>
      <c r="F839" s="28" t="str">
        <f t="shared" si="40"/>
        <v>Oct</v>
      </c>
      <c r="G839" s="17" t="s">
        <v>14</v>
      </c>
      <c r="H839" s="17" t="s">
        <v>20</v>
      </c>
      <c r="I839" s="24">
        <v>22223.782986144637</v>
      </c>
      <c r="J839" s="32">
        <v>9</v>
      </c>
      <c r="K839" s="17" t="s">
        <v>26</v>
      </c>
      <c r="L839" s="24">
        <v>2250.69</v>
      </c>
      <c r="M839" s="24">
        <v>2580.63</v>
      </c>
      <c r="N839" s="34">
        <f>((sales_data_1[[#This Row],[Unit_Price]]*(1-sales_data_1[[#This Row],[Discount]]))-sales_data_1[[#This Row],[Unit_Cost]])*sales_data_1[[#This Row],[Quantity_Sold]]</f>
        <v>2040.4331999999977</v>
      </c>
      <c r="O839" s="17" t="s">
        <v>17</v>
      </c>
      <c r="P839" s="26">
        <v>0.04</v>
      </c>
      <c r="Q839" s="17" t="s">
        <v>18</v>
      </c>
      <c r="R839" s="17" t="s">
        <v>19</v>
      </c>
      <c r="S839" s="49" t="str">
        <f t="shared" si="41"/>
        <v>Bob-West</v>
      </c>
      <c r="T839" s="59" t="str">
        <f>IF(ROUND(sales_data_1[[#This Row],[Profit_Margin]],2)=ROUND((sales_data_1[[#This Row],[Unit_Price]]*(1-sales_data_1[[#This Row],[Discount]]) - sales_data_1[[#This Row],[Unit_Cost]])*sales_data_1[[#This Row],[Quantity_Sold]],2), "PASS", "CHECK")</f>
        <v>PASS</v>
      </c>
    </row>
    <row r="840" spans="1:20" x14ac:dyDescent="0.35">
      <c r="A840" s="7">
        <v>839</v>
      </c>
      <c r="B840" s="9">
        <v>1094</v>
      </c>
      <c r="C840" s="7" t="str">
        <f>IFERROR(_xlfn.TEXTJOIN("-", TRUE, _xlfn.XLOOKUP(K840, product_category_id_lookup!$A$2:$A$5, product_category_id_lookup!$B$2:$B$5), B840), "Unknown Category")</f>
        <v>ctg-1094</v>
      </c>
      <c r="D840" s="8">
        <v>44836</v>
      </c>
      <c r="E840" s="7">
        <f t="shared" si="39"/>
        <v>2022</v>
      </c>
      <c r="F840" s="28" t="str">
        <f t="shared" si="40"/>
        <v>Oct</v>
      </c>
      <c r="G840" s="17" t="s">
        <v>33</v>
      </c>
      <c r="H840" s="17" t="s">
        <v>23</v>
      </c>
      <c r="I840" s="24">
        <v>55003.103999999999</v>
      </c>
      <c r="J840" s="32">
        <v>30</v>
      </c>
      <c r="K840" s="17" t="s">
        <v>26</v>
      </c>
      <c r="L840" s="24">
        <v>1083.9100000000001</v>
      </c>
      <c r="M840" s="24">
        <v>2208.96</v>
      </c>
      <c r="N840" s="34">
        <f>((sales_data_1[[#This Row],[Unit_Price]]*(1-sales_data_1[[#This Row],[Discount]]))-sales_data_1[[#This Row],[Unit_Cost]])*sales_data_1[[#This Row],[Quantity_Sold]]</f>
        <v>22485.803999999996</v>
      </c>
      <c r="O840" s="17" t="s">
        <v>27</v>
      </c>
      <c r="P840" s="26">
        <v>0.17</v>
      </c>
      <c r="Q840" s="17" t="s">
        <v>25</v>
      </c>
      <c r="R840" s="17" t="s">
        <v>19</v>
      </c>
      <c r="S840" s="49" t="str">
        <f t="shared" si="41"/>
        <v>Alice-South</v>
      </c>
      <c r="T840" s="59" t="str">
        <f>IF(ROUND(sales_data_1[[#This Row],[Profit_Margin]],2)=ROUND((sales_data_1[[#This Row],[Unit_Price]]*(1-sales_data_1[[#This Row],[Discount]]) - sales_data_1[[#This Row],[Unit_Cost]])*sales_data_1[[#This Row],[Quantity_Sold]],2), "PASS", "CHECK")</f>
        <v>PASS</v>
      </c>
    </row>
    <row r="841" spans="1:20" x14ac:dyDescent="0.35">
      <c r="A841" s="7">
        <v>840</v>
      </c>
      <c r="B841" s="9">
        <v>1024</v>
      </c>
      <c r="C841" s="7" t="str">
        <f>IFERROR(_xlfn.TEXTJOIN("-", TRUE, _xlfn.XLOOKUP(K841, product_category_id_lookup!$A$2:$A$5, product_category_id_lookup!$B$2:$B$5), B841), "Unknown Category")</f>
        <v>fd-1024</v>
      </c>
      <c r="D841" s="8">
        <v>44836</v>
      </c>
      <c r="E841" s="7">
        <f t="shared" si="39"/>
        <v>2022</v>
      </c>
      <c r="F841" s="28" t="str">
        <f t="shared" si="40"/>
        <v>Oct</v>
      </c>
      <c r="G841" s="17" t="s">
        <v>29</v>
      </c>
      <c r="H841" s="17" t="s">
        <v>30</v>
      </c>
      <c r="I841" s="24">
        <v>106357.3792</v>
      </c>
      <c r="J841" s="32">
        <v>38</v>
      </c>
      <c r="K841" s="17" t="s">
        <v>24</v>
      </c>
      <c r="L841" s="24">
        <v>1719.99</v>
      </c>
      <c r="M841" s="24">
        <v>3834.08</v>
      </c>
      <c r="N841" s="34">
        <f>((sales_data_1[[#This Row],[Unit_Price]]*(1-sales_data_1[[#This Row],[Discount]]))-sales_data_1[[#This Row],[Unit_Cost]])*sales_data_1[[#This Row],[Quantity_Sold]]</f>
        <v>40997.7592</v>
      </c>
      <c r="O841" s="17" t="s">
        <v>27</v>
      </c>
      <c r="P841" s="26">
        <v>0.27</v>
      </c>
      <c r="Q841" s="17" t="s">
        <v>18</v>
      </c>
      <c r="R841" s="17" t="s">
        <v>21</v>
      </c>
      <c r="S841" s="49" t="str">
        <f t="shared" si="41"/>
        <v>Charlie-East</v>
      </c>
      <c r="T841" s="59" t="str">
        <f>IF(ROUND(sales_data_1[[#This Row],[Profit_Margin]],2)=ROUND((sales_data_1[[#This Row],[Unit_Price]]*(1-sales_data_1[[#This Row],[Discount]]) - sales_data_1[[#This Row],[Unit_Cost]])*sales_data_1[[#This Row],[Quantity_Sold]],2), "PASS", "CHECK")</f>
        <v>PASS</v>
      </c>
    </row>
    <row r="842" spans="1:20" x14ac:dyDescent="0.35">
      <c r="A842" s="7">
        <v>841</v>
      </c>
      <c r="B842" s="9">
        <v>1062</v>
      </c>
      <c r="C842" s="7" t="str">
        <f>IFERROR(_xlfn.TEXTJOIN("-", TRUE, _xlfn.XLOOKUP(K842, product_category_id_lookup!$A$2:$A$5, product_category_id_lookup!$B$2:$B$5), B842), "Unknown Category")</f>
        <v>etc-1062</v>
      </c>
      <c r="D842" s="8">
        <v>44837</v>
      </c>
      <c r="E842" s="7">
        <f t="shared" si="39"/>
        <v>2022</v>
      </c>
      <c r="F842" s="28" t="str">
        <f t="shared" si="40"/>
        <v>Oct</v>
      </c>
      <c r="G842" s="17" t="s">
        <v>32</v>
      </c>
      <c r="H842" s="17" t="s">
        <v>15</v>
      </c>
      <c r="I842" s="24">
        <v>191394.59999999998</v>
      </c>
      <c r="J842" s="32">
        <v>50</v>
      </c>
      <c r="K842" s="17" t="s">
        <v>31</v>
      </c>
      <c r="L842" s="24">
        <v>3273.15</v>
      </c>
      <c r="M842" s="24">
        <v>5036.7</v>
      </c>
      <c r="N842" s="34">
        <f>((sales_data_1[[#This Row],[Unit_Price]]*(1-sales_data_1[[#This Row],[Discount]]))-sales_data_1[[#This Row],[Unit_Cost]])*sales_data_1[[#This Row],[Quantity_Sold]]</f>
        <v>27737.099999999988</v>
      </c>
      <c r="O842" s="17" t="s">
        <v>27</v>
      </c>
      <c r="P842" s="26">
        <v>0.24</v>
      </c>
      <c r="Q842" s="17" t="s">
        <v>18</v>
      </c>
      <c r="R842" s="17" t="s">
        <v>19</v>
      </c>
      <c r="S842" s="49" t="str">
        <f t="shared" si="41"/>
        <v>Eve-North</v>
      </c>
      <c r="T842" s="59" t="str">
        <f>IF(ROUND(sales_data_1[[#This Row],[Profit_Margin]],2)=ROUND((sales_data_1[[#This Row],[Unit_Price]]*(1-sales_data_1[[#This Row],[Discount]]) - sales_data_1[[#This Row],[Unit_Cost]])*sales_data_1[[#This Row],[Quantity_Sold]],2), "PASS", "CHECK")</f>
        <v>PASS</v>
      </c>
    </row>
    <row r="843" spans="1:20" x14ac:dyDescent="0.35">
      <c r="A843" s="7">
        <v>842</v>
      </c>
      <c r="B843" s="9">
        <v>1026</v>
      </c>
      <c r="C843" s="7" t="str">
        <f>IFERROR(_xlfn.TEXTJOIN("-", TRUE, _xlfn.XLOOKUP(K843, product_category_id_lookup!$A$2:$A$5, product_category_id_lookup!$B$2:$B$5), B843), "Unknown Category")</f>
        <v>fd-1026</v>
      </c>
      <c r="D843" s="8">
        <v>44838</v>
      </c>
      <c r="E843" s="7">
        <f t="shared" si="39"/>
        <v>2022</v>
      </c>
      <c r="F843" s="28" t="str">
        <f t="shared" si="40"/>
        <v>Oct</v>
      </c>
      <c r="G843" s="17" t="s">
        <v>14</v>
      </c>
      <c r="H843" s="17" t="s">
        <v>30</v>
      </c>
      <c r="I843" s="24">
        <v>98114</v>
      </c>
      <c r="J843" s="32">
        <v>50</v>
      </c>
      <c r="K843" s="17" t="s">
        <v>24</v>
      </c>
      <c r="L843" s="24">
        <v>1961.45</v>
      </c>
      <c r="M843" s="24">
        <v>1962.28</v>
      </c>
      <c r="N843" s="34">
        <f>((sales_data_1[[#This Row],[Unit_Price]]*(1-sales_data_1[[#This Row],[Discount]]))-sales_data_1[[#This Row],[Unit_Cost]])*sales_data_1[[#This Row],[Quantity_Sold]]</f>
        <v>41.499999999996362</v>
      </c>
      <c r="O843" s="17" t="s">
        <v>17</v>
      </c>
      <c r="P843" s="26">
        <v>0</v>
      </c>
      <c r="Q843" s="17" t="s">
        <v>18</v>
      </c>
      <c r="R843" s="17" t="s">
        <v>21</v>
      </c>
      <c r="S843" s="49" t="str">
        <f t="shared" si="41"/>
        <v>Bob-East</v>
      </c>
      <c r="T843" s="59" t="str">
        <f>IF(ROUND(sales_data_1[[#This Row],[Profit_Margin]],2)=ROUND((sales_data_1[[#This Row],[Unit_Price]]*(1-sales_data_1[[#This Row],[Discount]]) - sales_data_1[[#This Row],[Unit_Cost]])*sales_data_1[[#This Row],[Quantity_Sold]],2), "PASS", "CHECK")</f>
        <v>PASS</v>
      </c>
    </row>
    <row r="844" spans="1:20" x14ac:dyDescent="0.35">
      <c r="A844" s="7">
        <v>843</v>
      </c>
      <c r="B844" s="9">
        <v>1076</v>
      </c>
      <c r="C844" s="7" t="str">
        <f>IFERROR(_xlfn.TEXTJOIN("-", TRUE, _xlfn.XLOOKUP(K844, product_category_id_lookup!$A$2:$A$5, product_category_id_lookup!$B$2:$B$5), B844), "Unknown Category")</f>
        <v>fd-1076</v>
      </c>
      <c r="D844" s="8">
        <v>44838</v>
      </c>
      <c r="E844" s="7">
        <f t="shared" si="39"/>
        <v>2022</v>
      </c>
      <c r="F844" s="28" t="str">
        <f t="shared" si="40"/>
        <v>Oct</v>
      </c>
      <c r="G844" s="17" t="s">
        <v>29</v>
      </c>
      <c r="H844" s="17" t="s">
        <v>30</v>
      </c>
      <c r="I844" s="24">
        <v>5298.3935999999994</v>
      </c>
      <c r="J844" s="32">
        <v>2</v>
      </c>
      <c r="K844" s="17" t="s">
        <v>24</v>
      </c>
      <c r="L844" s="24">
        <v>2590.0100000000002</v>
      </c>
      <c r="M844" s="24">
        <v>2759.58</v>
      </c>
      <c r="N844" s="34">
        <f>((sales_data_1[[#This Row],[Unit_Price]]*(1-sales_data_1[[#This Row],[Discount]]))-sales_data_1[[#This Row],[Unit_Cost]])*sales_data_1[[#This Row],[Quantity_Sold]]</f>
        <v>118.37359999999899</v>
      </c>
      <c r="O844" s="17" t="s">
        <v>17</v>
      </c>
      <c r="P844" s="26">
        <v>0.04</v>
      </c>
      <c r="Q844" s="17" t="s">
        <v>25</v>
      </c>
      <c r="R844" s="17" t="s">
        <v>21</v>
      </c>
      <c r="S844" s="49" t="str">
        <f t="shared" si="41"/>
        <v>Charlie-East</v>
      </c>
      <c r="T844" s="59" t="str">
        <f>IF(ROUND(sales_data_1[[#This Row],[Profit_Margin]],2)=ROUND((sales_data_1[[#This Row],[Unit_Price]]*(1-sales_data_1[[#This Row],[Discount]]) - sales_data_1[[#This Row],[Unit_Cost]])*sales_data_1[[#This Row],[Quantity_Sold]],2), "PASS", "CHECK")</f>
        <v>PASS</v>
      </c>
    </row>
    <row r="845" spans="1:20" x14ac:dyDescent="0.35">
      <c r="A845" s="7">
        <v>844</v>
      </c>
      <c r="B845" s="9">
        <v>1068</v>
      </c>
      <c r="C845" s="7" t="str">
        <f>IFERROR(_xlfn.TEXTJOIN("-", TRUE, _xlfn.XLOOKUP(K845, product_category_id_lookup!$A$2:$A$5, product_category_id_lookup!$B$2:$B$5), B845), "Unknown Category")</f>
        <v>ctg-1068</v>
      </c>
      <c r="D845" s="8">
        <v>44838</v>
      </c>
      <c r="E845" s="7">
        <f t="shared" si="39"/>
        <v>2022</v>
      </c>
      <c r="F845" s="28" t="str">
        <f t="shared" si="40"/>
        <v>Oct</v>
      </c>
      <c r="G845" s="17" t="s">
        <v>29</v>
      </c>
      <c r="H845" s="17" t="s">
        <v>30</v>
      </c>
      <c r="I845" s="24">
        <v>134118.8928</v>
      </c>
      <c r="J845" s="32">
        <v>27</v>
      </c>
      <c r="K845" s="17" t="s">
        <v>26</v>
      </c>
      <c r="L845" s="24">
        <v>4574.63</v>
      </c>
      <c r="M845" s="24">
        <v>5174.34</v>
      </c>
      <c r="N845" s="34">
        <f>((sales_data_1[[#This Row],[Unit_Price]]*(1-sales_data_1[[#This Row],[Discount]]))-sales_data_1[[#This Row],[Unit_Cost]])*sales_data_1[[#This Row],[Quantity_Sold]]</f>
        <v>10603.882799999994</v>
      </c>
      <c r="O845" s="17" t="s">
        <v>17</v>
      </c>
      <c r="P845" s="26">
        <v>0.04</v>
      </c>
      <c r="Q845" s="17" t="s">
        <v>25</v>
      </c>
      <c r="R845" s="17" t="s">
        <v>21</v>
      </c>
      <c r="S845" s="49" t="str">
        <f t="shared" si="41"/>
        <v>Charlie-East</v>
      </c>
      <c r="T845" s="59" t="str">
        <f>IF(ROUND(sales_data_1[[#This Row],[Profit_Margin]],2)=ROUND((sales_data_1[[#This Row],[Unit_Price]]*(1-sales_data_1[[#This Row],[Discount]]) - sales_data_1[[#This Row],[Unit_Cost]])*sales_data_1[[#This Row],[Quantity_Sold]],2), "PASS", "CHECK")</f>
        <v>PASS</v>
      </c>
    </row>
    <row r="846" spans="1:20" x14ac:dyDescent="0.35">
      <c r="A846" s="7">
        <v>845</v>
      </c>
      <c r="B846" s="9">
        <v>1082</v>
      </c>
      <c r="C846" s="7" t="str">
        <f>IFERROR(_xlfn.TEXTJOIN("-", TRUE, _xlfn.XLOOKUP(K846, product_category_id_lookup!$A$2:$A$5, product_category_id_lookup!$B$2:$B$5), B846), "Unknown Category")</f>
        <v>fnt-1082</v>
      </c>
      <c r="D846" s="8">
        <v>44839</v>
      </c>
      <c r="E846" s="7">
        <f t="shared" si="39"/>
        <v>2022</v>
      </c>
      <c r="F846" s="28" t="str">
        <f t="shared" si="40"/>
        <v>Oct</v>
      </c>
      <c r="G846" s="17" t="s">
        <v>14</v>
      </c>
      <c r="H846" s="17" t="s">
        <v>23</v>
      </c>
      <c r="I846" s="24">
        <v>36419.100000000006</v>
      </c>
      <c r="J846" s="32">
        <v>34</v>
      </c>
      <c r="K846" s="17" t="s">
        <v>16</v>
      </c>
      <c r="L846" s="24">
        <v>1055.71</v>
      </c>
      <c r="M846" s="24">
        <v>1447.5</v>
      </c>
      <c r="N846" s="34">
        <f>((sales_data_1[[#This Row],[Unit_Price]]*(1-sales_data_1[[#This Row],[Discount]]))-sales_data_1[[#This Row],[Unit_Cost]])*sales_data_1[[#This Row],[Quantity_Sold]]</f>
        <v>524.96000000000186</v>
      </c>
      <c r="O846" s="17" t="s">
        <v>17</v>
      </c>
      <c r="P846" s="26">
        <v>0.26</v>
      </c>
      <c r="Q846" s="17" t="s">
        <v>25</v>
      </c>
      <c r="R846" s="17" t="s">
        <v>21</v>
      </c>
      <c r="S846" s="49" t="str">
        <f t="shared" si="41"/>
        <v>Bob-South</v>
      </c>
      <c r="T846" s="59" t="str">
        <f>IF(ROUND(sales_data_1[[#This Row],[Profit_Margin]],2)=ROUND((sales_data_1[[#This Row],[Unit_Price]]*(1-sales_data_1[[#This Row],[Discount]]) - sales_data_1[[#This Row],[Unit_Cost]])*sales_data_1[[#This Row],[Quantity_Sold]],2), "PASS", "CHECK")</f>
        <v>PASS</v>
      </c>
    </row>
    <row r="847" spans="1:20" x14ac:dyDescent="0.35">
      <c r="A847" s="7">
        <v>846</v>
      </c>
      <c r="B847" s="9">
        <v>1053</v>
      </c>
      <c r="C847" s="7" t="str">
        <f>IFERROR(_xlfn.TEXTJOIN("-", TRUE, _xlfn.XLOOKUP(K847, product_category_id_lookup!$A$2:$A$5, product_category_id_lookup!$B$2:$B$5), B847), "Unknown Category")</f>
        <v>etc-1053</v>
      </c>
      <c r="D847" s="8">
        <v>44839</v>
      </c>
      <c r="E847" s="7">
        <f t="shared" si="39"/>
        <v>2022</v>
      </c>
      <c r="F847" s="28" t="str">
        <f t="shared" si="40"/>
        <v>Oct</v>
      </c>
      <c r="G847" s="17" t="s">
        <v>29</v>
      </c>
      <c r="H847" s="17" t="s">
        <v>30</v>
      </c>
      <c r="I847" s="24">
        <v>93987.968235965047</v>
      </c>
      <c r="J847" s="32">
        <v>33</v>
      </c>
      <c r="K847" s="17" t="s">
        <v>31</v>
      </c>
      <c r="L847" s="24">
        <v>2823.2</v>
      </c>
      <c r="M847" s="24">
        <v>2854.64</v>
      </c>
      <c r="N847" s="34">
        <f>((sales_data_1[[#This Row],[Unit_Price]]*(1-sales_data_1[[#This Row],[Discount]]))-sales_data_1[[#This Row],[Unit_Cost]])*sales_data_1[[#This Row],[Quantity_Sold]]</f>
        <v>1037.5200000000018</v>
      </c>
      <c r="O847" s="17" t="s">
        <v>17</v>
      </c>
      <c r="P847" s="26">
        <v>0</v>
      </c>
      <c r="Q847" s="17" t="s">
        <v>25</v>
      </c>
      <c r="R847" s="17" t="s">
        <v>21</v>
      </c>
      <c r="S847" s="49" t="str">
        <f t="shared" si="41"/>
        <v>Charlie-East</v>
      </c>
      <c r="T847" s="59" t="str">
        <f>IF(ROUND(sales_data_1[[#This Row],[Profit_Margin]],2)=ROUND((sales_data_1[[#This Row],[Unit_Price]]*(1-sales_data_1[[#This Row],[Discount]]) - sales_data_1[[#This Row],[Unit_Cost]])*sales_data_1[[#This Row],[Quantity_Sold]],2), "PASS", "CHECK")</f>
        <v>PASS</v>
      </c>
    </row>
    <row r="848" spans="1:20" x14ac:dyDescent="0.35">
      <c r="A848" s="7">
        <v>847</v>
      </c>
      <c r="B848" s="9">
        <v>1066</v>
      </c>
      <c r="C848" s="7" t="str">
        <f>IFERROR(_xlfn.TEXTJOIN("-", TRUE, _xlfn.XLOOKUP(K848, product_category_id_lookup!$A$2:$A$5, product_category_id_lookup!$B$2:$B$5), B848), "Unknown Category")</f>
        <v>fd-1066</v>
      </c>
      <c r="D848" s="8">
        <v>44839</v>
      </c>
      <c r="E848" s="7">
        <f t="shared" si="39"/>
        <v>2022</v>
      </c>
      <c r="F848" s="28" t="str">
        <f t="shared" si="40"/>
        <v>Oct</v>
      </c>
      <c r="G848" s="17" t="s">
        <v>14</v>
      </c>
      <c r="H848" s="17" t="s">
        <v>20</v>
      </c>
      <c r="I848" s="24">
        <v>131849.5962</v>
      </c>
      <c r="J848" s="32">
        <v>34</v>
      </c>
      <c r="K848" s="17" t="s">
        <v>24</v>
      </c>
      <c r="L848" s="24">
        <v>3736.39</v>
      </c>
      <c r="M848" s="24">
        <v>4457.3900000000003</v>
      </c>
      <c r="N848" s="34">
        <f>((sales_data_1[[#This Row],[Unit_Price]]*(1-sales_data_1[[#This Row],[Discount]]))-sales_data_1[[#This Row],[Unit_Cost]])*sales_data_1[[#This Row],[Quantity_Sold]]</f>
        <v>4812.3362000000125</v>
      </c>
      <c r="O848" s="17" t="s">
        <v>17</v>
      </c>
      <c r="P848" s="26">
        <v>0.13</v>
      </c>
      <c r="Q848" s="17" t="s">
        <v>28</v>
      </c>
      <c r="R848" s="17" t="s">
        <v>21</v>
      </c>
      <c r="S848" s="49" t="str">
        <f t="shared" si="41"/>
        <v>Bob-West</v>
      </c>
      <c r="T848" s="59" t="str">
        <f>IF(ROUND(sales_data_1[[#This Row],[Profit_Margin]],2)=ROUND((sales_data_1[[#This Row],[Unit_Price]]*(1-sales_data_1[[#This Row],[Discount]]) - sales_data_1[[#This Row],[Unit_Cost]])*sales_data_1[[#This Row],[Quantity_Sold]],2), "PASS", "CHECK")</f>
        <v>PASS</v>
      </c>
    </row>
    <row r="849" spans="1:20" x14ac:dyDescent="0.35">
      <c r="A849" s="7">
        <v>848</v>
      </c>
      <c r="B849" s="9">
        <v>1063</v>
      </c>
      <c r="C849" s="7" t="str">
        <f>IFERROR(_xlfn.TEXTJOIN("-", TRUE, _xlfn.XLOOKUP(K849, product_category_id_lookup!$A$2:$A$5, product_category_id_lookup!$B$2:$B$5), B849), "Unknown Category")</f>
        <v>fd-1063</v>
      </c>
      <c r="D849" s="8">
        <v>44839</v>
      </c>
      <c r="E849" s="7">
        <f t="shared" si="39"/>
        <v>2022</v>
      </c>
      <c r="F849" s="28" t="str">
        <f t="shared" si="40"/>
        <v>Oct</v>
      </c>
      <c r="G849" s="17" t="s">
        <v>33</v>
      </c>
      <c r="H849" s="17" t="s">
        <v>15</v>
      </c>
      <c r="I849" s="24">
        <v>8496.4698000000008</v>
      </c>
      <c r="J849" s="32">
        <v>2</v>
      </c>
      <c r="K849" s="17" t="s">
        <v>24</v>
      </c>
      <c r="L849" s="24">
        <v>1621.62</v>
      </c>
      <c r="M849" s="24">
        <v>4668.3900000000003</v>
      </c>
      <c r="N849" s="34">
        <f>((sales_data_1[[#This Row],[Unit_Price]]*(1-sales_data_1[[#This Row],[Discount]]))-sales_data_1[[#This Row],[Unit_Cost]])*sales_data_1[[#This Row],[Quantity_Sold]]</f>
        <v>5253.229800000001</v>
      </c>
      <c r="O849" s="17" t="s">
        <v>27</v>
      </c>
      <c r="P849" s="26">
        <v>0.09</v>
      </c>
      <c r="Q849" s="17" t="s">
        <v>25</v>
      </c>
      <c r="R849" s="17" t="s">
        <v>19</v>
      </c>
      <c r="S849" s="49" t="str">
        <f t="shared" si="41"/>
        <v>Alice-North</v>
      </c>
      <c r="T849" s="59" t="str">
        <f>IF(ROUND(sales_data_1[[#This Row],[Profit_Margin]],2)=ROUND((sales_data_1[[#This Row],[Unit_Price]]*(1-sales_data_1[[#This Row],[Discount]]) - sales_data_1[[#This Row],[Unit_Cost]])*sales_data_1[[#This Row],[Quantity_Sold]],2), "PASS", "CHECK")</f>
        <v>PASS</v>
      </c>
    </row>
    <row r="850" spans="1:20" x14ac:dyDescent="0.35">
      <c r="A850" s="7">
        <v>849</v>
      </c>
      <c r="B850" s="9">
        <v>1046</v>
      </c>
      <c r="C850" s="7" t="str">
        <f>IFERROR(_xlfn.TEXTJOIN("-", TRUE, _xlfn.XLOOKUP(K850, product_category_id_lookup!$A$2:$A$5, product_category_id_lookup!$B$2:$B$5), B850), "Unknown Category")</f>
        <v>etc-1046</v>
      </c>
      <c r="D850" s="8">
        <v>44839</v>
      </c>
      <c r="E850" s="7">
        <f t="shared" si="39"/>
        <v>2022</v>
      </c>
      <c r="F850" s="28" t="str">
        <f t="shared" si="40"/>
        <v>Oct</v>
      </c>
      <c r="G850" s="17" t="s">
        <v>32</v>
      </c>
      <c r="H850" s="17" t="s">
        <v>30</v>
      </c>
      <c r="I850" s="24">
        <v>9241.6759999999995</v>
      </c>
      <c r="J850" s="32">
        <v>10</v>
      </c>
      <c r="K850" s="17" t="s">
        <v>31</v>
      </c>
      <c r="L850" s="24">
        <v>302.49</v>
      </c>
      <c r="M850" s="24">
        <v>1216.01</v>
      </c>
      <c r="N850" s="34">
        <f>((sales_data_1[[#This Row],[Unit_Price]]*(1-sales_data_1[[#This Row],[Discount]]))-sales_data_1[[#This Row],[Unit_Cost]])*sales_data_1[[#This Row],[Quantity_Sold]]</f>
        <v>6216.7759999999998</v>
      </c>
      <c r="O850" s="17" t="s">
        <v>27</v>
      </c>
      <c r="P850" s="26">
        <v>0.24</v>
      </c>
      <c r="Q850" s="17" t="s">
        <v>18</v>
      </c>
      <c r="R850" s="17" t="s">
        <v>19</v>
      </c>
      <c r="S850" s="49" t="str">
        <f t="shared" si="41"/>
        <v>Eve-East</v>
      </c>
      <c r="T850" s="59" t="str">
        <f>IF(ROUND(sales_data_1[[#This Row],[Profit_Margin]],2)=ROUND((sales_data_1[[#This Row],[Unit_Price]]*(1-sales_data_1[[#This Row],[Discount]]) - sales_data_1[[#This Row],[Unit_Cost]])*sales_data_1[[#This Row],[Quantity_Sold]],2), "PASS", "CHECK")</f>
        <v>PASS</v>
      </c>
    </row>
    <row r="851" spans="1:20" x14ac:dyDescent="0.35">
      <c r="A851" s="7">
        <v>850</v>
      </c>
      <c r="B851" s="9">
        <v>1015</v>
      </c>
      <c r="C851" s="7" t="str">
        <f>IFERROR(_xlfn.TEXTJOIN("-", TRUE, _xlfn.XLOOKUP(K851, product_category_id_lookup!$A$2:$A$5, product_category_id_lookup!$B$2:$B$5), B851), "Unknown Category")</f>
        <v>fnt-1015</v>
      </c>
      <c r="D851" s="8">
        <v>44840</v>
      </c>
      <c r="E851" s="7">
        <f t="shared" si="39"/>
        <v>2022</v>
      </c>
      <c r="F851" s="28" t="str">
        <f t="shared" si="40"/>
        <v>Oct</v>
      </c>
      <c r="G851" s="17" t="s">
        <v>33</v>
      </c>
      <c r="H851" s="17" t="s">
        <v>20</v>
      </c>
      <c r="I851" s="24">
        <v>64104.539233226649</v>
      </c>
      <c r="J851" s="32">
        <v>13</v>
      </c>
      <c r="K851" s="17" t="s">
        <v>16</v>
      </c>
      <c r="L851" s="24">
        <v>4159.29</v>
      </c>
      <c r="M851" s="24">
        <v>5150.05</v>
      </c>
      <c r="N851" s="34">
        <f>((sales_data_1[[#This Row],[Unit_Price]]*(1-sales_data_1[[#This Row],[Discount]]))-sales_data_1[[#This Row],[Unit_Cost]])*sales_data_1[[#This Row],[Quantity_Sold]]</f>
        <v>10201.853999999998</v>
      </c>
      <c r="O851" s="17" t="s">
        <v>27</v>
      </c>
      <c r="P851" s="26">
        <v>0.04</v>
      </c>
      <c r="Q851" s="17" t="s">
        <v>28</v>
      </c>
      <c r="R851" s="17" t="s">
        <v>21</v>
      </c>
      <c r="S851" s="49" t="str">
        <f t="shared" si="41"/>
        <v>Alice-West</v>
      </c>
      <c r="T851" s="59" t="str">
        <f>IF(ROUND(sales_data_1[[#This Row],[Profit_Margin]],2)=ROUND((sales_data_1[[#This Row],[Unit_Price]]*(1-sales_data_1[[#This Row],[Discount]]) - sales_data_1[[#This Row],[Unit_Cost]])*sales_data_1[[#This Row],[Quantity_Sold]],2), "PASS", "CHECK")</f>
        <v>PASS</v>
      </c>
    </row>
    <row r="852" spans="1:20" x14ac:dyDescent="0.35">
      <c r="A852" s="7">
        <v>851</v>
      </c>
      <c r="B852" s="9">
        <v>1048</v>
      </c>
      <c r="C852" s="7" t="str">
        <f>IFERROR(_xlfn.TEXTJOIN("-", TRUE, _xlfn.XLOOKUP(K852, product_category_id_lookup!$A$2:$A$5, product_category_id_lookup!$B$2:$B$5), B852), "Unknown Category")</f>
        <v>ctg-1048</v>
      </c>
      <c r="D852" s="8">
        <v>44840</v>
      </c>
      <c r="E852" s="7">
        <f t="shared" si="39"/>
        <v>2022</v>
      </c>
      <c r="F852" s="28" t="str">
        <f t="shared" si="40"/>
        <v>Oct</v>
      </c>
      <c r="G852" s="17" t="s">
        <v>32</v>
      </c>
      <c r="H852" s="17" t="s">
        <v>30</v>
      </c>
      <c r="I852" s="24">
        <v>37058.918399999995</v>
      </c>
      <c r="J852" s="32">
        <v>14</v>
      </c>
      <c r="K852" s="17" t="s">
        <v>26</v>
      </c>
      <c r="L852" s="24">
        <v>916.75</v>
      </c>
      <c r="M852" s="24">
        <v>3676.48</v>
      </c>
      <c r="N852" s="34">
        <f>((sales_data_1[[#This Row],[Unit_Price]]*(1-sales_data_1[[#This Row],[Discount]]))-sales_data_1[[#This Row],[Unit_Cost]])*sales_data_1[[#This Row],[Quantity_Sold]]</f>
        <v>24224.418399999999</v>
      </c>
      <c r="O852" s="17" t="s">
        <v>27</v>
      </c>
      <c r="P852" s="26">
        <v>0.28000000000000003</v>
      </c>
      <c r="Q852" s="17" t="s">
        <v>18</v>
      </c>
      <c r="R852" s="17" t="s">
        <v>21</v>
      </c>
      <c r="S852" s="49" t="str">
        <f t="shared" si="41"/>
        <v>Eve-East</v>
      </c>
      <c r="T852" s="59" t="str">
        <f>IF(ROUND(sales_data_1[[#This Row],[Profit_Margin]],2)=ROUND((sales_data_1[[#This Row],[Unit_Price]]*(1-sales_data_1[[#This Row],[Discount]]) - sales_data_1[[#This Row],[Unit_Cost]])*sales_data_1[[#This Row],[Quantity_Sold]],2), "PASS", "CHECK")</f>
        <v>PASS</v>
      </c>
    </row>
    <row r="853" spans="1:20" x14ac:dyDescent="0.35">
      <c r="A853" s="7">
        <v>852</v>
      </c>
      <c r="B853" s="9">
        <v>1027</v>
      </c>
      <c r="C853" s="7" t="str">
        <f>IFERROR(_xlfn.TEXTJOIN("-", TRUE, _xlfn.XLOOKUP(K853, product_category_id_lookup!$A$2:$A$5, product_category_id_lookup!$B$2:$B$5), B853), "Unknown Category")</f>
        <v>fd-1027</v>
      </c>
      <c r="D853" s="8">
        <v>44840</v>
      </c>
      <c r="E853" s="7">
        <f t="shared" si="39"/>
        <v>2022</v>
      </c>
      <c r="F853" s="28" t="str">
        <f t="shared" si="40"/>
        <v>Oct</v>
      </c>
      <c r="G853" s="17" t="s">
        <v>14</v>
      </c>
      <c r="H853" s="17" t="s">
        <v>20</v>
      </c>
      <c r="I853" s="24">
        <v>140334.04500000001</v>
      </c>
      <c r="J853" s="32">
        <v>50</v>
      </c>
      <c r="K853" s="17" t="s">
        <v>24</v>
      </c>
      <c r="L853" s="24">
        <v>904.74</v>
      </c>
      <c r="M853" s="24">
        <v>3226.07</v>
      </c>
      <c r="N853" s="34">
        <f>((sales_data_1[[#This Row],[Unit_Price]]*(1-sales_data_1[[#This Row],[Discount]]))-sales_data_1[[#This Row],[Unit_Cost]])*sales_data_1[[#This Row],[Quantity_Sold]]</f>
        <v>95097.045000000013</v>
      </c>
      <c r="O853" s="17" t="s">
        <v>17</v>
      </c>
      <c r="P853" s="26">
        <v>0.13</v>
      </c>
      <c r="Q853" s="17" t="s">
        <v>18</v>
      </c>
      <c r="R853" s="17" t="s">
        <v>21</v>
      </c>
      <c r="S853" s="49" t="str">
        <f t="shared" si="41"/>
        <v>Bob-West</v>
      </c>
      <c r="T853" s="59" t="str">
        <f>IF(ROUND(sales_data_1[[#This Row],[Profit_Margin]],2)=ROUND((sales_data_1[[#This Row],[Unit_Price]]*(1-sales_data_1[[#This Row],[Discount]]) - sales_data_1[[#This Row],[Unit_Cost]])*sales_data_1[[#This Row],[Quantity_Sold]],2), "PASS", "CHECK")</f>
        <v>PASS</v>
      </c>
    </row>
    <row r="854" spans="1:20" x14ac:dyDescent="0.35">
      <c r="A854" s="7">
        <v>853</v>
      </c>
      <c r="B854" s="9">
        <v>1022</v>
      </c>
      <c r="C854" s="7" t="str">
        <f>IFERROR(_xlfn.TEXTJOIN("-", TRUE, _xlfn.XLOOKUP(K854, product_category_id_lookup!$A$2:$A$5, product_category_id_lookup!$B$2:$B$5), B854), "Unknown Category")</f>
        <v>etc-1022</v>
      </c>
      <c r="D854" s="8">
        <v>44841</v>
      </c>
      <c r="E854" s="7">
        <f t="shared" si="39"/>
        <v>2022</v>
      </c>
      <c r="F854" s="28" t="str">
        <f t="shared" si="40"/>
        <v>Oct</v>
      </c>
      <c r="G854" s="17" t="s">
        <v>32</v>
      </c>
      <c r="H854" s="17" t="s">
        <v>20</v>
      </c>
      <c r="I854" s="24">
        <v>3149.8487999999998</v>
      </c>
      <c r="J854" s="32">
        <v>1</v>
      </c>
      <c r="K854" s="17" t="s">
        <v>31</v>
      </c>
      <c r="L854" s="24">
        <v>1275.0999999999999</v>
      </c>
      <c r="M854" s="24">
        <v>4374.79</v>
      </c>
      <c r="N854" s="34">
        <f>((sales_data_1[[#This Row],[Unit_Price]]*(1-sales_data_1[[#This Row],[Discount]]))-sales_data_1[[#This Row],[Unit_Cost]])*sales_data_1[[#This Row],[Quantity_Sold]]</f>
        <v>1874.7487999999998</v>
      </c>
      <c r="O854" s="17" t="s">
        <v>27</v>
      </c>
      <c r="P854" s="26">
        <v>0.28000000000000003</v>
      </c>
      <c r="Q854" s="17" t="s">
        <v>18</v>
      </c>
      <c r="R854" s="17" t="s">
        <v>19</v>
      </c>
      <c r="S854" s="49" t="str">
        <f t="shared" si="41"/>
        <v>Eve-West</v>
      </c>
      <c r="T854" s="59" t="str">
        <f>IF(ROUND(sales_data_1[[#This Row],[Profit_Margin]],2)=ROUND((sales_data_1[[#This Row],[Unit_Price]]*(1-sales_data_1[[#This Row],[Discount]]) - sales_data_1[[#This Row],[Unit_Cost]])*sales_data_1[[#This Row],[Quantity_Sold]],2), "PASS", "CHECK")</f>
        <v>PASS</v>
      </c>
    </row>
    <row r="855" spans="1:20" x14ac:dyDescent="0.35">
      <c r="A855" s="7">
        <v>854</v>
      </c>
      <c r="B855" s="9">
        <v>1001</v>
      </c>
      <c r="C855" s="7" t="str">
        <f>IFERROR(_xlfn.TEXTJOIN("-", TRUE, _xlfn.XLOOKUP(K855, product_category_id_lookup!$A$2:$A$5, product_category_id_lookup!$B$2:$B$5), B855), "Unknown Category")</f>
        <v>etc-1001</v>
      </c>
      <c r="D855" s="8">
        <v>44841</v>
      </c>
      <c r="E855" s="7">
        <f t="shared" si="39"/>
        <v>2022</v>
      </c>
      <c r="F855" s="28" t="str">
        <f t="shared" si="40"/>
        <v>Oct</v>
      </c>
      <c r="G855" s="17" t="s">
        <v>33</v>
      </c>
      <c r="H855" s="17" t="s">
        <v>23</v>
      </c>
      <c r="I855" s="24">
        <v>57569.341199999988</v>
      </c>
      <c r="J855" s="32">
        <v>14</v>
      </c>
      <c r="K855" s="17" t="s">
        <v>31</v>
      </c>
      <c r="L855" s="24">
        <v>3486.98</v>
      </c>
      <c r="M855" s="24">
        <v>4374.57</v>
      </c>
      <c r="N855" s="34">
        <f>((sales_data_1[[#This Row],[Unit_Price]]*(1-sales_data_1[[#This Row],[Discount]]))-sales_data_1[[#This Row],[Unit_Cost]])*sales_data_1[[#This Row],[Quantity_Sold]]</f>
        <v>8751.6211999999869</v>
      </c>
      <c r="O855" s="17" t="s">
        <v>17</v>
      </c>
      <c r="P855" s="26">
        <v>0.06</v>
      </c>
      <c r="Q855" s="17" t="s">
        <v>18</v>
      </c>
      <c r="R855" s="17" t="s">
        <v>21</v>
      </c>
      <c r="S855" s="49" t="str">
        <f t="shared" si="41"/>
        <v>Alice-South</v>
      </c>
      <c r="T855" s="59" t="str">
        <f>IF(ROUND(sales_data_1[[#This Row],[Profit_Margin]],2)=ROUND((sales_data_1[[#This Row],[Unit_Price]]*(1-sales_data_1[[#This Row],[Discount]]) - sales_data_1[[#This Row],[Unit_Cost]])*sales_data_1[[#This Row],[Quantity_Sold]],2), "PASS", "CHECK")</f>
        <v>PASS</v>
      </c>
    </row>
    <row r="856" spans="1:20" x14ac:dyDescent="0.35">
      <c r="A856" s="7">
        <v>855</v>
      </c>
      <c r="B856" s="9">
        <v>1070</v>
      </c>
      <c r="C856" s="7" t="str">
        <f>IFERROR(_xlfn.TEXTJOIN("-", TRUE, _xlfn.XLOOKUP(K856, product_category_id_lookup!$A$2:$A$5, product_category_id_lookup!$B$2:$B$5), B856), "Unknown Category")</f>
        <v>etc-1070</v>
      </c>
      <c r="D856" s="8">
        <v>44841</v>
      </c>
      <c r="E856" s="7">
        <f t="shared" si="39"/>
        <v>2022</v>
      </c>
      <c r="F856" s="28" t="str">
        <f t="shared" si="40"/>
        <v>Oct</v>
      </c>
      <c r="G856" s="17" t="s">
        <v>22</v>
      </c>
      <c r="H856" s="17" t="s">
        <v>20</v>
      </c>
      <c r="I856" s="24">
        <v>39884.829300000005</v>
      </c>
      <c r="J856" s="32">
        <v>9</v>
      </c>
      <c r="K856" s="17" t="s">
        <v>31</v>
      </c>
      <c r="L856" s="24">
        <v>1314.92</v>
      </c>
      <c r="M856" s="24">
        <v>5471.17</v>
      </c>
      <c r="N856" s="34">
        <f>((sales_data_1[[#This Row],[Unit_Price]]*(1-sales_data_1[[#This Row],[Discount]]))-sales_data_1[[#This Row],[Unit_Cost]])*sales_data_1[[#This Row],[Quantity_Sold]]</f>
        <v>28050.549300000002</v>
      </c>
      <c r="O856" s="17" t="s">
        <v>27</v>
      </c>
      <c r="P856" s="26">
        <v>0.19</v>
      </c>
      <c r="Q856" s="17" t="s">
        <v>18</v>
      </c>
      <c r="R856" s="17" t="s">
        <v>19</v>
      </c>
      <c r="S856" s="49" t="str">
        <f t="shared" si="41"/>
        <v>David-West</v>
      </c>
      <c r="T856" s="59" t="str">
        <f>IF(ROUND(sales_data_1[[#This Row],[Profit_Margin]],2)=ROUND((sales_data_1[[#This Row],[Unit_Price]]*(1-sales_data_1[[#This Row],[Discount]]) - sales_data_1[[#This Row],[Unit_Cost]])*sales_data_1[[#This Row],[Quantity_Sold]],2), "PASS", "CHECK")</f>
        <v>PASS</v>
      </c>
    </row>
    <row r="857" spans="1:20" x14ac:dyDescent="0.35">
      <c r="A857" s="7">
        <v>856</v>
      </c>
      <c r="B857" s="9">
        <v>1089</v>
      </c>
      <c r="C857" s="7" t="str">
        <f>IFERROR(_xlfn.TEXTJOIN("-", TRUE, _xlfn.XLOOKUP(K857, product_category_id_lookup!$A$2:$A$5, product_category_id_lookup!$B$2:$B$5), B857), "Unknown Category")</f>
        <v>etc-1089</v>
      </c>
      <c r="D857" s="8">
        <v>44841</v>
      </c>
      <c r="E857" s="7">
        <f t="shared" si="39"/>
        <v>2022</v>
      </c>
      <c r="F857" s="28" t="str">
        <f t="shared" si="40"/>
        <v>Oct</v>
      </c>
      <c r="G857" s="17" t="s">
        <v>14</v>
      </c>
      <c r="H857" s="17" t="s">
        <v>23</v>
      </c>
      <c r="I857" s="24">
        <v>155486.72159999999</v>
      </c>
      <c r="J857" s="32">
        <v>42</v>
      </c>
      <c r="K857" s="17" t="s">
        <v>31</v>
      </c>
      <c r="L857" s="24">
        <v>3028.03</v>
      </c>
      <c r="M857" s="24">
        <v>4407.22</v>
      </c>
      <c r="N857" s="34">
        <f>((sales_data_1[[#This Row],[Unit_Price]]*(1-sales_data_1[[#This Row],[Discount]]))-sales_data_1[[#This Row],[Unit_Cost]])*sales_data_1[[#This Row],[Quantity_Sold]]</f>
        <v>28309.461599999995</v>
      </c>
      <c r="O857" s="17" t="s">
        <v>17</v>
      </c>
      <c r="P857" s="26">
        <v>0.16</v>
      </c>
      <c r="Q857" s="17" t="s">
        <v>18</v>
      </c>
      <c r="R857" s="17" t="s">
        <v>19</v>
      </c>
      <c r="S857" s="49" t="str">
        <f t="shared" si="41"/>
        <v>Bob-South</v>
      </c>
      <c r="T857" s="59" t="str">
        <f>IF(ROUND(sales_data_1[[#This Row],[Profit_Margin]],2)=ROUND((sales_data_1[[#This Row],[Unit_Price]]*(1-sales_data_1[[#This Row],[Discount]]) - sales_data_1[[#This Row],[Unit_Cost]])*sales_data_1[[#This Row],[Quantity_Sold]],2), "PASS", "CHECK")</f>
        <v>PASS</v>
      </c>
    </row>
    <row r="858" spans="1:20" x14ac:dyDescent="0.35">
      <c r="A858" s="7">
        <v>857</v>
      </c>
      <c r="B858" s="9">
        <v>1009</v>
      </c>
      <c r="C858" s="7" t="str">
        <f>IFERROR(_xlfn.TEXTJOIN("-", TRUE, _xlfn.XLOOKUP(K858, product_category_id_lookup!$A$2:$A$5, product_category_id_lookup!$B$2:$B$5), B858), "Unknown Category")</f>
        <v>fd-1009</v>
      </c>
      <c r="D858" s="8">
        <v>44842</v>
      </c>
      <c r="E858" s="7">
        <f t="shared" si="39"/>
        <v>2022</v>
      </c>
      <c r="F858" s="28" t="str">
        <f t="shared" si="40"/>
        <v>Oct</v>
      </c>
      <c r="G858" s="17" t="s">
        <v>14</v>
      </c>
      <c r="H858" s="17" t="s">
        <v>20</v>
      </c>
      <c r="I858" s="24">
        <v>9467.3432218582639</v>
      </c>
      <c r="J858" s="32">
        <v>2</v>
      </c>
      <c r="K858" s="17" t="s">
        <v>24</v>
      </c>
      <c r="L858" s="24">
        <v>4682.2299999999996</v>
      </c>
      <c r="M858" s="24">
        <v>4745.8599999999997</v>
      </c>
      <c r="N858" s="34">
        <f>((sales_data_1[[#This Row],[Unit_Price]]*(1-sales_data_1[[#This Row],[Discount]]))-sales_data_1[[#This Row],[Unit_Cost]])*sales_data_1[[#This Row],[Quantity_Sold]]</f>
        <v>127.26000000000022</v>
      </c>
      <c r="O858" s="17" t="s">
        <v>27</v>
      </c>
      <c r="P858" s="26">
        <v>0</v>
      </c>
      <c r="Q858" s="17" t="s">
        <v>25</v>
      </c>
      <c r="R858" s="17" t="s">
        <v>19</v>
      </c>
      <c r="S858" s="49" t="str">
        <f t="shared" si="41"/>
        <v>Bob-West</v>
      </c>
      <c r="T858" s="59" t="str">
        <f>IF(ROUND(sales_data_1[[#This Row],[Profit_Margin]],2)=ROUND((sales_data_1[[#This Row],[Unit_Price]]*(1-sales_data_1[[#This Row],[Discount]]) - sales_data_1[[#This Row],[Unit_Cost]])*sales_data_1[[#This Row],[Quantity_Sold]],2), "PASS", "CHECK")</f>
        <v>PASS</v>
      </c>
    </row>
    <row r="859" spans="1:20" x14ac:dyDescent="0.35">
      <c r="A859" s="7">
        <v>858</v>
      </c>
      <c r="B859" s="9">
        <v>1040</v>
      </c>
      <c r="C859" s="7" t="str">
        <f>IFERROR(_xlfn.TEXTJOIN("-", TRUE, _xlfn.XLOOKUP(K859, product_category_id_lookup!$A$2:$A$5, product_category_id_lookup!$B$2:$B$5), B859), "Unknown Category")</f>
        <v>ctg-1040</v>
      </c>
      <c r="D859" s="8">
        <v>44842</v>
      </c>
      <c r="E859" s="7">
        <f t="shared" si="39"/>
        <v>2022</v>
      </c>
      <c r="F859" s="28" t="str">
        <f t="shared" si="40"/>
        <v>Oct</v>
      </c>
      <c r="G859" s="17" t="s">
        <v>32</v>
      </c>
      <c r="H859" s="17" t="s">
        <v>15</v>
      </c>
      <c r="I859" s="24">
        <v>8008.5096000000003</v>
      </c>
      <c r="J859" s="32">
        <v>3</v>
      </c>
      <c r="K859" s="17" t="s">
        <v>26</v>
      </c>
      <c r="L859" s="24">
        <v>540.07000000000005</v>
      </c>
      <c r="M859" s="24">
        <v>3177.98</v>
      </c>
      <c r="N859" s="34">
        <f>((sales_data_1[[#This Row],[Unit_Price]]*(1-sales_data_1[[#This Row],[Discount]]))-sales_data_1[[#This Row],[Unit_Cost]])*sales_data_1[[#This Row],[Quantity_Sold]]</f>
        <v>6388.2996000000003</v>
      </c>
      <c r="O859" s="17" t="s">
        <v>27</v>
      </c>
      <c r="P859" s="26">
        <v>0.16</v>
      </c>
      <c r="Q859" s="17" t="s">
        <v>18</v>
      </c>
      <c r="R859" s="17" t="s">
        <v>21</v>
      </c>
      <c r="S859" s="49" t="str">
        <f t="shared" si="41"/>
        <v>Eve-North</v>
      </c>
      <c r="T859" s="59" t="str">
        <f>IF(ROUND(sales_data_1[[#This Row],[Profit_Margin]],2)=ROUND((sales_data_1[[#This Row],[Unit_Price]]*(1-sales_data_1[[#This Row],[Discount]]) - sales_data_1[[#This Row],[Unit_Cost]])*sales_data_1[[#This Row],[Quantity_Sold]],2), "PASS", "CHECK")</f>
        <v>PASS</v>
      </c>
    </row>
    <row r="860" spans="1:20" x14ac:dyDescent="0.35">
      <c r="A860" s="7">
        <v>859</v>
      </c>
      <c r="B860" s="9">
        <v>1027</v>
      </c>
      <c r="C860" s="7" t="str">
        <f>IFERROR(_xlfn.TEXTJOIN("-", TRUE, _xlfn.XLOOKUP(K860, product_category_id_lookup!$A$2:$A$5, product_category_id_lookup!$B$2:$B$5), B860), "Unknown Category")</f>
        <v>ctg-1027</v>
      </c>
      <c r="D860" s="8">
        <v>44842</v>
      </c>
      <c r="E860" s="7">
        <f t="shared" si="39"/>
        <v>2022</v>
      </c>
      <c r="F860" s="28" t="str">
        <f t="shared" si="40"/>
        <v>Oct</v>
      </c>
      <c r="G860" s="17" t="s">
        <v>32</v>
      </c>
      <c r="H860" s="17" t="s">
        <v>23</v>
      </c>
      <c r="I860" s="24">
        <v>110198.25682727754</v>
      </c>
      <c r="J860" s="32">
        <v>38</v>
      </c>
      <c r="K860" s="17" t="s">
        <v>26</v>
      </c>
      <c r="L860" s="24">
        <v>2491.7800000000002</v>
      </c>
      <c r="M860" s="24">
        <v>2966.97</v>
      </c>
      <c r="N860" s="34">
        <f>((sales_data_1[[#This Row],[Unit_Price]]*(1-sales_data_1[[#This Row],[Discount]]))-sales_data_1[[#This Row],[Unit_Cost]])*sales_data_1[[#This Row],[Quantity_Sold]]</f>
        <v>15802.322799999991</v>
      </c>
      <c r="O860" s="17" t="s">
        <v>27</v>
      </c>
      <c r="P860" s="26">
        <v>0.02</v>
      </c>
      <c r="Q860" s="17" t="s">
        <v>18</v>
      </c>
      <c r="R860" s="17" t="s">
        <v>19</v>
      </c>
      <c r="S860" s="49" t="str">
        <f t="shared" si="41"/>
        <v>Eve-South</v>
      </c>
      <c r="T860" s="59" t="str">
        <f>IF(ROUND(sales_data_1[[#This Row],[Profit_Margin]],2)=ROUND((sales_data_1[[#This Row],[Unit_Price]]*(1-sales_data_1[[#This Row],[Discount]]) - sales_data_1[[#This Row],[Unit_Cost]])*sales_data_1[[#This Row],[Quantity_Sold]],2), "PASS", "CHECK")</f>
        <v>PASS</v>
      </c>
    </row>
    <row r="861" spans="1:20" x14ac:dyDescent="0.35">
      <c r="A861" s="7">
        <v>860</v>
      </c>
      <c r="B861" s="9">
        <v>1076</v>
      </c>
      <c r="C861" s="7" t="str">
        <f>IFERROR(_xlfn.TEXTJOIN("-", TRUE, _xlfn.XLOOKUP(K861, product_category_id_lookup!$A$2:$A$5, product_category_id_lookup!$B$2:$B$5), B861), "Unknown Category")</f>
        <v>fnt-1076</v>
      </c>
      <c r="D861" s="8">
        <v>44842</v>
      </c>
      <c r="E861" s="7">
        <f t="shared" si="39"/>
        <v>2022</v>
      </c>
      <c r="F861" s="28" t="str">
        <f t="shared" si="40"/>
        <v>Oct</v>
      </c>
      <c r="G861" s="17" t="s">
        <v>14</v>
      </c>
      <c r="H861" s="17" t="s">
        <v>15</v>
      </c>
      <c r="I861" s="24">
        <v>94662.096636908944</v>
      </c>
      <c r="J861" s="32">
        <v>26</v>
      </c>
      <c r="K861" s="17" t="s">
        <v>16</v>
      </c>
      <c r="L861" s="24">
        <v>3026.1</v>
      </c>
      <c r="M861" s="24">
        <v>3710.85</v>
      </c>
      <c r="N861" s="34">
        <f>((sales_data_1[[#This Row],[Unit_Price]]*(1-sales_data_1[[#This Row],[Discount]]))-sales_data_1[[#This Row],[Unit_Cost]])*sales_data_1[[#This Row],[Quantity_Sold]]</f>
        <v>15873.857999999997</v>
      </c>
      <c r="O861" s="17" t="s">
        <v>17</v>
      </c>
      <c r="P861" s="26">
        <v>0.02</v>
      </c>
      <c r="Q861" s="17" t="s">
        <v>28</v>
      </c>
      <c r="R861" s="17" t="s">
        <v>21</v>
      </c>
      <c r="S861" s="49" t="str">
        <f t="shared" si="41"/>
        <v>Bob-North</v>
      </c>
      <c r="T861" s="59" t="str">
        <f>IF(ROUND(sales_data_1[[#This Row],[Profit_Margin]],2)=ROUND((sales_data_1[[#This Row],[Unit_Price]]*(1-sales_data_1[[#This Row],[Discount]]) - sales_data_1[[#This Row],[Unit_Cost]])*sales_data_1[[#This Row],[Quantity_Sold]],2), "PASS", "CHECK")</f>
        <v>PASS</v>
      </c>
    </row>
    <row r="862" spans="1:20" x14ac:dyDescent="0.35">
      <c r="A862" s="7">
        <v>861</v>
      </c>
      <c r="B862" s="9">
        <v>1042</v>
      </c>
      <c r="C862" s="7" t="str">
        <f>IFERROR(_xlfn.TEXTJOIN("-", TRUE, _xlfn.XLOOKUP(K862, product_category_id_lookup!$A$2:$A$5, product_category_id_lookup!$B$2:$B$5), B862), "Unknown Category")</f>
        <v>fnt-1042</v>
      </c>
      <c r="D862" s="8">
        <v>44842</v>
      </c>
      <c r="E862" s="7">
        <f t="shared" si="39"/>
        <v>2022</v>
      </c>
      <c r="F862" s="28" t="str">
        <f t="shared" si="40"/>
        <v>Oct</v>
      </c>
      <c r="G862" s="17" t="s">
        <v>22</v>
      </c>
      <c r="H862" s="17" t="s">
        <v>15</v>
      </c>
      <c r="I862" s="24">
        <v>46427.94</v>
      </c>
      <c r="J862" s="32">
        <v>39</v>
      </c>
      <c r="K862" s="17" t="s">
        <v>16</v>
      </c>
      <c r="L862" s="24">
        <v>131.57</v>
      </c>
      <c r="M862" s="24">
        <v>1190.46</v>
      </c>
      <c r="N862" s="34">
        <f>((sales_data_1[[#This Row],[Unit_Price]]*(1-sales_data_1[[#This Row],[Discount]]))-sales_data_1[[#This Row],[Unit_Cost]])*sales_data_1[[#This Row],[Quantity_Sold]]</f>
        <v>41296.710000000006</v>
      </c>
      <c r="O862" s="17" t="s">
        <v>27</v>
      </c>
      <c r="P862" s="26">
        <v>0</v>
      </c>
      <c r="Q862" s="17" t="s">
        <v>18</v>
      </c>
      <c r="R862" s="17" t="s">
        <v>21</v>
      </c>
      <c r="S862" s="49" t="str">
        <f t="shared" si="41"/>
        <v>David-North</v>
      </c>
      <c r="T862" s="59" t="str">
        <f>IF(ROUND(sales_data_1[[#This Row],[Profit_Margin]],2)=ROUND((sales_data_1[[#This Row],[Unit_Price]]*(1-sales_data_1[[#This Row],[Discount]]) - sales_data_1[[#This Row],[Unit_Cost]])*sales_data_1[[#This Row],[Quantity_Sold]],2), "PASS", "CHECK")</f>
        <v>PASS</v>
      </c>
    </row>
    <row r="863" spans="1:20" x14ac:dyDescent="0.35">
      <c r="A863" s="7">
        <v>862</v>
      </c>
      <c r="B863" s="9">
        <v>1019</v>
      </c>
      <c r="C863" s="7" t="str">
        <f>IFERROR(_xlfn.TEXTJOIN("-", TRUE, _xlfn.XLOOKUP(K863, product_category_id_lookup!$A$2:$A$5, product_category_id_lookup!$B$2:$B$5), B863), "Unknown Category")</f>
        <v>fnt-1019</v>
      </c>
      <c r="D863" s="8">
        <v>44843</v>
      </c>
      <c r="E863" s="7">
        <f t="shared" si="39"/>
        <v>2022</v>
      </c>
      <c r="F863" s="28" t="str">
        <f t="shared" si="40"/>
        <v>Oct</v>
      </c>
      <c r="G863" s="17" t="s">
        <v>14</v>
      </c>
      <c r="H863" s="17" t="s">
        <v>15</v>
      </c>
      <c r="I863" s="24">
        <v>23936.034</v>
      </c>
      <c r="J863" s="32">
        <v>6</v>
      </c>
      <c r="K863" s="17" t="s">
        <v>16</v>
      </c>
      <c r="L863" s="24">
        <v>2022.29</v>
      </c>
      <c r="M863" s="24">
        <v>4693.34</v>
      </c>
      <c r="N863" s="34">
        <f>((sales_data_1[[#This Row],[Unit_Price]]*(1-sales_data_1[[#This Row],[Discount]]))-sales_data_1[[#This Row],[Unit_Cost]])*sales_data_1[[#This Row],[Quantity_Sold]]</f>
        <v>11802.294</v>
      </c>
      <c r="O863" s="17" t="s">
        <v>27</v>
      </c>
      <c r="P863" s="26">
        <v>0.15</v>
      </c>
      <c r="Q863" s="17" t="s">
        <v>28</v>
      </c>
      <c r="R863" s="17" t="s">
        <v>21</v>
      </c>
      <c r="S863" s="49" t="str">
        <f t="shared" si="41"/>
        <v>Bob-North</v>
      </c>
      <c r="T863" s="59" t="str">
        <f>IF(ROUND(sales_data_1[[#This Row],[Profit_Margin]],2)=ROUND((sales_data_1[[#This Row],[Unit_Price]]*(1-sales_data_1[[#This Row],[Discount]]) - sales_data_1[[#This Row],[Unit_Cost]])*sales_data_1[[#This Row],[Quantity_Sold]],2), "PASS", "CHECK")</f>
        <v>PASS</v>
      </c>
    </row>
    <row r="864" spans="1:20" x14ac:dyDescent="0.35">
      <c r="A864" s="7">
        <v>863</v>
      </c>
      <c r="B864" s="9">
        <v>1007</v>
      </c>
      <c r="C864" s="7" t="str">
        <f>IFERROR(_xlfn.TEXTJOIN("-", TRUE, _xlfn.XLOOKUP(K864, product_category_id_lookup!$A$2:$A$5, product_category_id_lookup!$B$2:$B$5), B864), "Unknown Category")</f>
        <v>ctg-1007</v>
      </c>
      <c r="D864" s="8">
        <v>44843</v>
      </c>
      <c r="E864" s="7">
        <f t="shared" si="39"/>
        <v>2022</v>
      </c>
      <c r="F864" s="28" t="str">
        <f t="shared" si="40"/>
        <v>Oct</v>
      </c>
      <c r="G864" s="17" t="s">
        <v>29</v>
      </c>
      <c r="H864" s="17" t="s">
        <v>23</v>
      </c>
      <c r="I864" s="24">
        <v>95046.890400000004</v>
      </c>
      <c r="J864" s="32">
        <v>36</v>
      </c>
      <c r="K864" s="17" t="s">
        <v>26</v>
      </c>
      <c r="L864" s="24">
        <v>2264.1</v>
      </c>
      <c r="M864" s="24">
        <v>2666.86</v>
      </c>
      <c r="N864" s="34">
        <f>((sales_data_1[[#This Row],[Unit_Price]]*(1-sales_data_1[[#This Row],[Discount]]))-sales_data_1[[#This Row],[Unit_Cost]])*sales_data_1[[#This Row],[Quantity_Sold]]</f>
        <v>13539.290400000009</v>
      </c>
      <c r="O864" s="17" t="s">
        <v>17</v>
      </c>
      <c r="P864" s="26">
        <v>0.01</v>
      </c>
      <c r="Q864" s="17" t="s">
        <v>25</v>
      </c>
      <c r="R864" s="17" t="s">
        <v>19</v>
      </c>
      <c r="S864" s="49" t="str">
        <f t="shared" si="41"/>
        <v>Charlie-South</v>
      </c>
      <c r="T864" s="59" t="str">
        <f>IF(ROUND(sales_data_1[[#This Row],[Profit_Margin]],2)=ROUND((sales_data_1[[#This Row],[Unit_Price]]*(1-sales_data_1[[#This Row],[Discount]]) - sales_data_1[[#This Row],[Unit_Cost]])*sales_data_1[[#This Row],[Quantity_Sold]],2), "PASS", "CHECK")</f>
        <v>PASS</v>
      </c>
    </row>
    <row r="865" spans="1:20" x14ac:dyDescent="0.35">
      <c r="A865" s="7">
        <v>864</v>
      </c>
      <c r="B865" s="9">
        <v>1068</v>
      </c>
      <c r="C865" s="7" t="str">
        <f>IFERROR(_xlfn.TEXTJOIN("-", TRUE, _xlfn.XLOOKUP(K865, product_category_id_lookup!$A$2:$A$5, product_category_id_lookup!$B$2:$B$5), B865), "Unknown Category")</f>
        <v>fnt-1068</v>
      </c>
      <c r="D865" s="8">
        <v>44843</v>
      </c>
      <c r="E865" s="7">
        <f t="shared" si="39"/>
        <v>2022</v>
      </c>
      <c r="F865" s="28" t="str">
        <f t="shared" si="40"/>
        <v>Oct</v>
      </c>
      <c r="G865" s="17" t="s">
        <v>33</v>
      </c>
      <c r="H865" s="17" t="s">
        <v>30</v>
      </c>
      <c r="I865" s="24">
        <v>34887.191999999995</v>
      </c>
      <c r="J865" s="32">
        <v>8</v>
      </c>
      <c r="K865" s="17" t="s">
        <v>16</v>
      </c>
      <c r="L865" s="24">
        <v>1550.85</v>
      </c>
      <c r="M865" s="24">
        <v>4590.42</v>
      </c>
      <c r="N865" s="34">
        <f>((sales_data_1[[#This Row],[Unit_Price]]*(1-sales_data_1[[#This Row],[Discount]]))-sales_data_1[[#This Row],[Unit_Cost]])*sales_data_1[[#This Row],[Quantity_Sold]]</f>
        <v>22480.391999999996</v>
      </c>
      <c r="O865" s="17" t="s">
        <v>27</v>
      </c>
      <c r="P865" s="26">
        <v>0.05</v>
      </c>
      <c r="Q865" s="17" t="s">
        <v>25</v>
      </c>
      <c r="R865" s="17" t="s">
        <v>19</v>
      </c>
      <c r="S865" s="49" t="str">
        <f t="shared" si="41"/>
        <v>Alice-East</v>
      </c>
      <c r="T865" s="59" t="str">
        <f>IF(ROUND(sales_data_1[[#This Row],[Profit_Margin]],2)=ROUND((sales_data_1[[#This Row],[Unit_Price]]*(1-sales_data_1[[#This Row],[Discount]]) - sales_data_1[[#This Row],[Unit_Cost]])*sales_data_1[[#This Row],[Quantity_Sold]],2), "PASS", "CHECK")</f>
        <v>PASS</v>
      </c>
    </row>
    <row r="866" spans="1:20" x14ac:dyDescent="0.35">
      <c r="A866" s="7">
        <v>865</v>
      </c>
      <c r="B866" s="9">
        <v>1092</v>
      </c>
      <c r="C866" s="7" t="str">
        <f>IFERROR(_xlfn.TEXTJOIN("-", TRUE, _xlfn.XLOOKUP(K866, product_category_id_lookup!$A$2:$A$5, product_category_id_lookup!$B$2:$B$5), B866), "Unknown Category")</f>
        <v>fnt-1092</v>
      </c>
      <c r="D866" s="8">
        <v>44843</v>
      </c>
      <c r="E866" s="7">
        <f t="shared" si="39"/>
        <v>2022</v>
      </c>
      <c r="F866" s="28" t="str">
        <f t="shared" si="40"/>
        <v>Oct</v>
      </c>
      <c r="G866" s="17" t="s">
        <v>14</v>
      </c>
      <c r="H866" s="17" t="s">
        <v>20</v>
      </c>
      <c r="I866" s="24">
        <v>158088.95849999998</v>
      </c>
      <c r="J866" s="32">
        <v>33</v>
      </c>
      <c r="K866" s="17" t="s">
        <v>16</v>
      </c>
      <c r="L866" s="24">
        <v>3722.01</v>
      </c>
      <c r="M866" s="24">
        <v>5042.71</v>
      </c>
      <c r="N866" s="34">
        <f>((sales_data_1[[#This Row],[Unit_Price]]*(1-sales_data_1[[#This Row],[Discount]]))-sales_data_1[[#This Row],[Unit_Cost]])*sales_data_1[[#This Row],[Quantity_Sold]]</f>
        <v>35262.628499999984</v>
      </c>
      <c r="O866" s="17" t="s">
        <v>17</v>
      </c>
      <c r="P866" s="26">
        <v>0.05</v>
      </c>
      <c r="Q866" s="17" t="s">
        <v>18</v>
      </c>
      <c r="R866" s="17" t="s">
        <v>21</v>
      </c>
      <c r="S866" s="49" t="str">
        <f t="shared" si="41"/>
        <v>Bob-West</v>
      </c>
      <c r="T866" s="59" t="str">
        <f>IF(ROUND(sales_data_1[[#This Row],[Profit_Margin]],2)=ROUND((sales_data_1[[#This Row],[Unit_Price]]*(1-sales_data_1[[#This Row],[Discount]]) - sales_data_1[[#This Row],[Unit_Cost]])*sales_data_1[[#This Row],[Quantity_Sold]],2), "PASS", "CHECK")</f>
        <v>PASS</v>
      </c>
    </row>
    <row r="867" spans="1:20" x14ac:dyDescent="0.35">
      <c r="A867" s="7">
        <v>866</v>
      </c>
      <c r="B867" s="9">
        <v>1015</v>
      </c>
      <c r="C867" s="7" t="str">
        <f>IFERROR(_xlfn.TEXTJOIN("-", TRUE, _xlfn.XLOOKUP(K867, product_category_id_lookup!$A$2:$A$5, product_category_id_lookup!$B$2:$B$5), B867), "Unknown Category")</f>
        <v>etc-1015</v>
      </c>
      <c r="D867" s="8">
        <v>44843</v>
      </c>
      <c r="E867" s="7">
        <f t="shared" si="39"/>
        <v>2022</v>
      </c>
      <c r="F867" s="28" t="str">
        <f t="shared" si="40"/>
        <v>Oct</v>
      </c>
      <c r="G867" s="17" t="s">
        <v>32</v>
      </c>
      <c r="H867" s="17" t="s">
        <v>30</v>
      </c>
      <c r="I867" s="24">
        <v>102361.1358</v>
      </c>
      <c r="J867" s="32">
        <v>38</v>
      </c>
      <c r="K867" s="17" t="s">
        <v>31</v>
      </c>
      <c r="L867" s="24">
        <v>1343.64</v>
      </c>
      <c r="M867" s="24">
        <v>3498.33</v>
      </c>
      <c r="N867" s="34">
        <f>((sales_data_1[[#This Row],[Unit_Price]]*(1-sales_data_1[[#This Row],[Discount]]))-sales_data_1[[#This Row],[Unit_Cost]])*sales_data_1[[#This Row],[Quantity_Sold]]</f>
        <v>51302.815800000004</v>
      </c>
      <c r="O867" s="17" t="s">
        <v>17</v>
      </c>
      <c r="P867" s="26">
        <v>0.23</v>
      </c>
      <c r="Q867" s="17" t="s">
        <v>28</v>
      </c>
      <c r="R867" s="17" t="s">
        <v>19</v>
      </c>
      <c r="S867" s="49" t="str">
        <f t="shared" si="41"/>
        <v>Eve-East</v>
      </c>
      <c r="T867" s="59" t="str">
        <f>IF(ROUND(sales_data_1[[#This Row],[Profit_Margin]],2)=ROUND((sales_data_1[[#This Row],[Unit_Price]]*(1-sales_data_1[[#This Row],[Discount]]) - sales_data_1[[#This Row],[Unit_Cost]])*sales_data_1[[#This Row],[Quantity_Sold]],2), "PASS", "CHECK")</f>
        <v>PASS</v>
      </c>
    </row>
    <row r="868" spans="1:20" x14ac:dyDescent="0.35">
      <c r="A868" s="7">
        <v>867</v>
      </c>
      <c r="B868" s="9">
        <v>1025</v>
      </c>
      <c r="C868" s="7" t="str">
        <f>IFERROR(_xlfn.TEXTJOIN("-", TRUE, _xlfn.XLOOKUP(K868, product_category_id_lookup!$A$2:$A$5, product_category_id_lookup!$B$2:$B$5), B868), "Unknown Category")</f>
        <v>fd-1025</v>
      </c>
      <c r="D868" s="8">
        <v>44844</v>
      </c>
      <c r="E868" s="7">
        <f t="shared" si="39"/>
        <v>2022</v>
      </c>
      <c r="F868" s="28" t="str">
        <f t="shared" si="40"/>
        <v>Oct</v>
      </c>
      <c r="G868" s="17" t="s">
        <v>32</v>
      </c>
      <c r="H868" s="17" t="s">
        <v>20</v>
      </c>
      <c r="I868" s="24">
        <v>97856.351999999999</v>
      </c>
      <c r="J868" s="32">
        <v>48</v>
      </c>
      <c r="K868" s="17" t="s">
        <v>24</v>
      </c>
      <c r="L868" s="24">
        <v>1808.25</v>
      </c>
      <c r="M868" s="24">
        <v>2398.44</v>
      </c>
      <c r="N868" s="34">
        <f>((sales_data_1[[#This Row],[Unit_Price]]*(1-sales_data_1[[#This Row],[Discount]]))-sales_data_1[[#This Row],[Unit_Cost]])*sales_data_1[[#This Row],[Quantity_Sold]]</f>
        <v>11060.351999999999</v>
      </c>
      <c r="O868" s="17" t="s">
        <v>27</v>
      </c>
      <c r="P868" s="26">
        <v>0.15</v>
      </c>
      <c r="Q868" s="17" t="s">
        <v>28</v>
      </c>
      <c r="R868" s="17" t="s">
        <v>21</v>
      </c>
      <c r="S868" s="49" t="str">
        <f t="shared" si="41"/>
        <v>Eve-West</v>
      </c>
      <c r="T868" s="59" t="str">
        <f>IF(ROUND(sales_data_1[[#This Row],[Profit_Margin]],2)=ROUND((sales_data_1[[#This Row],[Unit_Price]]*(1-sales_data_1[[#This Row],[Discount]]) - sales_data_1[[#This Row],[Unit_Cost]])*sales_data_1[[#This Row],[Quantity_Sold]],2), "PASS", "CHECK")</f>
        <v>PASS</v>
      </c>
    </row>
    <row r="869" spans="1:20" x14ac:dyDescent="0.35">
      <c r="A869" s="7">
        <v>868</v>
      </c>
      <c r="B869" s="9">
        <v>1074</v>
      </c>
      <c r="C869" s="7" t="str">
        <f>IFERROR(_xlfn.TEXTJOIN("-", TRUE, _xlfn.XLOOKUP(K869, product_category_id_lookup!$A$2:$A$5, product_category_id_lookup!$B$2:$B$5), B869), "Unknown Category")</f>
        <v>fd-1074</v>
      </c>
      <c r="D869" s="8">
        <v>44844</v>
      </c>
      <c r="E869" s="7">
        <f t="shared" si="39"/>
        <v>2022</v>
      </c>
      <c r="F869" s="28" t="str">
        <f t="shared" si="40"/>
        <v>Oct</v>
      </c>
      <c r="G869" s="17" t="s">
        <v>32</v>
      </c>
      <c r="H869" s="17" t="s">
        <v>30</v>
      </c>
      <c r="I869" s="24">
        <v>116675.04000000001</v>
      </c>
      <c r="J869" s="32">
        <v>30</v>
      </c>
      <c r="K869" s="17" t="s">
        <v>24</v>
      </c>
      <c r="L869" s="24">
        <v>3424.61</v>
      </c>
      <c r="M869" s="24">
        <v>4861.46</v>
      </c>
      <c r="N869" s="34">
        <f>((sales_data_1[[#This Row],[Unit_Price]]*(1-sales_data_1[[#This Row],[Discount]]))-sales_data_1[[#This Row],[Unit_Cost]])*sales_data_1[[#This Row],[Quantity_Sold]]</f>
        <v>13936.74</v>
      </c>
      <c r="O869" s="17" t="s">
        <v>27</v>
      </c>
      <c r="P869" s="26">
        <v>0.2</v>
      </c>
      <c r="Q869" s="17" t="s">
        <v>28</v>
      </c>
      <c r="R869" s="17" t="s">
        <v>19</v>
      </c>
      <c r="S869" s="49" t="str">
        <f t="shared" si="41"/>
        <v>Eve-East</v>
      </c>
      <c r="T869" s="59" t="str">
        <f>IF(ROUND(sales_data_1[[#This Row],[Profit_Margin]],2)=ROUND((sales_data_1[[#This Row],[Unit_Price]]*(1-sales_data_1[[#This Row],[Discount]]) - sales_data_1[[#This Row],[Unit_Cost]])*sales_data_1[[#This Row],[Quantity_Sold]],2), "PASS", "CHECK")</f>
        <v>PASS</v>
      </c>
    </row>
    <row r="870" spans="1:20" x14ac:dyDescent="0.35">
      <c r="A870" s="7">
        <v>869</v>
      </c>
      <c r="B870" s="9">
        <v>1011</v>
      </c>
      <c r="C870" s="7" t="str">
        <f>IFERROR(_xlfn.TEXTJOIN("-", TRUE, _xlfn.XLOOKUP(K870, product_category_id_lookup!$A$2:$A$5, product_category_id_lookup!$B$2:$B$5), B870), "Unknown Category")</f>
        <v>etc-1011</v>
      </c>
      <c r="D870" s="8">
        <v>44844</v>
      </c>
      <c r="E870" s="7">
        <f t="shared" si="39"/>
        <v>2022</v>
      </c>
      <c r="F870" s="28" t="str">
        <f t="shared" si="40"/>
        <v>Oct</v>
      </c>
      <c r="G870" s="17" t="s">
        <v>33</v>
      </c>
      <c r="H870" s="17" t="s">
        <v>15</v>
      </c>
      <c r="I870" s="24">
        <v>79405.470699999991</v>
      </c>
      <c r="J870" s="32">
        <v>19</v>
      </c>
      <c r="K870" s="17" t="s">
        <v>31</v>
      </c>
      <c r="L870" s="24">
        <v>2370.54</v>
      </c>
      <c r="M870" s="24">
        <v>4308.49</v>
      </c>
      <c r="N870" s="34">
        <f>((sales_data_1[[#This Row],[Unit_Price]]*(1-sales_data_1[[#This Row],[Discount]]))-sales_data_1[[#This Row],[Unit_Cost]])*sales_data_1[[#This Row],[Quantity_Sold]]</f>
        <v>34365.210699999989</v>
      </c>
      <c r="O870" s="17" t="s">
        <v>17</v>
      </c>
      <c r="P870" s="26">
        <v>0.03</v>
      </c>
      <c r="Q870" s="17" t="s">
        <v>28</v>
      </c>
      <c r="R870" s="17" t="s">
        <v>19</v>
      </c>
      <c r="S870" s="49" t="str">
        <f t="shared" si="41"/>
        <v>Alice-North</v>
      </c>
      <c r="T870" s="59" t="str">
        <f>IF(ROUND(sales_data_1[[#This Row],[Profit_Margin]],2)=ROUND((sales_data_1[[#This Row],[Unit_Price]]*(1-sales_data_1[[#This Row],[Discount]]) - sales_data_1[[#This Row],[Unit_Cost]])*sales_data_1[[#This Row],[Quantity_Sold]],2), "PASS", "CHECK")</f>
        <v>PASS</v>
      </c>
    </row>
    <row r="871" spans="1:20" x14ac:dyDescent="0.35">
      <c r="A871" s="7">
        <v>870</v>
      </c>
      <c r="B871" s="9">
        <v>1005</v>
      </c>
      <c r="C871" s="7" t="str">
        <f>IFERROR(_xlfn.TEXTJOIN("-", TRUE, _xlfn.XLOOKUP(K871, product_category_id_lookup!$A$2:$A$5, product_category_id_lookup!$B$2:$B$5), B871), "Unknown Category")</f>
        <v>ctg-1005</v>
      </c>
      <c r="D871" s="8">
        <v>44844</v>
      </c>
      <c r="E871" s="7">
        <f t="shared" si="39"/>
        <v>2022</v>
      </c>
      <c r="F871" s="28" t="str">
        <f t="shared" si="40"/>
        <v>Oct</v>
      </c>
      <c r="G871" s="17" t="s">
        <v>29</v>
      </c>
      <c r="H871" s="17" t="s">
        <v>15</v>
      </c>
      <c r="I871" s="24">
        <v>128746.128</v>
      </c>
      <c r="J871" s="32">
        <v>38</v>
      </c>
      <c r="K871" s="17" t="s">
        <v>26</v>
      </c>
      <c r="L871" s="24">
        <v>1720.41</v>
      </c>
      <c r="M871" s="24">
        <v>3939.6</v>
      </c>
      <c r="N871" s="34">
        <f>((sales_data_1[[#This Row],[Unit_Price]]*(1-sales_data_1[[#This Row],[Discount]]))-sales_data_1[[#This Row],[Unit_Cost]])*sales_data_1[[#This Row],[Quantity_Sold]]</f>
        <v>63370.547999999995</v>
      </c>
      <c r="O871" s="17" t="s">
        <v>17</v>
      </c>
      <c r="P871" s="26">
        <v>0.14000000000000001</v>
      </c>
      <c r="Q871" s="17" t="s">
        <v>25</v>
      </c>
      <c r="R871" s="17" t="s">
        <v>21</v>
      </c>
      <c r="S871" s="49" t="str">
        <f t="shared" si="41"/>
        <v>Charlie-North</v>
      </c>
      <c r="T871" s="59" t="str">
        <f>IF(ROUND(sales_data_1[[#This Row],[Profit_Margin]],2)=ROUND((sales_data_1[[#This Row],[Unit_Price]]*(1-sales_data_1[[#This Row],[Discount]]) - sales_data_1[[#This Row],[Unit_Cost]])*sales_data_1[[#This Row],[Quantity_Sold]],2), "PASS", "CHECK")</f>
        <v>PASS</v>
      </c>
    </row>
    <row r="872" spans="1:20" x14ac:dyDescent="0.35">
      <c r="A872" s="7">
        <v>871</v>
      </c>
      <c r="B872" s="9">
        <v>1029</v>
      </c>
      <c r="C872" s="7" t="str">
        <f>IFERROR(_xlfn.TEXTJOIN("-", TRUE, _xlfn.XLOOKUP(K872, product_category_id_lookup!$A$2:$A$5, product_category_id_lookup!$B$2:$B$5), B872), "Unknown Category")</f>
        <v>fd-1029</v>
      </c>
      <c r="D872" s="8">
        <v>44844</v>
      </c>
      <c r="E872" s="7">
        <f t="shared" si="39"/>
        <v>2022</v>
      </c>
      <c r="F872" s="28" t="str">
        <f t="shared" si="40"/>
        <v>Oct</v>
      </c>
      <c r="G872" s="17" t="s">
        <v>29</v>
      </c>
      <c r="H872" s="17" t="s">
        <v>20</v>
      </c>
      <c r="I872" s="24">
        <v>120717.34000000001</v>
      </c>
      <c r="J872" s="32">
        <v>34</v>
      </c>
      <c r="K872" s="17" t="s">
        <v>24</v>
      </c>
      <c r="L872" s="24">
        <v>1189.76</v>
      </c>
      <c r="M872" s="24">
        <v>3550.51</v>
      </c>
      <c r="N872" s="34">
        <f>((sales_data_1[[#This Row],[Unit_Price]]*(1-sales_data_1[[#This Row],[Discount]]))-sales_data_1[[#This Row],[Unit_Cost]])*sales_data_1[[#This Row],[Quantity_Sold]]</f>
        <v>80265.5</v>
      </c>
      <c r="O872" s="17" t="s">
        <v>17</v>
      </c>
      <c r="P872" s="26">
        <v>0</v>
      </c>
      <c r="Q872" s="17" t="s">
        <v>25</v>
      </c>
      <c r="R872" s="17" t="s">
        <v>19</v>
      </c>
      <c r="S872" s="49" t="str">
        <f t="shared" si="41"/>
        <v>Charlie-West</v>
      </c>
      <c r="T872" s="59" t="str">
        <f>IF(ROUND(sales_data_1[[#This Row],[Profit_Margin]],2)=ROUND((sales_data_1[[#This Row],[Unit_Price]]*(1-sales_data_1[[#This Row],[Discount]]) - sales_data_1[[#This Row],[Unit_Cost]])*sales_data_1[[#This Row],[Quantity_Sold]],2), "PASS", "CHECK")</f>
        <v>PASS</v>
      </c>
    </row>
    <row r="873" spans="1:20" x14ac:dyDescent="0.35">
      <c r="A873" s="7">
        <v>872</v>
      </c>
      <c r="B873" s="9">
        <v>1089</v>
      </c>
      <c r="C873" s="7" t="str">
        <f>IFERROR(_xlfn.TEXTJOIN("-", TRUE, _xlfn.XLOOKUP(K873, product_category_id_lookup!$A$2:$A$5, product_category_id_lookup!$B$2:$B$5), B873), "Unknown Category")</f>
        <v>fd-1089</v>
      </c>
      <c r="D873" s="8">
        <v>44845</v>
      </c>
      <c r="E873" s="7">
        <f t="shared" si="39"/>
        <v>2022</v>
      </c>
      <c r="F873" s="28" t="str">
        <f t="shared" si="40"/>
        <v>Oct</v>
      </c>
      <c r="G873" s="17" t="s">
        <v>29</v>
      </c>
      <c r="H873" s="17" t="s">
        <v>15</v>
      </c>
      <c r="I873" s="24">
        <v>74626.239600000001</v>
      </c>
      <c r="J873" s="32">
        <v>34</v>
      </c>
      <c r="K873" s="17" t="s">
        <v>24</v>
      </c>
      <c r="L873" s="24">
        <v>1465.9</v>
      </c>
      <c r="M873" s="24">
        <v>2709.74</v>
      </c>
      <c r="N873" s="34">
        <f>((sales_data_1[[#This Row],[Unit_Price]]*(1-sales_data_1[[#This Row],[Discount]]))-sales_data_1[[#This Row],[Unit_Cost]])*sales_data_1[[#This Row],[Quantity_Sold]]</f>
        <v>24785.639599999999</v>
      </c>
      <c r="O873" s="17" t="s">
        <v>17</v>
      </c>
      <c r="P873" s="26">
        <v>0.19</v>
      </c>
      <c r="Q873" s="17" t="s">
        <v>28</v>
      </c>
      <c r="R873" s="17" t="s">
        <v>21</v>
      </c>
      <c r="S873" s="49" t="str">
        <f t="shared" si="41"/>
        <v>Charlie-North</v>
      </c>
      <c r="T873" s="59" t="str">
        <f>IF(ROUND(sales_data_1[[#This Row],[Profit_Margin]],2)=ROUND((sales_data_1[[#This Row],[Unit_Price]]*(1-sales_data_1[[#This Row],[Discount]]) - sales_data_1[[#This Row],[Unit_Cost]])*sales_data_1[[#This Row],[Quantity_Sold]],2), "PASS", "CHECK")</f>
        <v>PASS</v>
      </c>
    </row>
    <row r="874" spans="1:20" x14ac:dyDescent="0.35">
      <c r="A874" s="7">
        <v>873</v>
      </c>
      <c r="B874" s="9">
        <v>1076</v>
      </c>
      <c r="C874" s="7" t="str">
        <f>IFERROR(_xlfn.TEXTJOIN("-", TRUE, _xlfn.XLOOKUP(K874, product_category_id_lookup!$A$2:$A$5, product_category_id_lookup!$B$2:$B$5), B874), "Unknown Category")</f>
        <v>fnt-1076</v>
      </c>
      <c r="D874" s="8">
        <v>44845</v>
      </c>
      <c r="E874" s="7">
        <f t="shared" si="39"/>
        <v>2022</v>
      </c>
      <c r="F874" s="28" t="str">
        <f t="shared" si="40"/>
        <v>Oct</v>
      </c>
      <c r="G874" s="17" t="s">
        <v>29</v>
      </c>
      <c r="H874" s="17" t="s">
        <v>23</v>
      </c>
      <c r="I874" s="24">
        <v>95753.469599999982</v>
      </c>
      <c r="J874" s="32">
        <v>24</v>
      </c>
      <c r="K874" s="17" t="s">
        <v>16</v>
      </c>
      <c r="L874" s="24">
        <v>1079.76</v>
      </c>
      <c r="M874" s="24">
        <v>4290.03</v>
      </c>
      <c r="N874" s="34">
        <f>((sales_data_1[[#This Row],[Unit_Price]]*(1-sales_data_1[[#This Row],[Discount]]))-sales_data_1[[#This Row],[Unit_Cost]])*sales_data_1[[#This Row],[Quantity_Sold]]</f>
        <v>69839.229599999991</v>
      </c>
      <c r="O874" s="17" t="s">
        <v>27</v>
      </c>
      <c r="P874" s="26">
        <v>7.0000000000000007E-2</v>
      </c>
      <c r="Q874" s="17" t="s">
        <v>18</v>
      </c>
      <c r="R874" s="17" t="s">
        <v>19</v>
      </c>
      <c r="S874" s="49" t="str">
        <f t="shared" si="41"/>
        <v>Charlie-South</v>
      </c>
      <c r="T874" s="59" t="str">
        <f>IF(ROUND(sales_data_1[[#This Row],[Profit_Margin]],2)=ROUND((sales_data_1[[#This Row],[Unit_Price]]*(1-sales_data_1[[#This Row],[Discount]]) - sales_data_1[[#This Row],[Unit_Cost]])*sales_data_1[[#This Row],[Quantity_Sold]],2), "PASS", "CHECK")</f>
        <v>PASS</v>
      </c>
    </row>
    <row r="875" spans="1:20" x14ac:dyDescent="0.35">
      <c r="A875" s="7">
        <v>874</v>
      </c>
      <c r="B875" s="9">
        <v>1062</v>
      </c>
      <c r="C875" s="7" t="str">
        <f>IFERROR(_xlfn.TEXTJOIN("-", TRUE, _xlfn.XLOOKUP(K875, product_category_id_lookup!$A$2:$A$5, product_category_id_lookup!$B$2:$B$5), B875), "Unknown Category")</f>
        <v>ctg-1062</v>
      </c>
      <c r="D875" s="8">
        <v>44845</v>
      </c>
      <c r="E875" s="7">
        <f t="shared" si="39"/>
        <v>2022</v>
      </c>
      <c r="F875" s="28" t="str">
        <f t="shared" si="40"/>
        <v>Oct</v>
      </c>
      <c r="G875" s="17" t="s">
        <v>29</v>
      </c>
      <c r="H875" s="17" t="s">
        <v>23</v>
      </c>
      <c r="I875" s="24">
        <v>128768.1596</v>
      </c>
      <c r="J875" s="32">
        <v>31</v>
      </c>
      <c r="K875" s="17" t="s">
        <v>26</v>
      </c>
      <c r="L875" s="24">
        <v>1638.63</v>
      </c>
      <c r="M875" s="24">
        <v>4282.28</v>
      </c>
      <c r="N875" s="34">
        <f>((sales_data_1[[#This Row],[Unit_Price]]*(1-sales_data_1[[#This Row],[Discount]]))-sales_data_1[[#This Row],[Unit_Cost]])*sales_data_1[[#This Row],[Quantity_Sold]]</f>
        <v>77970.6296</v>
      </c>
      <c r="O875" s="17" t="s">
        <v>27</v>
      </c>
      <c r="P875" s="26">
        <v>0.03</v>
      </c>
      <c r="Q875" s="17" t="s">
        <v>25</v>
      </c>
      <c r="R875" s="17" t="s">
        <v>21</v>
      </c>
      <c r="S875" s="49" t="str">
        <f t="shared" si="41"/>
        <v>Charlie-South</v>
      </c>
      <c r="T875" s="59" t="str">
        <f>IF(ROUND(sales_data_1[[#This Row],[Profit_Margin]],2)=ROUND((sales_data_1[[#This Row],[Unit_Price]]*(1-sales_data_1[[#This Row],[Discount]]) - sales_data_1[[#This Row],[Unit_Cost]])*sales_data_1[[#This Row],[Quantity_Sold]],2), "PASS", "CHECK")</f>
        <v>PASS</v>
      </c>
    </row>
    <row r="876" spans="1:20" x14ac:dyDescent="0.35">
      <c r="A876" s="7">
        <v>875</v>
      </c>
      <c r="B876" s="9">
        <v>1056</v>
      </c>
      <c r="C876" s="7" t="str">
        <f>IFERROR(_xlfn.TEXTJOIN("-", TRUE, _xlfn.XLOOKUP(K876, product_category_id_lookup!$A$2:$A$5, product_category_id_lookup!$B$2:$B$5), B876), "Unknown Category")</f>
        <v>etc-1056</v>
      </c>
      <c r="D876" s="8">
        <v>44846</v>
      </c>
      <c r="E876" s="7">
        <f t="shared" si="39"/>
        <v>2022</v>
      </c>
      <c r="F876" s="28" t="str">
        <f t="shared" si="40"/>
        <v>Oct</v>
      </c>
      <c r="G876" s="17" t="s">
        <v>14</v>
      </c>
      <c r="H876" s="17" t="s">
        <v>20</v>
      </c>
      <c r="I876" s="24">
        <v>72511.52459999999</v>
      </c>
      <c r="J876" s="32">
        <v>29</v>
      </c>
      <c r="K876" s="17" t="s">
        <v>31</v>
      </c>
      <c r="L876" s="24">
        <v>834.37</v>
      </c>
      <c r="M876" s="24">
        <v>2874.02</v>
      </c>
      <c r="N876" s="34">
        <f>((sales_data_1[[#This Row],[Unit_Price]]*(1-sales_data_1[[#This Row],[Discount]]))-sales_data_1[[#This Row],[Unit_Cost]])*sales_data_1[[#This Row],[Quantity_Sold]]</f>
        <v>48314.794600000001</v>
      </c>
      <c r="O876" s="17" t="s">
        <v>17</v>
      </c>
      <c r="P876" s="26">
        <v>0.13</v>
      </c>
      <c r="Q876" s="17" t="s">
        <v>18</v>
      </c>
      <c r="R876" s="17" t="s">
        <v>19</v>
      </c>
      <c r="S876" s="49" t="str">
        <f t="shared" si="41"/>
        <v>Bob-West</v>
      </c>
      <c r="T876" s="59" t="str">
        <f>IF(ROUND(sales_data_1[[#This Row],[Profit_Margin]],2)=ROUND((sales_data_1[[#This Row],[Unit_Price]]*(1-sales_data_1[[#This Row],[Discount]]) - sales_data_1[[#This Row],[Unit_Cost]])*sales_data_1[[#This Row],[Quantity_Sold]],2), "PASS", "CHECK")</f>
        <v>PASS</v>
      </c>
    </row>
    <row r="877" spans="1:20" x14ac:dyDescent="0.35">
      <c r="A877" s="7">
        <v>876</v>
      </c>
      <c r="B877" s="9">
        <v>1001</v>
      </c>
      <c r="C877" s="7" t="str">
        <f>IFERROR(_xlfn.TEXTJOIN("-", TRUE, _xlfn.XLOOKUP(K877, product_category_id_lookup!$A$2:$A$5, product_category_id_lookup!$B$2:$B$5), B877), "Unknown Category")</f>
        <v>etc-1001</v>
      </c>
      <c r="D877" s="8">
        <v>44846</v>
      </c>
      <c r="E877" s="7">
        <f t="shared" si="39"/>
        <v>2022</v>
      </c>
      <c r="F877" s="28" t="str">
        <f t="shared" si="40"/>
        <v>Oct</v>
      </c>
      <c r="G877" s="17" t="s">
        <v>22</v>
      </c>
      <c r="H877" s="17" t="s">
        <v>20</v>
      </c>
      <c r="I877" s="24">
        <v>127775.0019</v>
      </c>
      <c r="J877" s="32">
        <v>39</v>
      </c>
      <c r="K877" s="17" t="s">
        <v>31</v>
      </c>
      <c r="L877" s="24">
        <v>434.41</v>
      </c>
      <c r="M877" s="24">
        <v>3600.31</v>
      </c>
      <c r="N877" s="34">
        <f>((sales_data_1[[#This Row],[Unit_Price]]*(1-sales_data_1[[#This Row],[Discount]]))-sales_data_1[[#This Row],[Unit_Cost]])*sales_data_1[[#This Row],[Quantity_Sold]]</f>
        <v>110833.0119</v>
      </c>
      <c r="O877" s="17" t="s">
        <v>27</v>
      </c>
      <c r="P877" s="26">
        <v>0.09</v>
      </c>
      <c r="Q877" s="17" t="s">
        <v>25</v>
      </c>
      <c r="R877" s="17" t="s">
        <v>19</v>
      </c>
      <c r="S877" s="49" t="str">
        <f t="shared" si="41"/>
        <v>David-West</v>
      </c>
      <c r="T877" s="59" t="str">
        <f>IF(ROUND(sales_data_1[[#This Row],[Profit_Margin]],2)=ROUND((sales_data_1[[#This Row],[Unit_Price]]*(1-sales_data_1[[#This Row],[Discount]]) - sales_data_1[[#This Row],[Unit_Cost]])*sales_data_1[[#This Row],[Quantity_Sold]],2), "PASS", "CHECK")</f>
        <v>PASS</v>
      </c>
    </row>
    <row r="878" spans="1:20" x14ac:dyDescent="0.35">
      <c r="A878" s="7">
        <v>877</v>
      </c>
      <c r="B878" s="9">
        <v>1056</v>
      </c>
      <c r="C878" s="7" t="str">
        <f>IFERROR(_xlfn.TEXTJOIN("-", TRUE, _xlfn.XLOOKUP(K878, product_category_id_lookup!$A$2:$A$5, product_category_id_lookup!$B$2:$B$5), B878), "Unknown Category")</f>
        <v>ctg-1056</v>
      </c>
      <c r="D878" s="8">
        <v>44846</v>
      </c>
      <c r="E878" s="7">
        <f t="shared" si="39"/>
        <v>2022</v>
      </c>
      <c r="F878" s="28" t="str">
        <f t="shared" si="40"/>
        <v>Oct</v>
      </c>
      <c r="G878" s="17" t="s">
        <v>32</v>
      </c>
      <c r="H878" s="17" t="s">
        <v>23</v>
      </c>
      <c r="I878" s="24">
        <v>166000.7475</v>
      </c>
      <c r="J878" s="32">
        <v>43</v>
      </c>
      <c r="K878" s="17" t="s">
        <v>26</v>
      </c>
      <c r="L878" s="24">
        <v>622.61</v>
      </c>
      <c r="M878" s="24">
        <v>5147.3100000000004</v>
      </c>
      <c r="N878" s="34">
        <f>((sales_data_1[[#This Row],[Unit_Price]]*(1-sales_data_1[[#This Row],[Discount]]))-sales_data_1[[#This Row],[Unit_Cost]])*sales_data_1[[#This Row],[Quantity_Sold]]</f>
        <v>139228.51749999999</v>
      </c>
      <c r="O878" s="17" t="s">
        <v>27</v>
      </c>
      <c r="P878" s="26">
        <v>0.25</v>
      </c>
      <c r="Q878" s="17" t="s">
        <v>28</v>
      </c>
      <c r="R878" s="17" t="s">
        <v>19</v>
      </c>
      <c r="S878" s="49" t="str">
        <f t="shared" si="41"/>
        <v>Eve-South</v>
      </c>
      <c r="T878" s="59" t="str">
        <f>IF(ROUND(sales_data_1[[#This Row],[Profit_Margin]],2)=ROUND((sales_data_1[[#This Row],[Unit_Price]]*(1-sales_data_1[[#This Row],[Discount]]) - sales_data_1[[#This Row],[Unit_Cost]])*sales_data_1[[#This Row],[Quantity_Sold]],2), "PASS", "CHECK")</f>
        <v>PASS</v>
      </c>
    </row>
    <row r="879" spans="1:20" x14ac:dyDescent="0.35">
      <c r="A879" s="7">
        <v>878</v>
      </c>
      <c r="B879" s="9">
        <v>1031</v>
      </c>
      <c r="C879" s="7" t="str">
        <f>IFERROR(_xlfn.TEXTJOIN("-", TRUE, _xlfn.XLOOKUP(K879, product_category_id_lookup!$A$2:$A$5, product_category_id_lookup!$B$2:$B$5), B879), "Unknown Category")</f>
        <v>etc-1031</v>
      </c>
      <c r="D879" s="8">
        <v>44847</v>
      </c>
      <c r="E879" s="7">
        <f t="shared" si="39"/>
        <v>2022</v>
      </c>
      <c r="F879" s="28" t="str">
        <f t="shared" si="40"/>
        <v>Oct</v>
      </c>
      <c r="G879" s="17" t="s">
        <v>29</v>
      </c>
      <c r="H879" s="17" t="s">
        <v>15</v>
      </c>
      <c r="I879" s="24">
        <v>13505.373581213931</v>
      </c>
      <c r="J879" s="32">
        <v>11</v>
      </c>
      <c r="K879" s="17" t="s">
        <v>31</v>
      </c>
      <c r="L879" s="24">
        <v>1176.8599999999999</v>
      </c>
      <c r="M879" s="24">
        <v>1278.1400000000001</v>
      </c>
      <c r="N879" s="34">
        <f>((sales_data_1[[#This Row],[Unit_Price]]*(1-sales_data_1[[#This Row],[Discount]]))-sales_data_1[[#This Row],[Unit_Cost]])*sales_data_1[[#This Row],[Quantity_Sold]]</f>
        <v>551.69840000000136</v>
      </c>
      <c r="O879" s="17" t="s">
        <v>17</v>
      </c>
      <c r="P879" s="26">
        <v>0.04</v>
      </c>
      <c r="Q879" s="17" t="s">
        <v>28</v>
      </c>
      <c r="R879" s="17" t="s">
        <v>19</v>
      </c>
      <c r="S879" s="49" t="str">
        <f t="shared" si="41"/>
        <v>Charlie-North</v>
      </c>
      <c r="T879" s="59" t="str">
        <f>IF(ROUND(sales_data_1[[#This Row],[Profit_Margin]],2)=ROUND((sales_data_1[[#This Row],[Unit_Price]]*(1-sales_data_1[[#This Row],[Discount]]) - sales_data_1[[#This Row],[Unit_Cost]])*sales_data_1[[#This Row],[Quantity_Sold]],2), "PASS", "CHECK")</f>
        <v>PASS</v>
      </c>
    </row>
    <row r="880" spans="1:20" x14ac:dyDescent="0.35">
      <c r="A880" s="7">
        <v>879</v>
      </c>
      <c r="B880" s="9">
        <v>1063</v>
      </c>
      <c r="C880" s="7" t="str">
        <f>IFERROR(_xlfn.TEXTJOIN("-", TRUE, _xlfn.XLOOKUP(K880, product_category_id_lookup!$A$2:$A$5, product_category_id_lookup!$B$2:$B$5), B880), "Unknown Category")</f>
        <v>fd-1063</v>
      </c>
      <c r="D880" s="8">
        <v>44847</v>
      </c>
      <c r="E880" s="7">
        <f t="shared" si="39"/>
        <v>2022</v>
      </c>
      <c r="F880" s="28" t="str">
        <f t="shared" si="40"/>
        <v>Oct</v>
      </c>
      <c r="G880" s="17" t="s">
        <v>32</v>
      </c>
      <c r="H880" s="17" t="s">
        <v>30</v>
      </c>
      <c r="I880" s="24">
        <v>23910.080680948326</v>
      </c>
      <c r="J880" s="32">
        <v>8</v>
      </c>
      <c r="K880" s="17" t="s">
        <v>24</v>
      </c>
      <c r="L880" s="24">
        <v>2757.02</v>
      </c>
      <c r="M880" s="24">
        <v>3028.26</v>
      </c>
      <c r="N880" s="34">
        <f>((sales_data_1[[#This Row],[Unit_Price]]*(1-sales_data_1[[#This Row],[Discount]]))-sales_data_1[[#This Row],[Unit_Cost]])*sales_data_1[[#This Row],[Quantity_Sold]]</f>
        <v>1927.6592000000019</v>
      </c>
      <c r="O880" s="17" t="s">
        <v>17</v>
      </c>
      <c r="P880" s="26">
        <v>0.01</v>
      </c>
      <c r="Q880" s="17" t="s">
        <v>25</v>
      </c>
      <c r="R880" s="17" t="s">
        <v>19</v>
      </c>
      <c r="S880" s="49" t="str">
        <f t="shared" si="41"/>
        <v>Eve-East</v>
      </c>
      <c r="T880" s="59" t="str">
        <f>IF(ROUND(sales_data_1[[#This Row],[Profit_Margin]],2)=ROUND((sales_data_1[[#This Row],[Unit_Price]]*(1-sales_data_1[[#This Row],[Discount]]) - sales_data_1[[#This Row],[Unit_Cost]])*sales_data_1[[#This Row],[Quantity_Sold]],2), "PASS", "CHECK")</f>
        <v>PASS</v>
      </c>
    </row>
    <row r="881" spans="1:20" x14ac:dyDescent="0.35">
      <c r="A881" s="7">
        <v>880</v>
      </c>
      <c r="B881" s="9">
        <v>1010</v>
      </c>
      <c r="C881" s="7" t="str">
        <f>IFERROR(_xlfn.TEXTJOIN("-", TRUE, _xlfn.XLOOKUP(K881, product_category_id_lookup!$A$2:$A$5, product_category_id_lookup!$B$2:$B$5), B881), "Unknown Category")</f>
        <v>ctg-1010</v>
      </c>
      <c r="D881" s="8">
        <v>44847</v>
      </c>
      <c r="E881" s="7">
        <f t="shared" si="39"/>
        <v>2022</v>
      </c>
      <c r="F881" s="28" t="str">
        <f t="shared" si="40"/>
        <v>Oct</v>
      </c>
      <c r="G881" s="17" t="s">
        <v>22</v>
      </c>
      <c r="H881" s="17" t="s">
        <v>30</v>
      </c>
      <c r="I881" s="24">
        <v>31099.067999999999</v>
      </c>
      <c r="J881" s="32">
        <v>13</v>
      </c>
      <c r="K881" s="17" t="s">
        <v>26</v>
      </c>
      <c r="L881" s="24">
        <v>1065.8599999999999</v>
      </c>
      <c r="M881" s="24">
        <v>2658.04</v>
      </c>
      <c r="N881" s="34">
        <f>((sales_data_1[[#This Row],[Unit_Price]]*(1-sales_data_1[[#This Row],[Discount]]))-sales_data_1[[#This Row],[Unit_Cost]])*sales_data_1[[#This Row],[Quantity_Sold]]</f>
        <v>17242.887999999999</v>
      </c>
      <c r="O881" s="17" t="s">
        <v>27</v>
      </c>
      <c r="P881" s="26">
        <v>0.1</v>
      </c>
      <c r="Q881" s="17" t="s">
        <v>28</v>
      </c>
      <c r="R881" s="17" t="s">
        <v>21</v>
      </c>
      <c r="S881" s="49" t="str">
        <f t="shared" si="41"/>
        <v>David-East</v>
      </c>
      <c r="T881" s="59" t="str">
        <f>IF(ROUND(sales_data_1[[#This Row],[Profit_Margin]],2)=ROUND((sales_data_1[[#This Row],[Unit_Price]]*(1-sales_data_1[[#This Row],[Discount]]) - sales_data_1[[#This Row],[Unit_Cost]])*sales_data_1[[#This Row],[Quantity_Sold]],2), "PASS", "CHECK")</f>
        <v>PASS</v>
      </c>
    </row>
    <row r="882" spans="1:20" x14ac:dyDescent="0.35">
      <c r="A882" s="7">
        <v>881</v>
      </c>
      <c r="B882" s="9">
        <v>1062</v>
      </c>
      <c r="C882" s="7" t="str">
        <f>IFERROR(_xlfn.TEXTJOIN("-", TRUE, _xlfn.XLOOKUP(K882, product_category_id_lookup!$A$2:$A$5, product_category_id_lookup!$B$2:$B$5), B882), "Unknown Category")</f>
        <v>ctg-1062</v>
      </c>
      <c r="D882" s="8">
        <v>44847</v>
      </c>
      <c r="E882" s="7">
        <f t="shared" si="39"/>
        <v>2022</v>
      </c>
      <c r="F882" s="28" t="str">
        <f t="shared" si="40"/>
        <v>Oct</v>
      </c>
      <c r="G882" s="17" t="s">
        <v>14</v>
      </c>
      <c r="H882" s="17" t="s">
        <v>20</v>
      </c>
      <c r="I882" s="24">
        <v>148711.14000000001</v>
      </c>
      <c r="J882" s="32">
        <v>37</v>
      </c>
      <c r="K882" s="17" t="s">
        <v>26</v>
      </c>
      <c r="L882" s="24">
        <v>169.61</v>
      </c>
      <c r="M882" s="24">
        <v>5358.96</v>
      </c>
      <c r="N882" s="34">
        <f>((sales_data_1[[#This Row],[Unit_Price]]*(1-sales_data_1[[#This Row],[Discount]]))-sales_data_1[[#This Row],[Unit_Cost]])*sales_data_1[[#This Row],[Quantity_Sold]]</f>
        <v>142435.57</v>
      </c>
      <c r="O882" s="17" t="s">
        <v>17</v>
      </c>
      <c r="P882" s="26">
        <v>0.25</v>
      </c>
      <c r="Q882" s="17" t="s">
        <v>28</v>
      </c>
      <c r="R882" s="17" t="s">
        <v>19</v>
      </c>
      <c r="S882" s="49" t="str">
        <f t="shared" si="41"/>
        <v>Bob-West</v>
      </c>
      <c r="T882" s="59" t="str">
        <f>IF(ROUND(sales_data_1[[#This Row],[Profit_Margin]],2)=ROUND((sales_data_1[[#This Row],[Unit_Price]]*(1-sales_data_1[[#This Row],[Discount]]) - sales_data_1[[#This Row],[Unit_Cost]])*sales_data_1[[#This Row],[Quantity_Sold]],2), "PASS", "CHECK")</f>
        <v>PASS</v>
      </c>
    </row>
    <row r="883" spans="1:20" x14ac:dyDescent="0.35">
      <c r="A883" s="7">
        <v>882</v>
      </c>
      <c r="B883" s="9">
        <v>1040</v>
      </c>
      <c r="C883" s="7" t="str">
        <f>IFERROR(_xlfn.TEXTJOIN("-", TRUE, _xlfn.XLOOKUP(K883, product_category_id_lookup!$A$2:$A$5, product_category_id_lookup!$B$2:$B$5), B883), "Unknown Category")</f>
        <v>fnt-1040</v>
      </c>
      <c r="D883" s="8">
        <v>44848</v>
      </c>
      <c r="E883" s="7">
        <f t="shared" si="39"/>
        <v>2022</v>
      </c>
      <c r="F883" s="28" t="str">
        <f t="shared" si="40"/>
        <v>Oct</v>
      </c>
      <c r="G883" s="17" t="s">
        <v>22</v>
      </c>
      <c r="H883" s="17" t="s">
        <v>15</v>
      </c>
      <c r="I883" s="24">
        <v>12929.452800000001</v>
      </c>
      <c r="J883" s="32">
        <v>4</v>
      </c>
      <c r="K883" s="17" t="s">
        <v>16</v>
      </c>
      <c r="L883" s="24">
        <v>1433.88</v>
      </c>
      <c r="M883" s="24">
        <v>3715.36</v>
      </c>
      <c r="N883" s="34">
        <f>((sales_data_1[[#This Row],[Unit_Price]]*(1-sales_data_1[[#This Row],[Discount]]))-sales_data_1[[#This Row],[Unit_Cost]])*sales_data_1[[#This Row],[Quantity_Sold]]</f>
        <v>7193.9328000000005</v>
      </c>
      <c r="O883" s="17" t="s">
        <v>17</v>
      </c>
      <c r="P883" s="26">
        <v>0.13</v>
      </c>
      <c r="Q883" s="17" t="s">
        <v>18</v>
      </c>
      <c r="R883" s="17" t="s">
        <v>21</v>
      </c>
      <c r="S883" s="49" t="str">
        <f t="shared" si="41"/>
        <v>David-North</v>
      </c>
      <c r="T883" s="59" t="str">
        <f>IF(ROUND(sales_data_1[[#This Row],[Profit_Margin]],2)=ROUND((sales_data_1[[#This Row],[Unit_Price]]*(1-sales_data_1[[#This Row],[Discount]]) - sales_data_1[[#This Row],[Unit_Cost]])*sales_data_1[[#This Row],[Quantity_Sold]],2), "PASS", "CHECK")</f>
        <v>PASS</v>
      </c>
    </row>
    <row r="884" spans="1:20" x14ac:dyDescent="0.35">
      <c r="A884" s="7">
        <v>883</v>
      </c>
      <c r="B884" s="9">
        <v>1006</v>
      </c>
      <c r="C884" s="7" t="str">
        <f>IFERROR(_xlfn.TEXTJOIN("-", TRUE, _xlfn.XLOOKUP(K884, product_category_id_lookup!$A$2:$A$5, product_category_id_lookup!$B$2:$B$5), B884), "Unknown Category")</f>
        <v>etc-1006</v>
      </c>
      <c r="D884" s="8">
        <v>44848</v>
      </c>
      <c r="E884" s="7">
        <f t="shared" si="39"/>
        <v>2022</v>
      </c>
      <c r="F884" s="28" t="str">
        <f t="shared" si="40"/>
        <v>Oct</v>
      </c>
      <c r="G884" s="17" t="s">
        <v>29</v>
      </c>
      <c r="H884" s="17" t="s">
        <v>30</v>
      </c>
      <c r="I884" s="24">
        <v>92965.683096464054</v>
      </c>
      <c r="J884" s="32">
        <v>35</v>
      </c>
      <c r="K884" s="17" t="s">
        <v>31</v>
      </c>
      <c r="L884" s="24">
        <v>2206.7600000000002</v>
      </c>
      <c r="M884" s="24">
        <v>2783.15</v>
      </c>
      <c r="N884" s="34">
        <f>((sales_data_1[[#This Row],[Unit_Price]]*(1-sales_data_1[[#This Row],[Discount]]))-sales_data_1[[#This Row],[Unit_Cost]])*sales_data_1[[#This Row],[Quantity_Sold]]</f>
        <v>15303.137499999986</v>
      </c>
      <c r="O884" s="17" t="s">
        <v>17</v>
      </c>
      <c r="P884" s="26">
        <v>0.05</v>
      </c>
      <c r="Q884" s="17" t="s">
        <v>28</v>
      </c>
      <c r="R884" s="17" t="s">
        <v>21</v>
      </c>
      <c r="S884" s="49" t="str">
        <f t="shared" si="41"/>
        <v>Charlie-East</v>
      </c>
      <c r="T884" s="59" t="str">
        <f>IF(ROUND(sales_data_1[[#This Row],[Profit_Margin]],2)=ROUND((sales_data_1[[#This Row],[Unit_Price]]*(1-sales_data_1[[#This Row],[Discount]]) - sales_data_1[[#This Row],[Unit_Cost]])*sales_data_1[[#This Row],[Quantity_Sold]],2), "PASS", "CHECK")</f>
        <v>PASS</v>
      </c>
    </row>
    <row r="885" spans="1:20" x14ac:dyDescent="0.35">
      <c r="A885" s="7">
        <v>884</v>
      </c>
      <c r="B885" s="9">
        <v>1024</v>
      </c>
      <c r="C885" s="7" t="str">
        <f>IFERROR(_xlfn.TEXTJOIN("-", TRUE, _xlfn.XLOOKUP(K885, product_category_id_lookup!$A$2:$A$5, product_category_id_lookup!$B$2:$B$5), B885), "Unknown Category")</f>
        <v>fnt-1024</v>
      </c>
      <c r="D885" s="8">
        <v>44848</v>
      </c>
      <c r="E885" s="7">
        <f t="shared" si="39"/>
        <v>2022</v>
      </c>
      <c r="F885" s="28" t="str">
        <f t="shared" si="40"/>
        <v>Oct</v>
      </c>
      <c r="G885" s="17" t="s">
        <v>22</v>
      </c>
      <c r="H885" s="17" t="s">
        <v>20</v>
      </c>
      <c r="I885" s="24">
        <v>69459.983999999997</v>
      </c>
      <c r="J885" s="32">
        <v>30</v>
      </c>
      <c r="K885" s="17" t="s">
        <v>16</v>
      </c>
      <c r="L885" s="24">
        <v>777.04</v>
      </c>
      <c r="M885" s="24">
        <v>2631.06</v>
      </c>
      <c r="N885" s="34">
        <f>((sales_data_1[[#This Row],[Unit_Price]]*(1-sales_data_1[[#This Row],[Discount]]))-sales_data_1[[#This Row],[Unit_Cost]])*sales_data_1[[#This Row],[Quantity_Sold]]</f>
        <v>46148.784000000007</v>
      </c>
      <c r="O885" s="17" t="s">
        <v>27</v>
      </c>
      <c r="P885" s="26">
        <v>0.12</v>
      </c>
      <c r="Q885" s="17" t="s">
        <v>25</v>
      </c>
      <c r="R885" s="17" t="s">
        <v>19</v>
      </c>
      <c r="S885" s="49" t="str">
        <f t="shared" si="41"/>
        <v>David-West</v>
      </c>
      <c r="T885" s="59" t="str">
        <f>IF(ROUND(sales_data_1[[#This Row],[Profit_Margin]],2)=ROUND((sales_data_1[[#This Row],[Unit_Price]]*(1-sales_data_1[[#This Row],[Discount]]) - sales_data_1[[#This Row],[Unit_Cost]])*sales_data_1[[#This Row],[Quantity_Sold]],2), "PASS", "CHECK")</f>
        <v>PASS</v>
      </c>
    </row>
    <row r="886" spans="1:20" x14ac:dyDescent="0.35">
      <c r="A886" s="7">
        <v>885</v>
      </c>
      <c r="B886" s="9">
        <v>1074</v>
      </c>
      <c r="C886" s="7" t="str">
        <f>IFERROR(_xlfn.TEXTJOIN("-", TRUE, _xlfn.XLOOKUP(K886, product_category_id_lookup!$A$2:$A$5, product_category_id_lookup!$B$2:$B$5), B886), "Unknown Category")</f>
        <v>fnt-1074</v>
      </c>
      <c r="D886" s="8">
        <v>44848</v>
      </c>
      <c r="E886" s="7">
        <f t="shared" si="39"/>
        <v>2022</v>
      </c>
      <c r="F886" s="28" t="str">
        <f t="shared" si="40"/>
        <v>Oct</v>
      </c>
      <c r="G886" s="17" t="s">
        <v>32</v>
      </c>
      <c r="H886" s="17" t="s">
        <v>15</v>
      </c>
      <c r="I886" s="24">
        <v>143056.04399999999</v>
      </c>
      <c r="J886" s="32">
        <v>45</v>
      </c>
      <c r="K886" s="17" t="s">
        <v>16</v>
      </c>
      <c r="L886" s="24">
        <v>2005.53</v>
      </c>
      <c r="M886" s="24">
        <v>4415.3100000000004</v>
      </c>
      <c r="N886" s="34">
        <f>((sales_data_1[[#This Row],[Unit_Price]]*(1-sales_data_1[[#This Row],[Discount]]))-sales_data_1[[#This Row],[Unit_Cost]])*sales_data_1[[#This Row],[Quantity_Sold]]</f>
        <v>52807.194000000003</v>
      </c>
      <c r="O886" s="17" t="s">
        <v>27</v>
      </c>
      <c r="P886" s="26">
        <v>0.28000000000000003</v>
      </c>
      <c r="Q886" s="17" t="s">
        <v>25</v>
      </c>
      <c r="R886" s="17" t="s">
        <v>21</v>
      </c>
      <c r="S886" s="49" t="str">
        <f t="shared" si="41"/>
        <v>Eve-North</v>
      </c>
      <c r="T886" s="59" t="str">
        <f>IF(ROUND(sales_data_1[[#This Row],[Profit_Margin]],2)=ROUND((sales_data_1[[#This Row],[Unit_Price]]*(1-sales_data_1[[#This Row],[Discount]]) - sales_data_1[[#This Row],[Unit_Cost]])*sales_data_1[[#This Row],[Quantity_Sold]],2), "PASS", "CHECK")</f>
        <v>PASS</v>
      </c>
    </row>
    <row r="887" spans="1:20" x14ac:dyDescent="0.35">
      <c r="A887" s="7">
        <v>886</v>
      </c>
      <c r="B887" s="9">
        <v>1034</v>
      </c>
      <c r="C887" s="7" t="str">
        <f>IFERROR(_xlfn.TEXTJOIN("-", TRUE, _xlfn.XLOOKUP(K887, product_category_id_lookup!$A$2:$A$5, product_category_id_lookup!$B$2:$B$5), B887), "Unknown Category")</f>
        <v>fd-1034</v>
      </c>
      <c r="D887" s="8">
        <v>44849</v>
      </c>
      <c r="E887" s="7">
        <f t="shared" si="39"/>
        <v>2022</v>
      </c>
      <c r="F887" s="28" t="str">
        <f t="shared" si="40"/>
        <v>Oct</v>
      </c>
      <c r="G887" s="17" t="s">
        <v>33</v>
      </c>
      <c r="H887" s="17" t="s">
        <v>15</v>
      </c>
      <c r="I887" s="24">
        <v>4441.7764000000006</v>
      </c>
      <c r="J887" s="32">
        <v>2</v>
      </c>
      <c r="K887" s="17" t="s">
        <v>24</v>
      </c>
      <c r="L887" s="24">
        <v>419.79</v>
      </c>
      <c r="M887" s="24">
        <v>2495.38</v>
      </c>
      <c r="N887" s="34">
        <f>((sales_data_1[[#This Row],[Unit_Price]]*(1-sales_data_1[[#This Row],[Discount]]))-sales_data_1[[#This Row],[Unit_Cost]])*sales_data_1[[#This Row],[Quantity_Sold]]</f>
        <v>3602.1964000000007</v>
      </c>
      <c r="O887" s="17" t="s">
        <v>17</v>
      </c>
      <c r="P887" s="26">
        <v>0.11</v>
      </c>
      <c r="Q887" s="17" t="s">
        <v>18</v>
      </c>
      <c r="R887" s="17" t="s">
        <v>19</v>
      </c>
      <c r="S887" s="49" t="str">
        <f t="shared" si="41"/>
        <v>Alice-North</v>
      </c>
      <c r="T887" s="59" t="str">
        <f>IF(ROUND(sales_data_1[[#This Row],[Profit_Margin]],2)=ROUND((sales_data_1[[#This Row],[Unit_Price]]*(1-sales_data_1[[#This Row],[Discount]]) - sales_data_1[[#This Row],[Unit_Cost]])*sales_data_1[[#This Row],[Quantity_Sold]],2), "PASS", "CHECK")</f>
        <v>PASS</v>
      </c>
    </row>
    <row r="888" spans="1:20" x14ac:dyDescent="0.35">
      <c r="A888" s="7">
        <v>887</v>
      </c>
      <c r="B888" s="9">
        <v>1063</v>
      </c>
      <c r="C888" s="7" t="str">
        <f>IFERROR(_xlfn.TEXTJOIN("-", TRUE, _xlfn.XLOOKUP(K888, product_category_id_lookup!$A$2:$A$5, product_category_id_lookup!$B$2:$B$5), B888), "Unknown Category")</f>
        <v>ctg-1063</v>
      </c>
      <c r="D888" s="8">
        <v>44849</v>
      </c>
      <c r="E888" s="7">
        <f t="shared" si="39"/>
        <v>2022</v>
      </c>
      <c r="F888" s="28" t="str">
        <f t="shared" si="40"/>
        <v>Oct</v>
      </c>
      <c r="G888" s="17" t="s">
        <v>32</v>
      </c>
      <c r="H888" s="17" t="s">
        <v>20</v>
      </c>
      <c r="I888" s="24">
        <v>89924.464066681583</v>
      </c>
      <c r="J888" s="32">
        <v>22</v>
      </c>
      <c r="K888" s="17" t="s">
        <v>26</v>
      </c>
      <c r="L888" s="24">
        <v>3772.79</v>
      </c>
      <c r="M888" s="24">
        <v>4168.34</v>
      </c>
      <c r="N888" s="34">
        <f>((sales_data_1[[#This Row],[Unit_Price]]*(1-sales_data_1[[#This Row],[Discount]]))-sales_data_1[[#This Row],[Unit_Cost]])*sales_data_1[[#This Row],[Quantity_Sold]]</f>
        <v>6868.0303999999987</v>
      </c>
      <c r="O888" s="17" t="s">
        <v>27</v>
      </c>
      <c r="P888" s="26">
        <v>0.02</v>
      </c>
      <c r="Q888" s="17" t="s">
        <v>28</v>
      </c>
      <c r="R888" s="17" t="s">
        <v>21</v>
      </c>
      <c r="S888" s="49" t="str">
        <f t="shared" si="41"/>
        <v>Eve-West</v>
      </c>
      <c r="T888" s="59" t="str">
        <f>IF(ROUND(sales_data_1[[#This Row],[Profit_Margin]],2)=ROUND((sales_data_1[[#This Row],[Unit_Price]]*(1-sales_data_1[[#This Row],[Discount]]) - sales_data_1[[#This Row],[Unit_Cost]])*sales_data_1[[#This Row],[Quantity_Sold]],2), "PASS", "CHECK")</f>
        <v>PASS</v>
      </c>
    </row>
    <row r="889" spans="1:20" x14ac:dyDescent="0.35">
      <c r="A889" s="7">
        <v>888</v>
      </c>
      <c r="B889" s="9">
        <v>1031</v>
      </c>
      <c r="C889" s="7" t="str">
        <f>IFERROR(_xlfn.TEXTJOIN("-", TRUE, _xlfn.XLOOKUP(K889, product_category_id_lookup!$A$2:$A$5, product_category_id_lookup!$B$2:$B$5), B889), "Unknown Category")</f>
        <v>etc-1031</v>
      </c>
      <c r="D889" s="8">
        <v>44849</v>
      </c>
      <c r="E889" s="7">
        <f t="shared" si="39"/>
        <v>2022</v>
      </c>
      <c r="F889" s="28" t="str">
        <f t="shared" si="40"/>
        <v>Oct</v>
      </c>
      <c r="G889" s="17" t="s">
        <v>29</v>
      </c>
      <c r="H889" s="17" t="s">
        <v>20</v>
      </c>
      <c r="I889" s="24">
        <v>23119.208000000002</v>
      </c>
      <c r="J889" s="32">
        <v>20</v>
      </c>
      <c r="K889" s="17" t="s">
        <v>31</v>
      </c>
      <c r="L889" s="24">
        <v>419.78</v>
      </c>
      <c r="M889" s="24">
        <v>1344.14</v>
      </c>
      <c r="N889" s="34">
        <f>((sales_data_1[[#This Row],[Unit_Price]]*(1-sales_data_1[[#This Row],[Discount]]))-sales_data_1[[#This Row],[Unit_Cost]])*sales_data_1[[#This Row],[Quantity_Sold]]</f>
        <v>14723.608000000004</v>
      </c>
      <c r="O889" s="17" t="s">
        <v>27</v>
      </c>
      <c r="P889" s="26">
        <v>0.14000000000000001</v>
      </c>
      <c r="Q889" s="17" t="s">
        <v>18</v>
      </c>
      <c r="R889" s="17" t="s">
        <v>19</v>
      </c>
      <c r="S889" s="49" t="str">
        <f t="shared" si="41"/>
        <v>Charlie-West</v>
      </c>
      <c r="T889" s="59" t="str">
        <f>IF(ROUND(sales_data_1[[#This Row],[Profit_Margin]],2)=ROUND((sales_data_1[[#This Row],[Unit_Price]]*(1-sales_data_1[[#This Row],[Discount]]) - sales_data_1[[#This Row],[Unit_Cost]])*sales_data_1[[#This Row],[Quantity_Sold]],2), "PASS", "CHECK")</f>
        <v>PASS</v>
      </c>
    </row>
    <row r="890" spans="1:20" x14ac:dyDescent="0.35">
      <c r="A890" s="7">
        <v>889</v>
      </c>
      <c r="B890" s="9">
        <v>1056</v>
      </c>
      <c r="C890" s="7" t="str">
        <f>IFERROR(_xlfn.TEXTJOIN("-", TRUE, _xlfn.XLOOKUP(K890, product_category_id_lookup!$A$2:$A$5, product_category_id_lookup!$B$2:$B$5), B890), "Unknown Category")</f>
        <v>fnt-1056</v>
      </c>
      <c r="D890" s="8">
        <v>44849</v>
      </c>
      <c r="E890" s="7">
        <f t="shared" si="39"/>
        <v>2022</v>
      </c>
      <c r="F890" s="28" t="str">
        <f t="shared" si="40"/>
        <v>Oct</v>
      </c>
      <c r="G890" s="17" t="s">
        <v>32</v>
      </c>
      <c r="H890" s="17" t="s">
        <v>30</v>
      </c>
      <c r="I890" s="24">
        <v>157129.54547932156</v>
      </c>
      <c r="J890" s="32">
        <v>34</v>
      </c>
      <c r="K890" s="17" t="s">
        <v>16</v>
      </c>
      <c r="L890" s="24">
        <v>3931.95</v>
      </c>
      <c r="M890" s="24">
        <v>4712.6099999999997</v>
      </c>
      <c r="N890" s="34">
        <f>((sales_data_1[[#This Row],[Unit_Price]]*(1-sales_data_1[[#This Row],[Discount]]))-sales_data_1[[#This Row],[Unit_Cost]])*sales_data_1[[#This Row],[Quantity_Sold]]</f>
        <v>23337.8652</v>
      </c>
      <c r="O890" s="17" t="s">
        <v>27</v>
      </c>
      <c r="P890" s="26">
        <v>0.02</v>
      </c>
      <c r="Q890" s="17" t="s">
        <v>18</v>
      </c>
      <c r="R890" s="17" t="s">
        <v>21</v>
      </c>
      <c r="S890" s="49" t="str">
        <f t="shared" si="41"/>
        <v>Eve-East</v>
      </c>
      <c r="T890" s="59" t="str">
        <f>IF(ROUND(sales_data_1[[#This Row],[Profit_Margin]],2)=ROUND((sales_data_1[[#This Row],[Unit_Price]]*(1-sales_data_1[[#This Row],[Discount]]) - sales_data_1[[#This Row],[Unit_Cost]])*sales_data_1[[#This Row],[Quantity_Sold]],2), "PASS", "CHECK")</f>
        <v>PASS</v>
      </c>
    </row>
    <row r="891" spans="1:20" x14ac:dyDescent="0.35">
      <c r="A891" s="7">
        <v>890</v>
      </c>
      <c r="B891" s="9">
        <v>1044</v>
      </c>
      <c r="C891" s="7" t="str">
        <f>IFERROR(_xlfn.TEXTJOIN("-", TRUE, _xlfn.XLOOKUP(K891, product_category_id_lookup!$A$2:$A$5, product_category_id_lookup!$B$2:$B$5), B891), "Unknown Category")</f>
        <v>fd-1044</v>
      </c>
      <c r="D891" s="8">
        <v>44849</v>
      </c>
      <c r="E891" s="7">
        <f t="shared" si="39"/>
        <v>2022</v>
      </c>
      <c r="F891" s="28" t="str">
        <f t="shared" si="40"/>
        <v>Oct</v>
      </c>
      <c r="G891" s="17" t="s">
        <v>33</v>
      </c>
      <c r="H891" s="17" t="s">
        <v>15</v>
      </c>
      <c r="I891" s="24">
        <v>69490.080000000016</v>
      </c>
      <c r="J891" s="32">
        <v>25</v>
      </c>
      <c r="K891" s="17" t="s">
        <v>24</v>
      </c>
      <c r="L891" s="24">
        <v>567.94000000000005</v>
      </c>
      <c r="M891" s="24">
        <v>3389.76</v>
      </c>
      <c r="N891" s="34">
        <f>((sales_data_1[[#This Row],[Unit_Price]]*(1-sales_data_1[[#This Row],[Discount]]))-sales_data_1[[#This Row],[Unit_Cost]])*sales_data_1[[#This Row],[Quantity_Sold]]</f>
        <v>55291.580000000009</v>
      </c>
      <c r="O891" s="17" t="s">
        <v>27</v>
      </c>
      <c r="P891" s="26">
        <v>0.18</v>
      </c>
      <c r="Q891" s="17" t="s">
        <v>18</v>
      </c>
      <c r="R891" s="17" t="s">
        <v>21</v>
      </c>
      <c r="S891" s="49" t="str">
        <f t="shared" si="41"/>
        <v>Alice-North</v>
      </c>
      <c r="T891" s="59" t="str">
        <f>IF(ROUND(sales_data_1[[#This Row],[Profit_Margin]],2)=ROUND((sales_data_1[[#This Row],[Unit_Price]]*(1-sales_data_1[[#This Row],[Discount]]) - sales_data_1[[#This Row],[Unit_Cost]])*sales_data_1[[#This Row],[Quantity_Sold]],2), "PASS", "CHECK")</f>
        <v>PASS</v>
      </c>
    </row>
    <row r="892" spans="1:20" x14ac:dyDescent="0.35">
      <c r="A892" s="7">
        <v>891</v>
      </c>
      <c r="B892" s="9">
        <v>1011</v>
      </c>
      <c r="C892" s="7" t="str">
        <f>IFERROR(_xlfn.TEXTJOIN("-", TRUE, _xlfn.XLOOKUP(K892, product_category_id_lookup!$A$2:$A$5, product_category_id_lookup!$B$2:$B$5), B892), "Unknown Category")</f>
        <v>fd-1011</v>
      </c>
      <c r="D892" s="8">
        <v>44850</v>
      </c>
      <c r="E892" s="7">
        <f t="shared" si="39"/>
        <v>2022</v>
      </c>
      <c r="F892" s="28" t="str">
        <f t="shared" si="40"/>
        <v>Oct</v>
      </c>
      <c r="G892" s="17" t="s">
        <v>14</v>
      </c>
      <c r="H892" s="17" t="s">
        <v>30</v>
      </c>
      <c r="I892" s="24">
        <v>51720.739766161052</v>
      </c>
      <c r="J892" s="32">
        <v>20</v>
      </c>
      <c r="K892" s="17" t="s">
        <v>24</v>
      </c>
      <c r="L892" s="24">
        <v>2530.7600000000002</v>
      </c>
      <c r="M892" s="24">
        <v>2611.1999999999998</v>
      </c>
      <c r="N892" s="34">
        <f>((sales_data_1[[#This Row],[Unit_Price]]*(1-sales_data_1[[#This Row],[Discount]]))-sales_data_1[[#This Row],[Unit_Cost]])*sales_data_1[[#This Row],[Quantity_Sold]]</f>
        <v>1086.5599999999904</v>
      </c>
      <c r="O892" s="17" t="s">
        <v>17</v>
      </c>
      <c r="P892" s="26">
        <v>0.01</v>
      </c>
      <c r="Q892" s="17" t="s">
        <v>18</v>
      </c>
      <c r="R892" s="17" t="s">
        <v>21</v>
      </c>
      <c r="S892" s="49" t="str">
        <f t="shared" si="41"/>
        <v>Bob-East</v>
      </c>
      <c r="T892" s="59" t="str">
        <f>IF(ROUND(sales_data_1[[#This Row],[Profit_Margin]],2)=ROUND((sales_data_1[[#This Row],[Unit_Price]]*(1-sales_data_1[[#This Row],[Discount]]) - sales_data_1[[#This Row],[Unit_Cost]])*sales_data_1[[#This Row],[Quantity_Sold]],2), "PASS", "CHECK")</f>
        <v>PASS</v>
      </c>
    </row>
    <row r="893" spans="1:20" x14ac:dyDescent="0.35">
      <c r="A893" s="7">
        <v>892</v>
      </c>
      <c r="B893" s="9">
        <v>1006</v>
      </c>
      <c r="C893" s="7" t="str">
        <f>IFERROR(_xlfn.TEXTJOIN("-", TRUE, _xlfn.XLOOKUP(K893, product_category_id_lookup!$A$2:$A$5, product_category_id_lookup!$B$2:$B$5), B893), "Unknown Category")</f>
        <v>fnt-1006</v>
      </c>
      <c r="D893" s="8">
        <v>44850</v>
      </c>
      <c r="E893" s="7">
        <f t="shared" si="39"/>
        <v>2022</v>
      </c>
      <c r="F893" s="28" t="str">
        <f t="shared" si="40"/>
        <v>Oct</v>
      </c>
      <c r="G893" s="17" t="s">
        <v>22</v>
      </c>
      <c r="H893" s="17" t="s">
        <v>30</v>
      </c>
      <c r="I893" s="24">
        <v>20169.966999999997</v>
      </c>
      <c r="J893" s="32">
        <v>5</v>
      </c>
      <c r="K893" s="17" t="s">
        <v>16</v>
      </c>
      <c r="L893" s="24">
        <v>2984.41</v>
      </c>
      <c r="M893" s="24">
        <v>4690.6899999999996</v>
      </c>
      <c r="N893" s="34">
        <f>((sales_data_1[[#This Row],[Unit_Price]]*(1-sales_data_1[[#This Row],[Discount]]))-sales_data_1[[#This Row],[Unit_Cost]])*sales_data_1[[#This Row],[Quantity_Sold]]</f>
        <v>5247.9169999999976</v>
      </c>
      <c r="O893" s="17" t="s">
        <v>27</v>
      </c>
      <c r="P893" s="26">
        <v>0.14000000000000001</v>
      </c>
      <c r="Q893" s="17" t="s">
        <v>18</v>
      </c>
      <c r="R893" s="17" t="s">
        <v>21</v>
      </c>
      <c r="S893" s="49" t="str">
        <f t="shared" si="41"/>
        <v>David-East</v>
      </c>
      <c r="T893" s="59" t="str">
        <f>IF(ROUND(sales_data_1[[#This Row],[Profit_Margin]],2)=ROUND((sales_data_1[[#This Row],[Unit_Price]]*(1-sales_data_1[[#This Row],[Discount]]) - sales_data_1[[#This Row],[Unit_Cost]])*sales_data_1[[#This Row],[Quantity_Sold]],2), "PASS", "CHECK")</f>
        <v>PASS</v>
      </c>
    </row>
    <row r="894" spans="1:20" x14ac:dyDescent="0.35">
      <c r="A894" s="7">
        <v>893</v>
      </c>
      <c r="B894" s="9">
        <v>1062</v>
      </c>
      <c r="C894" s="7" t="str">
        <f>IFERROR(_xlfn.TEXTJOIN("-", TRUE, _xlfn.XLOOKUP(K894, product_category_id_lookup!$A$2:$A$5, product_category_id_lookup!$B$2:$B$5), B894), "Unknown Category")</f>
        <v>fnt-1062</v>
      </c>
      <c r="D894" s="8">
        <v>44850</v>
      </c>
      <c r="E894" s="7">
        <f t="shared" si="39"/>
        <v>2022</v>
      </c>
      <c r="F894" s="28" t="str">
        <f t="shared" si="40"/>
        <v>Oct</v>
      </c>
      <c r="G894" s="17" t="s">
        <v>29</v>
      </c>
      <c r="H894" s="17" t="s">
        <v>23</v>
      </c>
      <c r="I894" s="24">
        <v>174305.86005046064</v>
      </c>
      <c r="J894" s="32">
        <v>43</v>
      </c>
      <c r="K894" s="17" t="s">
        <v>16</v>
      </c>
      <c r="L894" s="24">
        <v>3913.99</v>
      </c>
      <c r="M894" s="24">
        <v>4172.5600000000004</v>
      </c>
      <c r="N894" s="34">
        <f>((sales_data_1[[#This Row],[Unit_Price]]*(1-sales_data_1[[#This Row],[Discount]]))-sales_data_1[[#This Row],[Unit_Cost]])*sales_data_1[[#This Row],[Quantity_Sold]]</f>
        <v>5735.9076000000186</v>
      </c>
      <c r="O894" s="17" t="s">
        <v>27</v>
      </c>
      <c r="P894" s="26">
        <v>0.03</v>
      </c>
      <c r="Q894" s="17" t="s">
        <v>28</v>
      </c>
      <c r="R894" s="17" t="s">
        <v>19</v>
      </c>
      <c r="S894" s="49" t="str">
        <f t="shared" si="41"/>
        <v>Charlie-South</v>
      </c>
      <c r="T894" s="59" t="str">
        <f>IF(ROUND(sales_data_1[[#This Row],[Profit_Margin]],2)=ROUND((sales_data_1[[#This Row],[Unit_Price]]*(1-sales_data_1[[#This Row],[Discount]]) - sales_data_1[[#This Row],[Unit_Cost]])*sales_data_1[[#This Row],[Quantity_Sold]],2), "PASS", "CHECK")</f>
        <v>PASS</v>
      </c>
    </row>
    <row r="895" spans="1:20" x14ac:dyDescent="0.35">
      <c r="A895" s="7">
        <v>894</v>
      </c>
      <c r="B895" s="9">
        <v>1031</v>
      </c>
      <c r="C895" s="7" t="str">
        <f>IFERROR(_xlfn.TEXTJOIN("-", TRUE, _xlfn.XLOOKUP(K895, product_category_id_lookup!$A$2:$A$5, product_category_id_lookup!$B$2:$B$5), B895), "Unknown Category")</f>
        <v>fd-1031</v>
      </c>
      <c r="D895" s="8">
        <v>44850</v>
      </c>
      <c r="E895" s="7">
        <f t="shared" si="39"/>
        <v>2022</v>
      </c>
      <c r="F895" s="28" t="str">
        <f t="shared" si="40"/>
        <v>Oct</v>
      </c>
      <c r="G895" s="17" t="s">
        <v>32</v>
      </c>
      <c r="H895" s="17" t="s">
        <v>23</v>
      </c>
      <c r="I895" s="24">
        <v>129559.43000000001</v>
      </c>
      <c r="J895" s="32">
        <v>43</v>
      </c>
      <c r="K895" s="17" t="s">
        <v>24</v>
      </c>
      <c r="L895" s="24">
        <v>2506.08</v>
      </c>
      <c r="M895" s="24">
        <v>3311</v>
      </c>
      <c r="N895" s="34">
        <f>((sales_data_1[[#This Row],[Unit_Price]]*(1-sales_data_1[[#This Row],[Discount]]))-sales_data_1[[#This Row],[Unit_Cost]])*sales_data_1[[#This Row],[Quantity_Sold]]</f>
        <v>21797.990000000013</v>
      </c>
      <c r="O895" s="17" t="s">
        <v>27</v>
      </c>
      <c r="P895" s="26">
        <v>0.09</v>
      </c>
      <c r="Q895" s="17" t="s">
        <v>18</v>
      </c>
      <c r="R895" s="17" t="s">
        <v>19</v>
      </c>
      <c r="S895" s="49" t="str">
        <f t="shared" si="41"/>
        <v>Eve-South</v>
      </c>
      <c r="T895" s="59" t="str">
        <f>IF(ROUND(sales_data_1[[#This Row],[Profit_Margin]],2)=ROUND((sales_data_1[[#This Row],[Unit_Price]]*(1-sales_data_1[[#This Row],[Discount]]) - sales_data_1[[#This Row],[Unit_Cost]])*sales_data_1[[#This Row],[Quantity_Sold]],2), "PASS", "CHECK")</f>
        <v>PASS</v>
      </c>
    </row>
    <row r="896" spans="1:20" x14ac:dyDescent="0.35">
      <c r="A896" s="7">
        <v>895</v>
      </c>
      <c r="B896" s="9">
        <v>1045</v>
      </c>
      <c r="C896" s="7" t="str">
        <f>IFERROR(_xlfn.TEXTJOIN("-", TRUE, _xlfn.XLOOKUP(K896, product_category_id_lookup!$A$2:$A$5, product_category_id_lookup!$B$2:$B$5), B896), "Unknown Category")</f>
        <v>fd-1045</v>
      </c>
      <c r="D896" s="8">
        <v>44851</v>
      </c>
      <c r="E896" s="7">
        <f t="shared" si="39"/>
        <v>2022</v>
      </c>
      <c r="F896" s="28" t="str">
        <f t="shared" si="40"/>
        <v>Oct</v>
      </c>
      <c r="G896" s="17" t="s">
        <v>32</v>
      </c>
      <c r="H896" s="17" t="s">
        <v>23</v>
      </c>
      <c r="I896" s="24">
        <v>2793.4557535378008</v>
      </c>
      <c r="J896" s="32">
        <v>1</v>
      </c>
      <c r="K896" s="17" t="s">
        <v>24</v>
      </c>
      <c r="L896" s="24">
        <v>2748.86</v>
      </c>
      <c r="M896" s="24">
        <v>2890.5</v>
      </c>
      <c r="N896" s="34">
        <f>((sales_data_1[[#This Row],[Unit_Price]]*(1-sales_data_1[[#This Row],[Discount]]))-sales_data_1[[#This Row],[Unit_Cost]])*sales_data_1[[#This Row],[Quantity_Sold]]</f>
        <v>54.924999999999727</v>
      </c>
      <c r="O896" s="17" t="s">
        <v>27</v>
      </c>
      <c r="P896" s="26">
        <v>0.03</v>
      </c>
      <c r="Q896" s="17" t="s">
        <v>18</v>
      </c>
      <c r="R896" s="17" t="s">
        <v>21</v>
      </c>
      <c r="S896" s="49" t="str">
        <f t="shared" si="41"/>
        <v>Eve-South</v>
      </c>
      <c r="T896" s="59" t="str">
        <f>IF(ROUND(sales_data_1[[#This Row],[Profit_Margin]],2)=ROUND((sales_data_1[[#This Row],[Unit_Price]]*(1-sales_data_1[[#This Row],[Discount]]) - sales_data_1[[#This Row],[Unit_Cost]])*sales_data_1[[#This Row],[Quantity_Sold]],2), "PASS", "CHECK")</f>
        <v>PASS</v>
      </c>
    </row>
    <row r="897" spans="1:20" x14ac:dyDescent="0.35">
      <c r="A897" s="7">
        <v>896</v>
      </c>
      <c r="B897" s="9">
        <v>1008</v>
      </c>
      <c r="C897" s="7" t="str">
        <f>IFERROR(_xlfn.TEXTJOIN("-", TRUE, _xlfn.XLOOKUP(K897, product_category_id_lookup!$A$2:$A$5, product_category_id_lookup!$B$2:$B$5), B897), "Unknown Category")</f>
        <v>etc-1008</v>
      </c>
      <c r="D897" s="8">
        <v>44851</v>
      </c>
      <c r="E897" s="7">
        <f t="shared" si="39"/>
        <v>2022</v>
      </c>
      <c r="F897" s="28" t="str">
        <f t="shared" si="40"/>
        <v>Oct</v>
      </c>
      <c r="G897" s="17" t="s">
        <v>32</v>
      </c>
      <c r="H897" s="17" t="s">
        <v>20</v>
      </c>
      <c r="I897" s="24">
        <v>39039.167999999998</v>
      </c>
      <c r="J897" s="32">
        <v>40</v>
      </c>
      <c r="K897" s="17" t="s">
        <v>31</v>
      </c>
      <c r="L897" s="24">
        <v>969.3</v>
      </c>
      <c r="M897" s="24">
        <v>1049.44</v>
      </c>
      <c r="N897" s="34">
        <f>((sales_data_1[[#This Row],[Unit_Price]]*(1-sales_data_1[[#This Row],[Discount]]))-sales_data_1[[#This Row],[Unit_Cost]])*sales_data_1[[#This Row],[Quantity_Sold]]</f>
        <v>267.16800000000148</v>
      </c>
      <c r="O897" s="17" t="s">
        <v>27</v>
      </c>
      <c r="P897" s="26">
        <v>7.0000000000000007E-2</v>
      </c>
      <c r="Q897" s="17" t="s">
        <v>25</v>
      </c>
      <c r="R897" s="17" t="s">
        <v>19</v>
      </c>
      <c r="S897" s="49" t="str">
        <f t="shared" si="41"/>
        <v>Eve-West</v>
      </c>
      <c r="T897" s="59" t="str">
        <f>IF(ROUND(sales_data_1[[#This Row],[Profit_Margin]],2)=ROUND((sales_data_1[[#This Row],[Unit_Price]]*(1-sales_data_1[[#This Row],[Discount]]) - sales_data_1[[#This Row],[Unit_Cost]])*sales_data_1[[#This Row],[Quantity_Sold]],2), "PASS", "CHECK")</f>
        <v>PASS</v>
      </c>
    </row>
    <row r="898" spans="1:20" x14ac:dyDescent="0.35">
      <c r="A898" s="7">
        <v>897</v>
      </c>
      <c r="B898" s="9">
        <v>1100</v>
      </c>
      <c r="C898" s="7" t="str">
        <f>IFERROR(_xlfn.TEXTJOIN("-", TRUE, _xlfn.XLOOKUP(K898, product_category_id_lookup!$A$2:$A$5, product_category_id_lookup!$B$2:$B$5), B898), "Unknown Category")</f>
        <v>ctg-1100</v>
      </c>
      <c r="D898" s="8">
        <v>44851</v>
      </c>
      <c r="E898" s="7">
        <f t="shared" ref="E898:E961" si="42">YEAR(D898)</f>
        <v>2022</v>
      </c>
      <c r="F898" s="28" t="str">
        <f t="shared" ref="F898:F961" si="43">LEFT(TEXT(D898,"mmmm"),3)</f>
        <v>Oct</v>
      </c>
      <c r="G898" s="17" t="s">
        <v>29</v>
      </c>
      <c r="H898" s="17" t="s">
        <v>23</v>
      </c>
      <c r="I898" s="24">
        <v>10498.217500000001</v>
      </c>
      <c r="J898" s="32">
        <v>5</v>
      </c>
      <c r="K898" s="17" t="s">
        <v>26</v>
      </c>
      <c r="L898" s="24">
        <v>1823.48</v>
      </c>
      <c r="M898" s="24">
        <v>2359.15</v>
      </c>
      <c r="N898" s="34">
        <f>((sales_data_1[[#This Row],[Unit_Price]]*(1-sales_data_1[[#This Row],[Discount]]))-sales_data_1[[#This Row],[Unit_Cost]])*sales_data_1[[#This Row],[Quantity_Sold]]</f>
        <v>1380.8175000000006</v>
      </c>
      <c r="O898" s="17" t="s">
        <v>27</v>
      </c>
      <c r="P898" s="26">
        <v>0.11</v>
      </c>
      <c r="Q898" s="17" t="s">
        <v>18</v>
      </c>
      <c r="R898" s="17" t="s">
        <v>21</v>
      </c>
      <c r="S898" s="49" t="str">
        <f t="shared" ref="S898:S961" si="44">_xlfn.CONCAT(G898,"-",H898)</f>
        <v>Charlie-South</v>
      </c>
      <c r="T898" s="59" t="str">
        <f>IF(ROUND(sales_data_1[[#This Row],[Profit_Margin]],2)=ROUND((sales_data_1[[#This Row],[Unit_Price]]*(1-sales_data_1[[#This Row],[Discount]]) - sales_data_1[[#This Row],[Unit_Cost]])*sales_data_1[[#This Row],[Quantity_Sold]],2), "PASS", "CHECK")</f>
        <v>PASS</v>
      </c>
    </row>
    <row r="899" spans="1:20" x14ac:dyDescent="0.35">
      <c r="A899" s="7">
        <v>898</v>
      </c>
      <c r="B899" s="9">
        <v>1016</v>
      </c>
      <c r="C899" s="7" t="str">
        <f>IFERROR(_xlfn.TEXTJOIN("-", TRUE, _xlfn.XLOOKUP(K899, product_category_id_lookup!$A$2:$A$5, product_category_id_lookup!$B$2:$B$5), B899), "Unknown Category")</f>
        <v>fnt-1016</v>
      </c>
      <c r="D899" s="8">
        <v>44851</v>
      </c>
      <c r="E899" s="7">
        <f t="shared" si="42"/>
        <v>2022</v>
      </c>
      <c r="F899" s="28" t="str">
        <f t="shared" si="43"/>
        <v>Oct</v>
      </c>
      <c r="G899" s="17" t="s">
        <v>29</v>
      </c>
      <c r="H899" s="17" t="s">
        <v>30</v>
      </c>
      <c r="I899" s="24">
        <v>46478.730099999993</v>
      </c>
      <c r="J899" s="32">
        <v>43</v>
      </c>
      <c r="K899" s="17" t="s">
        <v>16</v>
      </c>
      <c r="L899" s="24">
        <v>197.98</v>
      </c>
      <c r="M899" s="24">
        <v>1302.29</v>
      </c>
      <c r="N899" s="34">
        <f>((sales_data_1[[#This Row],[Unit_Price]]*(1-sales_data_1[[#This Row],[Discount]]))-sales_data_1[[#This Row],[Unit_Cost]])*sales_data_1[[#This Row],[Quantity_Sold]]</f>
        <v>37965.590099999994</v>
      </c>
      <c r="O899" s="17" t="s">
        <v>27</v>
      </c>
      <c r="P899" s="26">
        <v>0.17</v>
      </c>
      <c r="Q899" s="17" t="s">
        <v>25</v>
      </c>
      <c r="R899" s="17" t="s">
        <v>19</v>
      </c>
      <c r="S899" s="49" t="str">
        <f t="shared" si="44"/>
        <v>Charlie-East</v>
      </c>
      <c r="T899" s="59" t="str">
        <f>IF(ROUND(sales_data_1[[#This Row],[Profit_Margin]],2)=ROUND((sales_data_1[[#This Row],[Unit_Price]]*(1-sales_data_1[[#This Row],[Discount]]) - sales_data_1[[#This Row],[Unit_Cost]])*sales_data_1[[#This Row],[Quantity_Sold]],2), "PASS", "CHECK")</f>
        <v>PASS</v>
      </c>
    </row>
    <row r="900" spans="1:20" x14ac:dyDescent="0.35">
      <c r="A900" s="7">
        <v>899</v>
      </c>
      <c r="B900" s="9">
        <v>1061</v>
      </c>
      <c r="C900" s="7" t="str">
        <f>IFERROR(_xlfn.TEXTJOIN("-", TRUE, _xlfn.XLOOKUP(K900, product_category_id_lookup!$A$2:$A$5, product_category_id_lookup!$B$2:$B$5), B900), "Unknown Category")</f>
        <v>fnt-1061</v>
      </c>
      <c r="D900" s="8">
        <v>44851</v>
      </c>
      <c r="E900" s="7">
        <f t="shared" si="42"/>
        <v>2022</v>
      </c>
      <c r="F900" s="28" t="str">
        <f t="shared" si="43"/>
        <v>Oct</v>
      </c>
      <c r="G900" s="17" t="s">
        <v>32</v>
      </c>
      <c r="H900" s="17" t="s">
        <v>15</v>
      </c>
      <c r="I900" s="24">
        <v>107957.7772</v>
      </c>
      <c r="J900" s="32">
        <v>46</v>
      </c>
      <c r="K900" s="17" t="s">
        <v>16</v>
      </c>
      <c r="L900" s="24">
        <v>749.86</v>
      </c>
      <c r="M900" s="24">
        <v>2579.02</v>
      </c>
      <c r="N900" s="34">
        <f>((sales_data_1[[#This Row],[Unit_Price]]*(1-sales_data_1[[#This Row],[Discount]]))-sales_data_1[[#This Row],[Unit_Cost]])*sales_data_1[[#This Row],[Quantity_Sold]]</f>
        <v>73464.217199999985</v>
      </c>
      <c r="O900" s="17" t="s">
        <v>17</v>
      </c>
      <c r="P900" s="26">
        <v>0.09</v>
      </c>
      <c r="Q900" s="17" t="s">
        <v>28</v>
      </c>
      <c r="R900" s="17" t="s">
        <v>19</v>
      </c>
      <c r="S900" s="49" t="str">
        <f t="shared" si="44"/>
        <v>Eve-North</v>
      </c>
      <c r="T900" s="59" t="str">
        <f>IF(ROUND(sales_data_1[[#This Row],[Profit_Margin]],2)=ROUND((sales_data_1[[#This Row],[Unit_Price]]*(1-sales_data_1[[#This Row],[Discount]]) - sales_data_1[[#This Row],[Unit_Cost]])*sales_data_1[[#This Row],[Quantity_Sold]],2), "PASS", "CHECK")</f>
        <v>PASS</v>
      </c>
    </row>
    <row r="901" spans="1:20" x14ac:dyDescent="0.35">
      <c r="A901" s="7">
        <v>900</v>
      </c>
      <c r="B901" s="9">
        <v>1094</v>
      </c>
      <c r="C901" s="7" t="str">
        <f>IFERROR(_xlfn.TEXTJOIN("-", TRUE, _xlfn.XLOOKUP(K901, product_category_id_lookup!$A$2:$A$5, product_category_id_lookup!$B$2:$B$5), B901), "Unknown Category")</f>
        <v>fd-1094</v>
      </c>
      <c r="D901" s="8">
        <v>44852</v>
      </c>
      <c r="E901" s="7">
        <f t="shared" si="42"/>
        <v>2022</v>
      </c>
      <c r="F901" s="28" t="str">
        <f t="shared" si="43"/>
        <v>Oct</v>
      </c>
      <c r="G901" s="17" t="s">
        <v>33</v>
      </c>
      <c r="H901" s="17" t="s">
        <v>20</v>
      </c>
      <c r="I901" s="24">
        <v>38806.373956430725</v>
      </c>
      <c r="J901" s="32">
        <v>44</v>
      </c>
      <c r="K901" s="17" t="s">
        <v>24</v>
      </c>
      <c r="L901" s="24">
        <v>802.61</v>
      </c>
      <c r="M901" s="24">
        <v>914.18</v>
      </c>
      <c r="N901" s="34">
        <f>((sales_data_1[[#This Row],[Unit_Price]]*(1-sales_data_1[[#This Row],[Discount]]))-sales_data_1[[#This Row],[Unit_Cost]])*sales_data_1[[#This Row],[Quantity_Sold]]</f>
        <v>3300.1231999999941</v>
      </c>
      <c r="O901" s="17" t="s">
        <v>17</v>
      </c>
      <c r="P901" s="26">
        <v>0.04</v>
      </c>
      <c r="Q901" s="17" t="s">
        <v>28</v>
      </c>
      <c r="R901" s="17" t="s">
        <v>19</v>
      </c>
      <c r="S901" s="49" t="str">
        <f t="shared" si="44"/>
        <v>Alice-West</v>
      </c>
      <c r="T901" s="59" t="str">
        <f>IF(ROUND(sales_data_1[[#This Row],[Profit_Margin]],2)=ROUND((sales_data_1[[#This Row],[Unit_Price]]*(1-sales_data_1[[#This Row],[Discount]]) - sales_data_1[[#This Row],[Unit_Cost]])*sales_data_1[[#This Row],[Quantity_Sold]],2), "PASS", "CHECK")</f>
        <v>PASS</v>
      </c>
    </row>
    <row r="902" spans="1:20" x14ac:dyDescent="0.35">
      <c r="A902" s="7">
        <v>901</v>
      </c>
      <c r="B902" s="9">
        <v>1025</v>
      </c>
      <c r="C902" s="7" t="str">
        <f>IFERROR(_xlfn.TEXTJOIN("-", TRUE, _xlfn.XLOOKUP(K902, product_category_id_lookup!$A$2:$A$5, product_category_id_lookup!$B$2:$B$5), B902), "Unknown Category")</f>
        <v>fnt-1025</v>
      </c>
      <c r="D902" s="8">
        <v>44854</v>
      </c>
      <c r="E902" s="7">
        <f t="shared" si="42"/>
        <v>2022</v>
      </c>
      <c r="F902" s="28" t="str">
        <f t="shared" si="43"/>
        <v>Oct</v>
      </c>
      <c r="G902" s="17" t="s">
        <v>32</v>
      </c>
      <c r="H902" s="17" t="s">
        <v>23</v>
      </c>
      <c r="I902" s="24">
        <v>86673.896000000008</v>
      </c>
      <c r="J902" s="32">
        <v>20</v>
      </c>
      <c r="K902" s="17" t="s">
        <v>16</v>
      </c>
      <c r="L902" s="24">
        <v>3745</v>
      </c>
      <c r="M902" s="24">
        <v>5039.18</v>
      </c>
      <c r="N902" s="34">
        <f>((sales_data_1[[#This Row],[Unit_Price]]*(1-sales_data_1[[#This Row],[Discount]]))-sales_data_1[[#This Row],[Unit_Cost]])*sales_data_1[[#This Row],[Quantity_Sold]]</f>
        <v>11773.896000000004</v>
      </c>
      <c r="O902" s="17" t="s">
        <v>27</v>
      </c>
      <c r="P902" s="26">
        <v>0.14000000000000001</v>
      </c>
      <c r="Q902" s="17" t="s">
        <v>25</v>
      </c>
      <c r="R902" s="17" t="s">
        <v>21</v>
      </c>
      <c r="S902" s="49" t="str">
        <f t="shared" si="44"/>
        <v>Eve-South</v>
      </c>
      <c r="T902" s="59" t="str">
        <f>IF(ROUND(sales_data_1[[#This Row],[Profit_Margin]],2)=ROUND((sales_data_1[[#This Row],[Unit_Price]]*(1-sales_data_1[[#This Row],[Discount]]) - sales_data_1[[#This Row],[Unit_Cost]])*sales_data_1[[#This Row],[Quantity_Sold]],2), "PASS", "CHECK")</f>
        <v>PASS</v>
      </c>
    </row>
    <row r="903" spans="1:20" x14ac:dyDescent="0.35">
      <c r="A903" s="7">
        <v>902</v>
      </c>
      <c r="B903" s="9">
        <v>1008</v>
      </c>
      <c r="C903" s="7" t="str">
        <f>IFERROR(_xlfn.TEXTJOIN("-", TRUE, _xlfn.XLOOKUP(K903, product_category_id_lookup!$A$2:$A$5, product_category_id_lookup!$B$2:$B$5), B903), "Unknown Category")</f>
        <v>fd-1008</v>
      </c>
      <c r="D903" s="8">
        <v>44854</v>
      </c>
      <c r="E903" s="7">
        <f t="shared" si="42"/>
        <v>2022</v>
      </c>
      <c r="F903" s="28" t="str">
        <f t="shared" si="43"/>
        <v>Oct</v>
      </c>
      <c r="G903" s="17" t="s">
        <v>14</v>
      </c>
      <c r="H903" s="17" t="s">
        <v>23</v>
      </c>
      <c r="I903" s="24">
        <v>24454.136500000001</v>
      </c>
      <c r="J903" s="32">
        <v>5</v>
      </c>
      <c r="K903" s="17" t="s">
        <v>24</v>
      </c>
      <c r="L903" s="24">
        <v>1345.21</v>
      </c>
      <c r="M903" s="24">
        <v>5042.09</v>
      </c>
      <c r="N903" s="34">
        <f>((sales_data_1[[#This Row],[Unit_Price]]*(1-sales_data_1[[#This Row],[Discount]]))-sales_data_1[[#This Row],[Unit_Cost]])*sales_data_1[[#This Row],[Quantity_Sold]]</f>
        <v>17728.086499999998</v>
      </c>
      <c r="O903" s="17" t="s">
        <v>17</v>
      </c>
      <c r="P903" s="26">
        <v>0.03</v>
      </c>
      <c r="Q903" s="17" t="s">
        <v>28</v>
      </c>
      <c r="R903" s="17" t="s">
        <v>21</v>
      </c>
      <c r="S903" s="49" t="str">
        <f t="shared" si="44"/>
        <v>Bob-South</v>
      </c>
      <c r="T903" s="59" t="str">
        <f>IF(ROUND(sales_data_1[[#This Row],[Profit_Margin]],2)=ROUND((sales_data_1[[#This Row],[Unit_Price]]*(1-sales_data_1[[#This Row],[Discount]]) - sales_data_1[[#This Row],[Unit_Cost]])*sales_data_1[[#This Row],[Quantity_Sold]],2), "PASS", "CHECK")</f>
        <v>PASS</v>
      </c>
    </row>
    <row r="904" spans="1:20" x14ac:dyDescent="0.35">
      <c r="A904" s="7">
        <v>903</v>
      </c>
      <c r="B904" s="9">
        <v>1062</v>
      </c>
      <c r="C904" s="7" t="str">
        <f>IFERROR(_xlfn.TEXTJOIN("-", TRUE, _xlfn.XLOOKUP(K904, product_category_id_lookup!$A$2:$A$5, product_category_id_lookup!$B$2:$B$5), B904), "Unknown Category")</f>
        <v>etc-1062</v>
      </c>
      <c r="D904" s="8">
        <v>44854</v>
      </c>
      <c r="E904" s="7">
        <f t="shared" si="42"/>
        <v>2022</v>
      </c>
      <c r="F904" s="28" t="str">
        <f t="shared" si="43"/>
        <v>Oct</v>
      </c>
      <c r="G904" s="17" t="s">
        <v>33</v>
      </c>
      <c r="H904" s="17" t="s">
        <v>23</v>
      </c>
      <c r="I904" s="24">
        <v>107013.4932</v>
      </c>
      <c r="J904" s="32">
        <v>41</v>
      </c>
      <c r="K904" s="17" t="s">
        <v>31</v>
      </c>
      <c r="L904" s="24">
        <v>566.33000000000004</v>
      </c>
      <c r="M904" s="24">
        <v>2932.68</v>
      </c>
      <c r="N904" s="34">
        <f>((sales_data_1[[#This Row],[Unit_Price]]*(1-sales_data_1[[#This Row],[Discount]]))-sales_data_1[[#This Row],[Unit_Cost]])*sales_data_1[[#This Row],[Quantity_Sold]]</f>
        <v>83793.963199999998</v>
      </c>
      <c r="O904" s="17" t="s">
        <v>17</v>
      </c>
      <c r="P904" s="26">
        <v>0.11</v>
      </c>
      <c r="Q904" s="17" t="s">
        <v>25</v>
      </c>
      <c r="R904" s="17" t="s">
        <v>21</v>
      </c>
      <c r="S904" s="49" t="str">
        <f t="shared" si="44"/>
        <v>Alice-South</v>
      </c>
      <c r="T904" s="59" t="str">
        <f>IF(ROUND(sales_data_1[[#This Row],[Profit_Margin]],2)=ROUND((sales_data_1[[#This Row],[Unit_Price]]*(1-sales_data_1[[#This Row],[Discount]]) - sales_data_1[[#This Row],[Unit_Cost]])*sales_data_1[[#This Row],[Quantity_Sold]],2), "PASS", "CHECK")</f>
        <v>PASS</v>
      </c>
    </row>
    <row r="905" spans="1:20" x14ac:dyDescent="0.35">
      <c r="A905" s="7">
        <v>904</v>
      </c>
      <c r="B905" s="9">
        <v>1040</v>
      </c>
      <c r="C905" s="7" t="str">
        <f>IFERROR(_xlfn.TEXTJOIN("-", TRUE, _xlfn.XLOOKUP(K905, product_category_id_lookup!$A$2:$A$5, product_category_id_lookup!$B$2:$B$5), B905), "Unknown Category")</f>
        <v>ctg-1040</v>
      </c>
      <c r="D905" s="8">
        <v>44855</v>
      </c>
      <c r="E905" s="7">
        <f t="shared" si="42"/>
        <v>2022</v>
      </c>
      <c r="F905" s="28" t="str">
        <f t="shared" si="43"/>
        <v>Oct</v>
      </c>
      <c r="G905" s="17" t="s">
        <v>33</v>
      </c>
      <c r="H905" s="17" t="s">
        <v>30</v>
      </c>
      <c r="I905" s="24">
        <v>3696.5796</v>
      </c>
      <c r="J905" s="32">
        <v>1</v>
      </c>
      <c r="K905" s="17" t="s">
        <v>26</v>
      </c>
      <c r="L905" s="24">
        <v>3351.41</v>
      </c>
      <c r="M905" s="24">
        <v>3772.02</v>
      </c>
      <c r="N905" s="34">
        <f>((sales_data_1[[#This Row],[Unit_Price]]*(1-sales_data_1[[#This Row],[Discount]]))-sales_data_1[[#This Row],[Unit_Cost]])*sales_data_1[[#This Row],[Quantity_Sold]]</f>
        <v>345.16960000000017</v>
      </c>
      <c r="O905" s="17" t="s">
        <v>27</v>
      </c>
      <c r="P905" s="26">
        <v>0.02</v>
      </c>
      <c r="Q905" s="17" t="s">
        <v>18</v>
      </c>
      <c r="R905" s="17" t="s">
        <v>21</v>
      </c>
      <c r="S905" s="49" t="str">
        <f t="shared" si="44"/>
        <v>Alice-East</v>
      </c>
      <c r="T905" s="59" t="str">
        <f>IF(ROUND(sales_data_1[[#This Row],[Profit_Margin]],2)=ROUND((sales_data_1[[#This Row],[Unit_Price]]*(1-sales_data_1[[#This Row],[Discount]]) - sales_data_1[[#This Row],[Unit_Cost]])*sales_data_1[[#This Row],[Quantity_Sold]],2), "PASS", "CHECK")</f>
        <v>PASS</v>
      </c>
    </row>
    <row r="906" spans="1:20" x14ac:dyDescent="0.35">
      <c r="A906" s="7">
        <v>905</v>
      </c>
      <c r="B906" s="9">
        <v>1062</v>
      </c>
      <c r="C906" s="7" t="str">
        <f>IFERROR(_xlfn.TEXTJOIN("-", TRUE, _xlfn.XLOOKUP(K906, product_category_id_lookup!$A$2:$A$5, product_category_id_lookup!$B$2:$B$5), B906), "Unknown Category")</f>
        <v>fd-1062</v>
      </c>
      <c r="D906" s="8">
        <v>44855</v>
      </c>
      <c r="E906" s="7">
        <f t="shared" si="42"/>
        <v>2022</v>
      </c>
      <c r="F906" s="28" t="str">
        <f t="shared" si="43"/>
        <v>Oct</v>
      </c>
      <c r="G906" s="17" t="s">
        <v>33</v>
      </c>
      <c r="H906" s="17" t="s">
        <v>15</v>
      </c>
      <c r="I906" s="24">
        <v>37081.18685103357</v>
      </c>
      <c r="J906" s="32">
        <v>11</v>
      </c>
      <c r="K906" s="17" t="s">
        <v>24</v>
      </c>
      <c r="L906" s="24">
        <v>3273.32</v>
      </c>
      <c r="M906" s="24">
        <v>3406.86</v>
      </c>
      <c r="N906" s="34">
        <f>((sales_data_1[[#This Row],[Unit_Price]]*(1-sales_data_1[[#This Row],[Discount]]))-sales_data_1[[#This Row],[Unit_Cost]])*sales_data_1[[#This Row],[Quantity_Sold]]</f>
        <v>1094.1853999999989</v>
      </c>
      <c r="O906" s="17" t="s">
        <v>27</v>
      </c>
      <c r="P906" s="26">
        <v>0.01</v>
      </c>
      <c r="Q906" s="17" t="s">
        <v>18</v>
      </c>
      <c r="R906" s="17" t="s">
        <v>21</v>
      </c>
      <c r="S906" s="49" t="str">
        <f t="shared" si="44"/>
        <v>Alice-North</v>
      </c>
      <c r="T906" s="59" t="str">
        <f>IF(ROUND(sales_data_1[[#This Row],[Profit_Margin]],2)=ROUND((sales_data_1[[#This Row],[Unit_Price]]*(1-sales_data_1[[#This Row],[Discount]]) - sales_data_1[[#This Row],[Unit_Cost]])*sales_data_1[[#This Row],[Quantity_Sold]],2), "PASS", "CHECK")</f>
        <v>PASS</v>
      </c>
    </row>
    <row r="907" spans="1:20" x14ac:dyDescent="0.35">
      <c r="A907" s="7">
        <v>906</v>
      </c>
      <c r="B907" s="9">
        <v>1090</v>
      </c>
      <c r="C907" s="7" t="str">
        <f>IFERROR(_xlfn.TEXTJOIN("-", TRUE, _xlfn.XLOOKUP(K907, product_category_id_lookup!$A$2:$A$5, product_category_id_lookup!$B$2:$B$5), B907), "Unknown Category")</f>
        <v>fd-1090</v>
      </c>
      <c r="D907" s="8">
        <v>44855</v>
      </c>
      <c r="E907" s="7">
        <f t="shared" si="42"/>
        <v>2022</v>
      </c>
      <c r="F907" s="28" t="str">
        <f t="shared" si="43"/>
        <v>Oct</v>
      </c>
      <c r="G907" s="17" t="s">
        <v>32</v>
      </c>
      <c r="H907" s="17" t="s">
        <v>30</v>
      </c>
      <c r="I907" s="24">
        <v>48349.205999999998</v>
      </c>
      <c r="J907" s="32">
        <v>15</v>
      </c>
      <c r="K907" s="17" t="s">
        <v>24</v>
      </c>
      <c r="L907" s="24">
        <v>1733.09</v>
      </c>
      <c r="M907" s="24">
        <v>3704.92</v>
      </c>
      <c r="N907" s="34">
        <f>((sales_data_1[[#This Row],[Unit_Price]]*(1-sales_data_1[[#This Row],[Discount]]))-sales_data_1[[#This Row],[Unit_Cost]])*sales_data_1[[#This Row],[Quantity_Sold]]</f>
        <v>22352.856000000003</v>
      </c>
      <c r="O907" s="17" t="s">
        <v>17</v>
      </c>
      <c r="P907" s="26">
        <v>0.13</v>
      </c>
      <c r="Q907" s="17" t="s">
        <v>25</v>
      </c>
      <c r="R907" s="17" t="s">
        <v>19</v>
      </c>
      <c r="S907" s="49" t="str">
        <f t="shared" si="44"/>
        <v>Eve-East</v>
      </c>
      <c r="T907" s="59" t="str">
        <f>IF(ROUND(sales_data_1[[#This Row],[Profit_Margin]],2)=ROUND((sales_data_1[[#This Row],[Unit_Price]]*(1-sales_data_1[[#This Row],[Discount]]) - sales_data_1[[#This Row],[Unit_Cost]])*sales_data_1[[#This Row],[Quantity_Sold]],2), "PASS", "CHECK")</f>
        <v>PASS</v>
      </c>
    </row>
    <row r="908" spans="1:20" x14ac:dyDescent="0.35">
      <c r="A908" s="7">
        <v>907</v>
      </c>
      <c r="B908" s="9">
        <v>1045</v>
      </c>
      <c r="C908" s="7" t="str">
        <f>IFERROR(_xlfn.TEXTJOIN("-", TRUE, _xlfn.XLOOKUP(K908, product_category_id_lookup!$A$2:$A$5, product_category_id_lookup!$B$2:$B$5), B908), "Unknown Category")</f>
        <v>fnt-1045</v>
      </c>
      <c r="D908" s="8">
        <v>44855</v>
      </c>
      <c r="E908" s="7">
        <f t="shared" si="42"/>
        <v>2022</v>
      </c>
      <c r="F908" s="28" t="str">
        <f t="shared" si="43"/>
        <v>Oct</v>
      </c>
      <c r="G908" s="17" t="s">
        <v>29</v>
      </c>
      <c r="H908" s="17" t="s">
        <v>30</v>
      </c>
      <c r="I908" s="24">
        <v>101887.04399999999</v>
      </c>
      <c r="J908" s="32">
        <v>24</v>
      </c>
      <c r="K908" s="17" t="s">
        <v>16</v>
      </c>
      <c r="L908" s="24">
        <v>467.55</v>
      </c>
      <c r="M908" s="24">
        <v>4468.7299999999996</v>
      </c>
      <c r="N908" s="34">
        <f>((sales_data_1[[#This Row],[Unit_Price]]*(1-sales_data_1[[#This Row],[Discount]]))-sales_data_1[[#This Row],[Unit_Cost]])*sales_data_1[[#This Row],[Quantity_Sold]]</f>
        <v>90665.843999999983</v>
      </c>
      <c r="O908" s="17" t="s">
        <v>27</v>
      </c>
      <c r="P908" s="26">
        <v>0.05</v>
      </c>
      <c r="Q908" s="17" t="s">
        <v>18</v>
      </c>
      <c r="R908" s="17" t="s">
        <v>21</v>
      </c>
      <c r="S908" s="49" t="str">
        <f t="shared" si="44"/>
        <v>Charlie-East</v>
      </c>
      <c r="T908" s="59" t="str">
        <f>IF(ROUND(sales_data_1[[#This Row],[Profit_Margin]],2)=ROUND((sales_data_1[[#This Row],[Unit_Price]]*(1-sales_data_1[[#This Row],[Discount]]) - sales_data_1[[#This Row],[Unit_Cost]])*sales_data_1[[#This Row],[Quantity_Sold]],2), "PASS", "CHECK")</f>
        <v>PASS</v>
      </c>
    </row>
    <row r="909" spans="1:20" x14ac:dyDescent="0.35">
      <c r="A909" s="7">
        <v>908</v>
      </c>
      <c r="B909" s="9">
        <v>1078</v>
      </c>
      <c r="C909" s="7" t="str">
        <f>IFERROR(_xlfn.TEXTJOIN("-", TRUE, _xlfn.XLOOKUP(K909, product_category_id_lookup!$A$2:$A$5, product_category_id_lookup!$B$2:$B$5), B909), "Unknown Category")</f>
        <v>fnt-1078</v>
      </c>
      <c r="D909" s="8">
        <v>44856</v>
      </c>
      <c r="E909" s="7">
        <f t="shared" si="42"/>
        <v>2022</v>
      </c>
      <c r="F909" s="28" t="str">
        <f t="shared" si="43"/>
        <v>Oct</v>
      </c>
      <c r="G909" s="17" t="s">
        <v>33</v>
      </c>
      <c r="H909" s="17" t="s">
        <v>20</v>
      </c>
      <c r="I909" s="24">
        <v>78936.787800000006</v>
      </c>
      <c r="J909" s="32">
        <v>18</v>
      </c>
      <c r="K909" s="17" t="s">
        <v>16</v>
      </c>
      <c r="L909" s="24">
        <v>4348</v>
      </c>
      <c r="M909" s="24">
        <v>4927.3900000000003</v>
      </c>
      <c r="N909" s="34">
        <f>((sales_data_1[[#This Row],[Unit_Price]]*(1-sales_data_1[[#This Row],[Discount]]))-sales_data_1[[#This Row],[Unit_Cost]])*sales_data_1[[#This Row],[Quantity_Sold]]</f>
        <v>672.78780000001098</v>
      </c>
      <c r="O909" s="17" t="s">
        <v>27</v>
      </c>
      <c r="P909" s="26">
        <v>0.11</v>
      </c>
      <c r="Q909" s="17" t="s">
        <v>25</v>
      </c>
      <c r="R909" s="17" t="s">
        <v>19</v>
      </c>
      <c r="S909" s="49" t="str">
        <f t="shared" si="44"/>
        <v>Alice-West</v>
      </c>
      <c r="T909" s="59" t="str">
        <f>IF(ROUND(sales_data_1[[#This Row],[Profit_Margin]],2)=ROUND((sales_data_1[[#This Row],[Unit_Price]]*(1-sales_data_1[[#This Row],[Discount]]) - sales_data_1[[#This Row],[Unit_Cost]])*sales_data_1[[#This Row],[Quantity_Sold]],2), "PASS", "CHECK")</f>
        <v>PASS</v>
      </c>
    </row>
    <row r="910" spans="1:20" x14ac:dyDescent="0.35">
      <c r="A910" s="7">
        <v>909</v>
      </c>
      <c r="B910" s="9">
        <v>1015</v>
      </c>
      <c r="C910" s="7" t="str">
        <f>IFERROR(_xlfn.TEXTJOIN("-", TRUE, _xlfn.XLOOKUP(K910, product_category_id_lookup!$A$2:$A$5, product_category_id_lookup!$B$2:$B$5), B910), "Unknown Category")</f>
        <v>etc-1015</v>
      </c>
      <c r="D910" s="8">
        <v>44856</v>
      </c>
      <c r="E910" s="7">
        <f t="shared" si="42"/>
        <v>2022</v>
      </c>
      <c r="F910" s="28" t="str">
        <f t="shared" si="43"/>
        <v>Oct</v>
      </c>
      <c r="G910" s="17" t="s">
        <v>33</v>
      </c>
      <c r="H910" s="17" t="s">
        <v>20</v>
      </c>
      <c r="I910" s="24">
        <v>56362.48</v>
      </c>
      <c r="J910" s="32">
        <v>16</v>
      </c>
      <c r="K910" s="17" t="s">
        <v>31</v>
      </c>
      <c r="L910" s="24">
        <v>1129.23</v>
      </c>
      <c r="M910" s="24">
        <v>4144.3</v>
      </c>
      <c r="N910" s="34">
        <f>((sales_data_1[[#This Row],[Unit_Price]]*(1-sales_data_1[[#This Row],[Discount]]))-sales_data_1[[#This Row],[Unit_Cost]])*sales_data_1[[#This Row],[Quantity_Sold]]</f>
        <v>38294.800000000003</v>
      </c>
      <c r="O910" s="17" t="s">
        <v>17</v>
      </c>
      <c r="P910" s="26">
        <v>0.15</v>
      </c>
      <c r="Q910" s="17" t="s">
        <v>25</v>
      </c>
      <c r="R910" s="17" t="s">
        <v>21</v>
      </c>
      <c r="S910" s="49" t="str">
        <f t="shared" si="44"/>
        <v>Alice-West</v>
      </c>
      <c r="T910" s="59" t="str">
        <f>IF(ROUND(sales_data_1[[#This Row],[Profit_Margin]],2)=ROUND((sales_data_1[[#This Row],[Unit_Price]]*(1-sales_data_1[[#This Row],[Discount]]) - sales_data_1[[#This Row],[Unit_Cost]])*sales_data_1[[#This Row],[Quantity_Sold]],2), "PASS", "CHECK")</f>
        <v>PASS</v>
      </c>
    </row>
    <row r="911" spans="1:20" x14ac:dyDescent="0.35">
      <c r="A911" s="7">
        <v>910</v>
      </c>
      <c r="B911" s="9">
        <v>1004</v>
      </c>
      <c r="C911" s="7" t="str">
        <f>IFERROR(_xlfn.TEXTJOIN("-", TRUE, _xlfn.XLOOKUP(K911, product_category_id_lookup!$A$2:$A$5, product_category_id_lookup!$B$2:$B$5), B911), "Unknown Category")</f>
        <v>ctg-1004</v>
      </c>
      <c r="D911" s="8">
        <v>44856</v>
      </c>
      <c r="E911" s="7">
        <f t="shared" si="42"/>
        <v>2022</v>
      </c>
      <c r="F911" s="28" t="str">
        <f t="shared" si="43"/>
        <v>Oct</v>
      </c>
      <c r="G911" s="17" t="s">
        <v>14</v>
      </c>
      <c r="H911" s="17" t="s">
        <v>15</v>
      </c>
      <c r="I911" s="24">
        <v>162749.83619999999</v>
      </c>
      <c r="J911" s="32">
        <v>41</v>
      </c>
      <c r="K911" s="17" t="s">
        <v>26</v>
      </c>
      <c r="L911" s="24">
        <v>626.96</v>
      </c>
      <c r="M911" s="24">
        <v>4782.54</v>
      </c>
      <c r="N911" s="34">
        <f>((sales_data_1[[#This Row],[Unit_Price]]*(1-sales_data_1[[#This Row],[Discount]]))-sales_data_1[[#This Row],[Unit_Cost]])*sales_data_1[[#This Row],[Quantity_Sold]]</f>
        <v>137044.47619999998</v>
      </c>
      <c r="O911" s="17" t="s">
        <v>27</v>
      </c>
      <c r="P911" s="26">
        <v>0.17</v>
      </c>
      <c r="Q911" s="17" t="s">
        <v>25</v>
      </c>
      <c r="R911" s="17" t="s">
        <v>19</v>
      </c>
      <c r="S911" s="49" t="str">
        <f t="shared" si="44"/>
        <v>Bob-North</v>
      </c>
      <c r="T911" s="59" t="str">
        <f>IF(ROUND(sales_data_1[[#This Row],[Profit_Margin]],2)=ROUND((sales_data_1[[#This Row],[Unit_Price]]*(1-sales_data_1[[#This Row],[Discount]]) - sales_data_1[[#This Row],[Unit_Cost]])*sales_data_1[[#This Row],[Quantity_Sold]],2), "PASS", "CHECK")</f>
        <v>PASS</v>
      </c>
    </row>
    <row r="912" spans="1:20" x14ac:dyDescent="0.35">
      <c r="A912" s="7">
        <v>911</v>
      </c>
      <c r="B912" s="9">
        <v>1062</v>
      </c>
      <c r="C912" s="7" t="str">
        <f>IFERROR(_xlfn.TEXTJOIN("-", TRUE, _xlfn.XLOOKUP(K912, product_category_id_lookup!$A$2:$A$5, product_category_id_lookup!$B$2:$B$5), B912), "Unknown Category")</f>
        <v>fd-1062</v>
      </c>
      <c r="D912" s="8">
        <v>44857</v>
      </c>
      <c r="E912" s="7">
        <f t="shared" si="42"/>
        <v>2022</v>
      </c>
      <c r="F912" s="28" t="str">
        <f t="shared" si="43"/>
        <v>Oct</v>
      </c>
      <c r="G912" s="17" t="s">
        <v>29</v>
      </c>
      <c r="H912" s="17" t="s">
        <v>20</v>
      </c>
      <c r="I912" s="24">
        <v>42790.93</v>
      </c>
      <c r="J912" s="32">
        <v>50</v>
      </c>
      <c r="K912" s="17" t="s">
        <v>24</v>
      </c>
      <c r="L912" s="24">
        <v>362.81</v>
      </c>
      <c r="M912" s="24">
        <v>940.46</v>
      </c>
      <c r="N912" s="34">
        <f>((sales_data_1[[#This Row],[Unit_Price]]*(1-sales_data_1[[#This Row],[Discount]]))-sales_data_1[[#This Row],[Unit_Cost]])*sales_data_1[[#This Row],[Quantity_Sold]]</f>
        <v>24650.430000000004</v>
      </c>
      <c r="O912" s="17" t="s">
        <v>17</v>
      </c>
      <c r="P912" s="26">
        <v>0.09</v>
      </c>
      <c r="Q912" s="17" t="s">
        <v>18</v>
      </c>
      <c r="R912" s="17" t="s">
        <v>19</v>
      </c>
      <c r="S912" s="49" t="str">
        <f t="shared" si="44"/>
        <v>Charlie-West</v>
      </c>
      <c r="T912" s="59" t="str">
        <f>IF(ROUND(sales_data_1[[#This Row],[Profit_Margin]],2)=ROUND((sales_data_1[[#This Row],[Unit_Price]]*(1-sales_data_1[[#This Row],[Discount]]) - sales_data_1[[#This Row],[Unit_Cost]])*sales_data_1[[#This Row],[Quantity_Sold]],2), "PASS", "CHECK")</f>
        <v>PASS</v>
      </c>
    </row>
    <row r="913" spans="1:20" x14ac:dyDescent="0.35">
      <c r="A913" s="7">
        <v>912</v>
      </c>
      <c r="B913" s="9">
        <v>1064</v>
      </c>
      <c r="C913" s="7" t="str">
        <f>IFERROR(_xlfn.TEXTJOIN("-", TRUE, _xlfn.XLOOKUP(K913, product_category_id_lookup!$A$2:$A$5, product_category_id_lookup!$B$2:$B$5), B913), "Unknown Category")</f>
        <v>etc-1064</v>
      </c>
      <c r="D913" s="8">
        <v>44858</v>
      </c>
      <c r="E913" s="7">
        <f t="shared" si="42"/>
        <v>2022</v>
      </c>
      <c r="F913" s="28" t="str">
        <f t="shared" si="43"/>
        <v>Oct</v>
      </c>
      <c r="G913" s="17" t="s">
        <v>22</v>
      </c>
      <c r="H913" s="17" t="s">
        <v>15</v>
      </c>
      <c r="I913" s="24">
        <v>13050.179999999998</v>
      </c>
      <c r="J913" s="32">
        <v>12</v>
      </c>
      <c r="K913" s="17" t="s">
        <v>31</v>
      </c>
      <c r="L913" s="24">
        <v>549.66</v>
      </c>
      <c r="M913" s="24">
        <v>1450.02</v>
      </c>
      <c r="N913" s="34">
        <f>((sales_data_1[[#This Row],[Unit_Price]]*(1-sales_data_1[[#This Row],[Discount]]))-sales_data_1[[#This Row],[Unit_Cost]])*sales_data_1[[#This Row],[Quantity_Sold]]</f>
        <v>6454.2599999999984</v>
      </c>
      <c r="O913" s="17" t="s">
        <v>17</v>
      </c>
      <c r="P913" s="26">
        <v>0.25</v>
      </c>
      <c r="Q913" s="17" t="s">
        <v>28</v>
      </c>
      <c r="R913" s="17" t="s">
        <v>19</v>
      </c>
      <c r="S913" s="49" t="str">
        <f t="shared" si="44"/>
        <v>David-North</v>
      </c>
      <c r="T913" s="59" t="str">
        <f>IF(ROUND(sales_data_1[[#This Row],[Profit_Margin]],2)=ROUND((sales_data_1[[#This Row],[Unit_Price]]*(1-sales_data_1[[#This Row],[Discount]]) - sales_data_1[[#This Row],[Unit_Cost]])*sales_data_1[[#This Row],[Quantity_Sold]],2), "PASS", "CHECK")</f>
        <v>PASS</v>
      </c>
    </row>
    <row r="914" spans="1:20" x14ac:dyDescent="0.35">
      <c r="A914" s="7">
        <v>913</v>
      </c>
      <c r="B914" s="9">
        <v>1091</v>
      </c>
      <c r="C914" s="7" t="str">
        <f>IFERROR(_xlfn.TEXTJOIN("-", TRUE, _xlfn.XLOOKUP(K914, product_category_id_lookup!$A$2:$A$5, product_category_id_lookup!$B$2:$B$5), B914), "Unknown Category")</f>
        <v>fnt-1091</v>
      </c>
      <c r="D914" s="8">
        <v>44858</v>
      </c>
      <c r="E914" s="7">
        <f t="shared" si="42"/>
        <v>2022</v>
      </c>
      <c r="F914" s="28" t="str">
        <f t="shared" si="43"/>
        <v>Oct</v>
      </c>
      <c r="G914" s="17" t="s">
        <v>22</v>
      </c>
      <c r="H914" s="17" t="s">
        <v>20</v>
      </c>
      <c r="I914" s="24">
        <v>84733.5625</v>
      </c>
      <c r="J914" s="32">
        <v>25</v>
      </c>
      <c r="K914" s="17" t="s">
        <v>16</v>
      </c>
      <c r="L914" s="24">
        <v>2862.97</v>
      </c>
      <c r="M914" s="24">
        <v>3808.25</v>
      </c>
      <c r="N914" s="34">
        <f>((sales_data_1[[#This Row],[Unit_Price]]*(1-sales_data_1[[#This Row],[Discount]]))-sales_data_1[[#This Row],[Unit_Cost]])*sales_data_1[[#This Row],[Quantity_Sold]]</f>
        <v>13159.312500000011</v>
      </c>
      <c r="O914" s="17" t="s">
        <v>17</v>
      </c>
      <c r="P914" s="26">
        <v>0.11</v>
      </c>
      <c r="Q914" s="17" t="s">
        <v>28</v>
      </c>
      <c r="R914" s="17" t="s">
        <v>21</v>
      </c>
      <c r="S914" s="49" t="str">
        <f t="shared" si="44"/>
        <v>David-West</v>
      </c>
      <c r="T914" s="59" t="str">
        <f>IF(ROUND(sales_data_1[[#This Row],[Profit_Margin]],2)=ROUND((sales_data_1[[#This Row],[Unit_Price]]*(1-sales_data_1[[#This Row],[Discount]]) - sales_data_1[[#This Row],[Unit_Cost]])*sales_data_1[[#This Row],[Quantity_Sold]],2), "PASS", "CHECK")</f>
        <v>PASS</v>
      </c>
    </row>
    <row r="915" spans="1:20" x14ac:dyDescent="0.35">
      <c r="A915" s="7">
        <v>914</v>
      </c>
      <c r="B915" s="9">
        <v>1003</v>
      </c>
      <c r="C915" s="7" t="str">
        <f>IFERROR(_xlfn.TEXTJOIN("-", TRUE, _xlfn.XLOOKUP(K915, product_category_id_lookup!$A$2:$A$5, product_category_id_lookup!$B$2:$B$5), B915), "Unknown Category")</f>
        <v>ctg-1003</v>
      </c>
      <c r="D915" s="8">
        <v>44859</v>
      </c>
      <c r="E915" s="7">
        <f t="shared" si="42"/>
        <v>2022</v>
      </c>
      <c r="F915" s="28" t="str">
        <f t="shared" si="43"/>
        <v>Oct</v>
      </c>
      <c r="G915" s="17" t="s">
        <v>33</v>
      </c>
      <c r="H915" s="17" t="s">
        <v>30</v>
      </c>
      <c r="I915" s="24">
        <v>2273.1455999999998</v>
      </c>
      <c r="J915" s="32">
        <v>2</v>
      </c>
      <c r="K915" s="17" t="s">
        <v>26</v>
      </c>
      <c r="L915" s="24">
        <v>354.09</v>
      </c>
      <c r="M915" s="24">
        <v>1209.1199999999999</v>
      </c>
      <c r="N915" s="34">
        <f>((sales_data_1[[#This Row],[Unit_Price]]*(1-sales_data_1[[#This Row],[Discount]]))-sales_data_1[[#This Row],[Unit_Cost]])*sales_data_1[[#This Row],[Quantity_Sold]]</f>
        <v>1564.9656</v>
      </c>
      <c r="O915" s="17" t="s">
        <v>27</v>
      </c>
      <c r="P915" s="26">
        <v>0.06</v>
      </c>
      <c r="Q915" s="17" t="s">
        <v>28</v>
      </c>
      <c r="R915" s="17" t="s">
        <v>19</v>
      </c>
      <c r="S915" s="49" t="str">
        <f t="shared" si="44"/>
        <v>Alice-East</v>
      </c>
      <c r="T915" s="59" t="str">
        <f>IF(ROUND(sales_data_1[[#This Row],[Profit_Margin]],2)=ROUND((sales_data_1[[#This Row],[Unit_Price]]*(1-sales_data_1[[#This Row],[Discount]]) - sales_data_1[[#This Row],[Unit_Cost]])*sales_data_1[[#This Row],[Quantity_Sold]],2), "PASS", "CHECK")</f>
        <v>PASS</v>
      </c>
    </row>
    <row r="916" spans="1:20" x14ac:dyDescent="0.35">
      <c r="A916" s="7">
        <v>915</v>
      </c>
      <c r="B916" s="9">
        <v>1082</v>
      </c>
      <c r="C916" s="7" t="str">
        <f>IFERROR(_xlfn.TEXTJOIN("-", TRUE, _xlfn.XLOOKUP(K916, product_category_id_lookup!$A$2:$A$5, product_category_id_lookup!$B$2:$B$5), B916), "Unknown Category")</f>
        <v>ctg-1082</v>
      </c>
      <c r="D916" s="8">
        <v>44859</v>
      </c>
      <c r="E916" s="7">
        <f t="shared" si="42"/>
        <v>2022</v>
      </c>
      <c r="F916" s="28" t="str">
        <f t="shared" si="43"/>
        <v>Oct</v>
      </c>
      <c r="G916" s="17" t="s">
        <v>22</v>
      </c>
      <c r="H916" s="17" t="s">
        <v>15</v>
      </c>
      <c r="I916" s="24">
        <v>15068.453821620647</v>
      </c>
      <c r="J916" s="32">
        <v>11</v>
      </c>
      <c r="K916" s="17" t="s">
        <v>26</v>
      </c>
      <c r="L916" s="24">
        <v>1030.5999999999999</v>
      </c>
      <c r="M916" s="24">
        <v>1396.89</v>
      </c>
      <c r="N916" s="34">
        <f>((sales_data_1[[#This Row],[Unit_Price]]*(1-sales_data_1[[#This Row],[Discount]]))-sales_data_1[[#This Row],[Unit_Cost]])*sales_data_1[[#This Row],[Quantity_Sold]]</f>
        <v>3721.8742000000029</v>
      </c>
      <c r="O916" s="17" t="s">
        <v>17</v>
      </c>
      <c r="P916" s="26">
        <v>0.02</v>
      </c>
      <c r="Q916" s="17" t="s">
        <v>25</v>
      </c>
      <c r="R916" s="17" t="s">
        <v>19</v>
      </c>
      <c r="S916" s="49" t="str">
        <f t="shared" si="44"/>
        <v>David-North</v>
      </c>
      <c r="T916" s="59" t="str">
        <f>IF(ROUND(sales_data_1[[#This Row],[Profit_Margin]],2)=ROUND((sales_data_1[[#This Row],[Unit_Price]]*(1-sales_data_1[[#This Row],[Discount]]) - sales_data_1[[#This Row],[Unit_Cost]])*sales_data_1[[#This Row],[Quantity_Sold]],2), "PASS", "CHECK")</f>
        <v>PASS</v>
      </c>
    </row>
    <row r="917" spans="1:20" x14ac:dyDescent="0.35">
      <c r="A917" s="7">
        <v>916</v>
      </c>
      <c r="B917" s="9">
        <v>1091</v>
      </c>
      <c r="C917" s="7" t="str">
        <f>IFERROR(_xlfn.TEXTJOIN("-", TRUE, _xlfn.XLOOKUP(K917, product_category_id_lookup!$A$2:$A$5, product_category_id_lookup!$B$2:$B$5), B917), "Unknown Category")</f>
        <v>fd-1091</v>
      </c>
      <c r="D917" s="8">
        <v>44859</v>
      </c>
      <c r="E917" s="7">
        <f t="shared" si="42"/>
        <v>2022</v>
      </c>
      <c r="F917" s="28" t="str">
        <f t="shared" si="43"/>
        <v>Oct</v>
      </c>
      <c r="G917" s="17" t="s">
        <v>22</v>
      </c>
      <c r="H917" s="17" t="s">
        <v>23</v>
      </c>
      <c r="I917" s="24">
        <v>17818.847200000004</v>
      </c>
      <c r="J917" s="32">
        <v>7</v>
      </c>
      <c r="K917" s="17" t="s">
        <v>24</v>
      </c>
      <c r="L917" s="24">
        <v>1767.15</v>
      </c>
      <c r="M917" s="24">
        <v>2892.67</v>
      </c>
      <c r="N917" s="34">
        <f>((sales_data_1[[#This Row],[Unit_Price]]*(1-sales_data_1[[#This Row],[Discount]]))-sales_data_1[[#This Row],[Unit_Cost]])*sales_data_1[[#This Row],[Quantity_Sold]]</f>
        <v>5448.7972000000009</v>
      </c>
      <c r="O917" s="17" t="s">
        <v>27</v>
      </c>
      <c r="P917" s="26">
        <v>0.12</v>
      </c>
      <c r="Q917" s="17" t="s">
        <v>28</v>
      </c>
      <c r="R917" s="17" t="s">
        <v>19</v>
      </c>
      <c r="S917" s="49" t="str">
        <f t="shared" si="44"/>
        <v>David-South</v>
      </c>
      <c r="T917" s="59" t="str">
        <f>IF(ROUND(sales_data_1[[#This Row],[Profit_Margin]],2)=ROUND((sales_data_1[[#This Row],[Unit_Price]]*(1-sales_data_1[[#This Row],[Discount]]) - sales_data_1[[#This Row],[Unit_Cost]])*sales_data_1[[#This Row],[Quantity_Sold]],2), "PASS", "CHECK")</f>
        <v>PASS</v>
      </c>
    </row>
    <row r="918" spans="1:20" x14ac:dyDescent="0.35">
      <c r="A918" s="7">
        <v>917</v>
      </c>
      <c r="B918" s="9">
        <v>1097</v>
      </c>
      <c r="C918" s="7" t="str">
        <f>IFERROR(_xlfn.TEXTJOIN("-", TRUE, _xlfn.XLOOKUP(K918, product_category_id_lookup!$A$2:$A$5, product_category_id_lookup!$B$2:$B$5), B918), "Unknown Category")</f>
        <v>etc-1097</v>
      </c>
      <c r="D918" s="8">
        <v>44859</v>
      </c>
      <c r="E918" s="7">
        <f t="shared" si="42"/>
        <v>2022</v>
      </c>
      <c r="F918" s="28" t="str">
        <f t="shared" si="43"/>
        <v>Oct</v>
      </c>
      <c r="G918" s="17" t="s">
        <v>22</v>
      </c>
      <c r="H918" s="17" t="s">
        <v>15</v>
      </c>
      <c r="I918" s="24">
        <v>9937.2728000000006</v>
      </c>
      <c r="J918" s="32">
        <v>4</v>
      </c>
      <c r="K918" s="17" t="s">
        <v>31</v>
      </c>
      <c r="L918" s="24">
        <v>933.86</v>
      </c>
      <c r="M918" s="24">
        <v>2730.02</v>
      </c>
      <c r="N918" s="34">
        <f>((sales_data_1[[#This Row],[Unit_Price]]*(1-sales_data_1[[#This Row],[Discount]]))-sales_data_1[[#This Row],[Unit_Cost]])*sales_data_1[[#This Row],[Quantity_Sold]]</f>
        <v>6201.8328000000001</v>
      </c>
      <c r="O918" s="17" t="s">
        <v>17</v>
      </c>
      <c r="P918" s="26">
        <v>0.09</v>
      </c>
      <c r="Q918" s="17" t="s">
        <v>28</v>
      </c>
      <c r="R918" s="17" t="s">
        <v>19</v>
      </c>
      <c r="S918" s="49" t="str">
        <f t="shared" si="44"/>
        <v>David-North</v>
      </c>
      <c r="T918" s="59" t="str">
        <f>IF(ROUND(sales_data_1[[#This Row],[Profit_Margin]],2)=ROUND((sales_data_1[[#This Row],[Unit_Price]]*(1-sales_data_1[[#This Row],[Discount]]) - sales_data_1[[#This Row],[Unit_Cost]])*sales_data_1[[#This Row],[Quantity_Sold]],2), "PASS", "CHECK")</f>
        <v>PASS</v>
      </c>
    </row>
    <row r="919" spans="1:20" x14ac:dyDescent="0.35">
      <c r="A919" s="7">
        <v>918</v>
      </c>
      <c r="B919" s="9">
        <v>1048</v>
      </c>
      <c r="C919" s="7" t="str">
        <f>IFERROR(_xlfn.TEXTJOIN("-", TRUE, _xlfn.XLOOKUP(K919, product_category_id_lookup!$A$2:$A$5, product_category_id_lookup!$B$2:$B$5), B919), "Unknown Category")</f>
        <v>fnt-1048</v>
      </c>
      <c r="D919" s="8">
        <v>44859</v>
      </c>
      <c r="E919" s="7">
        <f t="shared" si="42"/>
        <v>2022</v>
      </c>
      <c r="F919" s="28" t="str">
        <f t="shared" si="43"/>
        <v>Oct</v>
      </c>
      <c r="G919" s="17" t="s">
        <v>22</v>
      </c>
      <c r="H919" s="17" t="s">
        <v>23</v>
      </c>
      <c r="I919" s="24">
        <v>28073.476200000001</v>
      </c>
      <c r="J919" s="32">
        <v>7</v>
      </c>
      <c r="K919" s="17" t="s">
        <v>16</v>
      </c>
      <c r="L919" s="24">
        <v>2330.7399999999998</v>
      </c>
      <c r="M919" s="24">
        <v>5419.59</v>
      </c>
      <c r="N919" s="34">
        <f>((sales_data_1[[#This Row],[Unit_Price]]*(1-sales_data_1[[#This Row],[Discount]]))-sales_data_1[[#This Row],[Unit_Cost]])*sales_data_1[[#This Row],[Quantity_Sold]]</f>
        <v>11758.296200000001</v>
      </c>
      <c r="O919" s="17" t="s">
        <v>27</v>
      </c>
      <c r="P919" s="26">
        <v>0.26</v>
      </c>
      <c r="Q919" s="17" t="s">
        <v>28</v>
      </c>
      <c r="R919" s="17" t="s">
        <v>21</v>
      </c>
      <c r="S919" s="49" t="str">
        <f t="shared" si="44"/>
        <v>David-South</v>
      </c>
      <c r="T919" s="59" t="str">
        <f>IF(ROUND(sales_data_1[[#This Row],[Profit_Margin]],2)=ROUND((sales_data_1[[#This Row],[Unit_Price]]*(1-sales_data_1[[#This Row],[Discount]]) - sales_data_1[[#This Row],[Unit_Cost]])*sales_data_1[[#This Row],[Quantity_Sold]],2), "PASS", "CHECK")</f>
        <v>PASS</v>
      </c>
    </row>
    <row r="920" spans="1:20" x14ac:dyDescent="0.35">
      <c r="A920" s="7">
        <v>919</v>
      </c>
      <c r="B920" s="9">
        <v>1089</v>
      </c>
      <c r="C920" s="7" t="str">
        <f>IFERROR(_xlfn.TEXTJOIN("-", TRUE, _xlfn.XLOOKUP(K920, product_category_id_lookup!$A$2:$A$5, product_category_id_lookup!$B$2:$B$5), B920), "Unknown Category")</f>
        <v>etc-1089</v>
      </c>
      <c r="D920" s="8">
        <v>44859</v>
      </c>
      <c r="E920" s="7">
        <f t="shared" si="42"/>
        <v>2022</v>
      </c>
      <c r="F920" s="28" t="str">
        <f t="shared" si="43"/>
        <v>Oct</v>
      </c>
      <c r="G920" s="17" t="s">
        <v>33</v>
      </c>
      <c r="H920" s="17" t="s">
        <v>30</v>
      </c>
      <c r="I920" s="24">
        <v>147305.83679999999</v>
      </c>
      <c r="J920" s="32">
        <v>46</v>
      </c>
      <c r="K920" s="17" t="s">
        <v>31</v>
      </c>
      <c r="L920" s="24">
        <v>831.3</v>
      </c>
      <c r="M920" s="24">
        <v>4447.6400000000003</v>
      </c>
      <c r="N920" s="34">
        <f>((sales_data_1[[#This Row],[Unit_Price]]*(1-sales_data_1[[#This Row],[Discount]]))-sales_data_1[[#This Row],[Unit_Cost]])*sales_data_1[[#This Row],[Quantity_Sold]]</f>
        <v>109066.03679999999</v>
      </c>
      <c r="O920" s="17" t="s">
        <v>27</v>
      </c>
      <c r="P920" s="26">
        <v>0.28000000000000003</v>
      </c>
      <c r="Q920" s="17" t="s">
        <v>18</v>
      </c>
      <c r="R920" s="17" t="s">
        <v>21</v>
      </c>
      <c r="S920" s="49" t="str">
        <f t="shared" si="44"/>
        <v>Alice-East</v>
      </c>
      <c r="T920" s="59" t="str">
        <f>IF(ROUND(sales_data_1[[#This Row],[Profit_Margin]],2)=ROUND((sales_data_1[[#This Row],[Unit_Price]]*(1-sales_data_1[[#This Row],[Discount]]) - sales_data_1[[#This Row],[Unit_Cost]])*sales_data_1[[#This Row],[Quantity_Sold]],2), "PASS", "CHECK")</f>
        <v>PASS</v>
      </c>
    </row>
    <row r="921" spans="1:20" x14ac:dyDescent="0.35">
      <c r="A921" s="7">
        <v>920</v>
      </c>
      <c r="B921" s="9">
        <v>1075</v>
      </c>
      <c r="C921" s="7" t="str">
        <f>IFERROR(_xlfn.TEXTJOIN("-", TRUE, _xlfn.XLOOKUP(K921, product_category_id_lookup!$A$2:$A$5, product_category_id_lookup!$B$2:$B$5), B921), "Unknown Category")</f>
        <v>fnt-1075</v>
      </c>
      <c r="D921" s="8">
        <v>44860</v>
      </c>
      <c r="E921" s="7">
        <f t="shared" si="42"/>
        <v>2022</v>
      </c>
      <c r="F921" s="28" t="str">
        <f t="shared" si="43"/>
        <v>Oct</v>
      </c>
      <c r="G921" s="17" t="s">
        <v>14</v>
      </c>
      <c r="H921" s="17" t="s">
        <v>23</v>
      </c>
      <c r="I921" s="24">
        <v>135650.1051425387</v>
      </c>
      <c r="J921" s="32">
        <v>36</v>
      </c>
      <c r="K921" s="17" t="s">
        <v>16</v>
      </c>
      <c r="L921" s="24">
        <v>3764.74</v>
      </c>
      <c r="M921" s="24">
        <v>3793.97</v>
      </c>
      <c r="N921" s="34">
        <f>((sales_data_1[[#This Row],[Unit_Price]]*(1-sales_data_1[[#This Row],[Discount]]))-sales_data_1[[#This Row],[Unit_Cost]])*sales_data_1[[#This Row],[Quantity_Sold]]</f>
        <v>-313.54919999999584</v>
      </c>
      <c r="O921" s="17" t="s">
        <v>27</v>
      </c>
      <c r="P921" s="26">
        <v>0.01</v>
      </c>
      <c r="Q921" s="17" t="s">
        <v>28</v>
      </c>
      <c r="R921" s="17" t="s">
        <v>21</v>
      </c>
      <c r="S921" s="49" t="str">
        <f t="shared" si="44"/>
        <v>Bob-South</v>
      </c>
      <c r="T921" s="59" t="str">
        <f>IF(ROUND(sales_data_1[[#This Row],[Profit_Margin]],2)=ROUND((sales_data_1[[#This Row],[Unit_Price]]*(1-sales_data_1[[#This Row],[Discount]]) - sales_data_1[[#This Row],[Unit_Cost]])*sales_data_1[[#This Row],[Quantity_Sold]],2), "PASS", "CHECK")</f>
        <v>PASS</v>
      </c>
    </row>
    <row r="922" spans="1:20" x14ac:dyDescent="0.35">
      <c r="A922" s="7">
        <v>921</v>
      </c>
      <c r="B922" s="9">
        <v>1060</v>
      </c>
      <c r="C922" s="7" t="str">
        <f>IFERROR(_xlfn.TEXTJOIN("-", TRUE, _xlfn.XLOOKUP(K922, product_category_id_lookup!$A$2:$A$5, product_category_id_lookup!$B$2:$B$5), B922), "Unknown Category")</f>
        <v>etc-1060</v>
      </c>
      <c r="D922" s="8">
        <v>44860</v>
      </c>
      <c r="E922" s="7">
        <f t="shared" si="42"/>
        <v>2022</v>
      </c>
      <c r="F922" s="28" t="str">
        <f t="shared" si="43"/>
        <v>Oct</v>
      </c>
      <c r="G922" s="17" t="s">
        <v>29</v>
      </c>
      <c r="H922" s="17" t="s">
        <v>30</v>
      </c>
      <c r="I922" s="24">
        <v>4474.0123999999996</v>
      </c>
      <c r="J922" s="32">
        <v>1</v>
      </c>
      <c r="K922" s="17" t="s">
        <v>31</v>
      </c>
      <c r="L922" s="24">
        <v>2098.91</v>
      </c>
      <c r="M922" s="24">
        <v>5202.34</v>
      </c>
      <c r="N922" s="34">
        <f>((sales_data_1[[#This Row],[Unit_Price]]*(1-sales_data_1[[#This Row],[Discount]]))-sales_data_1[[#This Row],[Unit_Cost]])*sales_data_1[[#This Row],[Quantity_Sold]]</f>
        <v>2375.1023999999998</v>
      </c>
      <c r="O922" s="17" t="s">
        <v>17</v>
      </c>
      <c r="P922" s="26">
        <v>0.14000000000000001</v>
      </c>
      <c r="Q922" s="17" t="s">
        <v>28</v>
      </c>
      <c r="R922" s="17" t="s">
        <v>21</v>
      </c>
      <c r="S922" s="49" t="str">
        <f t="shared" si="44"/>
        <v>Charlie-East</v>
      </c>
      <c r="T922" s="59" t="str">
        <f>IF(ROUND(sales_data_1[[#This Row],[Profit_Margin]],2)=ROUND((sales_data_1[[#This Row],[Unit_Price]]*(1-sales_data_1[[#This Row],[Discount]]) - sales_data_1[[#This Row],[Unit_Cost]])*sales_data_1[[#This Row],[Quantity_Sold]],2), "PASS", "CHECK")</f>
        <v>PASS</v>
      </c>
    </row>
    <row r="923" spans="1:20" x14ac:dyDescent="0.35">
      <c r="A923" s="7">
        <v>922</v>
      </c>
      <c r="B923" s="9">
        <v>1089</v>
      </c>
      <c r="C923" s="7" t="str">
        <f>IFERROR(_xlfn.TEXTJOIN("-", TRUE, _xlfn.XLOOKUP(K923, product_category_id_lookup!$A$2:$A$5, product_category_id_lookup!$B$2:$B$5), B923), "Unknown Category")</f>
        <v>ctg-1089</v>
      </c>
      <c r="D923" s="8">
        <v>44860</v>
      </c>
      <c r="E923" s="7">
        <f t="shared" si="42"/>
        <v>2022</v>
      </c>
      <c r="F923" s="28" t="str">
        <f t="shared" si="43"/>
        <v>Oct</v>
      </c>
      <c r="G923" s="17" t="s">
        <v>29</v>
      </c>
      <c r="H923" s="17" t="s">
        <v>15</v>
      </c>
      <c r="I923" s="24">
        <v>46223.170000000006</v>
      </c>
      <c r="J923" s="32">
        <v>28</v>
      </c>
      <c r="K923" s="17" t="s">
        <v>26</v>
      </c>
      <c r="L923" s="24">
        <v>629.70000000000005</v>
      </c>
      <c r="M923" s="24">
        <v>1942.15</v>
      </c>
      <c r="N923" s="34">
        <f>((sales_data_1[[#This Row],[Unit_Price]]*(1-sales_data_1[[#This Row],[Discount]]))-sales_data_1[[#This Row],[Unit_Cost]])*sales_data_1[[#This Row],[Quantity_Sold]]</f>
        <v>28591.57</v>
      </c>
      <c r="O923" s="17" t="s">
        <v>27</v>
      </c>
      <c r="P923" s="26">
        <v>0.15</v>
      </c>
      <c r="Q923" s="17" t="s">
        <v>18</v>
      </c>
      <c r="R923" s="17" t="s">
        <v>19</v>
      </c>
      <c r="S923" s="49" t="str">
        <f t="shared" si="44"/>
        <v>Charlie-North</v>
      </c>
      <c r="T923" s="59" t="str">
        <f>IF(ROUND(sales_data_1[[#This Row],[Profit_Margin]],2)=ROUND((sales_data_1[[#This Row],[Unit_Price]]*(1-sales_data_1[[#This Row],[Discount]]) - sales_data_1[[#This Row],[Unit_Cost]])*sales_data_1[[#This Row],[Quantity_Sold]],2), "PASS", "CHECK")</f>
        <v>PASS</v>
      </c>
    </row>
    <row r="924" spans="1:20" x14ac:dyDescent="0.35">
      <c r="A924" s="7">
        <v>923</v>
      </c>
      <c r="B924" s="9">
        <v>1004</v>
      </c>
      <c r="C924" s="7" t="str">
        <f>IFERROR(_xlfn.TEXTJOIN("-", TRUE, _xlfn.XLOOKUP(K924, product_category_id_lookup!$A$2:$A$5, product_category_id_lookup!$B$2:$B$5), B924), "Unknown Category")</f>
        <v>fnt-1004</v>
      </c>
      <c r="D924" s="8">
        <v>44861</v>
      </c>
      <c r="E924" s="7">
        <f t="shared" si="42"/>
        <v>2022</v>
      </c>
      <c r="F924" s="28" t="str">
        <f t="shared" si="43"/>
        <v>Oct</v>
      </c>
      <c r="G924" s="17" t="s">
        <v>32</v>
      </c>
      <c r="H924" s="17" t="s">
        <v>20</v>
      </c>
      <c r="I924" s="24">
        <v>65207.400664894987</v>
      </c>
      <c r="J924" s="32">
        <v>24</v>
      </c>
      <c r="K924" s="17" t="s">
        <v>16</v>
      </c>
      <c r="L924" s="24">
        <v>2274.19</v>
      </c>
      <c r="M924" s="24">
        <v>2717.34</v>
      </c>
      <c r="N924" s="34">
        <f>((sales_data_1[[#This Row],[Unit_Price]]*(1-sales_data_1[[#This Row],[Discount]]))-sales_data_1[[#This Row],[Unit_Cost]])*sales_data_1[[#This Row],[Quantity_Sold]]</f>
        <v>10635.600000000002</v>
      </c>
      <c r="O924" s="17" t="s">
        <v>27</v>
      </c>
      <c r="P924" s="26">
        <v>0</v>
      </c>
      <c r="Q924" s="17" t="s">
        <v>28</v>
      </c>
      <c r="R924" s="17" t="s">
        <v>19</v>
      </c>
      <c r="S924" s="49" t="str">
        <f t="shared" si="44"/>
        <v>Eve-West</v>
      </c>
      <c r="T924" s="59" t="str">
        <f>IF(ROUND(sales_data_1[[#This Row],[Profit_Margin]],2)=ROUND((sales_data_1[[#This Row],[Unit_Price]]*(1-sales_data_1[[#This Row],[Discount]]) - sales_data_1[[#This Row],[Unit_Cost]])*sales_data_1[[#This Row],[Quantity_Sold]],2), "PASS", "CHECK")</f>
        <v>PASS</v>
      </c>
    </row>
    <row r="925" spans="1:20" x14ac:dyDescent="0.35">
      <c r="A925" s="7">
        <v>924</v>
      </c>
      <c r="B925" s="9">
        <v>1080</v>
      </c>
      <c r="C925" s="7" t="str">
        <f>IFERROR(_xlfn.TEXTJOIN("-", TRUE, _xlfn.XLOOKUP(K925, product_category_id_lookup!$A$2:$A$5, product_category_id_lookup!$B$2:$B$5), B925), "Unknown Category")</f>
        <v>fnt-1080</v>
      </c>
      <c r="D925" s="8">
        <v>44861</v>
      </c>
      <c r="E925" s="7">
        <f t="shared" si="42"/>
        <v>2022</v>
      </c>
      <c r="F925" s="28" t="str">
        <f t="shared" si="43"/>
        <v>Oct</v>
      </c>
      <c r="G925" s="17" t="s">
        <v>32</v>
      </c>
      <c r="H925" s="17" t="s">
        <v>15</v>
      </c>
      <c r="I925" s="24">
        <v>142421.92800000001</v>
      </c>
      <c r="J925" s="32">
        <v>33</v>
      </c>
      <c r="K925" s="17" t="s">
        <v>16</v>
      </c>
      <c r="L925" s="24">
        <v>1672.52</v>
      </c>
      <c r="M925" s="24">
        <v>5394.77</v>
      </c>
      <c r="N925" s="34">
        <f>((sales_data_1[[#This Row],[Unit_Price]]*(1-sales_data_1[[#This Row],[Discount]]))-sales_data_1[[#This Row],[Unit_Cost]])*sales_data_1[[#This Row],[Quantity_Sold]]</f>
        <v>87228.768000000025</v>
      </c>
      <c r="O925" s="17" t="s">
        <v>17</v>
      </c>
      <c r="P925" s="26">
        <v>0.2</v>
      </c>
      <c r="Q925" s="17" t="s">
        <v>25</v>
      </c>
      <c r="R925" s="17" t="s">
        <v>21</v>
      </c>
      <c r="S925" s="49" t="str">
        <f t="shared" si="44"/>
        <v>Eve-North</v>
      </c>
      <c r="T925" s="59" t="str">
        <f>IF(ROUND(sales_data_1[[#This Row],[Profit_Margin]],2)=ROUND((sales_data_1[[#This Row],[Unit_Price]]*(1-sales_data_1[[#This Row],[Discount]]) - sales_data_1[[#This Row],[Unit_Cost]])*sales_data_1[[#This Row],[Quantity_Sold]],2), "PASS", "CHECK")</f>
        <v>PASS</v>
      </c>
    </row>
    <row r="926" spans="1:20" x14ac:dyDescent="0.35">
      <c r="A926" s="7">
        <v>925</v>
      </c>
      <c r="B926" s="9">
        <v>1067</v>
      </c>
      <c r="C926" s="7" t="str">
        <f>IFERROR(_xlfn.TEXTJOIN("-", TRUE, _xlfn.XLOOKUP(K926, product_category_id_lookup!$A$2:$A$5, product_category_id_lookup!$B$2:$B$5), B926), "Unknown Category")</f>
        <v>ctg-1067</v>
      </c>
      <c r="D926" s="8">
        <v>44862</v>
      </c>
      <c r="E926" s="7">
        <f t="shared" si="42"/>
        <v>2022</v>
      </c>
      <c r="F926" s="28" t="str">
        <f t="shared" si="43"/>
        <v>Oct</v>
      </c>
      <c r="G926" s="17" t="s">
        <v>33</v>
      </c>
      <c r="H926" s="17" t="s">
        <v>23</v>
      </c>
      <c r="I926" s="24">
        <v>46843.419687057612</v>
      </c>
      <c r="J926" s="32">
        <v>10</v>
      </c>
      <c r="K926" s="17" t="s">
        <v>26</v>
      </c>
      <c r="L926" s="24">
        <v>3938.8</v>
      </c>
      <c r="M926" s="24">
        <v>4750.68</v>
      </c>
      <c r="N926" s="34">
        <f>((sales_data_1[[#This Row],[Unit_Price]]*(1-sales_data_1[[#This Row],[Discount]]))-sales_data_1[[#This Row],[Unit_Cost]])*sales_data_1[[#This Row],[Quantity_Sold]]</f>
        <v>7643.732</v>
      </c>
      <c r="O926" s="17" t="s">
        <v>17</v>
      </c>
      <c r="P926" s="26">
        <v>0.01</v>
      </c>
      <c r="Q926" s="17" t="s">
        <v>28</v>
      </c>
      <c r="R926" s="17" t="s">
        <v>21</v>
      </c>
      <c r="S926" s="49" t="str">
        <f t="shared" si="44"/>
        <v>Alice-South</v>
      </c>
      <c r="T926" s="59" t="str">
        <f>IF(ROUND(sales_data_1[[#This Row],[Profit_Margin]],2)=ROUND((sales_data_1[[#This Row],[Unit_Price]]*(1-sales_data_1[[#This Row],[Discount]]) - sales_data_1[[#This Row],[Unit_Cost]])*sales_data_1[[#This Row],[Quantity_Sold]],2), "PASS", "CHECK")</f>
        <v>PASS</v>
      </c>
    </row>
    <row r="927" spans="1:20" x14ac:dyDescent="0.35">
      <c r="A927" s="7">
        <v>926</v>
      </c>
      <c r="B927" s="9">
        <v>1088</v>
      </c>
      <c r="C927" s="7" t="str">
        <f>IFERROR(_xlfn.TEXTJOIN("-", TRUE, _xlfn.XLOOKUP(K927, product_category_id_lookup!$A$2:$A$5, product_category_id_lookup!$B$2:$B$5), B927), "Unknown Category")</f>
        <v>etc-1088</v>
      </c>
      <c r="D927" s="8">
        <v>44862</v>
      </c>
      <c r="E927" s="7">
        <f t="shared" si="42"/>
        <v>2022</v>
      </c>
      <c r="F927" s="28" t="str">
        <f t="shared" si="43"/>
        <v>Oct</v>
      </c>
      <c r="G927" s="17" t="s">
        <v>14</v>
      </c>
      <c r="H927" s="17" t="s">
        <v>15</v>
      </c>
      <c r="I927" s="24">
        <v>93767.674000000014</v>
      </c>
      <c r="J927" s="32">
        <v>28</v>
      </c>
      <c r="K927" s="17" t="s">
        <v>31</v>
      </c>
      <c r="L927" s="24">
        <v>1435.49</v>
      </c>
      <c r="M927" s="24">
        <v>3680.05</v>
      </c>
      <c r="N927" s="34">
        <f>((sales_data_1[[#This Row],[Unit_Price]]*(1-sales_data_1[[#This Row],[Discount]]))-sales_data_1[[#This Row],[Unit_Cost]])*sales_data_1[[#This Row],[Quantity_Sold]]</f>
        <v>53573.954000000012</v>
      </c>
      <c r="O927" s="17" t="s">
        <v>27</v>
      </c>
      <c r="P927" s="26">
        <v>0.09</v>
      </c>
      <c r="Q927" s="17" t="s">
        <v>18</v>
      </c>
      <c r="R927" s="17" t="s">
        <v>19</v>
      </c>
      <c r="S927" s="49" t="str">
        <f t="shared" si="44"/>
        <v>Bob-North</v>
      </c>
      <c r="T927" s="59" t="str">
        <f>IF(ROUND(sales_data_1[[#This Row],[Profit_Margin]],2)=ROUND((sales_data_1[[#This Row],[Unit_Price]]*(1-sales_data_1[[#This Row],[Discount]]) - sales_data_1[[#This Row],[Unit_Cost]])*sales_data_1[[#This Row],[Quantity_Sold]],2), "PASS", "CHECK")</f>
        <v>PASS</v>
      </c>
    </row>
    <row r="928" spans="1:20" x14ac:dyDescent="0.35">
      <c r="A928" s="7">
        <v>927</v>
      </c>
      <c r="B928" s="9">
        <v>1100</v>
      </c>
      <c r="C928" s="7" t="str">
        <f>IFERROR(_xlfn.TEXTJOIN("-", TRUE, _xlfn.XLOOKUP(K928, product_category_id_lookup!$A$2:$A$5, product_category_id_lookup!$B$2:$B$5), B928), "Unknown Category")</f>
        <v>fnt-1100</v>
      </c>
      <c r="D928" s="8">
        <v>44862</v>
      </c>
      <c r="E928" s="7">
        <f t="shared" si="42"/>
        <v>2022</v>
      </c>
      <c r="F928" s="28" t="str">
        <f t="shared" si="43"/>
        <v>Oct</v>
      </c>
      <c r="G928" s="17" t="s">
        <v>33</v>
      </c>
      <c r="H928" s="17" t="s">
        <v>30</v>
      </c>
      <c r="I928" s="24">
        <v>60675.44</v>
      </c>
      <c r="J928" s="32">
        <v>14</v>
      </c>
      <c r="K928" s="17" t="s">
        <v>16</v>
      </c>
      <c r="L928" s="24">
        <v>113.9</v>
      </c>
      <c r="M928" s="24">
        <v>4333.96</v>
      </c>
      <c r="N928" s="34">
        <f>((sales_data_1[[#This Row],[Unit_Price]]*(1-sales_data_1[[#This Row],[Discount]]))-sales_data_1[[#This Row],[Unit_Cost]])*sales_data_1[[#This Row],[Quantity_Sold]]</f>
        <v>59080.840000000004</v>
      </c>
      <c r="O928" s="17" t="s">
        <v>17</v>
      </c>
      <c r="P928" s="26">
        <v>0</v>
      </c>
      <c r="Q928" s="17" t="s">
        <v>18</v>
      </c>
      <c r="R928" s="17" t="s">
        <v>21</v>
      </c>
      <c r="S928" s="49" t="str">
        <f t="shared" si="44"/>
        <v>Alice-East</v>
      </c>
      <c r="T928" s="59" t="str">
        <f>IF(ROUND(sales_data_1[[#This Row],[Profit_Margin]],2)=ROUND((sales_data_1[[#This Row],[Unit_Price]]*(1-sales_data_1[[#This Row],[Discount]]) - sales_data_1[[#This Row],[Unit_Cost]])*sales_data_1[[#This Row],[Quantity_Sold]],2), "PASS", "CHECK")</f>
        <v>PASS</v>
      </c>
    </row>
    <row r="929" spans="1:20" x14ac:dyDescent="0.35">
      <c r="A929" s="7">
        <v>928</v>
      </c>
      <c r="B929" s="9">
        <v>1078</v>
      </c>
      <c r="C929" s="7" t="str">
        <f>IFERROR(_xlfn.TEXTJOIN("-", TRUE, _xlfn.XLOOKUP(K929, product_category_id_lookup!$A$2:$A$5, product_category_id_lookup!$B$2:$B$5), B929), "Unknown Category")</f>
        <v>ctg-1078</v>
      </c>
      <c r="D929" s="8">
        <v>44862</v>
      </c>
      <c r="E929" s="7">
        <f t="shared" si="42"/>
        <v>2022</v>
      </c>
      <c r="F929" s="28" t="str">
        <f t="shared" si="43"/>
        <v>Oct</v>
      </c>
      <c r="G929" s="17" t="s">
        <v>33</v>
      </c>
      <c r="H929" s="17" t="s">
        <v>23</v>
      </c>
      <c r="I929" s="24">
        <v>106425.34000000001</v>
      </c>
      <c r="J929" s="32">
        <v>28</v>
      </c>
      <c r="K929" s="17" t="s">
        <v>26</v>
      </c>
      <c r="L929" s="24">
        <v>261.2</v>
      </c>
      <c r="M929" s="24">
        <v>4635.25</v>
      </c>
      <c r="N929" s="34">
        <f>((sales_data_1[[#This Row],[Unit_Price]]*(1-sales_data_1[[#This Row],[Discount]]))-sales_data_1[[#This Row],[Unit_Cost]])*sales_data_1[[#This Row],[Quantity_Sold]]</f>
        <v>99111.74</v>
      </c>
      <c r="O929" s="17" t="s">
        <v>27</v>
      </c>
      <c r="P929" s="26">
        <v>0.18</v>
      </c>
      <c r="Q929" s="17" t="s">
        <v>28</v>
      </c>
      <c r="R929" s="17" t="s">
        <v>19</v>
      </c>
      <c r="S929" s="49" t="str">
        <f t="shared" si="44"/>
        <v>Alice-South</v>
      </c>
      <c r="T929" s="59" t="str">
        <f>IF(ROUND(sales_data_1[[#This Row],[Profit_Margin]],2)=ROUND((sales_data_1[[#This Row],[Unit_Price]]*(1-sales_data_1[[#This Row],[Discount]]) - sales_data_1[[#This Row],[Unit_Cost]])*sales_data_1[[#This Row],[Quantity_Sold]],2), "PASS", "CHECK")</f>
        <v>PASS</v>
      </c>
    </row>
    <row r="930" spans="1:20" x14ac:dyDescent="0.35">
      <c r="A930" s="7">
        <v>929</v>
      </c>
      <c r="B930" s="9">
        <v>1061</v>
      </c>
      <c r="C930" s="7" t="str">
        <f>IFERROR(_xlfn.TEXTJOIN("-", TRUE, _xlfn.XLOOKUP(K930, product_category_id_lookup!$A$2:$A$5, product_category_id_lookup!$B$2:$B$5), B930), "Unknown Category")</f>
        <v>etc-1061</v>
      </c>
      <c r="D930" s="8">
        <v>44863</v>
      </c>
      <c r="E930" s="7">
        <f t="shared" si="42"/>
        <v>2022</v>
      </c>
      <c r="F930" s="28" t="str">
        <f t="shared" si="43"/>
        <v>Oct</v>
      </c>
      <c r="G930" s="17" t="s">
        <v>29</v>
      </c>
      <c r="H930" s="17" t="s">
        <v>23</v>
      </c>
      <c r="I930" s="24">
        <v>9961.9874999999993</v>
      </c>
      <c r="J930" s="32">
        <v>9</v>
      </c>
      <c r="K930" s="17" t="s">
        <v>31</v>
      </c>
      <c r="L930" s="24">
        <v>531.92999999999995</v>
      </c>
      <c r="M930" s="24">
        <v>1475.85</v>
      </c>
      <c r="N930" s="34">
        <f>((sales_data_1[[#This Row],[Unit_Price]]*(1-sales_data_1[[#This Row],[Discount]]))-sales_data_1[[#This Row],[Unit_Cost]])*sales_data_1[[#This Row],[Quantity_Sold]]</f>
        <v>5174.6174999999985</v>
      </c>
      <c r="O930" s="17" t="s">
        <v>27</v>
      </c>
      <c r="P930" s="26">
        <v>0.25</v>
      </c>
      <c r="Q930" s="17" t="s">
        <v>25</v>
      </c>
      <c r="R930" s="17" t="s">
        <v>21</v>
      </c>
      <c r="S930" s="49" t="str">
        <f t="shared" si="44"/>
        <v>Charlie-South</v>
      </c>
      <c r="T930" s="59" t="str">
        <f>IF(ROUND(sales_data_1[[#This Row],[Profit_Margin]],2)=ROUND((sales_data_1[[#This Row],[Unit_Price]]*(1-sales_data_1[[#This Row],[Discount]]) - sales_data_1[[#This Row],[Unit_Cost]])*sales_data_1[[#This Row],[Quantity_Sold]],2), "PASS", "CHECK")</f>
        <v>PASS</v>
      </c>
    </row>
    <row r="931" spans="1:20" x14ac:dyDescent="0.35">
      <c r="A931" s="7">
        <v>930</v>
      </c>
      <c r="B931" s="9">
        <v>1022</v>
      </c>
      <c r="C931" s="7" t="str">
        <f>IFERROR(_xlfn.TEXTJOIN("-", TRUE, _xlfn.XLOOKUP(K931, product_category_id_lookup!$A$2:$A$5, product_category_id_lookup!$B$2:$B$5), B931), "Unknown Category")</f>
        <v>fd-1022</v>
      </c>
      <c r="D931" s="8">
        <v>44863</v>
      </c>
      <c r="E931" s="7">
        <f t="shared" si="42"/>
        <v>2022</v>
      </c>
      <c r="F931" s="28" t="str">
        <f t="shared" si="43"/>
        <v>Oct</v>
      </c>
      <c r="G931" s="17" t="s">
        <v>14</v>
      </c>
      <c r="H931" s="17" t="s">
        <v>23</v>
      </c>
      <c r="I931" s="24">
        <v>148418.90444754748</v>
      </c>
      <c r="J931" s="32">
        <v>28</v>
      </c>
      <c r="K931" s="17" t="s">
        <v>24</v>
      </c>
      <c r="L931" s="24">
        <v>4130.8900000000003</v>
      </c>
      <c r="M931" s="24">
        <v>5482.15</v>
      </c>
      <c r="N931" s="34">
        <f>((sales_data_1[[#This Row],[Unit_Price]]*(1-sales_data_1[[#This Row],[Discount]]))-sales_data_1[[#This Row],[Unit_Cost]])*sales_data_1[[#This Row],[Quantity_Sold]]</f>
        <v>33230.273999999976</v>
      </c>
      <c r="O931" s="17" t="s">
        <v>27</v>
      </c>
      <c r="P931" s="26">
        <v>0.03</v>
      </c>
      <c r="Q931" s="17" t="s">
        <v>25</v>
      </c>
      <c r="R931" s="17" t="s">
        <v>19</v>
      </c>
      <c r="S931" s="49" t="str">
        <f t="shared" si="44"/>
        <v>Bob-South</v>
      </c>
      <c r="T931" s="59" t="str">
        <f>IF(ROUND(sales_data_1[[#This Row],[Profit_Margin]],2)=ROUND((sales_data_1[[#This Row],[Unit_Price]]*(1-sales_data_1[[#This Row],[Discount]]) - sales_data_1[[#This Row],[Unit_Cost]])*sales_data_1[[#This Row],[Quantity_Sold]],2), "PASS", "CHECK")</f>
        <v>PASS</v>
      </c>
    </row>
    <row r="932" spans="1:20" x14ac:dyDescent="0.35">
      <c r="A932" s="7">
        <v>931</v>
      </c>
      <c r="B932" s="9">
        <v>1011</v>
      </c>
      <c r="C932" s="7" t="str">
        <f>IFERROR(_xlfn.TEXTJOIN("-", TRUE, _xlfn.XLOOKUP(K932, product_category_id_lookup!$A$2:$A$5, product_category_id_lookup!$B$2:$B$5), B932), "Unknown Category")</f>
        <v>ctg-1011</v>
      </c>
      <c r="D932" s="8">
        <v>44865</v>
      </c>
      <c r="E932" s="7">
        <f t="shared" si="42"/>
        <v>2022</v>
      </c>
      <c r="F932" s="28" t="str">
        <f t="shared" si="43"/>
        <v>Oct</v>
      </c>
      <c r="G932" s="17" t="s">
        <v>22</v>
      </c>
      <c r="H932" s="17" t="s">
        <v>15</v>
      </c>
      <c r="I932" s="24">
        <v>70816.233599999992</v>
      </c>
      <c r="J932" s="32">
        <v>21</v>
      </c>
      <c r="K932" s="17" t="s">
        <v>26</v>
      </c>
      <c r="L932" s="24">
        <v>3334.08</v>
      </c>
      <c r="M932" s="24">
        <v>3512.71</v>
      </c>
      <c r="N932" s="34">
        <f>((sales_data_1[[#This Row],[Unit_Price]]*(1-sales_data_1[[#This Row],[Discount]]))-sales_data_1[[#This Row],[Unit_Cost]])*sales_data_1[[#This Row],[Quantity_Sold]]</f>
        <v>800.55359999999882</v>
      </c>
      <c r="O932" s="17" t="s">
        <v>27</v>
      </c>
      <c r="P932" s="26">
        <v>0.04</v>
      </c>
      <c r="Q932" s="17" t="s">
        <v>25</v>
      </c>
      <c r="R932" s="17" t="s">
        <v>19</v>
      </c>
      <c r="S932" s="49" t="str">
        <f t="shared" si="44"/>
        <v>David-North</v>
      </c>
      <c r="T932" s="59" t="str">
        <f>IF(ROUND(sales_data_1[[#This Row],[Profit_Margin]],2)=ROUND((sales_data_1[[#This Row],[Unit_Price]]*(1-sales_data_1[[#This Row],[Discount]]) - sales_data_1[[#This Row],[Unit_Cost]])*sales_data_1[[#This Row],[Quantity_Sold]],2), "PASS", "CHECK")</f>
        <v>PASS</v>
      </c>
    </row>
    <row r="933" spans="1:20" x14ac:dyDescent="0.35">
      <c r="A933" s="7">
        <v>932</v>
      </c>
      <c r="B933" s="9">
        <v>1049</v>
      </c>
      <c r="C933" s="7" t="str">
        <f>IFERROR(_xlfn.TEXTJOIN("-", TRUE, _xlfn.XLOOKUP(K933, product_category_id_lookup!$A$2:$A$5, product_category_id_lookup!$B$2:$B$5), B933), "Unknown Category")</f>
        <v>etc-1049</v>
      </c>
      <c r="D933" s="8">
        <v>44865</v>
      </c>
      <c r="E933" s="7">
        <f t="shared" si="42"/>
        <v>2022</v>
      </c>
      <c r="F933" s="28" t="str">
        <f t="shared" si="43"/>
        <v>Oct</v>
      </c>
      <c r="G933" s="17" t="s">
        <v>33</v>
      </c>
      <c r="H933" s="17" t="s">
        <v>15</v>
      </c>
      <c r="I933" s="24">
        <v>239423.93719999999</v>
      </c>
      <c r="J933" s="32">
        <v>46</v>
      </c>
      <c r="K933" s="17" t="s">
        <v>31</v>
      </c>
      <c r="L933" s="24">
        <v>4000.96</v>
      </c>
      <c r="M933" s="24">
        <v>5311.09</v>
      </c>
      <c r="N933" s="34">
        <f>((sales_data_1[[#This Row],[Unit_Price]]*(1-sales_data_1[[#This Row],[Discount]]))-sales_data_1[[#This Row],[Unit_Cost]])*sales_data_1[[#This Row],[Quantity_Sold]]</f>
        <v>55379.777199999997</v>
      </c>
      <c r="O933" s="17" t="s">
        <v>27</v>
      </c>
      <c r="P933" s="26">
        <v>0.02</v>
      </c>
      <c r="Q933" s="17" t="s">
        <v>25</v>
      </c>
      <c r="R933" s="17" t="s">
        <v>21</v>
      </c>
      <c r="S933" s="49" t="str">
        <f t="shared" si="44"/>
        <v>Alice-North</v>
      </c>
      <c r="T933" s="59" t="str">
        <f>IF(ROUND(sales_data_1[[#This Row],[Profit_Margin]],2)=ROUND((sales_data_1[[#This Row],[Unit_Price]]*(1-sales_data_1[[#This Row],[Discount]]) - sales_data_1[[#This Row],[Unit_Cost]])*sales_data_1[[#This Row],[Quantity_Sold]],2), "PASS", "CHECK")</f>
        <v>PASS</v>
      </c>
    </row>
    <row r="934" spans="1:20" x14ac:dyDescent="0.35">
      <c r="A934" s="7">
        <v>933</v>
      </c>
      <c r="B934" s="9">
        <v>1013</v>
      </c>
      <c r="C934" s="7" t="str">
        <f>IFERROR(_xlfn.TEXTJOIN("-", TRUE, _xlfn.XLOOKUP(K934, product_category_id_lookup!$A$2:$A$5, product_category_id_lookup!$B$2:$B$5), B934), "Unknown Category")</f>
        <v>fd-1013</v>
      </c>
      <c r="D934" s="8">
        <v>44865</v>
      </c>
      <c r="E934" s="7">
        <f t="shared" si="42"/>
        <v>2022</v>
      </c>
      <c r="F934" s="28" t="str">
        <f t="shared" si="43"/>
        <v>Oct</v>
      </c>
      <c r="G934" s="17" t="s">
        <v>22</v>
      </c>
      <c r="H934" s="17" t="s">
        <v>30</v>
      </c>
      <c r="I934" s="24">
        <v>124679.57759999999</v>
      </c>
      <c r="J934" s="32">
        <v>24</v>
      </c>
      <c r="K934" s="17" t="s">
        <v>24</v>
      </c>
      <c r="L934" s="24">
        <v>2886.51</v>
      </c>
      <c r="M934" s="24">
        <v>5411.44</v>
      </c>
      <c r="N934" s="34">
        <f>((sales_data_1[[#This Row],[Unit_Price]]*(1-sales_data_1[[#This Row],[Discount]]))-sales_data_1[[#This Row],[Unit_Cost]])*sales_data_1[[#This Row],[Quantity_Sold]]</f>
        <v>55403.337599999992</v>
      </c>
      <c r="O934" s="17" t="s">
        <v>17</v>
      </c>
      <c r="P934" s="26">
        <v>0.04</v>
      </c>
      <c r="Q934" s="17" t="s">
        <v>28</v>
      </c>
      <c r="R934" s="17" t="s">
        <v>21</v>
      </c>
      <c r="S934" s="49" t="str">
        <f t="shared" si="44"/>
        <v>David-East</v>
      </c>
      <c r="T934" s="59" t="str">
        <f>IF(ROUND(sales_data_1[[#This Row],[Profit_Margin]],2)=ROUND((sales_data_1[[#This Row],[Unit_Price]]*(1-sales_data_1[[#This Row],[Discount]]) - sales_data_1[[#This Row],[Unit_Cost]])*sales_data_1[[#This Row],[Quantity_Sold]],2), "PASS", "CHECK")</f>
        <v>PASS</v>
      </c>
    </row>
    <row r="935" spans="1:20" x14ac:dyDescent="0.35">
      <c r="A935" s="7">
        <v>934</v>
      </c>
      <c r="B935" s="9">
        <v>1003</v>
      </c>
      <c r="C935" s="7" t="str">
        <f>IFERROR(_xlfn.TEXTJOIN("-", TRUE, _xlfn.XLOOKUP(K935, product_category_id_lookup!$A$2:$A$5, product_category_id_lookup!$B$2:$B$5), B935), "Unknown Category")</f>
        <v>ctg-1003</v>
      </c>
      <c r="D935" s="8">
        <v>44866</v>
      </c>
      <c r="E935" s="7">
        <f t="shared" si="42"/>
        <v>2022</v>
      </c>
      <c r="F935" s="28" t="str">
        <f t="shared" si="43"/>
        <v>Nov</v>
      </c>
      <c r="G935" s="17" t="s">
        <v>33</v>
      </c>
      <c r="H935" s="17" t="s">
        <v>15</v>
      </c>
      <c r="I935" s="24">
        <v>43304.324699999997</v>
      </c>
      <c r="J935" s="32">
        <v>13</v>
      </c>
      <c r="K935" s="17" t="s">
        <v>26</v>
      </c>
      <c r="L935" s="24">
        <v>2728.93</v>
      </c>
      <c r="M935" s="24">
        <v>3581.83</v>
      </c>
      <c r="N935" s="34">
        <f>((sales_data_1[[#This Row],[Unit_Price]]*(1-sales_data_1[[#This Row],[Discount]]))-sales_data_1[[#This Row],[Unit_Cost]])*sales_data_1[[#This Row],[Quantity_Sold]]</f>
        <v>7828.2346999999972</v>
      </c>
      <c r="O935" s="17" t="s">
        <v>27</v>
      </c>
      <c r="P935" s="26">
        <v>7.0000000000000007E-2</v>
      </c>
      <c r="Q935" s="17" t="s">
        <v>18</v>
      </c>
      <c r="R935" s="17" t="s">
        <v>21</v>
      </c>
      <c r="S935" s="49" t="str">
        <f t="shared" si="44"/>
        <v>Alice-North</v>
      </c>
      <c r="T935" s="59" t="str">
        <f>IF(ROUND(sales_data_1[[#This Row],[Profit_Margin]],2)=ROUND((sales_data_1[[#This Row],[Unit_Price]]*(1-sales_data_1[[#This Row],[Discount]]) - sales_data_1[[#This Row],[Unit_Cost]])*sales_data_1[[#This Row],[Quantity_Sold]],2), "PASS", "CHECK")</f>
        <v>PASS</v>
      </c>
    </row>
    <row r="936" spans="1:20" x14ac:dyDescent="0.35">
      <c r="A936" s="7">
        <v>935</v>
      </c>
      <c r="B936" s="9">
        <v>1005</v>
      </c>
      <c r="C936" s="7" t="str">
        <f>IFERROR(_xlfn.TEXTJOIN("-", TRUE, _xlfn.XLOOKUP(K936, product_category_id_lookup!$A$2:$A$5, product_category_id_lookup!$B$2:$B$5), B936), "Unknown Category")</f>
        <v>fd-1005</v>
      </c>
      <c r="D936" s="8">
        <v>44866</v>
      </c>
      <c r="E936" s="7">
        <f t="shared" si="42"/>
        <v>2022</v>
      </c>
      <c r="F936" s="28" t="str">
        <f t="shared" si="43"/>
        <v>Nov</v>
      </c>
      <c r="G936" s="17" t="s">
        <v>33</v>
      </c>
      <c r="H936" s="17" t="s">
        <v>30</v>
      </c>
      <c r="I936" s="24">
        <v>169959.73679999998</v>
      </c>
      <c r="J936" s="32">
        <v>42</v>
      </c>
      <c r="K936" s="17" t="s">
        <v>24</v>
      </c>
      <c r="L936" s="24">
        <v>1476.93</v>
      </c>
      <c r="M936" s="24">
        <v>5468.46</v>
      </c>
      <c r="N936" s="34">
        <f>((sales_data_1[[#This Row],[Unit_Price]]*(1-sales_data_1[[#This Row],[Discount]]))-sales_data_1[[#This Row],[Unit_Cost]])*sales_data_1[[#This Row],[Quantity_Sold]]</f>
        <v>107928.67679999997</v>
      </c>
      <c r="O936" s="17" t="s">
        <v>27</v>
      </c>
      <c r="P936" s="26">
        <v>0.26</v>
      </c>
      <c r="Q936" s="17" t="s">
        <v>28</v>
      </c>
      <c r="R936" s="17" t="s">
        <v>21</v>
      </c>
      <c r="S936" s="49" t="str">
        <f t="shared" si="44"/>
        <v>Alice-East</v>
      </c>
      <c r="T936" s="59" t="str">
        <f>IF(ROUND(sales_data_1[[#This Row],[Profit_Margin]],2)=ROUND((sales_data_1[[#This Row],[Unit_Price]]*(1-sales_data_1[[#This Row],[Discount]]) - sales_data_1[[#This Row],[Unit_Cost]])*sales_data_1[[#This Row],[Quantity_Sold]],2), "PASS", "CHECK")</f>
        <v>PASS</v>
      </c>
    </row>
    <row r="937" spans="1:20" x14ac:dyDescent="0.35">
      <c r="A937" s="7">
        <v>936</v>
      </c>
      <c r="B937" s="9">
        <v>1005</v>
      </c>
      <c r="C937" s="7" t="str">
        <f>IFERROR(_xlfn.TEXTJOIN("-", TRUE, _xlfn.XLOOKUP(K937, product_category_id_lookup!$A$2:$A$5, product_category_id_lookup!$B$2:$B$5), B937), "Unknown Category")</f>
        <v>ctg-1005</v>
      </c>
      <c r="D937" s="8">
        <v>44867</v>
      </c>
      <c r="E937" s="7">
        <f t="shared" si="42"/>
        <v>2022</v>
      </c>
      <c r="F937" s="28" t="str">
        <f t="shared" si="43"/>
        <v>Nov</v>
      </c>
      <c r="G937" s="17" t="s">
        <v>22</v>
      </c>
      <c r="H937" s="17" t="s">
        <v>20</v>
      </c>
      <c r="I937" s="24">
        <v>13098.8325</v>
      </c>
      <c r="J937" s="32">
        <v>13</v>
      </c>
      <c r="K937" s="17" t="s">
        <v>26</v>
      </c>
      <c r="L937" s="24">
        <v>1001.38</v>
      </c>
      <c r="M937" s="24">
        <v>1343.47</v>
      </c>
      <c r="N937" s="34">
        <f>((sales_data_1[[#This Row],[Unit_Price]]*(1-sales_data_1[[#This Row],[Discount]]))-sales_data_1[[#This Row],[Unit_Cost]])*sales_data_1[[#This Row],[Quantity_Sold]]</f>
        <v>80.892499999999586</v>
      </c>
      <c r="O937" s="17" t="s">
        <v>17</v>
      </c>
      <c r="P937" s="26">
        <v>0.25</v>
      </c>
      <c r="Q937" s="17" t="s">
        <v>25</v>
      </c>
      <c r="R937" s="17" t="s">
        <v>19</v>
      </c>
      <c r="S937" s="49" t="str">
        <f t="shared" si="44"/>
        <v>David-West</v>
      </c>
      <c r="T937" s="59" t="str">
        <f>IF(ROUND(sales_data_1[[#This Row],[Profit_Margin]],2)=ROUND((sales_data_1[[#This Row],[Unit_Price]]*(1-sales_data_1[[#This Row],[Discount]]) - sales_data_1[[#This Row],[Unit_Cost]])*sales_data_1[[#This Row],[Quantity_Sold]],2), "PASS", "CHECK")</f>
        <v>PASS</v>
      </c>
    </row>
    <row r="938" spans="1:20" x14ac:dyDescent="0.35">
      <c r="A938" s="7">
        <v>937</v>
      </c>
      <c r="B938" s="9">
        <v>1054</v>
      </c>
      <c r="C938" s="7" t="str">
        <f>IFERROR(_xlfn.TEXTJOIN("-", TRUE, _xlfn.XLOOKUP(K938, product_category_id_lookup!$A$2:$A$5, product_category_id_lookup!$B$2:$B$5), B938), "Unknown Category")</f>
        <v>etc-1054</v>
      </c>
      <c r="D938" s="8">
        <v>44867</v>
      </c>
      <c r="E938" s="7">
        <f t="shared" si="42"/>
        <v>2022</v>
      </c>
      <c r="F938" s="28" t="str">
        <f t="shared" si="43"/>
        <v>Nov</v>
      </c>
      <c r="G938" s="17" t="s">
        <v>29</v>
      </c>
      <c r="H938" s="17" t="s">
        <v>30</v>
      </c>
      <c r="I938" s="24">
        <v>89421.233813822342</v>
      </c>
      <c r="J938" s="32">
        <v>18</v>
      </c>
      <c r="K938" s="17" t="s">
        <v>31</v>
      </c>
      <c r="L938" s="24">
        <v>4944.2700000000004</v>
      </c>
      <c r="M938" s="24">
        <v>5157.32</v>
      </c>
      <c r="N938" s="34">
        <f>((sales_data_1[[#This Row],[Unit_Price]]*(1-sales_data_1[[#This Row],[Discount]]))-sales_data_1[[#This Row],[Unit_Cost]])*sales_data_1[[#This Row],[Quantity_Sold]]</f>
        <v>121.62959999998384</v>
      </c>
      <c r="O938" s="17" t="s">
        <v>27</v>
      </c>
      <c r="P938" s="26">
        <v>0.04</v>
      </c>
      <c r="Q938" s="17" t="s">
        <v>18</v>
      </c>
      <c r="R938" s="17" t="s">
        <v>19</v>
      </c>
      <c r="S938" s="49" t="str">
        <f t="shared" si="44"/>
        <v>Charlie-East</v>
      </c>
      <c r="T938" s="59" t="str">
        <f>IF(ROUND(sales_data_1[[#This Row],[Profit_Margin]],2)=ROUND((sales_data_1[[#This Row],[Unit_Price]]*(1-sales_data_1[[#This Row],[Discount]]) - sales_data_1[[#This Row],[Unit_Cost]])*sales_data_1[[#This Row],[Quantity_Sold]],2), "PASS", "CHECK")</f>
        <v>PASS</v>
      </c>
    </row>
    <row r="939" spans="1:20" x14ac:dyDescent="0.35">
      <c r="A939" s="7">
        <v>938</v>
      </c>
      <c r="B939" s="9">
        <v>1057</v>
      </c>
      <c r="C939" s="7" t="str">
        <f>IFERROR(_xlfn.TEXTJOIN("-", TRUE, _xlfn.XLOOKUP(K939, product_category_id_lookup!$A$2:$A$5, product_category_id_lookup!$B$2:$B$5), B939), "Unknown Category")</f>
        <v>ctg-1057</v>
      </c>
      <c r="D939" s="8">
        <v>44867</v>
      </c>
      <c r="E939" s="7">
        <f t="shared" si="42"/>
        <v>2022</v>
      </c>
      <c r="F939" s="28" t="str">
        <f t="shared" si="43"/>
        <v>Nov</v>
      </c>
      <c r="G939" s="17" t="s">
        <v>33</v>
      </c>
      <c r="H939" s="17" t="s">
        <v>30</v>
      </c>
      <c r="I939" s="24">
        <v>22867.98</v>
      </c>
      <c r="J939" s="32">
        <v>25</v>
      </c>
      <c r="K939" s="17" t="s">
        <v>26</v>
      </c>
      <c r="L939" s="24">
        <v>428.55</v>
      </c>
      <c r="M939" s="24">
        <v>1253.04</v>
      </c>
      <c r="N939" s="34">
        <f>((sales_data_1[[#This Row],[Unit_Price]]*(1-sales_data_1[[#This Row],[Discount]]))-sales_data_1[[#This Row],[Unit_Cost]])*sales_data_1[[#This Row],[Quantity_Sold]]</f>
        <v>12154.23</v>
      </c>
      <c r="O939" s="17" t="s">
        <v>17</v>
      </c>
      <c r="P939" s="26">
        <v>0.27</v>
      </c>
      <c r="Q939" s="17" t="s">
        <v>28</v>
      </c>
      <c r="R939" s="17" t="s">
        <v>21</v>
      </c>
      <c r="S939" s="49" t="str">
        <f t="shared" si="44"/>
        <v>Alice-East</v>
      </c>
      <c r="T939" s="59" t="str">
        <f>IF(ROUND(sales_data_1[[#This Row],[Profit_Margin]],2)=ROUND((sales_data_1[[#This Row],[Unit_Price]]*(1-sales_data_1[[#This Row],[Discount]]) - sales_data_1[[#This Row],[Unit_Cost]])*sales_data_1[[#This Row],[Quantity_Sold]],2), "PASS", "CHECK")</f>
        <v>PASS</v>
      </c>
    </row>
    <row r="940" spans="1:20" x14ac:dyDescent="0.35">
      <c r="A940" s="7">
        <v>939</v>
      </c>
      <c r="B940" s="9">
        <v>1096</v>
      </c>
      <c r="C940" s="7" t="str">
        <f>IFERROR(_xlfn.TEXTJOIN("-", TRUE, _xlfn.XLOOKUP(K940, product_category_id_lookup!$A$2:$A$5, product_category_id_lookup!$B$2:$B$5), B940), "Unknown Category")</f>
        <v>etc-1096</v>
      </c>
      <c r="D940" s="8">
        <v>44867</v>
      </c>
      <c r="E940" s="7">
        <f t="shared" si="42"/>
        <v>2022</v>
      </c>
      <c r="F940" s="28" t="str">
        <f t="shared" si="43"/>
        <v>Nov</v>
      </c>
      <c r="G940" s="17" t="s">
        <v>33</v>
      </c>
      <c r="H940" s="17" t="s">
        <v>23</v>
      </c>
      <c r="I940" s="24">
        <v>157697.92500000002</v>
      </c>
      <c r="J940" s="32">
        <v>50</v>
      </c>
      <c r="K940" s="17" t="s">
        <v>31</v>
      </c>
      <c r="L940" s="24">
        <v>2377.17</v>
      </c>
      <c r="M940" s="24">
        <v>4096.05</v>
      </c>
      <c r="N940" s="34">
        <f>((sales_data_1[[#This Row],[Unit_Price]]*(1-sales_data_1[[#This Row],[Discount]]))-sales_data_1[[#This Row],[Unit_Cost]])*sales_data_1[[#This Row],[Quantity_Sold]]</f>
        <v>38839.425000000003</v>
      </c>
      <c r="O940" s="17" t="s">
        <v>27</v>
      </c>
      <c r="P940" s="26">
        <v>0.23</v>
      </c>
      <c r="Q940" s="17" t="s">
        <v>25</v>
      </c>
      <c r="R940" s="17" t="s">
        <v>21</v>
      </c>
      <c r="S940" s="49" t="str">
        <f t="shared" si="44"/>
        <v>Alice-South</v>
      </c>
      <c r="T940" s="59" t="str">
        <f>IF(ROUND(sales_data_1[[#This Row],[Profit_Margin]],2)=ROUND((sales_data_1[[#This Row],[Unit_Price]]*(1-sales_data_1[[#This Row],[Discount]]) - sales_data_1[[#This Row],[Unit_Cost]])*sales_data_1[[#This Row],[Quantity_Sold]],2), "PASS", "CHECK")</f>
        <v>PASS</v>
      </c>
    </row>
    <row r="941" spans="1:20" x14ac:dyDescent="0.35">
      <c r="A941" s="7">
        <v>940</v>
      </c>
      <c r="B941" s="9">
        <v>1039</v>
      </c>
      <c r="C941" s="7" t="str">
        <f>IFERROR(_xlfn.TEXTJOIN("-", TRUE, _xlfn.XLOOKUP(K941, product_category_id_lookup!$A$2:$A$5, product_category_id_lookup!$B$2:$B$5), B941), "Unknown Category")</f>
        <v>fd-1039</v>
      </c>
      <c r="D941" s="8">
        <v>44869</v>
      </c>
      <c r="E941" s="7">
        <f t="shared" si="42"/>
        <v>2022</v>
      </c>
      <c r="F941" s="28" t="str">
        <f t="shared" si="43"/>
        <v>Nov</v>
      </c>
      <c r="G941" s="17" t="s">
        <v>32</v>
      </c>
      <c r="H941" s="17" t="s">
        <v>20</v>
      </c>
      <c r="I941" s="24">
        <v>38239.029599999994</v>
      </c>
      <c r="J941" s="32">
        <v>24</v>
      </c>
      <c r="K941" s="17" t="s">
        <v>24</v>
      </c>
      <c r="L941" s="24">
        <v>676.81</v>
      </c>
      <c r="M941" s="24">
        <v>1919.63</v>
      </c>
      <c r="N941" s="34">
        <f>((sales_data_1[[#This Row],[Unit_Price]]*(1-sales_data_1[[#This Row],[Discount]]))-sales_data_1[[#This Row],[Unit_Cost]])*sales_data_1[[#This Row],[Quantity_Sold]]</f>
        <v>21995.589599999999</v>
      </c>
      <c r="O941" s="17" t="s">
        <v>27</v>
      </c>
      <c r="P941" s="26">
        <v>0.17</v>
      </c>
      <c r="Q941" s="17" t="s">
        <v>28</v>
      </c>
      <c r="R941" s="17" t="s">
        <v>19</v>
      </c>
      <c r="S941" s="49" t="str">
        <f t="shared" si="44"/>
        <v>Eve-West</v>
      </c>
      <c r="T941" s="59" t="str">
        <f>IF(ROUND(sales_data_1[[#This Row],[Profit_Margin]],2)=ROUND((sales_data_1[[#This Row],[Unit_Price]]*(1-sales_data_1[[#This Row],[Discount]]) - sales_data_1[[#This Row],[Unit_Cost]])*sales_data_1[[#This Row],[Quantity_Sold]],2), "PASS", "CHECK")</f>
        <v>PASS</v>
      </c>
    </row>
    <row r="942" spans="1:20" x14ac:dyDescent="0.35">
      <c r="A942" s="7">
        <v>941</v>
      </c>
      <c r="B942" s="9">
        <v>1042</v>
      </c>
      <c r="C942" s="7" t="str">
        <f>IFERROR(_xlfn.TEXTJOIN("-", TRUE, _xlfn.XLOOKUP(K942, product_category_id_lookup!$A$2:$A$5, product_category_id_lookup!$B$2:$B$5), B942), "Unknown Category")</f>
        <v>etc-1042</v>
      </c>
      <c r="D942" s="8">
        <v>44869</v>
      </c>
      <c r="E942" s="7">
        <f t="shared" si="42"/>
        <v>2022</v>
      </c>
      <c r="F942" s="28" t="str">
        <f t="shared" si="43"/>
        <v>Nov</v>
      </c>
      <c r="G942" s="17" t="s">
        <v>22</v>
      </c>
      <c r="H942" s="17" t="s">
        <v>23</v>
      </c>
      <c r="I942" s="24">
        <v>201171.24800000002</v>
      </c>
      <c r="J942" s="32">
        <v>40</v>
      </c>
      <c r="K942" s="17" t="s">
        <v>31</v>
      </c>
      <c r="L942" s="24">
        <v>2017.78</v>
      </c>
      <c r="M942" s="24">
        <v>5466.61</v>
      </c>
      <c r="N942" s="34">
        <f>((sales_data_1[[#This Row],[Unit_Price]]*(1-sales_data_1[[#This Row],[Discount]]))-sales_data_1[[#This Row],[Unit_Cost]])*sales_data_1[[#This Row],[Quantity_Sold]]</f>
        <v>120460.04800000002</v>
      </c>
      <c r="O942" s="17" t="s">
        <v>27</v>
      </c>
      <c r="P942" s="26">
        <v>0.08</v>
      </c>
      <c r="Q942" s="17" t="s">
        <v>18</v>
      </c>
      <c r="R942" s="17" t="s">
        <v>19</v>
      </c>
      <c r="S942" s="49" t="str">
        <f t="shared" si="44"/>
        <v>David-South</v>
      </c>
      <c r="T942" s="59" t="str">
        <f>IF(ROUND(sales_data_1[[#This Row],[Profit_Margin]],2)=ROUND((sales_data_1[[#This Row],[Unit_Price]]*(1-sales_data_1[[#This Row],[Discount]]) - sales_data_1[[#This Row],[Unit_Cost]])*sales_data_1[[#This Row],[Quantity_Sold]],2), "PASS", "CHECK")</f>
        <v>PASS</v>
      </c>
    </row>
    <row r="943" spans="1:20" x14ac:dyDescent="0.35">
      <c r="A943" s="7">
        <v>942</v>
      </c>
      <c r="B943" s="9">
        <v>1035</v>
      </c>
      <c r="C943" s="7" t="str">
        <f>IFERROR(_xlfn.TEXTJOIN("-", TRUE, _xlfn.XLOOKUP(K943, product_category_id_lookup!$A$2:$A$5, product_category_id_lookup!$B$2:$B$5), B943), "Unknown Category")</f>
        <v>ctg-1035</v>
      </c>
      <c r="D943" s="8">
        <v>44870</v>
      </c>
      <c r="E943" s="7">
        <f t="shared" si="42"/>
        <v>2022</v>
      </c>
      <c r="F943" s="28" t="str">
        <f t="shared" si="43"/>
        <v>Nov</v>
      </c>
      <c r="G943" s="17" t="s">
        <v>22</v>
      </c>
      <c r="H943" s="17" t="s">
        <v>20</v>
      </c>
      <c r="I943" s="24">
        <v>5282.5439561951171</v>
      </c>
      <c r="J943" s="32">
        <v>1</v>
      </c>
      <c r="K943" s="17" t="s">
        <v>26</v>
      </c>
      <c r="L943" s="24">
        <v>4918.33</v>
      </c>
      <c r="M943" s="24">
        <v>5396.42</v>
      </c>
      <c r="N943" s="34">
        <f>((sales_data_1[[#This Row],[Unit_Price]]*(1-sales_data_1[[#This Row],[Discount]]))-sales_data_1[[#This Row],[Unit_Cost]])*sales_data_1[[#This Row],[Quantity_Sold]]</f>
        <v>370.16160000000036</v>
      </c>
      <c r="O943" s="17" t="s">
        <v>27</v>
      </c>
      <c r="P943" s="26">
        <v>0.02</v>
      </c>
      <c r="Q943" s="17" t="s">
        <v>28</v>
      </c>
      <c r="R943" s="17" t="s">
        <v>21</v>
      </c>
      <c r="S943" s="49" t="str">
        <f t="shared" si="44"/>
        <v>David-West</v>
      </c>
      <c r="T943" s="59" t="str">
        <f>IF(ROUND(sales_data_1[[#This Row],[Profit_Margin]],2)=ROUND((sales_data_1[[#This Row],[Unit_Price]]*(1-sales_data_1[[#This Row],[Discount]]) - sales_data_1[[#This Row],[Unit_Cost]])*sales_data_1[[#This Row],[Quantity_Sold]],2), "PASS", "CHECK")</f>
        <v>PASS</v>
      </c>
    </row>
    <row r="944" spans="1:20" x14ac:dyDescent="0.35">
      <c r="A944" s="7">
        <v>943</v>
      </c>
      <c r="B944" s="9">
        <v>1010</v>
      </c>
      <c r="C944" s="7" t="str">
        <f>IFERROR(_xlfn.TEXTJOIN("-", TRUE, _xlfn.XLOOKUP(K944, product_category_id_lookup!$A$2:$A$5, product_category_id_lookup!$B$2:$B$5), B944), "Unknown Category")</f>
        <v>ctg-1010</v>
      </c>
      <c r="D944" s="8">
        <v>44870</v>
      </c>
      <c r="E944" s="7">
        <f t="shared" si="42"/>
        <v>2022</v>
      </c>
      <c r="F944" s="28" t="str">
        <f t="shared" si="43"/>
        <v>Nov</v>
      </c>
      <c r="G944" s="17" t="s">
        <v>22</v>
      </c>
      <c r="H944" s="17" t="s">
        <v>23</v>
      </c>
      <c r="I944" s="24">
        <v>147639.66800000003</v>
      </c>
      <c r="J944" s="32">
        <v>46</v>
      </c>
      <c r="K944" s="17" t="s">
        <v>26</v>
      </c>
      <c r="L944" s="24">
        <v>2297.86</v>
      </c>
      <c r="M944" s="24">
        <v>3488.65</v>
      </c>
      <c r="N944" s="34">
        <f>((sales_data_1[[#This Row],[Unit_Price]]*(1-sales_data_1[[#This Row],[Discount]]))-sales_data_1[[#This Row],[Unit_Cost]])*sales_data_1[[#This Row],[Quantity_Sold]]</f>
        <v>41938.108000000015</v>
      </c>
      <c r="O944" s="17" t="s">
        <v>27</v>
      </c>
      <c r="P944" s="26">
        <v>0.08</v>
      </c>
      <c r="Q944" s="17" t="s">
        <v>18</v>
      </c>
      <c r="R944" s="17" t="s">
        <v>19</v>
      </c>
      <c r="S944" s="49" t="str">
        <f t="shared" si="44"/>
        <v>David-South</v>
      </c>
      <c r="T944" s="59" t="str">
        <f>IF(ROUND(sales_data_1[[#This Row],[Profit_Margin]],2)=ROUND((sales_data_1[[#This Row],[Unit_Price]]*(1-sales_data_1[[#This Row],[Discount]]) - sales_data_1[[#This Row],[Unit_Cost]])*sales_data_1[[#This Row],[Quantity_Sold]],2), "PASS", "CHECK")</f>
        <v>PASS</v>
      </c>
    </row>
    <row r="945" spans="1:20" x14ac:dyDescent="0.35">
      <c r="A945" s="7">
        <v>944</v>
      </c>
      <c r="B945" s="9">
        <v>1078</v>
      </c>
      <c r="C945" s="7" t="str">
        <f>IFERROR(_xlfn.TEXTJOIN("-", TRUE, _xlfn.XLOOKUP(K945, product_category_id_lookup!$A$2:$A$5, product_category_id_lookup!$B$2:$B$5), B945), "Unknown Category")</f>
        <v>ctg-1078</v>
      </c>
      <c r="D945" s="8">
        <v>44870</v>
      </c>
      <c r="E945" s="7">
        <f t="shared" si="42"/>
        <v>2022</v>
      </c>
      <c r="F945" s="28" t="str">
        <f t="shared" si="43"/>
        <v>Nov</v>
      </c>
      <c r="G945" s="17" t="s">
        <v>22</v>
      </c>
      <c r="H945" s="17" t="s">
        <v>20</v>
      </c>
      <c r="I945" s="24">
        <v>96302.975999999995</v>
      </c>
      <c r="J945" s="32">
        <v>32</v>
      </c>
      <c r="K945" s="17" t="s">
        <v>26</v>
      </c>
      <c r="L945" s="24">
        <v>346.94</v>
      </c>
      <c r="M945" s="24">
        <v>3582.7</v>
      </c>
      <c r="N945" s="34">
        <f>((sales_data_1[[#This Row],[Unit_Price]]*(1-sales_data_1[[#This Row],[Discount]]))-sales_data_1[[#This Row],[Unit_Cost]])*sales_data_1[[#This Row],[Quantity_Sold]]</f>
        <v>85200.895999999993</v>
      </c>
      <c r="O945" s="17" t="s">
        <v>27</v>
      </c>
      <c r="P945" s="26">
        <v>0.16</v>
      </c>
      <c r="Q945" s="17" t="s">
        <v>28</v>
      </c>
      <c r="R945" s="17" t="s">
        <v>21</v>
      </c>
      <c r="S945" s="49" t="str">
        <f t="shared" si="44"/>
        <v>David-West</v>
      </c>
      <c r="T945" s="59" t="str">
        <f>IF(ROUND(sales_data_1[[#This Row],[Profit_Margin]],2)=ROUND((sales_data_1[[#This Row],[Unit_Price]]*(1-sales_data_1[[#This Row],[Discount]]) - sales_data_1[[#This Row],[Unit_Cost]])*sales_data_1[[#This Row],[Quantity_Sold]],2), "PASS", "CHECK")</f>
        <v>PASS</v>
      </c>
    </row>
    <row r="946" spans="1:20" x14ac:dyDescent="0.35">
      <c r="A946" s="7">
        <v>945</v>
      </c>
      <c r="B946" s="9">
        <v>1021</v>
      </c>
      <c r="C946" s="7" t="str">
        <f>IFERROR(_xlfn.TEXTJOIN("-", TRUE, _xlfn.XLOOKUP(K946, product_category_id_lookup!$A$2:$A$5, product_category_id_lookup!$B$2:$B$5), B946), "Unknown Category")</f>
        <v>etc-1021</v>
      </c>
      <c r="D946" s="8">
        <v>44871</v>
      </c>
      <c r="E946" s="7">
        <f t="shared" si="42"/>
        <v>2022</v>
      </c>
      <c r="F946" s="28" t="str">
        <f t="shared" si="43"/>
        <v>Nov</v>
      </c>
      <c r="G946" s="17" t="s">
        <v>32</v>
      </c>
      <c r="H946" s="17" t="s">
        <v>20</v>
      </c>
      <c r="I946" s="24">
        <v>161863.48752861778</v>
      </c>
      <c r="J946" s="32">
        <v>40</v>
      </c>
      <c r="K946" s="17" t="s">
        <v>31</v>
      </c>
      <c r="L946" s="24">
        <v>4043.3</v>
      </c>
      <c r="M946" s="24">
        <v>4120.57</v>
      </c>
      <c r="N946" s="34">
        <f>((sales_data_1[[#This Row],[Unit_Price]]*(1-sales_data_1[[#This Row],[Discount]]))-sales_data_1[[#This Row],[Unit_Cost]])*sales_data_1[[#This Row],[Quantity_Sold]]</f>
        <v>-205.65600000001723</v>
      </c>
      <c r="O946" s="17" t="s">
        <v>17</v>
      </c>
      <c r="P946" s="26">
        <v>0.02</v>
      </c>
      <c r="Q946" s="17" t="s">
        <v>18</v>
      </c>
      <c r="R946" s="17" t="s">
        <v>21</v>
      </c>
      <c r="S946" s="49" t="str">
        <f t="shared" si="44"/>
        <v>Eve-West</v>
      </c>
      <c r="T946" s="59" t="str">
        <f>IF(ROUND(sales_data_1[[#This Row],[Profit_Margin]],2)=ROUND((sales_data_1[[#This Row],[Unit_Price]]*(1-sales_data_1[[#This Row],[Discount]]) - sales_data_1[[#This Row],[Unit_Cost]])*sales_data_1[[#This Row],[Quantity_Sold]],2), "PASS", "CHECK")</f>
        <v>PASS</v>
      </c>
    </row>
    <row r="947" spans="1:20" x14ac:dyDescent="0.35">
      <c r="A947" s="7">
        <v>946</v>
      </c>
      <c r="B947" s="9">
        <v>1001</v>
      </c>
      <c r="C947" s="7" t="str">
        <f>IFERROR(_xlfn.TEXTJOIN("-", TRUE, _xlfn.XLOOKUP(K947, product_category_id_lookup!$A$2:$A$5, product_category_id_lookup!$B$2:$B$5), B947), "Unknown Category")</f>
        <v>fnt-1001</v>
      </c>
      <c r="D947" s="8">
        <v>44871</v>
      </c>
      <c r="E947" s="7">
        <f t="shared" si="42"/>
        <v>2022</v>
      </c>
      <c r="F947" s="28" t="str">
        <f t="shared" si="43"/>
        <v>Nov</v>
      </c>
      <c r="G947" s="17" t="s">
        <v>14</v>
      </c>
      <c r="H947" s="17" t="s">
        <v>20</v>
      </c>
      <c r="I947" s="24">
        <v>41548.979999999996</v>
      </c>
      <c r="J947" s="32">
        <v>11</v>
      </c>
      <c r="K947" s="17" t="s">
        <v>16</v>
      </c>
      <c r="L947" s="24">
        <v>3615.44</v>
      </c>
      <c r="M947" s="24">
        <v>5036.24</v>
      </c>
      <c r="N947" s="34">
        <f>((sales_data_1[[#This Row],[Unit_Price]]*(1-sales_data_1[[#This Row],[Discount]]))-sales_data_1[[#This Row],[Unit_Cost]])*sales_data_1[[#This Row],[Quantity_Sold]]</f>
        <v>1779.1399999999976</v>
      </c>
      <c r="O947" s="17" t="s">
        <v>27</v>
      </c>
      <c r="P947" s="26">
        <v>0.25</v>
      </c>
      <c r="Q947" s="17" t="s">
        <v>18</v>
      </c>
      <c r="R947" s="17" t="s">
        <v>21</v>
      </c>
      <c r="S947" s="49" t="str">
        <f t="shared" si="44"/>
        <v>Bob-West</v>
      </c>
      <c r="T947" s="59" t="str">
        <f>IF(ROUND(sales_data_1[[#This Row],[Profit_Margin]],2)=ROUND((sales_data_1[[#This Row],[Unit_Price]]*(1-sales_data_1[[#This Row],[Discount]]) - sales_data_1[[#This Row],[Unit_Cost]])*sales_data_1[[#This Row],[Quantity_Sold]],2), "PASS", "CHECK")</f>
        <v>PASS</v>
      </c>
    </row>
    <row r="948" spans="1:20" x14ac:dyDescent="0.35">
      <c r="A948" s="7">
        <v>947</v>
      </c>
      <c r="B948" s="9">
        <v>1056</v>
      </c>
      <c r="C948" s="7" t="str">
        <f>IFERROR(_xlfn.TEXTJOIN("-", TRUE, _xlfn.XLOOKUP(K948, product_category_id_lookup!$A$2:$A$5, product_category_id_lookup!$B$2:$B$5), B948), "Unknown Category")</f>
        <v>etc-1056</v>
      </c>
      <c r="D948" s="8">
        <v>44871</v>
      </c>
      <c r="E948" s="7">
        <f t="shared" si="42"/>
        <v>2022</v>
      </c>
      <c r="F948" s="28" t="str">
        <f t="shared" si="43"/>
        <v>Nov</v>
      </c>
      <c r="G948" s="17" t="s">
        <v>22</v>
      </c>
      <c r="H948" s="17" t="s">
        <v>30</v>
      </c>
      <c r="I948" s="24">
        <v>110428.128</v>
      </c>
      <c r="J948" s="32">
        <v>32</v>
      </c>
      <c r="K948" s="17" t="s">
        <v>31</v>
      </c>
      <c r="L948" s="24">
        <v>1673.52</v>
      </c>
      <c r="M948" s="24">
        <v>4012.65</v>
      </c>
      <c r="N948" s="34">
        <f>((sales_data_1[[#This Row],[Unit_Price]]*(1-sales_data_1[[#This Row],[Discount]]))-sales_data_1[[#This Row],[Unit_Cost]])*sales_data_1[[#This Row],[Quantity_Sold]]</f>
        <v>56875.487999999998</v>
      </c>
      <c r="O948" s="17" t="s">
        <v>27</v>
      </c>
      <c r="P948" s="26">
        <v>0.14000000000000001</v>
      </c>
      <c r="Q948" s="17" t="s">
        <v>25</v>
      </c>
      <c r="R948" s="17" t="s">
        <v>21</v>
      </c>
      <c r="S948" s="49" t="str">
        <f t="shared" si="44"/>
        <v>David-East</v>
      </c>
      <c r="T948" s="59" t="str">
        <f>IF(ROUND(sales_data_1[[#This Row],[Profit_Margin]],2)=ROUND((sales_data_1[[#This Row],[Unit_Price]]*(1-sales_data_1[[#This Row],[Discount]]) - sales_data_1[[#This Row],[Unit_Cost]])*sales_data_1[[#This Row],[Quantity_Sold]],2), "PASS", "CHECK")</f>
        <v>PASS</v>
      </c>
    </row>
    <row r="949" spans="1:20" x14ac:dyDescent="0.35">
      <c r="A949" s="7">
        <v>948</v>
      </c>
      <c r="B949" s="9">
        <v>1076</v>
      </c>
      <c r="C949" s="7" t="str">
        <f>IFERROR(_xlfn.TEXTJOIN("-", TRUE, _xlfn.XLOOKUP(K949, product_category_id_lookup!$A$2:$A$5, product_category_id_lookup!$B$2:$B$5), B949), "Unknown Category")</f>
        <v>fnt-1076</v>
      </c>
      <c r="D949" s="8">
        <v>44871</v>
      </c>
      <c r="E949" s="7">
        <f t="shared" si="42"/>
        <v>2022</v>
      </c>
      <c r="F949" s="28" t="str">
        <f t="shared" si="43"/>
        <v>Nov</v>
      </c>
      <c r="G949" s="17" t="s">
        <v>33</v>
      </c>
      <c r="H949" s="17" t="s">
        <v>30</v>
      </c>
      <c r="I949" s="24">
        <v>130915.0206</v>
      </c>
      <c r="J949" s="32">
        <v>39</v>
      </c>
      <c r="K949" s="17" t="s">
        <v>16</v>
      </c>
      <c r="L949" s="24">
        <v>1144.04</v>
      </c>
      <c r="M949" s="24">
        <v>4536.21</v>
      </c>
      <c r="N949" s="34">
        <f>((sales_data_1[[#This Row],[Unit_Price]]*(1-sales_data_1[[#This Row],[Discount]]))-sales_data_1[[#This Row],[Unit_Cost]])*sales_data_1[[#This Row],[Quantity_Sold]]</f>
        <v>86297.460600000006</v>
      </c>
      <c r="O949" s="17" t="s">
        <v>17</v>
      </c>
      <c r="P949" s="26">
        <v>0.26</v>
      </c>
      <c r="Q949" s="17" t="s">
        <v>28</v>
      </c>
      <c r="R949" s="17" t="s">
        <v>19</v>
      </c>
      <c r="S949" s="49" t="str">
        <f t="shared" si="44"/>
        <v>Alice-East</v>
      </c>
      <c r="T949" s="59" t="str">
        <f>IF(ROUND(sales_data_1[[#This Row],[Profit_Margin]],2)=ROUND((sales_data_1[[#This Row],[Unit_Price]]*(1-sales_data_1[[#This Row],[Discount]]) - sales_data_1[[#This Row],[Unit_Cost]])*sales_data_1[[#This Row],[Quantity_Sold]],2), "PASS", "CHECK")</f>
        <v>PASS</v>
      </c>
    </row>
    <row r="950" spans="1:20" x14ac:dyDescent="0.35">
      <c r="A950" s="7">
        <v>949</v>
      </c>
      <c r="B950" s="9">
        <v>1024</v>
      </c>
      <c r="C950" s="7" t="str">
        <f>IFERROR(_xlfn.TEXTJOIN("-", TRUE, _xlfn.XLOOKUP(K950, product_category_id_lookup!$A$2:$A$5, product_category_id_lookup!$B$2:$B$5), B950), "Unknown Category")</f>
        <v>etc-1024</v>
      </c>
      <c r="D950" s="8">
        <v>44872</v>
      </c>
      <c r="E950" s="7">
        <f t="shared" si="42"/>
        <v>2022</v>
      </c>
      <c r="F950" s="28" t="str">
        <f t="shared" si="43"/>
        <v>Nov</v>
      </c>
      <c r="G950" s="17" t="s">
        <v>29</v>
      </c>
      <c r="H950" s="17" t="s">
        <v>15</v>
      </c>
      <c r="I950" s="24">
        <v>3658.4315525857328</v>
      </c>
      <c r="J950" s="32">
        <v>1</v>
      </c>
      <c r="K950" s="17" t="s">
        <v>31</v>
      </c>
      <c r="L950" s="24">
        <v>3127.87</v>
      </c>
      <c r="M950" s="24">
        <v>3778.88</v>
      </c>
      <c r="N950" s="34">
        <f>((sales_data_1[[#This Row],[Unit_Price]]*(1-sales_data_1[[#This Row],[Discount]]))-sales_data_1[[#This Row],[Unit_Cost]])*sales_data_1[[#This Row],[Quantity_Sold]]</f>
        <v>537.64360000000033</v>
      </c>
      <c r="O950" s="17" t="s">
        <v>17</v>
      </c>
      <c r="P950" s="26">
        <v>0.03</v>
      </c>
      <c r="Q950" s="17" t="s">
        <v>28</v>
      </c>
      <c r="R950" s="17" t="s">
        <v>19</v>
      </c>
      <c r="S950" s="49" t="str">
        <f t="shared" si="44"/>
        <v>Charlie-North</v>
      </c>
      <c r="T950" s="59" t="str">
        <f>IF(ROUND(sales_data_1[[#This Row],[Profit_Margin]],2)=ROUND((sales_data_1[[#This Row],[Unit_Price]]*(1-sales_data_1[[#This Row],[Discount]]) - sales_data_1[[#This Row],[Unit_Cost]])*sales_data_1[[#This Row],[Quantity_Sold]],2), "PASS", "CHECK")</f>
        <v>PASS</v>
      </c>
    </row>
    <row r="951" spans="1:20" x14ac:dyDescent="0.35">
      <c r="A951" s="7">
        <v>950</v>
      </c>
      <c r="B951" s="9">
        <v>1095</v>
      </c>
      <c r="C951" s="7" t="str">
        <f>IFERROR(_xlfn.TEXTJOIN("-", TRUE, _xlfn.XLOOKUP(K951, product_category_id_lookup!$A$2:$A$5, product_category_id_lookup!$B$2:$B$5), B951), "Unknown Category")</f>
        <v>fd-1095</v>
      </c>
      <c r="D951" s="8">
        <v>44872</v>
      </c>
      <c r="E951" s="7">
        <f t="shared" si="42"/>
        <v>2022</v>
      </c>
      <c r="F951" s="28" t="str">
        <f t="shared" si="43"/>
        <v>Nov</v>
      </c>
      <c r="G951" s="17" t="s">
        <v>22</v>
      </c>
      <c r="H951" s="17" t="s">
        <v>30</v>
      </c>
      <c r="I951" s="24">
        <v>65390.438688766371</v>
      </c>
      <c r="J951" s="32">
        <v>13</v>
      </c>
      <c r="K951" s="17" t="s">
        <v>24</v>
      </c>
      <c r="L951" s="24">
        <v>4672.87</v>
      </c>
      <c r="M951" s="24">
        <v>5241.0200000000004</v>
      </c>
      <c r="N951" s="34">
        <f>((sales_data_1[[#This Row],[Unit_Price]]*(1-sales_data_1[[#This Row],[Discount]]))-sales_data_1[[#This Row],[Unit_Cost]])*sales_data_1[[#This Row],[Quantity_Sold]]</f>
        <v>4660.6196000000054</v>
      </c>
      <c r="O951" s="17" t="s">
        <v>17</v>
      </c>
      <c r="P951" s="26">
        <v>0.04</v>
      </c>
      <c r="Q951" s="17" t="s">
        <v>28</v>
      </c>
      <c r="R951" s="17" t="s">
        <v>21</v>
      </c>
      <c r="S951" s="49" t="str">
        <f t="shared" si="44"/>
        <v>David-East</v>
      </c>
      <c r="T951" s="59" t="str">
        <f>IF(ROUND(sales_data_1[[#This Row],[Profit_Margin]],2)=ROUND((sales_data_1[[#This Row],[Unit_Price]]*(1-sales_data_1[[#This Row],[Discount]]) - sales_data_1[[#This Row],[Unit_Cost]])*sales_data_1[[#This Row],[Quantity_Sold]],2), "PASS", "CHECK")</f>
        <v>PASS</v>
      </c>
    </row>
    <row r="952" spans="1:20" x14ac:dyDescent="0.35">
      <c r="A952" s="7">
        <v>951</v>
      </c>
      <c r="B952" s="9">
        <v>1006</v>
      </c>
      <c r="C952" s="7" t="str">
        <f>IFERROR(_xlfn.TEXTJOIN("-", TRUE, _xlfn.XLOOKUP(K952, product_category_id_lookup!$A$2:$A$5, product_category_id_lookup!$B$2:$B$5), B952), "Unknown Category")</f>
        <v>ctg-1006</v>
      </c>
      <c r="D952" s="8">
        <v>44872</v>
      </c>
      <c r="E952" s="7">
        <f t="shared" si="42"/>
        <v>2022</v>
      </c>
      <c r="F952" s="28" t="str">
        <f t="shared" si="43"/>
        <v>Nov</v>
      </c>
      <c r="G952" s="17" t="s">
        <v>33</v>
      </c>
      <c r="H952" s="17" t="s">
        <v>15</v>
      </c>
      <c r="I952" s="24">
        <v>6804.3636000000006</v>
      </c>
      <c r="J952" s="32">
        <v>3</v>
      </c>
      <c r="K952" s="17" t="s">
        <v>26</v>
      </c>
      <c r="L952" s="24">
        <v>670.96</v>
      </c>
      <c r="M952" s="24">
        <v>2438.84</v>
      </c>
      <c r="N952" s="34">
        <f>((sales_data_1[[#This Row],[Unit_Price]]*(1-sales_data_1[[#This Row],[Discount]]))-sales_data_1[[#This Row],[Unit_Cost]])*sales_data_1[[#This Row],[Quantity_Sold]]</f>
        <v>4791.4835999999996</v>
      </c>
      <c r="O952" s="17" t="s">
        <v>17</v>
      </c>
      <c r="P952" s="26">
        <v>7.0000000000000007E-2</v>
      </c>
      <c r="Q952" s="17" t="s">
        <v>25</v>
      </c>
      <c r="R952" s="17" t="s">
        <v>19</v>
      </c>
      <c r="S952" s="49" t="str">
        <f t="shared" si="44"/>
        <v>Alice-North</v>
      </c>
      <c r="T952" s="59" t="str">
        <f>IF(ROUND(sales_data_1[[#This Row],[Profit_Margin]],2)=ROUND((sales_data_1[[#This Row],[Unit_Price]]*(1-sales_data_1[[#This Row],[Discount]]) - sales_data_1[[#This Row],[Unit_Cost]])*sales_data_1[[#This Row],[Quantity_Sold]],2), "PASS", "CHECK")</f>
        <v>PASS</v>
      </c>
    </row>
    <row r="953" spans="1:20" x14ac:dyDescent="0.35">
      <c r="A953" s="7">
        <v>952</v>
      </c>
      <c r="B953" s="9">
        <v>1090</v>
      </c>
      <c r="C953" s="7" t="str">
        <f>IFERROR(_xlfn.TEXTJOIN("-", TRUE, _xlfn.XLOOKUP(K953, product_category_id_lookup!$A$2:$A$5, product_category_id_lookup!$B$2:$B$5), B953), "Unknown Category")</f>
        <v>ctg-1090</v>
      </c>
      <c r="D953" s="8">
        <v>44872</v>
      </c>
      <c r="E953" s="7">
        <f t="shared" si="42"/>
        <v>2022</v>
      </c>
      <c r="F953" s="28" t="str">
        <f t="shared" si="43"/>
        <v>Nov</v>
      </c>
      <c r="G953" s="17" t="s">
        <v>33</v>
      </c>
      <c r="H953" s="17" t="s">
        <v>23</v>
      </c>
      <c r="I953" s="24">
        <v>38721.0936</v>
      </c>
      <c r="J953" s="32">
        <v>12</v>
      </c>
      <c r="K953" s="17" t="s">
        <v>26</v>
      </c>
      <c r="L953" s="24">
        <v>1668.15</v>
      </c>
      <c r="M953" s="24">
        <v>3292.61</v>
      </c>
      <c r="N953" s="34">
        <f>((sales_data_1[[#This Row],[Unit_Price]]*(1-sales_data_1[[#This Row],[Discount]]))-sales_data_1[[#This Row],[Unit_Cost]])*sales_data_1[[#This Row],[Quantity_Sold]]</f>
        <v>18703.293599999997</v>
      </c>
      <c r="O953" s="17" t="s">
        <v>27</v>
      </c>
      <c r="P953" s="26">
        <v>0.02</v>
      </c>
      <c r="Q953" s="17" t="s">
        <v>28</v>
      </c>
      <c r="R953" s="17" t="s">
        <v>21</v>
      </c>
      <c r="S953" s="49" t="str">
        <f t="shared" si="44"/>
        <v>Alice-South</v>
      </c>
      <c r="T953" s="59" t="str">
        <f>IF(ROUND(sales_data_1[[#This Row],[Profit_Margin]],2)=ROUND((sales_data_1[[#This Row],[Unit_Price]]*(1-sales_data_1[[#This Row],[Discount]]) - sales_data_1[[#This Row],[Unit_Cost]])*sales_data_1[[#This Row],[Quantity_Sold]],2), "PASS", "CHECK")</f>
        <v>PASS</v>
      </c>
    </row>
    <row r="954" spans="1:20" x14ac:dyDescent="0.35">
      <c r="A954" s="7">
        <v>953</v>
      </c>
      <c r="B954" s="9">
        <v>1031</v>
      </c>
      <c r="C954" s="7" t="str">
        <f>IFERROR(_xlfn.TEXTJOIN("-", TRUE, _xlfn.XLOOKUP(K954, product_category_id_lookup!$A$2:$A$5, product_category_id_lookup!$B$2:$B$5), B954), "Unknown Category")</f>
        <v>etc-1031</v>
      </c>
      <c r="D954" s="8">
        <v>44872</v>
      </c>
      <c r="E954" s="7">
        <f t="shared" si="42"/>
        <v>2022</v>
      </c>
      <c r="F954" s="28" t="str">
        <f t="shared" si="43"/>
        <v>Nov</v>
      </c>
      <c r="G954" s="17" t="s">
        <v>14</v>
      </c>
      <c r="H954" s="17" t="s">
        <v>30</v>
      </c>
      <c r="I954" s="24">
        <v>123470.745</v>
      </c>
      <c r="J954" s="32">
        <v>30</v>
      </c>
      <c r="K954" s="17" t="s">
        <v>31</v>
      </c>
      <c r="L954" s="24">
        <v>1392.47</v>
      </c>
      <c r="M954" s="24">
        <v>4841.99</v>
      </c>
      <c r="N954" s="34">
        <f>((sales_data_1[[#This Row],[Unit_Price]]*(1-sales_data_1[[#This Row],[Discount]]))-sales_data_1[[#This Row],[Unit_Cost]])*sales_data_1[[#This Row],[Quantity_Sold]]</f>
        <v>81696.64499999999</v>
      </c>
      <c r="O954" s="17" t="s">
        <v>17</v>
      </c>
      <c r="P954" s="26">
        <v>0.15</v>
      </c>
      <c r="Q954" s="17" t="s">
        <v>28</v>
      </c>
      <c r="R954" s="17" t="s">
        <v>21</v>
      </c>
      <c r="S954" s="49" t="str">
        <f t="shared" si="44"/>
        <v>Bob-East</v>
      </c>
      <c r="T954" s="59" t="str">
        <f>IF(ROUND(sales_data_1[[#This Row],[Profit_Margin]],2)=ROUND((sales_data_1[[#This Row],[Unit_Price]]*(1-sales_data_1[[#This Row],[Discount]]) - sales_data_1[[#This Row],[Unit_Cost]])*sales_data_1[[#This Row],[Quantity_Sold]],2), "PASS", "CHECK")</f>
        <v>PASS</v>
      </c>
    </row>
    <row r="955" spans="1:20" x14ac:dyDescent="0.35">
      <c r="A955" s="7">
        <v>954</v>
      </c>
      <c r="B955" s="9">
        <v>1081</v>
      </c>
      <c r="C955" s="7" t="str">
        <f>IFERROR(_xlfn.TEXTJOIN("-", TRUE, _xlfn.XLOOKUP(K955, product_category_id_lookup!$A$2:$A$5, product_category_id_lookup!$B$2:$B$5), B955), "Unknown Category")</f>
        <v>ctg-1081</v>
      </c>
      <c r="D955" s="8">
        <v>44874</v>
      </c>
      <c r="E955" s="7">
        <f t="shared" si="42"/>
        <v>2022</v>
      </c>
      <c r="F955" s="28" t="str">
        <f t="shared" si="43"/>
        <v>Nov</v>
      </c>
      <c r="G955" s="17" t="s">
        <v>14</v>
      </c>
      <c r="H955" s="17" t="s">
        <v>20</v>
      </c>
      <c r="I955" s="24">
        <v>48034.205099999999</v>
      </c>
      <c r="J955" s="32">
        <v>29</v>
      </c>
      <c r="K955" s="17" t="s">
        <v>26</v>
      </c>
      <c r="L955" s="24">
        <v>1573.5</v>
      </c>
      <c r="M955" s="24">
        <v>2332.89</v>
      </c>
      <c r="N955" s="34">
        <f>((sales_data_1[[#This Row],[Unit_Price]]*(1-sales_data_1[[#This Row],[Discount]]))-sales_data_1[[#This Row],[Unit_Cost]])*sales_data_1[[#This Row],[Quantity_Sold]]</f>
        <v>2402.7050999999965</v>
      </c>
      <c r="O955" s="17" t="s">
        <v>17</v>
      </c>
      <c r="P955" s="26">
        <v>0.28999999999999998</v>
      </c>
      <c r="Q955" s="17" t="s">
        <v>25</v>
      </c>
      <c r="R955" s="17" t="s">
        <v>21</v>
      </c>
      <c r="S955" s="49" t="str">
        <f t="shared" si="44"/>
        <v>Bob-West</v>
      </c>
      <c r="T955" s="59" t="str">
        <f>IF(ROUND(sales_data_1[[#This Row],[Profit_Margin]],2)=ROUND((sales_data_1[[#This Row],[Unit_Price]]*(1-sales_data_1[[#This Row],[Discount]]) - sales_data_1[[#This Row],[Unit_Cost]])*sales_data_1[[#This Row],[Quantity_Sold]],2), "PASS", "CHECK")</f>
        <v>PASS</v>
      </c>
    </row>
    <row r="956" spans="1:20" x14ac:dyDescent="0.35">
      <c r="A956" s="7">
        <v>955</v>
      </c>
      <c r="B956" s="9">
        <v>1028</v>
      </c>
      <c r="C956" s="7" t="str">
        <f>IFERROR(_xlfn.TEXTJOIN("-", TRUE, _xlfn.XLOOKUP(K956, product_category_id_lookup!$A$2:$A$5, product_category_id_lookup!$B$2:$B$5), B956), "Unknown Category")</f>
        <v>fd-1028</v>
      </c>
      <c r="D956" s="8">
        <v>44874</v>
      </c>
      <c r="E956" s="7">
        <f t="shared" si="42"/>
        <v>2022</v>
      </c>
      <c r="F956" s="28" t="str">
        <f t="shared" si="43"/>
        <v>Nov</v>
      </c>
      <c r="G956" s="17" t="s">
        <v>32</v>
      </c>
      <c r="H956" s="17" t="s">
        <v>30</v>
      </c>
      <c r="I956" s="24">
        <v>93297.568000000014</v>
      </c>
      <c r="J956" s="32">
        <v>26</v>
      </c>
      <c r="K956" s="17" t="s">
        <v>24</v>
      </c>
      <c r="L956" s="24">
        <v>3148.69</v>
      </c>
      <c r="M956" s="24">
        <v>3900.4</v>
      </c>
      <c r="N956" s="34">
        <f>((sales_data_1[[#This Row],[Unit_Price]]*(1-sales_data_1[[#This Row],[Discount]]))-sales_data_1[[#This Row],[Unit_Cost]])*sales_data_1[[#This Row],[Quantity_Sold]]</f>
        <v>11431.628000000008</v>
      </c>
      <c r="O956" s="17" t="s">
        <v>27</v>
      </c>
      <c r="P956" s="26">
        <v>0.08</v>
      </c>
      <c r="Q956" s="17" t="s">
        <v>18</v>
      </c>
      <c r="R956" s="17" t="s">
        <v>21</v>
      </c>
      <c r="S956" s="49" t="str">
        <f t="shared" si="44"/>
        <v>Eve-East</v>
      </c>
      <c r="T956" s="59" t="str">
        <f>IF(ROUND(sales_data_1[[#This Row],[Profit_Margin]],2)=ROUND((sales_data_1[[#This Row],[Unit_Price]]*(1-sales_data_1[[#This Row],[Discount]]) - sales_data_1[[#This Row],[Unit_Cost]])*sales_data_1[[#This Row],[Quantity_Sold]],2), "PASS", "CHECK")</f>
        <v>PASS</v>
      </c>
    </row>
    <row r="957" spans="1:20" x14ac:dyDescent="0.35">
      <c r="A957" s="7">
        <v>956</v>
      </c>
      <c r="B957" s="9">
        <v>1038</v>
      </c>
      <c r="C957" s="7" t="str">
        <f>IFERROR(_xlfn.TEXTJOIN("-", TRUE, _xlfn.XLOOKUP(K957, product_category_id_lookup!$A$2:$A$5, product_category_id_lookup!$B$2:$B$5), B957), "Unknown Category")</f>
        <v>etc-1038</v>
      </c>
      <c r="D957" s="8">
        <v>44874</v>
      </c>
      <c r="E957" s="7">
        <f t="shared" si="42"/>
        <v>2022</v>
      </c>
      <c r="F957" s="28" t="str">
        <f t="shared" si="43"/>
        <v>Nov</v>
      </c>
      <c r="G957" s="17" t="s">
        <v>22</v>
      </c>
      <c r="H957" s="17" t="s">
        <v>15</v>
      </c>
      <c r="I957" s="24">
        <v>67822.176600000006</v>
      </c>
      <c r="J957" s="32">
        <v>17</v>
      </c>
      <c r="K957" s="17" t="s">
        <v>31</v>
      </c>
      <c r="L957" s="24">
        <v>1717.18</v>
      </c>
      <c r="M957" s="24">
        <v>5391.27</v>
      </c>
      <c r="N957" s="34">
        <f>((sales_data_1[[#This Row],[Unit_Price]]*(1-sales_data_1[[#This Row],[Discount]]))-sales_data_1[[#This Row],[Unit_Cost]])*sales_data_1[[#This Row],[Quantity_Sold]]</f>
        <v>38630.116600000001</v>
      </c>
      <c r="O957" s="17" t="s">
        <v>27</v>
      </c>
      <c r="P957" s="26">
        <v>0.26</v>
      </c>
      <c r="Q957" s="17" t="s">
        <v>25</v>
      </c>
      <c r="R957" s="17" t="s">
        <v>21</v>
      </c>
      <c r="S957" s="49" t="str">
        <f t="shared" si="44"/>
        <v>David-North</v>
      </c>
      <c r="T957" s="59" t="str">
        <f>IF(ROUND(sales_data_1[[#This Row],[Profit_Margin]],2)=ROUND((sales_data_1[[#This Row],[Unit_Price]]*(1-sales_data_1[[#This Row],[Discount]]) - sales_data_1[[#This Row],[Unit_Cost]])*sales_data_1[[#This Row],[Quantity_Sold]],2), "PASS", "CHECK")</f>
        <v>PASS</v>
      </c>
    </row>
    <row r="958" spans="1:20" x14ac:dyDescent="0.35">
      <c r="A958" s="7">
        <v>957</v>
      </c>
      <c r="B958" s="9">
        <v>1072</v>
      </c>
      <c r="C958" s="7" t="str">
        <f>IFERROR(_xlfn.TEXTJOIN("-", TRUE, _xlfn.XLOOKUP(K958, product_category_id_lookup!$A$2:$A$5, product_category_id_lookup!$B$2:$B$5), B958), "Unknown Category")</f>
        <v>fnt-1072</v>
      </c>
      <c r="D958" s="8">
        <v>44874</v>
      </c>
      <c r="E958" s="7">
        <f t="shared" si="42"/>
        <v>2022</v>
      </c>
      <c r="F958" s="28" t="str">
        <f t="shared" si="43"/>
        <v>Nov</v>
      </c>
      <c r="G958" s="17" t="s">
        <v>29</v>
      </c>
      <c r="H958" s="17" t="s">
        <v>30</v>
      </c>
      <c r="I958" s="24">
        <v>106645.25200000001</v>
      </c>
      <c r="J958" s="32">
        <v>35</v>
      </c>
      <c r="K958" s="17" t="s">
        <v>16</v>
      </c>
      <c r="L958" s="24">
        <v>1243.5</v>
      </c>
      <c r="M958" s="24">
        <v>4009.22</v>
      </c>
      <c r="N958" s="34">
        <f>((sales_data_1[[#This Row],[Unit_Price]]*(1-sales_data_1[[#This Row],[Discount]]))-sales_data_1[[#This Row],[Unit_Cost]])*sales_data_1[[#This Row],[Quantity_Sold]]</f>
        <v>63122.752</v>
      </c>
      <c r="O958" s="17" t="s">
        <v>17</v>
      </c>
      <c r="P958" s="26">
        <v>0.24</v>
      </c>
      <c r="Q958" s="17" t="s">
        <v>18</v>
      </c>
      <c r="R958" s="17" t="s">
        <v>19</v>
      </c>
      <c r="S958" s="49" t="str">
        <f t="shared" si="44"/>
        <v>Charlie-East</v>
      </c>
      <c r="T958" s="59" t="str">
        <f>IF(ROUND(sales_data_1[[#This Row],[Profit_Margin]],2)=ROUND((sales_data_1[[#This Row],[Unit_Price]]*(1-sales_data_1[[#This Row],[Discount]]) - sales_data_1[[#This Row],[Unit_Cost]])*sales_data_1[[#This Row],[Quantity_Sold]],2), "PASS", "CHECK")</f>
        <v>PASS</v>
      </c>
    </row>
    <row r="959" spans="1:20" x14ac:dyDescent="0.35">
      <c r="A959" s="7">
        <v>958</v>
      </c>
      <c r="B959" s="9">
        <v>1094</v>
      </c>
      <c r="C959" s="7" t="str">
        <f>IFERROR(_xlfn.TEXTJOIN("-", TRUE, _xlfn.XLOOKUP(K959, product_category_id_lookup!$A$2:$A$5, product_category_id_lookup!$B$2:$B$5), B959), "Unknown Category")</f>
        <v>ctg-1094</v>
      </c>
      <c r="D959" s="8">
        <v>44875</v>
      </c>
      <c r="E959" s="7">
        <f t="shared" si="42"/>
        <v>2022</v>
      </c>
      <c r="F959" s="28" t="str">
        <f t="shared" si="43"/>
        <v>Nov</v>
      </c>
      <c r="G959" s="17" t="s">
        <v>29</v>
      </c>
      <c r="H959" s="17" t="s">
        <v>23</v>
      </c>
      <c r="I959" s="24">
        <v>44204.89309454411</v>
      </c>
      <c r="J959" s="32">
        <v>14</v>
      </c>
      <c r="K959" s="17" t="s">
        <v>26</v>
      </c>
      <c r="L959" s="24">
        <v>3148.45</v>
      </c>
      <c r="M959" s="24">
        <v>3197.35</v>
      </c>
      <c r="N959" s="34">
        <f>((sales_data_1[[#This Row],[Unit_Price]]*(1-sales_data_1[[#This Row],[Discount]]))-sales_data_1[[#This Row],[Unit_Cost]])*sales_data_1[[#This Row],[Quantity_Sold]]</f>
        <v>236.97100000000046</v>
      </c>
      <c r="O959" s="17" t="s">
        <v>27</v>
      </c>
      <c r="P959" s="26">
        <v>0.01</v>
      </c>
      <c r="Q959" s="17" t="s">
        <v>28</v>
      </c>
      <c r="R959" s="17" t="s">
        <v>19</v>
      </c>
      <c r="S959" s="49" t="str">
        <f t="shared" si="44"/>
        <v>Charlie-South</v>
      </c>
      <c r="T959" s="59" t="str">
        <f>IF(ROUND(sales_data_1[[#This Row],[Profit_Margin]],2)=ROUND((sales_data_1[[#This Row],[Unit_Price]]*(1-sales_data_1[[#This Row],[Discount]]) - sales_data_1[[#This Row],[Unit_Cost]])*sales_data_1[[#This Row],[Quantity_Sold]],2), "PASS", "CHECK")</f>
        <v>PASS</v>
      </c>
    </row>
    <row r="960" spans="1:20" x14ac:dyDescent="0.35">
      <c r="A960" s="7">
        <v>959</v>
      </c>
      <c r="B960" s="9">
        <v>1072</v>
      </c>
      <c r="C960" s="7" t="str">
        <f>IFERROR(_xlfn.TEXTJOIN("-", TRUE, _xlfn.XLOOKUP(K960, product_category_id_lookup!$A$2:$A$5, product_category_id_lookup!$B$2:$B$5), B960), "Unknown Category")</f>
        <v>fd-1072</v>
      </c>
      <c r="D960" s="8">
        <v>44875</v>
      </c>
      <c r="E960" s="7">
        <f t="shared" si="42"/>
        <v>2022</v>
      </c>
      <c r="F960" s="28" t="str">
        <f t="shared" si="43"/>
        <v>Nov</v>
      </c>
      <c r="G960" s="17" t="s">
        <v>14</v>
      </c>
      <c r="H960" s="17" t="s">
        <v>15</v>
      </c>
      <c r="I960" s="24">
        <v>26749.439999999999</v>
      </c>
      <c r="J960" s="32">
        <v>36</v>
      </c>
      <c r="K960" s="17" t="s">
        <v>24</v>
      </c>
      <c r="L960" s="24">
        <v>493.36</v>
      </c>
      <c r="M960" s="24">
        <v>774</v>
      </c>
      <c r="N960" s="34">
        <f>((sales_data_1[[#This Row],[Unit_Price]]*(1-sales_data_1[[#This Row],[Discount]]))-sales_data_1[[#This Row],[Unit_Cost]])*sales_data_1[[#This Row],[Quantity_Sold]]</f>
        <v>8988.4799999999977</v>
      </c>
      <c r="O960" s="17" t="s">
        <v>27</v>
      </c>
      <c r="P960" s="26">
        <v>0.04</v>
      </c>
      <c r="Q960" s="17" t="s">
        <v>25</v>
      </c>
      <c r="R960" s="17" t="s">
        <v>19</v>
      </c>
      <c r="S960" s="49" t="str">
        <f t="shared" si="44"/>
        <v>Bob-North</v>
      </c>
      <c r="T960" s="59" t="str">
        <f>IF(ROUND(sales_data_1[[#This Row],[Profit_Margin]],2)=ROUND((sales_data_1[[#This Row],[Unit_Price]]*(1-sales_data_1[[#This Row],[Discount]]) - sales_data_1[[#This Row],[Unit_Cost]])*sales_data_1[[#This Row],[Quantity_Sold]],2), "PASS", "CHECK")</f>
        <v>PASS</v>
      </c>
    </row>
    <row r="961" spans="1:20" x14ac:dyDescent="0.35">
      <c r="A961" s="7">
        <v>960</v>
      </c>
      <c r="B961" s="9">
        <v>1050</v>
      </c>
      <c r="C961" s="7" t="str">
        <f>IFERROR(_xlfn.TEXTJOIN("-", TRUE, _xlfn.XLOOKUP(K961, product_category_id_lookup!$A$2:$A$5, product_category_id_lookup!$B$2:$B$5), B961), "Unknown Category")</f>
        <v>etc-1050</v>
      </c>
      <c r="D961" s="8">
        <v>44875</v>
      </c>
      <c r="E961" s="7">
        <f t="shared" si="42"/>
        <v>2022</v>
      </c>
      <c r="F961" s="28" t="str">
        <f t="shared" si="43"/>
        <v>Nov</v>
      </c>
      <c r="G961" s="17" t="s">
        <v>32</v>
      </c>
      <c r="H961" s="17" t="s">
        <v>15</v>
      </c>
      <c r="I961" s="24">
        <v>113165.946</v>
      </c>
      <c r="J961" s="32">
        <v>29</v>
      </c>
      <c r="K961" s="17" t="s">
        <v>31</v>
      </c>
      <c r="L961" s="24">
        <v>3279.21</v>
      </c>
      <c r="M961" s="24">
        <v>4335.8599999999997</v>
      </c>
      <c r="N961" s="34">
        <f>((sales_data_1[[#This Row],[Unit_Price]]*(1-sales_data_1[[#This Row],[Discount]]))-sales_data_1[[#This Row],[Unit_Cost]])*sales_data_1[[#This Row],[Quantity_Sold]]</f>
        <v>18068.855999999996</v>
      </c>
      <c r="O961" s="17" t="s">
        <v>27</v>
      </c>
      <c r="P961" s="26">
        <v>0.1</v>
      </c>
      <c r="Q961" s="17" t="s">
        <v>18</v>
      </c>
      <c r="R961" s="17" t="s">
        <v>21</v>
      </c>
      <c r="S961" s="49" t="str">
        <f t="shared" si="44"/>
        <v>Eve-North</v>
      </c>
      <c r="T961" s="59" t="str">
        <f>IF(ROUND(sales_data_1[[#This Row],[Profit_Margin]],2)=ROUND((sales_data_1[[#This Row],[Unit_Price]]*(1-sales_data_1[[#This Row],[Discount]]) - sales_data_1[[#This Row],[Unit_Cost]])*sales_data_1[[#This Row],[Quantity_Sold]],2), "PASS", "CHECK")</f>
        <v>PASS</v>
      </c>
    </row>
    <row r="962" spans="1:20" x14ac:dyDescent="0.35">
      <c r="A962" s="7">
        <v>961</v>
      </c>
      <c r="B962" s="9">
        <v>1036</v>
      </c>
      <c r="C962" s="7" t="str">
        <f>IFERROR(_xlfn.TEXTJOIN("-", TRUE, _xlfn.XLOOKUP(K962, product_category_id_lookup!$A$2:$A$5, product_category_id_lookup!$B$2:$B$5), B962), "Unknown Category")</f>
        <v>fd-1036</v>
      </c>
      <c r="D962" s="8">
        <v>44875</v>
      </c>
      <c r="E962" s="7">
        <f t="shared" ref="E962:E1025" si="45">YEAR(D962)</f>
        <v>2022</v>
      </c>
      <c r="F962" s="28" t="str">
        <f t="shared" ref="F962:F1025" si="46">LEFT(TEXT(D962,"mmmm"),3)</f>
        <v>Nov</v>
      </c>
      <c r="G962" s="17" t="s">
        <v>14</v>
      </c>
      <c r="H962" s="17" t="s">
        <v>23</v>
      </c>
      <c r="I962" s="24">
        <v>105861.8946</v>
      </c>
      <c r="J962" s="32">
        <v>33</v>
      </c>
      <c r="K962" s="17" t="s">
        <v>24</v>
      </c>
      <c r="L962" s="24">
        <v>1306.55</v>
      </c>
      <c r="M962" s="24">
        <v>4518.22</v>
      </c>
      <c r="N962" s="34">
        <f>((sales_data_1[[#This Row],[Unit_Price]]*(1-sales_data_1[[#This Row],[Discount]]))-sales_data_1[[#This Row],[Unit_Cost]])*sales_data_1[[#This Row],[Quantity_Sold]]</f>
        <v>62745.744600000005</v>
      </c>
      <c r="O962" s="17" t="s">
        <v>27</v>
      </c>
      <c r="P962" s="26">
        <v>0.28999999999999998</v>
      </c>
      <c r="Q962" s="17" t="s">
        <v>25</v>
      </c>
      <c r="R962" s="17" t="s">
        <v>19</v>
      </c>
      <c r="S962" s="49" t="str">
        <f t="shared" ref="S962:S1025" si="47">_xlfn.CONCAT(G962,"-",H962)</f>
        <v>Bob-South</v>
      </c>
      <c r="T962" s="59" t="str">
        <f>IF(ROUND(sales_data_1[[#This Row],[Profit_Margin]],2)=ROUND((sales_data_1[[#This Row],[Unit_Price]]*(1-sales_data_1[[#This Row],[Discount]]) - sales_data_1[[#This Row],[Unit_Cost]])*sales_data_1[[#This Row],[Quantity_Sold]],2), "PASS", "CHECK")</f>
        <v>PASS</v>
      </c>
    </row>
    <row r="963" spans="1:20" x14ac:dyDescent="0.35">
      <c r="A963" s="7">
        <v>962</v>
      </c>
      <c r="B963" s="9">
        <v>1067</v>
      </c>
      <c r="C963" s="7" t="str">
        <f>IFERROR(_xlfn.TEXTJOIN("-", TRUE, _xlfn.XLOOKUP(K963, product_category_id_lookup!$A$2:$A$5, product_category_id_lookup!$B$2:$B$5), B963), "Unknown Category")</f>
        <v>fd-1067</v>
      </c>
      <c r="D963" s="8">
        <v>44876</v>
      </c>
      <c r="E963" s="7">
        <f t="shared" si="45"/>
        <v>2022</v>
      </c>
      <c r="F963" s="28" t="str">
        <f t="shared" si="46"/>
        <v>Nov</v>
      </c>
      <c r="G963" s="17" t="s">
        <v>22</v>
      </c>
      <c r="H963" s="17" t="s">
        <v>20</v>
      </c>
      <c r="I963" s="24">
        <v>9208.7855999999992</v>
      </c>
      <c r="J963" s="32">
        <v>2</v>
      </c>
      <c r="K963" s="17" t="s">
        <v>24</v>
      </c>
      <c r="L963" s="24">
        <v>3389.44</v>
      </c>
      <c r="M963" s="24">
        <v>4950.96</v>
      </c>
      <c r="N963" s="34">
        <f>((sales_data_1[[#This Row],[Unit_Price]]*(1-sales_data_1[[#This Row],[Discount]]))-sales_data_1[[#This Row],[Unit_Cost]])*sales_data_1[[#This Row],[Quantity_Sold]]</f>
        <v>2429.9055999999991</v>
      </c>
      <c r="O963" s="17" t="s">
        <v>17</v>
      </c>
      <c r="P963" s="26">
        <v>7.0000000000000007E-2</v>
      </c>
      <c r="Q963" s="17" t="s">
        <v>18</v>
      </c>
      <c r="R963" s="17" t="s">
        <v>19</v>
      </c>
      <c r="S963" s="49" t="str">
        <f t="shared" si="47"/>
        <v>David-West</v>
      </c>
      <c r="T963" s="59" t="str">
        <f>IF(ROUND(sales_data_1[[#This Row],[Profit_Margin]],2)=ROUND((sales_data_1[[#This Row],[Unit_Price]]*(1-sales_data_1[[#This Row],[Discount]]) - sales_data_1[[#This Row],[Unit_Cost]])*sales_data_1[[#This Row],[Quantity_Sold]],2), "PASS", "CHECK")</f>
        <v>PASS</v>
      </c>
    </row>
    <row r="964" spans="1:20" x14ac:dyDescent="0.35">
      <c r="A964" s="7">
        <v>963</v>
      </c>
      <c r="B964" s="9">
        <v>1008</v>
      </c>
      <c r="C964" s="7" t="str">
        <f>IFERROR(_xlfn.TEXTJOIN("-", TRUE, _xlfn.XLOOKUP(K964, product_category_id_lookup!$A$2:$A$5, product_category_id_lookup!$B$2:$B$5), B964), "Unknown Category")</f>
        <v>etc-1008</v>
      </c>
      <c r="D964" s="8">
        <v>44876</v>
      </c>
      <c r="E964" s="7">
        <f t="shared" si="45"/>
        <v>2022</v>
      </c>
      <c r="F964" s="28" t="str">
        <f t="shared" si="46"/>
        <v>Nov</v>
      </c>
      <c r="G964" s="17" t="s">
        <v>22</v>
      </c>
      <c r="H964" s="17" t="s">
        <v>15</v>
      </c>
      <c r="I964" s="24">
        <v>75154.278318016921</v>
      </c>
      <c r="J964" s="32">
        <v>25</v>
      </c>
      <c r="K964" s="17" t="s">
        <v>31</v>
      </c>
      <c r="L964" s="24">
        <v>2722.69</v>
      </c>
      <c r="M964" s="24">
        <v>3124.85</v>
      </c>
      <c r="N964" s="34">
        <f>((sales_data_1[[#This Row],[Unit_Price]]*(1-sales_data_1[[#This Row],[Discount]]))-sales_data_1[[#This Row],[Unit_Cost]])*sales_data_1[[#This Row],[Quantity_Sold]]</f>
        <v>6929.1499999999924</v>
      </c>
      <c r="O964" s="17" t="s">
        <v>27</v>
      </c>
      <c r="P964" s="26">
        <v>0.04</v>
      </c>
      <c r="Q964" s="17" t="s">
        <v>18</v>
      </c>
      <c r="R964" s="17" t="s">
        <v>21</v>
      </c>
      <c r="S964" s="49" t="str">
        <f t="shared" si="47"/>
        <v>David-North</v>
      </c>
      <c r="T964" s="59" t="str">
        <f>IF(ROUND(sales_data_1[[#This Row],[Profit_Margin]],2)=ROUND((sales_data_1[[#This Row],[Unit_Price]]*(1-sales_data_1[[#This Row],[Discount]]) - sales_data_1[[#This Row],[Unit_Cost]])*sales_data_1[[#This Row],[Quantity_Sold]],2), "PASS", "CHECK")</f>
        <v>PASS</v>
      </c>
    </row>
    <row r="965" spans="1:20" x14ac:dyDescent="0.35">
      <c r="A965" s="7">
        <v>964</v>
      </c>
      <c r="B965" s="9">
        <v>1087</v>
      </c>
      <c r="C965" s="7" t="str">
        <f>IFERROR(_xlfn.TEXTJOIN("-", TRUE, _xlfn.XLOOKUP(K965, product_category_id_lookup!$A$2:$A$5, product_category_id_lookup!$B$2:$B$5), B965), "Unknown Category")</f>
        <v>fd-1087</v>
      </c>
      <c r="D965" s="8">
        <v>44876</v>
      </c>
      <c r="E965" s="7">
        <f t="shared" si="45"/>
        <v>2022</v>
      </c>
      <c r="F965" s="28" t="str">
        <f t="shared" si="46"/>
        <v>Nov</v>
      </c>
      <c r="G965" s="17" t="s">
        <v>29</v>
      </c>
      <c r="H965" s="17" t="s">
        <v>23</v>
      </c>
      <c r="I965" s="24">
        <v>68251.283100000001</v>
      </c>
      <c r="J965" s="32">
        <v>27</v>
      </c>
      <c r="K965" s="17" t="s">
        <v>24</v>
      </c>
      <c r="L965" s="24">
        <v>700.77</v>
      </c>
      <c r="M965" s="24">
        <v>3282.89</v>
      </c>
      <c r="N965" s="34">
        <f>((sales_data_1[[#This Row],[Unit_Price]]*(1-sales_data_1[[#This Row],[Discount]]))-sales_data_1[[#This Row],[Unit_Cost]])*sales_data_1[[#This Row],[Quantity_Sold]]</f>
        <v>49330.4931</v>
      </c>
      <c r="O965" s="17" t="s">
        <v>27</v>
      </c>
      <c r="P965" s="26">
        <v>0.23</v>
      </c>
      <c r="Q965" s="17" t="s">
        <v>25</v>
      </c>
      <c r="R965" s="17" t="s">
        <v>19</v>
      </c>
      <c r="S965" s="49" t="str">
        <f t="shared" si="47"/>
        <v>Charlie-South</v>
      </c>
      <c r="T965" s="59" t="str">
        <f>IF(ROUND(sales_data_1[[#This Row],[Profit_Margin]],2)=ROUND((sales_data_1[[#This Row],[Unit_Price]]*(1-sales_data_1[[#This Row],[Discount]]) - sales_data_1[[#This Row],[Unit_Cost]])*sales_data_1[[#This Row],[Quantity_Sold]],2), "PASS", "CHECK")</f>
        <v>PASS</v>
      </c>
    </row>
    <row r="966" spans="1:20" x14ac:dyDescent="0.35">
      <c r="A966" s="7">
        <v>965</v>
      </c>
      <c r="B966" s="9">
        <v>1035</v>
      </c>
      <c r="C966" s="7" t="str">
        <f>IFERROR(_xlfn.TEXTJOIN("-", TRUE, _xlfn.XLOOKUP(K966, product_category_id_lookup!$A$2:$A$5, product_category_id_lookup!$B$2:$B$5), B966), "Unknown Category")</f>
        <v>fd-1035</v>
      </c>
      <c r="D966" s="8">
        <v>44876</v>
      </c>
      <c r="E966" s="7">
        <f t="shared" si="45"/>
        <v>2022</v>
      </c>
      <c r="F966" s="28" t="str">
        <f t="shared" si="46"/>
        <v>Nov</v>
      </c>
      <c r="G966" s="17" t="s">
        <v>29</v>
      </c>
      <c r="H966" s="17" t="s">
        <v>23</v>
      </c>
      <c r="I966" s="24">
        <v>87957.107499999998</v>
      </c>
      <c r="J966" s="32">
        <v>25</v>
      </c>
      <c r="K966" s="17" t="s">
        <v>24</v>
      </c>
      <c r="L966" s="24">
        <v>287.97000000000003</v>
      </c>
      <c r="M966" s="24">
        <v>4955.33</v>
      </c>
      <c r="N966" s="34">
        <f>((sales_data_1[[#This Row],[Unit_Price]]*(1-sales_data_1[[#This Row],[Discount]]))-sales_data_1[[#This Row],[Unit_Cost]])*sales_data_1[[#This Row],[Quantity_Sold]]</f>
        <v>80757.857499999998</v>
      </c>
      <c r="O966" s="17" t="s">
        <v>27</v>
      </c>
      <c r="P966" s="26">
        <v>0.28999999999999998</v>
      </c>
      <c r="Q966" s="17" t="s">
        <v>28</v>
      </c>
      <c r="R966" s="17" t="s">
        <v>19</v>
      </c>
      <c r="S966" s="49" t="str">
        <f t="shared" si="47"/>
        <v>Charlie-South</v>
      </c>
      <c r="T966" s="59" t="str">
        <f>IF(ROUND(sales_data_1[[#This Row],[Profit_Margin]],2)=ROUND((sales_data_1[[#This Row],[Unit_Price]]*(1-sales_data_1[[#This Row],[Discount]]) - sales_data_1[[#This Row],[Unit_Cost]])*sales_data_1[[#This Row],[Quantity_Sold]],2), "PASS", "CHECK")</f>
        <v>PASS</v>
      </c>
    </row>
    <row r="967" spans="1:20" x14ac:dyDescent="0.35">
      <c r="A967" s="7">
        <v>966</v>
      </c>
      <c r="B967" s="9">
        <v>1066</v>
      </c>
      <c r="C967" s="7" t="str">
        <f>IFERROR(_xlfn.TEXTJOIN("-", TRUE, _xlfn.XLOOKUP(K967, product_category_id_lookup!$A$2:$A$5, product_category_id_lookup!$B$2:$B$5), B967), "Unknown Category")</f>
        <v>fd-1066</v>
      </c>
      <c r="D967" s="8">
        <v>44877</v>
      </c>
      <c r="E967" s="7">
        <f t="shared" si="45"/>
        <v>2022</v>
      </c>
      <c r="F967" s="28" t="str">
        <f t="shared" si="46"/>
        <v>Nov</v>
      </c>
      <c r="G967" s="17" t="s">
        <v>32</v>
      </c>
      <c r="H967" s="17" t="s">
        <v>23</v>
      </c>
      <c r="I967" s="24">
        <v>14549.192782511767</v>
      </c>
      <c r="J967" s="32">
        <v>4</v>
      </c>
      <c r="K967" s="17" t="s">
        <v>24</v>
      </c>
      <c r="L967" s="24">
        <v>2943.11</v>
      </c>
      <c r="M967" s="24">
        <v>3787.44</v>
      </c>
      <c r="N967" s="34">
        <f>((sales_data_1[[#This Row],[Unit_Price]]*(1-sales_data_1[[#This Row],[Discount]]))-sales_data_1[[#This Row],[Unit_Cost]])*sales_data_1[[#This Row],[Quantity_Sold]]</f>
        <v>2771.3295999999991</v>
      </c>
      <c r="O967" s="17" t="s">
        <v>17</v>
      </c>
      <c r="P967" s="26">
        <v>0.04</v>
      </c>
      <c r="Q967" s="17" t="s">
        <v>18</v>
      </c>
      <c r="R967" s="17" t="s">
        <v>19</v>
      </c>
      <c r="S967" s="49" t="str">
        <f t="shared" si="47"/>
        <v>Eve-South</v>
      </c>
      <c r="T967" s="59" t="str">
        <f>IF(ROUND(sales_data_1[[#This Row],[Profit_Margin]],2)=ROUND((sales_data_1[[#This Row],[Unit_Price]]*(1-sales_data_1[[#This Row],[Discount]]) - sales_data_1[[#This Row],[Unit_Cost]])*sales_data_1[[#This Row],[Quantity_Sold]],2), "PASS", "CHECK")</f>
        <v>PASS</v>
      </c>
    </row>
    <row r="968" spans="1:20" x14ac:dyDescent="0.35">
      <c r="A968" s="7">
        <v>967</v>
      </c>
      <c r="B968" s="9">
        <v>1003</v>
      </c>
      <c r="C968" s="7" t="str">
        <f>IFERROR(_xlfn.TEXTJOIN("-", TRUE, _xlfn.XLOOKUP(K968, product_category_id_lookup!$A$2:$A$5, product_category_id_lookup!$B$2:$B$5), B968), "Unknown Category")</f>
        <v>fd-1003</v>
      </c>
      <c r="D968" s="8">
        <v>44877</v>
      </c>
      <c r="E968" s="7">
        <f t="shared" si="45"/>
        <v>2022</v>
      </c>
      <c r="F968" s="28" t="str">
        <f t="shared" si="46"/>
        <v>Nov</v>
      </c>
      <c r="G968" s="17" t="s">
        <v>33</v>
      </c>
      <c r="H968" s="17" t="s">
        <v>30</v>
      </c>
      <c r="I968" s="24">
        <v>130052.51560000001</v>
      </c>
      <c r="J968" s="32">
        <v>47</v>
      </c>
      <c r="K968" s="17" t="s">
        <v>24</v>
      </c>
      <c r="L968" s="24">
        <v>2467.5500000000002</v>
      </c>
      <c r="M968" s="24">
        <v>3007.69</v>
      </c>
      <c r="N968" s="34">
        <f>((sales_data_1[[#This Row],[Unit_Price]]*(1-sales_data_1[[#This Row],[Discount]]))-sales_data_1[[#This Row],[Unit_Cost]])*sales_data_1[[#This Row],[Quantity_Sold]]</f>
        <v>14077.665600000008</v>
      </c>
      <c r="O968" s="17" t="s">
        <v>27</v>
      </c>
      <c r="P968" s="26">
        <v>0.08</v>
      </c>
      <c r="Q968" s="17" t="s">
        <v>28</v>
      </c>
      <c r="R968" s="17" t="s">
        <v>19</v>
      </c>
      <c r="S968" s="49" t="str">
        <f t="shared" si="47"/>
        <v>Alice-East</v>
      </c>
      <c r="T968" s="59" t="str">
        <f>IF(ROUND(sales_data_1[[#This Row],[Profit_Margin]],2)=ROUND((sales_data_1[[#This Row],[Unit_Price]]*(1-sales_data_1[[#This Row],[Discount]]) - sales_data_1[[#This Row],[Unit_Cost]])*sales_data_1[[#This Row],[Quantity_Sold]],2), "PASS", "CHECK")</f>
        <v>PASS</v>
      </c>
    </row>
    <row r="969" spans="1:20" x14ac:dyDescent="0.35">
      <c r="A969" s="7">
        <v>968</v>
      </c>
      <c r="B969" s="9">
        <v>1020</v>
      </c>
      <c r="C969" s="7" t="str">
        <f>IFERROR(_xlfn.TEXTJOIN("-", TRUE, _xlfn.XLOOKUP(K969, product_category_id_lookup!$A$2:$A$5, product_category_id_lookup!$B$2:$B$5), B969), "Unknown Category")</f>
        <v>fnt-1020</v>
      </c>
      <c r="D969" s="8">
        <v>44877</v>
      </c>
      <c r="E969" s="7">
        <f t="shared" si="45"/>
        <v>2022</v>
      </c>
      <c r="F969" s="28" t="str">
        <f t="shared" si="46"/>
        <v>Nov</v>
      </c>
      <c r="G969" s="17" t="s">
        <v>14</v>
      </c>
      <c r="H969" s="17" t="s">
        <v>23</v>
      </c>
      <c r="I969" s="24">
        <v>67472.928</v>
      </c>
      <c r="J969" s="32">
        <v>16</v>
      </c>
      <c r="K969" s="17" t="s">
        <v>16</v>
      </c>
      <c r="L969" s="24">
        <v>452.17</v>
      </c>
      <c r="M969" s="24">
        <v>4685.62</v>
      </c>
      <c r="N969" s="34">
        <f>((sales_data_1[[#This Row],[Unit_Price]]*(1-sales_data_1[[#This Row],[Discount]]))-sales_data_1[[#This Row],[Unit_Cost]])*sales_data_1[[#This Row],[Quantity_Sold]]</f>
        <v>60238.207999999999</v>
      </c>
      <c r="O969" s="17" t="s">
        <v>17</v>
      </c>
      <c r="P969" s="26">
        <v>0.1</v>
      </c>
      <c r="Q969" s="17" t="s">
        <v>18</v>
      </c>
      <c r="R969" s="17" t="s">
        <v>19</v>
      </c>
      <c r="S969" s="49" t="str">
        <f t="shared" si="47"/>
        <v>Bob-South</v>
      </c>
      <c r="T969" s="59" t="str">
        <f>IF(ROUND(sales_data_1[[#This Row],[Profit_Margin]],2)=ROUND((sales_data_1[[#This Row],[Unit_Price]]*(1-sales_data_1[[#This Row],[Discount]]) - sales_data_1[[#This Row],[Unit_Cost]])*sales_data_1[[#This Row],[Quantity_Sold]],2), "PASS", "CHECK")</f>
        <v>PASS</v>
      </c>
    </row>
    <row r="970" spans="1:20" x14ac:dyDescent="0.35">
      <c r="A970" s="7">
        <v>969</v>
      </c>
      <c r="B970" s="9">
        <v>1072</v>
      </c>
      <c r="C970" s="7" t="str">
        <f>IFERROR(_xlfn.TEXTJOIN("-", TRUE, _xlfn.XLOOKUP(K970, product_category_id_lookup!$A$2:$A$5, product_category_id_lookup!$B$2:$B$5), B970), "Unknown Category")</f>
        <v>ctg-1072</v>
      </c>
      <c r="D970" s="8">
        <v>44877</v>
      </c>
      <c r="E970" s="7">
        <f t="shared" si="45"/>
        <v>2022</v>
      </c>
      <c r="F970" s="28" t="str">
        <f t="shared" si="46"/>
        <v>Nov</v>
      </c>
      <c r="G970" s="17" t="s">
        <v>33</v>
      </c>
      <c r="H970" s="17" t="s">
        <v>30</v>
      </c>
      <c r="I970" s="24">
        <v>108206.8806</v>
      </c>
      <c r="J970" s="32">
        <v>26</v>
      </c>
      <c r="K970" s="17" t="s">
        <v>26</v>
      </c>
      <c r="L970" s="24">
        <v>1601.84</v>
      </c>
      <c r="M970" s="24">
        <v>4573.41</v>
      </c>
      <c r="N970" s="34">
        <f>((sales_data_1[[#This Row],[Unit_Price]]*(1-sales_data_1[[#This Row],[Discount]]))-sales_data_1[[#This Row],[Unit_Cost]])*sales_data_1[[#This Row],[Quantity_Sold]]</f>
        <v>66559.040599999993</v>
      </c>
      <c r="O970" s="17" t="s">
        <v>17</v>
      </c>
      <c r="P970" s="26">
        <v>0.09</v>
      </c>
      <c r="Q970" s="17" t="s">
        <v>28</v>
      </c>
      <c r="R970" s="17" t="s">
        <v>19</v>
      </c>
      <c r="S970" s="49" t="str">
        <f t="shared" si="47"/>
        <v>Alice-East</v>
      </c>
      <c r="T970" s="59" t="str">
        <f>IF(ROUND(sales_data_1[[#This Row],[Profit_Margin]],2)=ROUND((sales_data_1[[#This Row],[Unit_Price]]*(1-sales_data_1[[#This Row],[Discount]]) - sales_data_1[[#This Row],[Unit_Cost]])*sales_data_1[[#This Row],[Quantity_Sold]],2), "PASS", "CHECK")</f>
        <v>PASS</v>
      </c>
    </row>
    <row r="971" spans="1:20" x14ac:dyDescent="0.35">
      <c r="A971" s="7">
        <v>970</v>
      </c>
      <c r="B971" s="9">
        <v>1029</v>
      </c>
      <c r="C971" s="7" t="str">
        <f>IFERROR(_xlfn.TEXTJOIN("-", TRUE, _xlfn.XLOOKUP(K971, product_category_id_lookup!$A$2:$A$5, product_category_id_lookup!$B$2:$B$5), B971), "Unknown Category")</f>
        <v>etc-1029</v>
      </c>
      <c r="D971" s="8">
        <v>44878</v>
      </c>
      <c r="E971" s="7">
        <f t="shared" si="45"/>
        <v>2022</v>
      </c>
      <c r="F971" s="28" t="str">
        <f t="shared" si="46"/>
        <v>Nov</v>
      </c>
      <c r="G971" s="17" t="s">
        <v>33</v>
      </c>
      <c r="H971" s="17" t="s">
        <v>30</v>
      </c>
      <c r="I971" s="24">
        <v>115614.68400000001</v>
      </c>
      <c r="J971" s="32">
        <v>45</v>
      </c>
      <c r="K971" s="17" t="s">
        <v>31</v>
      </c>
      <c r="L971" s="24">
        <v>2464.13</v>
      </c>
      <c r="M971" s="24">
        <v>3095.44</v>
      </c>
      <c r="N971" s="34">
        <f>((sales_data_1[[#This Row],[Unit_Price]]*(1-sales_data_1[[#This Row],[Discount]]))-sales_data_1[[#This Row],[Unit_Cost]])*sales_data_1[[#This Row],[Quantity_Sold]]</f>
        <v>4728.8339999999989</v>
      </c>
      <c r="O971" s="17" t="s">
        <v>17</v>
      </c>
      <c r="P971" s="26">
        <v>0.17</v>
      </c>
      <c r="Q971" s="17" t="s">
        <v>18</v>
      </c>
      <c r="R971" s="17" t="s">
        <v>19</v>
      </c>
      <c r="S971" s="49" t="str">
        <f t="shared" si="47"/>
        <v>Alice-East</v>
      </c>
      <c r="T971" s="59" t="str">
        <f>IF(ROUND(sales_data_1[[#This Row],[Profit_Margin]],2)=ROUND((sales_data_1[[#This Row],[Unit_Price]]*(1-sales_data_1[[#This Row],[Discount]]) - sales_data_1[[#This Row],[Unit_Cost]])*sales_data_1[[#This Row],[Quantity_Sold]],2), "PASS", "CHECK")</f>
        <v>PASS</v>
      </c>
    </row>
    <row r="972" spans="1:20" x14ac:dyDescent="0.35">
      <c r="A972" s="7">
        <v>971</v>
      </c>
      <c r="B972" s="9">
        <v>1019</v>
      </c>
      <c r="C972" s="7" t="str">
        <f>IFERROR(_xlfn.TEXTJOIN("-", TRUE, _xlfn.XLOOKUP(K972, product_category_id_lookup!$A$2:$A$5, product_category_id_lookup!$B$2:$B$5), B972), "Unknown Category")</f>
        <v>etc-1019</v>
      </c>
      <c r="D972" s="8">
        <v>44878</v>
      </c>
      <c r="E972" s="7">
        <f t="shared" si="45"/>
        <v>2022</v>
      </c>
      <c r="F972" s="28" t="str">
        <f t="shared" si="46"/>
        <v>Nov</v>
      </c>
      <c r="G972" s="17" t="s">
        <v>29</v>
      </c>
      <c r="H972" s="17" t="s">
        <v>15</v>
      </c>
      <c r="I972" s="24">
        <v>156622.76980141574</v>
      </c>
      <c r="J972" s="32">
        <v>44</v>
      </c>
      <c r="K972" s="17" t="s">
        <v>31</v>
      </c>
      <c r="L972" s="24">
        <v>3368.89</v>
      </c>
      <c r="M972" s="24">
        <v>3623.95</v>
      </c>
      <c r="N972" s="34">
        <f>((sales_data_1[[#This Row],[Unit_Price]]*(1-sales_data_1[[#This Row],[Discount]]))-sales_data_1[[#This Row],[Unit_Cost]])*sales_data_1[[#This Row],[Quantity_Sold]]</f>
        <v>8033.5639999999858</v>
      </c>
      <c r="O972" s="17" t="s">
        <v>17</v>
      </c>
      <c r="P972" s="26">
        <v>0.02</v>
      </c>
      <c r="Q972" s="17" t="s">
        <v>18</v>
      </c>
      <c r="R972" s="17" t="s">
        <v>19</v>
      </c>
      <c r="S972" s="49" t="str">
        <f t="shared" si="47"/>
        <v>Charlie-North</v>
      </c>
      <c r="T972" s="59" t="str">
        <f>IF(ROUND(sales_data_1[[#This Row],[Profit_Margin]],2)=ROUND((sales_data_1[[#This Row],[Unit_Price]]*(1-sales_data_1[[#This Row],[Discount]]) - sales_data_1[[#This Row],[Unit_Cost]])*sales_data_1[[#This Row],[Quantity_Sold]],2), "PASS", "CHECK")</f>
        <v>PASS</v>
      </c>
    </row>
    <row r="973" spans="1:20" x14ac:dyDescent="0.35">
      <c r="A973" s="7">
        <v>972</v>
      </c>
      <c r="B973" s="9">
        <v>1088</v>
      </c>
      <c r="C973" s="7" t="str">
        <f>IFERROR(_xlfn.TEXTJOIN("-", TRUE, _xlfn.XLOOKUP(K973, product_category_id_lookup!$A$2:$A$5, product_category_id_lookup!$B$2:$B$5), B973), "Unknown Category")</f>
        <v>ctg-1088</v>
      </c>
      <c r="D973" s="8">
        <v>44878</v>
      </c>
      <c r="E973" s="7">
        <f t="shared" si="45"/>
        <v>2022</v>
      </c>
      <c r="F973" s="28" t="str">
        <f t="shared" si="46"/>
        <v>Nov</v>
      </c>
      <c r="G973" s="17" t="s">
        <v>29</v>
      </c>
      <c r="H973" s="17" t="s">
        <v>30</v>
      </c>
      <c r="I973" s="24">
        <v>115382.25</v>
      </c>
      <c r="J973" s="32">
        <v>38</v>
      </c>
      <c r="K973" s="17" t="s">
        <v>26</v>
      </c>
      <c r="L973" s="24">
        <v>2442.4</v>
      </c>
      <c r="M973" s="24">
        <v>3373.75</v>
      </c>
      <c r="N973" s="34">
        <f>((sales_data_1[[#This Row],[Unit_Price]]*(1-sales_data_1[[#This Row],[Discount]]))-sales_data_1[[#This Row],[Unit_Cost]])*sales_data_1[[#This Row],[Quantity_Sold]]</f>
        <v>22571.049999999996</v>
      </c>
      <c r="O973" s="17" t="s">
        <v>27</v>
      </c>
      <c r="P973" s="26">
        <v>0.1</v>
      </c>
      <c r="Q973" s="17" t="s">
        <v>18</v>
      </c>
      <c r="R973" s="17" t="s">
        <v>21</v>
      </c>
      <c r="S973" s="49" t="str">
        <f t="shared" si="47"/>
        <v>Charlie-East</v>
      </c>
      <c r="T973" s="59" t="str">
        <f>IF(ROUND(sales_data_1[[#This Row],[Profit_Margin]],2)=ROUND((sales_data_1[[#This Row],[Unit_Price]]*(1-sales_data_1[[#This Row],[Discount]]) - sales_data_1[[#This Row],[Unit_Cost]])*sales_data_1[[#This Row],[Quantity_Sold]],2), "PASS", "CHECK")</f>
        <v>PASS</v>
      </c>
    </row>
    <row r="974" spans="1:20" x14ac:dyDescent="0.35">
      <c r="A974" s="7">
        <v>973</v>
      </c>
      <c r="B974" s="9">
        <v>1021</v>
      </c>
      <c r="C974" s="7" t="str">
        <f>IFERROR(_xlfn.TEXTJOIN("-", TRUE, _xlfn.XLOOKUP(K974, product_category_id_lookup!$A$2:$A$5, product_category_id_lookup!$B$2:$B$5), B974), "Unknown Category")</f>
        <v>fnt-1021</v>
      </c>
      <c r="D974" s="8">
        <v>44879</v>
      </c>
      <c r="E974" s="7">
        <f t="shared" si="45"/>
        <v>2022</v>
      </c>
      <c r="F974" s="28" t="str">
        <f t="shared" si="46"/>
        <v>Nov</v>
      </c>
      <c r="G974" s="17" t="s">
        <v>22</v>
      </c>
      <c r="H974" s="17" t="s">
        <v>30</v>
      </c>
      <c r="I974" s="24">
        <v>170525.63991308553</v>
      </c>
      <c r="J974" s="32">
        <v>35</v>
      </c>
      <c r="K974" s="17" t="s">
        <v>16</v>
      </c>
      <c r="L974" s="24">
        <v>4513.29</v>
      </c>
      <c r="M974" s="24">
        <v>4939.01</v>
      </c>
      <c r="N974" s="34">
        <f>((sales_data_1[[#This Row],[Unit_Price]]*(1-sales_data_1[[#This Row],[Discount]]))-sales_data_1[[#This Row],[Unit_Cost]])*sales_data_1[[#This Row],[Quantity_Sold]]</f>
        <v>13171.546500000022</v>
      </c>
      <c r="O974" s="17" t="s">
        <v>17</v>
      </c>
      <c r="P974" s="26">
        <v>0.01</v>
      </c>
      <c r="Q974" s="17" t="s">
        <v>25</v>
      </c>
      <c r="R974" s="17" t="s">
        <v>19</v>
      </c>
      <c r="S974" s="49" t="str">
        <f t="shared" si="47"/>
        <v>David-East</v>
      </c>
      <c r="T974" s="59" t="str">
        <f>IF(ROUND(sales_data_1[[#This Row],[Profit_Margin]],2)=ROUND((sales_data_1[[#This Row],[Unit_Price]]*(1-sales_data_1[[#This Row],[Discount]]) - sales_data_1[[#This Row],[Unit_Cost]])*sales_data_1[[#This Row],[Quantity_Sold]],2), "PASS", "CHECK")</f>
        <v>PASS</v>
      </c>
    </row>
    <row r="975" spans="1:20" x14ac:dyDescent="0.35">
      <c r="A975" s="7">
        <v>974</v>
      </c>
      <c r="B975" s="9">
        <v>1049</v>
      </c>
      <c r="C975" s="7" t="str">
        <f>IFERROR(_xlfn.TEXTJOIN("-", TRUE, _xlfn.XLOOKUP(K975, product_category_id_lookup!$A$2:$A$5, product_category_id_lookup!$B$2:$B$5), B975), "Unknown Category")</f>
        <v>etc-1049</v>
      </c>
      <c r="D975" s="8">
        <v>44879</v>
      </c>
      <c r="E975" s="7">
        <f t="shared" si="45"/>
        <v>2022</v>
      </c>
      <c r="F975" s="28" t="str">
        <f t="shared" si="46"/>
        <v>Nov</v>
      </c>
      <c r="G975" s="17" t="s">
        <v>14</v>
      </c>
      <c r="H975" s="17" t="s">
        <v>30</v>
      </c>
      <c r="I975" s="24">
        <v>89631.360000000001</v>
      </c>
      <c r="J975" s="32">
        <v>28</v>
      </c>
      <c r="K975" s="17" t="s">
        <v>31</v>
      </c>
      <c r="L975" s="24">
        <v>2324.6799999999998</v>
      </c>
      <c r="M975" s="24">
        <v>4446</v>
      </c>
      <c r="N975" s="34">
        <f>((sales_data_1[[#This Row],[Unit_Price]]*(1-sales_data_1[[#This Row],[Discount]]))-sales_data_1[[#This Row],[Unit_Cost]])*sales_data_1[[#This Row],[Quantity_Sold]]</f>
        <v>24540.32</v>
      </c>
      <c r="O975" s="17" t="s">
        <v>27</v>
      </c>
      <c r="P975" s="26">
        <v>0.28000000000000003</v>
      </c>
      <c r="Q975" s="17" t="s">
        <v>28</v>
      </c>
      <c r="R975" s="17" t="s">
        <v>19</v>
      </c>
      <c r="S975" s="49" t="str">
        <f t="shared" si="47"/>
        <v>Bob-East</v>
      </c>
      <c r="T975" s="59" t="str">
        <f>IF(ROUND(sales_data_1[[#This Row],[Profit_Margin]],2)=ROUND((sales_data_1[[#This Row],[Unit_Price]]*(1-sales_data_1[[#This Row],[Discount]]) - sales_data_1[[#This Row],[Unit_Cost]])*sales_data_1[[#This Row],[Quantity_Sold]],2), "PASS", "CHECK")</f>
        <v>PASS</v>
      </c>
    </row>
    <row r="976" spans="1:20" x14ac:dyDescent="0.35">
      <c r="A976" s="7">
        <v>975</v>
      </c>
      <c r="B976" s="9">
        <v>1064</v>
      </c>
      <c r="C976" s="7" t="str">
        <f>IFERROR(_xlfn.TEXTJOIN("-", TRUE, _xlfn.XLOOKUP(K976, product_category_id_lookup!$A$2:$A$5, product_category_id_lookup!$B$2:$B$5), B976), "Unknown Category")</f>
        <v>fd-1064</v>
      </c>
      <c r="D976" s="8">
        <v>44879</v>
      </c>
      <c r="E976" s="7">
        <f t="shared" si="45"/>
        <v>2022</v>
      </c>
      <c r="F976" s="28" t="str">
        <f t="shared" si="46"/>
        <v>Nov</v>
      </c>
      <c r="G976" s="17" t="s">
        <v>14</v>
      </c>
      <c r="H976" s="17" t="s">
        <v>23</v>
      </c>
      <c r="I976" s="24">
        <v>95923.799999999988</v>
      </c>
      <c r="J976" s="32">
        <v>46</v>
      </c>
      <c r="K976" s="17" t="s">
        <v>24</v>
      </c>
      <c r="L976" s="24">
        <v>1390.8</v>
      </c>
      <c r="M976" s="24">
        <v>2979</v>
      </c>
      <c r="N976" s="34">
        <f>((sales_data_1[[#This Row],[Unit_Price]]*(1-sales_data_1[[#This Row],[Discount]]))-sales_data_1[[#This Row],[Unit_Cost]])*sales_data_1[[#This Row],[Quantity_Sold]]</f>
        <v>31946.999999999989</v>
      </c>
      <c r="O976" s="17" t="s">
        <v>27</v>
      </c>
      <c r="P976" s="26">
        <v>0.3</v>
      </c>
      <c r="Q976" s="17" t="s">
        <v>25</v>
      </c>
      <c r="R976" s="17" t="s">
        <v>21</v>
      </c>
      <c r="S976" s="49" t="str">
        <f t="shared" si="47"/>
        <v>Bob-South</v>
      </c>
      <c r="T976" s="59" t="str">
        <f>IF(ROUND(sales_data_1[[#This Row],[Profit_Margin]],2)=ROUND((sales_data_1[[#This Row],[Unit_Price]]*(1-sales_data_1[[#This Row],[Discount]]) - sales_data_1[[#This Row],[Unit_Cost]])*sales_data_1[[#This Row],[Quantity_Sold]],2), "PASS", "CHECK")</f>
        <v>PASS</v>
      </c>
    </row>
    <row r="977" spans="1:20" x14ac:dyDescent="0.35">
      <c r="A977" s="7">
        <v>976</v>
      </c>
      <c r="B977" s="9">
        <v>1056</v>
      </c>
      <c r="C977" s="7" t="str">
        <f>IFERROR(_xlfn.TEXTJOIN("-", TRUE, _xlfn.XLOOKUP(K977, product_category_id_lookup!$A$2:$A$5, product_category_id_lookup!$B$2:$B$5), B977), "Unknown Category")</f>
        <v>fd-1056</v>
      </c>
      <c r="D977" s="8">
        <v>44880</v>
      </c>
      <c r="E977" s="7">
        <f t="shared" si="45"/>
        <v>2022</v>
      </c>
      <c r="F977" s="28" t="str">
        <f t="shared" si="46"/>
        <v>Nov</v>
      </c>
      <c r="G977" s="17" t="s">
        <v>22</v>
      </c>
      <c r="H977" s="17" t="s">
        <v>30</v>
      </c>
      <c r="I977" s="24">
        <v>30534.722399999999</v>
      </c>
      <c r="J977" s="32">
        <v>13</v>
      </c>
      <c r="K977" s="17" t="s">
        <v>24</v>
      </c>
      <c r="L977" s="24">
        <v>1725.77</v>
      </c>
      <c r="M977" s="24">
        <v>2796.22</v>
      </c>
      <c r="N977" s="34">
        <f>((sales_data_1[[#This Row],[Unit_Price]]*(1-sales_data_1[[#This Row],[Discount]]))-sales_data_1[[#This Row],[Unit_Cost]])*sales_data_1[[#This Row],[Quantity_Sold]]</f>
        <v>8099.7123999999985</v>
      </c>
      <c r="O977" s="17" t="s">
        <v>27</v>
      </c>
      <c r="P977" s="26">
        <v>0.16</v>
      </c>
      <c r="Q977" s="17" t="s">
        <v>28</v>
      </c>
      <c r="R977" s="17" t="s">
        <v>21</v>
      </c>
      <c r="S977" s="49" t="str">
        <f t="shared" si="47"/>
        <v>David-East</v>
      </c>
      <c r="T977" s="59" t="str">
        <f>IF(ROUND(sales_data_1[[#This Row],[Profit_Margin]],2)=ROUND((sales_data_1[[#This Row],[Unit_Price]]*(1-sales_data_1[[#This Row],[Discount]]) - sales_data_1[[#This Row],[Unit_Cost]])*sales_data_1[[#This Row],[Quantity_Sold]],2), "PASS", "CHECK")</f>
        <v>PASS</v>
      </c>
    </row>
    <row r="978" spans="1:20" x14ac:dyDescent="0.35">
      <c r="A978" s="7">
        <v>977</v>
      </c>
      <c r="B978" s="9">
        <v>1087</v>
      </c>
      <c r="C978" s="7" t="str">
        <f>IFERROR(_xlfn.TEXTJOIN("-", TRUE, _xlfn.XLOOKUP(K978, product_category_id_lookup!$A$2:$A$5, product_category_id_lookup!$B$2:$B$5), B978), "Unknown Category")</f>
        <v>etc-1087</v>
      </c>
      <c r="D978" s="8">
        <v>44880</v>
      </c>
      <c r="E978" s="7">
        <f t="shared" si="45"/>
        <v>2022</v>
      </c>
      <c r="F978" s="28" t="str">
        <f t="shared" si="46"/>
        <v>Nov</v>
      </c>
      <c r="G978" s="17" t="s">
        <v>29</v>
      </c>
      <c r="H978" s="17" t="s">
        <v>15</v>
      </c>
      <c r="I978" s="24">
        <v>24100.02</v>
      </c>
      <c r="J978" s="32">
        <v>6</v>
      </c>
      <c r="K978" s="17" t="s">
        <v>31</v>
      </c>
      <c r="L978" s="24">
        <v>1319.89</v>
      </c>
      <c r="M978" s="24">
        <v>4781.75</v>
      </c>
      <c r="N978" s="34">
        <f>((sales_data_1[[#This Row],[Unit_Price]]*(1-sales_data_1[[#This Row],[Discount]]))-sales_data_1[[#This Row],[Unit_Cost]])*sales_data_1[[#This Row],[Quantity_Sold]]</f>
        <v>16180.679999999998</v>
      </c>
      <c r="O978" s="17" t="s">
        <v>27</v>
      </c>
      <c r="P978" s="26">
        <v>0.16</v>
      </c>
      <c r="Q978" s="17" t="s">
        <v>28</v>
      </c>
      <c r="R978" s="17" t="s">
        <v>19</v>
      </c>
      <c r="S978" s="49" t="str">
        <f t="shared" si="47"/>
        <v>Charlie-North</v>
      </c>
      <c r="T978" s="59" t="str">
        <f>IF(ROUND(sales_data_1[[#This Row],[Profit_Margin]],2)=ROUND((sales_data_1[[#This Row],[Unit_Price]]*(1-sales_data_1[[#This Row],[Discount]]) - sales_data_1[[#This Row],[Unit_Cost]])*sales_data_1[[#This Row],[Quantity_Sold]],2), "PASS", "CHECK")</f>
        <v>PASS</v>
      </c>
    </row>
    <row r="979" spans="1:20" x14ac:dyDescent="0.35">
      <c r="A979" s="7">
        <v>978</v>
      </c>
      <c r="B979" s="9">
        <v>1099</v>
      </c>
      <c r="C979" s="7" t="str">
        <f>IFERROR(_xlfn.TEXTJOIN("-", TRUE, _xlfn.XLOOKUP(K979, product_category_id_lookup!$A$2:$A$5, product_category_id_lookup!$B$2:$B$5), B979), "Unknown Category")</f>
        <v>etc-1099</v>
      </c>
      <c r="D979" s="8">
        <v>44880</v>
      </c>
      <c r="E979" s="7">
        <f t="shared" si="45"/>
        <v>2022</v>
      </c>
      <c r="F979" s="28" t="str">
        <f t="shared" si="46"/>
        <v>Nov</v>
      </c>
      <c r="G979" s="17" t="s">
        <v>32</v>
      </c>
      <c r="H979" s="17" t="s">
        <v>30</v>
      </c>
      <c r="I979" s="24">
        <v>43643.418000000005</v>
      </c>
      <c r="J979" s="32">
        <v>14</v>
      </c>
      <c r="K979" s="17" t="s">
        <v>31</v>
      </c>
      <c r="L979" s="24">
        <v>1320.75</v>
      </c>
      <c r="M979" s="24">
        <v>3996.65</v>
      </c>
      <c r="N979" s="34">
        <f>((sales_data_1[[#This Row],[Unit_Price]]*(1-sales_data_1[[#This Row],[Discount]]))-sales_data_1[[#This Row],[Unit_Cost]])*sales_data_1[[#This Row],[Quantity_Sold]]</f>
        <v>25152.918000000001</v>
      </c>
      <c r="O979" s="17" t="s">
        <v>17</v>
      </c>
      <c r="P979" s="26">
        <v>0.22</v>
      </c>
      <c r="Q979" s="17" t="s">
        <v>25</v>
      </c>
      <c r="R979" s="17" t="s">
        <v>19</v>
      </c>
      <c r="S979" s="49" t="str">
        <f t="shared" si="47"/>
        <v>Eve-East</v>
      </c>
      <c r="T979" s="59" t="str">
        <f>IF(ROUND(sales_data_1[[#This Row],[Profit_Margin]],2)=ROUND((sales_data_1[[#This Row],[Unit_Price]]*(1-sales_data_1[[#This Row],[Discount]]) - sales_data_1[[#This Row],[Unit_Cost]])*sales_data_1[[#This Row],[Quantity_Sold]],2), "PASS", "CHECK")</f>
        <v>PASS</v>
      </c>
    </row>
    <row r="980" spans="1:20" x14ac:dyDescent="0.35">
      <c r="A980" s="7">
        <v>979</v>
      </c>
      <c r="B980" s="9">
        <v>1059</v>
      </c>
      <c r="C980" s="7" t="str">
        <f>IFERROR(_xlfn.TEXTJOIN("-", TRUE, _xlfn.XLOOKUP(K980, product_category_id_lookup!$A$2:$A$5, product_category_id_lookup!$B$2:$B$5), B980), "Unknown Category")</f>
        <v>etc-1059</v>
      </c>
      <c r="D980" s="8">
        <v>44880</v>
      </c>
      <c r="E980" s="7">
        <f t="shared" si="45"/>
        <v>2022</v>
      </c>
      <c r="F980" s="28" t="str">
        <f t="shared" si="46"/>
        <v>Nov</v>
      </c>
      <c r="G980" s="17" t="s">
        <v>22</v>
      </c>
      <c r="H980" s="17" t="s">
        <v>20</v>
      </c>
      <c r="I980" s="24">
        <v>152089.72290000002</v>
      </c>
      <c r="J980" s="32">
        <v>43</v>
      </c>
      <c r="K980" s="17" t="s">
        <v>31</v>
      </c>
      <c r="L980" s="24">
        <v>1886.91</v>
      </c>
      <c r="M980" s="24">
        <v>4366.63</v>
      </c>
      <c r="N980" s="34">
        <f>((sales_data_1[[#This Row],[Unit_Price]]*(1-sales_data_1[[#This Row],[Discount]]))-sales_data_1[[#This Row],[Unit_Cost]])*sales_data_1[[#This Row],[Quantity_Sold]]</f>
        <v>70952.592900000018</v>
      </c>
      <c r="O980" s="17" t="s">
        <v>27</v>
      </c>
      <c r="P980" s="26">
        <v>0.19</v>
      </c>
      <c r="Q980" s="17" t="s">
        <v>28</v>
      </c>
      <c r="R980" s="17" t="s">
        <v>19</v>
      </c>
      <c r="S980" s="49" t="str">
        <f t="shared" si="47"/>
        <v>David-West</v>
      </c>
      <c r="T980" s="59" t="str">
        <f>IF(ROUND(sales_data_1[[#This Row],[Profit_Margin]],2)=ROUND((sales_data_1[[#This Row],[Unit_Price]]*(1-sales_data_1[[#This Row],[Discount]]) - sales_data_1[[#This Row],[Unit_Cost]])*sales_data_1[[#This Row],[Quantity_Sold]],2), "PASS", "CHECK")</f>
        <v>PASS</v>
      </c>
    </row>
    <row r="981" spans="1:20" x14ac:dyDescent="0.35">
      <c r="A981" s="7">
        <v>980</v>
      </c>
      <c r="B981" s="9">
        <v>1077</v>
      </c>
      <c r="C981" s="7" t="str">
        <f>IFERROR(_xlfn.TEXTJOIN("-", TRUE, _xlfn.XLOOKUP(K981, product_category_id_lookup!$A$2:$A$5, product_category_id_lookup!$B$2:$B$5), B981), "Unknown Category")</f>
        <v>fnt-1077</v>
      </c>
      <c r="D981" s="8">
        <v>44881</v>
      </c>
      <c r="E981" s="7">
        <f t="shared" si="45"/>
        <v>2022</v>
      </c>
      <c r="F981" s="28" t="str">
        <f t="shared" si="46"/>
        <v>Nov</v>
      </c>
      <c r="G981" s="17" t="s">
        <v>33</v>
      </c>
      <c r="H981" s="17" t="s">
        <v>15</v>
      </c>
      <c r="I981" s="24">
        <v>68138.244000000006</v>
      </c>
      <c r="J981" s="32">
        <v>24</v>
      </c>
      <c r="K981" s="17" t="s">
        <v>16</v>
      </c>
      <c r="L981" s="24">
        <v>2831.26</v>
      </c>
      <c r="M981" s="24">
        <v>3340.11</v>
      </c>
      <c r="N981" s="34">
        <f>((sales_data_1[[#This Row],[Unit_Price]]*(1-sales_data_1[[#This Row],[Discount]]))-sales_data_1[[#This Row],[Unit_Cost]])*sales_data_1[[#This Row],[Quantity_Sold]]</f>
        <v>188.00399999999354</v>
      </c>
      <c r="O981" s="17" t="s">
        <v>17</v>
      </c>
      <c r="P981" s="26">
        <v>0.15</v>
      </c>
      <c r="Q981" s="17" t="s">
        <v>18</v>
      </c>
      <c r="R981" s="17" t="s">
        <v>19</v>
      </c>
      <c r="S981" s="49" t="str">
        <f t="shared" si="47"/>
        <v>Alice-North</v>
      </c>
      <c r="T981" s="59" t="str">
        <f>IF(ROUND(sales_data_1[[#This Row],[Profit_Margin]],2)=ROUND((sales_data_1[[#This Row],[Unit_Price]]*(1-sales_data_1[[#This Row],[Discount]]) - sales_data_1[[#This Row],[Unit_Cost]])*sales_data_1[[#This Row],[Quantity_Sold]],2), "PASS", "CHECK")</f>
        <v>PASS</v>
      </c>
    </row>
    <row r="982" spans="1:20" x14ac:dyDescent="0.35">
      <c r="A982" s="7">
        <v>981</v>
      </c>
      <c r="B982" s="9">
        <v>1048</v>
      </c>
      <c r="C982" s="7" t="str">
        <f>IFERROR(_xlfn.TEXTJOIN("-", TRUE, _xlfn.XLOOKUP(K982, product_category_id_lookup!$A$2:$A$5, product_category_id_lookup!$B$2:$B$5), B982), "Unknown Category")</f>
        <v>etc-1048</v>
      </c>
      <c r="D982" s="8">
        <v>44881</v>
      </c>
      <c r="E982" s="7">
        <f t="shared" si="45"/>
        <v>2022</v>
      </c>
      <c r="F982" s="28" t="str">
        <f t="shared" si="46"/>
        <v>Nov</v>
      </c>
      <c r="G982" s="17" t="s">
        <v>32</v>
      </c>
      <c r="H982" s="17" t="s">
        <v>15</v>
      </c>
      <c r="I982" s="24">
        <v>75188.294999999998</v>
      </c>
      <c r="J982" s="32">
        <v>45</v>
      </c>
      <c r="K982" s="17" t="s">
        <v>31</v>
      </c>
      <c r="L982" s="24">
        <v>1609.83</v>
      </c>
      <c r="M982" s="24">
        <v>1942.85</v>
      </c>
      <c r="N982" s="34">
        <f>((sales_data_1[[#This Row],[Unit_Price]]*(1-sales_data_1[[#This Row],[Discount]]))-sales_data_1[[#This Row],[Unit_Cost]])*sales_data_1[[#This Row],[Quantity_Sold]]</f>
        <v>2745.9449999999979</v>
      </c>
      <c r="O982" s="17" t="s">
        <v>17</v>
      </c>
      <c r="P982" s="26">
        <v>0.14000000000000001</v>
      </c>
      <c r="Q982" s="17" t="s">
        <v>25</v>
      </c>
      <c r="R982" s="17" t="s">
        <v>19</v>
      </c>
      <c r="S982" s="49" t="str">
        <f t="shared" si="47"/>
        <v>Eve-North</v>
      </c>
      <c r="T982" s="59" t="str">
        <f>IF(ROUND(sales_data_1[[#This Row],[Profit_Margin]],2)=ROUND((sales_data_1[[#This Row],[Unit_Price]]*(1-sales_data_1[[#This Row],[Discount]]) - sales_data_1[[#This Row],[Unit_Cost]])*sales_data_1[[#This Row],[Quantity_Sold]],2), "PASS", "CHECK")</f>
        <v>PASS</v>
      </c>
    </row>
    <row r="983" spans="1:20" x14ac:dyDescent="0.35">
      <c r="A983" s="7">
        <v>982</v>
      </c>
      <c r="B983" s="9">
        <v>1053</v>
      </c>
      <c r="C983" s="7" t="str">
        <f>IFERROR(_xlfn.TEXTJOIN("-", TRUE, _xlfn.XLOOKUP(K983, product_category_id_lookup!$A$2:$A$5, product_category_id_lookup!$B$2:$B$5), B983), "Unknown Category")</f>
        <v>ctg-1053</v>
      </c>
      <c r="D983" s="8">
        <v>44881</v>
      </c>
      <c r="E983" s="7">
        <f t="shared" si="45"/>
        <v>2022</v>
      </c>
      <c r="F983" s="28" t="str">
        <f t="shared" si="46"/>
        <v>Nov</v>
      </c>
      <c r="G983" s="17" t="s">
        <v>32</v>
      </c>
      <c r="H983" s="17" t="s">
        <v>15</v>
      </c>
      <c r="I983" s="24">
        <v>61566.235499999995</v>
      </c>
      <c r="J983" s="32">
        <v>15</v>
      </c>
      <c r="K983" s="17" t="s">
        <v>26</v>
      </c>
      <c r="L983" s="24">
        <v>3419.78</v>
      </c>
      <c r="M983" s="24">
        <v>5330.41</v>
      </c>
      <c r="N983" s="34">
        <f>((sales_data_1[[#This Row],[Unit_Price]]*(1-sales_data_1[[#This Row],[Discount]]))-sales_data_1[[#This Row],[Unit_Cost]])*sales_data_1[[#This Row],[Quantity_Sold]]</f>
        <v>10269.535499999991</v>
      </c>
      <c r="O983" s="17" t="s">
        <v>17</v>
      </c>
      <c r="P983" s="26">
        <v>0.23</v>
      </c>
      <c r="Q983" s="17" t="s">
        <v>18</v>
      </c>
      <c r="R983" s="17" t="s">
        <v>19</v>
      </c>
      <c r="S983" s="49" t="str">
        <f t="shared" si="47"/>
        <v>Eve-North</v>
      </c>
      <c r="T983" s="59" t="str">
        <f>IF(ROUND(sales_data_1[[#This Row],[Profit_Margin]],2)=ROUND((sales_data_1[[#This Row],[Unit_Price]]*(1-sales_data_1[[#This Row],[Discount]]) - sales_data_1[[#This Row],[Unit_Cost]])*sales_data_1[[#This Row],[Quantity_Sold]],2), "PASS", "CHECK")</f>
        <v>PASS</v>
      </c>
    </row>
    <row r="984" spans="1:20" x14ac:dyDescent="0.35">
      <c r="A984" s="7">
        <v>983</v>
      </c>
      <c r="B984" s="9">
        <v>1009</v>
      </c>
      <c r="C984" s="7" t="str">
        <f>IFERROR(_xlfn.TEXTJOIN("-", TRUE, _xlfn.XLOOKUP(K984, product_category_id_lookup!$A$2:$A$5, product_category_id_lookup!$B$2:$B$5), B984), "Unknown Category")</f>
        <v>ctg-1009</v>
      </c>
      <c r="D984" s="8">
        <v>44881</v>
      </c>
      <c r="E984" s="7">
        <f t="shared" si="45"/>
        <v>2022</v>
      </c>
      <c r="F984" s="28" t="str">
        <f t="shared" si="46"/>
        <v>Nov</v>
      </c>
      <c r="G984" s="17" t="s">
        <v>22</v>
      </c>
      <c r="H984" s="17" t="s">
        <v>15</v>
      </c>
      <c r="I984" s="24">
        <v>33248.810099999995</v>
      </c>
      <c r="J984" s="32">
        <v>33</v>
      </c>
      <c r="K984" s="17" t="s">
        <v>26</v>
      </c>
      <c r="L984" s="24">
        <v>492.2</v>
      </c>
      <c r="M984" s="24">
        <v>1419.07</v>
      </c>
      <c r="N984" s="34">
        <f>((sales_data_1[[#This Row],[Unit_Price]]*(1-sales_data_1[[#This Row],[Discount]]))-sales_data_1[[#This Row],[Unit_Cost]])*sales_data_1[[#This Row],[Quantity_Sold]]</f>
        <v>17006.2101</v>
      </c>
      <c r="O984" s="17" t="s">
        <v>27</v>
      </c>
      <c r="P984" s="26">
        <v>0.28999999999999998</v>
      </c>
      <c r="Q984" s="17" t="s">
        <v>28</v>
      </c>
      <c r="R984" s="17" t="s">
        <v>19</v>
      </c>
      <c r="S984" s="49" t="str">
        <f t="shared" si="47"/>
        <v>David-North</v>
      </c>
      <c r="T984" s="59" t="str">
        <f>IF(ROUND(sales_data_1[[#This Row],[Profit_Margin]],2)=ROUND((sales_data_1[[#This Row],[Unit_Price]]*(1-sales_data_1[[#This Row],[Discount]]) - sales_data_1[[#This Row],[Unit_Cost]])*sales_data_1[[#This Row],[Quantity_Sold]],2), "PASS", "CHECK")</f>
        <v>PASS</v>
      </c>
    </row>
    <row r="985" spans="1:20" x14ac:dyDescent="0.35">
      <c r="A985" s="7">
        <v>984</v>
      </c>
      <c r="B985" s="9">
        <v>1031</v>
      </c>
      <c r="C985" s="7" t="str">
        <f>IFERROR(_xlfn.TEXTJOIN("-", TRUE, _xlfn.XLOOKUP(K985, product_category_id_lookup!$A$2:$A$5, product_category_id_lookup!$B$2:$B$5), B985), "Unknown Category")</f>
        <v>etc-1031</v>
      </c>
      <c r="D985" s="8">
        <v>44881</v>
      </c>
      <c r="E985" s="7">
        <f t="shared" si="45"/>
        <v>2022</v>
      </c>
      <c r="F985" s="28" t="str">
        <f t="shared" si="46"/>
        <v>Nov</v>
      </c>
      <c r="G985" s="17" t="s">
        <v>32</v>
      </c>
      <c r="H985" s="17" t="s">
        <v>15</v>
      </c>
      <c r="I985" s="24">
        <v>34127.526399999995</v>
      </c>
      <c r="J985" s="32">
        <v>44</v>
      </c>
      <c r="K985" s="17" t="s">
        <v>31</v>
      </c>
      <c r="L985" s="24">
        <v>69.37</v>
      </c>
      <c r="M985" s="24">
        <v>1020.56</v>
      </c>
      <c r="N985" s="34">
        <f>((sales_data_1[[#This Row],[Unit_Price]]*(1-sales_data_1[[#This Row],[Discount]]))-sales_data_1[[#This Row],[Unit_Cost]])*sales_data_1[[#This Row],[Quantity_Sold]]</f>
        <v>31075.246399999996</v>
      </c>
      <c r="O985" s="17" t="s">
        <v>27</v>
      </c>
      <c r="P985" s="26">
        <v>0.24</v>
      </c>
      <c r="Q985" s="17" t="s">
        <v>18</v>
      </c>
      <c r="R985" s="17" t="s">
        <v>21</v>
      </c>
      <c r="S985" s="49" t="str">
        <f t="shared" si="47"/>
        <v>Eve-North</v>
      </c>
      <c r="T985" s="59" t="str">
        <f>IF(ROUND(sales_data_1[[#This Row],[Profit_Margin]],2)=ROUND((sales_data_1[[#This Row],[Unit_Price]]*(1-sales_data_1[[#This Row],[Discount]]) - sales_data_1[[#This Row],[Unit_Cost]])*sales_data_1[[#This Row],[Quantity_Sold]],2), "PASS", "CHECK")</f>
        <v>PASS</v>
      </c>
    </row>
    <row r="986" spans="1:20" x14ac:dyDescent="0.35">
      <c r="A986" s="7">
        <v>985</v>
      </c>
      <c r="B986" s="9">
        <v>1083</v>
      </c>
      <c r="C986" s="7" t="str">
        <f>IFERROR(_xlfn.TEXTJOIN("-", TRUE, _xlfn.XLOOKUP(K986, product_category_id_lookup!$A$2:$A$5, product_category_id_lookup!$B$2:$B$5), B986), "Unknown Category")</f>
        <v>fnt-1083</v>
      </c>
      <c r="D986" s="8">
        <v>44881</v>
      </c>
      <c r="E986" s="7">
        <f t="shared" si="45"/>
        <v>2022</v>
      </c>
      <c r="F986" s="28" t="str">
        <f t="shared" si="46"/>
        <v>Nov</v>
      </c>
      <c r="G986" s="17" t="s">
        <v>33</v>
      </c>
      <c r="H986" s="17" t="s">
        <v>15</v>
      </c>
      <c r="I986" s="24">
        <v>121294.7824</v>
      </c>
      <c r="J986" s="32">
        <v>34</v>
      </c>
      <c r="K986" s="17" t="s">
        <v>16</v>
      </c>
      <c r="L986" s="24">
        <v>1727.04</v>
      </c>
      <c r="M986" s="24">
        <v>4053.97</v>
      </c>
      <c r="N986" s="34">
        <f>((sales_data_1[[#This Row],[Unit_Price]]*(1-sales_data_1[[#This Row],[Discount]]))-sales_data_1[[#This Row],[Unit_Cost]])*sales_data_1[[#This Row],[Quantity_Sold]]</f>
        <v>62575.422399999996</v>
      </c>
      <c r="O986" s="17" t="s">
        <v>27</v>
      </c>
      <c r="P986" s="26">
        <v>0.12</v>
      </c>
      <c r="Q986" s="17" t="s">
        <v>18</v>
      </c>
      <c r="R986" s="17" t="s">
        <v>21</v>
      </c>
      <c r="S986" s="49" t="str">
        <f t="shared" si="47"/>
        <v>Alice-North</v>
      </c>
      <c r="T986" s="59" t="str">
        <f>IF(ROUND(sales_data_1[[#This Row],[Profit_Margin]],2)=ROUND((sales_data_1[[#This Row],[Unit_Price]]*(1-sales_data_1[[#This Row],[Discount]]) - sales_data_1[[#This Row],[Unit_Cost]])*sales_data_1[[#This Row],[Quantity_Sold]],2), "PASS", "CHECK")</f>
        <v>PASS</v>
      </c>
    </row>
    <row r="987" spans="1:20" x14ac:dyDescent="0.35">
      <c r="A987" s="7">
        <v>986</v>
      </c>
      <c r="B987" s="9">
        <v>1016</v>
      </c>
      <c r="C987" s="7" t="str">
        <f>IFERROR(_xlfn.TEXTJOIN("-", TRUE, _xlfn.XLOOKUP(K987, product_category_id_lookup!$A$2:$A$5, product_category_id_lookup!$B$2:$B$5), B987), "Unknown Category")</f>
        <v>fnt-1016</v>
      </c>
      <c r="D987" s="8">
        <v>44882</v>
      </c>
      <c r="E987" s="7">
        <f t="shared" si="45"/>
        <v>2022</v>
      </c>
      <c r="F987" s="28" t="str">
        <f t="shared" si="46"/>
        <v>Nov</v>
      </c>
      <c r="G987" s="17" t="s">
        <v>32</v>
      </c>
      <c r="H987" s="17" t="s">
        <v>20</v>
      </c>
      <c r="I987" s="24">
        <v>7811.5208577798339</v>
      </c>
      <c r="J987" s="32">
        <v>2</v>
      </c>
      <c r="K987" s="17" t="s">
        <v>16</v>
      </c>
      <c r="L987" s="24">
        <v>3817.58</v>
      </c>
      <c r="M987" s="24">
        <v>3974.33</v>
      </c>
      <c r="N987" s="34">
        <f>((sales_data_1[[#This Row],[Unit_Price]]*(1-sales_data_1[[#This Row],[Discount]]))-sales_data_1[[#This Row],[Unit_Cost]])*sales_data_1[[#This Row],[Quantity_Sold]]</f>
        <v>154.52679999999964</v>
      </c>
      <c r="O987" s="17" t="s">
        <v>27</v>
      </c>
      <c r="P987" s="26">
        <v>0.02</v>
      </c>
      <c r="Q987" s="17" t="s">
        <v>18</v>
      </c>
      <c r="R987" s="17" t="s">
        <v>21</v>
      </c>
      <c r="S987" s="49" t="str">
        <f t="shared" si="47"/>
        <v>Eve-West</v>
      </c>
      <c r="T987" s="59" t="str">
        <f>IF(ROUND(sales_data_1[[#This Row],[Profit_Margin]],2)=ROUND((sales_data_1[[#This Row],[Unit_Price]]*(1-sales_data_1[[#This Row],[Discount]]) - sales_data_1[[#This Row],[Unit_Cost]])*sales_data_1[[#This Row],[Quantity_Sold]],2), "PASS", "CHECK")</f>
        <v>PASS</v>
      </c>
    </row>
    <row r="988" spans="1:20" x14ac:dyDescent="0.35">
      <c r="A988" s="7">
        <v>987</v>
      </c>
      <c r="B988" s="9">
        <v>1084</v>
      </c>
      <c r="C988" s="7" t="str">
        <f>IFERROR(_xlfn.TEXTJOIN("-", TRUE, _xlfn.XLOOKUP(K988, product_category_id_lookup!$A$2:$A$5, product_category_id_lookup!$B$2:$B$5), B988), "Unknown Category")</f>
        <v>etc-1084</v>
      </c>
      <c r="D988" s="8">
        <v>44882</v>
      </c>
      <c r="E988" s="7">
        <f t="shared" si="45"/>
        <v>2022</v>
      </c>
      <c r="F988" s="28" t="str">
        <f t="shared" si="46"/>
        <v>Nov</v>
      </c>
      <c r="G988" s="17" t="s">
        <v>22</v>
      </c>
      <c r="H988" s="17" t="s">
        <v>20</v>
      </c>
      <c r="I988" s="24">
        <v>70837.905599999998</v>
      </c>
      <c r="J988" s="32">
        <v>22</v>
      </c>
      <c r="K988" s="17" t="s">
        <v>31</v>
      </c>
      <c r="L988" s="24">
        <v>1379.2</v>
      </c>
      <c r="M988" s="24">
        <v>3833.22</v>
      </c>
      <c r="N988" s="34">
        <f>((sales_data_1[[#This Row],[Unit_Price]]*(1-sales_data_1[[#This Row],[Discount]]))-sales_data_1[[#This Row],[Unit_Cost]])*sales_data_1[[#This Row],[Quantity_Sold]]</f>
        <v>40495.505599999997</v>
      </c>
      <c r="O988" s="17" t="s">
        <v>17</v>
      </c>
      <c r="P988" s="26">
        <v>0.16</v>
      </c>
      <c r="Q988" s="17" t="s">
        <v>25</v>
      </c>
      <c r="R988" s="17" t="s">
        <v>21</v>
      </c>
      <c r="S988" s="49" t="str">
        <f t="shared" si="47"/>
        <v>David-West</v>
      </c>
      <c r="T988" s="59" t="str">
        <f>IF(ROUND(sales_data_1[[#This Row],[Profit_Margin]],2)=ROUND((sales_data_1[[#This Row],[Unit_Price]]*(1-sales_data_1[[#This Row],[Discount]]) - sales_data_1[[#This Row],[Unit_Cost]])*sales_data_1[[#This Row],[Quantity_Sold]],2), "PASS", "CHECK")</f>
        <v>PASS</v>
      </c>
    </row>
    <row r="989" spans="1:20" x14ac:dyDescent="0.35">
      <c r="A989" s="7">
        <v>988</v>
      </c>
      <c r="B989" s="9">
        <v>1022</v>
      </c>
      <c r="C989" s="7" t="str">
        <f>IFERROR(_xlfn.TEXTJOIN("-", TRUE, _xlfn.XLOOKUP(K989, product_category_id_lookup!$A$2:$A$5, product_category_id_lookup!$B$2:$B$5), B989), "Unknown Category")</f>
        <v>ctg-1022</v>
      </c>
      <c r="D989" s="8">
        <v>44883</v>
      </c>
      <c r="E989" s="7">
        <f t="shared" si="45"/>
        <v>2022</v>
      </c>
      <c r="F989" s="28" t="str">
        <f t="shared" si="46"/>
        <v>Nov</v>
      </c>
      <c r="G989" s="17" t="s">
        <v>22</v>
      </c>
      <c r="H989" s="17" t="s">
        <v>23</v>
      </c>
      <c r="I989" s="24">
        <v>56496.895199999999</v>
      </c>
      <c r="J989" s="32">
        <v>18</v>
      </c>
      <c r="K989" s="17" t="s">
        <v>26</v>
      </c>
      <c r="L989" s="24">
        <v>1736.56</v>
      </c>
      <c r="M989" s="24">
        <v>3339.06</v>
      </c>
      <c r="N989" s="34">
        <f>((sales_data_1[[#This Row],[Unit_Price]]*(1-sales_data_1[[#This Row],[Discount]]))-sales_data_1[[#This Row],[Unit_Cost]])*sales_data_1[[#This Row],[Quantity_Sold]]</f>
        <v>25238.815199999997</v>
      </c>
      <c r="O989" s="17" t="s">
        <v>27</v>
      </c>
      <c r="P989" s="26">
        <v>0.06</v>
      </c>
      <c r="Q989" s="17" t="s">
        <v>18</v>
      </c>
      <c r="R989" s="17" t="s">
        <v>21</v>
      </c>
      <c r="S989" s="49" t="str">
        <f t="shared" si="47"/>
        <v>David-South</v>
      </c>
      <c r="T989" s="59" t="str">
        <f>IF(ROUND(sales_data_1[[#This Row],[Profit_Margin]],2)=ROUND((sales_data_1[[#This Row],[Unit_Price]]*(1-sales_data_1[[#This Row],[Discount]]) - sales_data_1[[#This Row],[Unit_Cost]])*sales_data_1[[#This Row],[Quantity_Sold]],2), "PASS", "CHECK")</f>
        <v>PASS</v>
      </c>
    </row>
    <row r="990" spans="1:20" x14ac:dyDescent="0.35">
      <c r="A990" s="7">
        <v>989</v>
      </c>
      <c r="B990" s="9">
        <v>1040</v>
      </c>
      <c r="C990" s="7" t="str">
        <f>IFERROR(_xlfn.TEXTJOIN("-", TRUE, _xlfn.XLOOKUP(K990, product_category_id_lookup!$A$2:$A$5, product_category_id_lookup!$B$2:$B$5), B990), "Unknown Category")</f>
        <v>etc-1040</v>
      </c>
      <c r="D990" s="8">
        <v>44884</v>
      </c>
      <c r="E990" s="7">
        <f t="shared" si="45"/>
        <v>2022</v>
      </c>
      <c r="F990" s="28" t="str">
        <f t="shared" si="46"/>
        <v>Nov</v>
      </c>
      <c r="G990" s="17" t="s">
        <v>22</v>
      </c>
      <c r="H990" s="17" t="s">
        <v>30</v>
      </c>
      <c r="I990" s="24">
        <v>17579.018099999998</v>
      </c>
      <c r="J990" s="32">
        <v>7</v>
      </c>
      <c r="K990" s="17" t="s">
        <v>31</v>
      </c>
      <c r="L990" s="24">
        <v>789.76</v>
      </c>
      <c r="M990" s="24">
        <v>2700.31</v>
      </c>
      <c r="N990" s="34">
        <f>((sales_data_1[[#This Row],[Unit_Price]]*(1-sales_data_1[[#This Row],[Discount]]))-sales_data_1[[#This Row],[Unit_Cost]])*sales_data_1[[#This Row],[Quantity_Sold]]</f>
        <v>12050.698099999998</v>
      </c>
      <c r="O990" s="17" t="s">
        <v>27</v>
      </c>
      <c r="P990" s="26">
        <v>7.0000000000000007E-2</v>
      </c>
      <c r="Q990" s="17" t="s">
        <v>18</v>
      </c>
      <c r="R990" s="17" t="s">
        <v>21</v>
      </c>
      <c r="S990" s="49" t="str">
        <f t="shared" si="47"/>
        <v>David-East</v>
      </c>
      <c r="T990" s="59" t="str">
        <f>IF(ROUND(sales_data_1[[#This Row],[Profit_Margin]],2)=ROUND((sales_data_1[[#This Row],[Unit_Price]]*(1-sales_data_1[[#This Row],[Discount]]) - sales_data_1[[#This Row],[Unit_Cost]])*sales_data_1[[#This Row],[Quantity_Sold]],2), "PASS", "CHECK")</f>
        <v>PASS</v>
      </c>
    </row>
    <row r="991" spans="1:20" x14ac:dyDescent="0.35">
      <c r="A991" s="7">
        <v>990</v>
      </c>
      <c r="B991" s="9">
        <v>1079</v>
      </c>
      <c r="C991" s="7" t="str">
        <f>IFERROR(_xlfn.TEXTJOIN("-", TRUE, _xlfn.XLOOKUP(K991, product_category_id_lookup!$A$2:$A$5, product_category_id_lookup!$B$2:$B$5), B991), "Unknown Category")</f>
        <v>etc-1079</v>
      </c>
      <c r="D991" s="8">
        <v>44885</v>
      </c>
      <c r="E991" s="7">
        <f t="shared" si="45"/>
        <v>2022</v>
      </c>
      <c r="F991" s="28" t="str">
        <f t="shared" si="46"/>
        <v>Nov</v>
      </c>
      <c r="G991" s="17" t="s">
        <v>33</v>
      </c>
      <c r="H991" s="17" t="s">
        <v>30</v>
      </c>
      <c r="I991" s="24">
        <v>6556.1286</v>
      </c>
      <c r="J991" s="32">
        <v>7</v>
      </c>
      <c r="K991" s="17" t="s">
        <v>31</v>
      </c>
      <c r="L991" s="24">
        <v>912.94</v>
      </c>
      <c r="M991" s="24">
        <v>1076.54</v>
      </c>
      <c r="N991" s="34">
        <f>((sales_data_1[[#This Row],[Unit_Price]]*(1-sales_data_1[[#This Row],[Discount]]))-sales_data_1[[#This Row],[Unit_Cost]])*sales_data_1[[#This Row],[Quantity_Sold]]</f>
        <v>165.5485999999994</v>
      </c>
      <c r="O991" s="17" t="s">
        <v>27</v>
      </c>
      <c r="P991" s="26">
        <v>0.13</v>
      </c>
      <c r="Q991" s="17" t="s">
        <v>28</v>
      </c>
      <c r="R991" s="17" t="s">
        <v>19</v>
      </c>
      <c r="S991" s="49" t="str">
        <f t="shared" si="47"/>
        <v>Alice-East</v>
      </c>
      <c r="T991" s="59" t="str">
        <f>IF(ROUND(sales_data_1[[#This Row],[Profit_Margin]],2)=ROUND((sales_data_1[[#This Row],[Unit_Price]]*(1-sales_data_1[[#This Row],[Discount]]) - sales_data_1[[#This Row],[Unit_Cost]])*sales_data_1[[#This Row],[Quantity_Sold]],2), "PASS", "CHECK")</f>
        <v>PASS</v>
      </c>
    </row>
    <row r="992" spans="1:20" x14ac:dyDescent="0.35">
      <c r="A992" s="7">
        <v>991</v>
      </c>
      <c r="B992" s="9">
        <v>1036</v>
      </c>
      <c r="C992" s="7" t="str">
        <f>IFERROR(_xlfn.TEXTJOIN("-", TRUE, _xlfn.XLOOKUP(K992, product_category_id_lookup!$A$2:$A$5, product_category_id_lookup!$B$2:$B$5), B992), "Unknown Category")</f>
        <v>etc-1036</v>
      </c>
      <c r="D992" s="8">
        <v>44885</v>
      </c>
      <c r="E992" s="7">
        <f t="shared" si="45"/>
        <v>2022</v>
      </c>
      <c r="F992" s="28" t="str">
        <f t="shared" si="46"/>
        <v>Nov</v>
      </c>
      <c r="G992" s="17" t="s">
        <v>33</v>
      </c>
      <c r="H992" s="17" t="s">
        <v>23</v>
      </c>
      <c r="I992" s="24">
        <v>12058.02</v>
      </c>
      <c r="J992" s="32">
        <v>4</v>
      </c>
      <c r="K992" s="17" t="s">
        <v>31</v>
      </c>
      <c r="L992" s="24">
        <v>1752.41</v>
      </c>
      <c r="M992" s="24">
        <v>4019.34</v>
      </c>
      <c r="N992" s="34">
        <f>((sales_data_1[[#This Row],[Unit_Price]]*(1-sales_data_1[[#This Row],[Discount]]))-sales_data_1[[#This Row],[Unit_Cost]])*sales_data_1[[#This Row],[Quantity_Sold]]</f>
        <v>5048.38</v>
      </c>
      <c r="O992" s="17" t="s">
        <v>17</v>
      </c>
      <c r="P992" s="26">
        <v>0.25</v>
      </c>
      <c r="Q992" s="17" t="s">
        <v>25</v>
      </c>
      <c r="R992" s="17" t="s">
        <v>19</v>
      </c>
      <c r="S992" s="49" t="str">
        <f t="shared" si="47"/>
        <v>Alice-South</v>
      </c>
      <c r="T992" s="59" t="str">
        <f>IF(ROUND(sales_data_1[[#This Row],[Profit_Margin]],2)=ROUND((sales_data_1[[#This Row],[Unit_Price]]*(1-sales_data_1[[#This Row],[Discount]]) - sales_data_1[[#This Row],[Unit_Cost]])*sales_data_1[[#This Row],[Quantity_Sold]],2), "PASS", "CHECK")</f>
        <v>PASS</v>
      </c>
    </row>
    <row r="993" spans="1:20" x14ac:dyDescent="0.35">
      <c r="A993" s="7">
        <v>992</v>
      </c>
      <c r="B993" s="9">
        <v>1089</v>
      </c>
      <c r="C993" s="7" t="str">
        <f>IFERROR(_xlfn.TEXTJOIN("-", TRUE, _xlfn.XLOOKUP(K993, product_category_id_lookup!$A$2:$A$5, product_category_id_lookup!$B$2:$B$5), B993), "Unknown Category")</f>
        <v>fnt-1089</v>
      </c>
      <c r="D993" s="8">
        <v>44885</v>
      </c>
      <c r="E993" s="7">
        <f t="shared" si="45"/>
        <v>2022</v>
      </c>
      <c r="F993" s="28" t="str">
        <f t="shared" si="46"/>
        <v>Nov</v>
      </c>
      <c r="G993" s="17" t="s">
        <v>14</v>
      </c>
      <c r="H993" s="17" t="s">
        <v>15</v>
      </c>
      <c r="I993" s="24">
        <v>172564.41620000001</v>
      </c>
      <c r="J993" s="32">
        <v>41</v>
      </c>
      <c r="K993" s="17" t="s">
        <v>16</v>
      </c>
      <c r="L993" s="24">
        <v>3199.01</v>
      </c>
      <c r="M993" s="24">
        <v>4339.0600000000004</v>
      </c>
      <c r="N993" s="34">
        <f>((sales_data_1[[#This Row],[Unit_Price]]*(1-sales_data_1[[#This Row],[Discount]]))-sales_data_1[[#This Row],[Unit_Cost]])*sales_data_1[[#This Row],[Quantity_Sold]]</f>
        <v>41405.006200000003</v>
      </c>
      <c r="O993" s="17" t="s">
        <v>27</v>
      </c>
      <c r="P993" s="26">
        <v>0.03</v>
      </c>
      <c r="Q993" s="17" t="s">
        <v>18</v>
      </c>
      <c r="R993" s="17" t="s">
        <v>19</v>
      </c>
      <c r="S993" s="49" t="str">
        <f t="shared" si="47"/>
        <v>Bob-North</v>
      </c>
      <c r="T993" s="59" t="str">
        <f>IF(ROUND(sales_data_1[[#This Row],[Profit_Margin]],2)=ROUND((sales_data_1[[#This Row],[Unit_Price]]*(1-sales_data_1[[#This Row],[Discount]]) - sales_data_1[[#This Row],[Unit_Cost]])*sales_data_1[[#This Row],[Quantity_Sold]],2), "PASS", "CHECK")</f>
        <v>PASS</v>
      </c>
    </row>
    <row r="994" spans="1:20" x14ac:dyDescent="0.35">
      <c r="A994" s="7">
        <v>993</v>
      </c>
      <c r="B994" s="9">
        <v>1062</v>
      </c>
      <c r="C994" s="7" t="str">
        <f>IFERROR(_xlfn.TEXTJOIN("-", TRUE, _xlfn.XLOOKUP(K994, product_category_id_lookup!$A$2:$A$5, product_category_id_lookup!$B$2:$B$5), B994), "Unknown Category")</f>
        <v>fd-1062</v>
      </c>
      <c r="D994" s="8">
        <v>44886</v>
      </c>
      <c r="E994" s="7">
        <f t="shared" si="45"/>
        <v>2022</v>
      </c>
      <c r="F994" s="28" t="str">
        <f t="shared" si="46"/>
        <v>Nov</v>
      </c>
      <c r="G994" s="17" t="s">
        <v>33</v>
      </c>
      <c r="H994" s="17" t="s">
        <v>15</v>
      </c>
      <c r="I994" s="24">
        <v>86573.894400000005</v>
      </c>
      <c r="J994" s="32">
        <v>48</v>
      </c>
      <c r="K994" s="17" t="s">
        <v>24</v>
      </c>
      <c r="L994" s="24">
        <v>1615.83</v>
      </c>
      <c r="M994" s="24">
        <v>2147.17</v>
      </c>
      <c r="N994" s="34">
        <f>((sales_data_1[[#This Row],[Unit_Price]]*(1-sales_data_1[[#This Row],[Discount]]))-sales_data_1[[#This Row],[Unit_Cost]])*sales_data_1[[#This Row],[Quantity_Sold]]</f>
        <v>9014.0544000000082</v>
      </c>
      <c r="O994" s="17" t="s">
        <v>17</v>
      </c>
      <c r="P994" s="26">
        <v>0.16</v>
      </c>
      <c r="Q994" s="17" t="s">
        <v>18</v>
      </c>
      <c r="R994" s="17" t="s">
        <v>19</v>
      </c>
      <c r="S994" s="49" t="str">
        <f t="shared" si="47"/>
        <v>Alice-North</v>
      </c>
      <c r="T994" s="59" t="str">
        <f>IF(ROUND(sales_data_1[[#This Row],[Profit_Margin]],2)=ROUND((sales_data_1[[#This Row],[Unit_Price]]*(1-sales_data_1[[#This Row],[Discount]]) - sales_data_1[[#This Row],[Unit_Cost]])*sales_data_1[[#This Row],[Quantity_Sold]],2), "PASS", "CHECK")</f>
        <v>PASS</v>
      </c>
    </row>
    <row r="995" spans="1:20" x14ac:dyDescent="0.35">
      <c r="A995" s="7">
        <v>994</v>
      </c>
      <c r="B995" s="9">
        <v>1036</v>
      </c>
      <c r="C995" s="7" t="str">
        <f>IFERROR(_xlfn.TEXTJOIN("-", TRUE, _xlfn.XLOOKUP(K995, product_category_id_lookup!$A$2:$A$5, product_category_id_lookup!$B$2:$B$5), B995), "Unknown Category")</f>
        <v>etc-1036</v>
      </c>
      <c r="D995" s="8">
        <v>44886</v>
      </c>
      <c r="E995" s="7">
        <f t="shared" si="45"/>
        <v>2022</v>
      </c>
      <c r="F995" s="28" t="str">
        <f t="shared" si="46"/>
        <v>Nov</v>
      </c>
      <c r="G995" s="17" t="s">
        <v>32</v>
      </c>
      <c r="H995" s="17" t="s">
        <v>23</v>
      </c>
      <c r="I995" s="24">
        <v>92207.203999999998</v>
      </c>
      <c r="J995" s="32">
        <v>20</v>
      </c>
      <c r="K995" s="17" t="s">
        <v>31</v>
      </c>
      <c r="L995" s="24">
        <v>3858.46</v>
      </c>
      <c r="M995" s="24">
        <v>5180.18</v>
      </c>
      <c r="N995" s="34">
        <f>((sales_data_1[[#This Row],[Unit_Price]]*(1-sales_data_1[[#This Row],[Discount]]))-sales_data_1[[#This Row],[Unit_Cost]])*sales_data_1[[#This Row],[Quantity_Sold]]</f>
        <v>15038.004000000001</v>
      </c>
      <c r="O995" s="17" t="s">
        <v>17</v>
      </c>
      <c r="P995" s="26">
        <v>0.11</v>
      </c>
      <c r="Q995" s="17" t="s">
        <v>18</v>
      </c>
      <c r="R995" s="17" t="s">
        <v>21</v>
      </c>
      <c r="S995" s="49" t="str">
        <f t="shared" si="47"/>
        <v>Eve-South</v>
      </c>
      <c r="T995" s="59" t="str">
        <f>IF(ROUND(sales_data_1[[#This Row],[Profit_Margin]],2)=ROUND((sales_data_1[[#This Row],[Unit_Price]]*(1-sales_data_1[[#This Row],[Discount]]) - sales_data_1[[#This Row],[Unit_Cost]])*sales_data_1[[#This Row],[Quantity_Sold]],2), "PASS", "CHECK")</f>
        <v>PASS</v>
      </c>
    </row>
    <row r="996" spans="1:20" x14ac:dyDescent="0.35">
      <c r="A996" s="7">
        <v>995</v>
      </c>
      <c r="B996" s="9">
        <v>1006</v>
      </c>
      <c r="C996" s="7" t="str">
        <f>IFERROR(_xlfn.TEXTJOIN("-", TRUE, _xlfn.XLOOKUP(K996, product_category_id_lookup!$A$2:$A$5, product_category_id_lookup!$B$2:$B$5), B996), "Unknown Category")</f>
        <v>fnt-1006</v>
      </c>
      <c r="D996" s="8">
        <v>44886</v>
      </c>
      <c r="E996" s="7">
        <f t="shared" si="45"/>
        <v>2022</v>
      </c>
      <c r="F996" s="28" t="str">
        <f t="shared" si="46"/>
        <v>Nov</v>
      </c>
      <c r="G996" s="17" t="s">
        <v>22</v>
      </c>
      <c r="H996" s="17" t="s">
        <v>15</v>
      </c>
      <c r="I996" s="24">
        <v>178064.88279999999</v>
      </c>
      <c r="J996" s="32">
        <v>49</v>
      </c>
      <c r="K996" s="17" t="s">
        <v>16</v>
      </c>
      <c r="L996" s="24">
        <v>1030.67</v>
      </c>
      <c r="M996" s="24">
        <v>3708.14</v>
      </c>
      <c r="N996" s="34">
        <f>((sales_data_1[[#This Row],[Unit_Price]]*(1-sales_data_1[[#This Row],[Discount]]))-sales_data_1[[#This Row],[Unit_Cost]])*sales_data_1[[#This Row],[Quantity_Sold]]</f>
        <v>127562.05279999999</v>
      </c>
      <c r="O996" s="17" t="s">
        <v>17</v>
      </c>
      <c r="P996" s="26">
        <v>0.02</v>
      </c>
      <c r="Q996" s="17" t="s">
        <v>28</v>
      </c>
      <c r="R996" s="17" t="s">
        <v>19</v>
      </c>
      <c r="S996" s="49" t="str">
        <f t="shared" si="47"/>
        <v>David-North</v>
      </c>
      <c r="T996" s="59" t="str">
        <f>IF(ROUND(sales_data_1[[#This Row],[Profit_Margin]],2)=ROUND((sales_data_1[[#This Row],[Unit_Price]]*(1-sales_data_1[[#This Row],[Discount]]) - sales_data_1[[#This Row],[Unit_Cost]])*sales_data_1[[#This Row],[Quantity_Sold]],2), "PASS", "CHECK")</f>
        <v>PASS</v>
      </c>
    </row>
    <row r="997" spans="1:20" x14ac:dyDescent="0.35">
      <c r="A997" s="7">
        <v>996</v>
      </c>
      <c r="B997" s="9">
        <v>1007</v>
      </c>
      <c r="C997" s="7" t="str">
        <f>IFERROR(_xlfn.TEXTJOIN("-", TRUE, _xlfn.XLOOKUP(K997, product_category_id_lookup!$A$2:$A$5, product_category_id_lookup!$B$2:$B$5), B997), "Unknown Category")</f>
        <v>fnt-1007</v>
      </c>
      <c r="D997" s="8">
        <v>44887</v>
      </c>
      <c r="E997" s="7">
        <f t="shared" si="45"/>
        <v>2022</v>
      </c>
      <c r="F997" s="28" t="str">
        <f t="shared" si="46"/>
        <v>Nov</v>
      </c>
      <c r="G997" s="17" t="s">
        <v>14</v>
      </c>
      <c r="H997" s="17" t="s">
        <v>23</v>
      </c>
      <c r="I997" s="24">
        <v>16771.645799999998</v>
      </c>
      <c r="J997" s="32">
        <v>9</v>
      </c>
      <c r="K997" s="17" t="s">
        <v>16</v>
      </c>
      <c r="L997" s="24">
        <v>1785</v>
      </c>
      <c r="M997" s="24">
        <v>2047.82</v>
      </c>
      <c r="N997" s="34">
        <f>((sales_data_1[[#This Row],[Unit_Price]]*(1-sales_data_1[[#This Row],[Discount]]))-sales_data_1[[#This Row],[Unit_Cost]])*sales_data_1[[#This Row],[Quantity_Sold]]</f>
        <v>706.64580000000024</v>
      </c>
      <c r="O997" s="17" t="s">
        <v>27</v>
      </c>
      <c r="P997" s="26">
        <v>0.09</v>
      </c>
      <c r="Q997" s="17" t="s">
        <v>18</v>
      </c>
      <c r="R997" s="17" t="s">
        <v>19</v>
      </c>
      <c r="S997" s="49" t="str">
        <f t="shared" si="47"/>
        <v>Bob-South</v>
      </c>
      <c r="T997" s="59" t="str">
        <f>IF(ROUND(sales_data_1[[#This Row],[Profit_Margin]],2)=ROUND((sales_data_1[[#This Row],[Unit_Price]]*(1-sales_data_1[[#This Row],[Discount]]) - sales_data_1[[#This Row],[Unit_Cost]])*sales_data_1[[#This Row],[Quantity_Sold]],2), "PASS", "CHECK")</f>
        <v>PASS</v>
      </c>
    </row>
    <row r="998" spans="1:20" x14ac:dyDescent="0.35">
      <c r="A998" s="7">
        <v>997</v>
      </c>
      <c r="B998" s="9">
        <v>1044</v>
      </c>
      <c r="C998" s="7" t="str">
        <f>IFERROR(_xlfn.TEXTJOIN("-", TRUE, _xlfn.XLOOKUP(K998, product_category_id_lookup!$A$2:$A$5, product_category_id_lookup!$B$2:$B$5), B998), "Unknown Category")</f>
        <v>etc-1044</v>
      </c>
      <c r="D998" s="8">
        <v>44887</v>
      </c>
      <c r="E998" s="7">
        <f t="shared" si="45"/>
        <v>2022</v>
      </c>
      <c r="F998" s="28" t="str">
        <f t="shared" si="46"/>
        <v>Nov</v>
      </c>
      <c r="G998" s="17" t="s">
        <v>29</v>
      </c>
      <c r="H998" s="17" t="s">
        <v>20</v>
      </c>
      <c r="I998" s="24">
        <v>18333.743999999999</v>
      </c>
      <c r="J998" s="32">
        <v>5</v>
      </c>
      <c r="K998" s="17" t="s">
        <v>31</v>
      </c>
      <c r="L998" s="24">
        <v>2798.53</v>
      </c>
      <c r="M998" s="24">
        <v>3819.53</v>
      </c>
      <c r="N998" s="34">
        <f>((sales_data_1[[#This Row],[Unit_Price]]*(1-sales_data_1[[#This Row],[Discount]]))-sales_data_1[[#This Row],[Unit_Cost]])*sales_data_1[[#This Row],[Quantity_Sold]]</f>
        <v>4341.0939999999982</v>
      </c>
      <c r="O998" s="17" t="s">
        <v>17</v>
      </c>
      <c r="P998" s="26">
        <v>0.04</v>
      </c>
      <c r="Q998" s="17" t="s">
        <v>25</v>
      </c>
      <c r="R998" s="17" t="s">
        <v>21</v>
      </c>
      <c r="S998" s="49" t="str">
        <f t="shared" si="47"/>
        <v>Charlie-West</v>
      </c>
      <c r="T998" s="59" t="str">
        <f>IF(ROUND(sales_data_1[[#This Row],[Profit_Margin]],2)=ROUND((sales_data_1[[#This Row],[Unit_Price]]*(1-sales_data_1[[#This Row],[Discount]]) - sales_data_1[[#This Row],[Unit_Cost]])*sales_data_1[[#This Row],[Quantity_Sold]],2), "PASS", "CHECK")</f>
        <v>PASS</v>
      </c>
    </row>
    <row r="999" spans="1:20" x14ac:dyDescent="0.35">
      <c r="A999" s="7">
        <v>998</v>
      </c>
      <c r="B999" s="9">
        <v>1062</v>
      </c>
      <c r="C999" s="7" t="str">
        <f>IFERROR(_xlfn.TEXTJOIN("-", TRUE, _xlfn.XLOOKUP(K999, product_category_id_lookup!$A$2:$A$5, product_category_id_lookup!$B$2:$B$5), B999), "Unknown Category")</f>
        <v>etc-1062</v>
      </c>
      <c r="D999" s="8">
        <v>44887</v>
      </c>
      <c r="E999" s="7">
        <f t="shared" si="45"/>
        <v>2022</v>
      </c>
      <c r="F999" s="28" t="str">
        <f t="shared" si="46"/>
        <v>Nov</v>
      </c>
      <c r="G999" s="17" t="s">
        <v>14</v>
      </c>
      <c r="H999" s="17" t="s">
        <v>20</v>
      </c>
      <c r="I999" s="24">
        <v>128683.31000000001</v>
      </c>
      <c r="J999" s="32">
        <v>50</v>
      </c>
      <c r="K999" s="17" t="s">
        <v>31</v>
      </c>
      <c r="L999" s="24">
        <v>2401.17</v>
      </c>
      <c r="M999" s="24">
        <v>2626.19</v>
      </c>
      <c r="N999" s="34">
        <f>((sales_data_1[[#This Row],[Unit_Price]]*(1-sales_data_1[[#This Row],[Discount]]))-sales_data_1[[#This Row],[Unit_Cost]])*sales_data_1[[#This Row],[Quantity_Sold]]</f>
        <v>8624.8100000000013</v>
      </c>
      <c r="O999" s="17" t="s">
        <v>27</v>
      </c>
      <c r="P999" s="26">
        <v>0.02</v>
      </c>
      <c r="Q999" s="17" t="s">
        <v>25</v>
      </c>
      <c r="R999" s="17" t="s">
        <v>19</v>
      </c>
      <c r="S999" s="49" t="str">
        <f t="shared" si="47"/>
        <v>Bob-West</v>
      </c>
      <c r="T999" s="59" t="str">
        <f>IF(ROUND(sales_data_1[[#This Row],[Profit_Margin]],2)=ROUND((sales_data_1[[#This Row],[Unit_Price]]*(1-sales_data_1[[#This Row],[Discount]]) - sales_data_1[[#This Row],[Unit_Cost]])*sales_data_1[[#This Row],[Quantity_Sold]],2), "PASS", "CHECK")</f>
        <v>PASS</v>
      </c>
    </row>
    <row r="1000" spans="1:20" x14ac:dyDescent="0.35">
      <c r="A1000" s="7">
        <v>999</v>
      </c>
      <c r="B1000" s="9">
        <v>1070</v>
      </c>
      <c r="C1000" s="7" t="str">
        <f>IFERROR(_xlfn.TEXTJOIN("-", TRUE, _xlfn.XLOOKUP(K1000, product_category_id_lookup!$A$2:$A$5, product_category_id_lookup!$B$2:$B$5), B1000), "Unknown Category")</f>
        <v>fd-1070</v>
      </c>
      <c r="D1000" s="8">
        <v>44888</v>
      </c>
      <c r="E1000" s="7">
        <f t="shared" si="45"/>
        <v>2022</v>
      </c>
      <c r="F1000" s="28" t="str">
        <f t="shared" si="46"/>
        <v>Nov</v>
      </c>
      <c r="G1000" s="17" t="s">
        <v>22</v>
      </c>
      <c r="H1000" s="17" t="s">
        <v>15</v>
      </c>
      <c r="I1000" s="24">
        <v>17831.3508</v>
      </c>
      <c r="J1000" s="32">
        <v>27</v>
      </c>
      <c r="K1000" s="17" t="s">
        <v>24</v>
      </c>
      <c r="L1000" s="24">
        <v>450.17</v>
      </c>
      <c r="M1000" s="24">
        <v>892.46</v>
      </c>
      <c r="N1000" s="34">
        <f>((sales_data_1[[#This Row],[Unit_Price]]*(1-sales_data_1[[#This Row],[Discount]]))-sales_data_1[[#This Row],[Unit_Cost]])*sales_data_1[[#This Row],[Quantity_Sold]]</f>
        <v>5676.7607999999991</v>
      </c>
      <c r="O1000" s="17" t="s">
        <v>27</v>
      </c>
      <c r="P1000" s="26">
        <v>0.26</v>
      </c>
      <c r="Q1000" s="17" t="s">
        <v>28</v>
      </c>
      <c r="R1000" s="17" t="s">
        <v>19</v>
      </c>
      <c r="S1000" s="49" t="str">
        <f t="shared" si="47"/>
        <v>David-North</v>
      </c>
      <c r="T1000" s="59" t="str">
        <f>IF(ROUND(sales_data_1[[#This Row],[Profit_Margin]],2)=ROUND((sales_data_1[[#This Row],[Unit_Price]]*(1-sales_data_1[[#This Row],[Discount]]) - sales_data_1[[#This Row],[Unit_Cost]])*sales_data_1[[#This Row],[Quantity_Sold]],2), "PASS", "CHECK")</f>
        <v>PASS</v>
      </c>
    </row>
    <row r="1001" spans="1:20" x14ac:dyDescent="0.35">
      <c r="A1001" s="7">
        <v>1000</v>
      </c>
      <c r="B1001" s="13">
        <v>1029</v>
      </c>
      <c r="C1001" s="14" t="str">
        <f>IFERROR(_xlfn.TEXTJOIN("-", TRUE, _xlfn.XLOOKUP(K1001, product_category_id_lookup!$A$2:$A$5, product_category_id_lookup!$B$2:$B$5), B1001), "Unknown Category")</f>
        <v>fd-1029</v>
      </c>
      <c r="D1001" s="18">
        <v>44888</v>
      </c>
      <c r="E1001" s="14">
        <f t="shared" si="45"/>
        <v>2022</v>
      </c>
      <c r="F1001" s="29" t="str">
        <f t="shared" si="46"/>
        <v>Nov</v>
      </c>
      <c r="G1001" s="22" t="s">
        <v>22</v>
      </c>
      <c r="H1001" s="22" t="s">
        <v>30</v>
      </c>
      <c r="I1001" s="31">
        <v>109842.44916080838</v>
      </c>
      <c r="J1001" s="33">
        <v>22</v>
      </c>
      <c r="K1001" s="22" t="s">
        <v>24</v>
      </c>
      <c r="L1001" s="31">
        <v>4664.68</v>
      </c>
      <c r="M1001" s="31">
        <v>5166.32</v>
      </c>
      <c r="N1001" s="35">
        <f>((sales_data_1[[#This Row],[Unit_Price]]*(1-sales_data_1[[#This Row],[Discount]]))-sales_data_1[[#This Row],[Unit_Cost]])*sales_data_1[[#This Row],[Quantity_Sold]]</f>
        <v>7626.3087999999898</v>
      </c>
      <c r="O1001" s="22" t="s">
        <v>27</v>
      </c>
      <c r="P1001" s="27">
        <v>0.03</v>
      </c>
      <c r="Q1001" s="22" t="s">
        <v>18</v>
      </c>
      <c r="R1001" s="22" t="s">
        <v>19</v>
      </c>
      <c r="S1001" s="50" t="str">
        <f t="shared" si="47"/>
        <v>David-East</v>
      </c>
      <c r="T1001" s="59" t="str">
        <f>IF(ROUND(sales_data_1[[#This Row],[Profit_Margin]],2)=ROUND((sales_data_1[[#This Row],[Unit_Price]]*(1-sales_data_1[[#This Row],[Discount]]) - sales_data_1[[#This Row],[Unit_Cost]])*sales_data_1[[#This Row],[Quantity_Sold]],2), "PASS", "CHECK")</f>
        <v>PASS</v>
      </c>
    </row>
    <row r="1002" spans="1:20" x14ac:dyDescent="0.35">
      <c r="A1002" s="7">
        <v>1001</v>
      </c>
      <c r="B1002" s="9">
        <v>1013</v>
      </c>
      <c r="C1002" s="14" t="str">
        <f>IFERROR(_xlfn.TEXTJOIN("-", TRUE, _xlfn.XLOOKUP(K1002, product_category_id_lookup!$A$2:$A$5, product_category_id_lookup!$B$2:$B$5), B1002), "Unknown Category")</f>
        <v>ctg-1013</v>
      </c>
      <c r="D1002" s="8">
        <v>44888</v>
      </c>
      <c r="E1002" s="14">
        <f t="shared" si="45"/>
        <v>2022</v>
      </c>
      <c r="F1002" s="29" t="str">
        <f t="shared" si="46"/>
        <v>Nov</v>
      </c>
      <c r="G1002" s="17" t="s">
        <v>33</v>
      </c>
      <c r="H1002" s="17" t="s">
        <v>20</v>
      </c>
      <c r="I1002" s="24">
        <v>13115.8344</v>
      </c>
      <c r="J1002" s="32">
        <v>6</v>
      </c>
      <c r="K1002" s="17" t="s">
        <v>26</v>
      </c>
      <c r="L1002" s="24">
        <v>664.86</v>
      </c>
      <c r="M1002" s="24">
        <v>2665.82</v>
      </c>
      <c r="N1002" s="34">
        <f>((sales_data_1[[#This Row],[Unit_Price]]*(1-sales_data_1[[#This Row],[Discount]]))-sales_data_1[[#This Row],[Unit_Cost]])*sales_data_1[[#This Row],[Quantity_Sold]]</f>
        <v>9126.6743999999999</v>
      </c>
      <c r="O1002" s="17" t="s">
        <v>17</v>
      </c>
      <c r="P1002" s="26">
        <v>0.18</v>
      </c>
      <c r="Q1002" s="17" t="s">
        <v>25</v>
      </c>
      <c r="R1002" s="17" t="s">
        <v>19</v>
      </c>
      <c r="S1002" s="50" t="str">
        <f t="shared" si="47"/>
        <v>Alice-West</v>
      </c>
      <c r="T1002" s="59" t="str">
        <f>IF(ROUND(sales_data_1[[#This Row],[Profit_Margin]],2)=ROUND((sales_data_1[[#This Row],[Unit_Price]]*(1-sales_data_1[[#This Row],[Discount]]) - sales_data_1[[#This Row],[Unit_Cost]])*sales_data_1[[#This Row],[Quantity_Sold]],2), "PASS", "CHECK")</f>
        <v>PASS</v>
      </c>
    </row>
    <row r="1003" spans="1:20" x14ac:dyDescent="0.35">
      <c r="A1003" s="7">
        <v>1002</v>
      </c>
      <c r="B1003" s="9">
        <v>1090</v>
      </c>
      <c r="C1003" s="14" t="str">
        <f>IFERROR(_xlfn.TEXTJOIN("-", TRUE, _xlfn.XLOOKUP(K1003, product_category_id_lookup!$A$2:$A$5, product_category_id_lookup!$B$2:$B$5), B1003), "Unknown Category")</f>
        <v>etc-1090</v>
      </c>
      <c r="D1003" s="8">
        <v>44888</v>
      </c>
      <c r="E1003" s="14">
        <f t="shared" si="45"/>
        <v>2022</v>
      </c>
      <c r="F1003" s="29" t="str">
        <f t="shared" si="46"/>
        <v>Nov</v>
      </c>
      <c r="G1003" s="17" t="s">
        <v>33</v>
      </c>
      <c r="H1003" s="17" t="s">
        <v>30</v>
      </c>
      <c r="I1003" s="24">
        <v>13876.6716</v>
      </c>
      <c r="J1003" s="32">
        <v>4</v>
      </c>
      <c r="K1003" s="17" t="s">
        <v>31</v>
      </c>
      <c r="L1003" s="24">
        <v>140.78</v>
      </c>
      <c r="M1003" s="24">
        <v>3504.21</v>
      </c>
      <c r="N1003" s="34">
        <f>((sales_data_1[[#This Row],[Unit_Price]]*(1-sales_data_1[[#This Row],[Discount]]))-sales_data_1[[#This Row],[Unit_Cost]])*sales_data_1[[#This Row],[Quantity_Sold]]</f>
        <v>13313.551599999999</v>
      </c>
      <c r="O1003" s="17" t="s">
        <v>27</v>
      </c>
      <c r="P1003" s="26">
        <v>0.01</v>
      </c>
      <c r="Q1003" s="17" t="s">
        <v>28</v>
      </c>
      <c r="R1003" s="17" t="s">
        <v>19</v>
      </c>
      <c r="S1003" s="50" t="str">
        <f t="shared" si="47"/>
        <v>Alice-East</v>
      </c>
      <c r="T1003" s="59" t="str">
        <f>IF(ROUND(sales_data_1[[#This Row],[Profit_Margin]],2)=ROUND((sales_data_1[[#This Row],[Unit_Price]]*(1-sales_data_1[[#This Row],[Discount]]) - sales_data_1[[#This Row],[Unit_Cost]])*sales_data_1[[#This Row],[Quantity_Sold]],2), "PASS", "CHECK")</f>
        <v>PASS</v>
      </c>
    </row>
    <row r="1004" spans="1:20" x14ac:dyDescent="0.35">
      <c r="A1004" s="7">
        <v>1003</v>
      </c>
      <c r="B1004" s="9">
        <v>1062</v>
      </c>
      <c r="C1004" s="14" t="str">
        <f>IFERROR(_xlfn.TEXTJOIN("-", TRUE, _xlfn.XLOOKUP(K1004, product_category_id_lookup!$A$2:$A$5, product_category_id_lookup!$B$2:$B$5), B1004), "Unknown Category")</f>
        <v>fd-1062</v>
      </c>
      <c r="D1004" s="8">
        <v>44888</v>
      </c>
      <c r="E1004" s="14">
        <f t="shared" si="45"/>
        <v>2022</v>
      </c>
      <c r="F1004" s="29" t="str">
        <f t="shared" si="46"/>
        <v>Nov</v>
      </c>
      <c r="G1004" s="17" t="s">
        <v>14</v>
      </c>
      <c r="H1004" s="17" t="s">
        <v>23</v>
      </c>
      <c r="I1004" s="24">
        <v>123862.21379999998</v>
      </c>
      <c r="J1004" s="32">
        <v>39</v>
      </c>
      <c r="K1004" s="17" t="s">
        <v>24</v>
      </c>
      <c r="L1004" s="24">
        <v>2110.85</v>
      </c>
      <c r="M1004" s="24">
        <v>3692.97</v>
      </c>
      <c r="N1004" s="34">
        <f>((sales_data_1[[#This Row],[Unit_Price]]*(1-sales_data_1[[#This Row],[Discount]]))-sales_data_1[[#This Row],[Unit_Cost]])*sales_data_1[[#This Row],[Quantity_Sold]]</f>
        <v>41539.063799999989</v>
      </c>
      <c r="O1004" s="17" t="s">
        <v>27</v>
      </c>
      <c r="P1004" s="26">
        <v>0.14000000000000001</v>
      </c>
      <c r="Q1004" s="17" t="s">
        <v>28</v>
      </c>
      <c r="R1004" s="17" t="s">
        <v>19</v>
      </c>
      <c r="S1004" s="50" t="str">
        <f t="shared" si="47"/>
        <v>Bob-South</v>
      </c>
      <c r="T1004" s="59" t="str">
        <f>IF(ROUND(sales_data_1[[#This Row],[Profit_Margin]],2)=ROUND((sales_data_1[[#This Row],[Unit_Price]]*(1-sales_data_1[[#This Row],[Discount]]) - sales_data_1[[#This Row],[Unit_Cost]])*sales_data_1[[#This Row],[Quantity_Sold]],2), "PASS", "CHECK")</f>
        <v>PASS</v>
      </c>
    </row>
    <row r="1005" spans="1:20" x14ac:dyDescent="0.35">
      <c r="A1005" s="7">
        <v>1004</v>
      </c>
      <c r="B1005" s="9">
        <v>1097</v>
      </c>
      <c r="C1005" s="14" t="str">
        <f>IFERROR(_xlfn.TEXTJOIN("-", TRUE, _xlfn.XLOOKUP(K1005, product_category_id_lookup!$A$2:$A$5, product_category_id_lookup!$B$2:$B$5), B1005), "Unknown Category")</f>
        <v>ctg-1097</v>
      </c>
      <c r="D1005" s="8">
        <v>44888</v>
      </c>
      <c r="E1005" s="14">
        <f t="shared" si="45"/>
        <v>2022</v>
      </c>
      <c r="F1005" s="29" t="str">
        <f t="shared" si="46"/>
        <v>Nov</v>
      </c>
      <c r="G1005" s="17" t="s">
        <v>22</v>
      </c>
      <c r="H1005" s="17" t="s">
        <v>23</v>
      </c>
      <c r="I1005" s="24">
        <v>103530.63979999999</v>
      </c>
      <c r="J1005" s="32">
        <v>37</v>
      </c>
      <c r="K1005" s="17" t="s">
        <v>26</v>
      </c>
      <c r="L1005" s="24">
        <v>1025.5999999999999</v>
      </c>
      <c r="M1005" s="24">
        <v>2855.23</v>
      </c>
      <c r="N1005" s="34">
        <f>((sales_data_1[[#This Row],[Unit_Price]]*(1-sales_data_1[[#This Row],[Discount]]))-sales_data_1[[#This Row],[Unit_Cost]])*sales_data_1[[#This Row],[Quantity_Sold]]</f>
        <v>65583.439799999993</v>
      </c>
      <c r="O1005" s="17" t="s">
        <v>27</v>
      </c>
      <c r="P1005" s="26">
        <v>0.02</v>
      </c>
      <c r="Q1005" s="17" t="s">
        <v>25</v>
      </c>
      <c r="R1005" s="17" t="s">
        <v>19</v>
      </c>
      <c r="S1005" s="50" t="str">
        <f t="shared" si="47"/>
        <v>David-South</v>
      </c>
      <c r="T1005" s="59" t="str">
        <f>IF(ROUND(sales_data_1[[#This Row],[Profit_Margin]],2)=ROUND((sales_data_1[[#This Row],[Unit_Price]]*(1-sales_data_1[[#This Row],[Discount]]) - sales_data_1[[#This Row],[Unit_Cost]])*sales_data_1[[#This Row],[Quantity_Sold]],2), "PASS", "CHECK")</f>
        <v>PASS</v>
      </c>
    </row>
    <row r="1006" spans="1:20" x14ac:dyDescent="0.35">
      <c r="A1006" s="7">
        <v>1005</v>
      </c>
      <c r="B1006" s="9">
        <v>1031</v>
      </c>
      <c r="C1006" s="14" t="str">
        <f>IFERROR(_xlfn.TEXTJOIN("-", TRUE, _xlfn.XLOOKUP(K1006, product_category_id_lookup!$A$2:$A$5, product_category_id_lookup!$B$2:$B$5), B1006), "Unknown Category")</f>
        <v>ctg-1031</v>
      </c>
      <c r="D1006" s="8">
        <v>44889</v>
      </c>
      <c r="E1006" s="14">
        <f t="shared" si="45"/>
        <v>2022</v>
      </c>
      <c r="F1006" s="29" t="str">
        <f t="shared" si="46"/>
        <v>Nov</v>
      </c>
      <c r="G1006" s="17" t="s">
        <v>29</v>
      </c>
      <c r="H1006" s="17" t="s">
        <v>23</v>
      </c>
      <c r="I1006" s="24">
        <v>35895.120000000003</v>
      </c>
      <c r="J1006" s="32">
        <v>8</v>
      </c>
      <c r="K1006" s="17" t="s">
        <v>26</v>
      </c>
      <c r="L1006" s="24">
        <v>4482.63</v>
      </c>
      <c r="M1006" s="24">
        <v>4486.8900000000003</v>
      </c>
      <c r="N1006" s="34">
        <f>((sales_data_1[[#This Row],[Unit_Price]]*(1-sales_data_1[[#This Row],[Discount]]))-sales_data_1[[#This Row],[Unit_Cost]])*sales_data_1[[#This Row],[Quantity_Sold]]</f>
        <v>34.080000000001746</v>
      </c>
      <c r="O1006" s="17" t="s">
        <v>17</v>
      </c>
      <c r="P1006" s="26">
        <v>0</v>
      </c>
      <c r="Q1006" s="17" t="s">
        <v>18</v>
      </c>
      <c r="R1006" s="17" t="s">
        <v>19</v>
      </c>
      <c r="S1006" s="50" t="str">
        <f t="shared" si="47"/>
        <v>Charlie-South</v>
      </c>
      <c r="T1006" s="59" t="str">
        <f>IF(ROUND(sales_data_1[[#This Row],[Profit_Margin]],2)=ROUND((sales_data_1[[#This Row],[Unit_Price]]*(1-sales_data_1[[#This Row],[Discount]]) - sales_data_1[[#This Row],[Unit_Cost]])*sales_data_1[[#This Row],[Quantity_Sold]],2), "PASS", "CHECK")</f>
        <v>PASS</v>
      </c>
    </row>
    <row r="1007" spans="1:20" x14ac:dyDescent="0.35">
      <c r="A1007" s="7">
        <v>1006</v>
      </c>
      <c r="B1007" s="9">
        <v>1071</v>
      </c>
      <c r="C1007" s="14" t="str">
        <f>IFERROR(_xlfn.TEXTJOIN("-", TRUE, _xlfn.XLOOKUP(K1007, product_category_id_lookup!$A$2:$A$5, product_category_id_lookup!$B$2:$B$5), B1007), "Unknown Category")</f>
        <v>etc-1071</v>
      </c>
      <c r="D1007" s="8">
        <v>44889</v>
      </c>
      <c r="E1007" s="14">
        <f t="shared" si="45"/>
        <v>2022</v>
      </c>
      <c r="F1007" s="29" t="str">
        <f t="shared" si="46"/>
        <v>Nov</v>
      </c>
      <c r="G1007" s="17" t="s">
        <v>33</v>
      </c>
      <c r="H1007" s="17" t="s">
        <v>15</v>
      </c>
      <c r="I1007" s="24">
        <v>65373.384185375871</v>
      </c>
      <c r="J1007" s="32">
        <v>45</v>
      </c>
      <c r="K1007" s="17" t="s">
        <v>31</v>
      </c>
      <c r="L1007" s="24">
        <v>1122.69</v>
      </c>
      <c r="M1007" s="24">
        <v>1463.81</v>
      </c>
      <c r="N1007" s="34">
        <f>((sales_data_1[[#This Row],[Unit_Price]]*(1-sales_data_1[[#This Row],[Discount]]))-sales_data_1[[#This Row],[Unit_Cost]])*sales_data_1[[#This Row],[Quantity_Sold]]</f>
        <v>14691.685499999989</v>
      </c>
      <c r="O1007" s="17" t="s">
        <v>27</v>
      </c>
      <c r="P1007" s="26">
        <v>0.01</v>
      </c>
      <c r="Q1007" s="17" t="s">
        <v>25</v>
      </c>
      <c r="R1007" s="17" t="s">
        <v>21</v>
      </c>
      <c r="S1007" s="50" t="str">
        <f t="shared" si="47"/>
        <v>Alice-North</v>
      </c>
      <c r="T1007" s="59" t="str">
        <f>IF(ROUND(sales_data_1[[#This Row],[Profit_Margin]],2)=ROUND((sales_data_1[[#This Row],[Unit_Price]]*(1-sales_data_1[[#This Row],[Discount]]) - sales_data_1[[#This Row],[Unit_Cost]])*sales_data_1[[#This Row],[Quantity_Sold]],2), "PASS", "CHECK")</f>
        <v>PASS</v>
      </c>
    </row>
    <row r="1008" spans="1:20" x14ac:dyDescent="0.35">
      <c r="A1008" s="7">
        <v>1007</v>
      </c>
      <c r="B1008" s="9">
        <v>1028</v>
      </c>
      <c r="C1008" s="14" t="str">
        <f>IFERROR(_xlfn.TEXTJOIN("-", TRUE, _xlfn.XLOOKUP(K1008, product_category_id_lookup!$A$2:$A$5, product_category_id_lookup!$B$2:$B$5), B1008), "Unknown Category")</f>
        <v>fd-1028</v>
      </c>
      <c r="D1008" s="8">
        <v>44889</v>
      </c>
      <c r="E1008" s="14">
        <f t="shared" si="45"/>
        <v>2022</v>
      </c>
      <c r="F1008" s="29" t="str">
        <f t="shared" si="46"/>
        <v>Nov</v>
      </c>
      <c r="G1008" s="17" t="s">
        <v>32</v>
      </c>
      <c r="H1008" s="17" t="s">
        <v>23</v>
      </c>
      <c r="I1008" s="24">
        <v>237691.68571540082</v>
      </c>
      <c r="J1008" s="32">
        <v>50</v>
      </c>
      <c r="K1008" s="17" t="s">
        <v>24</v>
      </c>
      <c r="L1008" s="24">
        <v>4262.41</v>
      </c>
      <c r="M1008" s="24">
        <v>4905.5600000000004</v>
      </c>
      <c r="N1008" s="34">
        <f>((sales_data_1[[#This Row],[Unit_Price]]*(1-sales_data_1[[#This Row],[Discount]]))-sales_data_1[[#This Row],[Unit_Cost]])*sales_data_1[[#This Row],[Quantity_Sold]]</f>
        <v>24799.160000000029</v>
      </c>
      <c r="O1008" s="17" t="s">
        <v>27</v>
      </c>
      <c r="P1008" s="26">
        <v>0.03</v>
      </c>
      <c r="Q1008" s="17" t="s">
        <v>25</v>
      </c>
      <c r="R1008" s="17" t="s">
        <v>21</v>
      </c>
      <c r="S1008" s="50" t="str">
        <f t="shared" si="47"/>
        <v>Eve-South</v>
      </c>
      <c r="T1008" s="59" t="str">
        <f>IF(ROUND(sales_data_1[[#This Row],[Profit_Margin]],2)=ROUND((sales_data_1[[#This Row],[Unit_Price]]*(1-sales_data_1[[#This Row],[Discount]]) - sales_data_1[[#This Row],[Unit_Cost]])*sales_data_1[[#This Row],[Quantity_Sold]],2), "PASS", "CHECK")</f>
        <v>PASS</v>
      </c>
    </row>
    <row r="1009" spans="1:20" x14ac:dyDescent="0.35">
      <c r="A1009" s="7">
        <v>1008</v>
      </c>
      <c r="B1009" s="9">
        <v>1075</v>
      </c>
      <c r="C1009" s="14" t="str">
        <f>IFERROR(_xlfn.TEXTJOIN("-", TRUE, _xlfn.XLOOKUP(K1009, product_category_id_lookup!$A$2:$A$5, product_category_id_lookup!$B$2:$B$5), B1009), "Unknown Category")</f>
        <v>ctg-1075</v>
      </c>
      <c r="D1009" s="8">
        <v>44889</v>
      </c>
      <c r="E1009" s="14">
        <f t="shared" si="45"/>
        <v>2022</v>
      </c>
      <c r="F1009" s="29" t="str">
        <f t="shared" si="46"/>
        <v>Nov</v>
      </c>
      <c r="G1009" s="17" t="s">
        <v>14</v>
      </c>
      <c r="H1009" s="17" t="s">
        <v>23</v>
      </c>
      <c r="I1009" s="24">
        <v>89492.306400000001</v>
      </c>
      <c r="J1009" s="32">
        <v>29</v>
      </c>
      <c r="K1009" s="17" t="s">
        <v>26</v>
      </c>
      <c r="L1009" s="24">
        <v>1740.11</v>
      </c>
      <c r="M1009" s="24">
        <v>3148.92</v>
      </c>
      <c r="N1009" s="34">
        <f>((sales_data_1[[#This Row],[Unit_Price]]*(1-sales_data_1[[#This Row],[Discount]]))-sales_data_1[[#This Row],[Unit_Cost]])*sales_data_1[[#This Row],[Quantity_Sold]]</f>
        <v>39029.116400000006</v>
      </c>
      <c r="O1009" s="17" t="s">
        <v>27</v>
      </c>
      <c r="P1009" s="26">
        <v>0.02</v>
      </c>
      <c r="Q1009" s="17" t="s">
        <v>28</v>
      </c>
      <c r="R1009" s="17" t="s">
        <v>19</v>
      </c>
      <c r="S1009" s="50" t="str">
        <f t="shared" si="47"/>
        <v>Bob-South</v>
      </c>
      <c r="T1009" s="59" t="str">
        <f>IF(ROUND(sales_data_1[[#This Row],[Profit_Margin]],2)=ROUND((sales_data_1[[#This Row],[Unit_Price]]*(1-sales_data_1[[#This Row],[Discount]]) - sales_data_1[[#This Row],[Unit_Cost]])*sales_data_1[[#This Row],[Quantity_Sold]],2), "PASS", "CHECK")</f>
        <v>PASS</v>
      </c>
    </row>
    <row r="1010" spans="1:20" x14ac:dyDescent="0.35">
      <c r="A1010" s="7">
        <v>1009</v>
      </c>
      <c r="B1010" s="9">
        <v>1089</v>
      </c>
      <c r="C1010" s="14" t="str">
        <f>IFERROR(_xlfn.TEXTJOIN("-", TRUE, _xlfn.XLOOKUP(K1010, product_category_id_lookup!$A$2:$A$5, product_category_id_lookup!$B$2:$B$5), B1010), "Unknown Category")</f>
        <v>ctg-1089</v>
      </c>
      <c r="D1010" s="8">
        <v>44890</v>
      </c>
      <c r="E1010" s="14">
        <f t="shared" si="45"/>
        <v>2022</v>
      </c>
      <c r="F1010" s="29" t="str">
        <f t="shared" si="46"/>
        <v>Nov</v>
      </c>
      <c r="G1010" s="17" t="s">
        <v>14</v>
      </c>
      <c r="H1010" s="17" t="s">
        <v>23</v>
      </c>
      <c r="I1010" s="24">
        <v>45470.813064802511</v>
      </c>
      <c r="J1010" s="32">
        <v>30</v>
      </c>
      <c r="K1010" s="17" t="s">
        <v>26</v>
      </c>
      <c r="L1010" s="24">
        <v>1502.21</v>
      </c>
      <c r="M1010" s="24">
        <v>1529.74</v>
      </c>
      <c r="N1010" s="34">
        <f>((sales_data_1[[#This Row],[Unit_Price]]*(1-sales_data_1[[#This Row],[Discount]]))-sales_data_1[[#This Row],[Unit_Cost]])*sales_data_1[[#This Row],[Quantity_Sold]]</f>
        <v>366.97800000000143</v>
      </c>
      <c r="O1010" s="17" t="s">
        <v>17</v>
      </c>
      <c r="P1010" s="26">
        <v>0.01</v>
      </c>
      <c r="Q1010" s="17" t="s">
        <v>28</v>
      </c>
      <c r="R1010" s="17" t="s">
        <v>21</v>
      </c>
      <c r="S1010" s="50" t="str">
        <f t="shared" si="47"/>
        <v>Bob-South</v>
      </c>
      <c r="T1010" s="59" t="str">
        <f>IF(ROUND(sales_data_1[[#This Row],[Profit_Margin]],2)=ROUND((sales_data_1[[#This Row],[Unit_Price]]*(1-sales_data_1[[#This Row],[Discount]]) - sales_data_1[[#This Row],[Unit_Cost]])*sales_data_1[[#This Row],[Quantity_Sold]],2), "PASS", "CHECK")</f>
        <v>PASS</v>
      </c>
    </row>
    <row r="1011" spans="1:20" x14ac:dyDescent="0.35">
      <c r="A1011" s="7">
        <v>1010</v>
      </c>
      <c r="B1011" s="9">
        <v>1071</v>
      </c>
      <c r="C1011" s="14" t="str">
        <f>IFERROR(_xlfn.TEXTJOIN("-", TRUE, _xlfn.XLOOKUP(K1011, product_category_id_lookup!$A$2:$A$5, product_category_id_lookup!$B$2:$B$5), B1011), "Unknown Category")</f>
        <v>ctg-1071</v>
      </c>
      <c r="D1011" s="8">
        <v>44890</v>
      </c>
      <c r="E1011" s="14">
        <f t="shared" si="45"/>
        <v>2022</v>
      </c>
      <c r="F1011" s="29" t="str">
        <f t="shared" si="46"/>
        <v>Nov</v>
      </c>
      <c r="G1011" s="17" t="s">
        <v>14</v>
      </c>
      <c r="H1011" s="17" t="s">
        <v>15</v>
      </c>
      <c r="I1011" s="24">
        <v>28988.2395</v>
      </c>
      <c r="J1011" s="32">
        <v>11</v>
      </c>
      <c r="K1011" s="17" t="s">
        <v>26</v>
      </c>
      <c r="L1011" s="24">
        <v>1006.75</v>
      </c>
      <c r="M1011" s="24">
        <v>3253.45</v>
      </c>
      <c r="N1011" s="34">
        <f>((sales_data_1[[#This Row],[Unit_Price]]*(1-sales_data_1[[#This Row],[Discount]]))-sales_data_1[[#This Row],[Unit_Cost]])*sales_data_1[[#This Row],[Quantity_Sold]]</f>
        <v>17913.9895</v>
      </c>
      <c r="O1011" s="17" t="s">
        <v>27</v>
      </c>
      <c r="P1011" s="26">
        <v>0.19</v>
      </c>
      <c r="Q1011" s="17" t="s">
        <v>18</v>
      </c>
      <c r="R1011" s="17" t="s">
        <v>21</v>
      </c>
      <c r="S1011" s="50" t="str">
        <f t="shared" si="47"/>
        <v>Bob-North</v>
      </c>
      <c r="T1011" s="59" t="str">
        <f>IF(ROUND(sales_data_1[[#This Row],[Profit_Margin]],2)=ROUND((sales_data_1[[#This Row],[Unit_Price]]*(1-sales_data_1[[#This Row],[Discount]]) - sales_data_1[[#This Row],[Unit_Cost]])*sales_data_1[[#This Row],[Quantity_Sold]],2), "PASS", "CHECK")</f>
        <v>PASS</v>
      </c>
    </row>
    <row r="1012" spans="1:20" x14ac:dyDescent="0.35">
      <c r="A1012" s="7">
        <v>1011</v>
      </c>
      <c r="B1012" s="9">
        <v>1028</v>
      </c>
      <c r="C1012" s="14" t="str">
        <f>IFERROR(_xlfn.TEXTJOIN("-", TRUE, _xlfn.XLOOKUP(K1012, product_category_id_lookup!$A$2:$A$5, product_category_id_lookup!$B$2:$B$5), B1012), "Unknown Category")</f>
        <v>ctg-1028</v>
      </c>
      <c r="D1012" s="8">
        <v>44890</v>
      </c>
      <c r="E1012" s="14">
        <f t="shared" si="45"/>
        <v>2022</v>
      </c>
      <c r="F1012" s="29" t="str">
        <f t="shared" si="46"/>
        <v>Nov</v>
      </c>
      <c r="G1012" s="17" t="s">
        <v>29</v>
      </c>
      <c r="H1012" s="17" t="s">
        <v>15</v>
      </c>
      <c r="I1012" s="24">
        <v>136534.71369999999</v>
      </c>
      <c r="J1012" s="32">
        <v>43</v>
      </c>
      <c r="K1012" s="17" t="s">
        <v>26</v>
      </c>
      <c r="L1012" s="24">
        <v>1977.99</v>
      </c>
      <c r="M1012" s="24">
        <v>4123.67</v>
      </c>
      <c r="N1012" s="34">
        <f>((sales_data_1[[#This Row],[Unit_Price]]*(1-sales_data_1[[#This Row],[Discount]]))-sales_data_1[[#This Row],[Unit_Cost]])*sales_data_1[[#This Row],[Quantity_Sold]]</f>
        <v>51481.143699999993</v>
      </c>
      <c r="O1012" s="17" t="s">
        <v>27</v>
      </c>
      <c r="P1012" s="26">
        <v>0.23</v>
      </c>
      <c r="Q1012" s="17" t="s">
        <v>25</v>
      </c>
      <c r="R1012" s="17" t="s">
        <v>19</v>
      </c>
      <c r="S1012" s="50" t="str">
        <f t="shared" si="47"/>
        <v>Charlie-North</v>
      </c>
      <c r="T1012" s="59" t="str">
        <f>IF(ROUND(sales_data_1[[#This Row],[Profit_Margin]],2)=ROUND((sales_data_1[[#This Row],[Unit_Price]]*(1-sales_data_1[[#This Row],[Discount]]) - sales_data_1[[#This Row],[Unit_Cost]])*sales_data_1[[#This Row],[Quantity_Sold]],2), "PASS", "CHECK")</f>
        <v>PASS</v>
      </c>
    </row>
    <row r="1013" spans="1:20" x14ac:dyDescent="0.35">
      <c r="A1013" s="7">
        <v>1012</v>
      </c>
      <c r="B1013" s="9">
        <v>1098</v>
      </c>
      <c r="C1013" s="14" t="str">
        <f>IFERROR(_xlfn.TEXTJOIN("-", TRUE, _xlfn.XLOOKUP(K1013, product_category_id_lookup!$A$2:$A$5, product_category_id_lookup!$B$2:$B$5), B1013), "Unknown Category")</f>
        <v>ctg-1098</v>
      </c>
      <c r="D1013" s="8">
        <v>44891</v>
      </c>
      <c r="E1013" s="14">
        <f t="shared" si="45"/>
        <v>2022</v>
      </c>
      <c r="F1013" s="29" t="str">
        <f t="shared" si="46"/>
        <v>Nov</v>
      </c>
      <c r="G1013" s="17" t="s">
        <v>14</v>
      </c>
      <c r="H1013" s="17" t="s">
        <v>20</v>
      </c>
      <c r="I1013" s="24">
        <v>19147.083000000002</v>
      </c>
      <c r="J1013" s="32">
        <v>5</v>
      </c>
      <c r="K1013" s="17" t="s">
        <v>26</v>
      </c>
      <c r="L1013" s="24">
        <v>3305.51</v>
      </c>
      <c r="M1013" s="24">
        <v>4452.8100000000004</v>
      </c>
      <c r="N1013" s="34">
        <f>((sales_data_1[[#This Row],[Unit_Price]]*(1-sales_data_1[[#This Row],[Discount]]))-sales_data_1[[#This Row],[Unit_Cost]])*sales_data_1[[#This Row],[Quantity_Sold]]</f>
        <v>2619.5330000000013</v>
      </c>
      <c r="O1013" s="17" t="s">
        <v>17</v>
      </c>
      <c r="P1013" s="26">
        <v>0.14000000000000001</v>
      </c>
      <c r="Q1013" s="17" t="s">
        <v>18</v>
      </c>
      <c r="R1013" s="17" t="s">
        <v>21</v>
      </c>
      <c r="S1013" s="50" t="str">
        <f t="shared" si="47"/>
        <v>Bob-West</v>
      </c>
      <c r="T1013" s="59" t="str">
        <f>IF(ROUND(sales_data_1[[#This Row],[Profit_Margin]],2)=ROUND((sales_data_1[[#This Row],[Unit_Price]]*(1-sales_data_1[[#This Row],[Discount]]) - sales_data_1[[#This Row],[Unit_Cost]])*sales_data_1[[#This Row],[Quantity_Sold]],2), "PASS", "CHECK")</f>
        <v>PASS</v>
      </c>
    </row>
    <row r="1014" spans="1:20" x14ac:dyDescent="0.35">
      <c r="A1014" s="7">
        <v>1013</v>
      </c>
      <c r="B1014" s="9">
        <v>1082</v>
      </c>
      <c r="C1014" s="14" t="str">
        <f>IFERROR(_xlfn.TEXTJOIN("-", TRUE, _xlfn.XLOOKUP(K1014, product_category_id_lookup!$A$2:$A$5, product_category_id_lookup!$B$2:$B$5), B1014), "Unknown Category")</f>
        <v>fd-1082</v>
      </c>
      <c r="D1014" s="8">
        <v>44891</v>
      </c>
      <c r="E1014" s="14">
        <f t="shared" si="45"/>
        <v>2022</v>
      </c>
      <c r="F1014" s="29" t="str">
        <f t="shared" si="46"/>
        <v>Nov</v>
      </c>
      <c r="G1014" s="17" t="s">
        <v>33</v>
      </c>
      <c r="H1014" s="17" t="s">
        <v>20</v>
      </c>
      <c r="I1014" s="24">
        <v>13765.166800000001</v>
      </c>
      <c r="J1014" s="32">
        <v>4</v>
      </c>
      <c r="K1014" s="17" t="s">
        <v>24</v>
      </c>
      <c r="L1014" s="24">
        <v>961.95</v>
      </c>
      <c r="M1014" s="24">
        <v>4469.21</v>
      </c>
      <c r="N1014" s="34">
        <f>((sales_data_1[[#This Row],[Unit_Price]]*(1-sales_data_1[[#This Row],[Discount]]))-sales_data_1[[#This Row],[Unit_Cost]])*sales_data_1[[#This Row],[Quantity_Sold]]</f>
        <v>9917.3667999999998</v>
      </c>
      <c r="O1014" s="17" t="s">
        <v>27</v>
      </c>
      <c r="P1014" s="26">
        <v>0.23</v>
      </c>
      <c r="Q1014" s="17" t="s">
        <v>18</v>
      </c>
      <c r="R1014" s="17" t="s">
        <v>19</v>
      </c>
      <c r="S1014" s="50" t="str">
        <f t="shared" si="47"/>
        <v>Alice-West</v>
      </c>
      <c r="T1014" s="59" t="str">
        <f>IF(ROUND(sales_data_1[[#This Row],[Profit_Margin]],2)=ROUND((sales_data_1[[#This Row],[Unit_Price]]*(1-sales_data_1[[#This Row],[Discount]]) - sales_data_1[[#This Row],[Unit_Cost]])*sales_data_1[[#This Row],[Quantity_Sold]],2), "PASS", "CHECK")</f>
        <v>PASS</v>
      </c>
    </row>
    <row r="1015" spans="1:20" x14ac:dyDescent="0.35">
      <c r="A1015" s="7">
        <v>1014</v>
      </c>
      <c r="B1015" s="9">
        <v>1023</v>
      </c>
      <c r="C1015" s="14" t="str">
        <f>IFERROR(_xlfn.TEXTJOIN("-", TRUE, _xlfn.XLOOKUP(K1015, product_category_id_lookup!$A$2:$A$5, product_category_id_lookup!$B$2:$B$5), B1015), "Unknown Category")</f>
        <v>etc-1023</v>
      </c>
      <c r="D1015" s="8">
        <v>44891</v>
      </c>
      <c r="E1015" s="14">
        <f t="shared" si="45"/>
        <v>2022</v>
      </c>
      <c r="F1015" s="29" t="str">
        <f t="shared" si="46"/>
        <v>Nov</v>
      </c>
      <c r="G1015" s="17" t="s">
        <v>33</v>
      </c>
      <c r="H1015" s="17" t="s">
        <v>23</v>
      </c>
      <c r="I1015" s="24">
        <v>22265.818199999998</v>
      </c>
      <c r="J1015" s="32">
        <v>6</v>
      </c>
      <c r="K1015" s="17" t="s">
        <v>31</v>
      </c>
      <c r="L1015" s="24">
        <v>227.43</v>
      </c>
      <c r="M1015" s="24">
        <v>3990.29</v>
      </c>
      <c r="N1015" s="34">
        <f>((sales_data_1[[#This Row],[Unit_Price]]*(1-sales_data_1[[#This Row],[Discount]]))-sales_data_1[[#This Row],[Unit_Cost]])*sales_data_1[[#This Row],[Quantity_Sold]]</f>
        <v>20901.2382</v>
      </c>
      <c r="O1015" s="17" t="s">
        <v>27</v>
      </c>
      <c r="P1015" s="26">
        <v>7.0000000000000007E-2</v>
      </c>
      <c r="Q1015" s="17" t="s">
        <v>18</v>
      </c>
      <c r="R1015" s="17" t="s">
        <v>21</v>
      </c>
      <c r="S1015" s="50" t="str">
        <f t="shared" si="47"/>
        <v>Alice-South</v>
      </c>
      <c r="T1015" s="59" t="str">
        <f>IF(ROUND(sales_data_1[[#This Row],[Profit_Margin]],2)=ROUND((sales_data_1[[#This Row],[Unit_Price]]*(1-sales_data_1[[#This Row],[Discount]]) - sales_data_1[[#This Row],[Unit_Cost]])*sales_data_1[[#This Row],[Quantity_Sold]],2), "PASS", "CHECK")</f>
        <v>PASS</v>
      </c>
    </row>
    <row r="1016" spans="1:20" x14ac:dyDescent="0.35">
      <c r="A1016" s="7">
        <v>1015</v>
      </c>
      <c r="B1016" s="9">
        <v>1099</v>
      </c>
      <c r="C1016" s="14" t="str">
        <f>IFERROR(_xlfn.TEXTJOIN("-", TRUE, _xlfn.XLOOKUP(K1016, product_category_id_lookup!$A$2:$A$5, product_category_id_lookup!$B$2:$B$5), B1016), "Unknown Category")</f>
        <v>fnt-1099</v>
      </c>
      <c r="D1016" s="8">
        <v>44892</v>
      </c>
      <c r="E1016" s="14">
        <f t="shared" si="45"/>
        <v>2022</v>
      </c>
      <c r="F1016" s="29" t="str">
        <f t="shared" si="46"/>
        <v>Nov</v>
      </c>
      <c r="G1016" s="17" t="s">
        <v>14</v>
      </c>
      <c r="H1016" s="17" t="s">
        <v>23</v>
      </c>
      <c r="I1016" s="24">
        <v>15377.178</v>
      </c>
      <c r="J1016" s="32">
        <v>5</v>
      </c>
      <c r="K1016" s="17" t="s">
        <v>16</v>
      </c>
      <c r="L1016" s="24">
        <v>723.16</v>
      </c>
      <c r="M1016" s="24">
        <v>3306.92</v>
      </c>
      <c r="N1016" s="34">
        <f>((sales_data_1[[#This Row],[Unit_Price]]*(1-sales_data_1[[#This Row],[Discount]]))-sales_data_1[[#This Row],[Unit_Cost]])*sales_data_1[[#This Row],[Quantity_Sold]]</f>
        <v>11761.378000000001</v>
      </c>
      <c r="O1016" s="17" t="s">
        <v>17</v>
      </c>
      <c r="P1016" s="26">
        <v>7.0000000000000007E-2</v>
      </c>
      <c r="Q1016" s="17" t="s">
        <v>25</v>
      </c>
      <c r="R1016" s="17" t="s">
        <v>21</v>
      </c>
      <c r="S1016" s="50" t="str">
        <f t="shared" si="47"/>
        <v>Bob-South</v>
      </c>
      <c r="T1016" s="59" t="str">
        <f>IF(ROUND(sales_data_1[[#This Row],[Profit_Margin]],2)=ROUND((sales_data_1[[#This Row],[Unit_Price]]*(1-sales_data_1[[#This Row],[Discount]]) - sales_data_1[[#This Row],[Unit_Cost]])*sales_data_1[[#This Row],[Quantity_Sold]],2), "PASS", "CHECK")</f>
        <v>PASS</v>
      </c>
    </row>
    <row r="1017" spans="1:20" x14ac:dyDescent="0.35">
      <c r="A1017" s="7">
        <v>1016</v>
      </c>
      <c r="B1017" s="9">
        <v>1084</v>
      </c>
      <c r="C1017" s="14" t="str">
        <f>IFERROR(_xlfn.TEXTJOIN("-", TRUE, _xlfn.XLOOKUP(K1017, product_category_id_lookup!$A$2:$A$5, product_category_id_lookup!$B$2:$B$5), B1017), "Unknown Category")</f>
        <v>ctg-1084</v>
      </c>
      <c r="D1017" s="8">
        <v>44892</v>
      </c>
      <c r="E1017" s="14">
        <f t="shared" si="45"/>
        <v>2022</v>
      </c>
      <c r="F1017" s="29" t="str">
        <f t="shared" si="46"/>
        <v>Nov</v>
      </c>
      <c r="G1017" s="17" t="s">
        <v>29</v>
      </c>
      <c r="H1017" s="17" t="s">
        <v>15</v>
      </c>
      <c r="I1017" s="24">
        <v>228409.2557372156</v>
      </c>
      <c r="J1017" s="32">
        <v>50</v>
      </c>
      <c r="K1017" s="17" t="s">
        <v>26</v>
      </c>
      <c r="L1017" s="24">
        <v>3945.19</v>
      </c>
      <c r="M1017" s="24">
        <v>4640.76</v>
      </c>
      <c r="N1017" s="34">
        <f>((sales_data_1[[#This Row],[Unit_Price]]*(1-sales_data_1[[#This Row],[Discount]]))-sales_data_1[[#This Row],[Unit_Cost]])*sales_data_1[[#This Row],[Quantity_Sold]]</f>
        <v>30137.740000000009</v>
      </c>
      <c r="O1017" s="17" t="s">
        <v>17</v>
      </c>
      <c r="P1017" s="26">
        <v>0.02</v>
      </c>
      <c r="Q1017" s="17" t="s">
        <v>18</v>
      </c>
      <c r="R1017" s="17" t="s">
        <v>19</v>
      </c>
      <c r="S1017" s="50" t="str">
        <f t="shared" si="47"/>
        <v>Charlie-North</v>
      </c>
      <c r="T1017" s="59" t="str">
        <f>IF(ROUND(sales_data_1[[#This Row],[Profit_Margin]],2)=ROUND((sales_data_1[[#This Row],[Unit_Price]]*(1-sales_data_1[[#This Row],[Discount]]) - sales_data_1[[#This Row],[Unit_Cost]])*sales_data_1[[#This Row],[Quantity_Sold]],2), "PASS", "CHECK")</f>
        <v>PASS</v>
      </c>
    </row>
    <row r="1018" spans="1:20" x14ac:dyDescent="0.35">
      <c r="A1018" s="7">
        <v>1017</v>
      </c>
      <c r="B1018" s="9">
        <v>1013</v>
      </c>
      <c r="C1018" s="14" t="str">
        <f>IFERROR(_xlfn.TEXTJOIN("-", TRUE, _xlfn.XLOOKUP(K1018, product_category_id_lookup!$A$2:$A$5, product_category_id_lookup!$B$2:$B$5), B1018), "Unknown Category")</f>
        <v>fnt-1013</v>
      </c>
      <c r="D1018" s="8">
        <v>44892</v>
      </c>
      <c r="E1018" s="14">
        <f t="shared" si="45"/>
        <v>2022</v>
      </c>
      <c r="F1018" s="29" t="str">
        <f t="shared" si="46"/>
        <v>Nov</v>
      </c>
      <c r="G1018" s="17" t="s">
        <v>32</v>
      </c>
      <c r="H1018" s="17" t="s">
        <v>20</v>
      </c>
      <c r="I1018" s="24">
        <v>98327.892200000002</v>
      </c>
      <c r="J1018" s="32">
        <v>37</v>
      </c>
      <c r="K1018" s="17" t="s">
        <v>16</v>
      </c>
      <c r="L1018" s="24">
        <v>1705.04</v>
      </c>
      <c r="M1018" s="24">
        <v>3201.82</v>
      </c>
      <c r="N1018" s="34">
        <f>((sales_data_1[[#This Row],[Unit_Price]]*(1-sales_data_1[[#This Row],[Discount]]))-sales_data_1[[#This Row],[Unit_Cost]])*sales_data_1[[#This Row],[Quantity_Sold]]</f>
        <v>35241.412200000006</v>
      </c>
      <c r="O1018" s="17" t="s">
        <v>17</v>
      </c>
      <c r="P1018" s="26">
        <v>0.17</v>
      </c>
      <c r="Q1018" s="17" t="s">
        <v>18</v>
      </c>
      <c r="R1018" s="17" t="s">
        <v>19</v>
      </c>
      <c r="S1018" s="50" t="str">
        <f t="shared" si="47"/>
        <v>Eve-West</v>
      </c>
      <c r="T1018" s="59" t="str">
        <f>IF(ROUND(sales_data_1[[#This Row],[Profit_Margin]],2)=ROUND((sales_data_1[[#This Row],[Unit_Price]]*(1-sales_data_1[[#This Row],[Discount]]) - sales_data_1[[#This Row],[Unit_Cost]])*sales_data_1[[#This Row],[Quantity_Sold]],2), "PASS", "CHECK")</f>
        <v>PASS</v>
      </c>
    </row>
    <row r="1019" spans="1:20" x14ac:dyDescent="0.35">
      <c r="A1019" s="7">
        <v>1018</v>
      </c>
      <c r="B1019" s="9">
        <v>1100</v>
      </c>
      <c r="C1019" s="14" t="str">
        <f>IFERROR(_xlfn.TEXTJOIN("-", TRUE, _xlfn.XLOOKUP(K1019, product_category_id_lookup!$A$2:$A$5, product_category_id_lookup!$B$2:$B$5), B1019), "Unknown Category")</f>
        <v>fd-1100</v>
      </c>
      <c r="D1019" s="8">
        <v>44892</v>
      </c>
      <c r="E1019" s="14">
        <f t="shared" si="45"/>
        <v>2022</v>
      </c>
      <c r="F1019" s="29" t="str">
        <f t="shared" si="46"/>
        <v>Nov</v>
      </c>
      <c r="G1019" s="17" t="s">
        <v>29</v>
      </c>
      <c r="H1019" s="17" t="s">
        <v>30</v>
      </c>
      <c r="I1019" s="24">
        <v>54322.918999999994</v>
      </c>
      <c r="J1019" s="32">
        <v>38</v>
      </c>
      <c r="K1019" s="17" t="s">
        <v>24</v>
      </c>
      <c r="L1019" s="24">
        <v>319.63</v>
      </c>
      <c r="M1019" s="24">
        <v>1504.79</v>
      </c>
      <c r="N1019" s="34">
        <f>((sales_data_1[[#This Row],[Unit_Price]]*(1-sales_data_1[[#This Row],[Discount]]))-sales_data_1[[#This Row],[Unit_Cost]])*sales_data_1[[#This Row],[Quantity_Sold]]</f>
        <v>42176.978999999992</v>
      </c>
      <c r="O1019" s="17" t="s">
        <v>17</v>
      </c>
      <c r="P1019" s="26">
        <v>0.05</v>
      </c>
      <c r="Q1019" s="17" t="s">
        <v>25</v>
      </c>
      <c r="R1019" s="17" t="s">
        <v>19</v>
      </c>
      <c r="S1019" s="50" t="str">
        <f t="shared" si="47"/>
        <v>Charlie-East</v>
      </c>
      <c r="T1019" s="59" t="str">
        <f>IF(ROUND(sales_data_1[[#This Row],[Profit_Margin]],2)=ROUND((sales_data_1[[#This Row],[Unit_Price]]*(1-sales_data_1[[#This Row],[Discount]]) - sales_data_1[[#This Row],[Unit_Cost]])*sales_data_1[[#This Row],[Quantity_Sold]],2), "PASS", "CHECK")</f>
        <v>PASS</v>
      </c>
    </row>
    <row r="1020" spans="1:20" x14ac:dyDescent="0.35">
      <c r="A1020" s="7">
        <v>1019</v>
      </c>
      <c r="B1020" s="9">
        <v>1070</v>
      </c>
      <c r="C1020" s="14" t="str">
        <f>IFERROR(_xlfn.TEXTJOIN("-", TRUE, _xlfn.XLOOKUP(K1020, product_category_id_lookup!$A$2:$A$5, product_category_id_lookup!$B$2:$B$5), B1020), "Unknown Category")</f>
        <v>etc-1070</v>
      </c>
      <c r="D1020" s="8">
        <v>44893</v>
      </c>
      <c r="E1020" s="14">
        <f t="shared" si="45"/>
        <v>2022</v>
      </c>
      <c r="F1020" s="29" t="str">
        <f t="shared" si="46"/>
        <v>Nov</v>
      </c>
      <c r="G1020" s="17" t="s">
        <v>14</v>
      </c>
      <c r="H1020" s="17" t="s">
        <v>23</v>
      </c>
      <c r="I1020" s="24">
        <v>28131.767999999996</v>
      </c>
      <c r="J1020" s="32">
        <v>12</v>
      </c>
      <c r="K1020" s="17" t="s">
        <v>31</v>
      </c>
      <c r="L1020" s="24">
        <v>2226.9299999999998</v>
      </c>
      <c r="M1020" s="24">
        <v>2790.85</v>
      </c>
      <c r="N1020" s="34">
        <f>((sales_data_1[[#This Row],[Unit_Price]]*(1-sales_data_1[[#This Row],[Discount]]))-sales_data_1[[#This Row],[Unit_Cost]])*sales_data_1[[#This Row],[Quantity_Sold]]</f>
        <v>1408.6080000000002</v>
      </c>
      <c r="O1020" s="17" t="s">
        <v>27</v>
      </c>
      <c r="P1020" s="26">
        <v>0.16</v>
      </c>
      <c r="Q1020" s="17" t="s">
        <v>18</v>
      </c>
      <c r="R1020" s="17" t="s">
        <v>21</v>
      </c>
      <c r="S1020" s="50" t="str">
        <f t="shared" si="47"/>
        <v>Bob-South</v>
      </c>
      <c r="T1020" s="59" t="str">
        <f>IF(ROUND(sales_data_1[[#This Row],[Profit_Margin]],2)=ROUND((sales_data_1[[#This Row],[Unit_Price]]*(1-sales_data_1[[#This Row],[Discount]]) - sales_data_1[[#This Row],[Unit_Cost]])*sales_data_1[[#This Row],[Quantity_Sold]],2), "PASS", "CHECK")</f>
        <v>PASS</v>
      </c>
    </row>
    <row r="1021" spans="1:20" x14ac:dyDescent="0.35">
      <c r="A1021" s="7">
        <v>1020</v>
      </c>
      <c r="B1021" s="9">
        <v>1012</v>
      </c>
      <c r="C1021" s="14" t="str">
        <f>IFERROR(_xlfn.TEXTJOIN("-", TRUE, _xlfn.XLOOKUP(K1021, product_category_id_lookup!$A$2:$A$5, product_category_id_lookup!$B$2:$B$5), B1021), "Unknown Category")</f>
        <v>fd-1012</v>
      </c>
      <c r="D1021" s="8">
        <v>44893</v>
      </c>
      <c r="E1021" s="14">
        <f t="shared" si="45"/>
        <v>2022</v>
      </c>
      <c r="F1021" s="29" t="str">
        <f t="shared" si="46"/>
        <v>Nov</v>
      </c>
      <c r="G1021" s="17" t="s">
        <v>29</v>
      </c>
      <c r="H1021" s="17" t="s">
        <v>15</v>
      </c>
      <c r="I1021" s="24">
        <v>48306.213199999991</v>
      </c>
      <c r="J1021" s="32">
        <v>14</v>
      </c>
      <c r="K1021" s="17" t="s">
        <v>24</v>
      </c>
      <c r="L1021" s="24">
        <v>1936.34</v>
      </c>
      <c r="M1021" s="24">
        <v>4859.78</v>
      </c>
      <c r="N1021" s="34">
        <f>((sales_data_1[[#This Row],[Unit_Price]]*(1-sales_data_1[[#This Row],[Discount]]))-sales_data_1[[#This Row],[Unit_Cost]])*sales_data_1[[#This Row],[Quantity_Sold]]</f>
        <v>21197.453199999996</v>
      </c>
      <c r="O1021" s="17" t="s">
        <v>17</v>
      </c>
      <c r="P1021" s="26">
        <v>0.28999999999999998</v>
      </c>
      <c r="Q1021" s="17" t="s">
        <v>18</v>
      </c>
      <c r="R1021" s="17" t="s">
        <v>21</v>
      </c>
      <c r="S1021" s="50" t="str">
        <f t="shared" si="47"/>
        <v>Charlie-North</v>
      </c>
      <c r="T1021" s="59" t="str">
        <f>IF(ROUND(sales_data_1[[#This Row],[Profit_Margin]],2)=ROUND((sales_data_1[[#This Row],[Unit_Price]]*(1-sales_data_1[[#This Row],[Discount]]) - sales_data_1[[#This Row],[Unit_Cost]])*sales_data_1[[#This Row],[Quantity_Sold]],2), "PASS", "CHECK")</f>
        <v>PASS</v>
      </c>
    </row>
    <row r="1022" spans="1:20" x14ac:dyDescent="0.35">
      <c r="A1022" s="7">
        <v>1021</v>
      </c>
      <c r="B1022" s="9">
        <v>1099</v>
      </c>
      <c r="C1022" s="14" t="str">
        <f>IFERROR(_xlfn.TEXTJOIN("-", TRUE, _xlfn.XLOOKUP(K1022, product_category_id_lookup!$A$2:$A$5, product_category_id_lookup!$B$2:$B$5), B1022), "Unknown Category")</f>
        <v>etc-1099</v>
      </c>
      <c r="D1022" s="8">
        <v>44893</v>
      </c>
      <c r="E1022" s="14">
        <f t="shared" si="45"/>
        <v>2022</v>
      </c>
      <c r="F1022" s="29" t="str">
        <f t="shared" si="46"/>
        <v>Nov</v>
      </c>
      <c r="G1022" s="17" t="s">
        <v>32</v>
      </c>
      <c r="H1022" s="17" t="s">
        <v>30</v>
      </c>
      <c r="I1022" s="24">
        <v>69053.155400000003</v>
      </c>
      <c r="J1022" s="32">
        <v>19</v>
      </c>
      <c r="K1022" s="17" t="s">
        <v>31</v>
      </c>
      <c r="L1022" s="24">
        <v>1990.73</v>
      </c>
      <c r="M1022" s="24">
        <v>3746.78</v>
      </c>
      <c r="N1022" s="34">
        <f>((sales_data_1[[#This Row],[Unit_Price]]*(1-sales_data_1[[#This Row],[Discount]]))-sales_data_1[[#This Row],[Unit_Cost]])*sales_data_1[[#This Row],[Quantity_Sold]]</f>
        <v>31229.285400000001</v>
      </c>
      <c r="O1022" s="17" t="s">
        <v>27</v>
      </c>
      <c r="P1022" s="26">
        <v>0.03</v>
      </c>
      <c r="Q1022" s="17" t="s">
        <v>25</v>
      </c>
      <c r="R1022" s="17" t="s">
        <v>19</v>
      </c>
      <c r="S1022" s="50" t="str">
        <f t="shared" si="47"/>
        <v>Eve-East</v>
      </c>
      <c r="T1022" s="59" t="str">
        <f>IF(ROUND(sales_data_1[[#This Row],[Profit_Margin]],2)=ROUND((sales_data_1[[#This Row],[Unit_Price]]*(1-sales_data_1[[#This Row],[Discount]]) - sales_data_1[[#This Row],[Unit_Cost]])*sales_data_1[[#This Row],[Quantity_Sold]],2), "PASS", "CHECK")</f>
        <v>PASS</v>
      </c>
    </row>
    <row r="1023" spans="1:20" x14ac:dyDescent="0.35">
      <c r="A1023" s="7">
        <v>1022</v>
      </c>
      <c r="B1023" s="9">
        <v>1066</v>
      </c>
      <c r="C1023" s="14" t="str">
        <f>IFERROR(_xlfn.TEXTJOIN("-", TRUE, _xlfn.XLOOKUP(K1023, product_category_id_lookup!$A$2:$A$5, product_category_id_lookup!$B$2:$B$5), B1023), "Unknown Category")</f>
        <v>etc-1066</v>
      </c>
      <c r="D1023" s="8">
        <v>44894</v>
      </c>
      <c r="E1023" s="14">
        <f t="shared" si="45"/>
        <v>2022</v>
      </c>
      <c r="F1023" s="29" t="str">
        <f t="shared" si="46"/>
        <v>Nov</v>
      </c>
      <c r="G1023" s="17" t="s">
        <v>33</v>
      </c>
      <c r="H1023" s="17" t="s">
        <v>15</v>
      </c>
      <c r="I1023" s="24">
        <v>87692.33</v>
      </c>
      <c r="J1023" s="32">
        <v>25</v>
      </c>
      <c r="K1023" s="17" t="s">
        <v>31</v>
      </c>
      <c r="L1023" s="24">
        <v>2298.1</v>
      </c>
      <c r="M1023" s="24">
        <v>3812.71</v>
      </c>
      <c r="N1023" s="34">
        <f>((sales_data_1[[#This Row],[Unit_Price]]*(1-sales_data_1[[#This Row],[Discount]]))-sales_data_1[[#This Row],[Unit_Cost]])*sales_data_1[[#This Row],[Quantity_Sold]]</f>
        <v>30239.830000000005</v>
      </c>
      <c r="O1023" s="17" t="s">
        <v>27</v>
      </c>
      <c r="P1023" s="26">
        <v>0.08</v>
      </c>
      <c r="Q1023" s="17" t="s">
        <v>25</v>
      </c>
      <c r="R1023" s="17" t="s">
        <v>19</v>
      </c>
      <c r="S1023" s="50" t="str">
        <f t="shared" si="47"/>
        <v>Alice-North</v>
      </c>
      <c r="T1023" s="59" t="str">
        <f>IF(ROUND(sales_data_1[[#This Row],[Profit_Margin]],2)=ROUND((sales_data_1[[#This Row],[Unit_Price]]*(1-sales_data_1[[#This Row],[Discount]]) - sales_data_1[[#This Row],[Unit_Cost]])*sales_data_1[[#This Row],[Quantity_Sold]],2), "PASS", "CHECK")</f>
        <v>PASS</v>
      </c>
    </row>
    <row r="1024" spans="1:20" x14ac:dyDescent="0.35">
      <c r="A1024" s="7">
        <v>1023</v>
      </c>
      <c r="B1024" s="9">
        <v>1058</v>
      </c>
      <c r="C1024" s="14" t="str">
        <f>IFERROR(_xlfn.TEXTJOIN("-", TRUE, _xlfn.XLOOKUP(K1024, product_category_id_lookup!$A$2:$A$5, product_category_id_lookup!$B$2:$B$5), B1024), "Unknown Category")</f>
        <v>etc-1058</v>
      </c>
      <c r="D1024" s="8">
        <v>44894</v>
      </c>
      <c r="E1024" s="14">
        <f t="shared" si="45"/>
        <v>2022</v>
      </c>
      <c r="F1024" s="29" t="str">
        <f t="shared" si="46"/>
        <v>Nov</v>
      </c>
      <c r="G1024" s="17" t="s">
        <v>22</v>
      </c>
      <c r="H1024" s="17" t="s">
        <v>15</v>
      </c>
      <c r="I1024" s="24">
        <v>175090.89600000001</v>
      </c>
      <c r="J1024" s="32">
        <v>45</v>
      </c>
      <c r="K1024" s="17" t="s">
        <v>31</v>
      </c>
      <c r="L1024" s="24">
        <v>412.42</v>
      </c>
      <c r="M1024" s="24">
        <v>4053.03</v>
      </c>
      <c r="N1024" s="34">
        <f>((sales_data_1[[#This Row],[Unit_Price]]*(1-sales_data_1[[#This Row],[Discount]]))-sales_data_1[[#This Row],[Unit_Cost]])*sales_data_1[[#This Row],[Quantity_Sold]]</f>
        <v>156531.99600000001</v>
      </c>
      <c r="O1024" s="17" t="s">
        <v>17</v>
      </c>
      <c r="P1024" s="26">
        <v>0.04</v>
      </c>
      <c r="Q1024" s="17" t="s">
        <v>18</v>
      </c>
      <c r="R1024" s="17" t="s">
        <v>21</v>
      </c>
      <c r="S1024" s="50" t="str">
        <f t="shared" si="47"/>
        <v>David-North</v>
      </c>
      <c r="T1024" s="59" t="str">
        <f>IF(ROUND(sales_data_1[[#This Row],[Profit_Margin]],2)=ROUND((sales_data_1[[#This Row],[Unit_Price]]*(1-sales_data_1[[#This Row],[Discount]]) - sales_data_1[[#This Row],[Unit_Cost]])*sales_data_1[[#This Row],[Quantity_Sold]],2), "PASS", "CHECK")</f>
        <v>PASS</v>
      </c>
    </row>
    <row r="1025" spans="1:20" x14ac:dyDescent="0.35">
      <c r="A1025" s="7">
        <v>1024</v>
      </c>
      <c r="B1025" s="9">
        <v>1099</v>
      </c>
      <c r="C1025" s="14" t="str">
        <f>IFERROR(_xlfn.TEXTJOIN("-", TRUE, _xlfn.XLOOKUP(K1025, product_category_id_lookup!$A$2:$A$5, product_category_id_lookup!$B$2:$B$5), B1025), "Unknown Category")</f>
        <v>fnt-1099</v>
      </c>
      <c r="D1025" s="8">
        <v>44895</v>
      </c>
      <c r="E1025" s="14">
        <f t="shared" si="45"/>
        <v>2022</v>
      </c>
      <c r="F1025" s="29" t="str">
        <f t="shared" si="46"/>
        <v>Nov</v>
      </c>
      <c r="G1025" s="17" t="s">
        <v>14</v>
      </c>
      <c r="H1025" s="17" t="s">
        <v>23</v>
      </c>
      <c r="I1025" s="24">
        <v>127350.43275303912</v>
      </c>
      <c r="J1025" s="32">
        <v>43</v>
      </c>
      <c r="K1025" s="17" t="s">
        <v>16</v>
      </c>
      <c r="L1025" s="24">
        <v>2893.3</v>
      </c>
      <c r="M1025" s="24">
        <v>3046.45</v>
      </c>
      <c r="N1025" s="34">
        <f>((sales_data_1[[#This Row],[Unit_Price]]*(1-sales_data_1[[#This Row],[Discount]]))-sales_data_1[[#This Row],[Unit_Cost]])*sales_data_1[[#This Row],[Quantity_Sold]]</f>
        <v>2655.5294999999787</v>
      </c>
      <c r="O1025" s="17" t="s">
        <v>27</v>
      </c>
      <c r="P1025" s="26">
        <v>0.03</v>
      </c>
      <c r="Q1025" s="17" t="s">
        <v>28</v>
      </c>
      <c r="R1025" s="17" t="s">
        <v>19</v>
      </c>
      <c r="S1025" s="50" t="str">
        <f t="shared" si="47"/>
        <v>Bob-South</v>
      </c>
      <c r="T1025" s="59" t="str">
        <f>IF(ROUND(sales_data_1[[#This Row],[Profit_Margin]],2)=ROUND((sales_data_1[[#This Row],[Unit_Price]]*(1-sales_data_1[[#This Row],[Discount]]) - sales_data_1[[#This Row],[Unit_Cost]])*sales_data_1[[#This Row],[Quantity_Sold]],2), "PASS", "CHECK")</f>
        <v>PASS</v>
      </c>
    </row>
    <row r="1026" spans="1:20" x14ac:dyDescent="0.35">
      <c r="A1026" s="7">
        <v>1025</v>
      </c>
      <c r="B1026" s="9">
        <v>1015</v>
      </c>
      <c r="C1026" s="14" t="str">
        <f>IFERROR(_xlfn.TEXTJOIN("-", TRUE, _xlfn.XLOOKUP(K1026, product_category_id_lookup!$A$2:$A$5, product_category_id_lookup!$B$2:$B$5), B1026), "Unknown Category")</f>
        <v>fd-1015</v>
      </c>
      <c r="D1026" s="8">
        <v>44895</v>
      </c>
      <c r="E1026" s="14">
        <f t="shared" ref="E1026:E1089" si="48">YEAR(D1026)</f>
        <v>2022</v>
      </c>
      <c r="F1026" s="29" t="str">
        <f t="shared" ref="F1026:F1089" si="49">LEFT(TEXT(D1026,"mmmm"),3)</f>
        <v>Nov</v>
      </c>
      <c r="G1026" s="17" t="s">
        <v>32</v>
      </c>
      <c r="H1026" s="17" t="s">
        <v>15</v>
      </c>
      <c r="I1026" s="24">
        <v>149462.6336</v>
      </c>
      <c r="J1026" s="32">
        <v>38</v>
      </c>
      <c r="K1026" s="17" t="s">
        <v>24</v>
      </c>
      <c r="L1026" s="24">
        <v>3624.35</v>
      </c>
      <c r="M1026" s="24">
        <v>4573.5200000000004</v>
      </c>
      <c r="N1026" s="34">
        <f>((sales_data_1[[#This Row],[Unit_Price]]*(1-sales_data_1[[#This Row],[Discount]]))-sales_data_1[[#This Row],[Unit_Cost]])*sales_data_1[[#This Row],[Quantity_Sold]]</f>
        <v>11737.333600000013</v>
      </c>
      <c r="O1026" s="17" t="s">
        <v>17</v>
      </c>
      <c r="P1026" s="26">
        <v>0.14000000000000001</v>
      </c>
      <c r="Q1026" s="17" t="s">
        <v>28</v>
      </c>
      <c r="R1026" s="17" t="s">
        <v>21</v>
      </c>
      <c r="S1026" s="50" t="str">
        <f t="shared" ref="S1026:S1089" si="50">_xlfn.CONCAT(G1026,"-",H1026)</f>
        <v>Eve-North</v>
      </c>
      <c r="T1026" s="59" t="str">
        <f>IF(ROUND(sales_data_1[[#This Row],[Profit_Margin]],2)=ROUND((sales_data_1[[#This Row],[Unit_Price]]*(1-sales_data_1[[#This Row],[Discount]]) - sales_data_1[[#This Row],[Unit_Cost]])*sales_data_1[[#This Row],[Quantity_Sold]],2), "PASS", "CHECK")</f>
        <v>PASS</v>
      </c>
    </row>
    <row r="1027" spans="1:20" x14ac:dyDescent="0.35">
      <c r="A1027" s="7">
        <v>1026</v>
      </c>
      <c r="B1027" s="9">
        <v>1020</v>
      </c>
      <c r="C1027" s="14" t="str">
        <f>IFERROR(_xlfn.TEXTJOIN("-", TRUE, _xlfn.XLOOKUP(K1027, product_category_id_lookup!$A$2:$A$5, product_category_id_lookup!$B$2:$B$5), B1027), "Unknown Category")</f>
        <v>ctg-1020</v>
      </c>
      <c r="D1027" s="8">
        <v>44895</v>
      </c>
      <c r="E1027" s="14">
        <f t="shared" si="48"/>
        <v>2022</v>
      </c>
      <c r="F1027" s="29" t="str">
        <f t="shared" si="49"/>
        <v>Nov</v>
      </c>
      <c r="G1027" s="17" t="s">
        <v>29</v>
      </c>
      <c r="H1027" s="17" t="s">
        <v>30</v>
      </c>
      <c r="I1027" s="24">
        <v>211226.73059948668</v>
      </c>
      <c r="J1027" s="32">
        <v>49</v>
      </c>
      <c r="K1027" s="17" t="s">
        <v>26</v>
      </c>
      <c r="L1027" s="24">
        <v>3893.01</v>
      </c>
      <c r="M1027" s="24">
        <v>4518.37</v>
      </c>
      <c r="N1027" s="34">
        <f>((sales_data_1[[#This Row],[Unit_Price]]*(1-sales_data_1[[#This Row],[Discount]]))-sales_data_1[[#This Row],[Unit_Cost]])*sales_data_1[[#This Row],[Quantity_Sold]]</f>
        <v>19572.633499999996</v>
      </c>
      <c r="O1027" s="17" t="s">
        <v>17</v>
      </c>
      <c r="P1027" s="26">
        <v>0.05</v>
      </c>
      <c r="Q1027" s="17" t="s">
        <v>28</v>
      </c>
      <c r="R1027" s="17" t="s">
        <v>19</v>
      </c>
      <c r="S1027" s="50" t="str">
        <f t="shared" si="50"/>
        <v>Charlie-East</v>
      </c>
      <c r="T1027" s="59" t="str">
        <f>IF(ROUND(sales_data_1[[#This Row],[Profit_Margin]],2)=ROUND((sales_data_1[[#This Row],[Unit_Price]]*(1-sales_data_1[[#This Row],[Discount]]) - sales_data_1[[#This Row],[Unit_Cost]])*sales_data_1[[#This Row],[Quantity_Sold]],2), "PASS", "CHECK")</f>
        <v>PASS</v>
      </c>
    </row>
    <row r="1028" spans="1:20" x14ac:dyDescent="0.35">
      <c r="A1028" s="7">
        <v>1027</v>
      </c>
      <c r="B1028" s="9">
        <v>1087</v>
      </c>
      <c r="C1028" s="14" t="str">
        <f>IFERROR(_xlfn.TEXTJOIN("-", TRUE, _xlfn.XLOOKUP(K1028, product_category_id_lookup!$A$2:$A$5, product_category_id_lookup!$B$2:$B$5), B1028), "Unknown Category")</f>
        <v>etc-1087</v>
      </c>
      <c r="D1028" s="8">
        <v>44895</v>
      </c>
      <c r="E1028" s="14">
        <f t="shared" si="48"/>
        <v>2022</v>
      </c>
      <c r="F1028" s="29" t="str">
        <f t="shared" si="49"/>
        <v>Nov</v>
      </c>
      <c r="G1028" s="17" t="s">
        <v>29</v>
      </c>
      <c r="H1028" s="17" t="s">
        <v>15</v>
      </c>
      <c r="I1028" s="24">
        <v>74446.217999999993</v>
      </c>
      <c r="J1028" s="32">
        <v>21</v>
      </c>
      <c r="K1028" s="17" t="s">
        <v>31</v>
      </c>
      <c r="L1028" s="24">
        <v>712.91</v>
      </c>
      <c r="M1028" s="24">
        <v>4664.55</v>
      </c>
      <c r="N1028" s="34">
        <f>((sales_data_1[[#This Row],[Unit_Price]]*(1-sales_data_1[[#This Row],[Discount]]))-sales_data_1[[#This Row],[Unit_Cost]])*sales_data_1[[#This Row],[Quantity_Sold]]</f>
        <v>59475.108</v>
      </c>
      <c r="O1028" s="17" t="s">
        <v>17</v>
      </c>
      <c r="P1028" s="26">
        <v>0.24</v>
      </c>
      <c r="Q1028" s="17" t="s">
        <v>18</v>
      </c>
      <c r="R1028" s="17" t="s">
        <v>19</v>
      </c>
      <c r="S1028" s="50" t="str">
        <f t="shared" si="50"/>
        <v>Charlie-North</v>
      </c>
      <c r="T1028" s="59" t="str">
        <f>IF(ROUND(sales_data_1[[#This Row],[Profit_Margin]],2)=ROUND((sales_data_1[[#This Row],[Unit_Price]]*(1-sales_data_1[[#This Row],[Discount]]) - sales_data_1[[#This Row],[Unit_Cost]])*sales_data_1[[#This Row],[Quantity_Sold]],2), "PASS", "CHECK")</f>
        <v>PASS</v>
      </c>
    </row>
    <row r="1029" spans="1:20" x14ac:dyDescent="0.35">
      <c r="A1029" s="7">
        <v>1028</v>
      </c>
      <c r="B1029" s="9">
        <v>1098</v>
      </c>
      <c r="C1029" s="14" t="str">
        <f>IFERROR(_xlfn.TEXTJOIN("-", TRUE, _xlfn.XLOOKUP(K1029, product_category_id_lookup!$A$2:$A$5, product_category_id_lookup!$B$2:$B$5), B1029), "Unknown Category")</f>
        <v>fnt-1098</v>
      </c>
      <c r="D1029" s="8">
        <v>44895</v>
      </c>
      <c r="E1029" s="14">
        <f t="shared" si="48"/>
        <v>2022</v>
      </c>
      <c r="F1029" s="29" t="str">
        <f t="shared" si="49"/>
        <v>Nov</v>
      </c>
      <c r="G1029" s="17" t="s">
        <v>29</v>
      </c>
      <c r="H1029" s="17" t="s">
        <v>30</v>
      </c>
      <c r="I1029" s="24">
        <v>150527.196</v>
      </c>
      <c r="J1029" s="32">
        <v>40</v>
      </c>
      <c r="K1029" s="17" t="s">
        <v>16</v>
      </c>
      <c r="L1029" s="24">
        <v>1607.97</v>
      </c>
      <c r="M1029" s="24">
        <v>4046.43</v>
      </c>
      <c r="N1029" s="34">
        <f>((sales_data_1[[#This Row],[Unit_Price]]*(1-sales_data_1[[#This Row],[Discount]]))-sales_data_1[[#This Row],[Unit_Cost]])*sales_data_1[[#This Row],[Quantity_Sold]]</f>
        <v>86208.395999999993</v>
      </c>
      <c r="O1029" s="17" t="s">
        <v>27</v>
      </c>
      <c r="P1029" s="26">
        <v>7.0000000000000007E-2</v>
      </c>
      <c r="Q1029" s="17" t="s">
        <v>18</v>
      </c>
      <c r="R1029" s="17" t="s">
        <v>19</v>
      </c>
      <c r="S1029" s="50" t="str">
        <f t="shared" si="50"/>
        <v>Charlie-East</v>
      </c>
      <c r="T1029" s="59" t="str">
        <f>IF(ROUND(sales_data_1[[#This Row],[Profit_Margin]],2)=ROUND((sales_data_1[[#This Row],[Unit_Price]]*(1-sales_data_1[[#This Row],[Discount]]) - sales_data_1[[#This Row],[Unit_Cost]])*sales_data_1[[#This Row],[Quantity_Sold]],2), "PASS", "CHECK")</f>
        <v>PASS</v>
      </c>
    </row>
    <row r="1030" spans="1:20" x14ac:dyDescent="0.35">
      <c r="A1030" s="7">
        <v>1029</v>
      </c>
      <c r="B1030" s="9">
        <v>1014</v>
      </c>
      <c r="C1030" s="14" t="str">
        <f>IFERROR(_xlfn.TEXTJOIN("-", TRUE, _xlfn.XLOOKUP(K1030, product_category_id_lookup!$A$2:$A$5, product_category_id_lookup!$B$2:$B$5), B1030), "Unknown Category")</f>
        <v>fd-1014</v>
      </c>
      <c r="D1030" s="8">
        <v>44896</v>
      </c>
      <c r="E1030" s="14">
        <f t="shared" si="48"/>
        <v>2022</v>
      </c>
      <c r="F1030" s="29" t="str">
        <f t="shared" si="49"/>
        <v>Dec</v>
      </c>
      <c r="G1030" s="17" t="s">
        <v>29</v>
      </c>
      <c r="H1030" s="17" t="s">
        <v>23</v>
      </c>
      <c r="I1030" s="24">
        <v>53408.806308546576</v>
      </c>
      <c r="J1030" s="32">
        <v>13</v>
      </c>
      <c r="K1030" s="17" t="s">
        <v>24</v>
      </c>
      <c r="L1030" s="24">
        <v>3950.64</v>
      </c>
      <c r="M1030" s="24">
        <v>4243.03</v>
      </c>
      <c r="N1030" s="34">
        <f>((sales_data_1[[#This Row],[Unit_Price]]*(1-sales_data_1[[#This Row],[Discount]]))-sales_data_1[[#This Row],[Unit_Cost]])*sales_data_1[[#This Row],[Quantity_Sold]]</f>
        <v>2146.2882999999988</v>
      </c>
      <c r="O1030" s="17" t="s">
        <v>27</v>
      </c>
      <c r="P1030" s="26">
        <v>0.03</v>
      </c>
      <c r="Q1030" s="17" t="s">
        <v>18</v>
      </c>
      <c r="R1030" s="17" t="s">
        <v>21</v>
      </c>
      <c r="S1030" s="50" t="str">
        <f t="shared" si="50"/>
        <v>Charlie-South</v>
      </c>
      <c r="T1030" s="59" t="str">
        <f>IF(ROUND(sales_data_1[[#This Row],[Profit_Margin]],2)=ROUND((sales_data_1[[#This Row],[Unit_Price]]*(1-sales_data_1[[#This Row],[Discount]]) - sales_data_1[[#This Row],[Unit_Cost]])*sales_data_1[[#This Row],[Quantity_Sold]],2), "PASS", "CHECK")</f>
        <v>PASS</v>
      </c>
    </row>
    <row r="1031" spans="1:20" x14ac:dyDescent="0.35">
      <c r="A1031" s="7">
        <v>1030</v>
      </c>
      <c r="B1031" s="9">
        <v>1057</v>
      </c>
      <c r="C1031" s="14" t="str">
        <f>IFERROR(_xlfn.TEXTJOIN("-", TRUE, _xlfn.XLOOKUP(K1031, product_category_id_lookup!$A$2:$A$5, product_category_id_lookup!$B$2:$B$5), B1031), "Unknown Category")</f>
        <v>fnt-1057</v>
      </c>
      <c r="D1031" s="8">
        <v>44896</v>
      </c>
      <c r="E1031" s="14">
        <f t="shared" si="48"/>
        <v>2022</v>
      </c>
      <c r="F1031" s="29" t="str">
        <f t="shared" si="49"/>
        <v>Dec</v>
      </c>
      <c r="G1031" s="17" t="s">
        <v>14</v>
      </c>
      <c r="H1031" s="17" t="s">
        <v>23</v>
      </c>
      <c r="I1031" s="24">
        <v>6564.5964000000004</v>
      </c>
      <c r="J1031" s="32">
        <v>3</v>
      </c>
      <c r="K1031" s="17" t="s">
        <v>16</v>
      </c>
      <c r="L1031" s="24">
        <v>534.89</v>
      </c>
      <c r="M1031" s="24">
        <v>2701.48</v>
      </c>
      <c r="N1031" s="34">
        <f>((sales_data_1[[#This Row],[Unit_Price]]*(1-sales_data_1[[#This Row],[Discount]]))-sales_data_1[[#This Row],[Unit_Cost]])*sales_data_1[[#This Row],[Quantity_Sold]]</f>
        <v>4959.9264000000003</v>
      </c>
      <c r="O1031" s="17" t="s">
        <v>27</v>
      </c>
      <c r="P1031" s="26">
        <v>0.19</v>
      </c>
      <c r="Q1031" s="17" t="s">
        <v>18</v>
      </c>
      <c r="R1031" s="17" t="s">
        <v>19</v>
      </c>
      <c r="S1031" s="50" t="str">
        <f t="shared" si="50"/>
        <v>Bob-South</v>
      </c>
      <c r="T1031" s="59" t="str">
        <f>IF(ROUND(sales_data_1[[#This Row],[Profit_Margin]],2)=ROUND((sales_data_1[[#This Row],[Unit_Price]]*(1-sales_data_1[[#This Row],[Discount]]) - sales_data_1[[#This Row],[Unit_Cost]])*sales_data_1[[#This Row],[Quantity_Sold]],2), "PASS", "CHECK")</f>
        <v>PASS</v>
      </c>
    </row>
    <row r="1032" spans="1:20" x14ac:dyDescent="0.35">
      <c r="A1032" s="7">
        <v>1031</v>
      </c>
      <c r="B1032" s="9">
        <v>1056</v>
      </c>
      <c r="C1032" s="14" t="str">
        <f>IFERROR(_xlfn.TEXTJOIN("-", TRUE, _xlfn.XLOOKUP(K1032, product_category_id_lookup!$A$2:$A$5, product_category_id_lookup!$B$2:$B$5), B1032), "Unknown Category")</f>
        <v>fnt-1056</v>
      </c>
      <c r="D1032" s="8">
        <v>44896</v>
      </c>
      <c r="E1032" s="14">
        <f t="shared" si="48"/>
        <v>2022</v>
      </c>
      <c r="F1032" s="29" t="str">
        <f t="shared" si="49"/>
        <v>Dec</v>
      </c>
      <c r="G1032" s="17" t="s">
        <v>22</v>
      </c>
      <c r="H1032" s="17" t="s">
        <v>30</v>
      </c>
      <c r="I1032" s="24">
        <v>62475.811199999989</v>
      </c>
      <c r="J1032" s="32">
        <v>22</v>
      </c>
      <c r="K1032" s="17" t="s">
        <v>16</v>
      </c>
      <c r="L1032" s="24">
        <v>2522.5100000000002</v>
      </c>
      <c r="M1032" s="24">
        <v>3944.18</v>
      </c>
      <c r="N1032" s="34">
        <f>((sales_data_1[[#This Row],[Unit_Price]]*(1-sales_data_1[[#This Row],[Discount]]))-sales_data_1[[#This Row],[Unit_Cost]])*sales_data_1[[#This Row],[Quantity_Sold]]</f>
        <v>6980.5911999999862</v>
      </c>
      <c r="O1032" s="17" t="s">
        <v>17</v>
      </c>
      <c r="P1032" s="26">
        <v>0.28000000000000003</v>
      </c>
      <c r="Q1032" s="17" t="s">
        <v>18</v>
      </c>
      <c r="R1032" s="17" t="s">
        <v>21</v>
      </c>
      <c r="S1032" s="50" t="str">
        <f t="shared" si="50"/>
        <v>David-East</v>
      </c>
      <c r="T1032" s="59" t="str">
        <f>IF(ROUND(sales_data_1[[#This Row],[Profit_Margin]],2)=ROUND((sales_data_1[[#This Row],[Unit_Price]]*(1-sales_data_1[[#This Row],[Discount]]) - sales_data_1[[#This Row],[Unit_Cost]])*sales_data_1[[#This Row],[Quantity_Sold]],2), "PASS", "CHECK")</f>
        <v>PASS</v>
      </c>
    </row>
    <row r="1033" spans="1:20" x14ac:dyDescent="0.35">
      <c r="A1033" s="7">
        <v>1032</v>
      </c>
      <c r="B1033" s="9">
        <v>1099</v>
      </c>
      <c r="C1033" s="14" t="str">
        <f>IFERROR(_xlfn.TEXTJOIN("-", TRUE, _xlfn.XLOOKUP(K1033, product_category_id_lookup!$A$2:$A$5, product_category_id_lookup!$B$2:$B$5), B1033), "Unknown Category")</f>
        <v>etc-1099</v>
      </c>
      <c r="D1033" s="8">
        <v>44896</v>
      </c>
      <c r="E1033" s="14">
        <f t="shared" si="48"/>
        <v>2022</v>
      </c>
      <c r="F1033" s="29" t="str">
        <f t="shared" si="49"/>
        <v>Dec</v>
      </c>
      <c r="G1033" s="17" t="s">
        <v>33</v>
      </c>
      <c r="H1033" s="17" t="s">
        <v>20</v>
      </c>
      <c r="I1033" s="24">
        <v>153372.44999999998</v>
      </c>
      <c r="J1033" s="32">
        <v>35</v>
      </c>
      <c r="K1033" s="17" t="s">
        <v>31</v>
      </c>
      <c r="L1033" s="24">
        <v>3980.75</v>
      </c>
      <c r="M1033" s="24">
        <v>4471.5</v>
      </c>
      <c r="N1033" s="34">
        <f>((sales_data_1[[#This Row],[Unit_Price]]*(1-sales_data_1[[#This Row],[Discount]]))-sales_data_1[[#This Row],[Unit_Cost]])*sales_data_1[[#This Row],[Quantity_Sold]]</f>
        <v>14046.19999999999</v>
      </c>
      <c r="O1033" s="17" t="s">
        <v>17</v>
      </c>
      <c r="P1033" s="26">
        <v>0.02</v>
      </c>
      <c r="Q1033" s="17" t="s">
        <v>18</v>
      </c>
      <c r="R1033" s="17" t="s">
        <v>21</v>
      </c>
      <c r="S1033" s="50" t="str">
        <f t="shared" si="50"/>
        <v>Alice-West</v>
      </c>
      <c r="T1033" s="59" t="str">
        <f>IF(ROUND(sales_data_1[[#This Row],[Profit_Margin]],2)=ROUND((sales_data_1[[#This Row],[Unit_Price]]*(1-sales_data_1[[#This Row],[Discount]]) - sales_data_1[[#This Row],[Unit_Cost]])*sales_data_1[[#This Row],[Quantity_Sold]],2), "PASS", "CHECK")</f>
        <v>PASS</v>
      </c>
    </row>
    <row r="1034" spans="1:20" x14ac:dyDescent="0.35">
      <c r="A1034" s="7">
        <v>1033</v>
      </c>
      <c r="B1034" s="9">
        <v>1097</v>
      </c>
      <c r="C1034" s="14" t="str">
        <f>IFERROR(_xlfn.TEXTJOIN("-", TRUE, _xlfn.XLOOKUP(K1034, product_category_id_lookup!$A$2:$A$5, product_category_id_lookup!$B$2:$B$5), B1034), "Unknown Category")</f>
        <v>etc-1097</v>
      </c>
      <c r="D1034" s="8">
        <v>44896</v>
      </c>
      <c r="E1034" s="14">
        <f t="shared" si="48"/>
        <v>2022</v>
      </c>
      <c r="F1034" s="29" t="str">
        <f t="shared" si="49"/>
        <v>Dec</v>
      </c>
      <c r="G1034" s="17" t="s">
        <v>29</v>
      </c>
      <c r="H1034" s="17" t="s">
        <v>15</v>
      </c>
      <c r="I1034" s="24">
        <v>171508.84895914895</v>
      </c>
      <c r="J1034" s="32">
        <v>39</v>
      </c>
      <c r="K1034" s="17" t="s">
        <v>31</v>
      </c>
      <c r="L1034" s="24">
        <v>3981.81</v>
      </c>
      <c r="M1034" s="24">
        <v>4472.7299999999996</v>
      </c>
      <c r="N1034" s="34">
        <f>((sales_data_1[[#This Row],[Unit_Price]]*(1-sales_data_1[[#This Row],[Discount]]))-sales_data_1[[#This Row],[Unit_Cost]])*sales_data_1[[#This Row],[Quantity_Sold]]</f>
        <v>15657.150599999984</v>
      </c>
      <c r="O1034" s="17" t="s">
        <v>17</v>
      </c>
      <c r="P1034" s="26">
        <v>0.02</v>
      </c>
      <c r="Q1034" s="17" t="s">
        <v>25</v>
      </c>
      <c r="R1034" s="17" t="s">
        <v>21</v>
      </c>
      <c r="S1034" s="50" t="str">
        <f t="shared" si="50"/>
        <v>Charlie-North</v>
      </c>
      <c r="T1034" s="59" t="str">
        <f>IF(ROUND(sales_data_1[[#This Row],[Profit_Margin]],2)=ROUND((sales_data_1[[#This Row],[Unit_Price]]*(1-sales_data_1[[#This Row],[Discount]]) - sales_data_1[[#This Row],[Unit_Cost]])*sales_data_1[[#This Row],[Quantity_Sold]],2), "PASS", "CHECK")</f>
        <v>PASS</v>
      </c>
    </row>
    <row r="1035" spans="1:20" x14ac:dyDescent="0.35">
      <c r="A1035" s="7">
        <v>1034</v>
      </c>
      <c r="B1035" s="9">
        <v>1001</v>
      </c>
      <c r="C1035" s="14" t="str">
        <f>IFERROR(_xlfn.TEXTJOIN("-", TRUE, _xlfn.XLOOKUP(K1035, product_category_id_lookup!$A$2:$A$5, product_category_id_lookup!$B$2:$B$5), B1035), "Unknown Category")</f>
        <v>fd-1001</v>
      </c>
      <c r="D1035" s="8">
        <v>44897</v>
      </c>
      <c r="E1035" s="14">
        <f t="shared" si="48"/>
        <v>2022</v>
      </c>
      <c r="F1035" s="29" t="str">
        <f t="shared" si="49"/>
        <v>Dec</v>
      </c>
      <c r="G1035" s="17" t="s">
        <v>22</v>
      </c>
      <c r="H1035" s="17" t="s">
        <v>23</v>
      </c>
      <c r="I1035" s="24">
        <v>49613.832800000004</v>
      </c>
      <c r="J1035" s="32">
        <v>14</v>
      </c>
      <c r="K1035" s="17" t="s">
        <v>24</v>
      </c>
      <c r="L1035" s="24">
        <v>3437.53</v>
      </c>
      <c r="M1035" s="24">
        <v>4485.88</v>
      </c>
      <c r="N1035" s="34">
        <f>((sales_data_1[[#This Row],[Unit_Price]]*(1-sales_data_1[[#This Row],[Discount]]))-sales_data_1[[#This Row],[Unit_Cost]])*sales_data_1[[#This Row],[Quantity_Sold]]</f>
        <v>1488.4128000000001</v>
      </c>
      <c r="O1035" s="17" t="s">
        <v>17</v>
      </c>
      <c r="P1035" s="26">
        <v>0.21</v>
      </c>
      <c r="Q1035" s="17" t="s">
        <v>18</v>
      </c>
      <c r="R1035" s="17" t="s">
        <v>19</v>
      </c>
      <c r="S1035" s="50" t="str">
        <f t="shared" si="50"/>
        <v>David-South</v>
      </c>
      <c r="T1035" s="59" t="str">
        <f>IF(ROUND(sales_data_1[[#This Row],[Profit_Margin]],2)=ROUND((sales_data_1[[#This Row],[Unit_Price]]*(1-sales_data_1[[#This Row],[Discount]]) - sales_data_1[[#This Row],[Unit_Cost]])*sales_data_1[[#This Row],[Quantity_Sold]],2), "PASS", "CHECK")</f>
        <v>PASS</v>
      </c>
    </row>
    <row r="1036" spans="1:20" x14ac:dyDescent="0.35">
      <c r="A1036" s="7">
        <v>1035</v>
      </c>
      <c r="B1036" s="9">
        <v>1051</v>
      </c>
      <c r="C1036" s="14" t="str">
        <f>IFERROR(_xlfn.TEXTJOIN("-", TRUE, _xlfn.XLOOKUP(K1036, product_category_id_lookup!$A$2:$A$5, product_category_id_lookup!$B$2:$B$5), B1036), "Unknown Category")</f>
        <v>etc-1051</v>
      </c>
      <c r="D1036" s="8">
        <v>44897</v>
      </c>
      <c r="E1036" s="14">
        <f t="shared" si="48"/>
        <v>2022</v>
      </c>
      <c r="F1036" s="29" t="str">
        <f t="shared" si="49"/>
        <v>Dec</v>
      </c>
      <c r="G1036" s="17" t="s">
        <v>33</v>
      </c>
      <c r="H1036" s="17" t="s">
        <v>30</v>
      </c>
      <c r="I1036" s="24">
        <v>34887.136500000001</v>
      </c>
      <c r="J1036" s="32">
        <v>17</v>
      </c>
      <c r="K1036" s="17" t="s">
        <v>31</v>
      </c>
      <c r="L1036" s="24">
        <v>927.72</v>
      </c>
      <c r="M1036" s="24">
        <v>2206.65</v>
      </c>
      <c r="N1036" s="34">
        <f>((sales_data_1[[#This Row],[Unit_Price]]*(1-sales_data_1[[#This Row],[Discount]]))-sales_data_1[[#This Row],[Unit_Cost]])*sales_data_1[[#This Row],[Quantity_Sold]]</f>
        <v>19115.896499999995</v>
      </c>
      <c r="O1036" s="17" t="s">
        <v>27</v>
      </c>
      <c r="P1036" s="26">
        <v>7.0000000000000007E-2</v>
      </c>
      <c r="Q1036" s="17" t="s">
        <v>28</v>
      </c>
      <c r="R1036" s="17" t="s">
        <v>21</v>
      </c>
      <c r="S1036" s="50" t="str">
        <f t="shared" si="50"/>
        <v>Alice-East</v>
      </c>
      <c r="T1036" s="59" t="str">
        <f>IF(ROUND(sales_data_1[[#This Row],[Profit_Margin]],2)=ROUND((sales_data_1[[#This Row],[Unit_Price]]*(1-sales_data_1[[#This Row],[Discount]]) - sales_data_1[[#This Row],[Unit_Cost]])*sales_data_1[[#This Row],[Quantity_Sold]],2), "PASS", "CHECK")</f>
        <v>PASS</v>
      </c>
    </row>
    <row r="1037" spans="1:20" x14ac:dyDescent="0.35">
      <c r="A1037" s="7">
        <v>1036</v>
      </c>
      <c r="B1037" s="9">
        <v>1026</v>
      </c>
      <c r="C1037" s="14" t="str">
        <f>IFERROR(_xlfn.TEXTJOIN("-", TRUE, _xlfn.XLOOKUP(K1037, product_category_id_lookup!$A$2:$A$5, product_category_id_lookup!$B$2:$B$5), B1037), "Unknown Category")</f>
        <v>ctg-1026</v>
      </c>
      <c r="D1037" s="8">
        <v>44898</v>
      </c>
      <c r="E1037" s="14">
        <f t="shared" si="48"/>
        <v>2022</v>
      </c>
      <c r="F1037" s="29" t="str">
        <f t="shared" si="49"/>
        <v>Dec</v>
      </c>
      <c r="G1037" s="17" t="s">
        <v>33</v>
      </c>
      <c r="H1037" s="17" t="s">
        <v>15</v>
      </c>
      <c r="I1037" s="24">
        <v>93631.72</v>
      </c>
      <c r="J1037" s="32">
        <v>29</v>
      </c>
      <c r="K1037" s="17" t="s">
        <v>26</v>
      </c>
      <c r="L1037" s="24">
        <v>1911.84</v>
      </c>
      <c r="M1037" s="24">
        <v>3548</v>
      </c>
      <c r="N1037" s="34">
        <f>((sales_data_1[[#This Row],[Unit_Price]]*(1-sales_data_1[[#This Row],[Discount]]))-sales_data_1[[#This Row],[Unit_Cost]])*sales_data_1[[#This Row],[Quantity_Sold]]</f>
        <v>38188.360000000008</v>
      </c>
      <c r="O1037" s="17" t="s">
        <v>17</v>
      </c>
      <c r="P1037" s="26">
        <v>0.09</v>
      </c>
      <c r="Q1037" s="17" t="s">
        <v>25</v>
      </c>
      <c r="R1037" s="17" t="s">
        <v>21</v>
      </c>
      <c r="S1037" s="50" t="str">
        <f t="shared" si="50"/>
        <v>Alice-North</v>
      </c>
      <c r="T1037" s="59" t="str">
        <f>IF(ROUND(sales_data_1[[#This Row],[Profit_Margin]],2)=ROUND((sales_data_1[[#This Row],[Unit_Price]]*(1-sales_data_1[[#This Row],[Discount]]) - sales_data_1[[#This Row],[Unit_Cost]])*sales_data_1[[#This Row],[Quantity_Sold]],2), "PASS", "CHECK")</f>
        <v>PASS</v>
      </c>
    </row>
    <row r="1038" spans="1:20" x14ac:dyDescent="0.35">
      <c r="A1038" s="7">
        <v>1037</v>
      </c>
      <c r="B1038" s="9">
        <v>1012</v>
      </c>
      <c r="C1038" s="14" t="str">
        <f>IFERROR(_xlfn.TEXTJOIN("-", TRUE, _xlfn.XLOOKUP(K1038, product_category_id_lookup!$A$2:$A$5, product_category_id_lookup!$B$2:$B$5), B1038), "Unknown Category")</f>
        <v>etc-1012</v>
      </c>
      <c r="D1038" s="8">
        <v>44899</v>
      </c>
      <c r="E1038" s="14">
        <f t="shared" si="48"/>
        <v>2022</v>
      </c>
      <c r="F1038" s="29" t="str">
        <f t="shared" si="49"/>
        <v>Dec</v>
      </c>
      <c r="G1038" s="17" t="s">
        <v>32</v>
      </c>
      <c r="H1038" s="17" t="s">
        <v>20</v>
      </c>
      <c r="I1038" s="24">
        <v>23094.898200000003</v>
      </c>
      <c r="J1038" s="32">
        <v>6</v>
      </c>
      <c r="K1038" s="17" t="s">
        <v>31</v>
      </c>
      <c r="L1038" s="24">
        <v>2351.48</v>
      </c>
      <c r="M1038" s="24">
        <v>4424.3100000000004</v>
      </c>
      <c r="N1038" s="34">
        <f>((sales_data_1[[#This Row],[Unit_Price]]*(1-sales_data_1[[#This Row],[Discount]]))-sales_data_1[[#This Row],[Unit_Cost]])*sales_data_1[[#This Row],[Quantity_Sold]]</f>
        <v>8986.0182000000023</v>
      </c>
      <c r="O1038" s="17" t="s">
        <v>17</v>
      </c>
      <c r="P1038" s="26">
        <v>0.13</v>
      </c>
      <c r="Q1038" s="17" t="s">
        <v>25</v>
      </c>
      <c r="R1038" s="17" t="s">
        <v>21</v>
      </c>
      <c r="S1038" s="50" t="str">
        <f t="shared" si="50"/>
        <v>Eve-West</v>
      </c>
      <c r="T1038" s="59" t="str">
        <f>IF(ROUND(sales_data_1[[#This Row],[Profit_Margin]],2)=ROUND((sales_data_1[[#This Row],[Unit_Price]]*(1-sales_data_1[[#This Row],[Discount]]) - sales_data_1[[#This Row],[Unit_Cost]])*sales_data_1[[#This Row],[Quantity_Sold]],2), "PASS", "CHECK")</f>
        <v>PASS</v>
      </c>
    </row>
    <row r="1039" spans="1:20" x14ac:dyDescent="0.35">
      <c r="A1039" s="7">
        <v>1038</v>
      </c>
      <c r="B1039" s="9">
        <v>1019</v>
      </c>
      <c r="C1039" s="14" t="str">
        <f>IFERROR(_xlfn.TEXTJOIN("-", TRUE, _xlfn.XLOOKUP(K1039, product_category_id_lookup!$A$2:$A$5, product_category_id_lookup!$B$2:$B$5), B1039), "Unknown Category")</f>
        <v>fd-1019</v>
      </c>
      <c r="D1039" s="8">
        <v>44899</v>
      </c>
      <c r="E1039" s="14">
        <f t="shared" si="48"/>
        <v>2022</v>
      </c>
      <c r="F1039" s="29" t="str">
        <f t="shared" si="49"/>
        <v>Dec</v>
      </c>
      <c r="G1039" s="17" t="s">
        <v>32</v>
      </c>
      <c r="H1039" s="17" t="s">
        <v>20</v>
      </c>
      <c r="I1039" s="24">
        <v>124263.54439999998</v>
      </c>
      <c r="J1039" s="32">
        <v>47</v>
      </c>
      <c r="K1039" s="17" t="s">
        <v>24</v>
      </c>
      <c r="L1039" s="24">
        <v>1860.15</v>
      </c>
      <c r="M1039" s="24">
        <v>2970.68</v>
      </c>
      <c r="N1039" s="34">
        <f>((sales_data_1[[#This Row],[Unit_Price]]*(1-sales_data_1[[#This Row],[Discount]]))-sales_data_1[[#This Row],[Unit_Cost]])*sales_data_1[[#This Row],[Quantity_Sold]]</f>
        <v>36836.494399999981</v>
      </c>
      <c r="O1039" s="17" t="s">
        <v>27</v>
      </c>
      <c r="P1039" s="26">
        <v>0.11</v>
      </c>
      <c r="Q1039" s="17" t="s">
        <v>18</v>
      </c>
      <c r="R1039" s="17" t="s">
        <v>19</v>
      </c>
      <c r="S1039" s="50" t="str">
        <f t="shared" si="50"/>
        <v>Eve-West</v>
      </c>
      <c r="T1039" s="59" t="str">
        <f>IF(ROUND(sales_data_1[[#This Row],[Profit_Margin]],2)=ROUND((sales_data_1[[#This Row],[Unit_Price]]*(1-sales_data_1[[#This Row],[Discount]]) - sales_data_1[[#This Row],[Unit_Cost]])*sales_data_1[[#This Row],[Quantity_Sold]],2), "PASS", "CHECK")</f>
        <v>PASS</v>
      </c>
    </row>
    <row r="1040" spans="1:20" x14ac:dyDescent="0.35">
      <c r="A1040" s="7">
        <v>1039</v>
      </c>
      <c r="B1040" s="9">
        <v>1019</v>
      </c>
      <c r="C1040" s="14" t="str">
        <f>IFERROR(_xlfn.TEXTJOIN("-", TRUE, _xlfn.XLOOKUP(K1040, product_category_id_lookup!$A$2:$A$5, product_category_id_lookup!$B$2:$B$5), B1040), "Unknown Category")</f>
        <v>fd-1019</v>
      </c>
      <c r="D1040" s="8">
        <v>44900</v>
      </c>
      <c r="E1040" s="14">
        <f t="shared" si="48"/>
        <v>2022</v>
      </c>
      <c r="F1040" s="29" t="str">
        <f t="shared" si="49"/>
        <v>Dec</v>
      </c>
      <c r="G1040" s="17" t="s">
        <v>33</v>
      </c>
      <c r="H1040" s="17" t="s">
        <v>30</v>
      </c>
      <c r="I1040" s="24">
        <v>139576.86960000001</v>
      </c>
      <c r="J1040" s="32">
        <v>28</v>
      </c>
      <c r="K1040" s="17" t="s">
        <v>24</v>
      </c>
      <c r="L1040" s="24">
        <v>4790.6499999999996</v>
      </c>
      <c r="M1040" s="24">
        <v>5139.0600000000004</v>
      </c>
      <c r="N1040" s="34">
        <f>((sales_data_1[[#This Row],[Unit_Price]]*(1-sales_data_1[[#This Row],[Discount]]))-sales_data_1[[#This Row],[Unit_Cost]])*sales_data_1[[#This Row],[Quantity_Sold]]</f>
        <v>5438.6696000000193</v>
      </c>
      <c r="O1040" s="17" t="s">
        <v>17</v>
      </c>
      <c r="P1040" s="26">
        <v>0.03</v>
      </c>
      <c r="Q1040" s="17" t="s">
        <v>18</v>
      </c>
      <c r="R1040" s="17" t="s">
        <v>19</v>
      </c>
      <c r="S1040" s="50" t="str">
        <f t="shared" si="50"/>
        <v>Alice-East</v>
      </c>
      <c r="T1040" s="59" t="str">
        <f>IF(ROUND(sales_data_1[[#This Row],[Profit_Margin]],2)=ROUND((sales_data_1[[#This Row],[Unit_Price]]*(1-sales_data_1[[#This Row],[Discount]]) - sales_data_1[[#This Row],[Unit_Cost]])*sales_data_1[[#This Row],[Quantity_Sold]],2), "PASS", "CHECK")</f>
        <v>PASS</v>
      </c>
    </row>
    <row r="1041" spans="1:20" x14ac:dyDescent="0.35">
      <c r="A1041" s="7">
        <v>1040</v>
      </c>
      <c r="B1041" s="9">
        <v>1067</v>
      </c>
      <c r="C1041" s="14" t="str">
        <f>IFERROR(_xlfn.TEXTJOIN("-", TRUE, _xlfn.XLOOKUP(K1041, product_category_id_lookup!$A$2:$A$5, product_category_id_lookup!$B$2:$B$5), B1041), "Unknown Category")</f>
        <v>fd-1067</v>
      </c>
      <c r="D1041" s="8">
        <v>44900</v>
      </c>
      <c r="E1041" s="14">
        <f t="shared" si="48"/>
        <v>2022</v>
      </c>
      <c r="F1041" s="29" t="str">
        <f t="shared" si="49"/>
        <v>Dec</v>
      </c>
      <c r="G1041" s="17" t="s">
        <v>14</v>
      </c>
      <c r="H1041" s="17" t="s">
        <v>23</v>
      </c>
      <c r="I1041" s="24">
        <v>81808.98980444709</v>
      </c>
      <c r="J1041" s="32">
        <v>16</v>
      </c>
      <c r="K1041" s="17" t="s">
        <v>24</v>
      </c>
      <c r="L1041" s="24">
        <v>4156.5600000000004</v>
      </c>
      <c r="M1041" s="24">
        <v>5191.76</v>
      </c>
      <c r="N1041" s="34">
        <f>((sales_data_1[[#This Row],[Unit_Price]]*(1-sales_data_1[[#This Row],[Discount]]))-sales_data_1[[#This Row],[Unit_Cost]])*sales_data_1[[#This Row],[Quantity_Sold]]</f>
        <v>14901.83679999999</v>
      </c>
      <c r="O1041" s="17" t="s">
        <v>17</v>
      </c>
      <c r="P1041" s="26">
        <v>0.02</v>
      </c>
      <c r="Q1041" s="17" t="s">
        <v>18</v>
      </c>
      <c r="R1041" s="17" t="s">
        <v>19</v>
      </c>
      <c r="S1041" s="50" t="str">
        <f t="shared" si="50"/>
        <v>Bob-South</v>
      </c>
      <c r="T1041" s="59" t="str">
        <f>IF(ROUND(sales_data_1[[#This Row],[Profit_Margin]],2)=ROUND((sales_data_1[[#This Row],[Unit_Price]]*(1-sales_data_1[[#This Row],[Discount]]) - sales_data_1[[#This Row],[Unit_Cost]])*sales_data_1[[#This Row],[Quantity_Sold]],2), "PASS", "CHECK")</f>
        <v>PASS</v>
      </c>
    </row>
    <row r="1042" spans="1:20" x14ac:dyDescent="0.35">
      <c r="A1042" s="7">
        <v>1041</v>
      </c>
      <c r="B1042" s="9">
        <v>1010</v>
      </c>
      <c r="C1042" s="14" t="str">
        <f>IFERROR(_xlfn.TEXTJOIN("-", TRUE, _xlfn.XLOOKUP(K1042, product_category_id_lookup!$A$2:$A$5, product_category_id_lookup!$B$2:$B$5), B1042), "Unknown Category")</f>
        <v>ctg-1010</v>
      </c>
      <c r="D1042" s="8">
        <v>44900</v>
      </c>
      <c r="E1042" s="14">
        <f t="shared" si="48"/>
        <v>2022</v>
      </c>
      <c r="F1042" s="29" t="str">
        <f t="shared" si="49"/>
        <v>Dec</v>
      </c>
      <c r="G1042" s="17" t="s">
        <v>14</v>
      </c>
      <c r="H1042" s="17" t="s">
        <v>30</v>
      </c>
      <c r="I1042" s="24">
        <v>124661.01699999999</v>
      </c>
      <c r="J1042" s="32">
        <v>34</v>
      </c>
      <c r="K1042" s="17" t="s">
        <v>26</v>
      </c>
      <c r="L1042" s="24">
        <v>183.74</v>
      </c>
      <c r="M1042" s="24">
        <v>4313.53</v>
      </c>
      <c r="N1042" s="34">
        <f>((sales_data_1[[#This Row],[Unit_Price]]*(1-sales_data_1[[#This Row],[Discount]]))-sales_data_1[[#This Row],[Unit_Cost]])*sales_data_1[[#This Row],[Quantity_Sold]]</f>
        <v>118413.85699999997</v>
      </c>
      <c r="O1042" s="17" t="s">
        <v>17</v>
      </c>
      <c r="P1042" s="26">
        <v>0.15</v>
      </c>
      <c r="Q1042" s="17" t="s">
        <v>28</v>
      </c>
      <c r="R1042" s="17" t="s">
        <v>19</v>
      </c>
      <c r="S1042" s="50" t="str">
        <f t="shared" si="50"/>
        <v>Bob-East</v>
      </c>
      <c r="T1042" s="59" t="str">
        <f>IF(ROUND(sales_data_1[[#This Row],[Profit_Margin]],2)=ROUND((sales_data_1[[#This Row],[Unit_Price]]*(1-sales_data_1[[#This Row],[Discount]]) - sales_data_1[[#This Row],[Unit_Cost]])*sales_data_1[[#This Row],[Quantity_Sold]],2), "PASS", "CHECK")</f>
        <v>PASS</v>
      </c>
    </row>
    <row r="1043" spans="1:20" x14ac:dyDescent="0.35">
      <c r="A1043" s="7">
        <v>1042</v>
      </c>
      <c r="B1043" s="9">
        <v>1100</v>
      </c>
      <c r="C1043" s="14" t="str">
        <f>IFERROR(_xlfn.TEXTJOIN("-", TRUE, _xlfn.XLOOKUP(K1043, product_category_id_lookup!$A$2:$A$5, product_category_id_lookup!$B$2:$B$5), B1043), "Unknown Category")</f>
        <v>fd-1100</v>
      </c>
      <c r="D1043" s="8">
        <v>44901</v>
      </c>
      <c r="E1043" s="14">
        <f t="shared" si="48"/>
        <v>2022</v>
      </c>
      <c r="F1043" s="29" t="str">
        <f t="shared" si="49"/>
        <v>Dec</v>
      </c>
      <c r="G1043" s="17" t="s">
        <v>22</v>
      </c>
      <c r="H1043" s="17" t="s">
        <v>15</v>
      </c>
      <c r="I1043" s="24">
        <v>104119.54919999999</v>
      </c>
      <c r="J1043" s="32">
        <v>41</v>
      </c>
      <c r="K1043" s="17" t="s">
        <v>24</v>
      </c>
      <c r="L1043" s="24">
        <v>1741.62</v>
      </c>
      <c r="M1043" s="24">
        <v>3059.64</v>
      </c>
      <c r="N1043" s="34">
        <f>((sales_data_1[[#This Row],[Unit_Price]]*(1-sales_data_1[[#This Row],[Discount]]))-sales_data_1[[#This Row],[Unit_Cost]])*sales_data_1[[#This Row],[Quantity_Sold]]</f>
        <v>32713.129199999992</v>
      </c>
      <c r="O1043" s="17" t="s">
        <v>27</v>
      </c>
      <c r="P1043" s="26">
        <v>0.17</v>
      </c>
      <c r="Q1043" s="17" t="s">
        <v>28</v>
      </c>
      <c r="R1043" s="17" t="s">
        <v>21</v>
      </c>
      <c r="S1043" s="50" t="str">
        <f t="shared" si="50"/>
        <v>David-North</v>
      </c>
      <c r="T1043" s="59" t="str">
        <f>IF(ROUND(sales_data_1[[#This Row],[Profit_Margin]],2)=ROUND((sales_data_1[[#This Row],[Unit_Price]]*(1-sales_data_1[[#This Row],[Discount]]) - sales_data_1[[#This Row],[Unit_Cost]])*sales_data_1[[#This Row],[Quantity_Sold]],2), "PASS", "CHECK")</f>
        <v>PASS</v>
      </c>
    </row>
    <row r="1044" spans="1:20" x14ac:dyDescent="0.35">
      <c r="A1044" s="7">
        <v>1043</v>
      </c>
      <c r="B1044" s="9">
        <v>1073</v>
      </c>
      <c r="C1044" s="14" t="str">
        <f>IFERROR(_xlfn.TEXTJOIN("-", TRUE, _xlfn.XLOOKUP(K1044, product_category_id_lookup!$A$2:$A$5, product_category_id_lookup!$B$2:$B$5), B1044), "Unknown Category")</f>
        <v>fnt-1073</v>
      </c>
      <c r="D1044" s="8">
        <v>44902</v>
      </c>
      <c r="E1044" s="14">
        <f t="shared" si="48"/>
        <v>2022</v>
      </c>
      <c r="F1044" s="29" t="str">
        <f t="shared" si="49"/>
        <v>Dec</v>
      </c>
      <c r="G1044" s="17" t="s">
        <v>33</v>
      </c>
      <c r="H1044" s="17" t="s">
        <v>15</v>
      </c>
      <c r="I1044" s="24">
        <v>35496.078031125668</v>
      </c>
      <c r="J1044" s="32">
        <v>10</v>
      </c>
      <c r="K1044" s="17" t="s">
        <v>16</v>
      </c>
      <c r="L1044" s="24">
        <v>2753.13</v>
      </c>
      <c r="M1044" s="24">
        <v>3666.69</v>
      </c>
      <c r="N1044" s="34">
        <f>((sales_data_1[[#This Row],[Unit_Price]]*(1-sales_data_1[[#This Row],[Discount]]))-sales_data_1[[#This Row],[Unit_Cost]])*sales_data_1[[#This Row],[Quantity_Sold]]</f>
        <v>8035.5929999999989</v>
      </c>
      <c r="O1044" s="17" t="s">
        <v>27</v>
      </c>
      <c r="P1044" s="26">
        <v>0.03</v>
      </c>
      <c r="Q1044" s="17" t="s">
        <v>25</v>
      </c>
      <c r="R1044" s="17" t="s">
        <v>21</v>
      </c>
      <c r="S1044" s="50" t="str">
        <f t="shared" si="50"/>
        <v>Alice-North</v>
      </c>
      <c r="T1044" s="59" t="str">
        <f>IF(ROUND(sales_data_1[[#This Row],[Profit_Margin]],2)=ROUND((sales_data_1[[#This Row],[Unit_Price]]*(1-sales_data_1[[#This Row],[Discount]]) - sales_data_1[[#This Row],[Unit_Cost]])*sales_data_1[[#This Row],[Quantity_Sold]],2), "PASS", "CHECK")</f>
        <v>PASS</v>
      </c>
    </row>
    <row r="1045" spans="1:20" x14ac:dyDescent="0.35">
      <c r="A1045" s="7">
        <v>1044</v>
      </c>
      <c r="B1045" s="9">
        <v>1044</v>
      </c>
      <c r="C1045" s="14" t="str">
        <f>IFERROR(_xlfn.TEXTJOIN("-", TRUE, _xlfn.XLOOKUP(K1045, product_category_id_lookup!$A$2:$A$5, product_category_id_lookup!$B$2:$B$5), B1045), "Unknown Category")</f>
        <v>fnt-1044</v>
      </c>
      <c r="D1045" s="8">
        <v>44902</v>
      </c>
      <c r="E1045" s="14">
        <f t="shared" si="48"/>
        <v>2022</v>
      </c>
      <c r="F1045" s="29" t="str">
        <f t="shared" si="49"/>
        <v>Dec</v>
      </c>
      <c r="G1045" s="17" t="s">
        <v>29</v>
      </c>
      <c r="H1045" s="17" t="s">
        <v>30</v>
      </c>
      <c r="I1045" s="24">
        <v>126352.51726767018</v>
      </c>
      <c r="J1045" s="32">
        <v>24</v>
      </c>
      <c r="K1045" s="17" t="s">
        <v>16</v>
      </c>
      <c r="L1045" s="24">
        <v>4816.04</v>
      </c>
      <c r="M1045" s="24">
        <v>5470.6</v>
      </c>
      <c r="N1045" s="34">
        <f>((sales_data_1[[#This Row],[Unit_Price]]*(1-sales_data_1[[#This Row],[Discount]]))-sales_data_1[[#This Row],[Unit_Cost]])*sales_data_1[[#This Row],[Quantity_Sold]]</f>
        <v>10457.663999999997</v>
      </c>
      <c r="O1045" s="17" t="s">
        <v>27</v>
      </c>
      <c r="P1045" s="26">
        <v>0.04</v>
      </c>
      <c r="Q1045" s="17" t="s">
        <v>18</v>
      </c>
      <c r="R1045" s="17" t="s">
        <v>19</v>
      </c>
      <c r="S1045" s="50" t="str">
        <f t="shared" si="50"/>
        <v>Charlie-East</v>
      </c>
      <c r="T1045" s="59" t="str">
        <f>IF(ROUND(sales_data_1[[#This Row],[Profit_Margin]],2)=ROUND((sales_data_1[[#This Row],[Unit_Price]]*(1-sales_data_1[[#This Row],[Discount]]) - sales_data_1[[#This Row],[Unit_Cost]])*sales_data_1[[#This Row],[Quantity_Sold]],2), "PASS", "CHECK")</f>
        <v>PASS</v>
      </c>
    </row>
    <row r="1046" spans="1:20" x14ac:dyDescent="0.35">
      <c r="A1046" s="7">
        <v>1045</v>
      </c>
      <c r="B1046" s="9">
        <v>1076</v>
      </c>
      <c r="C1046" s="14" t="str">
        <f>IFERROR(_xlfn.TEXTJOIN("-", TRUE, _xlfn.XLOOKUP(K1046, product_category_id_lookup!$A$2:$A$5, product_category_id_lookup!$B$2:$B$5), B1046), "Unknown Category")</f>
        <v>fd-1076</v>
      </c>
      <c r="D1046" s="8">
        <v>44902</v>
      </c>
      <c r="E1046" s="14">
        <f t="shared" si="48"/>
        <v>2022</v>
      </c>
      <c r="F1046" s="29" t="str">
        <f t="shared" si="49"/>
        <v>Dec</v>
      </c>
      <c r="G1046" s="17" t="s">
        <v>32</v>
      </c>
      <c r="H1046" s="17" t="s">
        <v>15</v>
      </c>
      <c r="I1046" s="24">
        <v>29729.083999999999</v>
      </c>
      <c r="J1046" s="32">
        <v>20</v>
      </c>
      <c r="K1046" s="17" t="s">
        <v>24</v>
      </c>
      <c r="L1046" s="24">
        <v>349.99</v>
      </c>
      <c r="M1046" s="24">
        <v>1516.79</v>
      </c>
      <c r="N1046" s="34">
        <f>((sales_data_1[[#This Row],[Unit_Price]]*(1-sales_data_1[[#This Row],[Discount]]))-sales_data_1[[#This Row],[Unit_Cost]])*sales_data_1[[#This Row],[Quantity_Sold]]</f>
        <v>22729.284</v>
      </c>
      <c r="O1046" s="17" t="s">
        <v>27</v>
      </c>
      <c r="P1046" s="26">
        <v>0.02</v>
      </c>
      <c r="Q1046" s="17" t="s">
        <v>28</v>
      </c>
      <c r="R1046" s="17" t="s">
        <v>21</v>
      </c>
      <c r="S1046" s="50" t="str">
        <f t="shared" si="50"/>
        <v>Eve-North</v>
      </c>
      <c r="T1046" s="59" t="str">
        <f>IF(ROUND(sales_data_1[[#This Row],[Profit_Margin]],2)=ROUND((sales_data_1[[#This Row],[Unit_Price]]*(1-sales_data_1[[#This Row],[Discount]]) - sales_data_1[[#This Row],[Unit_Cost]])*sales_data_1[[#This Row],[Quantity_Sold]],2), "PASS", "CHECK")</f>
        <v>PASS</v>
      </c>
    </row>
    <row r="1047" spans="1:20" x14ac:dyDescent="0.35">
      <c r="A1047" s="7">
        <v>1046</v>
      </c>
      <c r="B1047" s="9">
        <v>1061</v>
      </c>
      <c r="C1047" s="14" t="str">
        <f>IFERROR(_xlfn.TEXTJOIN("-", TRUE, _xlfn.XLOOKUP(K1047, product_category_id_lookup!$A$2:$A$5, product_category_id_lookup!$B$2:$B$5), B1047), "Unknown Category")</f>
        <v>fd-1061</v>
      </c>
      <c r="D1047" s="8">
        <v>44902</v>
      </c>
      <c r="E1047" s="14">
        <f t="shared" si="48"/>
        <v>2022</v>
      </c>
      <c r="F1047" s="29" t="str">
        <f t="shared" si="49"/>
        <v>Dec</v>
      </c>
      <c r="G1047" s="17" t="s">
        <v>22</v>
      </c>
      <c r="H1047" s="17" t="s">
        <v>15</v>
      </c>
      <c r="I1047" s="24">
        <v>48114.504899999993</v>
      </c>
      <c r="J1047" s="32">
        <v>21</v>
      </c>
      <c r="K1047" s="17" t="s">
        <v>24</v>
      </c>
      <c r="L1047" s="24">
        <v>934.73</v>
      </c>
      <c r="M1047" s="24">
        <v>2314.31</v>
      </c>
      <c r="N1047" s="34">
        <f>((sales_data_1[[#This Row],[Unit_Price]]*(1-sales_data_1[[#This Row],[Discount]]))-sales_data_1[[#This Row],[Unit_Cost]])*sales_data_1[[#This Row],[Quantity_Sold]]</f>
        <v>28485.174899999995</v>
      </c>
      <c r="O1047" s="17" t="s">
        <v>17</v>
      </c>
      <c r="P1047" s="26">
        <v>0.01</v>
      </c>
      <c r="Q1047" s="17" t="s">
        <v>25</v>
      </c>
      <c r="R1047" s="17" t="s">
        <v>19</v>
      </c>
      <c r="S1047" s="50" t="str">
        <f t="shared" si="50"/>
        <v>David-North</v>
      </c>
      <c r="T1047" s="59" t="str">
        <f>IF(ROUND(sales_data_1[[#This Row],[Profit_Margin]],2)=ROUND((sales_data_1[[#This Row],[Unit_Price]]*(1-sales_data_1[[#This Row],[Discount]]) - sales_data_1[[#This Row],[Unit_Cost]])*sales_data_1[[#This Row],[Quantity_Sold]],2), "PASS", "CHECK")</f>
        <v>PASS</v>
      </c>
    </row>
    <row r="1048" spans="1:20" x14ac:dyDescent="0.35">
      <c r="A1048" s="7">
        <v>1047</v>
      </c>
      <c r="B1048" s="9">
        <v>1056</v>
      </c>
      <c r="C1048" s="14" t="str">
        <f>IFERROR(_xlfn.TEXTJOIN("-", TRUE, _xlfn.XLOOKUP(K1048, product_category_id_lookup!$A$2:$A$5, product_category_id_lookup!$B$2:$B$5), B1048), "Unknown Category")</f>
        <v>fnt-1056</v>
      </c>
      <c r="D1048" s="8">
        <v>44903</v>
      </c>
      <c r="E1048" s="14">
        <f t="shared" si="48"/>
        <v>2022</v>
      </c>
      <c r="F1048" s="29" t="str">
        <f t="shared" si="49"/>
        <v>Dec</v>
      </c>
      <c r="G1048" s="17" t="s">
        <v>32</v>
      </c>
      <c r="H1048" s="17" t="s">
        <v>15</v>
      </c>
      <c r="I1048" s="24">
        <v>18572.592000000001</v>
      </c>
      <c r="J1048" s="32">
        <v>46</v>
      </c>
      <c r="K1048" s="17" t="s">
        <v>16</v>
      </c>
      <c r="L1048" s="24">
        <v>313.49</v>
      </c>
      <c r="M1048" s="24">
        <v>504.69</v>
      </c>
      <c r="N1048" s="34">
        <f>((sales_data_1[[#This Row],[Unit_Price]]*(1-sales_data_1[[#This Row],[Discount]]))-sales_data_1[[#This Row],[Unit_Cost]])*sales_data_1[[#This Row],[Quantity_Sold]]</f>
        <v>4152.0519999999997</v>
      </c>
      <c r="O1048" s="17" t="s">
        <v>17</v>
      </c>
      <c r="P1048" s="26">
        <v>0.2</v>
      </c>
      <c r="Q1048" s="17" t="s">
        <v>18</v>
      </c>
      <c r="R1048" s="17" t="s">
        <v>21</v>
      </c>
      <c r="S1048" s="50" t="str">
        <f t="shared" si="50"/>
        <v>Eve-North</v>
      </c>
      <c r="T1048" s="59" t="str">
        <f>IF(ROUND(sales_data_1[[#This Row],[Profit_Margin]],2)=ROUND((sales_data_1[[#This Row],[Unit_Price]]*(1-sales_data_1[[#This Row],[Discount]]) - sales_data_1[[#This Row],[Unit_Cost]])*sales_data_1[[#This Row],[Quantity_Sold]],2), "PASS", "CHECK")</f>
        <v>PASS</v>
      </c>
    </row>
    <row r="1049" spans="1:20" x14ac:dyDescent="0.35">
      <c r="A1049" s="7">
        <v>1048</v>
      </c>
      <c r="B1049" s="9">
        <v>1059</v>
      </c>
      <c r="C1049" s="14" t="str">
        <f>IFERROR(_xlfn.TEXTJOIN("-", TRUE, _xlfn.XLOOKUP(K1049, product_category_id_lookup!$A$2:$A$5, product_category_id_lookup!$B$2:$B$5), B1049), "Unknown Category")</f>
        <v>ctg-1059</v>
      </c>
      <c r="D1049" s="8">
        <v>44903</v>
      </c>
      <c r="E1049" s="14">
        <f t="shared" si="48"/>
        <v>2022</v>
      </c>
      <c r="F1049" s="29" t="str">
        <f t="shared" si="49"/>
        <v>Dec</v>
      </c>
      <c r="G1049" s="17" t="s">
        <v>33</v>
      </c>
      <c r="H1049" s="17" t="s">
        <v>15</v>
      </c>
      <c r="I1049" s="24">
        <v>96452.971999999994</v>
      </c>
      <c r="J1049" s="32">
        <v>35</v>
      </c>
      <c r="K1049" s="17" t="s">
        <v>26</v>
      </c>
      <c r="L1049" s="24">
        <v>502.87</v>
      </c>
      <c r="M1049" s="24">
        <v>2812.04</v>
      </c>
      <c r="N1049" s="34">
        <f>((sales_data_1[[#This Row],[Unit_Price]]*(1-sales_data_1[[#This Row],[Discount]]))-sales_data_1[[#This Row],[Unit_Cost]])*sales_data_1[[#This Row],[Quantity_Sold]]</f>
        <v>78852.521999999997</v>
      </c>
      <c r="O1049" s="17" t="s">
        <v>17</v>
      </c>
      <c r="P1049" s="26">
        <v>0.02</v>
      </c>
      <c r="Q1049" s="17" t="s">
        <v>28</v>
      </c>
      <c r="R1049" s="17" t="s">
        <v>21</v>
      </c>
      <c r="S1049" s="50" t="str">
        <f t="shared" si="50"/>
        <v>Alice-North</v>
      </c>
      <c r="T1049" s="59" t="str">
        <f>IF(ROUND(sales_data_1[[#This Row],[Profit_Margin]],2)=ROUND((sales_data_1[[#This Row],[Unit_Price]]*(1-sales_data_1[[#This Row],[Discount]]) - sales_data_1[[#This Row],[Unit_Cost]])*sales_data_1[[#This Row],[Quantity_Sold]],2), "PASS", "CHECK")</f>
        <v>PASS</v>
      </c>
    </row>
    <row r="1050" spans="1:20" x14ac:dyDescent="0.35">
      <c r="A1050" s="7">
        <v>1049</v>
      </c>
      <c r="B1050" s="9">
        <v>1031</v>
      </c>
      <c r="C1050" s="14" t="str">
        <f>IFERROR(_xlfn.TEXTJOIN("-", TRUE, _xlfn.XLOOKUP(K1050, product_category_id_lookup!$A$2:$A$5, product_category_id_lookup!$B$2:$B$5), B1050), "Unknown Category")</f>
        <v>fd-1031</v>
      </c>
      <c r="D1050" s="8">
        <v>44904</v>
      </c>
      <c r="E1050" s="14">
        <f t="shared" si="48"/>
        <v>2022</v>
      </c>
      <c r="F1050" s="29" t="str">
        <f t="shared" si="49"/>
        <v>Dec</v>
      </c>
      <c r="G1050" s="17" t="s">
        <v>14</v>
      </c>
      <c r="H1050" s="17" t="s">
        <v>15</v>
      </c>
      <c r="I1050" s="24">
        <v>10012.780799999999</v>
      </c>
      <c r="J1050" s="32">
        <v>6</v>
      </c>
      <c r="K1050" s="17" t="s">
        <v>24</v>
      </c>
      <c r="L1050" s="24">
        <v>1459.91</v>
      </c>
      <c r="M1050" s="24">
        <v>1738.33</v>
      </c>
      <c r="N1050" s="34">
        <f>((sales_data_1[[#This Row],[Unit_Price]]*(1-sales_data_1[[#This Row],[Discount]]))-sales_data_1[[#This Row],[Unit_Cost]])*sales_data_1[[#This Row],[Quantity_Sold]]</f>
        <v>1253.3207999999986</v>
      </c>
      <c r="O1050" s="17" t="s">
        <v>27</v>
      </c>
      <c r="P1050" s="26">
        <v>0.04</v>
      </c>
      <c r="Q1050" s="17" t="s">
        <v>28</v>
      </c>
      <c r="R1050" s="17" t="s">
        <v>21</v>
      </c>
      <c r="S1050" s="50" t="str">
        <f t="shared" si="50"/>
        <v>Bob-North</v>
      </c>
      <c r="T1050" s="59" t="str">
        <f>IF(ROUND(sales_data_1[[#This Row],[Profit_Margin]],2)=ROUND((sales_data_1[[#This Row],[Unit_Price]]*(1-sales_data_1[[#This Row],[Discount]]) - sales_data_1[[#This Row],[Unit_Cost]])*sales_data_1[[#This Row],[Quantity_Sold]],2), "PASS", "CHECK")</f>
        <v>PASS</v>
      </c>
    </row>
    <row r="1051" spans="1:20" x14ac:dyDescent="0.35">
      <c r="A1051" s="7">
        <v>1050</v>
      </c>
      <c r="B1051" s="9">
        <v>1044</v>
      </c>
      <c r="C1051" s="14" t="str">
        <f>IFERROR(_xlfn.TEXTJOIN("-", TRUE, _xlfn.XLOOKUP(K1051, product_category_id_lookup!$A$2:$A$5, product_category_id_lookup!$B$2:$B$5), B1051), "Unknown Category")</f>
        <v>fd-1044</v>
      </c>
      <c r="D1051" s="8">
        <v>44904</v>
      </c>
      <c r="E1051" s="14">
        <f t="shared" si="48"/>
        <v>2022</v>
      </c>
      <c r="F1051" s="29" t="str">
        <f t="shared" si="49"/>
        <v>Dec</v>
      </c>
      <c r="G1051" s="17" t="s">
        <v>14</v>
      </c>
      <c r="H1051" s="17" t="s">
        <v>30</v>
      </c>
      <c r="I1051" s="24">
        <v>113183.144</v>
      </c>
      <c r="J1051" s="32">
        <v>47</v>
      </c>
      <c r="K1051" s="17" t="s">
        <v>24</v>
      </c>
      <c r="L1051" s="24">
        <v>373.84</v>
      </c>
      <c r="M1051" s="24">
        <v>3010.19</v>
      </c>
      <c r="N1051" s="34">
        <f>((sales_data_1[[#This Row],[Unit_Price]]*(1-sales_data_1[[#This Row],[Discount]]))-sales_data_1[[#This Row],[Unit_Cost]])*sales_data_1[[#This Row],[Quantity_Sold]]</f>
        <v>95612.664000000004</v>
      </c>
      <c r="O1051" s="17" t="s">
        <v>17</v>
      </c>
      <c r="P1051" s="26">
        <v>0.2</v>
      </c>
      <c r="Q1051" s="17" t="s">
        <v>28</v>
      </c>
      <c r="R1051" s="17" t="s">
        <v>21</v>
      </c>
      <c r="S1051" s="50" t="str">
        <f t="shared" si="50"/>
        <v>Bob-East</v>
      </c>
      <c r="T1051" s="59" t="str">
        <f>IF(ROUND(sales_data_1[[#This Row],[Profit_Margin]],2)=ROUND((sales_data_1[[#This Row],[Unit_Price]]*(1-sales_data_1[[#This Row],[Discount]]) - sales_data_1[[#This Row],[Unit_Cost]])*sales_data_1[[#This Row],[Quantity_Sold]],2), "PASS", "CHECK")</f>
        <v>PASS</v>
      </c>
    </row>
    <row r="1052" spans="1:20" x14ac:dyDescent="0.35">
      <c r="A1052" s="7">
        <v>1051</v>
      </c>
      <c r="B1052" s="9">
        <v>1048</v>
      </c>
      <c r="C1052" s="14" t="str">
        <f>IFERROR(_xlfn.TEXTJOIN("-", TRUE, _xlfn.XLOOKUP(K1052, product_category_id_lookup!$A$2:$A$5, product_category_id_lookup!$B$2:$B$5), B1052), "Unknown Category")</f>
        <v>etc-1048</v>
      </c>
      <c r="D1052" s="8">
        <v>44905</v>
      </c>
      <c r="E1052" s="14">
        <f t="shared" si="48"/>
        <v>2022</v>
      </c>
      <c r="F1052" s="29" t="str">
        <f t="shared" si="49"/>
        <v>Dec</v>
      </c>
      <c r="G1052" s="17" t="s">
        <v>29</v>
      </c>
      <c r="H1052" s="17" t="s">
        <v>15</v>
      </c>
      <c r="I1052" s="24">
        <v>102097.68</v>
      </c>
      <c r="J1052" s="32">
        <v>24</v>
      </c>
      <c r="K1052" s="17" t="s">
        <v>31</v>
      </c>
      <c r="L1052" s="24">
        <v>2496.9699999999998</v>
      </c>
      <c r="M1052" s="24">
        <v>4254.07</v>
      </c>
      <c r="N1052" s="34">
        <f>((sales_data_1[[#This Row],[Unit_Price]]*(1-sales_data_1[[#This Row],[Discount]]))-sales_data_1[[#This Row],[Unit_Cost]])*sales_data_1[[#This Row],[Quantity_Sold]]</f>
        <v>42170.399999999994</v>
      </c>
      <c r="O1052" s="17" t="s">
        <v>17</v>
      </c>
      <c r="P1052" s="26">
        <v>0</v>
      </c>
      <c r="Q1052" s="17" t="s">
        <v>18</v>
      </c>
      <c r="R1052" s="17" t="s">
        <v>19</v>
      </c>
      <c r="S1052" s="50" t="str">
        <f t="shared" si="50"/>
        <v>Charlie-North</v>
      </c>
      <c r="T1052" s="59" t="str">
        <f>IF(ROUND(sales_data_1[[#This Row],[Profit_Margin]],2)=ROUND((sales_data_1[[#This Row],[Unit_Price]]*(1-sales_data_1[[#This Row],[Discount]]) - sales_data_1[[#This Row],[Unit_Cost]])*sales_data_1[[#This Row],[Quantity_Sold]],2), "PASS", "CHECK")</f>
        <v>PASS</v>
      </c>
    </row>
    <row r="1053" spans="1:20" x14ac:dyDescent="0.35">
      <c r="A1053" s="7">
        <v>1052</v>
      </c>
      <c r="B1053" s="9">
        <v>1048</v>
      </c>
      <c r="C1053" s="14" t="str">
        <f>IFERROR(_xlfn.TEXTJOIN("-", TRUE, _xlfn.XLOOKUP(K1053, product_category_id_lookup!$A$2:$A$5, product_category_id_lookup!$B$2:$B$5), B1053), "Unknown Category")</f>
        <v>fd-1048</v>
      </c>
      <c r="D1053" s="8">
        <v>44905</v>
      </c>
      <c r="E1053" s="14">
        <f t="shared" si="48"/>
        <v>2022</v>
      </c>
      <c r="F1053" s="29" t="str">
        <f t="shared" si="49"/>
        <v>Dec</v>
      </c>
      <c r="G1053" s="17" t="s">
        <v>32</v>
      </c>
      <c r="H1053" s="17" t="s">
        <v>15</v>
      </c>
      <c r="I1053" s="24">
        <v>171682.71119999996</v>
      </c>
      <c r="J1053" s="32">
        <v>49</v>
      </c>
      <c r="K1053" s="17" t="s">
        <v>24</v>
      </c>
      <c r="L1053" s="24">
        <v>2044.55</v>
      </c>
      <c r="M1053" s="24">
        <v>4221.3599999999997</v>
      </c>
      <c r="N1053" s="34">
        <f>((sales_data_1[[#This Row],[Unit_Price]]*(1-sales_data_1[[#This Row],[Discount]]))-sales_data_1[[#This Row],[Unit_Cost]])*sales_data_1[[#This Row],[Quantity_Sold]]</f>
        <v>71499.761199999979</v>
      </c>
      <c r="O1053" s="17" t="s">
        <v>27</v>
      </c>
      <c r="P1053" s="26">
        <v>0.17</v>
      </c>
      <c r="Q1053" s="17" t="s">
        <v>18</v>
      </c>
      <c r="R1053" s="17" t="s">
        <v>21</v>
      </c>
      <c r="S1053" s="50" t="str">
        <f t="shared" si="50"/>
        <v>Eve-North</v>
      </c>
      <c r="T1053" s="59" t="str">
        <f>IF(ROUND(sales_data_1[[#This Row],[Profit_Margin]],2)=ROUND((sales_data_1[[#This Row],[Unit_Price]]*(1-sales_data_1[[#This Row],[Discount]]) - sales_data_1[[#This Row],[Unit_Cost]])*sales_data_1[[#This Row],[Quantity_Sold]],2), "PASS", "CHECK")</f>
        <v>PASS</v>
      </c>
    </row>
    <row r="1054" spans="1:20" x14ac:dyDescent="0.35">
      <c r="A1054" s="7">
        <v>1053</v>
      </c>
      <c r="B1054" s="9">
        <v>1086</v>
      </c>
      <c r="C1054" s="14" t="str">
        <f>IFERROR(_xlfn.TEXTJOIN("-", TRUE, _xlfn.XLOOKUP(K1054, product_category_id_lookup!$A$2:$A$5, product_category_id_lookup!$B$2:$B$5), B1054), "Unknown Category")</f>
        <v>fnt-1086</v>
      </c>
      <c r="D1054" s="8">
        <v>44905</v>
      </c>
      <c r="E1054" s="14">
        <f t="shared" si="48"/>
        <v>2022</v>
      </c>
      <c r="F1054" s="29" t="str">
        <f t="shared" si="49"/>
        <v>Dec</v>
      </c>
      <c r="G1054" s="17" t="s">
        <v>14</v>
      </c>
      <c r="H1054" s="17" t="s">
        <v>30</v>
      </c>
      <c r="I1054" s="24">
        <v>96380.524799999985</v>
      </c>
      <c r="J1054" s="32">
        <v>21</v>
      </c>
      <c r="K1054" s="17" t="s">
        <v>16</v>
      </c>
      <c r="L1054" s="24">
        <v>300.29000000000002</v>
      </c>
      <c r="M1054" s="24">
        <v>4780.78</v>
      </c>
      <c r="N1054" s="34">
        <f>((sales_data_1[[#This Row],[Unit_Price]]*(1-sales_data_1[[#This Row],[Discount]]))-sales_data_1[[#This Row],[Unit_Cost]])*sales_data_1[[#This Row],[Quantity_Sold]]</f>
        <v>90074.434799999988</v>
      </c>
      <c r="O1054" s="17" t="s">
        <v>17</v>
      </c>
      <c r="P1054" s="26">
        <v>0.04</v>
      </c>
      <c r="Q1054" s="17" t="s">
        <v>28</v>
      </c>
      <c r="R1054" s="17" t="s">
        <v>19</v>
      </c>
      <c r="S1054" s="50" t="str">
        <f t="shared" si="50"/>
        <v>Bob-East</v>
      </c>
      <c r="T1054" s="59" t="str">
        <f>IF(ROUND(sales_data_1[[#This Row],[Profit_Margin]],2)=ROUND((sales_data_1[[#This Row],[Unit_Price]]*(1-sales_data_1[[#This Row],[Discount]]) - sales_data_1[[#This Row],[Unit_Cost]])*sales_data_1[[#This Row],[Quantity_Sold]],2), "PASS", "CHECK")</f>
        <v>PASS</v>
      </c>
    </row>
    <row r="1055" spans="1:20" x14ac:dyDescent="0.35">
      <c r="A1055" s="7">
        <v>1054</v>
      </c>
      <c r="B1055" s="9">
        <v>1054</v>
      </c>
      <c r="C1055" s="14" t="str">
        <f>IFERROR(_xlfn.TEXTJOIN("-", TRUE, _xlfn.XLOOKUP(K1055, product_category_id_lookup!$A$2:$A$5, product_category_id_lookup!$B$2:$B$5), B1055), "Unknown Category")</f>
        <v>etc-1054</v>
      </c>
      <c r="D1055" s="8">
        <v>44906</v>
      </c>
      <c r="E1055" s="14">
        <f t="shared" si="48"/>
        <v>2022</v>
      </c>
      <c r="F1055" s="29" t="str">
        <f t="shared" si="49"/>
        <v>Dec</v>
      </c>
      <c r="G1055" s="17" t="s">
        <v>14</v>
      </c>
      <c r="H1055" s="17" t="s">
        <v>30</v>
      </c>
      <c r="I1055" s="24">
        <v>11956.612800000003</v>
      </c>
      <c r="J1055" s="32">
        <v>3</v>
      </c>
      <c r="K1055" s="17" t="s">
        <v>31</v>
      </c>
      <c r="L1055" s="24">
        <v>679.05</v>
      </c>
      <c r="M1055" s="24">
        <v>4529.0200000000004</v>
      </c>
      <c r="N1055" s="34">
        <f>((sales_data_1[[#This Row],[Unit_Price]]*(1-sales_data_1[[#This Row],[Discount]]))-sales_data_1[[#This Row],[Unit_Cost]])*sales_data_1[[#This Row],[Quantity_Sold]]</f>
        <v>9919.4628000000012</v>
      </c>
      <c r="O1055" s="17" t="s">
        <v>17</v>
      </c>
      <c r="P1055" s="26">
        <v>0.12</v>
      </c>
      <c r="Q1055" s="17" t="s">
        <v>25</v>
      </c>
      <c r="R1055" s="17" t="s">
        <v>21</v>
      </c>
      <c r="S1055" s="50" t="str">
        <f t="shared" si="50"/>
        <v>Bob-East</v>
      </c>
      <c r="T1055" s="59" t="str">
        <f>IF(ROUND(sales_data_1[[#This Row],[Profit_Margin]],2)=ROUND((sales_data_1[[#This Row],[Unit_Price]]*(1-sales_data_1[[#This Row],[Discount]]) - sales_data_1[[#This Row],[Unit_Cost]])*sales_data_1[[#This Row],[Quantity_Sold]],2), "PASS", "CHECK")</f>
        <v>PASS</v>
      </c>
    </row>
    <row r="1056" spans="1:20" x14ac:dyDescent="0.35">
      <c r="A1056" s="7">
        <v>1055</v>
      </c>
      <c r="B1056" s="9">
        <v>1070</v>
      </c>
      <c r="C1056" s="14" t="str">
        <f>IFERROR(_xlfn.TEXTJOIN("-", TRUE, _xlfn.XLOOKUP(K1056, product_category_id_lookup!$A$2:$A$5, product_category_id_lookup!$B$2:$B$5), B1056), "Unknown Category")</f>
        <v>fd-1070</v>
      </c>
      <c r="D1056" s="8">
        <v>44906</v>
      </c>
      <c r="E1056" s="14">
        <f t="shared" si="48"/>
        <v>2022</v>
      </c>
      <c r="F1056" s="29" t="str">
        <f t="shared" si="49"/>
        <v>Dec</v>
      </c>
      <c r="G1056" s="17" t="s">
        <v>14</v>
      </c>
      <c r="H1056" s="17" t="s">
        <v>30</v>
      </c>
      <c r="I1056" s="24">
        <v>70416.623999999996</v>
      </c>
      <c r="J1056" s="32">
        <v>16</v>
      </c>
      <c r="K1056" s="17" t="s">
        <v>24</v>
      </c>
      <c r="L1056" s="24">
        <v>190.5</v>
      </c>
      <c r="M1056" s="24">
        <v>4732.3</v>
      </c>
      <c r="N1056" s="34">
        <f>((sales_data_1[[#This Row],[Unit_Price]]*(1-sales_data_1[[#This Row],[Discount]]))-sales_data_1[[#This Row],[Unit_Cost]])*sales_data_1[[#This Row],[Quantity_Sold]]</f>
        <v>67368.623999999996</v>
      </c>
      <c r="O1056" s="17" t="s">
        <v>17</v>
      </c>
      <c r="P1056" s="26">
        <v>7.0000000000000007E-2</v>
      </c>
      <c r="Q1056" s="17" t="s">
        <v>25</v>
      </c>
      <c r="R1056" s="17" t="s">
        <v>21</v>
      </c>
      <c r="S1056" s="50" t="str">
        <f t="shared" si="50"/>
        <v>Bob-East</v>
      </c>
      <c r="T1056" s="59" t="str">
        <f>IF(ROUND(sales_data_1[[#This Row],[Profit_Margin]],2)=ROUND((sales_data_1[[#This Row],[Unit_Price]]*(1-sales_data_1[[#This Row],[Discount]]) - sales_data_1[[#This Row],[Unit_Cost]])*sales_data_1[[#This Row],[Quantity_Sold]],2), "PASS", "CHECK")</f>
        <v>PASS</v>
      </c>
    </row>
    <row r="1057" spans="1:20" x14ac:dyDescent="0.35">
      <c r="A1057" s="7">
        <v>1056</v>
      </c>
      <c r="B1057" s="9">
        <v>1047</v>
      </c>
      <c r="C1057" s="14" t="str">
        <f>IFERROR(_xlfn.TEXTJOIN("-", TRUE, _xlfn.XLOOKUP(K1057, product_category_id_lookup!$A$2:$A$5, product_category_id_lookup!$B$2:$B$5), B1057), "Unknown Category")</f>
        <v>fnt-1047</v>
      </c>
      <c r="D1057" s="8">
        <v>44907</v>
      </c>
      <c r="E1057" s="14">
        <f t="shared" si="48"/>
        <v>2022</v>
      </c>
      <c r="F1057" s="29" t="str">
        <f t="shared" si="49"/>
        <v>Dec</v>
      </c>
      <c r="G1057" s="17" t="s">
        <v>22</v>
      </c>
      <c r="H1057" s="17" t="s">
        <v>15</v>
      </c>
      <c r="I1057" s="24">
        <v>18059.4558</v>
      </c>
      <c r="J1057" s="32">
        <v>9</v>
      </c>
      <c r="K1057" s="17" t="s">
        <v>16</v>
      </c>
      <c r="L1057" s="24">
        <v>1033.19</v>
      </c>
      <c r="M1057" s="24">
        <v>2711.63</v>
      </c>
      <c r="N1057" s="34">
        <f>((sales_data_1[[#This Row],[Unit_Price]]*(1-sales_data_1[[#This Row],[Discount]]))-sales_data_1[[#This Row],[Unit_Cost]])*sales_data_1[[#This Row],[Quantity_Sold]]</f>
        <v>8760.7457999999988</v>
      </c>
      <c r="O1057" s="17" t="s">
        <v>27</v>
      </c>
      <c r="P1057" s="26">
        <v>0.26</v>
      </c>
      <c r="Q1057" s="17" t="s">
        <v>18</v>
      </c>
      <c r="R1057" s="17" t="s">
        <v>21</v>
      </c>
      <c r="S1057" s="50" t="str">
        <f t="shared" si="50"/>
        <v>David-North</v>
      </c>
      <c r="T1057" s="59" t="str">
        <f>IF(ROUND(sales_data_1[[#This Row],[Profit_Margin]],2)=ROUND((sales_data_1[[#This Row],[Unit_Price]]*(1-sales_data_1[[#This Row],[Discount]]) - sales_data_1[[#This Row],[Unit_Cost]])*sales_data_1[[#This Row],[Quantity_Sold]],2), "PASS", "CHECK")</f>
        <v>PASS</v>
      </c>
    </row>
    <row r="1058" spans="1:20" x14ac:dyDescent="0.35">
      <c r="A1058" s="7">
        <v>1057</v>
      </c>
      <c r="B1058" s="9">
        <v>1094</v>
      </c>
      <c r="C1058" s="14" t="str">
        <f>IFERROR(_xlfn.TEXTJOIN("-", TRUE, _xlfn.XLOOKUP(K1058, product_category_id_lookup!$A$2:$A$5, product_category_id_lookup!$B$2:$B$5), B1058), "Unknown Category")</f>
        <v>ctg-1094</v>
      </c>
      <c r="D1058" s="8">
        <v>44907</v>
      </c>
      <c r="E1058" s="14">
        <f t="shared" si="48"/>
        <v>2022</v>
      </c>
      <c r="F1058" s="29" t="str">
        <f t="shared" si="49"/>
        <v>Dec</v>
      </c>
      <c r="G1058" s="17" t="s">
        <v>32</v>
      </c>
      <c r="H1058" s="17" t="s">
        <v>20</v>
      </c>
      <c r="I1058" s="24">
        <v>28037.084599999998</v>
      </c>
      <c r="J1058" s="32">
        <v>7</v>
      </c>
      <c r="K1058" s="17" t="s">
        <v>26</v>
      </c>
      <c r="L1058" s="24">
        <v>396.52</v>
      </c>
      <c r="M1058" s="24">
        <v>4825.66</v>
      </c>
      <c r="N1058" s="34">
        <f>((sales_data_1[[#This Row],[Unit_Price]]*(1-sales_data_1[[#This Row],[Discount]]))-sales_data_1[[#This Row],[Unit_Cost]])*sales_data_1[[#This Row],[Quantity_Sold]]</f>
        <v>25261.444599999999</v>
      </c>
      <c r="O1058" s="17" t="s">
        <v>27</v>
      </c>
      <c r="P1058" s="26">
        <v>0.17</v>
      </c>
      <c r="Q1058" s="17" t="s">
        <v>18</v>
      </c>
      <c r="R1058" s="17" t="s">
        <v>21</v>
      </c>
      <c r="S1058" s="50" t="str">
        <f t="shared" si="50"/>
        <v>Eve-West</v>
      </c>
      <c r="T1058" s="59" t="str">
        <f>IF(ROUND(sales_data_1[[#This Row],[Profit_Margin]],2)=ROUND((sales_data_1[[#This Row],[Unit_Price]]*(1-sales_data_1[[#This Row],[Discount]]) - sales_data_1[[#This Row],[Unit_Cost]])*sales_data_1[[#This Row],[Quantity_Sold]],2), "PASS", "CHECK")</f>
        <v>PASS</v>
      </c>
    </row>
    <row r="1059" spans="1:20" x14ac:dyDescent="0.35">
      <c r="A1059" s="7">
        <v>1058</v>
      </c>
      <c r="B1059" s="9">
        <v>1076</v>
      </c>
      <c r="C1059" s="14" t="str">
        <f>IFERROR(_xlfn.TEXTJOIN("-", TRUE, _xlfn.XLOOKUP(K1059, product_category_id_lookup!$A$2:$A$5, product_category_id_lookup!$B$2:$B$5), B1059), "Unknown Category")</f>
        <v>etc-1076</v>
      </c>
      <c r="D1059" s="8">
        <v>44907</v>
      </c>
      <c r="E1059" s="14">
        <f t="shared" si="48"/>
        <v>2022</v>
      </c>
      <c r="F1059" s="29" t="str">
        <f t="shared" si="49"/>
        <v>Dec</v>
      </c>
      <c r="G1059" s="17" t="s">
        <v>22</v>
      </c>
      <c r="H1059" s="17" t="s">
        <v>23</v>
      </c>
      <c r="I1059" s="24">
        <v>139526.42408280962</v>
      </c>
      <c r="J1059" s="32">
        <v>29</v>
      </c>
      <c r="K1059" s="17" t="s">
        <v>31</v>
      </c>
      <c r="L1059" s="24">
        <v>3866.1</v>
      </c>
      <c r="M1059" s="24">
        <v>5060.05</v>
      </c>
      <c r="N1059" s="34">
        <f>((sales_data_1[[#This Row],[Unit_Price]]*(1-sales_data_1[[#This Row],[Discount]]))-sales_data_1[[#This Row],[Unit_Cost]])*sales_data_1[[#This Row],[Quantity_Sold]]</f>
        <v>27287.477499999994</v>
      </c>
      <c r="O1059" s="17" t="s">
        <v>27</v>
      </c>
      <c r="P1059" s="26">
        <v>0.05</v>
      </c>
      <c r="Q1059" s="17" t="s">
        <v>28</v>
      </c>
      <c r="R1059" s="17" t="s">
        <v>19</v>
      </c>
      <c r="S1059" s="50" t="str">
        <f t="shared" si="50"/>
        <v>David-South</v>
      </c>
      <c r="T1059" s="59" t="str">
        <f>IF(ROUND(sales_data_1[[#This Row],[Profit_Margin]],2)=ROUND((sales_data_1[[#This Row],[Unit_Price]]*(1-sales_data_1[[#This Row],[Discount]]) - sales_data_1[[#This Row],[Unit_Cost]])*sales_data_1[[#This Row],[Quantity_Sold]],2), "PASS", "CHECK")</f>
        <v>PASS</v>
      </c>
    </row>
    <row r="1060" spans="1:20" x14ac:dyDescent="0.35">
      <c r="A1060" s="7">
        <v>1059</v>
      </c>
      <c r="B1060" s="9">
        <v>1022</v>
      </c>
      <c r="C1060" s="14" t="str">
        <f>IFERROR(_xlfn.TEXTJOIN("-", TRUE, _xlfn.XLOOKUP(K1060, product_category_id_lookup!$A$2:$A$5, product_category_id_lookup!$B$2:$B$5), B1060), "Unknown Category")</f>
        <v>etc-1022</v>
      </c>
      <c r="D1060" s="8">
        <v>44907</v>
      </c>
      <c r="E1060" s="14">
        <f t="shared" si="48"/>
        <v>2022</v>
      </c>
      <c r="F1060" s="29" t="str">
        <f t="shared" si="49"/>
        <v>Dec</v>
      </c>
      <c r="G1060" s="17" t="s">
        <v>29</v>
      </c>
      <c r="H1060" s="17" t="s">
        <v>23</v>
      </c>
      <c r="I1060" s="24">
        <v>60688.431999999993</v>
      </c>
      <c r="J1060" s="32">
        <v>16</v>
      </c>
      <c r="K1060" s="17" t="s">
        <v>31</v>
      </c>
      <c r="L1060" s="24">
        <v>1247.18</v>
      </c>
      <c r="M1060" s="24">
        <v>3992.66</v>
      </c>
      <c r="N1060" s="34">
        <f>((sales_data_1[[#This Row],[Unit_Price]]*(1-sales_data_1[[#This Row],[Discount]]))-sales_data_1[[#This Row],[Unit_Cost]])*sales_data_1[[#This Row],[Quantity_Sold]]</f>
        <v>40733.551999999996</v>
      </c>
      <c r="O1060" s="17" t="s">
        <v>27</v>
      </c>
      <c r="P1060" s="26">
        <v>0.05</v>
      </c>
      <c r="Q1060" s="17" t="s">
        <v>25</v>
      </c>
      <c r="R1060" s="17" t="s">
        <v>21</v>
      </c>
      <c r="S1060" s="50" t="str">
        <f t="shared" si="50"/>
        <v>Charlie-South</v>
      </c>
      <c r="T1060" s="59" t="str">
        <f>IF(ROUND(sales_data_1[[#This Row],[Profit_Margin]],2)=ROUND((sales_data_1[[#This Row],[Unit_Price]]*(1-sales_data_1[[#This Row],[Discount]]) - sales_data_1[[#This Row],[Unit_Cost]])*sales_data_1[[#This Row],[Quantity_Sold]],2), "PASS", "CHECK")</f>
        <v>PASS</v>
      </c>
    </row>
    <row r="1061" spans="1:20" x14ac:dyDescent="0.35">
      <c r="A1061" s="7">
        <v>1060</v>
      </c>
      <c r="B1061" s="9">
        <v>1053</v>
      </c>
      <c r="C1061" s="14" t="str">
        <f>IFERROR(_xlfn.TEXTJOIN("-", TRUE, _xlfn.XLOOKUP(K1061, product_category_id_lookup!$A$2:$A$5, product_category_id_lookup!$B$2:$B$5), B1061), "Unknown Category")</f>
        <v>fd-1053</v>
      </c>
      <c r="D1061" s="8">
        <v>44907</v>
      </c>
      <c r="E1061" s="14">
        <f t="shared" si="48"/>
        <v>2022</v>
      </c>
      <c r="F1061" s="29" t="str">
        <f t="shared" si="49"/>
        <v>Dec</v>
      </c>
      <c r="G1061" s="17" t="s">
        <v>22</v>
      </c>
      <c r="H1061" s="17" t="s">
        <v>30</v>
      </c>
      <c r="I1061" s="24">
        <v>72814.464000000007</v>
      </c>
      <c r="J1061" s="32">
        <v>18</v>
      </c>
      <c r="K1061" s="17" t="s">
        <v>24</v>
      </c>
      <c r="L1061" s="24">
        <v>536.59</v>
      </c>
      <c r="M1061" s="24">
        <v>4213.8</v>
      </c>
      <c r="N1061" s="34">
        <f>((sales_data_1[[#This Row],[Unit_Price]]*(1-sales_data_1[[#This Row],[Discount]]))-sales_data_1[[#This Row],[Unit_Cost]])*sales_data_1[[#This Row],[Quantity_Sold]]</f>
        <v>63155.843999999997</v>
      </c>
      <c r="O1061" s="17" t="s">
        <v>17</v>
      </c>
      <c r="P1061" s="26">
        <v>0.04</v>
      </c>
      <c r="Q1061" s="17" t="s">
        <v>28</v>
      </c>
      <c r="R1061" s="17" t="s">
        <v>19</v>
      </c>
      <c r="S1061" s="50" t="str">
        <f t="shared" si="50"/>
        <v>David-East</v>
      </c>
      <c r="T1061" s="59" t="str">
        <f>IF(ROUND(sales_data_1[[#This Row],[Profit_Margin]],2)=ROUND((sales_data_1[[#This Row],[Unit_Price]]*(1-sales_data_1[[#This Row],[Discount]]) - sales_data_1[[#This Row],[Unit_Cost]])*sales_data_1[[#This Row],[Quantity_Sold]],2), "PASS", "CHECK")</f>
        <v>PASS</v>
      </c>
    </row>
    <row r="1062" spans="1:20" x14ac:dyDescent="0.35">
      <c r="A1062" s="7">
        <v>1061</v>
      </c>
      <c r="B1062" s="9">
        <v>1037</v>
      </c>
      <c r="C1062" s="14" t="str">
        <f>IFERROR(_xlfn.TEXTJOIN("-", TRUE, _xlfn.XLOOKUP(K1062, product_category_id_lookup!$A$2:$A$5, product_category_id_lookup!$B$2:$B$5), B1062), "Unknown Category")</f>
        <v>ctg-1037</v>
      </c>
      <c r="D1062" s="8">
        <v>44908</v>
      </c>
      <c r="E1062" s="14">
        <f t="shared" si="48"/>
        <v>2022</v>
      </c>
      <c r="F1062" s="29" t="str">
        <f t="shared" si="49"/>
        <v>Dec</v>
      </c>
      <c r="G1062" s="17" t="s">
        <v>14</v>
      </c>
      <c r="H1062" s="17" t="s">
        <v>20</v>
      </c>
      <c r="I1062" s="24">
        <v>8188.6512000000002</v>
      </c>
      <c r="J1062" s="32">
        <v>8</v>
      </c>
      <c r="K1062" s="17" t="s">
        <v>26</v>
      </c>
      <c r="L1062" s="24">
        <v>963.9</v>
      </c>
      <c r="M1062" s="24">
        <v>1248.27</v>
      </c>
      <c r="N1062" s="34">
        <f>((sales_data_1[[#This Row],[Unit_Price]]*(1-sales_data_1[[#This Row],[Discount]]))-sales_data_1[[#This Row],[Unit_Cost]])*sales_data_1[[#This Row],[Quantity_Sold]]</f>
        <v>477.45120000000043</v>
      </c>
      <c r="O1062" s="17" t="s">
        <v>17</v>
      </c>
      <c r="P1062" s="26">
        <v>0.18</v>
      </c>
      <c r="Q1062" s="17" t="s">
        <v>28</v>
      </c>
      <c r="R1062" s="17" t="s">
        <v>21</v>
      </c>
      <c r="S1062" s="50" t="str">
        <f t="shared" si="50"/>
        <v>Bob-West</v>
      </c>
      <c r="T1062" s="59" t="str">
        <f>IF(ROUND(sales_data_1[[#This Row],[Profit_Margin]],2)=ROUND((sales_data_1[[#This Row],[Unit_Price]]*(1-sales_data_1[[#This Row],[Discount]]) - sales_data_1[[#This Row],[Unit_Cost]])*sales_data_1[[#This Row],[Quantity_Sold]],2), "PASS", "CHECK")</f>
        <v>PASS</v>
      </c>
    </row>
    <row r="1063" spans="1:20" x14ac:dyDescent="0.35">
      <c r="A1063" s="7">
        <v>1062</v>
      </c>
      <c r="B1063" s="9">
        <v>1004</v>
      </c>
      <c r="C1063" s="14" t="str">
        <f>IFERROR(_xlfn.TEXTJOIN("-", TRUE, _xlfn.XLOOKUP(K1063, product_category_id_lookup!$A$2:$A$5, product_category_id_lookup!$B$2:$B$5), B1063), "Unknown Category")</f>
        <v>fnt-1004</v>
      </c>
      <c r="D1063" s="8">
        <v>44908</v>
      </c>
      <c r="E1063" s="14">
        <f t="shared" si="48"/>
        <v>2022</v>
      </c>
      <c r="F1063" s="29" t="str">
        <f t="shared" si="49"/>
        <v>Dec</v>
      </c>
      <c r="G1063" s="17" t="s">
        <v>33</v>
      </c>
      <c r="H1063" s="17" t="s">
        <v>15</v>
      </c>
      <c r="I1063" s="24">
        <v>108189.1492597852</v>
      </c>
      <c r="J1063" s="32">
        <v>31</v>
      </c>
      <c r="K1063" s="17" t="s">
        <v>16</v>
      </c>
      <c r="L1063" s="24">
        <v>3255.11</v>
      </c>
      <c r="M1063" s="24">
        <v>3644.43</v>
      </c>
      <c r="N1063" s="34">
        <f>((sales_data_1[[#This Row],[Unit_Price]]*(1-sales_data_1[[#This Row],[Discount]]))-sales_data_1[[#This Row],[Unit_Cost]])*sales_data_1[[#This Row],[Quantity_Sold]]</f>
        <v>7549.8267999999916</v>
      </c>
      <c r="O1063" s="17" t="s">
        <v>17</v>
      </c>
      <c r="P1063" s="26">
        <v>0.04</v>
      </c>
      <c r="Q1063" s="17" t="s">
        <v>25</v>
      </c>
      <c r="R1063" s="17" t="s">
        <v>19</v>
      </c>
      <c r="S1063" s="50" t="str">
        <f t="shared" si="50"/>
        <v>Alice-North</v>
      </c>
      <c r="T1063" s="59" t="str">
        <f>IF(ROUND(sales_data_1[[#This Row],[Profit_Margin]],2)=ROUND((sales_data_1[[#This Row],[Unit_Price]]*(1-sales_data_1[[#This Row],[Discount]]) - sales_data_1[[#This Row],[Unit_Cost]])*sales_data_1[[#This Row],[Quantity_Sold]],2), "PASS", "CHECK")</f>
        <v>PASS</v>
      </c>
    </row>
    <row r="1064" spans="1:20" x14ac:dyDescent="0.35">
      <c r="A1064" s="7">
        <v>1063</v>
      </c>
      <c r="B1064" s="9">
        <v>1060</v>
      </c>
      <c r="C1064" s="14" t="str">
        <f>IFERROR(_xlfn.TEXTJOIN("-", TRUE, _xlfn.XLOOKUP(K1064, product_category_id_lookup!$A$2:$A$5, product_category_id_lookup!$B$2:$B$5), B1064), "Unknown Category")</f>
        <v>ctg-1060</v>
      </c>
      <c r="D1064" s="8">
        <v>44908</v>
      </c>
      <c r="E1064" s="14">
        <f t="shared" si="48"/>
        <v>2022</v>
      </c>
      <c r="F1064" s="29" t="str">
        <f t="shared" si="49"/>
        <v>Dec</v>
      </c>
      <c r="G1064" s="17" t="s">
        <v>22</v>
      </c>
      <c r="H1064" s="17" t="s">
        <v>15</v>
      </c>
      <c r="I1064" s="24">
        <v>52874.760000000009</v>
      </c>
      <c r="J1064" s="32">
        <v>12</v>
      </c>
      <c r="K1064" s="17" t="s">
        <v>26</v>
      </c>
      <c r="L1064" s="24">
        <v>3407.31</v>
      </c>
      <c r="M1064" s="24">
        <v>5183.8</v>
      </c>
      <c r="N1064" s="34">
        <f>((sales_data_1[[#This Row],[Unit_Price]]*(1-sales_data_1[[#This Row],[Discount]]))-sales_data_1[[#This Row],[Unit_Cost]])*sales_data_1[[#This Row],[Quantity_Sold]]</f>
        <v>11987.040000000006</v>
      </c>
      <c r="O1064" s="17" t="s">
        <v>17</v>
      </c>
      <c r="P1064" s="26">
        <v>0.15</v>
      </c>
      <c r="Q1064" s="17" t="s">
        <v>25</v>
      </c>
      <c r="R1064" s="17" t="s">
        <v>19</v>
      </c>
      <c r="S1064" s="50" t="str">
        <f t="shared" si="50"/>
        <v>David-North</v>
      </c>
      <c r="T1064" s="59" t="str">
        <f>IF(ROUND(sales_data_1[[#This Row],[Profit_Margin]],2)=ROUND((sales_data_1[[#This Row],[Unit_Price]]*(1-sales_data_1[[#This Row],[Discount]]) - sales_data_1[[#This Row],[Unit_Cost]])*sales_data_1[[#This Row],[Quantity_Sold]],2), "PASS", "CHECK")</f>
        <v>PASS</v>
      </c>
    </row>
    <row r="1065" spans="1:20" x14ac:dyDescent="0.35">
      <c r="A1065" s="7">
        <v>1064</v>
      </c>
      <c r="B1065" s="9">
        <v>1004</v>
      </c>
      <c r="C1065" s="14" t="str">
        <f>IFERROR(_xlfn.TEXTJOIN("-", TRUE, _xlfn.XLOOKUP(K1065, product_category_id_lookup!$A$2:$A$5, product_category_id_lookup!$B$2:$B$5), B1065), "Unknown Category")</f>
        <v>etc-1004</v>
      </c>
      <c r="D1065" s="8">
        <v>44908</v>
      </c>
      <c r="E1065" s="14">
        <f t="shared" si="48"/>
        <v>2022</v>
      </c>
      <c r="F1065" s="29" t="str">
        <f t="shared" si="49"/>
        <v>Dec</v>
      </c>
      <c r="G1065" s="17" t="s">
        <v>29</v>
      </c>
      <c r="H1065" s="17" t="s">
        <v>20</v>
      </c>
      <c r="I1065" s="24">
        <v>137524.18400000001</v>
      </c>
      <c r="J1065" s="32">
        <v>40</v>
      </c>
      <c r="K1065" s="17" t="s">
        <v>31</v>
      </c>
      <c r="L1065" s="24">
        <v>1244.8800000000001</v>
      </c>
      <c r="M1065" s="24">
        <v>3508.27</v>
      </c>
      <c r="N1065" s="34">
        <f>((sales_data_1[[#This Row],[Unit_Price]]*(1-sales_data_1[[#This Row],[Discount]]))-sales_data_1[[#This Row],[Unit_Cost]])*sales_data_1[[#This Row],[Quantity_Sold]]</f>
        <v>87728.983999999997</v>
      </c>
      <c r="O1065" s="17" t="s">
        <v>17</v>
      </c>
      <c r="P1065" s="26">
        <v>0.02</v>
      </c>
      <c r="Q1065" s="17" t="s">
        <v>18</v>
      </c>
      <c r="R1065" s="17" t="s">
        <v>19</v>
      </c>
      <c r="S1065" s="50" t="str">
        <f t="shared" si="50"/>
        <v>Charlie-West</v>
      </c>
      <c r="T1065" s="59" t="str">
        <f>IF(ROUND(sales_data_1[[#This Row],[Profit_Margin]],2)=ROUND((sales_data_1[[#This Row],[Unit_Price]]*(1-sales_data_1[[#This Row],[Discount]]) - sales_data_1[[#This Row],[Unit_Cost]])*sales_data_1[[#This Row],[Quantity_Sold]],2), "PASS", "CHECK")</f>
        <v>PASS</v>
      </c>
    </row>
    <row r="1066" spans="1:20" x14ac:dyDescent="0.35">
      <c r="A1066" s="7">
        <v>1065</v>
      </c>
      <c r="B1066" s="9">
        <v>1064</v>
      </c>
      <c r="C1066" s="14" t="str">
        <f>IFERROR(_xlfn.TEXTJOIN("-", TRUE, _xlfn.XLOOKUP(K1066, product_category_id_lookup!$A$2:$A$5, product_category_id_lookup!$B$2:$B$5), B1066), "Unknown Category")</f>
        <v>ctg-1064</v>
      </c>
      <c r="D1066" s="8">
        <v>44909</v>
      </c>
      <c r="E1066" s="14">
        <f t="shared" si="48"/>
        <v>2022</v>
      </c>
      <c r="F1066" s="29" t="str">
        <f t="shared" si="49"/>
        <v>Dec</v>
      </c>
      <c r="G1066" s="17" t="s">
        <v>29</v>
      </c>
      <c r="H1066" s="17" t="s">
        <v>23</v>
      </c>
      <c r="I1066" s="24">
        <v>134269.15575224903</v>
      </c>
      <c r="J1066" s="32">
        <v>32</v>
      </c>
      <c r="K1066" s="17" t="s">
        <v>26</v>
      </c>
      <c r="L1066" s="24">
        <v>4153.2</v>
      </c>
      <c r="M1066" s="24">
        <v>4256</v>
      </c>
      <c r="N1066" s="34">
        <f>((sales_data_1[[#This Row],[Unit_Price]]*(1-sales_data_1[[#This Row],[Discount]]))-sales_data_1[[#This Row],[Unit_Cost]])*sales_data_1[[#This Row],[Quantity_Sold]]</f>
        <v>1927.679999999993</v>
      </c>
      <c r="O1066" s="17" t="s">
        <v>17</v>
      </c>
      <c r="P1066" s="26">
        <v>0.01</v>
      </c>
      <c r="Q1066" s="17" t="s">
        <v>18</v>
      </c>
      <c r="R1066" s="17" t="s">
        <v>19</v>
      </c>
      <c r="S1066" s="50" t="str">
        <f t="shared" si="50"/>
        <v>Charlie-South</v>
      </c>
      <c r="T1066" s="59" t="str">
        <f>IF(ROUND(sales_data_1[[#This Row],[Profit_Margin]],2)=ROUND((sales_data_1[[#This Row],[Unit_Price]]*(1-sales_data_1[[#This Row],[Discount]]) - sales_data_1[[#This Row],[Unit_Cost]])*sales_data_1[[#This Row],[Quantity_Sold]],2), "PASS", "CHECK")</f>
        <v>PASS</v>
      </c>
    </row>
    <row r="1067" spans="1:20" x14ac:dyDescent="0.35">
      <c r="A1067" s="7">
        <v>1066</v>
      </c>
      <c r="B1067" s="9">
        <v>1087</v>
      </c>
      <c r="C1067" s="14" t="str">
        <f>IFERROR(_xlfn.TEXTJOIN("-", TRUE, _xlfn.XLOOKUP(K1067, product_category_id_lookup!$A$2:$A$5, product_category_id_lookup!$B$2:$B$5), B1067), "Unknown Category")</f>
        <v>etc-1087</v>
      </c>
      <c r="D1067" s="8">
        <v>44909</v>
      </c>
      <c r="E1067" s="14">
        <f t="shared" si="48"/>
        <v>2022</v>
      </c>
      <c r="F1067" s="29" t="str">
        <f t="shared" si="49"/>
        <v>Dec</v>
      </c>
      <c r="G1067" s="17" t="s">
        <v>33</v>
      </c>
      <c r="H1067" s="17" t="s">
        <v>20</v>
      </c>
      <c r="I1067" s="24">
        <v>26357.184000000001</v>
      </c>
      <c r="J1067" s="32">
        <v>14</v>
      </c>
      <c r="K1067" s="17" t="s">
        <v>31</v>
      </c>
      <c r="L1067" s="24">
        <v>925.24</v>
      </c>
      <c r="M1067" s="24">
        <v>2614.8000000000002</v>
      </c>
      <c r="N1067" s="34">
        <f>((sales_data_1[[#This Row],[Unit_Price]]*(1-sales_data_1[[#This Row],[Discount]]))-sales_data_1[[#This Row],[Unit_Cost]])*sales_data_1[[#This Row],[Quantity_Sold]]</f>
        <v>13403.823999999999</v>
      </c>
      <c r="O1067" s="17" t="s">
        <v>27</v>
      </c>
      <c r="P1067" s="26">
        <v>0.28000000000000003</v>
      </c>
      <c r="Q1067" s="17" t="s">
        <v>28</v>
      </c>
      <c r="R1067" s="17" t="s">
        <v>19</v>
      </c>
      <c r="S1067" s="50" t="str">
        <f t="shared" si="50"/>
        <v>Alice-West</v>
      </c>
      <c r="T1067" s="59" t="str">
        <f>IF(ROUND(sales_data_1[[#This Row],[Profit_Margin]],2)=ROUND((sales_data_1[[#This Row],[Unit_Price]]*(1-sales_data_1[[#This Row],[Discount]]) - sales_data_1[[#This Row],[Unit_Cost]])*sales_data_1[[#This Row],[Quantity_Sold]],2), "PASS", "CHECK")</f>
        <v>PASS</v>
      </c>
    </row>
    <row r="1068" spans="1:20" x14ac:dyDescent="0.35">
      <c r="A1068" s="7">
        <v>1067</v>
      </c>
      <c r="B1068" s="9">
        <v>1068</v>
      </c>
      <c r="C1068" s="14" t="str">
        <f>IFERROR(_xlfn.TEXTJOIN("-", TRUE, _xlfn.XLOOKUP(K1068, product_category_id_lookup!$A$2:$A$5, product_category_id_lookup!$B$2:$B$5), B1068), "Unknown Category")</f>
        <v>fnt-1068</v>
      </c>
      <c r="D1068" s="8">
        <v>44910</v>
      </c>
      <c r="E1068" s="14">
        <f t="shared" si="48"/>
        <v>2022</v>
      </c>
      <c r="F1068" s="29" t="str">
        <f t="shared" si="49"/>
        <v>Dec</v>
      </c>
      <c r="G1068" s="17" t="s">
        <v>29</v>
      </c>
      <c r="H1068" s="17" t="s">
        <v>23</v>
      </c>
      <c r="I1068" s="24">
        <v>8445.1103999999996</v>
      </c>
      <c r="J1068" s="32">
        <v>17</v>
      </c>
      <c r="K1068" s="17" t="s">
        <v>16</v>
      </c>
      <c r="L1068" s="24">
        <v>345.41</v>
      </c>
      <c r="M1068" s="24">
        <v>517.47</v>
      </c>
      <c r="N1068" s="34">
        <f>((sales_data_1[[#This Row],[Unit_Price]]*(1-sales_data_1[[#This Row],[Discount]]))-sales_data_1[[#This Row],[Unit_Cost]])*sales_data_1[[#This Row],[Quantity_Sold]]</f>
        <v>2573.1403999999998</v>
      </c>
      <c r="O1068" s="17" t="s">
        <v>17</v>
      </c>
      <c r="P1068" s="26">
        <v>0.04</v>
      </c>
      <c r="Q1068" s="17" t="s">
        <v>28</v>
      </c>
      <c r="R1068" s="17" t="s">
        <v>19</v>
      </c>
      <c r="S1068" s="50" t="str">
        <f t="shared" si="50"/>
        <v>Charlie-South</v>
      </c>
      <c r="T1068" s="59" t="str">
        <f>IF(ROUND(sales_data_1[[#This Row],[Profit_Margin]],2)=ROUND((sales_data_1[[#This Row],[Unit_Price]]*(1-sales_data_1[[#This Row],[Discount]]) - sales_data_1[[#This Row],[Unit_Cost]])*sales_data_1[[#This Row],[Quantity_Sold]],2), "PASS", "CHECK")</f>
        <v>PASS</v>
      </c>
    </row>
    <row r="1069" spans="1:20" x14ac:dyDescent="0.35">
      <c r="A1069" s="7">
        <v>1068</v>
      </c>
      <c r="B1069" s="9">
        <v>1071</v>
      </c>
      <c r="C1069" s="14" t="str">
        <f>IFERROR(_xlfn.TEXTJOIN("-", TRUE, _xlfn.XLOOKUP(K1069, product_category_id_lookup!$A$2:$A$5, product_category_id_lookup!$B$2:$B$5), B1069), "Unknown Category")</f>
        <v>fnt-1071</v>
      </c>
      <c r="D1069" s="8">
        <v>44910</v>
      </c>
      <c r="E1069" s="14">
        <f t="shared" si="48"/>
        <v>2022</v>
      </c>
      <c r="F1069" s="29" t="str">
        <f t="shared" si="49"/>
        <v>Dec</v>
      </c>
      <c r="G1069" s="17" t="s">
        <v>32</v>
      </c>
      <c r="H1069" s="17" t="s">
        <v>30</v>
      </c>
      <c r="I1069" s="24">
        <v>11612.1312</v>
      </c>
      <c r="J1069" s="32">
        <v>24</v>
      </c>
      <c r="K1069" s="17" t="s">
        <v>16</v>
      </c>
      <c r="L1069" s="24">
        <v>360.66</v>
      </c>
      <c r="M1069" s="24">
        <v>636.63</v>
      </c>
      <c r="N1069" s="34">
        <f>((sales_data_1[[#This Row],[Unit_Price]]*(1-sales_data_1[[#This Row],[Discount]]))-sales_data_1[[#This Row],[Unit_Cost]])*sales_data_1[[#This Row],[Quantity_Sold]]</f>
        <v>2956.2911999999992</v>
      </c>
      <c r="O1069" s="17" t="s">
        <v>17</v>
      </c>
      <c r="P1069" s="26">
        <v>0.24</v>
      </c>
      <c r="Q1069" s="17" t="s">
        <v>25</v>
      </c>
      <c r="R1069" s="17" t="s">
        <v>21</v>
      </c>
      <c r="S1069" s="50" t="str">
        <f t="shared" si="50"/>
        <v>Eve-East</v>
      </c>
      <c r="T1069" s="59" t="str">
        <f>IF(ROUND(sales_data_1[[#This Row],[Profit_Margin]],2)=ROUND((sales_data_1[[#This Row],[Unit_Price]]*(1-sales_data_1[[#This Row],[Discount]]) - sales_data_1[[#This Row],[Unit_Cost]])*sales_data_1[[#This Row],[Quantity_Sold]],2), "PASS", "CHECK")</f>
        <v>PASS</v>
      </c>
    </row>
    <row r="1070" spans="1:20" x14ac:dyDescent="0.35">
      <c r="A1070" s="7">
        <v>1069</v>
      </c>
      <c r="B1070" s="9">
        <v>1086</v>
      </c>
      <c r="C1070" s="14" t="str">
        <f>IFERROR(_xlfn.TEXTJOIN("-", TRUE, _xlfn.XLOOKUP(K1070, product_category_id_lookup!$A$2:$A$5, product_category_id_lookup!$B$2:$B$5), B1070), "Unknown Category")</f>
        <v>fd-1086</v>
      </c>
      <c r="D1070" s="8">
        <v>44911</v>
      </c>
      <c r="E1070" s="14">
        <f t="shared" si="48"/>
        <v>2022</v>
      </c>
      <c r="F1070" s="29" t="str">
        <f t="shared" si="49"/>
        <v>Dec</v>
      </c>
      <c r="G1070" s="17" t="s">
        <v>29</v>
      </c>
      <c r="H1070" s="17" t="s">
        <v>15</v>
      </c>
      <c r="I1070" s="24">
        <v>94893.631799999988</v>
      </c>
      <c r="J1070" s="32">
        <v>22</v>
      </c>
      <c r="K1070" s="17" t="s">
        <v>24</v>
      </c>
      <c r="L1070" s="24">
        <v>4257.99</v>
      </c>
      <c r="M1070" s="24">
        <v>4957.87</v>
      </c>
      <c r="N1070" s="34">
        <f>((sales_data_1[[#This Row],[Unit_Price]]*(1-sales_data_1[[#This Row],[Discount]]))-sales_data_1[[#This Row],[Unit_Cost]])*sales_data_1[[#This Row],[Quantity_Sold]]</f>
        <v>1217.8517999999949</v>
      </c>
      <c r="O1070" s="17" t="s">
        <v>17</v>
      </c>
      <c r="P1070" s="26">
        <v>0.13</v>
      </c>
      <c r="Q1070" s="17" t="s">
        <v>28</v>
      </c>
      <c r="R1070" s="17" t="s">
        <v>19</v>
      </c>
      <c r="S1070" s="50" t="str">
        <f t="shared" si="50"/>
        <v>Charlie-North</v>
      </c>
      <c r="T1070" s="59" t="str">
        <f>IF(ROUND(sales_data_1[[#This Row],[Profit_Margin]],2)=ROUND((sales_data_1[[#This Row],[Unit_Price]]*(1-sales_data_1[[#This Row],[Discount]]) - sales_data_1[[#This Row],[Unit_Cost]])*sales_data_1[[#This Row],[Quantity_Sold]],2), "PASS", "CHECK")</f>
        <v>PASS</v>
      </c>
    </row>
    <row r="1071" spans="1:20" x14ac:dyDescent="0.35">
      <c r="A1071" s="7">
        <v>1070</v>
      </c>
      <c r="B1071" s="9">
        <v>1066</v>
      </c>
      <c r="C1071" s="14" t="str">
        <f>IFERROR(_xlfn.TEXTJOIN("-", TRUE, _xlfn.XLOOKUP(K1071, product_category_id_lookup!$A$2:$A$5, product_category_id_lookup!$B$2:$B$5), B1071), "Unknown Category")</f>
        <v>ctg-1066</v>
      </c>
      <c r="D1071" s="8">
        <v>44911</v>
      </c>
      <c r="E1071" s="14">
        <f t="shared" si="48"/>
        <v>2022</v>
      </c>
      <c r="F1071" s="29" t="str">
        <f t="shared" si="49"/>
        <v>Dec</v>
      </c>
      <c r="G1071" s="17" t="s">
        <v>14</v>
      </c>
      <c r="H1071" s="17" t="s">
        <v>15</v>
      </c>
      <c r="I1071" s="24">
        <v>130893.5494001437</v>
      </c>
      <c r="J1071" s="32">
        <v>32</v>
      </c>
      <c r="K1071" s="17" t="s">
        <v>26</v>
      </c>
      <c r="L1071" s="24">
        <v>3629.69</v>
      </c>
      <c r="M1071" s="24">
        <v>4280.8999999999996</v>
      </c>
      <c r="N1071" s="34">
        <f>((sales_data_1[[#This Row],[Unit_Price]]*(1-sales_data_1[[#This Row],[Discount]]))-sales_data_1[[#This Row],[Unit_Cost]])*sales_data_1[[#This Row],[Quantity_Sold]]</f>
        <v>15359.167999999991</v>
      </c>
      <c r="O1071" s="17" t="s">
        <v>17</v>
      </c>
      <c r="P1071" s="26">
        <v>0.04</v>
      </c>
      <c r="Q1071" s="17" t="s">
        <v>25</v>
      </c>
      <c r="R1071" s="17" t="s">
        <v>19</v>
      </c>
      <c r="S1071" s="50" t="str">
        <f t="shared" si="50"/>
        <v>Bob-North</v>
      </c>
      <c r="T1071" s="59" t="str">
        <f>IF(ROUND(sales_data_1[[#This Row],[Profit_Margin]],2)=ROUND((sales_data_1[[#This Row],[Unit_Price]]*(1-sales_data_1[[#This Row],[Discount]]) - sales_data_1[[#This Row],[Unit_Cost]])*sales_data_1[[#This Row],[Quantity_Sold]],2), "PASS", "CHECK")</f>
        <v>PASS</v>
      </c>
    </row>
    <row r="1072" spans="1:20" x14ac:dyDescent="0.35">
      <c r="A1072" s="7">
        <v>1071</v>
      </c>
      <c r="B1072" s="9">
        <v>1090</v>
      </c>
      <c r="C1072" s="14" t="str">
        <f>IFERROR(_xlfn.TEXTJOIN("-", TRUE, _xlfn.XLOOKUP(K1072, product_category_id_lookup!$A$2:$A$5, product_category_id_lookup!$B$2:$B$5), B1072), "Unknown Category")</f>
        <v>fnt-1090</v>
      </c>
      <c r="D1072" s="8">
        <v>44911</v>
      </c>
      <c r="E1072" s="14">
        <f t="shared" si="48"/>
        <v>2022</v>
      </c>
      <c r="F1072" s="29" t="str">
        <f t="shared" si="49"/>
        <v>Dec</v>
      </c>
      <c r="G1072" s="17" t="s">
        <v>22</v>
      </c>
      <c r="H1072" s="17" t="s">
        <v>30</v>
      </c>
      <c r="I1072" s="24">
        <v>105662.48599999999</v>
      </c>
      <c r="J1072" s="32">
        <v>29</v>
      </c>
      <c r="K1072" s="17" t="s">
        <v>16</v>
      </c>
      <c r="L1072" s="24">
        <v>2723.34</v>
      </c>
      <c r="M1072" s="24">
        <v>3876.1</v>
      </c>
      <c r="N1072" s="34">
        <f>((sales_data_1[[#This Row],[Unit_Price]]*(1-sales_data_1[[#This Row],[Discount]]))-sales_data_1[[#This Row],[Unit_Cost]])*sales_data_1[[#This Row],[Quantity_Sold]]</f>
        <v>26685.625999999986</v>
      </c>
      <c r="O1072" s="17" t="s">
        <v>27</v>
      </c>
      <c r="P1072" s="26">
        <v>0.06</v>
      </c>
      <c r="Q1072" s="17" t="s">
        <v>28</v>
      </c>
      <c r="R1072" s="17" t="s">
        <v>19</v>
      </c>
      <c r="S1072" s="50" t="str">
        <f t="shared" si="50"/>
        <v>David-East</v>
      </c>
      <c r="T1072" s="59" t="str">
        <f>IF(ROUND(sales_data_1[[#This Row],[Profit_Margin]],2)=ROUND((sales_data_1[[#This Row],[Unit_Price]]*(1-sales_data_1[[#This Row],[Discount]]) - sales_data_1[[#This Row],[Unit_Cost]])*sales_data_1[[#This Row],[Quantity_Sold]],2), "PASS", "CHECK")</f>
        <v>PASS</v>
      </c>
    </row>
    <row r="1073" spans="1:20" x14ac:dyDescent="0.35">
      <c r="A1073" s="7">
        <v>1072</v>
      </c>
      <c r="B1073" s="9">
        <v>1088</v>
      </c>
      <c r="C1073" s="14" t="str">
        <f>IFERROR(_xlfn.TEXTJOIN("-", TRUE, _xlfn.XLOOKUP(K1073, product_category_id_lookup!$A$2:$A$5, product_category_id_lookup!$B$2:$B$5), B1073), "Unknown Category")</f>
        <v>ctg-1088</v>
      </c>
      <c r="D1073" s="8">
        <v>44912</v>
      </c>
      <c r="E1073" s="14">
        <f t="shared" si="48"/>
        <v>2022</v>
      </c>
      <c r="F1073" s="29" t="str">
        <f t="shared" si="49"/>
        <v>Dec</v>
      </c>
      <c r="G1073" s="17" t="s">
        <v>33</v>
      </c>
      <c r="H1073" s="17" t="s">
        <v>30</v>
      </c>
      <c r="I1073" s="24">
        <v>31805.537400000001</v>
      </c>
      <c r="J1073" s="32">
        <v>9</v>
      </c>
      <c r="K1073" s="17" t="s">
        <v>26</v>
      </c>
      <c r="L1073" s="24">
        <v>2945.48</v>
      </c>
      <c r="M1073" s="24">
        <v>3883.46</v>
      </c>
      <c r="N1073" s="34">
        <f>((sales_data_1[[#This Row],[Unit_Price]]*(1-sales_data_1[[#This Row],[Discount]]))-sales_data_1[[#This Row],[Unit_Cost]])*sales_data_1[[#This Row],[Quantity_Sold]]</f>
        <v>5296.2174000000014</v>
      </c>
      <c r="O1073" s="17" t="s">
        <v>27</v>
      </c>
      <c r="P1073" s="26">
        <v>0.09</v>
      </c>
      <c r="Q1073" s="17" t="s">
        <v>28</v>
      </c>
      <c r="R1073" s="17" t="s">
        <v>19</v>
      </c>
      <c r="S1073" s="50" t="str">
        <f t="shared" si="50"/>
        <v>Alice-East</v>
      </c>
      <c r="T1073" s="59" t="str">
        <f>IF(ROUND(sales_data_1[[#This Row],[Profit_Margin]],2)=ROUND((sales_data_1[[#This Row],[Unit_Price]]*(1-sales_data_1[[#This Row],[Discount]]) - sales_data_1[[#This Row],[Unit_Cost]])*sales_data_1[[#This Row],[Quantity_Sold]],2), "PASS", "CHECK")</f>
        <v>PASS</v>
      </c>
    </row>
    <row r="1074" spans="1:20" x14ac:dyDescent="0.35">
      <c r="A1074" s="7">
        <v>1073</v>
      </c>
      <c r="B1074" s="9">
        <v>1040</v>
      </c>
      <c r="C1074" s="14" t="str">
        <f>IFERROR(_xlfn.TEXTJOIN("-", TRUE, _xlfn.XLOOKUP(K1074, product_category_id_lookup!$A$2:$A$5, product_category_id_lookup!$B$2:$B$5), B1074), "Unknown Category")</f>
        <v>ctg-1040</v>
      </c>
      <c r="D1074" s="8">
        <v>44912</v>
      </c>
      <c r="E1074" s="14">
        <f t="shared" si="48"/>
        <v>2022</v>
      </c>
      <c r="F1074" s="29" t="str">
        <f t="shared" si="49"/>
        <v>Dec</v>
      </c>
      <c r="G1074" s="17" t="s">
        <v>33</v>
      </c>
      <c r="H1074" s="17" t="s">
        <v>30</v>
      </c>
      <c r="I1074" s="24">
        <v>35164.872000000003</v>
      </c>
      <c r="J1074" s="32">
        <v>9</v>
      </c>
      <c r="K1074" s="17" t="s">
        <v>26</v>
      </c>
      <c r="L1074" s="24">
        <v>3217.23</v>
      </c>
      <c r="M1074" s="24">
        <v>4884.01</v>
      </c>
      <c r="N1074" s="34">
        <f>((sales_data_1[[#This Row],[Unit_Price]]*(1-sales_data_1[[#This Row],[Discount]]))-sales_data_1[[#This Row],[Unit_Cost]])*sales_data_1[[#This Row],[Quantity_Sold]]</f>
        <v>6209.8020000000051</v>
      </c>
      <c r="O1074" s="17" t="s">
        <v>27</v>
      </c>
      <c r="P1074" s="26">
        <v>0.2</v>
      </c>
      <c r="Q1074" s="17" t="s">
        <v>28</v>
      </c>
      <c r="R1074" s="17" t="s">
        <v>19</v>
      </c>
      <c r="S1074" s="50" t="str">
        <f t="shared" si="50"/>
        <v>Alice-East</v>
      </c>
      <c r="T1074" s="59" t="str">
        <f>IF(ROUND(sales_data_1[[#This Row],[Profit_Margin]],2)=ROUND((sales_data_1[[#This Row],[Unit_Price]]*(1-sales_data_1[[#This Row],[Discount]]) - sales_data_1[[#This Row],[Unit_Cost]])*sales_data_1[[#This Row],[Quantity_Sold]],2), "PASS", "CHECK")</f>
        <v>PASS</v>
      </c>
    </row>
    <row r="1075" spans="1:20" x14ac:dyDescent="0.35">
      <c r="A1075" s="7">
        <v>1074</v>
      </c>
      <c r="B1075" s="9">
        <v>1048</v>
      </c>
      <c r="C1075" s="14" t="str">
        <f>IFERROR(_xlfn.TEXTJOIN("-", TRUE, _xlfn.XLOOKUP(K1075, product_category_id_lookup!$A$2:$A$5, product_category_id_lookup!$B$2:$B$5), B1075), "Unknown Category")</f>
        <v>fnt-1048</v>
      </c>
      <c r="D1075" s="8">
        <v>44912</v>
      </c>
      <c r="E1075" s="14">
        <f t="shared" si="48"/>
        <v>2022</v>
      </c>
      <c r="F1075" s="29" t="str">
        <f t="shared" si="49"/>
        <v>Dec</v>
      </c>
      <c r="G1075" s="17" t="s">
        <v>29</v>
      </c>
      <c r="H1075" s="17" t="s">
        <v>15</v>
      </c>
      <c r="I1075" s="24">
        <v>151284.1875</v>
      </c>
      <c r="J1075" s="32">
        <v>47</v>
      </c>
      <c r="K1075" s="17" t="s">
        <v>16</v>
      </c>
      <c r="L1075" s="24">
        <v>2604</v>
      </c>
      <c r="M1075" s="24">
        <v>4291.75</v>
      </c>
      <c r="N1075" s="34">
        <f>((sales_data_1[[#This Row],[Unit_Price]]*(1-sales_data_1[[#This Row],[Discount]]))-sales_data_1[[#This Row],[Unit_Cost]])*sales_data_1[[#This Row],[Quantity_Sold]]</f>
        <v>28896.1875</v>
      </c>
      <c r="O1075" s="17" t="s">
        <v>17</v>
      </c>
      <c r="P1075" s="26">
        <v>0.25</v>
      </c>
      <c r="Q1075" s="17" t="s">
        <v>18</v>
      </c>
      <c r="R1075" s="17" t="s">
        <v>19</v>
      </c>
      <c r="S1075" s="50" t="str">
        <f t="shared" si="50"/>
        <v>Charlie-North</v>
      </c>
      <c r="T1075" s="59" t="str">
        <f>IF(ROUND(sales_data_1[[#This Row],[Profit_Margin]],2)=ROUND((sales_data_1[[#This Row],[Unit_Price]]*(1-sales_data_1[[#This Row],[Discount]]) - sales_data_1[[#This Row],[Unit_Cost]])*sales_data_1[[#This Row],[Quantity_Sold]],2), "PASS", "CHECK")</f>
        <v>PASS</v>
      </c>
    </row>
    <row r="1076" spans="1:20" x14ac:dyDescent="0.35">
      <c r="A1076" s="7">
        <v>1075</v>
      </c>
      <c r="B1076" s="9">
        <v>1090</v>
      </c>
      <c r="C1076" s="14" t="str">
        <f>IFERROR(_xlfn.TEXTJOIN("-", TRUE, _xlfn.XLOOKUP(K1076, product_category_id_lookup!$A$2:$A$5, product_category_id_lookup!$B$2:$B$5), B1076), "Unknown Category")</f>
        <v>ctg-1090</v>
      </c>
      <c r="D1076" s="8">
        <v>44912</v>
      </c>
      <c r="E1076" s="14">
        <f t="shared" si="48"/>
        <v>2022</v>
      </c>
      <c r="F1076" s="29" t="str">
        <f t="shared" si="49"/>
        <v>Dec</v>
      </c>
      <c r="G1076" s="17" t="s">
        <v>14</v>
      </c>
      <c r="H1076" s="17" t="s">
        <v>15</v>
      </c>
      <c r="I1076" s="24">
        <v>98903.037200000021</v>
      </c>
      <c r="J1076" s="32">
        <v>22</v>
      </c>
      <c r="K1076" s="17" t="s">
        <v>26</v>
      </c>
      <c r="L1076" s="24">
        <v>3171.03</v>
      </c>
      <c r="M1076" s="24">
        <v>5482.43</v>
      </c>
      <c r="N1076" s="34">
        <f>((sales_data_1[[#This Row],[Unit_Price]]*(1-sales_data_1[[#This Row],[Discount]]))-sales_data_1[[#This Row],[Unit_Cost]])*sales_data_1[[#This Row],[Quantity_Sold]]</f>
        <v>29140.377200000014</v>
      </c>
      <c r="O1076" s="17" t="s">
        <v>17</v>
      </c>
      <c r="P1076" s="26">
        <v>0.18</v>
      </c>
      <c r="Q1076" s="17" t="s">
        <v>18</v>
      </c>
      <c r="R1076" s="17" t="s">
        <v>21</v>
      </c>
      <c r="S1076" s="50" t="str">
        <f t="shared" si="50"/>
        <v>Bob-North</v>
      </c>
      <c r="T1076" s="59" t="str">
        <f>IF(ROUND(sales_data_1[[#This Row],[Profit_Margin]],2)=ROUND((sales_data_1[[#This Row],[Unit_Price]]*(1-sales_data_1[[#This Row],[Discount]]) - sales_data_1[[#This Row],[Unit_Cost]])*sales_data_1[[#This Row],[Quantity_Sold]],2), "PASS", "CHECK")</f>
        <v>PASS</v>
      </c>
    </row>
    <row r="1077" spans="1:20" x14ac:dyDescent="0.35">
      <c r="A1077" s="7">
        <v>1076</v>
      </c>
      <c r="B1077" s="9">
        <v>1036</v>
      </c>
      <c r="C1077" s="14" t="str">
        <f>IFERROR(_xlfn.TEXTJOIN("-", TRUE, _xlfn.XLOOKUP(K1077, product_category_id_lookup!$A$2:$A$5, product_category_id_lookup!$B$2:$B$5), B1077), "Unknown Category")</f>
        <v>fd-1036</v>
      </c>
      <c r="D1077" s="8">
        <v>44913</v>
      </c>
      <c r="E1077" s="14">
        <f t="shared" si="48"/>
        <v>2022</v>
      </c>
      <c r="F1077" s="29" t="str">
        <f t="shared" si="49"/>
        <v>Dec</v>
      </c>
      <c r="G1077" s="17" t="s">
        <v>32</v>
      </c>
      <c r="H1077" s="17" t="s">
        <v>15</v>
      </c>
      <c r="I1077" s="24">
        <v>82838.468999999997</v>
      </c>
      <c r="J1077" s="32">
        <v>35</v>
      </c>
      <c r="K1077" s="17" t="s">
        <v>24</v>
      </c>
      <c r="L1077" s="24">
        <v>1841.66</v>
      </c>
      <c r="M1077" s="24">
        <v>3333.54</v>
      </c>
      <c r="N1077" s="34">
        <f>((sales_data_1[[#This Row],[Unit_Price]]*(1-sales_data_1[[#This Row],[Discount]]))-sales_data_1[[#This Row],[Unit_Cost]])*sales_data_1[[#This Row],[Quantity_Sold]]</f>
        <v>18380.368999999999</v>
      </c>
      <c r="O1077" s="17" t="s">
        <v>17</v>
      </c>
      <c r="P1077" s="26">
        <v>0.28999999999999998</v>
      </c>
      <c r="Q1077" s="17" t="s">
        <v>18</v>
      </c>
      <c r="R1077" s="17" t="s">
        <v>21</v>
      </c>
      <c r="S1077" s="50" t="str">
        <f t="shared" si="50"/>
        <v>Eve-North</v>
      </c>
      <c r="T1077" s="59" t="str">
        <f>IF(ROUND(sales_data_1[[#This Row],[Profit_Margin]],2)=ROUND((sales_data_1[[#This Row],[Unit_Price]]*(1-sales_data_1[[#This Row],[Discount]]) - sales_data_1[[#This Row],[Unit_Cost]])*sales_data_1[[#This Row],[Quantity_Sold]],2), "PASS", "CHECK")</f>
        <v>PASS</v>
      </c>
    </row>
    <row r="1078" spans="1:20" x14ac:dyDescent="0.35">
      <c r="A1078" s="7">
        <v>1077</v>
      </c>
      <c r="B1078" s="9">
        <v>1024</v>
      </c>
      <c r="C1078" s="14" t="str">
        <f>IFERROR(_xlfn.TEXTJOIN("-", TRUE, _xlfn.XLOOKUP(K1078, product_category_id_lookup!$A$2:$A$5, product_category_id_lookup!$B$2:$B$5), B1078), "Unknown Category")</f>
        <v>etc-1024</v>
      </c>
      <c r="D1078" s="8">
        <v>44913</v>
      </c>
      <c r="E1078" s="14">
        <f t="shared" si="48"/>
        <v>2022</v>
      </c>
      <c r="F1078" s="29" t="str">
        <f t="shared" si="49"/>
        <v>Dec</v>
      </c>
      <c r="G1078" s="17" t="s">
        <v>14</v>
      </c>
      <c r="H1078" s="17" t="s">
        <v>20</v>
      </c>
      <c r="I1078" s="24">
        <v>96953.60500000001</v>
      </c>
      <c r="J1078" s="32">
        <v>43</v>
      </c>
      <c r="K1078" s="17" t="s">
        <v>31</v>
      </c>
      <c r="L1078" s="24">
        <v>940.19</v>
      </c>
      <c r="M1078" s="24">
        <v>3221.05</v>
      </c>
      <c r="N1078" s="34">
        <f>((sales_data_1[[#This Row],[Unit_Price]]*(1-sales_data_1[[#This Row],[Discount]]))-sales_data_1[[#This Row],[Unit_Cost]])*sales_data_1[[#This Row],[Quantity_Sold]]</f>
        <v>56525.435000000005</v>
      </c>
      <c r="O1078" s="17" t="s">
        <v>27</v>
      </c>
      <c r="P1078" s="26">
        <v>0.3</v>
      </c>
      <c r="Q1078" s="17" t="s">
        <v>25</v>
      </c>
      <c r="R1078" s="17" t="s">
        <v>21</v>
      </c>
      <c r="S1078" s="50" t="str">
        <f t="shared" si="50"/>
        <v>Bob-West</v>
      </c>
      <c r="T1078" s="59" t="str">
        <f>IF(ROUND(sales_data_1[[#This Row],[Profit_Margin]],2)=ROUND((sales_data_1[[#This Row],[Unit_Price]]*(1-sales_data_1[[#This Row],[Discount]]) - sales_data_1[[#This Row],[Unit_Cost]])*sales_data_1[[#This Row],[Quantity_Sold]],2), "PASS", "CHECK")</f>
        <v>PASS</v>
      </c>
    </row>
    <row r="1079" spans="1:20" x14ac:dyDescent="0.35">
      <c r="A1079" s="7">
        <v>1078</v>
      </c>
      <c r="B1079" s="9">
        <v>1041</v>
      </c>
      <c r="C1079" s="14" t="str">
        <f>IFERROR(_xlfn.TEXTJOIN("-", TRUE, _xlfn.XLOOKUP(K1079, product_category_id_lookup!$A$2:$A$5, product_category_id_lookup!$B$2:$B$5), B1079), "Unknown Category")</f>
        <v>fd-1041</v>
      </c>
      <c r="D1079" s="8">
        <v>44914</v>
      </c>
      <c r="E1079" s="14">
        <f t="shared" si="48"/>
        <v>2022</v>
      </c>
      <c r="F1079" s="29" t="str">
        <f t="shared" si="49"/>
        <v>Dec</v>
      </c>
      <c r="G1079" s="17" t="s">
        <v>14</v>
      </c>
      <c r="H1079" s="17" t="s">
        <v>20</v>
      </c>
      <c r="I1079" s="24">
        <v>19804.135999999999</v>
      </c>
      <c r="J1079" s="32">
        <v>5</v>
      </c>
      <c r="K1079" s="17" t="s">
        <v>24</v>
      </c>
      <c r="L1079" s="24">
        <v>3042.98</v>
      </c>
      <c r="M1079" s="24">
        <v>4500.9399999999996</v>
      </c>
      <c r="N1079" s="34">
        <f>((sales_data_1[[#This Row],[Unit_Price]]*(1-sales_data_1[[#This Row],[Discount]]))-sales_data_1[[#This Row],[Unit_Cost]])*sales_data_1[[#This Row],[Quantity_Sold]]</f>
        <v>4589.235999999999</v>
      </c>
      <c r="O1079" s="17" t="s">
        <v>27</v>
      </c>
      <c r="P1079" s="26">
        <v>0.12</v>
      </c>
      <c r="Q1079" s="17" t="s">
        <v>18</v>
      </c>
      <c r="R1079" s="17" t="s">
        <v>19</v>
      </c>
      <c r="S1079" s="50" t="str">
        <f t="shared" si="50"/>
        <v>Bob-West</v>
      </c>
      <c r="T1079" s="59" t="str">
        <f>IF(ROUND(sales_data_1[[#This Row],[Profit_Margin]],2)=ROUND((sales_data_1[[#This Row],[Unit_Price]]*(1-sales_data_1[[#This Row],[Discount]]) - sales_data_1[[#This Row],[Unit_Cost]])*sales_data_1[[#This Row],[Quantity_Sold]],2), "PASS", "CHECK")</f>
        <v>PASS</v>
      </c>
    </row>
    <row r="1080" spans="1:20" x14ac:dyDescent="0.35">
      <c r="A1080" s="7">
        <v>1079</v>
      </c>
      <c r="B1080" s="9">
        <v>1016</v>
      </c>
      <c r="C1080" s="14" t="str">
        <f>IFERROR(_xlfn.TEXTJOIN("-", TRUE, _xlfn.XLOOKUP(K1080, product_category_id_lookup!$A$2:$A$5, product_category_id_lookup!$B$2:$B$5), B1080), "Unknown Category")</f>
        <v>ctg-1016</v>
      </c>
      <c r="D1080" s="8">
        <v>44914</v>
      </c>
      <c r="E1080" s="14">
        <f t="shared" si="48"/>
        <v>2022</v>
      </c>
      <c r="F1080" s="29" t="str">
        <f t="shared" si="49"/>
        <v>Dec</v>
      </c>
      <c r="G1080" s="17" t="s">
        <v>33</v>
      </c>
      <c r="H1080" s="17" t="s">
        <v>30</v>
      </c>
      <c r="I1080" s="24">
        <v>18006.151199999997</v>
      </c>
      <c r="J1080" s="32">
        <v>6</v>
      </c>
      <c r="K1080" s="17" t="s">
        <v>26</v>
      </c>
      <c r="L1080" s="24">
        <v>1374.67</v>
      </c>
      <c r="M1080" s="24">
        <v>3192.58</v>
      </c>
      <c r="N1080" s="34">
        <f>((sales_data_1[[#This Row],[Unit_Price]]*(1-sales_data_1[[#This Row],[Discount]]))-sales_data_1[[#This Row],[Unit_Cost]])*sales_data_1[[#This Row],[Quantity_Sold]]</f>
        <v>9758.1311999999962</v>
      </c>
      <c r="O1080" s="17" t="s">
        <v>27</v>
      </c>
      <c r="P1080" s="26">
        <v>0.06</v>
      </c>
      <c r="Q1080" s="17" t="s">
        <v>28</v>
      </c>
      <c r="R1080" s="17" t="s">
        <v>21</v>
      </c>
      <c r="S1080" s="50" t="str">
        <f t="shared" si="50"/>
        <v>Alice-East</v>
      </c>
      <c r="T1080" s="59" t="str">
        <f>IF(ROUND(sales_data_1[[#This Row],[Profit_Margin]],2)=ROUND((sales_data_1[[#This Row],[Unit_Price]]*(1-sales_data_1[[#This Row],[Discount]]) - sales_data_1[[#This Row],[Unit_Cost]])*sales_data_1[[#This Row],[Quantity_Sold]],2), "PASS", "CHECK")</f>
        <v>PASS</v>
      </c>
    </row>
    <row r="1081" spans="1:20" x14ac:dyDescent="0.35">
      <c r="A1081" s="7">
        <v>1080</v>
      </c>
      <c r="B1081" s="9">
        <v>1062</v>
      </c>
      <c r="C1081" s="14" t="str">
        <f>IFERROR(_xlfn.TEXTJOIN("-", TRUE, _xlfn.XLOOKUP(K1081, product_category_id_lookup!$A$2:$A$5, product_category_id_lookup!$B$2:$B$5), B1081), "Unknown Category")</f>
        <v>ctg-1062</v>
      </c>
      <c r="D1081" s="8">
        <v>44914</v>
      </c>
      <c r="E1081" s="14">
        <f t="shared" si="48"/>
        <v>2022</v>
      </c>
      <c r="F1081" s="29" t="str">
        <f t="shared" si="49"/>
        <v>Dec</v>
      </c>
      <c r="G1081" s="17" t="s">
        <v>33</v>
      </c>
      <c r="H1081" s="17" t="s">
        <v>20</v>
      </c>
      <c r="I1081" s="24">
        <v>81954.087599999999</v>
      </c>
      <c r="J1081" s="32">
        <v>23</v>
      </c>
      <c r="K1081" s="17" t="s">
        <v>26</v>
      </c>
      <c r="L1081" s="24">
        <v>2414.59</v>
      </c>
      <c r="M1081" s="24">
        <v>4241.93</v>
      </c>
      <c r="N1081" s="34">
        <f>((sales_data_1[[#This Row],[Unit_Price]]*(1-sales_data_1[[#This Row],[Discount]]))-sales_data_1[[#This Row],[Unit_Cost]])*sales_data_1[[#This Row],[Quantity_Sold]]</f>
        <v>26418.517599999996</v>
      </c>
      <c r="O1081" s="17" t="s">
        <v>27</v>
      </c>
      <c r="P1081" s="26">
        <v>0.16</v>
      </c>
      <c r="Q1081" s="17" t="s">
        <v>28</v>
      </c>
      <c r="R1081" s="17" t="s">
        <v>19</v>
      </c>
      <c r="S1081" s="50" t="str">
        <f t="shared" si="50"/>
        <v>Alice-West</v>
      </c>
      <c r="T1081" s="59" t="str">
        <f>IF(ROUND(sales_data_1[[#This Row],[Profit_Margin]],2)=ROUND((sales_data_1[[#This Row],[Unit_Price]]*(1-sales_data_1[[#This Row],[Discount]]) - sales_data_1[[#This Row],[Unit_Cost]])*sales_data_1[[#This Row],[Quantity_Sold]],2), "PASS", "CHECK")</f>
        <v>PASS</v>
      </c>
    </row>
    <row r="1082" spans="1:20" x14ac:dyDescent="0.35">
      <c r="A1082" s="7">
        <v>1081</v>
      </c>
      <c r="B1082" s="9">
        <v>1003</v>
      </c>
      <c r="C1082" s="14" t="str">
        <f>IFERROR(_xlfn.TEXTJOIN("-", TRUE, _xlfn.XLOOKUP(K1082, product_category_id_lookup!$A$2:$A$5, product_category_id_lookup!$B$2:$B$5), B1082), "Unknown Category")</f>
        <v>etc-1003</v>
      </c>
      <c r="D1082" s="8">
        <v>44915</v>
      </c>
      <c r="E1082" s="14">
        <f t="shared" si="48"/>
        <v>2022</v>
      </c>
      <c r="F1082" s="29" t="str">
        <f t="shared" si="49"/>
        <v>Dec</v>
      </c>
      <c r="G1082" s="17" t="s">
        <v>33</v>
      </c>
      <c r="H1082" s="17" t="s">
        <v>15</v>
      </c>
      <c r="I1082" s="24">
        <v>3806.4215000000004</v>
      </c>
      <c r="J1082" s="32">
        <v>5</v>
      </c>
      <c r="K1082" s="17" t="s">
        <v>31</v>
      </c>
      <c r="L1082" s="24">
        <v>673.86</v>
      </c>
      <c r="M1082" s="24">
        <v>917.21</v>
      </c>
      <c r="N1082" s="34">
        <f>((sales_data_1[[#This Row],[Unit_Price]]*(1-sales_data_1[[#This Row],[Discount]]))-sales_data_1[[#This Row],[Unit_Cost]])*sales_data_1[[#This Row],[Quantity_Sold]]</f>
        <v>437.12150000000008</v>
      </c>
      <c r="O1082" s="17" t="s">
        <v>17</v>
      </c>
      <c r="P1082" s="26">
        <v>0.17</v>
      </c>
      <c r="Q1082" s="17" t="s">
        <v>25</v>
      </c>
      <c r="R1082" s="17" t="s">
        <v>19</v>
      </c>
      <c r="S1082" s="50" t="str">
        <f t="shared" si="50"/>
        <v>Alice-North</v>
      </c>
      <c r="T1082" s="59" t="str">
        <f>IF(ROUND(sales_data_1[[#This Row],[Profit_Margin]],2)=ROUND((sales_data_1[[#This Row],[Unit_Price]]*(1-sales_data_1[[#This Row],[Discount]]) - sales_data_1[[#This Row],[Unit_Cost]])*sales_data_1[[#This Row],[Quantity_Sold]],2), "PASS", "CHECK")</f>
        <v>PASS</v>
      </c>
    </row>
    <row r="1083" spans="1:20" x14ac:dyDescent="0.35">
      <c r="A1083" s="7">
        <v>1082</v>
      </c>
      <c r="B1083" s="9">
        <v>1053</v>
      </c>
      <c r="C1083" s="14" t="str">
        <f>IFERROR(_xlfn.TEXTJOIN("-", TRUE, _xlfn.XLOOKUP(K1083, product_category_id_lookup!$A$2:$A$5, product_category_id_lookup!$B$2:$B$5), B1083), "Unknown Category")</f>
        <v>etc-1053</v>
      </c>
      <c r="D1083" s="8">
        <v>44915</v>
      </c>
      <c r="E1083" s="14">
        <f t="shared" si="48"/>
        <v>2022</v>
      </c>
      <c r="F1083" s="29" t="str">
        <f t="shared" si="49"/>
        <v>Dec</v>
      </c>
      <c r="G1083" s="17" t="s">
        <v>29</v>
      </c>
      <c r="H1083" s="17" t="s">
        <v>20</v>
      </c>
      <c r="I1083" s="24">
        <v>23312.384000000002</v>
      </c>
      <c r="J1083" s="32">
        <v>16</v>
      </c>
      <c r="K1083" s="17" t="s">
        <v>31</v>
      </c>
      <c r="L1083" s="24">
        <v>1329.64</v>
      </c>
      <c r="M1083" s="24">
        <v>1821.28</v>
      </c>
      <c r="N1083" s="34">
        <f>((sales_data_1[[#This Row],[Unit_Price]]*(1-sales_data_1[[#This Row],[Discount]]))-sales_data_1[[#This Row],[Unit_Cost]])*sales_data_1[[#This Row],[Quantity_Sold]]</f>
        <v>2038.1440000000002</v>
      </c>
      <c r="O1083" s="17" t="s">
        <v>17</v>
      </c>
      <c r="P1083" s="26">
        <v>0.2</v>
      </c>
      <c r="Q1083" s="17" t="s">
        <v>28</v>
      </c>
      <c r="R1083" s="17" t="s">
        <v>19</v>
      </c>
      <c r="S1083" s="50" t="str">
        <f t="shared" si="50"/>
        <v>Charlie-West</v>
      </c>
      <c r="T1083" s="59" t="str">
        <f>IF(ROUND(sales_data_1[[#This Row],[Profit_Margin]],2)=ROUND((sales_data_1[[#This Row],[Unit_Price]]*(1-sales_data_1[[#This Row],[Discount]]) - sales_data_1[[#This Row],[Unit_Cost]])*sales_data_1[[#This Row],[Quantity_Sold]],2), "PASS", "CHECK")</f>
        <v>PASS</v>
      </c>
    </row>
    <row r="1084" spans="1:20" x14ac:dyDescent="0.35">
      <c r="A1084" s="7">
        <v>1083</v>
      </c>
      <c r="B1084" s="9">
        <v>1014</v>
      </c>
      <c r="C1084" s="14" t="str">
        <f>IFERROR(_xlfn.TEXTJOIN("-", TRUE, _xlfn.XLOOKUP(K1084, product_category_id_lookup!$A$2:$A$5, product_category_id_lookup!$B$2:$B$5), B1084), "Unknown Category")</f>
        <v>etc-1014</v>
      </c>
      <c r="D1084" s="8">
        <v>44915</v>
      </c>
      <c r="E1084" s="14">
        <f t="shared" si="48"/>
        <v>2022</v>
      </c>
      <c r="F1084" s="29" t="str">
        <f t="shared" si="49"/>
        <v>Dec</v>
      </c>
      <c r="G1084" s="17" t="s">
        <v>14</v>
      </c>
      <c r="H1084" s="17" t="s">
        <v>30</v>
      </c>
      <c r="I1084" s="24">
        <v>22786.413</v>
      </c>
      <c r="J1084" s="32">
        <v>13</v>
      </c>
      <c r="K1084" s="17" t="s">
        <v>31</v>
      </c>
      <c r="L1084" s="24">
        <v>1279.0899999999999</v>
      </c>
      <c r="M1084" s="24">
        <v>2368.65</v>
      </c>
      <c r="N1084" s="34">
        <f>((sales_data_1[[#This Row],[Unit_Price]]*(1-sales_data_1[[#This Row],[Discount]]))-sales_data_1[[#This Row],[Unit_Cost]])*sales_data_1[[#This Row],[Quantity_Sold]]</f>
        <v>6158.2430000000031</v>
      </c>
      <c r="O1084" s="17" t="s">
        <v>17</v>
      </c>
      <c r="P1084" s="26">
        <v>0.26</v>
      </c>
      <c r="Q1084" s="17" t="s">
        <v>25</v>
      </c>
      <c r="R1084" s="17" t="s">
        <v>21</v>
      </c>
      <c r="S1084" s="50" t="str">
        <f t="shared" si="50"/>
        <v>Bob-East</v>
      </c>
      <c r="T1084" s="59" t="str">
        <f>IF(ROUND(sales_data_1[[#This Row],[Profit_Margin]],2)=ROUND((sales_data_1[[#This Row],[Unit_Price]]*(1-sales_data_1[[#This Row],[Discount]]) - sales_data_1[[#This Row],[Unit_Cost]])*sales_data_1[[#This Row],[Quantity_Sold]],2), "PASS", "CHECK")</f>
        <v>PASS</v>
      </c>
    </row>
    <row r="1085" spans="1:20" x14ac:dyDescent="0.35">
      <c r="A1085" s="7">
        <v>1084</v>
      </c>
      <c r="B1085" s="9">
        <v>1072</v>
      </c>
      <c r="C1085" s="14" t="str">
        <f>IFERROR(_xlfn.TEXTJOIN("-", TRUE, _xlfn.XLOOKUP(K1085, product_category_id_lookup!$A$2:$A$5, product_category_id_lookup!$B$2:$B$5), B1085), "Unknown Category")</f>
        <v>etc-1072</v>
      </c>
      <c r="D1085" s="8">
        <v>44915</v>
      </c>
      <c r="E1085" s="14">
        <f t="shared" si="48"/>
        <v>2022</v>
      </c>
      <c r="F1085" s="29" t="str">
        <f t="shared" si="49"/>
        <v>Dec</v>
      </c>
      <c r="G1085" s="17" t="s">
        <v>33</v>
      </c>
      <c r="H1085" s="17" t="s">
        <v>20</v>
      </c>
      <c r="I1085" s="24">
        <v>86974.726800000004</v>
      </c>
      <c r="J1085" s="32">
        <v>38</v>
      </c>
      <c r="K1085" s="17" t="s">
        <v>31</v>
      </c>
      <c r="L1085" s="24">
        <v>912.98</v>
      </c>
      <c r="M1085" s="24">
        <v>2791.23</v>
      </c>
      <c r="N1085" s="34">
        <f>((sales_data_1[[#This Row],[Unit_Price]]*(1-sales_data_1[[#This Row],[Discount]]))-sales_data_1[[#This Row],[Unit_Cost]])*sales_data_1[[#This Row],[Quantity_Sold]]</f>
        <v>52281.486800000013</v>
      </c>
      <c r="O1085" s="17" t="s">
        <v>27</v>
      </c>
      <c r="P1085" s="26">
        <v>0.18</v>
      </c>
      <c r="Q1085" s="17" t="s">
        <v>18</v>
      </c>
      <c r="R1085" s="17" t="s">
        <v>21</v>
      </c>
      <c r="S1085" s="50" t="str">
        <f t="shared" si="50"/>
        <v>Alice-West</v>
      </c>
      <c r="T1085" s="59" t="str">
        <f>IF(ROUND(sales_data_1[[#This Row],[Profit_Margin]],2)=ROUND((sales_data_1[[#This Row],[Unit_Price]]*(1-sales_data_1[[#This Row],[Discount]]) - sales_data_1[[#This Row],[Unit_Cost]])*sales_data_1[[#This Row],[Quantity_Sold]],2), "PASS", "CHECK")</f>
        <v>PASS</v>
      </c>
    </row>
    <row r="1086" spans="1:20" x14ac:dyDescent="0.35">
      <c r="A1086" s="7">
        <v>1085</v>
      </c>
      <c r="B1086" s="9">
        <v>1005</v>
      </c>
      <c r="C1086" s="14" t="str">
        <f>IFERROR(_xlfn.TEXTJOIN("-", TRUE, _xlfn.XLOOKUP(K1086, product_category_id_lookup!$A$2:$A$5, product_category_id_lookup!$B$2:$B$5), B1086), "Unknown Category")</f>
        <v>ctg-1005</v>
      </c>
      <c r="D1086" s="8">
        <v>44916</v>
      </c>
      <c r="E1086" s="14">
        <f t="shared" si="48"/>
        <v>2022</v>
      </c>
      <c r="F1086" s="29" t="str">
        <f t="shared" si="49"/>
        <v>Dec</v>
      </c>
      <c r="G1086" s="17" t="s">
        <v>29</v>
      </c>
      <c r="H1086" s="17" t="s">
        <v>15</v>
      </c>
      <c r="I1086" s="24">
        <v>62827.293599999997</v>
      </c>
      <c r="J1086" s="32">
        <v>29</v>
      </c>
      <c r="K1086" s="17" t="s">
        <v>26</v>
      </c>
      <c r="L1086" s="24">
        <v>1813.47</v>
      </c>
      <c r="M1086" s="24">
        <v>2674.64</v>
      </c>
      <c r="N1086" s="34">
        <f>((sales_data_1[[#This Row],[Unit_Price]]*(1-sales_data_1[[#This Row],[Discount]]))-sales_data_1[[#This Row],[Unit_Cost]])*sales_data_1[[#This Row],[Quantity_Sold]]</f>
        <v>10236.663599999998</v>
      </c>
      <c r="O1086" s="17" t="s">
        <v>17</v>
      </c>
      <c r="P1086" s="26">
        <v>0.19</v>
      </c>
      <c r="Q1086" s="17" t="s">
        <v>28</v>
      </c>
      <c r="R1086" s="17" t="s">
        <v>21</v>
      </c>
      <c r="S1086" s="50" t="str">
        <f t="shared" si="50"/>
        <v>Charlie-North</v>
      </c>
      <c r="T1086" s="59" t="str">
        <f>IF(ROUND(sales_data_1[[#This Row],[Profit_Margin]],2)=ROUND((sales_data_1[[#This Row],[Unit_Price]]*(1-sales_data_1[[#This Row],[Discount]]) - sales_data_1[[#This Row],[Unit_Cost]])*sales_data_1[[#This Row],[Quantity_Sold]],2), "PASS", "CHECK")</f>
        <v>PASS</v>
      </c>
    </row>
    <row r="1087" spans="1:20" x14ac:dyDescent="0.35">
      <c r="A1087" s="7">
        <v>1086</v>
      </c>
      <c r="B1087" s="9">
        <v>1078</v>
      </c>
      <c r="C1087" s="14" t="str">
        <f>IFERROR(_xlfn.TEXTJOIN("-", TRUE, _xlfn.XLOOKUP(K1087, product_category_id_lookup!$A$2:$A$5, product_category_id_lookup!$B$2:$B$5), B1087), "Unknown Category")</f>
        <v>etc-1078</v>
      </c>
      <c r="D1087" s="8">
        <v>44916</v>
      </c>
      <c r="E1087" s="14">
        <f t="shared" si="48"/>
        <v>2022</v>
      </c>
      <c r="F1087" s="29" t="str">
        <f t="shared" si="49"/>
        <v>Dec</v>
      </c>
      <c r="G1087" s="17" t="s">
        <v>33</v>
      </c>
      <c r="H1087" s="17" t="s">
        <v>15</v>
      </c>
      <c r="I1087" s="24">
        <v>15959.034</v>
      </c>
      <c r="J1087" s="32">
        <v>7</v>
      </c>
      <c r="K1087" s="17" t="s">
        <v>31</v>
      </c>
      <c r="L1087" s="24">
        <v>632.4</v>
      </c>
      <c r="M1087" s="24">
        <v>2533.1799999999998</v>
      </c>
      <c r="N1087" s="34">
        <f>((sales_data_1[[#This Row],[Unit_Price]]*(1-sales_data_1[[#This Row],[Discount]]))-sales_data_1[[#This Row],[Unit_Cost]])*sales_data_1[[#This Row],[Quantity_Sold]]</f>
        <v>11532.234</v>
      </c>
      <c r="O1087" s="17" t="s">
        <v>17</v>
      </c>
      <c r="P1087" s="26">
        <v>0.1</v>
      </c>
      <c r="Q1087" s="17" t="s">
        <v>25</v>
      </c>
      <c r="R1087" s="17" t="s">
        <v>19</v>
      </c>
      <c r="S1087" s="50" t="str">
        <f t="shared" si="50"/>
        <v>Alice-North</v>
      </c>
      <c r="T1087" s="59" t="str">
        <f>IF(ROUND(sales_data_1[[#This Row],[Profit_Margin]],2)=ROUND((sales_data_1[[#This Row],[Unit_Price]]*(1-sales_data_1[[#This Row],[Discount]]) - sales_data_1[[#This Row],[Unit_Cost]])*sales_data_1[[#This Row],[Quantity_Sold]],2), "PASS", "CHECK")</f>
        <v>PASS</v>
      </c>
    </row>
    <row r="1088" spans="1:20" x14ac:dyDescent="0.35">
      <c r="A1088" s="7">
        <v>1087</v>
      </c>
      <c r="B1088" s="9">
        <v>1088</v>
      </c>
      <c r="C1088" s="14" t="str">
        <f>IFERROR(_xlfn.TEXTJOIN("-", TRUE, _xlfn.XLOOKUP(K1088, product_category_id_lookup!$A$2:$A$5, product_category_id_lookup!$B$2:$B$5), B1088), "Unknown Category")</f>
        <v>fd-1088</v>
      </c>
      <c r="D1088" s="8">
        <v>44916</v>
      </c>
      <c r="E1088" s="14">
        <f t="shared" si="48"/>
        <v>2022</v>
      </c>
      <c r="F1088" s="29" t="str">
        <f t="shared" si="49"/>
        <v>Dec</v>
      </c>
      <c r="G1088" s="17" t="s">
        <v>32</v>
      </c>
      <c r="H1088" s="17" t="s">
        <v>23</v>
      </c>
      <c r="I1088" s="24">
        <v>60485.827799999999</v>
      </c>
      <c r="J1088" s="32">
        <v>23</v>
      </c>
      <c r="K1088" s="17" t="s">
        <v>24</v>
      </c>
      <c r="L1088" s="24">
        <v>1629.28</v>
      </c>
      <c r="M1088" s="24">
        <v>3022.78</v>
      </c>
      <c r="N1088" s="34">
        <f>((sales_data_1[[#This Row],[Unit_Price]]*(1-sales_data_1[[#This Row],[Discount]]))-sales_data_1[[#This Row],[Unit_Cost]])*sales_data_1[[#This Row],[Quantity_Sold]]</f>
        <v>23012.3878</v>
      </c>
      <c r="O1088" s="17" t="s">
        <v>27</v>
      </c>
      <c r="P1088" s="26">
        <v>0.13</v>
      </c>
      <c r="Q1088" s="17" t="s">
        <v>28</v>
      </c>
      <c r="R1088" s="17" t="s">
        <v>21</v>
      </c>
      <c r="S1088" s="50" t="str">
        <f t="shared" si="50"/>
        <v>Eve-South</v>
      </c>
      <c r="T1088" s="59" t="str">
        <f>IF(ROUND(sales_data_1[[#This Row],[Profit_Margin]],2)=ROUND((sales_data_1[[#This Row],[Unit_Price]]*(1-sales_data_1[[#This Row],[Discount]]) - sales_data_1[[#This Row],[Unit_Cost]])*sales_data_1[[#This Row],[Quantity_Sold]],2), "PASS", "CHECK")</f>
        <v>PASS</v>
      </c>
    </row>
    <row r="1089" spans="1:20" x14ac:dyDescent="0.35">
      <c r="A1089" s="7">
        <v>1088</v>
      </c>
      <c r="B1089" s="9">
        <v>1058</v>
      </c>
      <c r="C1089" s="14" t="str">
        <f>IFERROR(_xlfn.TEXTJOIN("-", TRUE, _xlfn.XLOOKUP(K1089, product_category_id_lookup!$A$2:$A$5, product_category_id_lookup!$B$2:$B$5), B1089), "Unknown Category")</f>
        <v>etc-1058</v>
      </c>
      <c r="D1089" s="8">
        <v>44917</v>
      </c>
      <c r="E1089" s="14">
        <f t="shared" si="48"/>
        <v>2022</v>
      </c>
      <c r="F1089" s="29" t="str">
        <f t="shared" si="49"/>
        <v>Dec</v>
      </c>
      <c r="G1089" s="17" t="s">
        <v>29</v>
      </c>
      <c r="H1089" s="17" t="s">
        <v>15</v>
      </c>
      <c r="I1089" s="24">
        <v>151412.83920000002</v>
      </c>
      <c r="J1089" s="32">
        <v>38</v>
      </c>
      <c r="K1089" s="17" t="s">
        <v>31</v>
      </c>
      <c r="L1089" s="24">
        <v>3718.24</v>
      </c>
      <c r="M1089" s="24">
        <v>4743.51</v>
      </c>
      <c r="N1089" s="34">
        <f>((sales_data_1[[#This Row],[Unit_Price]]*(1-sales_data_1[[#This Row],[Discount]]))-sales_data_1[[#This Row],[Unit_Cost]])*sales_data_1[[#This Row],[Quantity_Sold]]</f>
        <v>10119.719200000014</v>
      </c>
      <c r="O1089" s="17" t="s">
        <v>27</v>
      </c>
      <c r="P1089" s="26">
        <v>0.16</v>
      </c>
      <c r="Q1089" s="17" t="s">
        <v>25</v>
      </c>
      <c r="R1089" s="17" t="s">
        <v>19</v>
      </c>
      <c r="S1089" s="50" t="str">
        <f t="shared" si="50"/>
        <v>Charlie-North</v>
      </c>
      <c r="T1089" s="59" t="str">
        <f>IF(ROUND(sales_data_1[[#This Row],[Profit_Margin]],2)=ROUND((sales_data_1[[#This Row],[Unit_Price]]*(1-sales_data_1[[#This Row],[Discount]]) - sales_data_1[[#This Row],[Unit_Cost]])*sales_data_1[[#This Row],[Quantity_Sold]],2), "PASS", "CHECK")</f>
        <v>PASS</v>
      </c>
    </row>
    <row r="1090" spans="1:20" x14ac:dyDescent="0.35">
      <c r="A1090" s="7">
        <v>1089</v>
      </c>
      <c r="B1090" s="9">
        <v>1085</v>
      </c>
      <c r="C1090" s="14" t="str">
        <f>IFERROR(_xlfn.TEXTJOIN("-", TRUE, _xlfn.XLOOKUP(K1090, product_category_id_lookup!$A$2:$A$5, product_category_id_lookup!$B$2:$B$5), B1090), "Unknown Category")</f>
        <v>etc-1085</v>
      </c>
      <c r="D1090" s="8">
        <v>44917</v>
      </c>
      <c r="E1090" s="14">
        <f t="shared" ref="E1090:E1153" si="51">YEAR(D1090)</f>
        <v>2022</v>
      </c>
      <c r="F1090" s="29" t="str">
        <f t="shared" ref="F1090:F1153" si="52">LEFT(TEXT(D1090,"mmmm"),3)</f>
        <v>Dec</v>
      </c>
      <c r="G1090" s="17" t="s">
        <v>33</v>
      </c>
      <c r="H1090" s="17" t="s">
        <v>20</v>
      </c>
      <c r="I1090" s="24">
        <v>143539.3518</v>
      </c>
      <c r="J1090" s="32">
        <v>41</v>
      </c>
      <c r="K1090" s="17" t="s">
        <v>31</v>
      </c>
      <c r="L1090" s="24">
        <v>3068.78</v>
      </c>
      <c r="M1090" s="24">
        <v>4488.41</v>
      </c>
      <c r="N1090" s="34">
        <f>((sales_data_1[[#This Row],[Unit_Price]]*(1-sales_data_1[[#This Row],[Discount]]))-sales_data_1[[#This Row],[Unit_Cost]])*sales_data_1[[#This Row],[Quantity_Sold]]</f>
        <v>17719.371799999994</v>
      </c>
      <c r="O1090" s="17" t="s">
        <v>17</v>
      </c>
      <c r="P1090" s="26">
        <v>0.22</v>
      </c>
      <c r="Q1090" s="17" t="s">
        <v>28</v>
      </c>
      <c r="R1090" s="17" t="s">
        <v>21</v>
      </c>
      <c r="S1090" s="50" t="str">
        <f t="shared" ref="S1090:S1153" si="53">_xlfn.CONCAT(G1090,"-",H1090)</f>
        <v>Alice-West</v>
      </c>
      <c r="T1090" s="59" t="str">
        <f>IF(ROUND(sales_data_1[[#This Row],[Profit_Margin]],2)=ROUND((sales_data_1[[#This Row],[Unit_Price]]*(1-sales_data_1[[#This Row],[Discount]]) - sales_data_1[[#This Row],[Unit_Cost]])*sales_data_1[[#This Row],[Quantity_Sold]],2), "PASS", "CHECK")</f>
        <v>PASS</v>
      </c>
    </row>
    <row r="1091" spans="1:20" x14ac:dyDescent="0.35">
      <c r="A1091" s="7">
        <v>1090</v>
      </c>
      <c r="B1091" s="9">
        <v>1070</v>
      </c>
      <c r="C1091" s="14" t="str">
        <f>IFERROR(_xlfn.TEXTJOIN("-", TRUE, _xlfn.XLOOKUP(K1091, product_category_id_lookup!$A$2:$A$5, product_category_id_lookup!$B$2:$B$5), B1091), "Unknown Category")</f>
        <v>etc-1070</v>
      </c>
      <c r="D1091" s="8">
        <v>44917</v>
      </c>
      <c r="E1091" s="14">
        <f t="shared" si="51"/>
        <v>2022</v>
      </c>
      <c r="F1091" s="29" t="str">
        <f t="shared" si="52"/>
        <v>Dec</v>
      </c>
      <c r="G1091" s="17" t="s">
        <v>33</v>
      </c>
      <c r="H1091" s="17" t="s">
        <v>20</v>
      </c>
      <c r="I1091" s="24">
        <v>83550.851999999999</v>
      </c>
      <c r="J1091" s="32">
        <v>45</v>
      </c>
      <c r="K1091" s="17" t="s">
        <v>31</v>
      </c>
      <c r="L1091" s="24">
        <v>1346.51</v>
      </c>
      <c r="M1091" s="24">
        <v>2578.73</v>
      </c>
      <c r="N1091" s="34">
        <f>((sales_data_1[[#This Row],[Unit_Price]]*(1-sales_data_1[[#This Row],[Discount]]))-sales_data_1[[#This Row],[Unit_Cost]])*sales_data_1[[#This Row],[Quantity_Sold]]</f>
        <v>22957.902000000002</v>
      </c>
      <c r="O1091" s="17" t="s">
        <v>27</v>
      </c>
      <c r="P1091" s="26">
        <v>0.28000000000000003</v>
      </c>
      <c r="Q1091" s="17" t="s">
        <v>28</v>
      </c>
      <c r="R1091" s="17" t="s">
        <v>21</v>
      </c>
      <c r="S1091" s="50" t="str">
        <f t="shared" si="53"/>
        <v>Alice-West</v>
      </c>
      <c r="T1091" s="59" t="str">
        <f>IF(ROUND(sales_data_1[[#This Row],[Profit_Margin]],2)=ROUND((sales_data_1[[#This Row],[Unit_Price]]*(1-sales_data_1[[#This Row],[Discount]]) - sales_data_1[[#This Row],[Unit_Cost]])*sales_data_1[[#This Row],[Quantity_Sold]],2), "PASS", "CHECK")</f>
        <v>PASS</v>
      </c>
    </row>
    <row r="1092" spans="1:20" x14ac:dyDescent="0.35">
      <c r="A1092" s="7">
        <v>1091</v>
      </c>
      <c r="B1092" s="9">
        <v>1002</v>
      </c>
      <c r="C1092" s="14" t="str">
        <f>IFERROR(_xlfn.TEXTJOIN("-", TRUE, _xlfn.XLOOKUP(K1092, product_category_id_lookup!$A$2:$A$5, product_category_id_lookup!$B$2:$B$5), B1092), "Unknown Category")</f>
        <v>fd-1002</v>
      </c>
      <c r="D1092" s="8">
        <v>44918</v>
      </c>
      <c r="E1092" s="14">
        <f t="shared" si="51"/>
        <v>2022</v>
      </c>
      <c r="F1092" s="29" t="str">
        <f t="shared" si="52"/>
        <v>Dec</v>
      </c>
      <c r="G1092" s="17" t="s">
        <v>33</v>
      </c>
      <c r="H1092" s="17" t="s">
        <v>23</v>
      </c>
      <c r="I1092" s="24">
        <v>27369.014767688168</v>
      </c>
      <c r="J1092" s="32">
        <v>50</v>
      </c>
      <c r="K1092" s="17" t="s">
        <v>24</v>
      </c>
      <c r="L1092" s="24">
        <v>460.31</v>
      </c>
      <c r="M1092" s="24">
        <v>560.76</v>
      </c>
      <c r="N1092" s="34">
        <f>((sales_data_1[[#This Row],[Unit_Price]]*(1-sales_data_1[[#This Row],[Discount]]))-sales_data_1[[#This Row],[Unit_Cost]])*sales_data_1[[#This Row],[Quantity_Sold]]</f>
        <v>4461.7400000000007</v>
      </c>
      <c r="O1092" s="17" t="s">
        <v>17</v>
      </c>
      <c r="P1092" s="26">
        <v>0.02</v>
      </c>
      <c r="Q1092" s="17" t="s">
        <v>25</v>
      </c>
      <c r="R1092" s="17" t="s">
        <v>21</v>
      </c>
      <c r="S1092" s="50" t="str">
        <f t="shared" si="53"/>
        <v>Alice-South</v>
      </c>
      <c r="T1092" s="59" t="str">
        <f>IF(ROUND(sales_data_1[[#This Row],[Profit_Margin]],2)=ROUND((sales_data_1[[#This Row],[Unit_Price]]*(1-sales_data_1[[#This Row],[Discount]]) - sales_data_1[[#This Row],[Unit_Cost]])*sales_data_1[[#This Row],[Quantity_Sold]],2), "PASS", "CHECK")</f>
        <v>PASS</v>
      </c>
    </row>
    <row r="1093" spans="1:20" x14ac:dyDescent="0.35">
      <c r="A1093" s="7">
        <v>1092</v>
      </c>
      <c r="B1093" s="9">
        <v>1045</v>
      </c>
      <c r="C1093" s="14" t="str">
        <f>IFERROR(_xlfn.TEXTJOIN("-", TRUE, _xlfn.XLOOKUP(K1093, product_category_id_lookup!$A$2:$A$5, product_category_id_lookup!$B$2:$B$5), B1093), "Unknown Category")</f>
        <v>fd-1045</v>
      </c>
      <c r="D1093" s="8">
        <v>44918</v>
      </c>
      <c r="E1093" s="14">
        <f t="shared" si="51"/>
        <v>2022</v>
      </c>
      <c r="F1093" s="29" t="str">
        <f t="shared" si="52"/>
        <v>Dec</v>
      </c>
      <c r="G1093" s="17" t="s">
        <v>33</v>
      </c>
      <c r="H1093" s="17" t="s">
        <v>23</v>
      </c>
      <c r="I1093" s="24">
        <v>58864.319999999992</v>
      </c>
      <c r="J1093" s="32">
        <v>36</v>
      </c>
      <c r="K1093" s="17" t="s">
        <v>24</v>
      </c>
      <c r="L1093" s="24">
        <v>157.15</v>
      </c>
      <c r="M1093" s="24">
        <v>1635.12</v>
      </c>
      <c r="N1093" s="34">
        <f>((sales_data_1[[#This Row],[Unit_Price]]*(1-sales_data_1[[#This Row],[Discount]]))-sales_data_1[[#This Row],[Unit_Cost]])*sales_data_1[[#This Row],[Quantity_Sold]]</f>
        <v>53206.919999999991</v>
      </c>
      <c r="O1093" s="17" t="s">
        <v>17</v>
      </c>
      <c r="P1093" s="26">
        <v>0</v>
      </c>
      <c r="Q1093" s="17" t="s">
        <v>18</v>
      </c>
      <c r="R1093" s="17" t="s">
        <v>21</v>
      </c>
      <c r="S1093" s="50" t="str">
        <f t="shared" si="53"/>
        <v>Alice-South</v>
      </c>
      <c r="T1093" s="59" t="str">
        <f>IF(ROUND(sales_data_1[[#This Row],[Profit_Margin]],2)=ROUND((sales_data_1[[#This Row],[Unit_Price]]*(1-sales_data_1[[#This Row],[Discount]]) - sales_data_1[[#This Row],[Unit_Cost]])*sales_data_1[[#This Row],[Quantity_Sold]],2), "PASS", "CHECK")</f>
        <v>PASS</v>
      </c>
    </row>
    <row r="1094" spans="1:20" x14ac:dyDescent="0.35">
      <c r="A1094" s="7">
        <v>1093</v>
      </c>
      <c r="B1094" s="9">
        <v>1060</v>
      </c>
      <c r="C1094" s="14" t="str">
        <f>IFERROR(_xlfn.TEXTJOIN("-", TRUE, _xlfn.XLOOKUP(K1094, product_category_id_lookup!$A$2:$A$5, product_category_id_lookup!$B$2:$B$5), B1094), "Unknown Category")</f>
        <v>fnt-1060</v>
      </c>
      <c r="D1094" s="8">
        <v>44919</v>
      </c>
      <c r="E1094" s="14">
        <f t="shared" si="51"/>
        <v>2022</v>
      </c>
      <c r="F1094" s="29" t="str">
        <f t="shared" si="52"/>
        <v>Dec</v>
      </c>
      <c r="G1094" s="17" t="s">
        <v>33</v>
      </c>
      <c r="H1094" s="17" t="s">
        <v>30</v>
      </c>
      <c r="I1094" s="24">
        <v>187236.09599999996</v>
      </c>
      <c r="J1094" s="32">
        <v>40</v>
      </c>
      <c r="K1094" s="17" t="s">
        <v>16</v>
      </c>
      <c r="L1094" s="24">
        <v>4208.05</v>
      </c>
      <c r="M1094" s="24">
        <v>4875.9399999999996</v>
      </c>
      <c r="N1094" s="34">
        <f>((sales_data_1[[#This Row],[Unit_Price]]*(1-sales_data_1[[#This Row],[Discount]]))-sales_data_1[[#This Row],[Unit_Cost]])*sales_data_1[[#This Row],[Quantity_Sold]]</f>
        <v>18914.095999999954</v>
      </c>
      <c r="O1094" s="17" t="s">
        <v>17</v>
      </c>
      <c r="P1094" s="26">
        <v>0.04</v>
      </c>
      <c r="Q1094" s="17" t="s">
        <v>18</v>
      </c>
      <c r="R1094" s="17" t="s">
        <v>21</v>
      </c>
      <c r="S1094" s="50" t="str">
        <f t="shared" si="53"/>
        <v>Alice-East</v>
      </c>
      <c r="T1094" s="59" t="str">
        <f>IF(ROUND(sales_data_1[[#This Row],[Profit_Margin]],2)=ROUND((sales_data_1[[#This Row],[Unit_Price]]*(1-sales_data_1[[#This Row],[Discount]]) - sales_data_1[[#This Row],[Unit_Cost]])*sales_data_1[[#This Row],[Quantity_Sold]],2), "PASS", "CHECK")</f>
        <v>PASS</v>
      </c>
    </row>
    <row r="1095" spans="1:20" x14ac:dyDescent="0.35">
      <c r="A1095" s="7">
        <v>1094</v>
      </c>
      <c r="B1095" s="9">
        <v>1092</v>
      </c>
      <c r="C1095" s="14" t="str">
        <f>IFERROR(_xlfn.TEXTJOIN("-", TRUE, _xlfn.XLOOKUP(K1095, product_category_id_lookup!$A$2:$A$5, product_category_id_lookup!$B$2:$B$5), B1095), "Unknown Category")</f>
        <v>fd-1092</v>
      </c>
      <c r="D1095" s="8">
        <v>44919</v>
      </c>
      <c r="E1095" s="14">
        <f t="shared" si="51"/>
        <v>2022</v>
      </c>
      <c r="F1095" s="29" t="str">
        <f t="shared" si="52"/>
        <v>Dec</v>
      </c>
      <c r="G1095" s="17" t="s">
        <v>29</v>
      </c>
      <c r="H1095" s="17" t="s">
        <v>30</v>
      </c>
      <c r="I1095" s="24">
        <v>47978.52</v>
      </c>
      <c r="J1095" s="32">
        <v>16</v>
      </c>
      <c r="K1095" s="17" t="s">
        <v>24</v>
      </c>
      <c r="L1095" s="24">
        <v>1156.0999999999999</v>
      </c>
      <c r="M1095" s="24">
        <v>4107.75</v>
      </c>
      <c r="N1095" s="34">
        <f>((sales_data_1[[#This Row],[Unit_Price]]*(1-sales_data_1[[#This Row],[Discount]]))-sales_data_1[[#This Row],[Unit_Cost]])*sales_data_1[[#This Row],[Quantity_Sold]]</f>
        <v>29480.92</v>
      </c>
      <c r="O1095" s="17" t="s">
        <v>17</v>
      </c>
      <c r="P1095" s="26">
        <v>0.27</v>
      </c>
      <c r="Q1095" s="17" t="s">
        <v>18</v>
      </c>
      <c r="R1095" s="17" t="s">
        <v>21</v>
      </c>
      <c r="S1095" s="50" t="str">
        <f t="shared" si="53"/>
        <v>Charlie-East</v>
      </c>
      <c r="T1095" s="59" t="str">
        <f>IF(ROUND(sales_data_1[[#This Row],[Profit_Margin]],2)=ROUND((sales_data_1[[#This Row],[Unit_Price]]*(1-sales_data_1[[#This Row],[Discount]]) - sales_data_1[[#This Row],[Unit_Cost]])*sales_data_1[[#This Row],[Quantity_Sold]],2), "PASS", "CHECK")</f>
        <v>PASS</v>
      </c>
    </row>
    <row r="1096" spans="1:20" x14ac:dyDescent="0.35">
      <c r="A1096" s="7">
        <v>1095</v>
      </c>
      <c r="B1096" s="9">
        <v>1092</v>
      </c>
      <c r="C1096" s="14" t="str">
        <f>IFERROR(_xlfn.TEXTJOIN("-", TRUE, _xlfn.XLOOKUP(K1096, product_category_id_lookup!$A$2:$A$5, product_category_id_lookup!$B$2:$B$5), B1096), "Unknown Category")</f>
        <v>ctg-1092</v>
      </c>
      <c r="D1096" s="8">
        <v>44919</v>
      </c>
      <c r="E1096" s="14">
        <f t="shared" si="51"/>
        <v>2022</v>
      </c>
      <c r="F1096" s="29" t="str">
        <f t="shared" si="52"/>
        <v>Dec</v>
      </c>
      <c r="G1096" s="17" t="s">
        <v>14</v>
      </c>
      <c r="H1096" s="17" t="s">
        <v>23</v>
      </c>
      <c r="I1096" s="24">
        <v>110286.5956</v>
      </c>
      <c r="J1096" s="32">
        <v>34</v>
      </c>
      <c r="K1096" s="17" t="s">
        <v>26</v>
      </c>
      <c r="L1096" s="24">
        <v>1674.3</v>
      </c>
      <c r="M1096" s="24">
        <v>4383.41</v>
      </c>
      <c r="N1096" s="34">
        <f>((sales_data_1[[#This Row],[Unit_Price]]*(1-sales_data_1[[#This Row],[Discount]]))-sales_data_1[[#This Row],[Unit_Cost]])*sales_data_1[[#This Row],[Quantity_Sold]]</f>
        <v>53360.395599999996</v>
      </c>
      <c r="O1096" s="17" t="s">
        <v>27</v>
      </c>
      <c r="P1096" s="26">
        <v>0.26</v>
      </c>
      <c r="Q1096" s="17" t="s">
        <v>18</v>
      </c>
      <c r="R1096" s="17" t="s">
        <v>21</v>
      </c>
      <c r="S1096" s="50" t="str">
        <f t="shared" si="53"/>
        <v>Bob-South</v>
      </c>
      <c r="T1096" s="59" t="str">
        <f>IF(ROUND(sales_data_1[[#This Row],[Profit_Margin]],2)=ROUND((sales_data_1[[#This Row],[Unit_Price]]*(1-sales_data_1[[#This Row],[Discount]]) - sales_data_1[[#This Row],[Unit_Cost]])*sales_data_1[[#This Row],[Quantity_Sold]],2), "PASS", "CHECK")</f>
        <v>PASS</v>
      </c>
    </row>
    <row r="1097" spans="1:20" x14ac:dyDescent="0.35">
      <c r="A1097" s="7">
        <v>1096</v>
      </c>
      <c r="B1097" s="9">
        <v>1091</v>
      </c>
      <c r="C1097" s="14" t="str">
        <f>IFERROR(_xlfn.TEXTJOIN("-", TRUE, _xlfn.XLOOKUP(K1097, product_category_id_lookup!$A$2:$A$5, product_category_id_lookup!$B$2:$B$5), B1097), "Unknown Category")</f>
        <v>ctg-1091</v>
      </c>
      <c r="D1097" s="8">
        <v>44919</v>
      </c>
      <c r="E1097" s="14">
        <f t="shared" si="51"/>
        <v>2022</v>
      </c>
      <c r="F1097" s="29" t="str">
        <f t="shared" si="52"/>
        <v>Dec</v>
      </c>
      <c r="G1097" s="17" t="s">
        <v>32</v>
      </c>
      <c r="H1097" s="17" t="s">
        <v>20</v>
      </c>
      <c r="I1097" s="24">
        <v>143424.7317</v>
      </c>
      <c r="J1097" s="32">
        <v>37</v>
      </c>
      <c r="K1097" s="17" t="s">
        <v>26</v>
      </c>
      <c r="L1097" s="24">
        <v>1527.03</v>
      </c>
      <c r="M1097" s="24">
        <v>4785.6099999999997</v>
      </c>
      <c r="N1097" s="34">
        <f>((sales_data_1[[#This Row],[Unit_Price]]*(1-sales_data_1[[#This Row],[Discount]]))-sales_data_1[[#This Row],[Unit_Cost]])*sales_data_1[[#This Row],[Quantity_Sold]]</f>
        <v>86924.621699999989</v>
      </c>
      <c r="O1097" s="17" t="s">
        <v>27</v>
      </c>
      <c r="P1097" s="26">
        <v>0.19</v>
      </c>
      <c r="Q1097" s="17" t="s">
        <v>28</v>
      </c>
      <c r="R1097" s="17" t="s">
        <v>21</v>
      </c>
      <c r="S1097" s="50" t="str">
        <f t="shared" si="53"/>
        <v>Eve-West</v>
      </c>
      <c r="T1097" s="59" t="str">
        <f>IF(ROUND(sales_data_1[[#This Row],[Profit_Margin]],2)=ROUND((sales_data_1[[#This Row],[Unit_Price]]*(1-sales_data_1[[#This Row],[Discount]]) - sales_data_1[[#This Row],[Unit_Cost]])*sales_data_1[[#This Row],[Quantity_Sold]],2), "PASS", "CHECK")</f>
        <v>PASS</v>
      </c>
    </row>
    <row r="1098" spans="1:20" x14ac:dyDescent="0.35">
      <c r="A1098" s="7">
        <v>1097</v>
      </c>
      <c r="B1098" s="9">
        <v>1033</v>
      </c>
      <c r="C1098" s="14" t="str">
        <f>IFERROR(_xlfn.TEXTJOIN("-", TRUE, _xlfn.XLOOKUP(K1098, product_category_id_lookup!$A$2:$A$5, product_category_id_lookup!$B$2:$B$5), B1098), "Unknown Category")</f>
        <v>fd-1033</v>
      </c>
      <c r="D1098" s="8">
        <v>44919</v>
      </c>
      <c r="E1098" s="14">
        <f t="shared" si="51"/>
        <v>2022</v>
      </c>
      <c r="F1098" s="29" t="str">
        <f t="shared" si="52"/>
        <v>Dec</v>
      </c>
      <c r="G1098" s="17" t="s">
        <v>32</v>
      </c>
      <c r="H1098" s="17" t="s">
        <v>15</v>
      </c>
      <c r="I1098" s="24">
        <v>202688.43840000001</v>
      </c>
      <c r="J1098" s="32">
        <v>46</v>
      </c>
      <c r="K1098" s="17" t="s">
        <v>24</v>
      </c>
      <c r="L1098" s="24">
        <v>1057.97</v>
      </c>
      <c r="M1098" s="24">
        <v>5439.84</v>
      </c>
      <c r="N1098" s="34">
        <f>((sales_data_1[[#This Row],[Unit_Price]]*(1-sales_data_1[[#This Row],[Discount]]))-sales_data_1[[#This Row],[Unit_Cost]])*sales_data_1[[#This Row],[Quantity_Sold]]</f>
        <v>154021.81839999999</v>
      </c>
      <c r="O1098" s="17" t="s">
        <v>27</v>
      </c>
      <c r="P1098" s="26">
        <v>0.19</v>
      </c>
      <c r="Q1098" s="17" t="s">
        <v>25</v>
      </c>
      <c r="R1098" s="17" t="s">
        <v>19</v>
      </c>
      <c r="S1098" s="50" t="str">
        <f t="shared" si="53"/>
        <v>Eve-North</v>
      </c>
      <c r="T1098" s="59" t="str">
        <f>IF(ROUND(sales_data_1[[#This Row],[Profit_Margin]],2)=ROUND((sales_data_1[[#This Row],[Unit_Price]]*(1-sales_data_1[[#This Row],[Discount]]) - sales_data_1[[#This Row],[Unit_Cost]])*sales_data_1[[#This Row],[Quantity_Sold]],2), "PASS", "CHECK")</f>
        <v>PASS</v>
      </c>
    </row>
    <row r="1099" spans="1:20" x14ac:dyDescent="0.35">
      <c r="A1099" s="7">
        <v>1098</v>
      </c>
      <c r="B1099" s="9">
        <v>1073</v>
      </c>
      <c r="C1099" s="14" t="str">
        <f>IFERROR(_xlfn.TEXTJOIN("-", TRUE, _xlfn.XLOOKUP(K1099, product_category_id_lookup!$A$2:$A$5, product_category_id_lookup!$B$2:$B$5), B1099), "Unknown Category")</f>
        <v>etc-1073</v>
      </c>
      <c r="D1099" s="8">
        <v>44920</v>
      </c>
      <c r="E1099" s="14">
        <f t="shared" si="51"/>
        <v>2022</v>
      </c>
      <c r="F1099" s="29" t="str">
        <f t="shared" si="52"/>
        <v>Dec</v>
      </c>
      <c r="G1099" s="17" t="s">
        <v>33</v>
      </c>
      <c r="H1099" s="17" t="s">
        <v>23</v>
      </c>
      <c r="I1099" s="24">
        <v>3068.8559999999998</v>
      </c>
      <c r="J1099" s="32">
        <v>4</v>
      </c>
      <c r="K1099" s="17" t="s">
        <v>31</v>
      </c>
      <c r="L1099" s="24">
        <v>760.91</v>
      </c>
      <c r="M1099" s="24">
        <v>1096.02</v>
      </c>
      <c r="N1099" s="34">
        <f>((sales_data_1[[#This Row],[Unit_Price]]*(1-sales_data_1[[#This Row],[Discount]]))-sales_data_1[[#This Row],[Unit_Cost]])*sales_data_1[[#This Row],[Quantity_Sold]]</f>
        <v>25.215999999999894</v>
      </c>
      <c r="O1099" s="17" t="s">
        <v>27</v>
      </c>
      <c r="P1099" s="26">
        <v>0.3</v>
      </c>
      <c r="Q1099" s="17" t="s">
        <v>25</v>
      </c>
      <c r="R1099" s="17" t="s">
        <v>21</v>
      </c>
      <c r="S1099" s="50" t="str">
        <f t="shared" si="53"/>
        <v>Alice-South</v>
      </c>
      <c r="T1099" s="59" t="str">
        <f>IF(ROUND(sales_data_1[[#This Row],[Profit_Margin]],2)=ROUND((sales_data_1[[#This Row],[Unit_Price]]*(1-sales_data_1[[#This Row],[Discount]]) - sales_data_1[[#This Row],[Unit_Cost]])*sales_data_1[[#This Row],[Quantity_Sold]],2), "PASS", "CHECK")</f>
        <v>PASS</v>
      </c>
    </row>
    <row r="1100" spans="1:20" x14ac:dyDescent="0.35">
      <c r="A1100" s="7">
        <v>1099</v>
      </c>
      <c r="B1100" s="9">
        <v>1072</v>
      </c>
      <c r="C1100" s="14" t="str">
        <f>IFERROR(_xlfn.TEXTJOIN("-", TRUE, _xlfn.XLOOKUP(K1100, product_category_id_lookup!$A$2:$A$5, product_category_id_lookup!$B$2:$B$5), B1100), "Unknown Category")</f>
        <v>fnt-1072</v>
      </c>
      <c r="D1100" s="8">
        <v>44920</v>
      </c>
      <c r="E1100" s="14">
        <f t="shared" si="51"/>
        <v>2022</v>
      </c>
      <c r="F1100" s="29" t="str">
        <f t="shared" si="52"/>
        <v>Dec</v>
      </c>
      <c r="G1100" s="17" t="s">
        <v>14</v>
      </c>
      <c r="H1100" s="17" t="s">
        <v>30</v>
      </c>
      <c r="I1100" s="24">
        <v>10800.0864</v>
      </c>
      <c r="J1100" s="32">
        <v>8</v>
      </c>
      <c r="K1100" s="17" t="s">
        <v>16</v>
      </c>
      <c r="L1100" s="24">
        <v>1273</v>
      </c>
      <c r="M1100" s="24">
        <v>1776.33</v>
      </c>
      <c r="N1100" s="34">
        <f>((sales_data_1[[#This Row],[Unit_Price]]*(1-sales_data_1[[#This Row],[Discount]]))-sales_data_1[[#This Row],[Unit_Cost]])*sales_data_1[[#This Row],[Quantity_Sold]]</f>
        <v>616.08640000000014</v>
      </c>
      <c r="O1100" s="17" t="s">
        <v>17</v>
      </c>
      <c r="P1100" s="26">
        <v>0.24</v>
      </c>
      <c r="Q1100" s="17" t="s">
        <v>25</v>
      </c>
      <c r="R1100" s="17" t="s">
        <v>21</v>
      </c>
      <c r="S1100" s="50" t="str">
        <f t="shared" si="53"/>
        <v>Bob-East</v>
      </c>
      <c r="T1100" s="59" t="str">
        <f>IF(ROUND(sales_data_1[[#This Row],[Profit_Margin]],2)=ROUND((sales_data_1[[#This Row],[Unit_Price]]*(1-sales_data_1[[#This Row],[Discount]]) - sales_data_1[[#This Row],[Unit_Cost]])*sales_data_1[[#This Row],[Quantity_Sold]],2), "PASS", "CHECK")</f>
        <v>PASS</v>
      </c>
    </row>
    <row r="1101" spans="1:20" x14ac:dyDescent="0.35">
      <c r="A1101" s="7">
        <v>1100</v>
      </c>
      <c r="B1101" s="9">
        <v>1037</v>
      </c>
      <c r="C1101" s="14" t="str">
        <f>IFERROR(_xlfn.TEXTJOIN("-", TRUE, _xlfn.XLOOKUP(K1101, product_category_id_lookup!$A$2:$A$5, product_category_id_lookup!$B$2:$B$5), B1101), "Unknown Category")</f>
        <v>ctg-1037</v>
      </c>
      <c r="D1101" s="8">
        <v>44920</v>
      </c>
      <c r="E1101" s="14">
        <f t="shared" si="51"/>
        <v>2022</v>
      </c>
      <c r="F1101" s="29" t="str">
        <f t="shared" si="52"/>
        <v>Dec</v>
      </c>
      <c r="G1101" s="17" t="s">
        <v>14</v>
      </c>
      <c r="H1101" s="17" t="s">
        <v>20</v>
      </c>
      <c r="I1101" s="24">
        <v>8167.1880000000001</v>
      </c>
      <c r="J1101" s="32">
        <v>3</v>
      </c>
      <c r="K1101" s="17" t="s">
        <v>26</v>
      </c>
      <c r="L1101" s="24">
        <v>1568.41</v>
      </c>
      <c r="M1101" s="24">
        <v>3582.1</v>
      </c>
      <c r="N1101" s="34">
        <f>((sales_data_1[[#This Row],[Unit_Price]]*(1-sales_data_1[[#This Row],[Discount]]))-sales_data_1[[#This Row],[Unit_Cost]])*sales_data_1[[#This Row],[Quantity_Sold]]</f>
        <v>3461.9580000000005</v>
      </c>
      <c r="O1101" s="17" t="s">
        <v>17</v>
      </c>
      <c r="P1101" s="26">
        <v>0.24</v>
      </c>
      <c r="Q1101" s="17" t="s">
        <v>18</v>
      </c>
      <c r="R1101" s="17" t="s">
        <v>21</v>
      </c>
      <c r="S1101" s="50" t="str">
        <f t="shared" si="53"/>
        <v>Bob-West</v>
      </c>
      <c r="T1101" s="59" t="str">
        <f>IF(ROUND(sales_data_1[[#This Row],[Profit_Margin]],2)=ROUND((sales_data_1[[#This Row],[Unit_Price]]*(1-sales_data_1[[#This Row],[Discount]]) - sales_data_1[[#This Row],[Unit_Cost]])*sales_data_1[[#This Row],[Quantity_Sold]],2), "PASS", "CHECK")</f>
        <v>PASS</v>
      </c>
    </row>
    <row r="1102" spans="1:20" x14ac:dyDescent="0.35">
      <c r="A1102" s="7">
        <v>1101</v>
      </c>
      <c r="B1102" s="9">
        <v>1008</v>
      </c>
      <c r="C1102" s="14" t="str">
        <f>IFERROR(_xlfn.TEXTJOIN("-", TRUE, _xlfn.XLOOKUP(K1102, product_category_id_lookup!$A$2:$A$5, product_category_id_lookup!$B$2:$B$5), B1102), "Unknown Category")</f>
        <v>etc-1008</v>
      </c>
      <c r="D1102" s="8">
        <v>44920</v>
      </c>
      <c r="E1102" s="14">
        <f t="shared" si="51"/>
        <v>2022</v>
      </c>
      <c r="F1102" s="29" t="str">
        <f t="shared" si="52"/>
        <v>Dec</v>
      </c>
      <c r="G1102" s="17" t="s">
        <v>22</v>
      </c>
      <c r="H1102" s="17" t="s">
        <v>30</v>
      </c>
      <c r="I1102" s="24">
        <v>31503.443999999996</v>
      </c>
      <c r="J1102" s="32">
        <v>8</v>
      </c>
      <c r="K1102" s="17" t="s">
        <v>31</v>
      </c>
      <c r="L1102" s="24">
        <v>885.08</v>
      </c>
      <c r="M1102" s="24">
        <v>4145.1899999999996</v>
      </c>
      <c r="N1102" s="34">
        <f>((sales_data_1[[#This Row],[Unit_Price]]*(1-sales_data_1[[#This Row],[Discount]]))-sales_data_1[[#This Row],[Unit_Cost]])*sales_data_1[[#This Row],[Quantity_Sold]]</f>
        <v>24422.803999999996</v>
      </c>
      <c r="O1102" s="17" t="s">
        <v>17</v>
      </c>
      <c r="P1102" s="26">
        <v>0.05</v>
      </c>
      <c r="Q1102" s="17" t="s">
        <v>18</v>
      </c>
      <c r="R1102" s="17" t="s">
        <v>21</v>
      </c>
      <c r="S1102" s="50" t="str">
        <f t="shared" si="53"/>
        <v>David-East</v>
      </c>
      <c r="T1102" s="59" t="str">
        <f>IF(ROUND(sales_data_1[[#This Row],[Profit_Margin]],2)=ROUND((sales_data_1[[#This Row],[Unit_Price]]*(1-sales_data_1[[#This Row],[Discount]]) - sales_data_1[[#This Row],[Unit_Cost]])*sales_data_1[[#This Row],[Quantity_Sold]],2), "PASS", "CHECK")</f>
        <v>PASS</v>
      </c>
    </row>
    <row r="1103" spans="1:20" x14ac:dyDescent="0.35">
      <c r="A1103" s="7">
        <v>1102</v>
      </c>
      <c r="B1103" s="9">
        <v>1088</v>
      </c>
      <c r="C1103" s="14" t="str">
        <f>IFERROR(_xlfn.TEXTJOIN("-", TRUE, _xlfn.XLOOKUP(K1103, product_category_id_lookup!$A$2:$A$5, product_category_id_lookup!$B$2:$B$5), B1103), "Unknown Category")</f>
        <v>fd-1088</v>
      </c>
      <c r="D1103" s="8">
        <v>44920</v>
      </c>
      <c r="E1103" s="14">
        <f t="shared" si="51"/>
        <v>2022</v>
      </c>
      <c r="F1103" s="29" t="str">
        <f t="shared" si="52"/>
        <v>Dec</v>
      </c>
      <c r="G1103" s="17" t="s">
        <v>22</v>
      </c>
      <c r="H1103" s="17" t="s">
        <v>23</v>
      </c>
      <c r="I1103" s="24">
        <v>151990.745</v>
      </c>
      <c r="J1103" s="32">
        <v>50</v>
      </c>
      <c r="K1103" s="17" t="s">
        <v>24</v>
      </c>
      <c r="L1103" s="24">
        <v>2139.46</v>
      </c>
      <c r="M1103" s="24">
        <v>4164.13</v>
      </c>
      <c r="N1103" s="34">
        <f>((sales_data_1[[#This Row],[Unit_Price]]*(1-sales_data_1[[#This Row],[Discount]]))-sales_data_1[[#This Row],[Unit_Cost]])*sales_data_1[[#This Row],[Quantity_Sold]]</f>
        <v>45017.744999999988</v>
      </c>
      <c r="O1103" s="17" t="s">
        <v>17</v>
      </c>
      <c r="P1103" s="26">
        <v>0.27</v>
      </c>
      <c r="Q1103" s="17" t="s">
        <v>25</v>
      </c>
      <c r="R1103" s="17" t="s">
        <v>21</v>
      </c>
      <c r="S1103" s="50" t="str">
        <f t="shared" si="53"/>
        <v>David-South</v>
      </c>
      <c r="T1103" s="59" t="str">
        <f>IF(ROUND(sales_data_1[[#This Row],[Profit_Margin]],2)=ROUND((sales_data_1[[#This Row],[Unit_Price]]*(1-sales_data_1[[#This Row],[Discount]]) - sales_data_1[[#This Row],[Unit_Cost]])*sales_data_1[[#This Row],[Quantity_Sold]],2), "PASS", "CHECK")</f>
        <v>PASS</v>
      </c>
    </row>
    <row r="1104" spans="1:20" x14ac:dyDescent="0.35">
      <c r="A1104" s="7">
        <v>1103</v>
      </c>
      <c r="B1104" s="9">
        <v>1047</v>
      </c>
      <c r="C1104" s="14" t="str">
        <f>IFERROR(_xlfn.TEXTJOIN("-", TRUE, _xlfn.XLOOKUP(K1104, product_category_id_lookup!$A$2:$A$5, product_category_id_lookup!$B$2:$B$5), B1104), "Unknown Category")</f>
        <v>fnt-1047</v>
      </c>
      <c r="D1104" s="8">
        <v>44921</v>
      </c>
      <c r="E1104" s="14">
        <f t="shared" si="51"/>
        <v>2022</v>
      </c>
      <c r="F1104" s="29" t="str">
        <f t="shared" si="52"/>
        <v>Dec</v>
      </c>
      <c r="G1104" s="17" t="s">
        <v>33</v>
      </c>
      <c r="H1104" s="17" t="s">
        <v>20</v>
      </c>
      <c r="I1104" s="24">
        <v>9556.1235000000015</v>
      </c>
      <c r="J1104" s="32">
        <v>3</v>
      </c>
      <c r="K1104" s="17" t="s">
        <v>16</v>
      </c>
      <c r="L1104" s="24">
        <v>1224.1099999999999</v>
      </c>
      <c r="M1104" s="24">
        <v>4136.8500000000004</v>
      </c>
      <c r="N1104" s="34">
        <f>((sales_data_1[[#This Row],[Unit_Price]]*(1-sales_data_1[[#This Row],[Discount]]))-sales_data_1[[#This Row],[Unit_Cost]])*sales_data_1[[#This Row],[Quantity_Sold]]</f>
        <v>5883.7935000000016</v>
      </c>
      <c r="O1104" s="17" t="s">
        <v>17</v>
      </c>
      <c r="P1104" s="26">
        <v>0.23</v>
      </c>
      <c r="Q1104" s="17" t="s">
        <v>28</v>
      </c>
      <c r="R1104" s="17" t="s">
        <v>21</v>
      </c>
      <c r="S1104" s="50" t="str">
        <f t="shared" si="53"/>
        <v>Alice-West</v>
      </c>
      <c r="T1104" s="59" t="str">
        <f>IF(ROUND(sales_data_1[[#This Row],[Profit_Margin]],2)=ROUND((sales_data_1[[#This Row],[Unit_Price]]*(1-sales_data_1[[#This Row],[Discount]]) - sales_data_1[[#This Row],[Unit_Cost]])*sales_data_1[[#This Row],[Quantity_Sold]],2), "PASS", "CHECK")</f>
        <v>PASS</v>
      </c>
    </row>
    <row r="1105" spans="1:20" x14ac:dyDescent="0.35">
      <c r="A1105" s="7">
        <v>1104</v>
      </c>
      <c r="B1105" s="9">
        <v>1003</v>
      </c>
      <c r="C1105" s="14" t="str">
        <f>IFERROR(_xlfn.TEXTJOIN("-", TRUE, _xlfn.XLOOKUP(K1105, product_category_id_lookup!$A$2:$A$5, product_category_id_lookup!$B$2:$B$5), B1105), "Unknown Category")</f>
        <v>fd-1003</v>
      </c>
      <c r="D1105" s="8">
        <v>44921</v>
      </c>
      <c r="E1105" s="14">
        <f t="shared" si="51"/>
        <v>2022</v>
      </c>
      <c r="F1105" s="29" t="str">
        <f t="shared" si="52"/>
        <v>Dec</v>
      </c>
      <c r="G1105" s="17" t="s">
        <v>32</v>
      </c>
      <c r="H1105" s="17" t="s">
        <v>23</v>
      </c>
      <c r="I1105" s="24">
        <v>13326.615</v>
      </c>
      <c r="J1105" s="32">
        <v>9</v>
      </c>
      <c r="K1105" s="17" t="s">
        <v>24</v>
      </c>
      <c r="L1105" s="24">
        <v>683.22</v>
      </c>
      <c r="M1105" s="24">
        <v>1575.25</v>
      </c>
      <c r="N1105" s="34">
        <f>((sales_data_1[[#This Row],[Unit_Price]]*(1-sales_data_1[[#This Row],[Discount]]))-sales_data_1[[#This Row],[Unit_Cost]])*sales_data_1[[#This Row],[Quantity_Sold]]</f>
        <v>7177.6349999999984</v>
      </c>
      <c r="O1105" s="17" t="s">
        <v>27</v>
      </c>
      <c r="P1105" s="26">
        <v>0.06</v>
      </c>
      <c r="Q1105" s="17" t="s">
        <v>28</v>
      </c>
      <c r="R1105" s="17" t="s">
        <v>19</v>
      </c>
      <c r="S1105" s="50" t="str">
        <f t="shared" si="53"/>
        <v>Eve-South</v>
      </c>
      <c r="T1105" s="59" t="str">
        <f>IF(ROUND(sales_data_1[[#This Row],[Profit_Margin]],2)=ROUND((sales_data_1[[#This Row],[Unit_Price]]*(1-sales_data_1[[#This Row],[Discount]]) - sales_data_1[[#This Row],[Unit_Cost]])*sales_data_1[[#This Row],[Quantity_Sold]],2), "PASS", "CHECK")</f>
        <v>PASS</v>
      </c>
    </row>
    <row r="1106" spans="1:20" x14ac:dyDescent="0.35">
      <c r="A1106" s="7">
        <v>1105</v>
      </c>
      <c r="B1106" s="9">
        <v>1091</v>
      </c>
      <c r="C1106" s="14" t="str">
        <f>IFERROR(_xlfn.TEXTJOIN("-", TRUE, _xlfn.XLOOKUP(K1106, product_category_id_lookup!$A$2:$A$5, product_category_id_lookup!$B$2:$B$5), B1106), "Unknown Category")</f>
        <v>fnt-1091</v>
      </c>
      <c r="D1106" s="8">
        <v>44921</v>
      </c>
      <c r="E1106" s="14">
        <f t="shared" si="51"/>
        <v>2022</v>
      </c>
      <c r="F1106" s="29" t="str">
        <f t="shared" si="52"/>
        <v>Dec</v>
      </c>
      <c r="G1106" s="17" t="s">
        <v>32</v>
      </c>
      <c r="H1106" s="17" t="s">
        <v>20</v>
      </c>
      <c r="I1106" s="24">
        <v>57509.275999999998</v>
      </c>
      <c r="J1106" s="32">
        <v>19</v>
      </c>
      <c r="K1106" s="17" t="s">
        <v>16</v>
      </c>
      <c r="L1106" s="24">
        <v>802.44</v>
      </c>
      <c r="M1106" s="24">
        <v>3439.55</v>
      </c>
      <c r="N1106" s="34">
        <f>((sales_data_1[[#This Row],[Unit_Price]]*(1-sales_data_1[[#This Row],[Discount]]))-sales_data_1[[#This Row],[Unit_Cost]])*sales_data_1[[#This Row],[Quantity_Sold]]</f>
        <v>42262.915999999997</v>
      </c>
      <c r="O1106" s="17" t="s">
        <v>17</v>
      </c>
      <c r="P1106" s="26">
        <v>0.12</v>
      </c>
      <c r="Q1106" s="17" t="s">
        <v>18</v>
      </c>
      <c r="R1106" s="17" t="s">
        <v>21</v>
      </c>
      <c r="S1106" s="50" t="str">
        <f t="shared" si="53"/>
        <v>Eve-West</v>
      </c>
      <c r="T1106" s="59" t="str">
        <f>IF(ROUND(sales_data_1[[#This Row],[Profit_Margin]],2)=ROUND((sales_data_1[[#This Row],[Unit_Price]]*(1-sales_data_1[[#This Row],[Discount]]) - sales_data_1[[#This Row],[Unit_Cost]])*sales_data_1[[#This Row],[Quantity_Sold]],2), "PASS", "CHECK")</f>
        <v>PASS</v>
      </c>
    </row>
    <row r="1107" spans="1:20" x14ac:dyDescent="0.35">
      <c r="A1107" s="7">
        <v>1106</v>
      </c>
      <c r="B1107" s="9">
        <v>1049</v>
      </c>
      <c r="C1107" s="14" t="str">
        <f>IFERROR(_xlfn.TEXTJOIN("-", TRUE, _xlfn.XLOOKUP(K1107, product_category_id_lookup!$A$2:$A$5, product_category_id_lookup!$B$2:$B$5), B1107), "Unknown Category")</f>
        <v>fnt-1049</v>
      </c>
      <c r="D1107" s="8">
        <v>44922</v>
      </c>
      <c r="E1107" s="14">
        <f t="shared" si="51"/>
        <v>2022</v>
      </c>
      <c r="F1107" s="29" t="str">
        <f t="shared" si="52"/>
        <v>Dec</v>
      </c>
      <c r="G1107" s="17" t="s">
        <v>14</v>
      </c>
      <c r="H1107" s="17" t="s">
        <v>23</v>
      </c>
      <c r="I1107" s="24">
        <v>6739.0672862464853</v>
      </c>
      <c r="J1107" s="32">
        <v>5</v>
      </c>
      <c r="K1107" s="17" t="s">
        <v>16</v>
      </c>
      <c r="L1107" s="24">
        <v>1292.72</v>
      </c>
      <c r="M1107" s="24">
        <v>1364.93</v>
      </c>
      <c r="N1107" s="34">
        <f>((sales_data_1[[#This Row],[Unit_Price]]*(1-sales_data_1[[#This Row],[Discount]]))-sales_data_1[[#This Row],[Unit_Cost]])*sales_data_1[[#This Row],[Quantity_Sold]]</f>
        <v>292.80349999999999</v>
      </c>
      <c r="O1107" s="17" t="s">
        <v>27</v>
      </c>
      <c r="P1107" s="26">
        <v>0.01</v>
      </c>
      <c r="Q1107" s="17" t="s">
        <v>25</v>
      </c>
      <c r="R1107" s="17" t="s">
        <v>21</v>
      </c>
      <c r="S1107" s="50" t="str">
        <f t="shared" si="53"/>
        <v>Bob-South</v>
      </c>
      <c r="T1107" s="59" t="str">
        <f>IF(ROUND(sales_data_1[[#This Row],[Profit_Margin]],2)=ROUND((sales_data_1[[#This Row],[Unit_Price]]*(1-sales_data_1[[#This Row],[Discount]]) - sales_data_1[[#This Row],[Unit_Cost]])*sales_data_1[[#This Row],[Quantity_Sold]],2), "PASS", "CHECK")</f>
        <v>PASS</v>
      </c>
    </row>
    <row r="1108" spans="1:20" x14ac:dyDescent="0.35">
      <c r="A1108" s="7">
        <v>1107</v>
      </c>
      <c r="B1108" s="9">
        <v>1069</v>
      </c>
      <c r="C1108" s="14" t="str">
        <f>IFERROR(_xlfn.TEXTJOIN("-", TRUE, _xlfn.XLOOKUP(K1108, product_category_id_lookup!$A$2:$A$5, product_category_id_lookup!$B$2:$B$5), B1108), "Unknown Category")</f>
        <v>ctg-1069</v>
      </c>
      <c r="D1108" s="8">
        <v>44922</v>
      </c>
      <c r="E1108" s="14">
        <f t="shared" si="51"/>
        <v>2022</v>
      </c>
      <c r="F1108" s="29" t="str">
        <f t="shared" si="52"/>
        <v>Dec</v>
      </c>
      <c r="G1108" s="17" t="s">
        <v>32</v>
      </c>
      <c r="H1108" s="17" t="s">
        <v>15</v>
      </c>
      <c r="I1108" s="24">
        <v>65831.947999999989</v>
      </c>
      <c r="J1108" s="32">
        <v>26</v>
      </c>
      <c r="K1108" s="17" t="s">
        <v>26</v>
      </c>
      <c r="L1108" s="24">
        <v>1901.01</v>
      </c>
      <c r="M1108" s="24">
        <v>3050.6</v>
      </c>
      <c r="N1108" s="34">
        <f>((sales_data_1[[#This Row],[Unit_Price]]*(1-sales_data_1[[#This Row],[Discount]]))-sales_data_1[[#This Row],[Unit_Cost]])*sales_data_1[[#This Row],[Quantity_Sold]]</f>
        <v>16405.687999999991</v>
      </c>
      <c r="O1108" s="17" t="s">
        <v>17</v>
      </c>
      <c r="P1108" s="26">
        <v>0.17</v>
      </c>
      <c r="Q1108" s="17" t="s">
        <v>18</v>
      </c>
      <c r="R1108" s="17" t="s">
        <v>21</v>
      </c>
      <c r="S1108" s="50" t="str">
        <f t="shared" si="53"/>
        <v>Eve-North</v>
      </c>
      <c r="T1108" s="59" t="str">
        <f>IF(ROUND(sales_data_1[[#This Row],[Profit_Margin]],2)=ROUND((sales_data_1[[#This Row],[Unit_Price]]*(1-sales_data_1[[#This Row],[Discount]]) - sales_data_1[[#This Row],[Unit_Cost]])*sales_data_1[[#This Row],[Quantity_Sold]],2), "PASS", "CHECK")</f>
        <v>PASS</v>
      </c>
    </row>
    <row r="1109" spans="1:20" x14ac:dyDescent="0.35">
      <c r="A1109" s="7">
        <v>1108</v>
      </c>
      <c r="B1109" s="9">
        <v>1030</v>
      </c>
      <c r="C1109" s="14" t="str">
        <f>IFERROR(_xlfn.TEXTJOIN("-", TRUE, _xlfn.XLOOKUP(K1109, product_category_id_lookup!$A$2:$A$5, product_category_id_lookup!$B$2:$B$5), B1109), "Unknown Category")</f>
        <v>ctg-1030</v>
      </c>
      <c r="D1109" s="8">
        <v>44922</v>
      </c>
      <c r="E1109" s="14">
        <f t="shared" si="51"/>
        <v>2022</v>
      </c>
      <c r="F1109" s="29" t="str">
        <f t="shared" si="52"/>
        <v>Dec</v>
      </c>
      <c r="G1109" s="17" t="s">
        <v>32</v>
      </c>
      <c r="H1109" s="17" t="s">
        <v>20</v>
      </c>
      <c r="I1109" s="24">
        <v>38795.257799999999</v>
      </c>
      <c r="J1109" s="32">
        <v>9</v>
      </c>
      <c r="K1109" s="17" t="s">
        <v>26</v>
      </c>
      <c r="L1109" s="24">
        <v>2408.1</v>
      </c>
      <c r="M1109" s="24">
        <v>5256.81</v>
      </c>
      <c r="N1109" s="34">
        <f>((sales_data_1[[#This Row],[Unit_Price]]*(1-sales_data_1[[#This Row],[Discount]]))-sales_data_1[[#This Row],[Unit_Cost]])*sales_data_1[[#This Row],[Quantity_Sold]]</f>
        <v>17122.357800000002</v>
      </c>
      <c r="O1109" s="17" t="s">
        <v>17</v>
      </c>
      <c r="P1109" s="26">
        <v>0.18</v>
      </c>
      <c r="Q1109" s="17" t="s">
        <v>18</v>
      </c>
      <c r="R1109" s="17" t="s">
        <v>21</v>
      </c>
      <c r="S1109" s="50" t="str">
        <f t="shared" si="53"/>
        <v>Eve-West</v>
      </c>
      <c r="T1109" s="59" t="str">
        <f>IF(ROUND(sales_data_1[[#This Row],[Profit_Margin]],2)=ROUND((sales_data_1[[#This Row],[Unit_Price]]*(1-sales_data_1[[#This Row],[Discount]]) - sales_data_1[[#This Row],[Unit_Cost]])*sales_data_1[[#This Row],[Quantity_Sold]],2), "PASS", "CHECK")</f>
        <v>PASS</v>
      </c>
    </row>
    <row r="1110" spans="1:20" x14ac:dyDescent="0.35">
      <c r="A1110" s="7">
        <v>1109</v>
      </c>
      <c r="B1110" s="9">
        <v>1019</v>
      </c>
      <c r="C1110" s="14" t="str">
        <f>IFERROR(_xlfn.TEXTJOIN("-", TRUE, _xlfn.XLOOKUP(K1110, product_category_id_lookup!$A$2:$A$5, product_category_id_lookup!$B$2:$B$5), B1110), "Unknown Category")</f>
        <v>fd-1019</v>
      </c>
      <c r="D1110" s="8">
        <v>44923</v>
      </c>
      <c r="E1110" s="14">
        <f t="shared" si="51"/>
        <v>2022</v>
      </c>
      <c r="F1110" s="29" t="str">
        <f t="shared" si="52"/>
        <v>Dec</v>
      </c>
      <c r="G1110" s="17" t="s">
        <v>14</v>
      </c>
      <c r="H1110" s="17" t="s">
        <v>15</v>
      </c>
      <c r="I1110" s="24">
        <v>160119.38379999998</v>
      </c>
      <c r="J1110" s="32">
        <v>43</v>
      </c>
      <c r="K1110" s="17" t="s">
        <v>24</v>
      </c>
      <c r="L1110" s="24">
        <v>2982.24</v>
      </c>
      <c r="M1110" s="24">
        <v>3961.39</v>
      </c>
      <c r="N1110" s="34">
        <f>((sales_data_1[[#This Row],[Unit_Price]]*(1-sales_data_1[[#This Row],[Discount]]))-sales_data_1[[#This Row],[Unit_Cost]])*sales_data_1[[#This Row],[Quantity_Sold]]</f>
        <v>31883.063799999989</v>
      </c>
      <c r="O1110" s="17" t="s">
        <v>27</v>
      </c>
      <c r="P1110" s="26">
        <v>0.06</v>
      </c>
      <c r="Q1110" s="17" t="s">
        <v>28</v>
      </c>
      <c r="R1110" s="17" t="s">
        <v>21</v>
      </c>
      <c r="S1110" s="50" t="str">
        <f t="shared" si="53"/>
        <v>Bob-North</v>
      </c>
      <c r="T1110" s="59" t="str">
        <f>IF(ROUND(sales_data_1[[#This Row],[Profit_Margin]],2)=ROUND((sales_data_1[[#This Row],[Unit_Price]]*(1-sales_data_1[[#This Row],[Discount]]) - sales_data_1[[#This Row],[Unit_Cost]])*sales_data_1[[#This Row],[Quantity_Sold]],2), "PASS", "CHECK")</f>
        <v>PASS</v>
      </c>
    </row>
    <row r="1111" spans="1:20" x14ac:dyDescent="0.35">
      <c r="A1111" s="7">
        <v>1110</v>
      </c>
      <c r="B1111" s="9">
        <v>1049</v>
      </c>
      <c r="C1111" s="14" t="str">
        <f>IFERROR(_xlfn.TEXTJOIN("-", TRUE, _xlfn.XLOOKUP(K1111, product_category_id_lookup!$A$2:$A$5, product_category_id_lookup!$B$2:$B$5), B1111), "Unknown Category")</f>
        <v>fd-1049</v>
      </c>
      <c r="D1111" s="8">
        <v>44923</v>
      </c>
      <c r="E1111" s="14">
        <f t="shared" si="51"/>
        <v>2022</v>
      </c>
      <c r="F1111" s="29" t="str">
        <f t="shared" si="52"/>
        <v>Dec</v>
      </c>
      <c r="G1111" s="17" t="s">
        <v>29</v>
      </c>
      <c r="H1111" s="17" t="s">
        <v>15</v>
      </c>
      <c r="I1111" s="24">
        <v>141245.56799999997</v>
      </c>
      <c r="J1111" s="32">
        <v>40</v>
      </c>
      <c r="K1111" s="17" t="s">
        <v>24</v>
      </c>
      <c r="L1111" s="24">
        <v>2591.92</v>
      </c>
      <c r="M1111" s="24">
        <v>4904.3599999999997</v>
      </c>
      <c r="N1111" s="34">
        <f>((sales_data_1[[#This Row],[Unit_Price]]*(1-sales_data_1[[#This Row],[Discount]]))-sales_data_1[[#This Row],[Unit_Cost]])*sales_data_1[[#This Row],[Quantity_Sold]]</f>
        <v>37568.767999999982</v>
      </c>
      <c r="O1111" s="17" t="s">
        <v>27</v>
      </c>
      <c r="P1111" s="26">
        <v>0.28000000000000003</v>
      </c>
      <c r="Q1111" s="17" t="s">
        <v>25</v>
      </c>
      <c r="R1111" s="17" t="s">
        <v>19</v>
      </c>
      <c r="S1111" s="50" t="str">
        <f t="shared" si="53"/>
        <v>Charlie-North</v>
      </c>
      <c r="T1111" s="59" t="str">
        <f>IF(ROUND(sales_data_1[[#This Row],[Profit_Margin]],2)=ROUND((sales_data_1[[#This Row],[Unit_Price]]*(1-sales_data_1[[#This Row],[Discount]]) - sales_data_1[[#This Row],[Unit_Cost]])*sales_data_1[[#This Row],[Quantity_Sold]],2), "PASS", "CHECK")</f>
        <v>PASS</v>
      </c>
    </row>
    <row r="1112" spans="1:20" x14ac:dyDescent="0.35">
      <c r="A1112" s="7">
        <v>1111</v>
      </c>
      <c r="B1112" s="9">
        <v>1024</v>
      </c>
      <c r="C1112" s="14" t="str">
        <f>IFERROR(_xlfn.TEXTJOIN("-", TRUE, _xlfn.XLOOKUP(K1112, product_category_id_lookup!$A$2:$A$5, product_category_id_lookup!$B$2:$B$5), B1112), "Unknown Category")</f>
        <v>etc-1024</v>
      </c>
      <c r="D1112" s="8">
        <v>44923</v>
      </c>
      <c r="E1112" s="14">
        <f t="shared" si="51"/>
        <v>2022</v>
      </c>
      <c r="F1112" s="29" t="str">
        <f t="shared" si="52"/>
        <v>Dec</v>
      </c>
      <c r="G1112" s="17" t="s">
        <v>14</v>
      </c>
      <c r="H1112" s="17" t="s">
        <v>30</v>
      </c>
      <c r="I1112" s="24">
        <v>76050.144</v>
      </c>
      <c r="J1112" s="32">
        <v>46</v>
      </c>
      <c r="K1112" s="17" t="s">
        <v>31</v>
      </c>
      <c r="L1112" s="24">
        <v>333.02</v>
      </c>
      <c r="M1112" s="24">
        <v>1922.4</v>
      </c>
      <c r="N1112" s="34">
        <f>((sales_data_1[[#This Row],[Unit_Price]]*(1-sales_data_1[[#This Row],[Discount]]))-sales_data_1[[#This Row],[Unit_Cost]])*sales_data_1[[#This Row],[Quantity_Sold]]</f>
        <v>60731.224000000009</v>
      </c>
      <c r="O1112" s="17" t="s">
        <v>27</v>
      </c>
      <c r="P1112" s="26">
        <v>0.14000000000000001</v>
      </c>
      <c r="Q1112" s="17" t="s">
        <v>25</v>
      </c>
      <c r="R1112" s="17" t="s">
        <v>19</v>
      </c>
      <c r="S1112" s="50" t="str">
        <f t="shared" si="53"/>
        <v>Bob-East</v>
      </c>
      <c r="T1112" s="59" t="str">
        <f>IF(ROUND(sales_data_1[[#This Row],[Profit_Margin]],2)=ROUND((sales_data_1[[#This Row],[Unit_Price]]*(1-sales_data_1[[#This Row],[Discount]]) - sales_data_1[[#This Row],[Unit_Cost]])*sales_data_1[[#This Row],[Quantity_Sold]],2), "PASS", "CHECK")</f>
        <v>PASS</v>
      </c>
    </row>
    <row r="1113" spans="1:20" x14ac:dyDescent="0.35">
      <c r="A1113" s="7">
        <v>1112</v>
      </c>
      <c r="B1113" s="9">
        <v>1021</v>
      </c>
      <c r="C1113" s="14" t="str">
        <f>IFERROR(_xlfn.TEXTJOIN("-", TRUE, _xlfn.XLOOKUP(K1113, product_category_id_lookup!$A$2:$A$5, product_category_id_lookup!$B$2:$B$5), B1113), "Unknown Category")</f>
        <v>ctg-1021</v>
      </c>
      <c r="D1113" s="8">
        <v>44924</v>
      </c>
      <c r="E1113" s="14">
        <f t="shared" si="51"/>
        <v>2022</v>
      </c>
      <c r="F1113" s="29" t="str">
        <f t="shared" si="52"/>
        <v>Dec</v>
      </c>
      <c r="G1113" s="17" t="s">
        <v>32</v>
      </c>
      <c r="H1113" s="17" t="s">
        <v>30</v>
      </c>
      <c r="I1113" s="24">
        <v>55333.043303552586</v>
      </c>
      <c r="J1113" s="32">
        <v>20</v>
      </c>
      <c r="K1113" s="17" t="s">
        <v>26</v>
      </c>
      <c r="L1113" s="24">
        <v>2457.77</v>
      </c>
      <c r="M1113" s="24">
        <v>2886.21</v>
      </c>
      <c r="N1113" s="34">
        <f>((sales_data_1[[#This Row],[Unit_Price]]*(1-sales_data_1[[#This Row],[Discount]]))-sales_data_1[[#This Row],[Unit_Cost]])*sales_data_1[[#This Row],[Quantity_Sold]]</f>
        <v>6259.8319999999967</v>
      </c>
      <c r="O1113" s="17" t="s">
        <v>27</v>
      </c>
      <c r="P1113" s="26">
        <v>0.04</v>
      </c>
      <c r="Q1113" s="17" t="s">
        <v>25</v>
      </c>
      <c r="R1113" s="17" t="s">
        <v>19</v>
      </c>
      <c r="S1113" s="50" t="str">
        <f t="shared" si="53"/>
        <v>Eve-East</v>
      </c>
      <c r="T1113" s="59" t="str">
        <f>IF(ROUND(sales_data_1[[#This Row],[Profit_Margin]],2)=ROUND((sales_data_1[[#This Row],[Unit_Price]]*(1-sales_data_1[[#This Row],[Discount]]) - sales_data_1[[#This Row],[Unit_Cost]])*sales_data_1[[#This Row],[Quantity_Sold]],2), "PASS", "CHECK")</f>
        <v>PASS</v>
      </c>
    </row>
    <row r="1114" spans="1:20" x14ac:dyDescent="0.35">
      <c r="A1114" s="7">
        <v>1113</v>
      </c>
      <c r="B1114" s="9">
        <v>1080</v>
      </c>
      <c r="C1114" s="14" t="str">
        <f>IFERROR(_xlfn.TEXTJOIN("-", TRUE, _xlfn.XLOOKUP(K1114, product_category_id_lookup!$A$2:$A$5, product_category_id_lookup!$B$2:$B$5), B1114), "Unknown Category")</f>
        <v>ctg-1080</v>
      </c>
      <c r="D1114" s="8">
        <v>44924</v>
      </c>
      <c r="E1114" s="14">
        <f t="shared" si="51"/>
        <v>2022</v>
      </c>
      <c r="F1114" s="29" t="str">
        <f t="shared" si="52"/>
        <v>Dec</v>
      </c>
      <c r="G1114" s="17" t="s">
        <v>14</v>
      </c>
      <c r="H1114" s="17" t="s">
        <v>15</v>
      </c>
      <c r="I1114" s="24">
        <v>82136.612400000013</v>
      </c>
      <c r="J1114" s="32">
        <v>38</v>
      </c>
      <c r="K1114" s="17" t="s">
        <v>26</v>
      </c>
      <c r="L1114" s="24">
        <v>1618.47</v>
      </c>
      <c r="M1114" s="24">
        <v>2228.34</v>
      </c>
      <c r="N1114" s="34">
        <f>((sales_data_1[[#This Row],[Unit_Price]]*(1-sales_data_1[[#This Row],[Discount]]))-sales_data_1[[#This Row],[Unit_Cost]])*sales_data_1[[#This Row],[Quantity_Sold]]</f>
        <v>20634.752400000008</v>
      </c>
      <c r="O1114" s="17" t="s">
        <v>27</v>
      </c>
      <c r="P1114" s="26">
        <v>0.03</v>
      </c>
      <c r="Q1114" s="17" t="s">
        <v>18</v>
      </c>
      <c r="R1114" s="17" t="s">
        <v>19</v>
      </c>
      <c r="S1114" s="50" t="str">
        <f t="shared" si="53"/>
        <v>Bob-North</v>
      </c>
      <c r="T1114" s="59" t="str">
        <f>IF(ROUND(sales_data_1[[#This Row],[Profit_Margin]],2)=ROUND((sales_data_1[[#This Row],[Unit_Price]]*(1-sales_data_1[[#This Row],[Discount]]) - sales_data_1[[#This Row],[Unit_Cost]])*sales_data_1[[#This Row],[Quantity_Sold]],2), "PASS", "CHECK")</f>
        <v>PASS</v>
      </c>
    </row>
    <row r="1115" spans="1:20" x14ac:dyDescent="0.35">
      <c r="A1115" s="7">
        <v>1114</v>
      </c>
      <c r="B1115" s="9">
        <v>1010</v>
      </c>
      <c r="C1115" s="14" t="str">
        <f>IFERROR(_xlfn.TEXTJOIN("-", TRUE, _xlfn.XLOOKUP(K1115, product_category_id_lookup!$A$2:$A$5, product_category_id_lookup!$B$2:$B$5), B1115), "Unknown Category")</f>
        <v>ctg-1010</v>
      </c>
      <c r="D1115" s="8">
        <v>44924</v>
      </c>
      <c r="E1115" s="14">
        <f t="shared" si="51"/>
        <v>2022</v>
      </c>
      <c r="F1115" s="29" t="str">
        <f t="shared" si="52"/>
        <v>Dec</v>
      </c>
      <c r="G1115" s="17" t="s">
        <v>33</v>
      </c>
      <c r="H1115" s="17" t="s">
        <v>20</v>
      </c>
      <c r="I1115" s="24">
        <v>124474.74540000001</v>
      </c>
      <c r="J1115" s="32">
        <v>29</v>
      </c>
      <c r="K1115" s="17" t="s">
        <v>26</v>
      </c>
      <c r="L1115" s="24">
        <v>3303.08</v>
      </c>
      <c r="M1115" s="24">
        <v>5234.43</v>
      </c>
      <c r="N1115" s="34">
        <f>((sales_data_1[[#This Row],[Unit_Price]]*(1-sales_data_1[[#This Row],[Discount]]))-sales_data_1[[#This Row],[Unit_Cost]])*sales_data_1[[#This Row],[Quantity_Sold]]</f>
        <v>28685.425400000011</v>
      </c>
      <c r="O1115" s="17" t="s">
        <v>17</v>
      </c>
      <c r="P1115" s="26">
        <v>0.18</v>
      </c>
      <c r="Q1115" s="17" t="s">
        <v>28</v>
      </c>
      <c r="R1115" s="17" t="s">
        <v>19</v>
      </c>
      <c r="S1115" s="50" t="str">
        <f t="shared" si="53"/>
        <v>Alice-West</v>
      </c>
      <c r="T1115" s="59" t="str">
        <f>IF(ROUND(sales_data_1[[#This Row],[Profit_Margin]],2)=ROUND((sales_data_1[[#This Row],[Unit_Price]]*(1-sales_data_1[[#This Row],[Discount]]) - sales_data_1[[#This Row],[Unit_Cost]])*sales_data_1[[#This Row],[Quantity_Sold]],2), "PASS", "CHECK")</f>
        <v>PASS</v>
      </c>
    </row>
    <row r="1116" spans="1:20" x14ac:dyDescent="0.35">
      <c r="A1116" s="7">
        <v>1115</v>
      </c>
      <c r="B1116" s="9">
        <v>1094</v>
      </c>
      <c r="C1116" s="14" t="str">
        <f>IFERROR(_xlfn.TEXTJOIN("-", TRUE, _xlfn.XLOOKUP(K1116, product_category_id_lookup!$A$2:$A$5, product_category_id_lookup!$B$2:$B$5), B1116), "Unknown Category")</f>
        <v>ctg-1094</v>
      </c>
      <c r="D1116" s="8">
        <v>44925</v>
      </c>
      <c r="E1116" s="14">
        <f t="shared" si="51"/>
        <v>2022</v>
      </c>
      <c r="F1116" s="29" t="str">
        <f t="shared" si="52"/>
        <v>Dec</v>
      </c>
      <c r="G1116" s="17" t="s">
        <v>32</v>
      </c>
      <c r="H1116" s="17" t="s">
        <v>15</v>
      </c>
      <c r="I1116" s="24">
        <v>136160.83799999999</v>
      </c>
      <c r="J1116" s="32">
        <v>30</v>
      </c>
      <c r="K1116" s="17" t="s">
        <v>26</v>
      </c>
      <c r="L1116" s="24">
        <v>2313.38</v>
      </c>
      <c r="M1116" s="24">
        <v>4584.54</v>
      </c>
      <c r="N1116" s="34">
        <f>((sales_data_1[[#This Row],[Unit_Price]]*(1-sales_data_1[[#This Row],[Discount]]))-sales_data_1[[#This Row],[Unit_Cost]])*sales_data_1[[#This Row],[Quantity_Sold]]</f>
        <v>66759.437999999995</v>
      </c>
      <c r="O1116" s="17" t="s">
        <v>27</v>
      </c>
      <c r="P1116" s="26">
        <v>0.01</v>
      </c>
      <c r="Q1116" s="17" t="s">
        <v>28</v>
      </c>
      <c r="R1116" s="17" t="s">
        <v>19</v>
      </c>
      <c r="S1116" s="50" t="str">
        <f t="shared" si="53"/>
        <v>Eve-North</v>
      </c>
      <c r="T1116" s="59" t="str">
        <f>IF(ROUND(sales_data_1[[#This Row],[Profit_Margin]],2)=ROUND((sales_data_1[[#This Row],[Unit_Price]]*(1-sales_data_1[[#This Row],[Discount]]) - sales_data_1[[#This Row],[Unit_Cost]])*sales_data_1[[#This Row],[Quantity_Sold]],2), "PASS", "CHECK")</f>
        <v>PASS</v>
      </c>
    </row>
    <row r="1117" spans="1:20" x14ac:dyDescent="0.35">
      <c r="A1117" s="7">
        <v>1116</v>
      </c>
      <c r="B1117" s="9">
        <v>1001</v>
      </c>
      <c r="C1117" s="14" t="str">
        <f>IFERROR(_xlfn.TEXTJOIN("-", TRUE, _xlfn.XLOOKUP(K1117, product_category_id_lookup!$A$2:$A$5, product_category_id_lookup!$B$2:$B$5), B1117), "Unknown Category")</f>
        <v>fd-1001</v>
      </c>
      <c r="D1117" s="8">
        <v>44926</v>
      </c>
      <c r="E1117" s="14">
        <f t="shared" si="51"/>
        <v>2022</v>
      </c>
      <c r="F1117" s="29" t="str">
        <f t="shared" si="52"/>
        <v>Dec</v>
      </c>
      <c r="G1117" s="17" t="s">
        <v>33</v>
      </c>
      <c r="H1117" s="17" t="s">
        <v>15</v>
      </c>
      <c r="I1117" s="24">
        <v>84675.380247037159</v>
      </c>
      <c r="J1117" s="32">
        <v>19</v>
      </c>
      <c r="K1117" s="17" t="s">
        <v>24</v>
      </c>
      <c r="L1117" s="24">
        <v>4422.8599999999997</v>
      </c>
      <c r="M1117" s="24">
        <v>4475.01</v>
      </c>
      <c r="N1117" s="34">
        <f>((sales_data_1[[#This Row],[Unit_Price]]*(1-sales_data_1[[#This Row],[Discount]]))-sales_data_1[[#This Row],[Unit_Cost]])*sales_data_1[[#This Row],[Quantity_Sold]]</f>
        <v>990.85000000001037</v>
      </c>
      <c r="O1117" s="17" t="s">
        <v>17</v>
      </c>
      <c r="P1117" s="26">
        <v>0</v>
      </c>
      <c r="Q1117" s="17" t="s">
        <v>18</v>
      </c>
      <c r="R1117" s="17" t="s">
        <v>21</v>
      </c>
      <c r="S1117" s="50" t="str">
        <f t="shared" si="53"/>
        <v>Alice-North</v>
      </c>
      <c r="T1117" s="59" t="str">
        <f>IF(ROUND(sales_data_1[[#This Row],[Profit_Margin]],2)=ROUND((sales_data_1[[#This Row],[Unit_Price]]*(1-sales_data_1[[#This Row],[Discount]]) - sales_data_1[[#This Row],[Unit_Cost]])*sales_data_1[[#This Row],[Quantity_Sold]],2), "PASS", "CHECK")</f>
        <v>PASS</v>
      </c>
    </row>
    <row r="1118" spans="1:20" x14ac:dyDescent="0.35">
      <c r="A1118" s="7">
        <v>1117</v>
      </c>
      <c r="B1118" s="9">
        <v>1083</v>
      </c>
      <c r="C1118" s="14" t="str">
        <f>IFERROR(_xlfn.TEXTJOIN("-", TRUE, _xlfn.XLOOKUP(K1118, product_category_id_lookup!$A$2:$A$5, product_category_id_lookup!$B$2:$B$5), B1118), "Unknown Category")</f>
        <v>fd-1083</v>
      </c>
      <c r="D1118" s="8">
        <v>44926</v>
      </c>
      <c r="E1118" s="14">
        <f t="shared" si="51"/>
        <v>2022</v>
      </c>
      <c r="F1118" s="29" t="str">
        <f t="shared" si="52"/>
        <v>Dec</v>
      </c>
      <c r="G1118" s="17" t="s">
        <v>32</v>
      </c>
      <c r="H1118" s="17" t="s">
        <v>20</v>
      </c>
      <c r="I1118" s="24">
        <v>96385.964999999997</v>
      </c>
      <c r="J1118" s="32">
        <v>25</v>
      </c>
      <c r="K1118" s="17" t="s">
        <v>24</v>
      </c>
      <c r="L1118" s="24">
        <v>3527.8</v>
      </c>
      <c r="M1118" s="24">
        <v>4942.87</v>
      </c>
      <c r="N1118" s="34">
        <f>((sales_data_1[[#This Row],[Unit_Price]]*(1-sales_data_1[[#This Row],[Discount]]))-sales_data_1[[#This Row],[Unit_Cost]])*sales_data_1[[#This Row],[Quantity_Sold]]</f>
        <v>8190.9649999999947</v>
      </c>
      <c r="O1118" s="17" t="s">
        <v>17</v>
      </c>
      <c r="P1118" s="26">
        <v>0.22</v>
      </c>
      <c r="Q1118" s="17" t="s">
        <v>25</v>
      </c>
      <c r="R1118" s="17" t="s">
        <v>19</v>
      </c>
      <c r="S1118" s="50" t="str">
        <f t="shared" si="53"/>
        <v>Eve-West</v>
      </c>
      <c r="T1118" s="59" t="str">
        <f>IF(ROUND(sales_data_1[[#This Row],[Profit_Margin]],2)=ROUND((sales_data_1[[#This Row],[Unit_Price]]*(1-sales_data_1[[#This Row],[Discount]]) - sales_data_1[[#This Row],[Unit_Cost]])*sales_data_1[[#This Row],[Quantity_Sold]],2), "PASS", "CHECK")</f>
        <v>PASS</v>
      </c>
    </row>
    <row r="1119" spans="1:20" x14ac:dyDescent="0.35">
      <c r="A1119" s="7">
        <v>1118</v>
      </c>
      <c r="B1119" s="9">
        <v>1033</v>
      </c>
      <c r="C1119" s="14" t="str">
        <f>IFERROR(_xlfn.TEXTJOIN("-", TRUE, _xlfn.XLOOKUP(K1119, product_category_id_lookup!$A$2:$A$5, product_category_id_lookup!$B$2:$B$5), B1119), "Unknown Category")</f>
        <v>fd-1033</v>
      </c>
      <c r="D1119" s="8">
        <v>44926</v>
      </c>
      <c r="E1119" s="14">
        <f t="shared" si="51"/>
        <v>2022</v>
      </c>
      <c r="F1119" s="29" t="str">
        <f t="shared" si="52"/>
        <v>Dec</v>
      </c>
      <c r="G1119" s="17" t="s">
        <v>32</v>
      </c>
      <c r="H1119" s="17" t="s">
        <v>23</v>
      </c>
      <c r="I1119" s="24">
        <v>30244.132799999999</v>
      </c>
      <c r="J1119" s="32">
        <v>12</v>
      </c>
      <c r="K1119" s="17" t="s">
        <v>24</v>
      </c>
      <c r="L1119" s="24">
        <v>958.96</v>
      </c>
      <c r="M1119" s="24">
        <v>3000.41</v>
      </c>
      <c r="N1119" s="34">
        <f>((sales_data_1[[#This Row],[Unit_Price]]*(1-sales_data_1[[#This Row],[Discount]]))-sales_data_1[[#This Row],[Unit_Cost]])*sales_data_1[[#This Row],[Quantity_Sold]]</f>
        <v>18736.612799999999</v>
      </c>
      <c r="O1119" s="17" t="s">
        <v>27</v>
      </c>
      <c r="P1119" s="26">
        <v>0.16</v>
      </c>
      <c r="Q1119" s="17" t="s">
        <v>18</v>
      </c>
      <c r="R1119" s="17" t="s">
        <v>19</v>
      </c>
      <c r="S1119" s="50" t="str">
        <f t="shared" si="53"/>
        <v>Eve-South</v>
      </c>
      <c r="T1119" s="59" t="str">
        <f>IF(ROUND(sales_data_1[[#This Row],[Profit_Margin]],2)=ROUND((sales_data_1[[#This Row],[Unit_Price]]*(1-sales_data_1[[#This Row],[Discount]]) - sales_data_1[[#This Row],[Unit_Cost]])*sales_data_1[[#This Row],[Quantity_Sold]],2), "PASS", "CHECK")</f>
        <v>PASS</v>
      </c>
    </row>
    <row r="1120" spans="1:20" x14ac:dyDescent="0.35">
      <c r="A1120" s="7">
        <v>1119</v>
      </c>
      <c r="B1120" s="9">
        <v>1018</v>
      </c>
      <c r="C1120" s="14" t="str">
        <f>IFERROR(_xlfn.TEXTJOIN("-", TRUE, _xlfn.XLOOKUP(K1120, product_category_id_lookup!$A$2:$A$5, product_category_id_lookup!$B$2:$B$5), B1120), "Unknown Category")</f>
        <v>etc-1018</v>
      </c>
      <c r="D1120" s="8">
        <v>44926</v>
      </c>
      <c r="E1120" s="14">
        <f t="shared" si="51"/>
        <v>2022</v>
      </c>
      <c r="F1120" s="29" t="str">
        <f t="shared" si="52"/>
        <v>Dec</v>
      </c>
      <c r="G1120" s="17" t="s">
        <v>22</v>
      </c>
      <c r="H1120" s="17" t="s">
        <v>30</v>
      </c>
      <c r="I1120" s="24">
        <v>77630.599199999997</v>
      </c>
      <c r="J1120" s="32">
        <v>21</v>
      </c>
      <c r="K1120" s="17" t="s">
        <v>31</v>
      </c>
      <c r="L1120" s="24">
        <v>1290.06</v>
      </c>
      <c r="M1120" s="24">
        <v>4200.79</v>
      </c>
      <c r="N1120" s="34">
        <f>((sales_data_1[[#This Row],[Unit_Price]]*(1-sales_data_1[[#This Row],[Discount]]))-sales_data_1[[#This Row],[Unit_Cost]])*sales_data_1[[#This Row],[Quantity_Sold]]</f>
        <v>50539.339200000002</v>
      </c>
      <c r="O1120" s="17" t="s">
        <v>17</v>
      </c>
      <c r="P1120" s="26">
        <v>0.12</v>
      </c>
      <c r="Q1120" s="17" t="s">
        <v>28</v>
      </c>
      <c r="R1120" s="17" t="s">
        <v>21</v>
      </c>
      <c r="S1120" s="50" t="str">
        <f t="shared" si="53"/>
        <v>David-East</v>
      </c>
      <c r="T1120" s="59" t="str">
        <f>IF(ROUND(sales_data_1[[#This Row],[Profit_Margin]],2)=ROUND((sales_data_1[[#This Row],[Unit_Price]]*(1-sales_data_1[[#This Row],[Discount]]) - sales_data_1[[#This Row],[Unit_Cost]])*sales_data_1[[#This Row],[Quantity_Sold]],2), "PASS", "CHECK")</f>
        <v>PASS</v>
      </c>
    </row>
    <row r="1121" spans="1:20" x14ac:dyDescent="0.35">
      <c r="A1121" s="7">
        <v>1120</v>
      </c>
      <c r="B1121" s="9">
        <v>1089</v>
      </c>
      <c r="C1121" s="14" t="str">
        <f>IFERROR(_xlfn.TEXTJOIN("-", TRUE, _xlfn.XLOOKUP(K1121, product_category_id_lookup!$A$2:$A$5, product_category_id_lookup!$B$2:$B$5), B1121), "Unknown Category")</f>
        <v>ctg-1089</v>
      </c>
      <c r="D1121" s="8">
        <v>44927</v>
      </c>
      <c r="E1121" s="14">
        <f t="shared" si="51"/>
        <v>2023</v>
      </c>
      <c r="F1121" s="29" t="str">
        <f t="shared" si="52"/>
        <v>Jan</v>
      </c>
      <c r="G1121" s="17" t="s">
        <v>29</v>
      </c>
      <c r="H1121" s="17" t="s">
        <v>15</v>
      </c>
      <c r="I1121" s="24">
        <v>143783.98907291607</v>
      </c>
      <c r="J1121" s="32">
        <v>35</v>
      </c>
      <c r="K1121" s="17" t="s">
        <v>26</v>
      </c>
      <c r="L1121" s="24">
        <v>4071.01</v>
      </c>
      <c r="M1121" s="24">
        <v>4304.7</v>
      </c>
      <c r="N1121" s="34">
        <f>((sales_data_1[[#This Row],[Unit_Price]]*(1-sales_data_1[[#This Row],[Discount]]))-sales_data_1[[#This Row],[Unit_Cost]])*sales_data_1[[#This Row],[Quantity_Sold]]</f>
        <v>645.92499999998154</v>
      </c>
      <c r="O1121" s="17" t="s">
        <v>27</v>
      </c>
      <c r="P1121" s="26">
        <v>0.05</v>
      </c>
      <c r="Q1121" s="17" t="s">
        <v>28</v>
      </c>
      <c r="R1121" s="17" t="s">
        <v>19</v>
      </c>
      <c r="S1121" s="50" t="str">
        <f t="shared" si="53"/>
        <v>Charlie-North</v>
      </c>
      <c r="T1121" s="59" t="str">
        <f>IF(ROUND(sales_data_1[[#This Row],[Profit_Margin]],2)=ROUND((sales_data_1[[#This Row],[Unit_Price]]*(1-sales_data_1[[#This Row],[Discount]]) - sales_data_1[[#This Row],[Unit_Cost]])*sales_data_1[[#This Row],[Quantity_Sold]],2), "PASS", "CHECK")</f>
        <v>PASS</v>
      </c>
    </row>
    <row r="1122" spans="1:20" x14ac:dyDescent="0.35">
      <c r="A1122" s="7">
        <v>1121</v>
      </c>
      <c r="B1122" s="9">
        <v>1070</v>
      </c>
      <c r="C1122" s="14" t="str">
        <f>IFERROR(_xlfn.TEXTJOIN("-", TRUE, _xlfn.XLOOKUP(K1122, product_category_id_lookup!$A$2:$A$5, product_category_id_lookup!$B$2:$B$5), B1122), "Unknown Category")</f>
        <v>fnt-1070</v>
      </c>
      <c r="D1122" s="8">
        <v>44927</v>
      </c>
      <c r="E1122" s="14">
        <f t="shared" si="51"/>
        <v>2023</v>
      </c>
      <c r="F1122" s="29" t="str">
        <f t="shared" si="52"/>
        <v>Jan</v>
      </c>
      <c r="G1122" s="17" t="s">
        <v>32</v>
      </c>
      <c r="H1122" s="17" t="s">
        <v>23</v>
      </c>
      <c r="I1122" s="24">
        <v>10059.703447356322</v>
      </c>
      <c r="J1122" s="32">
        <v>12</v>
      </c>
      <c r="K1122" s="17" t="s">
        <v>16</v>
      </c>
      <c r="L1122" s="24">
        <v>664.33</v>
      </c>
      <c r="M1122" s="24">
        <v>863.03</v>
      </c>
      <c r="N1122" s="34">
        <f>((sales_data_1[[#This Row],[Unit_Price]]*(1-sales_data_1[[#This Row],[Discount]]))-sales_data_1[[#This Row],[Unit_Cost]])*sales_data_1[[#This Row],[Quantity_Sold]]</f>
        <v>2073.7091999999993</v>
      </c>
      <c r="O1122" s="17" t="s">
        <v>17</v>
      </c>
      <c r="P1122" s="26">
        <v>0.03</v>
      </c>
      <c r="Q1122" s="17" t="s">
        <v>25</v>
      </c>
      <c r="R1122" s="17" t="s">
        <v>21</v>
      </c>
      <c r="S1122" s="50" t="str">
        <f t="shared" si="53"/>
        <v>Eve-South</v>
      </c>
      <c r="T1122" s="59" t="str">
        <f>IF(ROUND(sales_data_1[[#This Row],[Profit_Margin]],2)=ROUND((sales_data_1[[#This Row],[Unit_Price]]*(1-sales_data_1[[#This Row],[Discount]]) - sales_data_1[[#This Row],[Unit_Cost]])*sales_data_1[[#This Row],[Quantity_Sold]],2), "PASS", "CHECK")</f>
        <v>PASS</v>
      </c>
    </row>
    <row r="1123" spans="1:20" x14ac:dyDescent="0.35">
      <c r="A1123" s="7">
        <v>1122</v>
      </c>
      <c r="B1123" s="9">
        <v>1008</v>
      </c>
      <c r="C1123" s="14" t="str">
        <f>IFERROR(_xlfn.TEXTJOIN("-", TRUE, _xlfn.XLOOKUP(K1123, product_category_id_lookup!$A$2:$A$5, product_category_id_lookup!$B$2:$B$5), B1123), "Unknown Category")</f>
        <v>ctg-1008</v>
      </c>
      <c r="D1123" s="8">
        <v>44927</v>
      </c>
      <c r="E1123" s="14">
        <f t="shared" si="51"/>
        <v>2023</v>
      </c>
      <c r="F1123" s="29" t="str">
        <f t="shared" si="52"/>
        <v>Jan</v>
      </c>
      <c r="G1123" s="17" t="s">
        <v>32</v>
      </c>
      <c r="H1123" s="17" t="s">
        <v>15</v>
      </c>
      <c r="I1123" s="24">
        <v>183223.38399999999</v>
      </c>
      <c r="J1123" s="32">
        <v>38</v>
      </c>
      <c r="K1123" s="17" t="s">
        <v>26</v>
      </c>
      <c r="L1123" s="24">
        <v>4635.2299999999996</v>
      </c>
      <c r="M1123" s="24">
        <v>5075.4399999999996</v>
      </c>
      <c r="N1123" s="34">
        <f>((sales_data_1[[#This Row],[Unit_Price]]*(1-sales_data_1[[#This Row],[Discount]]))-sales_data_1[[#This Row],[Unit_Cost]])*sales_data_1[[#This Row],[Quantity_Sold]]</f>
        <v>7084.6440000000039</v>
      </c>
      <c r="O1123" s="17" t="s">
        <v>17</v>
      </c>
      <c r="P1123" s="26">
        <v>0.05</v>
      </c>
      <c r="Q1123" s="17" t="s">
        <v>18</v>
      </c>
      <c r="R1123" s="17" t="s">
        <v>19</v>
      </c>
      <c r="S1123" s="50" t="str">
        <f t="shared" si="53"/>
        <v>Eve-North</v>
      </c>
      <c r="T1123" s="59" t="str">
        <f>IF(ROUND(sales_data_1[[#This Row],[Profit_Margin]],2)=ROUND((sales_data_1[[#This Row],[Unit_Price]]*(1-sales_data_1[[#This Row],[Discount]]) - sales_data_1[[#This Row],[Unit_Cost]])*sales_data_1[[#This Row],[Quantity_Sold]],2), "PASS", "CHECK")</f>
        <v>PASS</v>
      </c>
    </row>
    <row r="1124" spans="1:20" x14ac:dyDescent="0.35">
      <c r="A1124" s="7">
        <v>1123</v>
      </c>
      <c r="B1124" s="9">
        <v>1064</v>
      </c>
      <c r="C1124" s="14" t="str">
        <f>IFERROR(_xlfn.TEXTJOIN("-", TRUE, _xlfn.XLOOKUP(K1124, product_category_id_lookup!$A$2:$A$5, product_category_id_lookup!$B$2:$B$5), B1124), "Unknown Category")</f>
        <v>etc-1064</v>
      </c>
      <c r="D1124" s="8">
        <v>44928</v>
      </c>
      <c r="E1124" s="14">
        <f t="shared" si="51"/>
        <v>2023</v>
      </c>
      <c r="F1124" s="29" t="str">
        <f t="shared" si="52"/>
        <v>Jan</v>
      </c>
      <c r="G1124" s="17" t="s">
        <v>22</v>
      </c>
      <c r="H1124" s="17" t="s">
        <v>23</v>
      </c>
      <c r="I1124" s="24">
        <v>22643.28387028621</v>
      </c>
      <c r="J1124" s="32">
        <v>10</v>
      </c>
      <c r="K1124" s="17" t="s">
        <v>31</v>
      </c>
      <c r="L1124" s="24">
        <v>2242.0100000000002</v>
      </c>
      <c r="M1124" s="24">
        <v>2282.23</v>
      </c>
      <c r="N1124" s="34">
        <f>((sales_data_1[[#This Row],[Unit_Price]]*(1-sales_data_1[[#This Row],[Discount]]))-sales_data_1[[#This Row],[Unit_Cost]])*sales_data_1[[#This Row],[Quantity_Sold]]</f>
        <v>173.97699999999986</v>
      </c>
      <c r="O1124" s="17" t="s">
        <v>17</v>
      </c>
      <c r="P1124" s="26">
        <v>0.01</v>
      </c>
      <c r="Q1124" s="17" t="s">
        <v>28</v>
      </c>
      <c r="R1124" s="17" t="s">
        <v>19</v>
      </c>
      <c r="S1124" s="50" t="str">
        <f t="shared" si="53"/>
        <v>David-South</v>
      </c>
      <c r="T1124" s="59" t="str">
        <f>IF(ROUND(sales_data_1[[#This Row],[Profit_Margin]],2)=ROUND((sales_data_1[[#This Row],[Unit_Price]]*(1-sales_data_1[[#This Row],[Discount]]) - sales_data_1[[#This Row],[Unit_Cost]])*sales_data_1[[#This Row],[Quantity_Sold]],2), "PASS", "CHECK")</f>
        <v>PASS</v>
      </c>
    </row>
    <row r="1125" spans="1:20" x14ac:dyDescent="0.35">
      <c r="A1125" s="7">
        <v>1124</v>
      </c>
      <c r="B1125" s="9">
        <v>1075</v>
      </c>
      <c r="C1125" s="14" t="str">
        <f>IFERROR(_xlfn.TEXTJOIN("-", TRUE, _xlfn.XLOOKUP(K1125, product_category_id_lookup!$A$2:$A$5, product_category_id_lookup!$B$2:$B$5), B1125), "Unknown Category")</f>
        <v>etc-1075</v>
      </c>
      <c r="D1125" s="8">
        <v>44928</v>
      </c>
      <c r="E1125" s="14">
        <f t="shared" si="51"/>
        <v>2023</v>
      </c>
      <c r="F1125" s="29" t="str">
        <f t="shared" si="52"/>
        <v>Jan</v>
      </c>
      <c r="G1125" s="17" t="s">
        <v>22</v>
      </c>
      <c r="H1125" s="17" t="s">
        <v>20</v>
      </c>
      <c r="I1125" s="24">
        <v>118496.56000000001</v>
      </c>
      <c r="J1125" s="32">
        <v>26</v>
      </c>
      <c r="K1125" s="17" t="s">
        <v>31</v>
      </c>
      <c r="L1125" s="24">
        <v>4535.38</v>
      </c>
      <c r="M1125" s="24">
        <v>4557.5600000000004</v>
      </c>
      <c r="N1125" s="34">
        <f>((sales_data_1[[#This Row],[Unit_Price]]*(1-sales_data_1[[#This Row],[Discount]]))-sales_data_1[[#This Row],[Unit_Cost]])*sales_data_1[[#This Row],[Quantity_Sold]]</f>
        <v>576.68000000000757</v>
      </c>
      <c r="O1125" s="17" t="s">
        <v>27</v>
      </c>
      <c r="P1125" s="26">
        <v>0</v>
      </c>
      <c r="Q1125" s="17" t="s">
        <v>28</v>
      </c>
      <c r="R1125" s="17" t="s">
        <v>19</v>
      </c>
      <c r="S1125" s="50" t="str">
        <f t="shared" si="53"/>
        <v>David-West</v>
      </c>
      <c r="T1125" s="59" t="str">
        <f>IF(ROUND(sales_data_1[[#This Row],[Profit_Margin]],2)=ROUND((sales_data_1[[#This Row],[Unit_Price]]*(1-sales_data_1[[#This Row],[Discount]]) - sales_data_1[[#This Row],[Unit_Cost]])*sales_data_1[[#This Row],[Quantity_Sold]],2), "PASS", "CHECK")</f>
        <v>PASS</v>
      </c>
    </row>
    <row r="1126" spans="1:20" x14ac:dyDescent="0.35">
      <c r="A1126" s="7">
        <v>1125</v>
      </c>
      <c r="B1126" s="9">
        <v>1099</v>
      </c>
      <c r="C1126" s="14" t="str">
        <f>IFERROR(_xlfn.TEXTJOIN("-", TRUE, _xlfn.XLOOKUP(K1126, product_category_id_lookup!$A$2:$A$5, product_category_id_lookup!$B$2:$B$5), B1126), "Unknown Category")</f>
        <v>fnt-1099</v>
      </c>
      <c r="D1126" s="8">
        <v>44929</v>
      </c>
      <c r="E1126" s="14">
        <f t="shared" si="51"/>
        <v>2023</v>
      </c>
      <c r="F1126" s="29" t="str">
        <f t="shared" si="52"/>
        <v>Jan</v>
      </c>
      <c r="G1126" s="17" t="s">
        <v>14</v>
      </c>
      <c r="H1126" s="17" t="s">
        <v>30</v>
      </c>
      <c r="I1126" s="24">
        <v>145315.15601393965</v>
      </c>
      <c r="J1126" s="32">
        <v>31</v>
      </c>
      <c r="K1126" s="17" t="s">
        <v>16</v>
      </c>
      <c r="L1126" s="24">
        <v>4632.8500000000004</v>
      </c>
      <c r="M1126" s="24">
        <v>4711.7000000000007</v>
      </c>
      <c r="N1126" s="34">
        <f>((sales_data_1[[#This Row],[Unit_Price]]*(1-sales_data_1[[#This Row],[Discount]]))-sales_data_1[[#This Row],[Unit_Cost]])*sales_data_1[[#This Row],[Quantity_Sold]]</f>
        <v>983.72300000000541</v>
      </c>
      <c r="O1126" s="17" t="s">
        <v>27</v>
      </c>
      <c r="P1126" s="26">
        <v>0.01</v>
      </c>
      <c r="Q1126" s="17" t="s">
        <v>18</v>
      </c>
      <c r="R1126" s="17" t="s">
        <v>21</v>
      </c>
      <c r="S1126" s="50" t="str">
        <f t="shared" si="53"/>
        <v>Bob-East</v>
      </c>
      <c r="T1126" s="59" t="str">
        <f>IF(ROUND(sales_data_1[[#This Row],[Profit_Margin]],2)=ROUND((sales_data_1[[#This Row],[Unit_Price]]*(1-sales_data_1[[#This Row],[Discount]]) - sales_data_1[[#This Row],[Unit_Cost]])*sales_data_1[[#This Row],[Quantity_Sold]],2), "PASS", "CHECK")</f>
        <v>PASS</v>
      </c>
    </row>
    <row r="1127" spans="1:20" x14ac:dyDescent="0.35">
      <c r="A1127" s="7">
        <v>1126</v>
      </c>
      <c r="B1127" s="9">
        <v>1087</v>
      </c>
      <c r="C1127" s="14" t="str">
        <f>IFERROR(_xlfn.TEXTJOIN("-", TRUE, _xlfn.XLOOKUP(K1127, product_category_id_lookup!$A$2:$A$5, product_category_id_lookup!$B$2:$B$5), B1127), "Unknown Category")</f>
        <v>fnt-1087</v>
      </c>
      <c r="D1127" s="8">
        <v>44929</v>
      </c>
      <c r="E1127" s="14">
        <f t="shared" si="51"/>
        <v>2023</v>
      </c>
      <c r="F1127" s="29" t="str">
        <f t="shared" si="52"/>
        <v>Jan</v>
      </c>
      <c r="G1127" s="17" t="s">
        <v>29</v>
      </c>
      <c r="H1127" s="17" t="s">
        <v>30</v>
      </c>
      <c r="I1127" s="24">
        <v>75937.371372614347</v>
      </c>
      <c r="J1127" s="32">
        <v>20</v>
      </c>
      <c r="K1127" s="17" t="s">
        <v>16</v>
      </c>
      <c r="L1127" s="24">
        <v>3625.94</v>
      </c>
      <c r="M1127" s="24">
        <v>3880.53</v>
      </c>
      <c r="N1127" s="34">
        <f>((sales_data_1[[#This Row],[Unit_Price]]*(1-sales_data_1[[#This Row],[Discount]]))-sales_data_1[[#This Row],[Unit_Cost]])*sales_data_1[[#This Row],[Quantity_Sold]]</f>
        <v>3539.5880000000034</v>
      </c>
      <c r="O1127" s="17" t="s">
        <v>27</v>
      </c>
      <c r="P1127" s="26">
        <v>0.02</v>
      </c>
      <c r="Q1127" s="17" t="s">
        <v>25</v>
      </c>
      <c r="R1127" s="17" t="s">
        <v>19</v>
      </c>
      <c r="S1127" s="50" t="str">
        <f t="shared" si="53"/>
        <v>Charlie-East</v>
      </c>
      <c r="T1127" s="59" t="str">
        <f>IF(ROUND(sales_data_1[[#This Row],[Profit_Margin]],2)=ROUND((sales_data_1[[#This Row],[Unit_Price]]*(1-sales_data_1[[#This Row],[Discount]]) - sales_data_1[[#This Row],[Unit_Cost]])*sales_data_1[[#This Row],[Quantity_Sold]],2), "PASS", "CHECK")</f>
        <v>PASS</v>
      </c>
    </row>
    <row r="1128" spans="1:20" x14ac:dyDescent="0.35">
      <c r="A1128" s="7">
        <v>1127</v>
      </c>
      <c r="B1128" s="9">
        <v>1027</v>
      </c>
      <c r="C1128" s="14" t="str">
        <f>IFERROR(_xlfn.TEXTJOIN("-", TRUE, _xlfn.XLOOKUP(K1128, product_category_id_lookup!$A$2:$A$5, product_category_id_lookup!$B$2:$B$5), B1128), "Unknown Category")</f>
        <v>fnt-1027</v>
      </c>
      <c r="D1128" s="8">
        <v>44929</v>
      </c>
      <c r="E1128" s="14">
        <f t="shared" si="51"/>
        <v>2023</v>
      </c>
      <c r="F1128" s="29" t="str">
        <f t="shared" si="52"/>
        <v>Jan</v>
      </c>
      <c r="G1128" s="17" t="s">
        <v>14</v>
      </c>
      <c r="H1128" s="17" t="s">
        <v>30</v>
      </c>
      <c r="I1128" s="24">
        <v>27432.480000000003</v>
      </c>
      <c r="J1128" s="32">
        <v>30</v>
      </c>
      <c r="K1128" s="17" t="s">
        <v>16</v>
      </c>
      <c r="L1128" s="24">
        <v>745.93</v>
      </c>
      <c r="M1128" s="24">
        <v>1143.02</v>
      </c>
      <c r="N1128" s="34">
        <f>((sales_data_1[[#This Row],[Unit_Price]]*(1-sales_data_1[[#This Row],[Discount]]))-sales_data_1[[#This Row],[Unit_Cost]])*sales_data_1[[#This Row],[Quantity_Sold]]</f>
        <v>5054.5800000000036</v>
      </c>
      <c r="O1128" s="17" t="s">
        <v>17</v>
      </c>
      <c r="P1128" s="26">
        <v>0.2</v>
      </c>
      <c r="Q1128" s="17" t="s">
        <v>28</v>
      </c>
      <c r="R1128" s="17" t="s">
        <v>19</v>
      </c>
      <c r="S1128" s="50" t="str">
        <f t="shared" si="53"/>
        <v>Bob-East</v>
      </c>
      <c r="T1128" s="59" t="str">
        <f>IF(ROUND(sales_data_1[[#This Row],[Profit_Margin]],2)=ROUND((sales_data_1[[#This Row],[Unit_Price]]*(1-sales_data_1[[#This Row],[Discount]]) - sales_data_1[[#This Row],[Unit_Cost]])*sales_data_1[[#This Row],[Quantity_Sold]],2), "PASS", "CHECK")</f>
        <v>PASS</v>
      </c>
    </row>
    <row r="1129" spans="1:20" x14ac:dyDescent="0.35">
      <c r="A1129" s="7">
        <v>1128</v>
      </c>
      <c r="B1129" s="9">
        <v>1051</v>
      </c>
      <c r="C1129" s="14" t="str">
        <f>IFERROR(_xlfn.TEXTJOIN("-", TRUE, _xlfn.XLOOKUP(K1129, product_category_id_lookup!$A$2:$A$5, product_category_id_lookup!$B$2:$B$5), B1129), "Unknown Category")</f>
        <v>etc-1051</v>
      </c>
      <c r="D1129" s="8">
        <v>44930</v>
      </c>
      <c r="E1129" s="14">
        <f t="shared" si="51"/>
        <v>2023</v>
      </c>
      <c r="F1129" s="29" t="str">
        <f t="shared" si="52"/>
        <v>Jan</v>
      </c>
      <c r="G1129" s="17" t="s">
        <v>32</v>
      </c>
      <c r="H1129" s="17" t="s">
        <v>15</v>
      </c>
      <c r="I1129" s="24">
        <v>51672.485748043051</v>
      </c>
      <c r="J1129" s="32">
        <v>14</v>
      </c>
      <c r="K1129" s="17" t="s">
        <v>31</v>
      </c>
      <c r="L1129" s="24">
        <v>3686.81</v>
      </c>
      <c r="M1129" s="24">
        <v>3710.92</v>
      </c>
      <c r="N1129" s="34">
        <f>((sales_data_1[[#This Row],[Unit_Price]]*(1-sales_data_1[[#This Row],[Discount]]))-sales_data_1[[#This Row],[Unit_Cost]])*sales_data_1[[#This Row],[Quantity_Sold]]</f>
        <v>-181.98879999999644</v>
      </c>
      <c r="O1129" s="17" t="s">
        <v>27</v>
      </c>
      <c r="P1129" s="26">
        <v>0.01</v>
      </c>
      <c r="Q1129" s="17" t="s">
        <v>25</v>
      </c>
      <c r="R1129" s="17" t="s">
        <v>21</v>
      </c>
      <c r="S1129" s="50" t="str">
        <f t="shared" si="53"/>
        <v>Eve-North</v>
      </c>
      <c r="T1129" s="59" t="str">
        <f>IF(ROUND(sales_data_1[[#This Row],[Profit_Margin]],2)=ROUND((sales_data_1[[#This Row],[Unit_Price]]*(1-sales_data_1[[#This Row],[Discount]]) - sales_data_1[[#This Row],[Unit_Cost]])*sales_data_1[[#This Row],[Quantity_Sold]],2), "PASS", "CHECK")</f>
        <v>PASS</v>
      </c>
    </row>
    <row r="1130" spans="1:20" x14ac:dyDescent="0.35">
      <c r="A1130" s="7">
        <v>1129</v>
      </c>
      <c r="B1130" s="9">
        <v>1086</v>
      </c>
      <c r="C1130" s="14" t="str">
        <f>IFERROR(_xlfn.TEXTJOIN("-", TRUE, _xlfn.XLOOKUP(K1130, product_category_id_lookup!$A$2:$A$5, product_category_id_lookup!$B$2:$B$5), B1130), "Unknown Category")</f>
        <v>fnt-1086</v>
      </c>
      <c r="D1130" s="8">
        <v>44930</v>
      </c>
      <c r="E1130" s="14">
        <f t="shared" si="51"/>
        <v>2023</v>
      </c>
      <c r="F1130" s="29" t="str">
        <f t="shared" si="52"/>
        <v>Jan</v>
      </c>
      <c r="G1130" s="17" t="s">
        <v>14</v>
      </c>
      <c r="H1130" s="17" t="s">
        <v>23</v>
      </c>
      <c r="I1130" s="24">
        <v>13377.2688</v>
      </c>
      <c r="J1130" s="32">
        <v>8</v>
      </c>
      <c r="K1130" s="17" t="s">
        <v>16</v>
      </c>
      <c r="L1130" s="24">
        <v>1569.31</v>
      </c>
      <c r="M1130" s="24">
        <v>1798.02</v>
      </c>
      <c r="N1130" s="34">
        <f>((sales_data_1[[#This Row],[Unit_Price]]*(1-sales_data_1[[#This Row],[Discount]]))-sales_data_1[[#This Row],[Unit_Cost]])*sales_data_1[[#This Row],[Quantity_Sold]]</f>
        <v>822.78880000000026</v>
      </c>
      <c r="O1130" s="17" t="s">
        <v>27</v>
      </c>
      <c r="P1130" s="26">
        <v>7.0000000000000007E-2</v>
      </c>
      <c r="Q1130" s="17" t="s">
        <v>28</v>
      </c>
      <c r="R1130" s="17" t="s">
        <v>19</v>
      </c>
      <c r="S1130" s="50" t="str">
        <f t="shared" si="53"/>
        <v>Bob-South</v>
      </c>
      <c r="T1130" s="59" t="str">
        <f>IF(ROUND(sales_data_1[[#This Row],[Profit_Margin]],2)=ROUND((sales_data_1[[#This Row],[Unit_Price]]*(1-sales_data_1[[#This Row],[Discount]]) - sales_data_1[[#This Row],[Unit_Cost]])*sales_data_1[[#This Row],[Quantity_Sold]],2), "PASS", "CHECK")</f>
        <v>PASS</v>
      </c>
    </row>
    <row r="1131" spans="1:20" x14ac:dyDescent="0.35">
      <c r="A1131" s="7">
        <v>1130</v>
      </c>
      <c r="B1131" s="9">
        <v>1064</v>
      </c>
      <c r="C1131" s="14" t="str">
        <f>IFERROR(_xlfn.TEXTJOIN("-", TRUE, _xlfn.XLOOKUP(K1131, product_category_id_lookup!$A$2:$A$5, product_category_id_lookup!$B$2:$B$5), B1131), "Unknown Category")</f>
        <v>etc-1064</v>
      </c>
      <c r="D1131" s="8">
        <v>44930</v>
      </c>
      <c r="E1131" s="14">
        <f t="shared" si="51"/>
        <v>2023</v>
      </c>
      <c r="F1131" s="29" t="str">
        <f t="shared" si="52"/>
        <v>Jan</v>
      </c>
      <c r="G1131" s="17" t="s">
        <v>32</v>
      </c>
      <c r="H1131" s="17" t="s">
        <v>30</v>
      </c>
      <c r="I1131" s="24">
        <v>48890.907680701261</v>
      </c>
      <c r="J1131" s="32">
        <v>10</v>
      </c>
      <c r="K1131" s="17" t="s">
        <v>31</v>
      </c>
      <c r="L1131" s="24">
        <v>4764.96</v>
      </c>
      <c r="M1131" s="24">
        <v>5074.42</v>
      </c>
      <c r="N1131" s="34">
        <f>((sales_data_1[[#This Row],[Unit_Price]]*(1-sales_data_1[[#This Row],[Discount]]))-sales_data_1[[#This Row],[Unit_Cost]])*sales_data_1[[#This Row],[Quantity_Sold]]</f>
        <v>1064.8319999999967</v>
      </c>
      <c r="O1131" s="17" t="s">
        <v>27</v>
      </c>
      <c r="P1131" s="26">
        <v>0.04</v>
      </c>
      <c r="Q1131" s="17" t="s">
        <v>18</v>
      </c>
      <c r="R1131" s="17" t="s">
        <v>19</v>
      </c>
      <c r="S1131" s="50" t="str">
        <f t="shared" si="53"/>
        <v>Eve-East</v>
      </c>
      <c r="T1131" s="59" t="str">
        <f>IF(ROUND(sales_data_1[[#This Row],[Profit_Margin]],2)=ROUND((sales_data_1[[#This Row],[Unit_Price]]*(1-sales_data_1[[#This Row],[Discount]]) - sales_data_1[[#This Row],[Unit_Cost]])*sales_data_1[[#This Row],[Quantity_Sold]],2), "PASS", "CHECK")</f>
        <v>PASS</v>
      </c>
    </row>
    <row r="1132" spans="1:20" x14ac:dyDescent="0.35">
      <c r="A1132" s="7">
        <v>1131</v>
      </c>
      <c r="B1132" s="9">
        <v>1002</v>
      </c>
      <c r="C1132" s="14" t="str">
        <f>IFERROR(_xlfn.TEXTJOIN("-", TRUE, _xlfn.XLOOKUP(K1132, product_category_id_lookup!$A$2:$A$5, product_category_id_lookup!$B$2:$B$5), B1132), "Unknown Category")</f>
        <v>fnt-1002</v>
      </c>
      <c r="D1132" s="8">
        <v>44930</v>
      </c>
      <c r="E1132" s="14">
        <f t="shared" si="51"/>
        <v>2023</v>
      </c>
      <c r="F1132" s="29" t="str">
        <f t="shared" si="52"/>
        <v>Jan</v>
      </c>
      <c r="G1132" s="17" t="s">
        <v>14</v>
      </c>
      <c r="H1132" s="17" t="s">
        <v>30</v>
      </c>
      <c r="I1132" s="24">
        <v>31204.561137654357</v>
      </c>
      <c r="J1132" s="32">
        <v>17</v>
      </c>
      <c r="K1132" s="17" t="s">
        <v>16</v>
      </c>
      <c r="L1132" s="24">
        <v>1727.12</v>
      </c>
      <c r="M1132" s="24">
        <v>1865.83</v>
      </c>
      <c r="N1132" s="34">
        <f>((sales_data_1[[#This Row],[Unit_Price]]*(1-sales_data_1[[#This Row],[Discount]]))-sales_data_1[[#This Row],[Unit_Cost]])*sales_data_1[[#This Row],[Quantity_Sold]]</f>
        <v>1723.6877999999988</v>
      </c>
      <c r="O1132" s="17" t="s">
        <v>27</v>
      </c>
      <c r="P1132" s="26">
        <v>0.02</v>
      </c>
      <c r="Q1132" s="17" t="s">
        <v>18</v>
      </c>
      <c r="R1132" s="17" t="s">
        <v>19</v>
      </c>
      <c r="S1132" s="50" t="str">
        <f t="shared" si="53"/>
        <v>Bob-East</v>
      </c>
      <c r="T1132" s="59" t="str">
        <f>IF(ROUND(sales_data_1[[#This Row],[Profit_Margin]],2)=ROUND((sales_data_1[[#This Row],[Unit_Price]]*(1-sales_data_1[[#This Row],[Discount]]) - sales_data_1[[#This Row],[Unit_Cost]])*sales_data_1[[#This Row],[Quantity_Sold]],2), "PASS", "CHECK")</f>
        <v>PASS</v>
      </c>
    </row>
    <row r="1133" spans="1:20" x14ac:dyDescent="0.35">
      <c r="A1133" s="7">
        <v>1132</v>
      </c>
      <c r="B1133" s="9">
        <v>1090</v>
      </c>
      <c r="C1133" s="14" t="str">
        <f>IFERROR(_xlfn.TEXTJOIN("-", TRUE, _xlfn.XLOOKUP(K1133, product_category_id_lookup!$A$2:$A$5, product_category_id_lookup!$B$2:$B$5), B1133), "Unknown Category")</f>
        <v>fnt-1090</v>
      </c>
      <c r="D1133" s="8">
        <v>44930</v>
      </c>
      <c r="E1133" s="14">
        <f t="shared" si="51"/>
        <v>2023</v>
      </c>
      <c r="F1133" s="29" t="str">
        <f t="shared" si="52"/>
        <v>Jan</v>
      </c>
      <c r="G1133" s="17" t="s">
        <v>32</v>
      </c>
      <c r="H1133" s="17" t="s">
        <v>15</v>
      </c>
      <c r="I1133" s="24">
        <v>60159.078071070267</v>
      </c>
      <c r="J1133" s="32">
        <v>14</v>
      </c>
      <c r="K1133" s="17" t="s">
        <v>16</v>
      </c>
      <c r="L1133" s="24">
        <v>4037.21</v>
      </c>
      <c r="M1133" s="24">
        <v>4323.71</v>
      </c>
      <c r="N1133" s="34">
        <f>((sales_data_1[[#This Row],[Unit_Price]]*(1-sales_data_1[[#This Row],[Discount]]))-sales_data_1[[#This Row],[Unit_Cost]])*sales_data_1[[#This Row],[Quantity_Sold]]</f>
        <v>3405.680599999996</v>
      </c>
      <c r="O1133" s="17" t="s">
        <v>17</v>
      </c>
      <c r="P1133" s="26">
        <v>0.01</v>
      </c>
      <c r="Q1133" s="17" t="s">
        <v>28</v>
      </c>
      <c r="R1133" s="17" t="s">
        <v>19</v>
      </c>
      <c r="S1133" s="50" t="str">
        <f t="shared" si="53"/>
        <v>Eve-North</v>
      </c>
      <c r="T1133" s="59" t="str">
        <f>IF(ROUND(sales_data_1[[#This Row],[Profit_Margin]],2)=ROUND((sales_data_1[[#This Row],[Unit_Price]]*(1-sales_data_1[[#This Row],[Discount]]) - sales_data_1[[#This Row],[Unit_Cost]])*sales_data_1[[#This Row],[Quantity_Sold]],2), "PASS", "CHECK")</f>
        <v>PASS</v>
      </c>
    </row>
    <row r="1134" spans="1:20" x14ac:dyDescent="0.35">
      <c r="A1134" s="7">
        <v>1133</v>
      </c>
      <c r="B1134" s="9">
        <v>1074</v>
      </c>
      <c r="C1134" s="14" t="str">
        <f>IFERROR(_xlfn.TEXTJOIN("-", TRUE, _xlfn.XLOOKUP(K1134, product_category_id_lookup!$A$2:$A$5, product_category_id_lookup!$B$2:$B$5), B1134), "Unknown Category")</f>
        <v>fnt-1074</v>
      </c>
      <c r="D1134" s="8">
        <v>44930</v>
      </c>
      <c r="E1134" s="14">
        <f t="shared" si="51"/>
        <v>2023</v>
      </c>
      <c r="F1134" s="29" t="str">
        <f t="shared" si="52"/>
        <v>Jan</v>
      </c>
      <c r="G1134" s="17" t="s">
        <v>32</v>
      </c>
      <c r="H1134" s="17" t="s">
        <v>23</v>
      </c>
      <c r="I1134" s="24">
        <v>70250.22</v>
      </c>
      <c r="J1134" s="32">
        <v>38</v>
      </c>
      <c r="K1134" s="17" t="s">
        <v>16</v>
      </c>
      <c r="L1134" s="24">
        <v>1394.74</v>
      </c>
      <c r="M1134" s="24">
        <v>1848.69</v>
      </c>
      <c r="N1134" s="34">
        <f>((sales_data_1[[#This Row],[Unit_Price]]*(1-sales_data_1[[#This Row],[Discount]]))-sales_data_1[[#This Row],[Unit_Cost]])*sales_data_1[[#This Row],[Quantity_Sold]]</f>
        <v>17250.100000000002</v>
      </c>
      <c r="O1134" s="17" t="s">
        <v>17</v>
      </c>
      <c r="P1134" s="26">
        <v>0</v>
      </c>
      <c r="Q1134" s="17" t="s">
        <v>25</v>
      </c>
      <c r="R1134" s="17" t="s">
        <v>21</v>
      </c>
      <c r="S1134" s="50" t="str">
        <f t="shared" si="53"/>
        <v>Eve-South</v>
      </c>
      <c r="T1134" s="59" t="str">
        <f>IF(ROUND(sales_data_1[[#This Row],[Profit_Margin]],2)=ROUND((sales_data_1[[#This Row],[Unit_Price]]*(1-sales_data_1[[#This Row],[Discount]]) - sales_data_1[[#This Row],[Unit_Cost]])*sales_data_1[[#This Row],[Quantity_Sold]],2), "PASS", "CHECK")</f>
        <v>PASS</v>
      </c>
    </row>
    <row r="1135" spans="1:20" x14ac:dyDescent="0.35">
      <c r="A1135" s="7">
        <v>1134</v>
      </c>
      <c r="B1135" s="9">
        <v>1023</v>
      </c>
      <c r="C1135" s="14" t="str">
        <f>IFERROR(_xlfn.TEXTJOIN("-", TRUE, _xlfn.XLOOKUP(K1135, product_category_id_lookup!$A$2:$A$5, product_category_id_lookup!$B$2:$B$5), B1135), "Unknown Category")</f>
        <v>ctg-1023</v>
      </c>
      <c r="D1135" s="8">
        <v>44931</v>
      </c>
      <c r="E1135" s="14">
        <f t="shared" si="51"/>
        <v>2023</v>
      </c>
      <c r="F1135" s="29" t="str">
        <f t="shared" si="52"/>
        <v>Jan</v>
      </c>
      <c r="G1135" s="17" t="s">
        <v>33</v>
      </c>
      <c r="H1135" s="17" t="s">
        <v>30</v>
      </c>
      <c r="I1135" s="24">
        <v>1353.8596</v>
      </c>
      <c r="J1135" s="32">
        <v>2</v>
      </c>
      <c r="K1135" s="17" t="s">
        <v>26</v>
      </c>
      <c r="L1135" s="24">
        <v>575.32000000000005</v>
      </c>
      <c r="M1135" s="24">
        <v>914.77</v>
      </c>
      <c r="N1135" s="34">
        <f>((sales_data_1[[#This Row],[Unit_Price]]*(1-sales_data_1[[#This Row],[Discount]]))-sales_data_1[[#This Row],[Unit_Cost]])*sales_data_1[[#This Row],[Quantity_Sold]]</f>
        <v>203.2195999999999</v>
      </c>
      <c r="O1135" s="17" t="s">
        <v>17</v>
      </c>
      <c r="P1135" s="26">
        <v>0.26</v>
      </c>
      <c r="Q1135" s="17" t="s">
        <v>25</v>
      </c>
      <c r="R1135" s="17" t="s">
        <v>19</v>
      </c>
      <c r="S1135" s="50" t="str">
        <f t="shared" si="53"/>
        <v>Alice-East</v>
      </c>
      <c r="T1135" s="59" t="str">
        <f>IF(ROUND(sales_data_1[[#This Row],[Profit_Margin]],2)=ROUND((sales_data_1[[#This Row],[Unit_Price]]*(1-sales_data_1[[#This Row],[Discount]]) - sales_data_1[[#This Row],[Unit_Cost]])*sales_data_1[[#This Row],[Quantity_Sold]],2), "PASS", "CHECK")</f>
        <v>PASS</v>
      </c>
    </row>
    <row r="1136" spans="1:20" x14ac:dyDescent="0.35">
      <c r="A1136" s="7">
        <v>1135</v>
      </c>
      <c r="B1136" s="9">
        <v>1052</v>
      </c>
      <c r="C1136" s="14" t="str">
        <f>IFERROR(_xlfn.TEXTJOIN("-", TRUE, _xlfn.XLOOKUP(K1136, product_category_id_lookup!$A$2:$A$5, product_category_id_lookup!$B$2:$B$5), B1136), "Unknown Category")</f>
        <v>ctg-1052</v>
      </c>
      <c r="D1136" s="8">
        <v>44931</v>
      </c>
      <c r="E1136" s="14">
        <f t="shared" si="51"/>
        <v>2023</v>
      </c>
      <c r="F1136" s="29" t="str">
        <f t="shared" si="52"/>
        <v>Jan</v>
      </c>
      <c r="G1136" s="17" t="s">
        <v>14</v>
      </c>
      <c r="H1136" s="17" t="s">
        <v>15</v>
      </c>
      <c r="I1136" s="24">
        <v>41671.088444806439</v>
      </c>
      <c r="J1136" s="32">
        <v>11</v>
      </c>
      <c r="K1136" s="17" t="s">
        <v>26</v>
      </c>
      <c r="L1136" s="24">
        <v>3451.59</v>
      </c>
      <c r="M1136" s="24">
        <v>3929.26</v>
      </c>
      <c r="N1136" s="34">
        <f>((sales_data_1[[#This Row],[Unit_Price]]*(1-sales_data_1[[#This Row],[Discount]]))-sales_data_1[[#This Row],[Unit_Cost]])*sales_data_1[[#This Row],[Quantity_Sold]]</f>
        <v>3525.4956000000011</v>
      </c>
      <c r="O1136" s="17" t="s">
        <v>27</v>
      </c>
      <c r="P1136" s="26">
        <v>0.04</v>
      </c>
      <c r="Q1136" s="17" t="s">
        <v>28</v>
      </c>
      <c r="R1136" s="17" t="s">
        <v>21</v>
      </c>
      <c r="S1136" s="50" t="str">
        <f t="shared" si="53"/>
        <v>Bob-North</v>
      </c>
      <c r="T1136" s="59" t="str">
        <f>IF(ROUND(sales_data_1[[#This Row],[Profit_Margin]],2)=ROUND((sales_data_1[[#This Row],[Unit_Price]]*(1-sales_data_1[[#This Row],[Discount]]) - sales_data_1[[#This Row],[Unit_Cost]])*sales_data_1[[#This Row],[Quantity_Sold]],2), "PASS", "CHECK")</f>
        <v>PASS</v>
      </c>
    </row>
    <row r="1137" spans="1:20" x14ac:dyDescent="0.35">
      <c r="A1137" s="7">
        <v>1136</v>
      </c>
      <c r="B1137" s="9">
        <v>1081</v>
      </c>
      <c r="C1137" s="14" t="str">
        <f>IFERROR(_xlfn.TEXTJOIN("-", TRUE, _xlfn.XLOOKUP(K1137, product_category_id_lookup!$A$2:$A$5, product_category_id_lookup!$B$2:$B$5), B1137), "Unknown Category")</f>
        <v>fd-1081</v>
      </c>
      <c r="D1137" s="8">
        <v>44931</v>
      </c>
      <c r="E1137" s="14">
        <f t="shared" si="51"/>
        <v>2023</v>
      </c>
      <c r="F1137" s="29" t="str">
        <f t="shared" si="52"/>
        <v>Jan</v>
      </c>
      <c r="G1137" s="17" t="s">
        <v>14</v>
      </c>
      <c r="H1137" s="17" t="s">
        <v>23</v>
      </c>
      <c r="I1137" s="24">
        <v>40035.547200000001</v>
      </c>
      <c r="J1137" s="32">
        <v>44</v>
      </c>
      <c r="K1137" s="17" t="s">
        <v>24</v>
      </c>
      <c r="L1137" s="24">
        <v>618.79</v>
      </c>
      <c r="M1137" s="24">
        <v>938.04</v>
      </c>
      <c r="N1137" s="34">
        <f>((sales_data_1[[#This Row],[Unit_Price]]*(1-sales_data_1[[#This Row],[Discount]]))-sales_data_1[[#This Row],[Unit_Cost]])*sales_data_1[[#This Row],[Quantity_Sold]]</f>
        <v>12808.787199999999</v>
      </c>
      <c r="O1137" s="17" t="s">
        <v>17</v>
      </c>
      <c r="P1137" s="26">
        <v>0.03</v>
      </c>
      <c r="Q1137" s="17" t="s">
        <v>18</v>
      </c>
      <c r="R1137" s="17" t="s">
        <v>19</v>
      </c>
      <c r="S1137" s="50" t="str">
        <f t="shared" si="53"/>
        <v>Bob-South</v>
      </c>
      <c r="T1137" s="59" t="str">
        <f>IF(ROUND(sales_data_1[[#This Row],[Profit_Margin]],2)=ROUND((sales_data_1[[#This Row],[Unit_Price]]*(1-sales_data_1[[#This Row],[Discount]]) - sales_data_1[[#This Row],[Unit_Cost]])*sales_data_1[[#This Row],[Quantity_Sold]],2), "PASS", "CHECK")</f>
        <v>PASS</v>
      </c>
    </row>
    <row r="1138" spans="1:20" x14ac:dyDescent="0.35">
      <c r="A1138" s="7">
        <v>1137</v>
      </c>
      <c r="B1138" s="9">
        <v>1062</v>
      </c>
      <c r="C1138" s="14" t="str">
        <f>IFERROR(_xlfn.TEXTJOIN("-", TRUE, _xlfn.XLOOKUP(K1138, product_category_id_lookup!$A$2:$A$5, product_category_id_lookup!$B$2:$B$5), B1138), "Unknown Category")</f>
        <v>ctg-1062</v>
      </c>
      <c r="D1138" s="8">
        <v>44932</v>
      </c>
      <c r="E1138" s="14">
        <f t="shared" si="51"/>
        <v>2023</v>
      </c>
      <c r="F1138" s="29" t="str">
        <f t="shared" si="52"/>
        <v>Jan</v>
      </c>
      <c r="G1138" s="17" t="s">
        <v>32</v>
      </c>
      <c r="H1138" s="17" t="s">
        <v>30</v>
      </c>
      <c r="I1138" s="24">
        <v>73140.35391867932</v>
      </c>
      <c r="J1138" s="32">
        <v>15</v>
      </c>
      <c r="K1138" s="17" t="s">
        <v>26</v>
      </c>
      <c r="L1138" s="24">
        <v>4756.55</v>
      </c>
      <c r="M1138" s="24">
        <v>4888.46</v>
      </c>
      <c r="N1138" s="34">
        <f>((sales_data_1[[#This Row],[Unit_Price]]*(1-sales_data_1[[#This Row],[Discount]]))-sales_data_1[[#This Row],[Unit_Cost]])*sales_data_1[[#This Row],[Quantity_Sold]]</f>
        <v>1978.6499999999978</v>
      </c>
      <c r="O1138" s="17" t="s">
        <v>27</v>
      </c>
      <c r="P1138" s="26">
        <v>0</v>
      </c>
      <c r="Q1138" s="17" t="s">
        <v>28</v>
      </c>
      <c r="R1138" s="17" t="s">
        <v>19</v>
      </c>
      <c r="S1138" s="50" t="str">
        <f t="shared" si="53"/>
        <v>Eve-East</v>
      </c>
      <c r="T1138" s="59" t="str">
        <f>IF(ROUND(sales_data_1[[#This Row],[Profit_Margin]],2)=ROUND((sales_data_1[[#This Row],[Unit_Price]]*(1-sales_data_1[[#This Row],[Discount]]) - sales_data_1[[#This Row],[Unit_Cost]])*sales_data_1[[#This Row],[Quantity_Sold]],2), "PASS", "CHECK")</f>
        <v>PASS</v>
      </c>
    </row>
    <row r="1139" spans="1:20" x14ac:dyDescent="0.35">
      <c r="A1139" s="7">
        <v>1138</v>
      </c>
      <c r="B1139" s="9">
        <v>1087</v>
      </c>
      <c r="C1139" s="14" t="str">
        <f>IFERROR(_xlfn.TEXTJOIN("-", TRUE, _xlfn.XLOOKUP(K1139, product_category_id_lookup!$A$2:$A$5, product_category_id_lookup!$B$2:$B$5), B1139), "Unknown Category")</f>
        <v>fnt-1087</v>
      </c>
      <c r="D1139" s="8">
        <v>44932</v>
      </c>
      <c r="E1139" s="14">
        <f t="shared" si="51"/>
        <v>2023</v>
      </c>
      <c r="F1139" s="29" t="str">
        <f t="shared" si="52"/>
        <v>Jan</v>
      </c>
      <c r="G1139" s="17" t="s">
        <v>32</v>
      </c>
      <c r="H1139" s="17" t="s">
        <v>23</v>
      </c>
      <c r="I1139" s="24">
        <v>175073.47092530711</v>
      </c>
      <c r="J1139" s="32">
        <v>46</v>
      </c>
      <c r="K1139" s="17" t="s">
        <v>16</v>
      </c>
      <c r="L1139" s="24">
        <v>3702.51</v>
      </c>
      <c r="M1139" s="24">
        <v>3964.65</v>
      </c>
      <c r="N1139" s="34">
        <f>((sales_data_1[[#This Row],[Unit_Price]]*(1-sales_data_1[[#This Row],[Discount]]))-sales_data_1[[#This Row],[Unit_Cost]])*sales_data_1[[#This Row],[Quantity_Sold]]</f>
        <v>4763.4839999999831</v>
      </c>
      <c r="O1139" s="17" t="s">
        <v>27</v>
      </c>
      <c r="P1139" s="26">
        <v>0.04</v>
      </c>
      <c r="Q1139" s="17" t="s">
        <v>25</v>
      </c>
      <c r="R1139" s="17" t="s">
        <v>19</v>
      </c>
      <c r="S1139" s="50" t="str">
        <f t="shared" si="53"/>
        <v>Eve-South</v>
      </c>
      <c r="T1139" s="59" t="str">
        <f>IF(ROUND(sales_data_1[[#This Row],[Profit_Margin]],2)=ROUND((sales_data_1[[#This Row],[Unit_Price]]*(1-sales_data_1[[#This Row],[Discount]]) - sales_data_1[[#This Row],[Unit_Cost]])*sales_data_1[[#This Row],[Quantity_Sold]],2), "PASS", "CHECK")</f>
        <v>PASS</v>
      </c>
    </row>
    <row r="1140" spans="1:20" x14ac:dyDescent="0.35">
      <c r="A1140" s="7">
        <v>1139</v>
      </c>
      <c r="B1140" s="9">
        <v>1065</v>
      </c>
      <c r="C1140" s="14" t="str">
        <f>IFERROR(_xlfn.TEXTJOIN("-", TRUE, _xlfn.XLOOKUP(K1140, product_category_id_lookup!$A$2:$A$5, product_category_id_lookup!$B$2:$B$5), B1140), "Unknown Category")</f>
        <v>ctg-1065</v>
      </c>
      <c r="D1140" s="8">
        <v>44933</v>
      </c>
      <c r="E1140" s="14">
        <f t="shared" si="51"/>
        <v>2023</v>
      </c>
      <c r="F1140" s="29" t="str">
        <f t="shared" si="52"/>
        <v>Jan</v>
      </c>
      <c r="G1140" s="17" t="s">
        <v>32</v>
      </c>
      <c r="H1140" s="17" t="s">
        <v>15</v>
      </c>
      <c r="I1140" s="24">
        <v>12389.513726481347</v>
      </c>
      <c r="J1140" s="32">
        <v>6</v>
      </c>
      <c r="K1140" s="17" t="s">
        <v>26</v>
      </c>
      <c r="L1140" s="24">
        <v>2019.9</v>
      </c>
      <c r="M1140" s="24">
        <v>2116.7400000000002</v>
      </c>
      <c r="N1140" s="34">
        <f>((sales_data_1[[#This Row],[Unit_Price]]*(1-sales_data_1[[#This Row],[Discount]]))-sales_data_1[[#This Row],[Unit_Cost]])*sales_data_1[[#This Row],[Quantity_Sold]]</f>
        <v>327.03120000000035</v>
      </c>
      <c r="O1140" s="17" t="s">
        <v>27</v>
      </c>
      <c r="P1140" s="26">
        <v>0.02</v>
      </c>
      <c r="Q1140" s="17" t="s">
        <v>28</v>
      </c>
      <c r="R1140" s="17" t="s">
        <v>19</v>
      </c>
      <c r="S1140" s="50" t="str">
        <f t="shared" si="53"/>
        <v>Eve-North</v>
      </c>
      <c r="T1140" s="59" t="str">
        <f>IF(ROUND(sales_data_1[[#This Row],[Profit_Margin]],2)=ROUND((sales_data_1[[#This Row],[Unit_Price]]*(1-sales_data_1[[#This Row],[Discount]]) - sales_data_1[[#This Row],[Unit_Cost]])*sales_data_1[[#This Row],[Quantity_Sold]],2), "PASS", "CHECK")</f>
        <v>PASS</v>
      </c>
    </row>
    <row r="1141" spans="1:20" x14ac:dyDescent="0.35">
      <c r="A1141" s="7">
        <v>1140</v>
      </c>
      <c r="B1141" s="9">
        <v>1034</v>
      </c>
      <c r="C1141" s="14" t="str">
        <f>IFERROR(_xlfn.TEXTJOIN("-", TRUE, _xlfn.XLOOKUP(K1141, product_category_id_lookup!$A$2:$A$5, product_category_id_lookup!$B$2:$B$5), B1141), "Unknown Category")</f>
        <v>fnt-1034</v>
      </c>
      <c r="D1141" s="8">
        <v>44933</v>
      </c>
      <c r="E1141" s="14">
        <f t="shared" si="51"/>
        <v>2023</v>
      </c>
      <c r="F1141" s="29" t="str">
        <f t="shared" si="52"/>
        <v>Jan</v>
      </c>
      <c r="G1141" s="17" t="s">
        <v>22</v>
      </c>
      <c r="H1141" s="17" t="s">
        <v>20</v>
      </c>
      <c r="I1141" s="24">
        <v>4795.8371999999999</v>
      </c>
      <c r="J1141" s="32">
        <v>28</v>
      </c>
      <c r="K1141" s="17" t="s">
        <v>16</v>
      </c>
      <c r="L1141" s="24">
        <v>137.47</v>
      </c>
      <c r="M1141" s="24">
        <v>234.63</v>
      </c>
      <c r="N1141" s="34">
        <f>((sales_data_1[[#This Row],[Unit_Price]]*(1-sales_data_1[[#This Row],[Discount]]))-sales_data_1[[#This Row],[Unit_Cost]])*sales_data_1[[#This Row],[Quantity_Sold]]</f>
        <v>946.67719999999997</v>
      </c>
      <c r="O1141" s="17" t="s">
        <v>27</v>
      </c>
      <c r="P1141" s="26">
        <v>0.27</v>
      </c>
      <c r="Q1141" s="17" t="s">
        <v>25</v>
      </c>
      <c r="R1141" s="17" t="s">
        <v>21</v>
      </c>
      <c r="S1141" s="50" t="str">
        <f t="shared" si="53"/>
        <v>David-West</v>
      </c>
      <c r="T1141" s="59" t="str">
        <f>IF(ROUND(sales_data_1[[#This Row],[Profit_Margin]],2)=ROUND((sales_data_1[[#This Row],[Unit_Price]]*(1-sales_data_1[[#This Row],[Discount]]) - sales_data_1[[#This Row],[Unit_Cost]])*sales_data_1[[#This Row],[Quantity_Sold]],2), "PASS", "CHECK")</f>
        <v>PASS</v>
      </c>
    </row>
    <row r="1142" spans="1:20" x14ac:dyDescent="0.35">
      <c r="A1142" s="7">
        <v>1141</v>
      </c>
      <c r="B1142" s="9">
        <v>1069</v>
      </c>
      <c r="C1142" s="14" t="str">
        <f>IFERROR(_xlfn.TEXTJOIN("-", TRUE, _xlfn.XLOOKUP(K1142, product_category_id_lookup!$A$2:$A$5, product_category_id_lookup!$B$2:$B$5), B1142), "Unknown Category")</f>
        <v>fd-1069</v>
      </c>
      <c r="D1142" s="8">
        <v>44933</v>
      </c>
      <c r="E1142" s="14">
        <f t="shared" si="51"/>
        <v>2023</v>
      </c>
      <c r="F1142" s="29" t="str">
        <f t="shared" si="52"/>
        <v>Jan</v>
      </c>
      <c r="G1142" s="17" t="s">
        <v>33</v>
      </c>
      <c r="H1142" s="17" t="s">
        <v>30</v>
      </c>
      <c r="I1142" s="24">
        <v>12321.262779855831</v>
      </c>
      <c r="J1142" s="32">
        <v>6</v>
      </c>
      <c r="K1142" s="17" t="s">
        <v>24</v>
      </c>
      <c r="L1142" s="24">
        <v>1768.6</v>
      </c>
      <c r="M1142" s="24">
        <v>2152.1999999999998</v>
      </c>
      <c r="N1142" s="34">
        <f>((sales_data_1[[#This Row],[Unit_Price]]*(1-sales_data_1[[#This Row],[Discount]]))-sales_data_1[[#This Row],[Unit_Cost]])*sales_data_1[[#This Row],[Quantity_Sold]]</f>
        <v>1655.9399999999987</v>
      </c>
      <c r="O1142" s="17" t="s">
        <v>27</v>
      </c>
      <c r="P1142" s="26">
        <v>0.05</v>
      </c>
      <c r="Q1142" s="17" t="s">
        <v>25</v>
      </c>
      <c r="R1142" s="17" t="s">
        <v>21</v>
      </c>
      <c r="S1142" s="50" t="str">
        <f t="shared" si="53"/>
        <v>Alice-East</v>
      </c>
      <c r="T1142" s="59" t="str">
        <f>IF(ROUND(sales_data_1[[#This Row],[Profit_Margin]],2)=ROUND((sales_data_1[[#This Row],[Unit_Price]]*(1-sales_data_1[[#This Row],[Discount]]) - sales_data_1[[#This Row],[Unit_Cost]])*sales_data_1[[#This Row],[Quantity_Sold]],2), "PASS", "CHECK")</f>
        <v>PASS</v>
      </c>
    </row>
    <row r="1143" spans="1:20" x14ac:dyDescent="0.35">
      <c r="A1143" s="7">
        <v>1142</v>
      </c>
      <c r="B1143" s="9">
        <v>1021</v>
      </c>
      <c r="C1143" s="14" t="str">
        <f>IFERROR(_xlfn.TEXTJOIN("-", TRUE, _xlfn.XLOOKUP(K1143, product_category_id_lookup!$A$2:$A$5, product_category_id_lookup!$B$2:$B$5), B1143), "Unknown Category")</f>
        <v>fnt-1021</v>
      </c>
      <c r="D1143" s="8">
        <v>44933</v>
      </c>
      <c r="E1143" s="14">
        <f t="shared" si="51"/>
        <v>2023</v>
      </c>
      <c r="F1143" s="29" t="str">
        <f t="shared" si="52"/>
        <v>Jan</v>
      </c>
      <c r="G1143" s="17" t="s">
        <v>14</v>
      </c>
      <c r="H1143" s="17" t="s">
        <v>15</v>
      </c>
      <c r="I1143" s="24">
        <v>32747.123544836788</v>
      </c>
      <c r="J1143" s="32">
        <v>9</v>
      </c>
      <c r="K1143" s="17" t="s">
        <v>16</v>
      </c>
      <c r="L1143" s="24">
        <v>3365.28</v>
      </c>
      <c r="M1143" s="24">
        <v>3730.4300000000003</v>
      </c>
      <c r="N1143" s="34">
        <f>((sales_data_1[[#This Row],[Unit_Price]]*(1-sales_data_1[[#This Row],[Discount]]))-sales_data_1[[#This Row],[Unit_Cost]])*sales_data_1[[#This Row],[Quantity_Sold]]</f>
        <v>2614.8726000000006</v>
      </c>
      <c r="O1143" s="17" t="s">
        <v>27</v>
      </c>
      <c r="P1143" s="26">
        <v>0.02</v>
      </c>
      <c r="Q1143" s="17" t="s">
        <v>25</v>
      </c>
      <c r="R1143" s="17" t="s">
        <v>19</v>
      </c>
      <c r="S1143" s="50" t="str">
        <f t="shared" si="53"/>
        <v>Bob-North</v>
      </c>
      <c r="T1143" s="59" t="str">
        <f>IF(ROUND(sales_data_1[[#This Row],[Profit_Margin]],2)=ROUND((sales_data_1[[#This Row],[Unit_Price]]*(1-sales_data_1[[#This Row],[Discount]]) - sales_data_1[[#This Row],[Unit_Cost]])*sales_data_1[[#This Row],[Quantity_Sold]],2), "PASS", "CHECK")</f>
        <v>PASS</v>
      </c>
    </row>
    <row r="1144" spans="1:20" x14ac:dyDescent="0.35">
      <c r="A1144" s="7">
        <v>1143</v>
      </c>
      <c r="B1144" s="9">
        <v>1085</v>
      </c>
      <c r="C1144" s="14" t="str">
        <f>IFERROR(_xlfn.TEXTJOIN("-", TRUE, _xlfn.XLOOKUP(K1144, product_category_id_lookup!$A$2:$A$5, product_category_id_lookup!$B$2:$B$5), B1144), "Unknown Category")</f>
        <v>fd-1085</v>
      </c>
      <c r="D1144" s="8">
        <v>44933</v>
      </c>
      <c r="E1144" s="14">
        <f t="shared" si="51"/>
        <v>2023</v>
      </c>
      <c r="F1144" s="29" t="str">
        <f t="shared" si="52"/>
        <v>Jan</v>
      </c>
      <c r="G1144" s="17" t="s">
        <v>32</v>
      </c>
      <c r="H1144" s="17" t="s">
        <v>20</v>
      </c>
      <c r="I1144" s="24">
        <v>13479.36</v>
      </c>
      <c r="J1144" s="32">
        <v>16</v>
      </c>
      <c r="K1144" s="17" t="s">
        <v>24</v>
      </c>
      <c r="L1144" s="24">
        <v>472.08</v>
      </c>
      <c r="M1144" s="24">
        <v>842.46</v>
      </c>
      <c r="N1144" s="34">
        <f>((sales_data_1[[#This Row],[Unit_Price]]*(1-sales_data_1[[#This Row],[Discount]]))-sales_data_1[[#This Row],[Unit_Cost]])*sales_data_1[[#This Row],[Quantity_Sold]]</f>
        <v>5926.0800000000008</v>
      </c>
      <c r="O1144" s="17" t="s">
        <v>27</v>
      </c>
      <c r="P1144" s="26">
        <v>0</v>
      </c>
      <c r="Q1144" s="17" t="s">
        <v>18</v>
      </c>
      <c r="R1144" s="17" t="s">
        <v>21</v>
      </c>
      <c r="S1144" s="50" t="str">
        <f t="shared" si="53"/>
        <v>Eve-West</v>
      </c>
      <c r="T1144" s="59" t="str">
        <f>IF(ROUND(sales_data_1[[#This Row],[Profit_Margin]],2)=ROUND((sales_data_1[[#This Row],[Unit_Price]]*(1-sales_data_1[[#This Row],[Discount]]) - sales_data_1[[#This Row],[Unit_Cost]])*sales_data_1[[#This Row],[Quantity_Sold]],2), "PASS", "CHECK")</f>
        <v>PASS</v>
      </c>
    </row>
    <row r="1145" spans="1:20" x14ac:dyDescent="0.35">
      <c r="A1145" s="7">
        <v>1144</v>
      </c>
      <c r="B1145" s="9">
        <v>1039</v>
      </c>
      <c r="C1145" s="14" t="str">
        <f>IFERROR(_xlfn.TEXTJOIN("-", TRUE, _xlfn.XLOOKUP(K1145, product_category_id_lookup!$A$2:$A$5, product_category_id_lookup!$B$2:$B$5), B1145), "Unknown Category")</f>
        <v>etc-1039</v>
      </c>
      <c r="D1145" s="8">
        <v>44934</v>
      </c>
      <c r="E1145" s="14">
        <f t="shared" si="51"/>
        <v>2023</v>
      </c>
      <c r="F1145" s="29" t="str">
        <f t="shared" si="52"/>
        <v>Jan</v>
      </c>
      <c r="G1145" s="17" t="s">
        <v>32</v>
      </c>
      <c r="H1145" s="17" t="s">
        <v>23</v>
      </c>
      <c r="I1145" s="24">
        <v>4469.8579080079508</v>
      </c>
      <c r="J1145" s="32">
        <v>4</v>
      </c>
      <c r="K1145" s="17" t="s">
        <v>31</v>
      </c>
      <c r="L1145" s="24">
        <v>1054.1199999999999</v>
      </c>
      <c r="M1145" s="24">
        <v>1175.2199999999998</v>
      </c>
      <c r="N1145" s="34">
        <f>((sales_data_1[[#This Row],[Unit_Price]]*(1-sales_data_1[[#This Row],[Discount]]))-sales_data_1[[#This Row],[Unit_Cost]])*sales_data_1[[#This Row],[Quantity_Sold]]</f>
        <v>249.35599999999977</v>
      </c>
      <c r="O1145" s="17" t="s">
        <v>17</v>
      </c>
      <c r="P1145" s="26">
        <v>0.05</v>
      </c>
      <c r="Q1145" s="17" t="s">
        <v>25</v>
      </c>
      <c r="R1145" s="17" t="s">
        <v>21</v>
      </c>
      <c r="S1145" s="50" t="str">
        <f t="shared" si="53"/>
        <v>Eve-South</v>
      </c>
      <c r="T1145" s="59" t="str">
        <f>IF(ROUND(sales_data_1[[#This Row],[Profit_Margin]],2)=ROUND((sales_data_1[[#This Row],[Unit_Price]]*(1-sales_data_1[[#This Row],[Discount]]) - sales_data_1[[#This Row],[Unit_Cost]])*sales_data_1[[#This Row],[Quantity_Sold]],2), "PASS", "CHECK")</f>
        <v>PASS</v>
      </c>
    </row>
    <row r="1146" spans="1:20" x14ac:dyDescent="0.35">
      <c r="A1146" s="7">
        <v>1145</v>
      </c>
      <c r="B1146" s="9">
        <v>1041</v>
      </c>
      <c r="C1146" s="14" t="str">
        <f>IFERROR(_xlfn.TEXTJOIN("-", TRUE, _xlfn.XLOOKUP(K1146, product_category_id_lookup!$A$2:$A$5, product_category_id_lookup!$B$2:$B$5), B1146), "Unknown Category")</f>
        <v>fd-1041</v>
      </c>
      <c r="D1146" s="8">
        <v>44934</v>
      </c>
      <c r="E1146" s="14">
        <f t="shared" si="51"/>
        <v>2023</v>
      </c>
      <c r="F1146" s="29" t="str">
        <f t="shared" si="52"/>
        <v>Jan</v>
      </c>
      <c r="G1146" s="17" t="s">
        <v>22</v>
      </c>
      <c r="H1146" s="17" t="s">
        <v>30</v>
      </c>
      <c r="I1146" s="24">
        <v>37491.926399999997</v>
      </c>
      <c r="J1146" s="32">
        <v>36</v>
      </c>
      <c r="K1146" s="17" t="s">
        <v>24</v>
      </c>
      <c r="L1146" s="24">
        <v>864.77</v>
      </c>
      <c r="M1146" s="24">
        <v>1170.1599999999999</v>
      </c>
      <c r="N1146" s="34">
        <f>((sales_data_1[[#This Row],[Unit_Price]]*(1-sales_data_1[[#This Row],[Discount]]))-sales_data_1[[#This Row],[Unit_Cost]])*sales_data_1[[#This Row],[Quantity_Sold]]</f>
        <v>6360.2063999999973</v>
      </c>
      <c r="O1146" s="17" t="s">
        <v>17</v>
      </c>
      <c r="P1146" s="26">
        <v>0.11</v>
      </c>
      <c r="Q1146" s="17" t="s">
        <v>18</v>
      </c>
      <c r="R1146" s="17" t="s">
        <v>21</v>
      </c>
      <c r="S1146" s="50" t="str">
        <f t="shared" si="53"/>
        <v>David-East</v>
      </c>
      <c r="T1146" s="59" t="str">
        <f>IF(ROUND(sales_data_1[[#This Row],[Profit_Margin]],2)=ROUND((sales_data_1[[#This Row],[Unit_Price]]*(1-sales_data_1[[#This Row],[Discount]]) - sales_data_1[[#This Row],[Unit_Cost]])*sales_data_1[[#This Row],[Quantity_Sold]],2), "PASS", "CHECK")</f>
        <v>PASS</v>
      </c>
    </row>
    <row r="1147" spans="1:20" x14ac:dyDescent="0.35">
      <c r="A1147" s="7">
        <v>1146</v>
      </c>
      <c r="B1147" s="9">
        <v>1057</v>
      </c>
      <c r="C1147" s="14" t="str">
        <f>IFERROR(_xlfn.TEXTJOIN("-", TRUE, _xlfn.XLOOKUP(K1147, product_category_id_lookup!$A$2:$A$5, product_category_id_lookup!$B$2:$B$5), B1147), "Unknown Category")</f>
        <v>fnt-1057</v>
      </c>
      <c r="D1147" s="8">
        <v>44935</v>
      </c>
      <c r="E1147" s="14">
        <f t="shared" si="51"/>
        <v>2023</v>
      </c>
      <c r="F1147" s="29" t="str">
        <f t="shared" si="52"/>
        <v>Jan</v>
      </c>
      <c r="G1147" s="17" t="s">
        <v>29</v>
      </c>
      <c r="H1147" s="17" t="s">
        <v>15</v>
      </c>
      <c r="I1147" s="24">
        <v>8597.1455999999998</v>
      </c>
      <c r="J1147" s="32">
        <v>12</v>
      </c>
      <c r="K1147" s="17" t="s">
        <v>16</v>
      </c>
      <c r="L1147" s="24">
        <v>639.16</v>
      </c>
      <c r="M1147" s="24">
        <v>746.28</v>
      </c>
      <c r="N1147" s="34">
        <f>((sales_data_1[[#This Row],[Unit_Price]]*(1-sales_data_1[[#This Row],[Discount]]))-sales_data_1[[#This Row],[Unit_Cost]])*sales_data_1[[#This Row],[Quantity_Sold]]</f>
        <v>927.2255999999993</v>
      </c>
      <c r="O1147" s="17" t="s">
        <v>17</v>
      </c>
      <c r="P1147" s="26">
        <v>0.04</v>
      </c>
      <c r="Q1147" s="17" t="s">
        <v>25</v>
      </c>
      <c r="R1147" s="17" t="s">
        <v>21</v>
      </c>
      <c r="S1147" s="50" t="str">
        <f t="shared" si="53"/>
        <v>Charlie-North</v>
      </c>
      <c r="T1147" s="59" t="str">
        <f>IF(ROUND(sales_data_1[[#This Row],[Profit_Margin]],2)=ROUND((sales_data_1[[#This Row],[Unit_Price]]*(1-sales_data_1[[#This Row],[Discount]]) - sales_data_1[[#This Row],[Unit_Cost]])*sales_data_1[[#This Row],[Quantity_Sold]],2), "PASS", "CHECK")</f>
        <v>PASS</v>
      </c>
    </row>
    <row r="1148" spans="1:20" x14ac:dyDescent="0.35">
      <c r="A1148" s="7">
        <v>1147</v>
      </c>
      <c r="B1148" s="9">
        <v>1051</v>
      </c>
      <c r="C1148" s="14" t="str">
        <f>IFERROR(_xlfn.TEXTJOIN("-", TRUE, _xlfn.XLOOKUP(K1148, product_category_id_lookup!$A$2:$A$5, product_category_id_lookup!$B$2:$B$5), B1148), "Unknown Category")</f>
        <v>fnt-1051</v>
      </c>
      <c r="D1148" s="8">
        <v>44935</v>
      </c>
      <c r="E1148" s="14">
        <f t="shared" si="51"/>
        <v>2023</v>
      </c>
      <c r="F1148" s="29" t="str">
        <f t="shared" si="52"/>
        <v>Jan</v>
      </c>
      <c r="G1148" s="17" t="s">
        <v>22</v>
      </c>
      <c r="H1148" s="17" t="s">
        <v>23</v>
      </c>
      <c r="I1148" s="24">
        <v>67857.228213885712</v>
      </c>
      <c r="J1148" s="32">
        <v>23</v>
      </c>
      <c r="K1148" s="17" t="s">
        <v>16</v>
      </c>
      <c r="L1148" s="24">
        <v>2598.1799999999998</v>
      </c>
      <c r="M1148" s="24">
        <v>3042.73</v>
      </c>
      <c r="N1148" s="34">
        <f>((sales_data_1[[#This Row],[Unit_Price]]*(1-sales_data_1[[#This Row],[Discount]]))-sales_data_1[[#This Row],[Unit_Cost]])*sales_data_1[[#This Row],[Quantity_Sold]]</f>
        <v>8125.1663000000053</v>
      </c>
      <c r="O1148" s="17" t="s">
        <v>17</v>
      </c>
      <c r="P1148" s="26">
        <v>0.03</v>
      </c>
      <c r="Q1148" s="17" t="s">
        <v>28</v>
      </c>
      <c r="R1148" s="17" t="s">
        <v>19</v>
      </c>
      <c r="S1148" s="50" t="str">
        <f t="shared" si="53"/>
        <v>David-South</v>
      </c>
      <c r="T1148" s="59" t="str">
        <f>IF(ROUND(sales_data_1[[#This Row],[Profit_Margin]],2)=ROUND((sales_data_1[[#This Row],[Unit_Price]]*(1-sales_data_1[[#This Row],[Discount]]) - sales_data_1[[#This Row],[Unit_Cost]])*sales_data_1[[#This Row],[Quantity_Sold]],2), "PASS", "CHECK")</f>
        <v>PASS</v>
      </c>
    </row>
    <row r="1149" spans="1:20" x14ac:dyDescent="0.35">
      <c r="A1149" s="7">
        <v>1148</v>
      </c>
      <c r="B1149" s="9">
        <v>1037</v>
      </c>
      <c r="C1149" s="14" t="str">
        <f>IFERROR(_xlfn.TEXTJOIN("-", TRUE, _xlfn.XLOOKUP(K1149, product_category_id_lookup!$A$2:$A$5, product_category_id_lookup!$B$2:$B$5), B1149), "Unknown Category")</f>
        <v>ctg-1037</v>
      </c>
      <c r="D1149" s="8">
        <v>44935</v>
      </c>
      <c r="E1149" s="14">
        <f t="shared" si="51"/>
        <v>2023</v>
      </c>
      <c r="F1149" s="29" t="str">
        <f t="shared" si="52"/>
        <v>Jan</v>
      </c>
      <c r="G1149" s="17" t="s">
        <v>29</v>
      </c>
      <c r="H1149" s="17" t="s">
        <v>15</v>
      </c>
      <c r="I1149" s="24">
        <v>212818.64669999998</v>
      </c>
      <c r="J1149" s="32">
        <v>41</v>
      </c>
      <c r="K1149" s="17" t="s">
        <v>26</v>
      </c>
      <c r="L1149" s="24">
        <v>4965.07</v>
      </c>
      <c r="M1149" s="24">
        <v>5243.13</v>
      </c>
      <c r="N1149" s="34">
        <f>((sales_data_1[[#This Row],[Unit_Price]]*(1-sales_data_1[[#This Row],[Discount]]))-sales_data_1[[#This Row],[Unit_Cost]])*sales_data_1[[#This Row],[Quantity_Sold]]</f>
        <v>9250.7767000000094</v>
      </c>
      <c r="O1149" s="17" t="s">
        <v>27</v>
      </c>
      <c r="P1149" s="26">
        <v>0.01</v>
      </c>
      <c r="Q1149" s="17" t="s">
        <v>28</v>
      </c>
      <c r="R1149" s="17" t="s">
        <v>19</v>
      </c>
      <c r="S1149" s="50" t="str">
        <f t="shared" si="53"/>
        <v>Charlie-North</v>
      </c>
      <c r="T1149" s="59" t="str">
        <f>IF(ROUND(sales_data_1[[#This Row],[Profit_Margin]],2)=ROUND((sales_data_1[[#This Row],[Unit_Price]]*(1-sales_data_1[[#This Row],[Discount]]) - sales_data_1[[#This Row],[Unit_Cost]])*sales_data_1[[#This Row],[Quantity_Sold]],2), "PASS", "CHECK")</f>
        <v>PASS</v>
      </c>
    </row>
    <row r="1150" spans="1:20" x14ac:dyDescent="0.35">
      <c r="A1150" s="7">
        <v>1149</v>
      </c>
      <c r="B1150" s="9">
        <v>1066</v>
      </c>
      <c r="C1150" s="14" t="str">
        <f>IFERROR(_xlfn.TEXTJOIN("-", TRUE, _xlfn.XLOOKUP(K1150, product_category_id_lookup!$A$2:$A$5, product_category_id_lookup!$B$2:$B$5), B1150), "Unknown Category")</f>
        <v>ctg-1066</v>
      </c>
      <c r="D1150" s="8">
        <v>44935</v>
      </c>
      <c r="E1150" s="14">
        <f t="shared" si="51"/>
        <v>2023</v>
      </c>
      <c r="F1150" s="29" t="str">
        <f t="shared" si="52"/>
        <v>Jan</v>
      </c>
      <c r="G1150" s="17" t="s">
        <v>33</v>
      </c>
      <c r="H1150" s="17" t="s">
        <v>15</v>
      </c>
      <c r="I1150" s="24">
        <v>137861.26608268413</v>
      </c>
      <c r="J1150" s="32">
        <v>48</v>
      </c>
      <c r="K1150" s="17" t="s">
        <v>26</v>
      </c>
      <c r="L1150" s="24">
        <v>2588.54</v>
      </c>
      <c r="M1150" s="24">
        <v>2872.8</v>
      </c>
      <c r="N1150" s="34">
        <f>((sales_data_1[[#This Row],[Unit_Price]]*(1-sales_data_1[[#This Row],[Discount]]))-sales_data_1[[#This Row],[Unit_Cost]])*sales_data_1[[#This Row],[Quantity_Sold]]</f>
        <v>13644.48000000001</v>
      </c>
      <c r="O1150" s="17" t="s">
        <v>27</v>
      </c>
      <c r="P1150" s="26">
        <v>0</v>
      </c>
      <c r="Q1150" s="17" t="s">
        <v>18</v>
      </c>
      <c r="R1150" s="17" t="s">
        <v>19</v>
      </c>
      <c r="S1150" s="50" t="str">
        <f t="shared" si="53"/>
        <v>Alice-North</v>
      </c>
      <c r="T1150" s="59" t="str">
        <f>IF(ROUND(sales_data_1[[#This Row],[Profit_Margin]],2)=ROUND((sales_data_1[[#This Row],[Unit_Price]]*(1-sales_data_1[[#This Row],[Discount]]) - sales_data_1[[#This Row],[Unit_Cost]])*sales_data_1[[#This Row],[Quantity_Sold]],2), "PASS", "CHECK")</f>
        <v>PASS</v>
      </c>
    </row>
    <row r="1151" spans="1:20" x14ac:dyDescent="0.35">
      <c r="A1151" s="7">
        <v>1150</v>
      </c>
      <c r="B1151" s="9">
        <v>1067</v>
      </c>
      <c r="C1151" s="14" t="str">
        <f>IFERROR(_xlfn.TEXTJOIN("-", TRUE, _xlfn.XLOOKUP(K1151, product_category_id_lookup!$A$2:$A$5, product_category_id_lookup!$B$2:$B$5), B1151), "Unknown Category")</f>
        <v>etc-1067</v>
      </c>
      <c r="D1151" s="8">
        <v>44935</v>
      </c>
      <c r="E1151" s="14">
        <f t="shared" si="51"/>
        <v>2023</v>
      </c>
      <c r="F1151" s="29" t="str">
        <f t="shared" si="52"/>
        <v>Jan</v>
      </c>
      <c r="G1151" s="17" t="s">
        <v>29</v>
      </c>
      <c r="H1151" s="17" t="s">
        <v>15</v>
      </c>
      <c r="I1151" s="24">
        <v>24587.366399999995</v>
      </c>
      <c r="J1151" s="32">
        <v>48</v>
      </c>
      <c r="K1151" s="17" t="s">
        <v>31</v>
      </c>
      <c r="L1151" s="24">
        <v>210.63</v>
      </c>
      <c r="M1151" s="24">
        <v>533.57999999999993</v>
      </c>
      <c r="N1151" s="34">
        <f>((sales_data_1[[#This Row],[Unit_Price]]*(1-sales_data_1[[#This Row],[Discount]]))-sales_data_1[[#This Row],[Unit_Cost]])*sales_data_1[[#This Row],[Quantity_Sold]]</f>
        <v>14477.126399999996</v>
      </c>
      <c r="O1151" s="17" t="s">
        <v>27</v>
      </c>
      <c r="P1151" s="26">
        <v>0.04</v>
      </c>
      <c r="Q1151" s="17" t="s">
        <v>25</v>
      </c>
      <c r="R1151" s="17" t="s">
        <v>19</v>
      </c>
      <c r="S1151" s="50" t="str">
        <f t="shared" si="53"/>
        <v>Charlie-North</v>
      </c>
      <c r="T1151" s="59" t="str">
        <f>IF(ROUND(sales_data_1[[#This Row],[Profit_Margin]],2)=ROUND((sales_data_1[[#This Row],[Unit_Price]]*(1-sales_data_1[[#This Row],[Discount]]) - sales_data_1[[#This Row],[Unit_Cost]])*sales_data_1[[#This Row],[Quantity_Sold]],2), "PASS", "CHECK")</f>
        <v>PASS</v>
      </c>
    </row>
    <row r="1152" spans="1:20" x14ac:dyDescent="0.35">
      <c r="A1152" s="7">
        <v>1151</v>
      </c>
      <c r="B1152" s="9">
        <v>1094</v>
      </c>
      <c r="C1152" s="14" t="str">
        <f>IFERROR(_xlfn.TEXTJOIN("-", TRUE, _xlfn.XLOOKUP(K1152, product_category_id_lookup!$A$2:$A$5, product_category_id_lookup!$B$2:$B$5), B1152), "Unknown Category")</f>
        <v>etc-1094</v>
      </c>
      <c r="D1152" s="8">
        <v>44936</v>
      </c>
      <c r="E1152" s="14">
        <f t="shared" si="51"/>
        <v>2023</v>
      </c>
      <c r="F1152" s="29" t="str">
        <f t="shared" si="52"/>
        <v>Jan</v>
      </c>
      <c r="G1152" s="17" t="s">
        <v>32</v>
      </c>
      <c r="H1152" s="17" t="s">
        <v>15</v>
      </c>
      <c r="I1152" s="24">
        <v>48969.83826915895</v>
      </c>
      <c r="J1152" s="32">
        <v>25</v>
      </c>
      <c r="K1152" s="17" t="s">
        <v>31</v>
      </c>
      <c r="L1152" s="24">
        <v>1933.39</v>
      </c>
      <c r="M1152" s="24">
        <v>1982.92</v>
      </c>
      <c r="N1152" s="34">
        <f>((sales_data_1[[#This Row],[Unit_Price]]*(1-sales_data_1[[#This Row],[Discount]]))-sales_data_1[[#This Row],[Unit_Cost]])*sales_data_1[[#This Row],[Quantity_Sold]]</f>
        <v>742.51999999999612</v>
      </c>
      <c r="O1152" s="17" t="s">
        <v>27</v>
      </c>
      <c r="P1152" s="26">
        <v>0.01</v>
      </c>
      <c r="Q1152" s="17" t="s">
        <v>25</v>
      </c>
      <c r="R1152" s="17" t="s">
        <v>19</v>
      </c>
      <c r="S1152" s="50" t="str">
        <f t="shared" si="53"/>
        <v>Eve-North</v>
      </c>
      <c r="T1152" s="59" t="str">
        <f>IF(ROUND(sales_data_1[[#This Row],[Profit_Margin]],2)=ROUND((sales_data_1[[#This Row],[Unit_Price]]*(1-sales_data_1[[#This Row],[Discount]]) - sales_data_1[[#This Row],[Unit_Cost]])*sales_data_1[[#This Row],[Quantity_Sold]],2), "PASS", "CHECK")</f>
        <v>PASS</v>
      </c>
    </row>
    <row r="1153" spans="1:20" x14ac:dyDescent="0.35">
      <c r="A1153" s="7">
        <v>1152</v>
      </c>
      <c r="B1153" s="9">
        <v>1054</v>
      </c>
      <c r="C1153" s="14" t="str">
        <f>IFERROR(_xlfn.TEXTJOIN("-", TRUE, _xlfn.XLOOKUP(K1153, product_category_id_lookup!$A$2:$A$5, product_category_id_lookup!$B$2:$B$5), B1153), "Unknown Category")</f>
        <v>fnt-1054</v>
      </c>
      <c r="D1153" s="8">
        <v>44936</v>
      </c>
      <c r="E1153" s="14">
        <f t="shared" si="51"/>
        <v>2023</v>
      </c>
      <c r="F1153" s="29" t="str">
        <f t="shared" si="52"/>
        <v>Jan</v>
      </c>
      <c r="G1153" s="17" t="s">
        <v>32</v>
      </c>
      <c r="H1153" s="17" t="s">
        <v>23</v>
      </c>
      <c r="I1153" s="24">
        <v>107798.976</v>
      </c>
      <c r="J1153" s="32">
        <v>40</v>
      </c>
      <c r="K1153" s="17" t="s">
        <v>16</v>
      </c>
      <c r="L1153" s="24">
        <v>2654.11</v>
      </c>
      <c r="M1153" s="24">
        <v>2929.32</v>
      </c>
      <c r="N1153" s="34">
        <f>((sales_data_1[[#This Row],[Unit_Price]]*(1-sales_data_1[[#This Row],[Discount]]))-sales_data_1[[#This Row],[Unit_Cost]])*sales_data_1[[#This Row],[Quantity_Sold]]</f>
        <v>1634.5759999999973</v>
      </c>
      <c r="O1153" s="17" t="s">
        <v>17</v>
      </c>
      <c r="P1153" s="26">
        <v>0.08</v>
      </c>
      <c r="Q1153" s="17" t="s">
        <v>18</v>
      </c>
      <c r="R1153" s="17" t="s">
        <v>19</v>
      </c>
      <c r="S1153" s="50" t="str">
        <f t="shared" si="53"/>
        <v>Eve-South</v>
      </c>
      <c r="T1153" s="59" t="str">
        <f>IF(ROUND(sales_data_1[[#This Row],[Profit_Margin]],2)=ROUND((sales_data_1[[#This Row],[Unit_Price]]*(1-sales_data_1[[#This Row],[Discount]]) - sales_data_1[[#This Row],[Unit_Cost]])*sales_data_1[[#This Row],[Quantity_Sold]],2), "PASS", "CHECK")</f>
        <v>PASS</v>
      </c>
    </row>
    <row r="1154" spans="1:20" x14ac:dyDescent="0.35">
      <c r="A1154" s="7">
        <v>1153</v>
      </c>
      <c r="B1154" s="9">
        <v>1088</v>
      </c>
      <c r="C1154" s="14" t="str">
        <f>IFERROR(_xlfn.TEXTJOIN("-", TRUE, _xlfn.XLOOKUP(K1154, product_category_id_lookup!$A$2:$A$5, product_category_id_lookup!$B$2:$B$5), B1154), "Unknown Category")</f>
        <v>fd-1088</v>
      </c>
      <c r="D1154" s="8">
        <v>44937</v>
      </c>
      <c r="E1154" s="14">
        <f t="shared" ref="E1154:E1217" si="54">YEAR(D1154)</f>
        <v>2023</v>
      </c>
      <c r="F1154" s="29" t="str">
        <f t="shared" ref="F1154:F1217" si="55">LEFT(TEXT(D1154,"mmmm"),3)</f>
        <v>Jan</v>
      </c>
      <c r="G1154" s="17" t="s">
        <v>33</v>
      </c>
      <c r="H1154" s="17" t="s">
        <v>23</v>
      </c>
      <c r="I1154" s="24">
        <v>42887.057663653017</v>
      </c>
      <c r="J1154" s="32">
        <v>11</v>
      </c>
      <c r="K1154" s="17" t="s">
        <v>24</v>
      </c>
      <c r="L1154" s="24">
        <v>3884.13</v>
      </c>
      <c r="M1154" s="24">
        <v>3915.4100000000003</v>
      </c>
      <c r="N1154" s="34">
        <f>((sales_data_1[[#This Row],[Unit_Price]]*(1-sales_data_1[[#This Row],[Discount]]))-sales_data_1[[#This Row],[Unit_Cost]])*sales_data_1[[#This Row],[Quantity_Sold]]</f>
        <v>344.0800000000022</v>
      </c>
      <c r="O1154" s="17" t="s">
        <v>17</v>
      </c>
      <c r="P1154" s="26">
        <v>0</v>
      </c>
      <c r="Q1154" s="17" t="s">
        <v>18</v>
      </c>
      <c r="R1154" s="17" t="s">
        <v>19</v>
      </c>
      <c r="S1154" s="50" t="str">
        <f t="shared" ref="S1154:S1217" si="56">_xlfn.CONCAT(G1154,"-",H1154)</f>
        <v>Alice-South</v>
      </c>
      <c r="T1154" s="59" t="str">
        <f>IF(ROUND(sales_data_1[[#This Row],[Profit_Margin]],2)=ROUND((sales_data_1[[#This Row],[Unit_Price]]*(1-sales_data_1[[#This Row],[Discount]]) - sales_data_1[[#This Row],[Unit_Cost]])*sales_data_1[[#This Row],[Quantity_Sold]],2), "PASS", "CHECK")</f>
        <v>PASS</v>
      </c>
    </row>
    <row r="1155" spans="1:20" x14ac:dyDescent="0.35">
      <c r="A1155" s="7">
        <v>1154</v>
      </c>
      <c r="B1155" s="9">
        <v>1044</v>
      </c>
      <c r="C1155" s="14" t="str">
        <f>IFERROR(_xlfn.TEXTJOIN("-", TRUE, _xlfn.XLOOKUP(K1155, product_category_id_lookup!$A$2:$A$5, product_category_id_lookup!$B$2:$B$5), B1155), "Unknown Category")</f>
        <v>fd-1044</v>
      </c>
      <c r="D1155" s="8">
        <v>44937</v>
      </c>
      <c r="E1155" s="14">
        <f t="shared" si="54"/>
        <v>2023</v>
      </c>
      <c r="F1155" s="29" t="str">
        <f t="shared" si="55"/>
        <v>Jan</v>
      </c>
      <c r="G1155" s="17" t="s">
        <v>32</v>
      </c>
      <c r="H1155" s="17" t="s">
        <v>15</v>
      </c>
      <c r="I1155" s="24">
        <v>24127.682289118875</v>
      </c>
      <c r="J1155" s="32">
        <v>5</v>
      </c>
      <c r="K1155" s="17" t="s">
        <v>24</v>
      </c>
      <c r="L1155" s="24">
        <v>4762.87</v>
      </c>
      <c r="M1155" s="24">
        <v>5050.46</v>
      </c>
      <c r="N1155" s="34">
        <f>((sales_data_1[[#This Row],[Unit_Price]]*(1-sales_data_1[[#This Row],[Discount]]))-sales_data_1[[#This Row],[Unit_Cost]])*sales_data_1[[#This Row],[Quantity_Sold]]</f>
        <v>427.85800000000108</v>
      </c>
      <c r="O1155" s="17" t="s">
        <v>27</v>
      </c>
      <c r="P1155" s="26">
        <v>0.04</v>
      </c>
      <c r="Q1155" s="17" t="s">
        <v>18</v>
      </c>
      <c r="R1155" s="17" t="s">
        <v>21</v>
      </c>
      <c r="S1155" s="50" t="str">
        <f t="shared" si="56"/>
        <v>Eve-North</v>
      </c>
      <c r="T1155" s="59" t="str">
        <f>IF(ROUND(sales_data_1[[#This Row],[Profit_Margin]],2)=ROUND((sales_data_1[[#This Row],[Unit_Price]]*(1-sales_data_1[[#This Row],[Discount]]) - sales_data_1[[#This Row],[Unit_Cost]])*sales_data_1[[#This Row],[Quantity_Sold]],2), "PASS", "CHECK")</f>
        <v>PASS</v>
      </c>
    </row>
    <row r="1156" spans="1:20" x14ac:dyDescent="0.35">
      <c r="A1156" s="7">
        <v>1155</v>
      </c>
      <c r="B1156" s="9">
        <v>1084</v>
      </c>
      <c r="C1156" s="14" t="str">
        <f>IFERROR(_xlfn.TEXTJOIN("-", TRUE, _xlfn.XLOOKUP(K1156, product_category_id_lookup!$A$2:$A$5, product_category_id_lookup!$B$2:$B$5), B1156), "Unknown Category")</f>
        <v>ctg-1084</v>
      </c>
      <c r="D1156" s="8">
        <v>44937</v>
      </c>
      <c r="E1156" s="14">
        <f t="shared" si="54"/>
        <v>2023</v>
      </c>
      <c r="F1156" s="29" t="str">
        <f t="shared" si="55"/>
        <v>Jan</v>
      </c>
      <c r="G1156" s="17" t="s">
        <v>14</v>
      </c>
      <c r="H1156" s="17" t="s">
        <v>30</v>
      </c>
      <c r="I1156" s="24">
        <v>13231.186785025866</v>
      </c>
      <c r="J1156" s="32">
        <v>21</v>
      </c>
      <c r="K1156" s="17" t="s">
        <v>26</v>
      </c>
      <c r="L1156" s="24">
        <v>576.74</v>
      </c>
      <c r="M1156" s="24">
        <v>648.29</v>
      </c>
      <c r="N1156" s="34">
        <f>((sales_data_1[[#This Row],[Unit_Price]]*(1-sales_data_1[[#This Row],[Discount]]))-sales_data_1[[#This Row],[Unit_Cost]])*sales_data_1[[#This Row],[Quantity_Sold]]</f>
        <v>1094.1272999999983</v>
      </c>
      <c r="O1156" s="17" t="s">
        <v>17</v>
      </c>
      <c r="P1156" s="26">
        <v>0.03</v>
      </c>
      <c r="Q1156" s="17" t="s">
        <v>25</v>
      </c>
      <c r="R1156" s="17" t="s">
        <v>19</v>
      </c>
      <c r="S1156" s="50" t="str">
        <f t="shared" si="56"/>
        <v>Bob-East</v>
      </c>
      <c r="T1156" s="59" t="str">
        <f>IF(ROUND(sales_data_1[[#This Row],[Profit_Margin]],2)=ROUND((sales_data_1[[#This Row],[Unit_Price]]*(1-sales_data_1[[#This Row],[Discount]]) - sales_data_1[[#This Row],[Unit_Cost]])*sales_data_1[[#This Row],[Quantity_Sold]],2), "PASS", "CHECK")</f>
        <v>PASS</v>
      </c>
    </row>
    <row r="1157" spans="1:20" x14ac:dyDescent="0.35">
      <c r="A1157" s="7">
        <v>1156</v>
      </c>
      <c r="B1157" s="9">
        <v>1060</v>
      </c>
      <c r="C1157" s="14" t="str">
        <f>IFERROR(_xlfn.TEXTJOIN("-", TRUE, _xlfn.XLOOKUP(K1157, product_category_id_lookup!$A$2:$A$5, product_category_id_lookup!$B$2:$B$5), B1157), "Unknown Category")</f>
        <v>etc-1060</v>
      </c>
      <c r="D1157" s="8">
        <v>44937</v>
      </c>
      <c r="E1157" s="14">
        <f t="shared" si="54"/>
        <v>2023</v>
      </c>
      <c r="F1157" s="29" t="str">
        <f t="shared" si="55"/>
        <v>Jan</v>
      </c>
      <c r="G1157" s="17" t="s">
        <v>29</v>
      </c>
      <c r="H1157" s="17" t="s">
        <v>20</v>
      </c>
      <c r="I1157" s="24">
        <v>172625.74456565798</v>
      </c>
      <c r="J1157" s="32">
        <v>34</v>
      </c>
      <c r="K1157" s="17" t="s">
        <v>31</v>
      </c>
      <c r="L1157" s="24">
        <v>4984.21</v>
      </c>
      <c r="M1157" s="24">
        <v>5184.6400000000003</v>
      </c>
      <c r="N1157" s="34">
        <f>((sales_data_1[[#This Row],[Unit_Price]]*(1-sales_data_1[[#This Row],[Discount]]))-sales_data_1[[#This Row],[Unit_Cost]])*sales_data_1[[#This Row],[Quantity_Sold]]</f>
        <v>3289.0648000000165</v>
      </c>
      <c r="O1157" s="17" t="s">
        <v>27</v>
      </c>
      <c r="P1157" s="26">
        <v>0.02</v>
      </c>
      <c r="Q1157" s="17" t="s">
        <v>18</v>
      </c>
      <c r="R1157" s="17" t="s">
        <v>19</v>
      </c>
      <c r="S1157" s="50" t="str">
        <f t="shared" si="56"/>
        <v>Charlie-West</v>
      </c>
      <c r="T1157" s="59" t="str">
        <f>IF(ROUND(sales_data_1[[#This Row],[Profit_Margin]],2)=ROUND((sales_data_1[[#This Row],[Unit_Price]]*(1-sales_data_1[[#This Row],[Discount]]) - sales_data_1[[#This Row],[Unit_Cost]])*sales_data_1[[#This Row],[Quantity_Sold]],2), "PASS", "CHECK")</f>
        <v>PASS</v>
      </c>
    </row>
    <row r="1158" spans="1:20" x14ac:dyDescent="0.35">
      <c r="A1158" s="7">
        <v>1157</v>
      </c>
      <c r="B1158" s="9">
        <v>1077</v>
      </c>
      <c r="C1158" s="14" t="str">
        <f>IFERROR(_xlfn.TEXTJOIN("-", TRUE, _xlfn.XLOOKUP(K1158, product_category_id_lookup!$A$2:$A$5, product_category_id_lookup!$B$2:$B$5), B1158), "Unknown Category")</f>
        <v>etc-1077</v>
      </c>
      <c r="D1158" s="8">
        <v>44937</v>
      </c>
      <c r="E1158" s="14">
        <f t="shared" si="54"/>
        <v>2023</v>
      </c>
      <c r="F1158" s="29" t="str">
        <f t="shared" si="55"/>
        <v>Jan</v>
      </c>
      <c r="G1158" s="17" t="s">
        <v>32</v>
      </c>
      <c r="H1158" s="17" t="s">
        <v>15</v>
      </c>
      <c r="I1158" s="24">
        <v>28872.077500000003</v>
      </c>
      <c r="J1158" s="32">
        <v>35</v>
      </c>
      <c r="K1158" s="17" t="s">
        <v>31</v>
      </c>
      <c r="L1158" s="24">
        <v>585.37</v>
      </c>
      <c r="M1158" s="24">
        <v>970.49</v>
      </c>
      <c r="N1158" s="34">
        <f>((sales_data_1[[#This Row],[Unit_Price]]*(1-sales_data_1[[#This Row],[Discount]]))-sales_data_1[[#This Row],[Unit_Cost]])*sales_data_1[[#This Row],[Quantity_Sold]]</f>
        <v>8384.1275000000005</v>
      </c>
      <c r="O1158" s="17" t="s">
        <v>17</v>
      </c>
      <c r="P1158" s="26">
        <v>0.15</v>
      </c>
      <c r="Q1158" s="17" t="s">
        <v>25</v>
      </c>
      <c r="R1158" s="17" t="s">
        <v>21</v>
      </c>
      <c r="S1158" s="50" t="str">
        <f t="shared" si="56"/>
        <v>Eve-North</v>
      </c>
      <c r="T1158" s="59" t="str">
        <f>IF(ROUND(sales_data_1[[#This Row],[Profit_Margin]],2)=ROUND((sales_data_1[[#This Row],[Unit_Price]]*(1-sales_data_1[[#This Row],[Discount]]) - sales_data_1[[#This Row],[Unit_Cost]])*sales_data_1[[#This Row],[Quantity_Sold]],2), "PASS", "CHECK")</f>
        <v>PASS</v>
      </c>
    </row>
    <row r="1159" spans="1:20" x14ac:dyDescent="0.35">
      <c r="A1159" s="7">
        <v>1158</v>
      </c>
      <c r="B1159" s="9">
        <v>1022</v>
      </c>
      <c r="C1159" s="14" t="str">
        <f>IFERROR(_xlfn.TEXTJOIN("-", TRUE, _xlfn.XLOOKUP(K1159, product_category_id_lookup!$A$2:$A$5, product_category_id_lookup!$B$2:$B$5), B1159), "Unknown Category")</f>
        <v>fd-1022</v>
      </c>
      <c r="D1159" s="8">
        <v>44938</v>
      </c>
      <c r="E1159" s="14">
        <f t="shared" si="54"/>
        <v>2023</v>
      </c>
      <c r="F1159" s="29" t="str">
        <f t="shared" si="55"/>
        <v>Jan</v>
      </c>
      <c r="G1159" s="17" t="s">
        <v>32</v>
      </c>
      <c r="H1159" s="17" t="s">
        <v>30</v>
      </c>
      <c r="I1159" s="24">
        <v>30606.211999999996</v>
      </c>
      <c r="J1159" s="32">
        <v>13</v>
      </c>
      <c r="K1159" s="17" t="s">
        <v>24</v>
      </c>
      <c r="L1159" s="24">
        <v>2312.4499999999998</v>
      </c>
      <c r="M1159" s="24">
        <v>2504.6</v>
      </c>
      <c r="N1159" s="34">
        <f>((sales_data_1[[#This Row],[Unit_Price]]*(1-sales_data_1[[#This Row],[Discount]]))-sales_data_1[[#This Row],[Unit_Cost]])*sales_data_1[[#This Row],[Quantity_Sold]]</f>
        <v>544.36199999999735</v>
      </c>
      <c r="O1159" s="17" t="s">
        <v>17</v>
      </c>
      <c r="P1159" s="26">
        <v>0.06</v>
      </c>
      <c r="Q1159" s="17" t="s">
        <v>25</v>
      </c>
      <c r="R1159" s="17" t="s">
        <v>19</v>
      </c>
      <c r="S1159" s="50" t="str">
        <f t="shared" si="56"/>
        <v>Eve-East</v>
      </c>
      <c r="T1159" s="59" t="str">
        <f>IF(ROUND(sales_data_1[[#This Row],[Profit_Margin]],2)=ROUND((sales_data_1[[#This Row],[Unit_Price]]*(1-sales_data_1[[#This Row],[Discount]]) - sales_data_1[[#This Row],[Unit_Cost]])*sales_data_1[[#This Row],[Quantity_Sold]],2), "PASS", "CHECK")</f>
        <v>PASS</v>
      </c>
    </row>
    <row r="1160" spans="1:20" x14ac:dyDescent="0.35">
      <c r="A1160" s="7">
        <v>1159</v>
      </c>
      <c r="B1160" s="9">
        <v>1013</v>
      </c>
      <c r="C1160" s="14" t="str">
        <f>IFERROR(_xlfn.TEXTJOIN("-", TRUE, _xlfn.XLOOKUP(K1160, product_category_id_lookup!$A$2:$A$5, product_category_id_lookup!$B$2:$B$5), B1160), "Unknown Category")</f>
        <v>etc-1013</v>
      </c>
      <c r="D1160" s="8">
        <v>44938</v>
      </c>
      <c r="E1160" s="14">
        <f t="shared" si="54"/>
        <v>2023</v>
      </c>
      <c r="F1160" s="29" t="str">
        <f t="shared" si="55"/>
        <v>Jan</v>
      </c>
      <c r="G1160" s="17" t="s">
        <v>33</v>
      </c>
      <c r="H1160" s="17" t="s">
        <v>20</v>
      </c>
      <c r="I1160" s="24">
        <v>46996.692934397841</v>
      </c>
      <c r="J1160" s="32">
        <v>35</v>
      </c>
      <c r="K1160" s="17" t="s">
        <v>31</v>
      </c>
      <c r="L1160" s="24">
        <v>1312.71</v>
      </c>
      <c r="M1160" s="24">
        <v>1352.1100000000001</v>
      </c>
      <c r="N1160" s="34">
        <f>((sales_data_1[[#This Row],[Unit_Price]]*(1-sales_data_1[[#This Row],[Discount]]))-sales_data_1[[#This Row],[Unit_Cost]])*sales_data_1[[#This Row],[Quantity_Sold]]</f>
        <v>905.76150000000553</v>
      </c>
      <c r="O1160" s="17" t="s">
        <v>17</v>
      </c>
      <c r="P1160" s="26">
        <v>0.01</v>
      </c>
      <c r="Q1160" s="17" t="s">
        <v>25</v>
      </c>
      <c r="R1160" s="17" t="s">
        <v>21</v>
      </c>
      <c r="S1160" s="50" t="str">
        <f t="shared" si="56"/>
        <v>Alice-West</v>
      </c>
      <c r="T1160" s="59" t="str">
        <f>IF(ROUND(sales_data_1[[#This Row],[Profit_Margin]],2)=ROUND((sales_data_1[[#This Row],[Unit_Price]]*(1-sales_data_1[[#This Row],[Discount]]) - sales_data_1[[#This Row],[Unit_Cost]])*sales_data_1[[#This Row],[Quantity_Sold]],2), "PASS", "CHECK")</f>
        <v>PASS</v>
      </c>
    </row>
    <row r="1161" spans="1:20" x14ac:dyDescent="0.35">
      <c r="A1161" s="7">
        <v>1160</v>
      </c>
      <c r="B1161" s="9">
        <v>1087</v>
      </c>
      <c r="C1161" s="14" t="str">
        <f>IFERROR(_xlfn.TEXTJOIN("-", TRUE, _xlfn.XLOOKUP(K1161, product_category_id_lookup!$A$2:$A$5, product_category_id_lookup!$B$2:$B$5), B1161), "Unknown Category")</f>
        <v>fd-1087</v>
      </c>
      <c r="D1161" s="8">
        <v>44938</v>
      </c>
      <c r="E1161" s="14">
        <f t="shared" si="54"/>
        <v>2023</v>
      </c>
      <c r="F1161" s="29" t="str">
        <f t="shared" si="55"/>
        <v>Jan</v>
      </c>
      <c r="G1161" s="17" t="s">
        <v>29</v>
      </c>
      <c r="H1161" s="17" t="s">
        <v>15</v>
      </c>
      <c r="I1161" s="24">
        <v>81249.819000000003</v>
      </c>
      <c r="J1161" s="32">
        <v>21</v>
      </c>
      <c r="K1161" s="17" t="s">
        <v>24</v>
      </c>
      <c r="L1161" s="24">
        <v>3724.38</v>
      </c>
      <c r="M1161" s="24">
        <v>3988.7000000000003</v>
      </c>
      <c r="N1161" s="34">
        <f>((sales_data_1[[#This Row],[Unit_Price]]*(1-sales_data_1[[#This Row],[Discount]]))-sales_data_1[[#This Row],[Unit_Cost]])*sales_data_1[[#This Row],[Quantity_Sold]]</f>
        <v>3037.8390000000022</v>
      </c>
      <c r="O1161" s="17" t="s">
        <v>27</v>
      </c>
      <c r="P1161" s="26">
        <v>0.03</v>
      </c>
      <c r="Q1161" s="17" t="s">
        <v>25</v>
      </c>
      <c r="R1161" s="17" t="s">
        <v>21</v>
      </c>
      <c r="S1161" s="50" t="str">
        <f t="shared" si="56"/>
        <v>Charlie-North</v>
      </c>
      <c r="T1161" s="59" t="str">
        <f>IF(ROUND(sales_data_1[[#This Row],[Profit_Margin]],2)=ROUND((sales_data_1[[#This Row],[Unit_Price]]*(1-sales_data_1[[#This Row],[Discount]]) - sales_data_1[[#This Row],[Unit_Cost]])*sales_data_1[[#This Row],[Quantity_Sold]],2), "PASS", "CHECK")</f>
        <v>PASS</v>
      </c>
    </row>
    <row r="1162" spans="1:20" x14ac:dyDescent="0.35">
      <c r="A1162" s="7">
        <v>1161</v>
      </c>
      <c r="B1162" s="9">
        <v>1048</v>
      </c>
      <c r="C1162" s="14" t="str">
        <f>IFERROR(_xlfn.TEXTJOIN("-", TRUE, _xlfn.XLOOKUP(K1162, product_category_id_lookup!$A$2:$A$5, product_category_id_lookup!$B$2:$B$5), B1162), "Unknown Category")</f>
        <v>ctg-1048</v>
      </c>
      <c r="D1162" s="8">
        <v>44938</v>
      </c>
      <c r="E1162" s="14">
        <f t="shared" si="54"/>
        <v>2023</v>
      </c>
      <c r="F1162" s="29" t="str">
        <f t="shared" si="55"/>
        <v>Jan</v>
      </c>
      <c r="G1162" s="17" t="s">
        <v>29</v>
      </c>
      <c r="H1162" s="17" t="s">
        <v>30</v>
      </c>
      <c r="I1162" s="24">
        <v>38136.815200000005</v>
      </c>
      <c r="J1162" s="32">
        <v>47</v>
      </c>
      <c r="K1162" s="17" t="s">
        <v>26</v>
      </c>
      <c r="L1162" s="24">
        <v>702.44</v>
      </c>
      <c r="M1162" s="24">
        <v>1067.6600000000001</v>
      </c>
      <c r="N1162" s="34">
        <f>((sales_data_1[[#This Row],[Unit_Price]]*(1-sales_data_1[[#This Row],[Discount]]))-sales_data_1[[#This Row],[Unit_Cost]])*sales_data_1[[#This Row],[Quantity_Sold]]</f>
        <v>5122.1352000000034</v>
      </c>
      <c r="O1162" s="17" t="s">
        <v>27</v>
      </c>
      <c r="P1162" s="26">
        <v>0.24</v>
      </c>
      <c r="Q1162" s="17" t="s">
        <v>18</v>
      </c>
      <c r="R1162" s="17" t="s">
        <v>21</v>
      </c>
      <c r="S1162" s="50" t="str">
        <f t="shared" si="56"/>
        <v>Charlie-East</v>
      </c>
      <c r="T1162" s="59" t="str">
        <f>IF(ROUND(sales_data_1[[#This Row],[Profit_Margin]],2)=ROUND((sales_data_1[[#This Row],[Unit_Price]]*(1-sales_data_1[[#This Row],[Discount]]) - sales_data_1[[#This Row],[Unit_Cost]])*sales_data_1[[#This Row],[Quantity_Sold]],2), "PASS", "CHECK")</f>
        <v>PASS</v>
      </c>
    </row>
    <row r="1163" spans="1:20" x14ac:dyDescent="0.35">
      <c r="A1163" s="7">
        <v>1162</v>
      </c>
      <c r="B1163" s="9">
        <v>1078</v>
      </c>
      <c r="C1163" s="14" t="str">
        <f>IFERROR(_xlfn.TEXTJOIN("-", TRUE, _xlfn.XLOOKUP(K1163, product_category_id_lookup!$A$2:$A$5, product_category_id_lookup!$B$2:$B$5), B1163), "Unknown Category")</f>
        <v>fd-1078</v>
      </c>
      <c r="D1163" s="8">
        <v>44938</v>
      </c>
      <c r="E1163" s="14">
        <f t="shared" si="54"/>
        <v>2023</v>
      </c>
      <c r="F1163" s="29" t="str">
        <f t="shared" si="55"/>
        <v>Jan</v>
      </c>
      <c r="G1163" s="17" t="s">
        <v>32</v>
      </c>
      <c r="H1163" s="17" t="s">
        <v>30</v>
      </c>
      <c r="I1163" s="24">
        <v>172294.61259944161</v>
      </c>
      <c r="J1163" s="32">
        <v>36</v>
      </c>
      <c r="K1163" s="17" t="s">
        <v>24</v>
      </c>
      <c r="L1163" s="24">
        <v>4548.88</v>
      </c>
      <c r="M1163" s="24">
        <v>4853.41</v>
      </c>
      <c r="N1163" s="34">
        <f>((sales_data_1[[#This Row],[Unit_Price]]*(1-sales_data_1[[#This Row],[Discount]]))-sales_data_1[[#This Row],[Unit_Cost]])*sales_data_1[[#This Row],[Quantity_Sold]]</f>
        <v>9215.8523999999961</v>
      </c>
      <c r="O1163" s="17" t="s">
        <v>17</v>
      </c>
      <c r="P1163" s="26">
        <v>0.01</v>
      </c>
      <c r="Q1163" s="17" t="s">
        <v>28</v>
      </c>
      <c r="R1163" s="17" t="s">
        <v>21</v>
      </c>
      <c r="S1163" s="50" t="str">
        <f t="shared" si="56"/>
        <v>Eve-East</v>
      </c>
      <c r="T1163" s="59" t="str">
        <f>IF(ROUND(sales_data_1[[#This Row],[Profit_Margin]],2)=ROUND((sales_data_1[[#This Row],[Unit_Price]]*(1-sales_data_1[[#This Row],[Discount]]) - sales_data_1[[#This Row],[Unit_Cost]])*sales_data_1[[#This Row],[Quantity_Sold]],2), "PASS", "CHECK")</f>
        <v>PASS</v>
      </c>
    </row>
    <row r="1164" spans="1:20" x14ac:dyDescent="0.35">
      <c r="A1164" s="7">
        <v>1163</v>
      </c>
      <c r="B1164" s="9">
        <v>1045</v>
      </c>
      <c r="C1164" s="14" t="str">
        <f>IFERROR(_xlfn.TEXTJOIN("-", TRUE, _xlfn.XLOOKUP(K1164, product_category_id_lookup!$A$2:$A$5, product_category_id_lookup!$B$2:$B$5), B1164), "Unknown Category")</f>
        <v>fnt-1045</v>
      </c>
      <c r="D1164" s="8">
        <v>44938</v>
      </c>
      <c r="E1164" s="14">
        <f t="shared" si="54"/>
        <v>2023</v>
      </c>
      <c r="F1164" s="29" t="str">
        <f t="shared" si="55"/>
        <v>Jan</v>
      </c>
      <c r="G1164" s="17" t="s">
        <v>29</v>
      </c>
      <c r="H1164" s="17" t="s">
        <v>23</v>
      </c>
      <c r="I1164" s="24">
        <v>143183.48667013709</v>
      </c>
      <c r="J1164" s="32">
        <v>35</v>
      </c>
      <c r="K1164" s="17" t="s">
        <v>16</v>
      </c>
      <c r="L1164" s="24">
        <v>3777.94</v>
      </c>
      <c r="M1164" s="24">
        <v>4188.66</v>
      </c>
      <c r="N1164" s="34">
        <f>((sales_data_1[[#This Row],[Unit_Price]]*(1-sales_data_1[[#This Row],[Discount]]))-sales_data_1[[#This Row],[Unit_Cost]])*sales_data_1[[#This Row],[Quantity_Sold]]</f>
        <v>11443.138000000006</v>
      </c>
      <c r="O1164" s="17" t="s">
        <v>27</v>
      </c>
      <c r="P1164" s="26">
        <v>0.02</v>
      </c>
      <c r="Q1164" s="17" t="s">
        <v>25</v>
      </c>
      <c r="R1164" s="17" t="s">
        <v>19</v>
      </c>
      <c r="S1164" s="50" t="str">
        <f t="shared" si="56"/>
        <v>Charlie-South</v>
      </c>
      <c r="T1164" s="59" t="str">
        <f>IF(ROUND(sales_data_1[[#This Row],[Profit_Margin]],2)=ROUND((sales_data_1[[#This Row],[Unit_Price]]*(1-sales_data_1[[#This Row],[Discount]]) - sales_data_1[[#This Row],[Unit_Cost]])*sales_data_1[[#This Row],[Quantity_Sold]],2), "PASS", "CHECK")</f>
        <v>PASS</v>
      </c>
    </row>
    <row r="1165" spans="1:20" x14ac:dyDescent="0.35">
      <c r="A1165" s="7">
        <v>1164</v>
      </c>
      <c r="B1165" s="9">
        <v>1094</v>
      </c>
      <c r="C1165" s="14" t="str">
        <f>IFERROR(_xlfn.TEXTJOIN("-", TRUE, _xlfn.XLOOKUP(K1165, product_category_id_lookup!$A$2:$A$5, product_category_id_lookup!$B$2:$B$5), B1165), "Unknown Category")</f>
        <v>fd-1094</v>
      </c>
      <c r="D1165" s="8">
        <v>44938</v>
      </c>
      <c r="E1165" s="14">
        <f t="shared" si="54"/>
        <v>2023</v>
      </c>
      <c r="F1165" s="29" t="str">
        <f t="shared" si="55"/>
        <v>Jan</v>
      </c>
      <c r="G1165" s="17" t="s">
        <v>32</v>
      </c>
      <c r="H1165" s="17" t="s">
        <v>20</v>
      </c>
      <c r="I1165" s="24">
        <v>143719.68600000002</v>
      </c>
      <c r="J1165" s="32">
        <v>38</v>
      </c>
      <c r="K1165" s="17" t="s">
        <v>24</v>
      </c>
      <c r="L1165" s="24">
        <v>3443.98</v>
      </c>
      <c r="M1165" s="24">
        <v>3820.3</v>
      </c>
      <c r="N1165" s="34">
        <f>((sales_data_1[[#This Row],[Unit_Price]]*(1-sales_data_1[[#This Row],[Discount]]))-sales_data_1[[#This Row],[Unit_Cost]])*sales_data_1[[#This Row],[Quantity_Sold]]</f>
        <v>12848.446000000007</v>
      </c>
      <c r="O1165" s="17" t="s">
        <v>17</v>
      </c>
      <c r="P1165" s="26">
        <v>0.01</v>
      </c>
      <c r="Q1165" s="17" t="s">
        <v>28</v>
      </c>
      <c r="R1165" s="17" t="s">
        <v>21</v>
      </c>
      <c r="S1165" s="50" t="str">
        <f t="shared" si="56"/>
        <v>Eve-West</v>
      </c>
      <c r="T1165" s="59" t="str">
        <f>IF(ROUND(sales_data_1[[#This Row],[Profit_Margin]],2)=ROUND((sales_data_1[[#This Row],[Unit_Price]]*(1-sales_data_1[[#This Row],[Discount]]) - sales_data_1[[#This Row],[Unit_Cost]])*sales_data_1[[#This Row],[Quantity_Sold]],2), "PASS", "CHECK")</f>
        <v>PASS</v>
      </c>
    </row>
    <row r="1166" spans="1:20" x14ac:dyDescent="0.35">
      <c r="A1166" s="7">
        <v>1165</v>
      </c>
      <c r="B1166" s="9">
        <v>1012</v>
      </c>
      <c r="C1166" s="14" t="str">
        <f>IFERROR(_xlfn.TEXTJOIN("-", TRUE, _xlfn.XLOOKUP(K1166, product_category_id_lookup!$A$2:$A$5, product_category_id_lookup!$B$2:$B$5), B1166), "Unknown Category")</f>
        <v>fnt-1012</v>
      </c>
      <c r="D1166" s="8">
        <v>44939</v>
      </c>
      <c r="E1166" s="14">
        <f t="shared" si="54"/>
        <v>2023</v>
      </c>
      <c r="F1166" s="29" t="str">
        <f t="shared" si="55"/>
        <v>Jan</v>
      </c>
      <c r="G1166" s="17" t="s">
        <v>33</v>
      </c>
      <c r="H1166" s="17" t="s">
        <v>30</v>
      </c>
      <c r="I1166" s="24">
        <v>124352.54520000001</v>
      </c>
      <c r="J1166" s="32">
        <v>39</v>
      </c>
      <c r="K1166" s="17" t="s">
        <v>16</v>
      </c>
      <c r="L1166" s="24">
        <v>3126.52</v>
      </c>
      <c r="M1166" s="24">
        <v>3465.79</v>
      </c>
      <c r="N1166" s="34">
        <f>((sales_data_1[[#This Row],[Unit_Price]]*(1-sales_data_1[[#This Row],[Discount]]))-sales_data_1[[#This Row],[Unit_Cost]])*sales_data_1[[#This Row],[Quantity_Sold]]</f>
        <v>2418.2652000000044</v>
      </c>
      <c r="O1166" s="17" t="s">
        <v>27</v>
      </c>
      <c r="P1166" s="26">
        <v>0.08</v>
      </c>
      <c r="Q1166" s="17" t="s">
        <v>18</v>
      </c>
      <c r="R1166" s="17" t="s">
        <v>19</v>
      </c>
      <c r="S1166" s="50" t="str">
        <f t="shared" si="56"/>
        <v>Alice-East</v>
      </c>
      <c r="T1166" s="59" t="str">
        <f>IF(ROUND(sales_data_1[[#This Row],[Profit_Margin]],2)=ROUND((sales_data_1[[#This Row],[Unit_Price]]*(1-sales_data_1[[#This Row],[Discount]]) - sales_data_1[[#This Row],[Unit_Cost]])*sales_data_1[[#This Row],[Quantity_Sold]],2), "PASS", "CHECK")</f>
        <v>PASS</v>
      </c>
    </row>
    <row r="1167" spans="1:20" x14ac:dyDescent="0.35">
      <c r="A1167" s="7">
        <v>1166</v>
      </c>
      <c r="B1167" s="9">
        <v>1090</v>
      </c>
      <c r="C1167" s="14" t="str">
        <f>IFERROR(_xlfn.TEXTJOIN("-", TRUE, _xlfn.XLOOKUP(K1167, product_category_id_lookup!$A$2:$A$5, product_category_id_lookup!$B$2:$B$5), B1167), "Unknown Category")</f>
        <v>ctg-1090</v>
      </c>
      <c r="D1167" s="8">
        <v>44939</v>
      </c>
      <c r="E1167" s="14">
        <f t="shared" si="54"/>
        <v>2023</v>
      </c>
      <c r="F1167" s="29" t="str">
        <f t="shared" si="55"/>
        <v>Jan</v>
      </c>
      <c r="G1167" s="17" t="s">
        <v>33</v>
      </c>
      <c r="H1167" s="17" t="s">
        <v>30</v>
      </c>
      <c r="I1167" s="24">
        <v>47874.31189893718</v>
      </c>
      <c r="J1167" s="32">
        <v>17</v>
      </c>
      <c r="K1167" s="17" t="s">
        <v>26</v>
      </c>
      <c r="L1167" s="24">
        <v>2382.98</v>
      </c>
      <c r="M1167" s="24">
        <v>2839.73</v>
      </c>
      <c r="N1167" s="34">
        <f>((sales_data_1[[#This Row],[Unit_Price]]*(1-sales_data_1[[#This Row],[Discount]]))-sales_data_1[[#This Row],[Unit_Cost]])*sales_data_1[[#This Row],[Quantity_Sold]]</f>
        <v>7281.9958999999981</v>
      </c>
      <c r="O1167" s="17" t="s">
        <v>17</v>
      </c>
      <c r="P1167" s="26">
        <v>0.01</v>
      </c>
      <c r="Q1167" s="17" t="s">
        <v>25</v>
      </c>
      <c r="R1167" s="17" t="s">
        <v>21</v>
      </c>
      <c r="S1167" s="50" t="str">
        <f t="shared" si="56"/>
        <v>Alice-East</v>
      </c>
      <c r="T1167" s="59" t="str">
        <f>IF(ROUND(sales_data_1[[#This Row],[Profit_Margin]],2)=ROUND((sales_data_1[[#This Row],[Unit_Price]]*(1-sales_data_1[[#This Row],[Discount]]) - sales_data_1[[#This Row],[Unit_Cost]])*sales_data_1[[#This Row],[Quantity_Sold]],2), "PASS", "CHECK")</f>
        <v>PASS</v>
      </c>
    </row>
    <row r="1168" spans="1:20" x14ac:dyDescent="0.35">
      <c r="A1168" s="7">
        <v>1167</v>
      </c>
      <c r="B1168" s="9">
        <v>1058</v>
      </c>
      <c r="C1168" s="14" t="str">
        <f>IFERROR(_xlfn.TEXTJOIN("-", TRUE, _xlfn.XLOOKUP(K1168, product_category_id_lookup!$A$2:$A$5, product_category_id_lookup!$B$2:$B$5), B1168), "Unknown Category")</f>
        <v>fd-1058</v>
      </c>
      <c r="D1168" s="8">
        <v>44940</v>
      </c>
      <c r="E1168" s="14">
        <f t="shared" si="54"/>
        <v>2023</v>
      </c>
      <c r="F1168" s="29" t="str">
        <f t="shared" si="55"/>
        <v>Jan</v>
      </c>
      <c r="G1168" s="17" t="s">
        <v>14</v>
      </c>
      <c r="H1168" s="17" t="s">
        <v>30</v>
      </c>
      <c r="I1168" s="24">
        <v>29992.68</v>
      </c>
      <c r="J1168" s="32">
        <v>6</v>
      </c>
      <c r="K1168" s="17" t="s">
        <v>24</v>
      </c>
      <c r="L1168" s="24">
        <v>4987.71</v>
      </c>
      <c r="M1168" s="24">
        <v>4998.78</v>
      </c>
      <c r="N1168" s="34">
        <f>((sales_data_1[[#This Row],[Unit_Price]]*(1-sales_data_1[[#This Row],[Discount]]))-sales_data_1[[#This Row],[Unit_Cost]])*sales_data_1[[#This Row],[Quantity_Sold]]</f>
        <v>66.419999999998254</v>
      </c>
      <c r="O1168" s="17" t="s">
        <v>17</v>
      </c>
      <c r="P1168" s="26">
        <v>0</v>
      </c>
      <c r="Q1168" s="17" t="s">
        <v>18</v>
      </c>
      <c r="R1168" s="17" t="s">
        <v>21</v>
      </c>
      <c r="S1168" s="50" t="str">
        <f t="shared" si="56"/>
        <v>Bob-East</v>
      </c>
      <c r="T1168" s="59" t="str">
        <f>IF(ROUND(sales_data_1[[#This Row],[Profit_Margin]],2)=ROUND((sales_data_1[[#This Row],[Unit_Price]]*(1-sales_data_1[[#This Row],[Discount]]) - sales_data_1[[#This Row],[Unit_Cost]])*sales_data_1[[#This Row],[Quantity_Sold]],2), "PASS", "CHECK")</f>
        <v>PASS</v>
      </c>
    </row>
    <row r="1169" spans="1:20" x14ac:dyDescent="0.35">
      <c r="A1169" s="7">
        <v>1168</v>
      </c>
      <c r="B1169" s="9">
        <v>1033</v>
      </c>
      <c r="C1169" s="14" t="str">
        <f>IFERROR(_xlfn.TEXTJOIN("-", TRUE, _xlfn.XLOOKUP(K1169, product_category_id_lookup!$A$2:$A$5, product_category_id_lookup!$B$2:$B$5), B1169), "Unknown Category")</f>
        <v>ctg-1033</v>
      </c>
      <c r="D1169" s="8">
        <v>44940</v>
      </c>
      <c r="E1169" s="14">
        <f t="shared" si="54"/>
        <v>2023</v>
      </c>
      <c r="F1169" s="29" t="str">
        <f t="shared" si="55"/>
        <v>Jan</v>
      </c>
      <c r="G1169" s="17" t="s">
        <v>33</v>
      </c>
      <c r="H1169" s="17" t="s">
        <v>20</v>
      </c>
      <c r="I1169" s="24">
        <v>32675.444315482477</v>
      </c>
      <c r="J1169" s="32">
        <v>24</v>
      </c>
      <c r="K1169" s="17" t="s">
        <v>26</v>
      </c>
      <c r="L1169" s="24">
        <v>1345.67</v>
      </c>
      <c r="M1169" s="24">
        <v>1367.76</v>
      </c>
      <c r="N1169" s="34">
        <f>((sales_data_1[[#This Row],[Unit_Price]]*(1-sales_data_1[[#This Row],[Discount]]))-sales_data_1[[#This Row],[Unit_Cost]])*sales_data_1[[#This Row],[Quantity_Sold]]</f>
        <v>530.15999999999804</v>
      </c>
      <c r="O1169" s="17" t="s">
        <v>27</v>
      </c>
      <c r="P1169" s="26">
        <v>0</v>
      </c>
      <c r="Q1169" s="17" t="s">
        <v>25</v>
      </c>
      <c r="R1169" s="17" t="s">
        <v>19</v>
      </c>
      <c r="S1169" s="50" t="str">
        <f t="shared" si="56"/>
        <v>Alice-West</v>
      </c>
      <c r="T1169" s="59" t="str">
        <f>IF(ROUND(sales_data_1[[#This Row],[Profit_Margin]],2)=ROUND((sales_data_1[[#This Row],[Unit_Price]]*(1-sales_data_1[[#This Row],[Discount]]) - sales_data_1[[#This Row],[Unit_Cost]])*sales_data_1[[#This Row],[Quantity_Sold]],2), "PASS", "CHECK")</f>
        <v>PASS</v>
      </c>
    </row>
    <row r="1170" spans="1:20" x14ac:dyDescent="0.35">
      <c r="A1170" s="7">
        <v>1169</v>
      </c>
      <c r="B1170" s="9">
        <v>1056</v>
      </c>
      <c r="C1170" s="14" t="str">
        <f>IFERROR(_xlfn.TEXTJOIN("-", TRUE, _xlfn.XLOOKUP(K1170, product_category_id_lookup!$A$2:$A$5, product_category_id_lookup!$B$2:$B$5), B1170), "Unknown Category")</f>
        <v>fd-1056</v>
      </c>
      <c r="D1170" s="8">
        <v>44940</v>
      </c>
      <c r="E1170" s="14">
        <f t="shared" si="54"/>
        <v>2023</v>
      </c>
      <c r="F1170" s="29" t="str">
        <f t="shared" si="55"/>
        <v>Jan</v>
      </c>
      <c r="G1170" s="17" t="s">
        <v>29</v>
      </c>
      <c r="H1170" s="17" t="s">
        <v>20</v>
      </c>
      <c r="I1170" s="24">
        <v>63375.40139297214</v>
      </c>
      <c r="J1170" s="32">
        <v>25</v>
      </c>
      <c r="K1170" s="17" t="s">
        <v>24</v>
      </c>
      <c r="L1170" s="24">
        <v>2361.7399999999998</v>
      </c>
      <c r="M1170" s="24">
        <v>2584.35</v>
      </c>
      <c r="N1170" s="34">
        <f>((sales_data_1[[#This Row],[Unit_Price]]*(1-sales_data_1[[#This Row],[Discount]]))-sales_data_1[[#This Row],[Unit_Cost]])*sales_data_1[[#This Row],[Quantity_Sold]]</f>
        <v>4273.0750000000062</v>
      </c>
      <c r="O1170" s="17" t="s">
        <v>17</v>
      </c>
      <c r="P1170" s="26">
        <v>0.02</v>
      </c>
      <c r="Q1170" s="17" t="s">
        <v>18</v>
      </c>
      <c r="R1170" s="17" t="s">
        <v>19</v>
      </c>
      <c r="S1170" s="50" t="str">
        <f t="shared" si="56"/>
        <v>Charlie-West</v>
      </c>
      <c r="T1170" s="59" t="str">
        <f>IF(ROUND(sales_data_1[[#This Row],[Profit_Margin]],2)=ROUND((sales_data_1[[#This Row],[Unit_Price]]*(1-sales_data_1[[#This Row],[Discount]]) - sales_data_1[[#This Row],[Unit_Cost]])*sales_data_1[[#This Row],[Quantity_Sold]],2), "PASS", "CHECK")</f>
        <v>PASS</v>
      </c>
    </row>
    <row r="1171" spans="1:20" x14ac:dyDescent="0.35">
      <c r="A1171" s="7">
        <v>1170</v>
      </c>
      <c r="B1171" s="9">
        <v>1024</v>
      </c>
      <c r="C1171" s="14" t="str">
        <f>IFERROR(_xlfn.TEXTJOIN("-", TRUE, _xlfn.XLOOKUP(K1171, product_category_id_lookup!$A$2:$A$5, product_category_id_lookup!$B$2:$B$5), B1171), "Unknown Category")</f>
        <v>ctg-1024</v>
      </c>
      <c r="D1171" s="8">
        <v>44940</v>
      </c>
      <c r="E1171" s="14">
        <f t="shared" si="54"/>
        <v>2023</v>
      </c>
      <c r="F1171" s="29" t="str">
        <f t="shared" si="55"/>
        <v>Jan</v>
      </c>
      <c r="G1171" s="17" t="s">
        <v>14</v>
      </c>
      <c r="H1171" s="17" t="s">
        <v>23</v>
      </c>
      <c r="I1171" s="24">
        <v>135696.62699999998</v>
      </c>
      <c r="J1171" s="32">
        <v>45</v>
      </c>
      <c r="K1171" s="17" t="s">
        <v>26</v>
      </c>
      <c r="L1171" s="24">
        <v>2693.99</v>
      </c>
      <c r="M1171" s="24">
        <v>3045.9399999999996</v>
      </c>
      <c r="N1171" s="34">
        <f>((sales_data_1[[#This Row],[Unit_Price]]*(1-sales_data_1[[#This Row],[Discount]]))-sales_data_1[[#This Row],[Unit_Cost]])*sales_data_1[[#This Row],[Quantity_Sold]]</f>
        <v>14467.076999999983</v>
      </c>
      <c r="O1171" s="17" t="s">
        <v>27</v>
      </c>
      <c r="P1171" s="26">
        <v>0.01</v>
      </c>
      <c r="Q1171" s="17" t="s">
        <v>18</v>
      </c>
      <c r="R1171" s="17" t="s">
        <v>21</v>
      </c>
      <c r="S1171" s="50" t="str">
        <f t="shared" si="56"/>
        <v>Bob-South</v>
      </c>
      <c r="T1171" s="59" t="str">
        <f>IF(ROUND(sales_data_1[[#This Row],[Profit_Margin]],2)=ROUND((sales_data_1[[#This Row],[Unit_Price]]*(1-sales_data_1[[#This Row],[Discount]]) - sales_data_1[[#This Row],[Unit_Cost]])*sales_data_1[[#This Row],[Quantity_Sold]],2), "PASS", "CHECK")</f>
        <v>PASS</v>
      </c>
    </row>
    <row r="1172" spans="1:20" x14ac:dyDescent="0.35">
      <c r="A1172" s="7">
        <v>1171</v>
      </c>
      <c r="B1172" s="9">
        <v>1017</v>
      </c>
      <c r="C1172" s="14" t="str">
        <f>IFERROR(_xlfn.TEXTJOIN("-", TRUE, _xlfn.XLOOKUP(K1172, product_category_id_lookup!$A$2:$A$5, product_category_id_lookup!$B$2:$B$5), B1172), "Unknown Category")</f>
        <v>fnt-1017</v>
      </c>
      <c r="D1172" s="8">
        <v>44941</v>
      </c>
      <c r="E1172" s="14">
        <f t="shared" si="54"/>
        <v>2023</v>
      </c>
      <c r="F1172" s="29" t="str">
        <f t="shared" si="55"/>
        <v>Jan</v>
      </c>
      <c r="G1172" s="17" t="s">
        <v>32</v>
      </c>
      <c r="H1172" s="17" t="s">
        <v>15</v>
      </c>
      <c r="I1172" s="24">
        <v>16637.616000000002</v>
      </c>
      <c r="J1172" s="32">
        <v>6</v>
      </c>
      <c r="K1172" s="17" t="s">
        <v>16</v>
      </c>
      <c r="L1172" s="24">
        <v>2594.42</v>
      </c>
      <c r="M1172" s="24">
        <v>3081.04</v>
      </c>
      <c r="N1172" s="34">
        <f>((sales_data_1[[#This Row],[Unit_Price]]*(1-sales_data_1[[#This Row],[Discount]]))-sales_data_1[[#This Row],[Unit_Cost]])*sales_data_1[[#This Row],[Quantity_Sold]]</f>
        <v>1071.0960000000005</v>
      </c>
      <c r="O1172" s="17" t="s">
        <v>17</v>
      </c>
      <c r="P1172" s="26">
        <v>0.1</v>
      </c>
      <c r="Q1172" s="17" t="s">
        <v>25</v>
      </c>
      <c r="R1172" s="17" t="s">
        <v>21</v>
      </c>
      <c r="S1172" s="50" t="str">
        <f t="shared" si="56"/>
        <v>Eve-North</v>
      </c>
      <c r="T1172" s="59" t="str">
        <f>IF(ROUND(sales_data_1[[#This Row],[Profit_Margin]],2)=ROUND((sales_data_1[[#This Row],[Unit_Price]]*(1-sales_data_1[[#This Row],[Discount]]) - sales_data_1[[#This Row],[Unit_Cost]])*sales_data_1[[#This Row],[Quantity_Sold]],2), "PASS", "CHECK")</f>
        <v>PASS</v>
      </c>
    </row>
    <row r="1173" spans="1:20" x14ac:dyDescent="0.35">
      <c r="A1173" s="7">
        <v>1172</v>
      </c>
      <c r="B1173" s="9">
        <v>1094</v>
      </c>
      <c r="C1173" s="14" t="str">
        <f>IFERROR(_xlfn.TEXTJOIN("-", TRUE, _xlfn.XLOOKUP(K1173, product_category_id_lookup!$A$2:$A$5, product_category_id_lookup!$B$2:$B$5), B1173), "Unknown Category")</f>
        <v>fnt-1094</v>
      </c>
      <c r="D1173" s="8">
        <v>44941</v>
      </c>
      <c r="E1173" s="14">
        <f t="shared" si="54"/>
        <v>2023</v>
      </c>
      <c r="F1173" s="29" t="str">
        <f t="shared" si="55"/>
        <v>Jan</v>
      </c>
      <c r="G1173" s="17" t="s">
        <v>14</v>
      </c>
      <c r="H1173" s="17" t="s">
        <v>15</v>
      </c>
      <c r="I1173" s="24">
        <v>206377.58055857671</v>
      </c>
      <c r="J1173" s="32">
        <v>45</v>
      </c>
      <c r="K1173" s="17" t="s">
        <v>16</v>
      </c>
      <c r="L1173" s="24">
        <v>4470.91</v>
      </c>
      <c r="M1173" s="24">
        <v>4695.54</v>
      </c>
      <c r="N1173" s="34">
        <f>((sales_data_1[[#This Row],[Unit_Price]]*(1-sales_data_1[[#This Row],[Discount]]))-sales_data_1[[#This Row],[Unit_Cost]])*sales_data_1[[#This Row],[Quantity_Sold]]</f>
        <v>5882.3640000000205</v>
      </c>
      <c r="O1173" s="17" t="s">
        <v>17</v>
      </c>
      <c r="P1173" s="26">
        <v>0.02</v>
      </c>
      <c r="Q1173" s="17" t="s">
        <v>18</v>
      </c>
      <c r="R1173" s="17" t="s">
        <v>21</v>
      </c>
      <c r="S1173" s="50" t="str">
        <f t="shared" si="56"/>
        <v>Bob-North</v>
      </c>
      <c r="T1173" s="59" t="str">
        <f>IF(ROUND(sales_data_1[[#This Row],[Profit_Margin]],2)=ROUND((sales_data_1[[#This Row],[Unit_Price]]*(1-sales_data_1[[#This Row],[Discount]]) - sales_data_1[[#This Row],[Unit_Cost]])*sales_data_1[[#This Row],[Quantity_Sold]],2), "PASS", "CHECK")</f>
        <v>PASS</v>
      </c>
    </row>
    <row r="1174" spans="1:20" x14ac:dyDescent="0.35">
      <c r="A1174" s="7">
        <v>1173</v>
      </c>
      <c r="B1174" s="9">
        <v>1040</v>
      </c>
      <c r="C1174" s="14" t="str">
        <f>IFERROR(_xlfn.TEXTJOIN("-", TRUE, _xlfn.XLOOKUP(K1174, product_category_id_lookup!$A$2:$A$5, product_category_id_lookup!$B$2:$B$5), B1174), "Unknown Category")</f>
        <v>fnt-1040</v>
      </c>
      <c r="D1174" s="8">
        <v>44941</v>
      </c>
      <c r="E1174" s="14">
        <f t="shared" si="54"/>
        <v>2023</v>
      </c>
      <c r="F1174" s="29" t="str">
        <f t="shared" si="55"/>
        <v>Jan</v>
      </c>
      <c r="G1174" s="17" t="s">
        <v>29</v>
      </c>
      <c r="H1174" s="17" t="s">
        <v>15</v>
      </c>
      <c r="I1174" s="24">
        <v>13279.757399999999</v>
      </c>
      <c r="J1174" s="32">
        <v>19</v>
      </c>
      <c r="K1174" s="17" t="s">
        <v>16</v>
      </c>
      <c r="L1174" s="24">
        <v>342.3</v>
      </c>
      <c r="M1174" s="24">
        <v>768.06</v>
      </c>
      <c r="N1174" s="34">
        <f>((sales_data_1[[#This Row],[Unit_Price]]*(1-sales_data_1[[#This Row],[Discount]]))-sales_data_1[[#This Row],[Unit_Cost]])*sales_data_1[[#This Row],[Quantity_Sold]]</f>
        <v>6776.0573999999988</v>
      </c>
      <c r="O1174" s="17" t="s">
        <v>17</v>
      </c>
      <c r="P1174" s="26">
        <v>0.09</v>
      </c>
      <c r="Q1174" s="17" t="s">
        <v>28</v>
      </c>
      <c r="R1174" s="17" t="s">
        <v>19</v>
      </c>
      <c r="S1174" s="50" t="str">
        <f t="shared" si="56"/>
        <v>Charlie-North</v>
      </c>
      <c r="T1174" s="59" t="str">
        <f>IF(ROUND(sales_data_1[[#This Row],[Profit_Margin]],2)=ROUND((sales_data_1[[#This Row],[Unit_Price]]*(1-sales_data_1[[#This Row],[Discount]]) - sales_data_1[[#This Row],[Unit_Cost]])*sales_data_1[[#This Row],[Quantity_Sold]],2), "PASS", "CHECK")</f>
        <v>PASS</v>
      </c>
    </row>
    <row r="1175" spans="1:20" x14ac:dyDescent="0.35">
      <c r="A1175" s="7">
        <v>1174</v>
      </c>
      <c r="B1175" s="9">
        <v>1027</v>
      </c>
      <c r="C1175" s="14" t="str">
        <f>IFERROR(_xlfn.TEXTJOIN("-", TRUE, _xlfn.XLOOKUP(K1175, product_category_id_lookup!$A$2:$A$5, product_category_id_lookup!$B$2:$B$5), B1175), "Unknown Category")</f>
        <v>fd-1027</v>
      </c>
      <c r="D1175" s="8">
        <v>44941</v>
      </c>
      <c r="E1175" s="14">
        <f t="shared" si="54"/>
        <v>2023</v>
      </c>
      <c r="F1175" s="29" t="str">
        <f t="shared" si="55"/>
        <v>Jan</v>
      </c>
      <c r="G1175" s="17" t="s">
        <v>14</v>
      </c>
      <c r="H1175" s="17" t="s">
        <v>20</v>
      </c>
      <c r="I1175" s="24">
        <v>10680.7012</v>
      </c>
      <c r="J1175" s="32">
        <v>26</v>
      </c>
      <c r="K1175" s="17" t="s">
        <v>24</v>
      </c>
      <c r="L1175" s="24">
        <v>149.11000000000001</v>
      </c>
      <c r="M1175" s="24">
        <v>477.67</v>
      </c>
      <c r="N1175" s="34">
        <f>((sales_data_1[[#This Row],[Unit_Price]]*(1-sales_data_1[[#This Row],[Discount]]))-sales_data_1[[#This Row],[Unit_Cost]])*sales_data_1[[#This Row],[Quantity_Sold]]</f>
        <v>6803.8411999999998</v>
      </c>
      <c r="O1175" s="17" t="s">
        <v>17</v>
      </c>
      <c r="P1175" s="26">
        <v>0.14000000000000001</v>
      </c>
      <c r="Q1175" s="17" t="s">
        <v>18</v>
      </c>
      <c r="R1175" s="17" t="s">
        <v>21</v>
      </c>
      <c r="S1175" s="50" t="str">
        <f t="shared" si="56"/>
        <v>Bob-West</v>
      </c>
      <c r="T1175" s="59" t="str">
        <f>IF(ROUND(sales_data_1[[#This Row],[Profit_Margin]],2)=ROUND((sales_data_1[[#This Row],[Unit_Price]]*(1-sales_data_1[[#This Row],[Discount]]) - sales_data_1[[#This Row],[Unit_Cost]])*sales_data_1[[#This Row],[Quantity_Sold]],2), "PASS", "CHECK")</f>
        <v>PASS</v>
      </c>
    </row>
    <row r="1176" spans="1:20" x14ac:dyDescent="0.35">
      <c r="A1176" s="7">
        <v>1175</v>
      </c>
      <c r="B1176" s="9">
        <v>1042</v>
      </c>
      <c r="C1176" s="14" t="str">
        <f>IFERROR(_xlfn.TEXTJOIN("-", TRUE, _xlfn.XLOOKUP(K1176, product_category_id_lookup!$A$2:$A$5, product_category_id_lookup!$B$2:$B$5), B1176), "Unknown Category")</f>
        <v>fnt-1042</v>
      </c>
      <c r="D1176" s="8">
        <v>44941</v>
      </c>
      <c r="E1176" s="14">
        <f t="shared" si="54"/>
        <v>2023</v>
      </c>
      <c r="F1176" s="29" t="str">
        <f t="shared" si="55"/>
        <v>Jan</v>
      </c>
      <c r="G1176" s="17" t="s">
        <v>22</v>
      </c>
      <c r="H1176" s="17" t="s">
        <v>23</v>
      </c>
      <c r="I1176" s="24">
        <v>108645.71664063365</v>
      </c>
      <c r="J1176" s="32">
        <v>46</v>
      </c>
      <c r="K1176" s="17" t="s">
        <v>16</v>
      </c>
      <c r="L1176" s="24">
        <v>2172.38</v>
      </c>
      <c r="M1176" s="24">
        <v>2367.11</v>
      </c>
      <c r="N1176" s="34">
        <f>((sales_data_1[[#This Row],[Unit_Price]]*(1-sales_data_1[[#This Row],[Discount]]))-sales_data_1[[#This Row],[Unit_Cost]])*sales_data_1[[#This Row],[Quantity_Sold]]</f>
        <v>8957.5800000000017</v>
      </c>
      <c r="O1176" s="17" t="s">
        <v>27</v>
      </c>
      <c r="P1176" s="26">
        <v>0</v>
      </c>
      <c r="Q1176" s="17" t="s">
        <v>18</v>
      </c>
      <c r="R1176" s="17" t="s">
        <v>21</v>
      </c>
      <c r="S1176" s="50" t="str">
        <f t="shared" si="56"/>
        <v>David-South</v>
      </c>
      <c r="T1176" s="59" t="str">
        <f>IF(ROUND(sales_data_1[[#This Row],[Profit_Margin]],2)=ROUND((sales_data_1[[#This Row],[Unit_Price]]*(1-sales_data_1[[#This Row],[Discount]]) - sales_data_1[[#This Row],[Unit_Cost]])*sales_data_1[[#This Row],[Quantity_Sold]],2), "PASS", "CHECK")</f>
        <v>PASS</v>
      </c>
    </row>
    <row r="1177" spans="1:20" x14ac:dyDescent="0.35">
      <c r="A1177" s="7">
        <v>1176</v>
      </c>
      <c r="B1177" s="9">
        <v>1034</v>
      </c>
      <c r="C1177" s="14" t="str">
        <f>IFERROR(_xlfn.TEXTJOIN("-", TRUE, _xlfn.XLOOKUP(K1177, product_category_id_lookup!$A$2:$A$5, product_category_id_lookup!$B$2:$B$5), B1177), "Unknown Category")</f>
        <v>fnt-1034</v>
      </c>
      <c r="D1177" s="8">
        <v>44942</v>
      </c>
      <c r="E1177" s="14">
        <f t="shared" si="54"/>
        <v>2023</v>
      </c>
      <c r="F1177" s="29" t="str">
        <f t="shared" si="55"/>
        <v>Jan</v>
      </c>
      <c r="G1177" s="17" t="s">
        <v>33</v>
      </c>
      <c r="H1177" s="17" t="s">
        <v>15</v>
      </c>
      <c r="I1177" s="24">
        <v>5636.2592000000004</v>
      </c>
      <c r="J1177" s="32">
        <v>13</v>
      </c>
      <c r="K1177" s="17" t="s">
        <v>16</v>
      </c>
      <c r="L1177" s="24">
        <v>366.31</v>
      </c>
      <c r="M1177" s="24">
        <v>492.68</v>
      </c>
      <c r="N1177" s="34">
        <f>((sales_data_1[[#This Row],[Unit_Price]]*(1-sales_data_1[[#This Row],[Discount]]))-sales_data_1[[#This Row],[Unit_Cost]])*sales_data_1[[#This Row],[Quantity_Sold]]</f>
        <v>874.22919999999999</v>
      </c>
      <c r="O1177" s="17" t="s">
        <v>27</v>
      </c>
      <c r="P1177" s="26">
        <v>0.12</v>
      </c>
      <c r="Q1177" s="17" t="s">
        <v>28</v>
      </c>
      <c r="R1177" s="17" t="s">
        <v>21</v>
      </c>
      <c r="S1177" s="50" t="str">
        <f t="shared" si="56"/>
        <v>Alice-North</v>
      </c>
      <c r="T1177" s="59" t="str">
        <f>IF(ROUND(sales_data_1[[#This Row],[Profit_Margin]],2)=ROUND((sales_data_1[[#This Row],[Unit_Price]]*(1-sales_data_1[[#This Row],[Discount]]) - sales_data_1[[#This Row],[Unit_Cost]])*sales_data_1[[#This Row],[Quantity_Sold]],2), "PASS", "CHECK")</f>
        <v>PASS</v>
      </c>
    </row>
    <row r="1178" spans="1:20" x14ac:dyDescent="0.35">
      <c r="A1178" s="7">
        <v>1177</v>
      </c>
      <c r="B1178" s="9">
        <v>1013</v>
      </c>
      <c r="C1178" s="14" t="str">
        <f>IFERROR(_xlfn.TEXTJOIN("-", TRUE, _xlfn.XLOOKUP(K1178, product_category_id_lookup!$A$2:$A$5, product_category_id_lookup!$B$2:$B$5), B1178), "Unknown Category")</f>
        <v>ctg-1013</v>
      </c>
      <c r="D1178" s="8">
        <v>44942</v>
      </c>
      <c r="E1178" s="14">
        <f t="shared" si="54"/>
        <v>2023</v>
      </c>
      <c r="F1178" s="29" t="str">
        <f t="shared" si="55"/>
        <v>Jan</v>
      </c>
      <c r="G1178" s="17" t="s">
        <v>32</v>
      </c>
      <c r="H1178" s="17" t="s">
        <v>30</v>
      </c>
      <c r="I1178" s="24">
        <v>71421.189999999988</v>
      </c>
      <c r="J1178" s="32">
        <v>20</v>
      </c>
      <c r="K1178" s="17" t="s">
        <v>26</v>
      </c>
      <c r="L1178" s="24">
        <v>3356.62</v>
      </c>
      <c r="M1178" s="24">
        <v>3759.0099999999998</v>
      </c>
      <c r="N1178" s="34">
        <f>((sales_data_1[[#This Row],[Unit_Price]]*(1-sales_data_1[[#This Row],[Discount]]))-sales_data_1[[#This Row],[Unit_Cost]])*sales_data_1[[#This Row],[Quantity_Sold]]</f>
        <v>4288.78999999999</v>
      </c>
      <c r="O1178" s="17" t="s">
        <v>17</v>
      </c>
      <c r="P1178" s="26">
        <v>0.05</v>
      </c>
      <c r="Q1178" s="17" t="s">
        <v>28</v>
      </c>
      <c r="R1178" s="17" t="s">
        <v>21</v>
      </c>
      <c r="S1178" s="50" t="str">
        <f t="shared" si="56"/>
        <v>Eve-East</v>
      </c>
      <c r="T1178" s="59" t="str">
        <f>IF(ROUND(sales_data_1[[#This Row],[Profit_Margin]],2)=ROUND((sales_data_1[[#This Row],[Unit_Price]]*(1-sales_data_1[[#This Row],[Discount]]) - sales_data_1[[#This Row],[Unit_Cost]])*sales_data_1[[#This Row],[Quantity_Sold]],2), "PASS", "CHECK")</f>
        <v>PASS</v>
      </c>
    </row>
    <row r="1179" spans="1:20" x14ac:dyDescent="0.35">
      <c r="A1179" s="7">
        <v>1178</v>
      </c>
      <c r="B1179" s="9">
        <v>1060</v>
      </c>
      <c r="C1179" s="14" t="str">
        <f>IFERROR(_xlfn.TEXTJOIN("-", TRUE, _xlfn.XLOOKUP(K1179, product_category_id_lookup!$A$2:$A$5, product_category_id_lookup!$B$2:$B$5), B1179), "Unknown Category")</f>
        <v>etc-1060</v>
      </c>
      <c r="D1179" s="8">
        <v>44943</v>
      </c>
      <c r="E1179" s="14">
        <f t="shared" si="54"/>
        <v>2023</v>
      </c>
      <c r="F1179" s="29" t="str">
        <f t="shared" si="55"/>
        <v>Jan</v>
      </c>
      <c r="G1179" s="17" t="s">
        <v>14</v>
      </c>
      <c r="H1179" s="17" t="s">
        <v>23</v>
      </c>
      <c r="I1179" s="24">
        <v>4653.6966000000002</v>
      </c>
      <c r="J1179" s="32">
        <v>3</v>
      </c>
      <c r="K1179" s="17" t="s">
        <v>31</v>
      </c>
      <c r="L1179" s="24">
        <v>1190.4100000000001</v>
      </c>
      <c r="M1179" s="24">
        <v>1582.89</v>
      </c>
      <c r="N1179" s="34">
        <f>((sales_data_1[[#This Row],[Unit_Price]]*(1-sales_data_1[[#This Row],[Discount]]))-sales_data_1[[#This Row],[Unit_Cost]])*sales_data_1[[#This Row],[Quantity_Sold]]</f>
        <v>1082.4666000000002</v>
      </c>
      <c r="O1179" s="17" t="s">
        <v>27</v>
      </c>
      <c r="P1179" s="26">
        <v>0.02</v>
      </c>
      <c r="Q1179" s="17" t="s">
        <v>28</v>
      </c>
      <c r="R1179" s="17" t="s">
        <v>21</v>
      </c>
      <c r="S1179" s="50" t="str">
        <f t="shared" si="56"/>
        <v>Bob-South</v>
      </c>
      <c r="T1179" s="59" t="str">
        <f>IF(ROUND(sales_data_1[[#This Row],[Profit_Margin]],2)=ROUND((sales_data_1[[#This Row],[Unit_Price]]*(1-sales_data_1[[#This Row],[Discount]]) - sales_data_1[[#This Row],[Unit_Cost]])*sales_data_1[[#This Row],[Quantity_Sold]],2), "PASS", "CHECK")</f>
        <v>PASS</v>
      </c>
    </row>
    <row r="1180" spans="1:20" x14ac:dyDescent="0.35">
      <c r="A1180" s="7">
        <v>1179</v>
      </c>
      <c r="B1180" s="9">
        <v>1016</v>
      </c>
      <c r="C1180" s="14" t="str">
        <f>IFERROR(_xlfn.TEXTJOIN("-", TRUE, _xlfn.XLOOKUP(K1180, product_category_id_lookup!$A$2:$A$5, product_category_id_lookup!$B$2:$B$5), B1180), "Unknown Category")</f>
        <v>etc-1016</v>
      </c>
      <c r="D1180" s="8">
        <v>44943</v>
      </c>
      <c r="E1180" s="14">
        <f t="shared" si="54"/>
        <v>2023</v>
      </c>
      <c r="F1180" s="29" t="str">
        <f t="shared" si="55"/>
        <v>Jan</v>
      </c>
      <c r="G1180" s="17" t="s">
        <v>32</v>
      </c>
      <c r="H1180" s="17" t="s">
        <v>20</v>
      </c>
      <c r="I1180" s="24">
        <v>62020.508299336652</v>
      </c>
      <c r="J1180" s="32">
        <v>21</v>
      </c>
      <c r="K1180" s="17" t="s">
        <v>31</v>
      </c>
      <c r="L1180" s="24">
        <v>2863.74</v>
      </c>
      <c r="M1180" s="24">
        <v>2953.91</v>
      </c>
      <c r="N1180" s="34">
        <f>((sales_data_1[[#This Row],[Unit_Price]]*(1-sales_data_1[[#This Row],[Discount]]))-sales_data_1[[#This Row],[Unit_Cost]])*sales_data_1[[#This Row],[Quantity_Sold]]</f>
        <v>1893.5700000000015</v>
      </c>
      <c r="O1180" s="17" t="s">
        <v>27</v>
      </c>
      <c r="P1180" s="26">
        <v>0</v>
      </c>
      <c r="Q1180" s="17" t="s">
        <v>25</v>
      </c>
      <c r="R1180" s="17" t="s">
        <v>21</v>
      </c>
      <c r="S1180" s="50" t="str">
        <f t="shared" si="56"/>
        <v>Eve-West</v>
      </c>
      <c r="T1180" s="59" t="str">
        <f>IF(ROUND(sales_data_1[[#This Row],[Profit_Margin]],2)=ROUND((sales_data_1[[#This Row],[Unit_Price]]*(1-sales_data_1[[#This Row],[Discount]]) - sales_data_1[[#This Row],[Unit_Cost]])*sales_data_1[[#This Row],[Quantity_Sold]],2), "PASS", "CHECK")</f>
        <v>PASS</v>
      </c>
    </row>
    <row r="1181" spans="1:20" x14ac:dyDescent="0.35">
      <c r="A1181" s="7">
        <v>1180</v>
      </c>
      <c r="B1181" s="9">
        <v>1009</v>
      </c>
      <c r="C1181" s="14" t="str">
        <f>IFERROR(_xlfn.TEXTJOIN("-", TRUE, _xlfn.XLOOKUP(K1181, product_category_id_lookup!$A$2:$A$5, product_category_id_lookup!$B$2:$B$5), B1181), "Unknown Category")</f>
        <v>fnt-1009</v>
      </c>
      <c r="D1181" s="8">
        <v>44943</v>
      </c>
      <c r="E1181" s="14">
        <f t="shared" si="54"/>
        <v>2023</v>
      </c>
      <c r="F1181" s="29" t="str">
        <f t="shared" si="55"/>
        <v>Jan</v>
      </c>
      <c r="G1181" s="17" t="s">
        <v>22</v>
      </c>
      <c r="H1181" s="17" t="s">
        <v>20</v>
      </c>
      <c r="I1181" s="24">
        <v>29234.903296326338</v>
      </c>
      <c r="J1181" s="32">
        <v>12</v>
      </c>
      <c r="K1181" s="17" t="s">
        <v>16</v>
      </c>
      <c r="L1181" s="24">
        <v>2278.67</v>
      </c>
      <c r="M1181" s="24">
        <v>2476.8000000000002</v>
      </c>
      <c r="N1181" s="34">
        <f>((sales_data_1[[#This Row],[Unit_Price]]*(1-sales_data_1[[#This Row],[Discount]]))-sales_data_1[[#This Row],[Unit_Cost]])*sales_data_1[[#This Row],[Quantity_Sold]]</f>
        <v>1783.1280000000006</v>
      </c>
      <c r="O1181" s="17" t="s">
        <v>27</v>
      </c>
      <c r="P1181" s="26">
        <v>0.02</v>
      </c>
      <c r="Q1181" s="17" t="s">
        <v>18</v>
      </c>
      <c r="R1181" s="17" t="s">
        <v>21</v>
      </c>
      <c r="S1181" s="50" t="str">
        <f t="shared" si="56"/>
        <v>David-West</v>
      </c>
      <c r="T1181" s="59" t="str">
        <f>IF(ROUND(sales_data_1[[#This Row],[Profit_Margin]],2)=ROUND((sales_data_1[[#This Row],[Unit_Price]]*(1-sales_data_1[[#This Row],[Discount]]) - sales_data_1[[#This Row],[Unit_Cost]])*sales_data_1[[#This Row],[Quantity_Sold]],2), "PASS", "CHECK")</f>
        <v>PASS</v>
      </c>
    </row>
    <row r="1182" spans="1:20" x14ac:dyDescent="0.35">
      <c r="A1182" s="7">
        <v>1181</v>
      </c>
      <c r="B1182" s="9">
        <v>1076</v>
      </c>
      <c r="C1182" s="14" t="str">
        <f>IFERROR(_xlfn.TEXTJOIN("-", TRUE, _xlfn.XLOOKUP(K1182, product_category_id_lookup!$A$2:$A$5, product_category_id_lookup!$B$2:$B$5), B1182), "Unknown Category")</f>
        <v>ctg-1076</v>
      </c>
      <c r="D1182" s="8">
        <v>44943</v>
      </c>
      <c r="E1182" s="14">
        <f t="shared" si="54"/>
        <v>2023</v>
      </c>
      <c r="F1182" s="29" t="str">
        <f t="shared" si="55"/>
        <v>Jan</v>
      </c>
      <c r="G1182" s="17" t="s">
        <v>29</v>
      </c>
      <c r="H1182" s="17" t="s">
        <v>23</v>
      </c>
      <c r="I1182" s="24">
        <v>34953.972018694723</v>
      </c>
      <c r="J1182" s="32">
        <v>16</v>
      </c>
      <c r="K1182" s="17" t="s">
        <v>26</v>
      </c>
      <c r="L1182" s="24">
        <v>1964.15</v>
      </c>
      <c r="M1182" s="24">
        <v>2211.17</v>
      </c>
      <c r="N1182" s="34">
        <f>((sales_data_1[[#This Row],[Unit_Price]]*(1-sales_data_1[[#This Row],[Discount]]))-sales_data_1[[#This Row],[Unit_Cost]])*sales_data_1[[#This Row],[Quantity_Sold]]</f>
        <v>3598.5328000000009</v>
      </c>
      <c r="O1182" s="17" t="s">
        <v>17</v>
      </c>
      <c r="P1182" s="26">
        <v>0.01</v>
      </c>
      <c r="Q1182" s="17" t="s">
        <v>25</v>
      </c>
      <c r="R1182" s="17" t="s">
        <v>19</v>
      </c>
      <c r="S1182" s="50" t="str">
        <f t="shared" si="56"/>
        <v>Charlie-South</v>
      </c>
      <c r="T1182" s="59" t="str">
        <f>IF(ROUND(sales_data_1[[#This Row],[Profit_Margin]],2)=ROUND((sales_data_1[[#This Row],[Unit_Price]]*(1-sales_data_1[[#This Row],[Discount]]) - sales_data_1[[#This Row],[Unit_Cost]])*sales_data_1[[#This Row],[Quantity_Sold]],2), "PASS", "CHECK")</f>
        <v>PASS</v>
      </c>
    </row>
    <row r="1183" spans="1:20" x14ac:dyDescent="0.35">
      <c r="A1183" s="7">
        <v>1182</v>
      </c>
      <c r="B1183" s="9">
        <v>1080</v>
      </c>
      <c r="C1183" s="14" t="str">
        <f>IFERROR(_xlfn.TEXTJOIN("-", TRUE, _xlfn.XLOOKUP(K1183, product_category_id_lookup!$A$2:$A$5, product_category_id_lookup!$B$2:$B$5), B1183), "Unknown Category")</f>
        <v>fnt-1080</v>
      </c>
      <c r="D1183" s="8">
        <v>44943</v>
      </c>
      <c r="E1183" s="14">
        <f t="shared" si="54"/>
        <v>2023</v>
      </c>
      <c r="F1183" s="29" t="str">
        <f t="shared" si="55"/>
        <v>Jan</v>
      </c>
      <c r="G1183" s="17" t="s">
        <v>14</v>
      </c>
      <c r="H1183" s="17" t="s">
        <v>23</v>
      </c>
      <c r="I1183" s="24">
        <v>196362.23195941441</v>
      </c>
      <c r="J1183" s="32">
        <v>47</v>
      </c>
      <c r="K1183" s="17" t="s">
        <v>16</v>
      </c>
      <c r="L1183" s="24">
        <v>4035.33</v>
      </c>
      <c r="M1183" s="24">
        <v>4211.25</v>
      </c>
      <c r="N1183" s="34">
        <f>((sales_data_1[[#This Row],[Unit_Price]]*(1-sales_data_1[[#This Row],[Discount]]))-sales_data_1[[#This Row],[Unit_Cost]])*sales_data_1[[#This Row],[Quantity_Sold]]</f>
        <v>6288.9524999999949</v>
      </c>
      <c r="O1183" s="17" t="s">
        <v>17</v>
      </c>
      <c r="P1183" s="26">
        <v>0.01</v>
      </c>
      <c r="Q1183" s="17" t="s">
        <v>25</v>
      </c>
      <c r="R1183" s="17" t="s">
        <v>19</v>
      </c>
      <c r="S1183" s="50" t="str">
        <f t="shared" si="56"/>
        <v>Bob-South</v>
      </c>
      <c r="T1183" s="59" t="str">
        <f>IF(ROUND(sales_data_1[[#This Row],[Profit_Margin]],2)=ROUND((sales_data_1[[#This Row],[Unit_Price]]*(1-sales_data_1[[#This Row],[Discount]]) - sales_data_1[[#This Row],[Unit_Cost]])*sales_data_1[[#This Row],[Quantity_Sold]],2), "PASS", "CHECK")</f>
        <v>PASS</v>
      </c>
    </row>
    <row r="1184" spans="1:20" x14ac:dyDescent="0.35">
      <c r="A1184" s="7">
        <v>1183</v>
      </c>
      <c r="B1184" s="9">
        <v>1029</v>
      </c>
      <c r="C1184" s="14" t="str">
        <f>IFERROR(_xlfn.TEXTJOIN("-", TRUE, _xlfn.XLOOKUP(K1184, product_category_id_lookup!$A$2:$A$5, product_category_id_lookup!$B$2:$B$5), B1184), "Unknown Category")</f>
        <v>etc-1029</v>
      </c>
      <c r="D1184" s="8">
        <v>44943</v>
      </c>
      <c r="E1184" s="14">
        <f t="shared" si="54"/>
        <v>2023</v>
      </c>
      <c r="F1184" s="29" t="str">
        <f t="shared" si="55"/>
        <v>Jan</v>
      </c>
      <c r="G1184" s="17" t="s">
        <v>29</v>
      </c>
      <c r="H1184" s="17" t="s">
        <v>15</v>
      </c>
      <c r="I1184" s="24">
        <v>92971.716914729346</v>
      </c>
      <c r="J1184" s="32">
        <v>31</v>
      </c>
      <c r="K1184" s="17" t="s">
        <v>31</v>
      </c>
      <c r="L1184" s="24">
        <v>2719</v>
      </c>
      <c r="M1184" s="24">
        <v>3133.55</v>
      </c>
      <c r="N1184" s="34">
        <f>((sales_data_1[[#This Row],[Unit_Price]]*(1-sales_data_1[[#This Row],[Discount]]))-sales_data_1[[#This Row],[Unit_Cost]])*sales_data_1[[#This Row],[Quantity_Sold]]</f>
        <v>8965.4480000000021</v>
      </c>
      <c r="O1184" s="17" t="s">
        <v>17</v>
      </c>
      <c r="P1184" s="26">
        <v>0.04</v>
      </c>
      <c r="Q1184" s="17" t="s">
        <v>25</v>
      </c>
      <c r="R1184" s="17" t="s">
        <v>21</v>
      </c>
      <c r="S1184" s="50" t="str">
        <f t="shared" si="56"/>
        <v>Charlie-North</v>
      </c>
      <c r="T1184" s="59" t="str">
        <f>IF(ROUND(sales_data_1[[#This Row],[Profit_Margin]],2)=ROUND((sales_data_1[[#This Row],[Unit_Price]]*(1-sales_data_1[[#This Row],[Discount]]) - sales_data_1[[#This Row],[Unit_Cost]])*sales_data_1[[#This Row],[Quantity_Sold]],2), "PASS", "CHECK")</f>
        <v>PASS</v>
      </c>
    </row>
    <row r="1185" spans="1:20" x14ac:dyDescent="0.35">
      <c r="A1185" s="7">
        <v>1184</v>
      </c>
      <c r="B1185" s="9">
        <v>1080</v>
      </c>
      <c r="C1185" s="14" t="str">
        <f>IFERROR(_xlfn.TEXTJOIN("-", TRUE, _xlfn.XLOOKUP(K1185, product_category_id_lookup!$A$2:$A$5, product_category_id_lookup!$B$2:$B$5), B1185), "Unknown Category")</f>
        <v>etc-1080</v>
      </c>
      <c r="D1185" s="8">
        <v>44944</v>
      </c>
      <c r="E1185" s="14">
        <f t="shared" si="54"/>
        <v>2023</v>
      </c>
      <c r="F1185" s="29" t="str">
        <f t="shared" si="55"/>
        <v>Jan</v>
      </c>
      <c r="G1185" s="17" t="s">
        <v>29</v>
      </c>
      <c r="H1185" s="17" t="s">
        <v>30</v>
      </c>
      <c r="I1185" s="24">
        <v>84816.876056455469</v>
      </c>
      <c r="J1185" s="32">
        <v>44</v>
      </c>
      <c r="K1185" s="17" t="s">
        <v>31</v>
      </c>
      <c r="L1185" s="24">
        <v>1763.67</v>
      </c>
      <c r="M1185" s="24">
        <v>1983.8200000000002</v>
      </c>
      <c r="N1185" s="34">
        <f>((sales_data_1[[#This Row],[Unit_Price]]*(1-sales_data_1[[#This Row],[Discount]]))-sales_data_1[[#This Row],[Unit_Cost]])*sales_data_1[[#This Row],[Quantity_Sold]]</f>
        <v>7067.9576000000052</v>
      </c>
      <c r="O1185" s="17" t="s">
        <v>27</v>
      </c>
      <c r="P1185" s="26">
        <v>0.03</v>
      </c>
      <c r="Q1185" s="17" t="s">
        <v>28</v>
      </c>
      <c r="R1185" s="17" t="s">
        <v>19</v>
      </c>
      <c r="S1185" s="50" t="str">
        <f t="shared" si="56"/>
        <v>Charlie-East</v>
      </c>
      <c r="T1185" s="59" t="str">
        <f>IF(ROUND(sales_data_1[[#This Row],[Profit_Margin]],2)=ROUND((sales_data_1[[#This Row],[Unit_Price]]*(1-sales_data_1[[#This Row],[Discount]]) - sales_data_1[[#This Row],[Unit_Cost]])*sales_data_1[[#This Row],[Quantity_Sold]],2), "PASS", "CHECK")</f>
        <v>PASS</v>
      </c>
    </row>
    <row r="1186" spans="1:20" x14ac:dyDescent="0.35">
      <c r="A1186" s="7">
        <v>1185</v>
      </c>
      <c r="B1186" s="9">
        <v>1048</v>
      </c>
      <c r="C1186" s="14" t="str">
        <f>IFERROR(_xlfn.TEXTJOIN("-", TRUE, _xlfn.XLOOKUP(K1186, product_category_id_lookup!$A$2:$A$5, product_category_id_lookup!$B$2:$B$5), B1186), "Unknown Category")</f>
        <v>ctg-1048</v>
      </c>
      <c r="D1186" s="8">
        <v>44945</v>
      </c>
      <c r="E1186" s="14">
        <f t="shared" si="54"/>
        <v>2023</v>
      </c>
      <c r="F1186" s="29" t="str">
        <f t="shared" si="55"/>
        <v>Jan</v>
      </c>
      <c r="G1186" s="17" t="s">
        <v>14</v>
      </c>
      <c r="H1186" s="17" t="s">
        <v>20</v>
      </c>
      <c r="I1186" s="24">
        <v>31409.279999999999</v>
      </c>
      <c r="J1186" s="32">
        <v>7</v>
      </c>
      <c r="K1186" s="17" t="s">
        <v>26</v>
      </c>
      <c r="L1186" s="24">
        <v>4310.95</v>
      </c>
      <c r="M1186" s="24">
        <v>4723.2</v>
      </c>
      <c r="N1186" s="34">
        <f>((sales_data_1[[#This Row],[Unit_Price]]*(1-sales_data_1[[#This Row],[Discount]]))-sales_data_1[[#This Row],[Unit_Cost]])*sales_data_1[[#This Row],[Quantity_Sold]]</f>
        <v>1232.630000000001</v>
      </c>
      <c r="O1186" s="17" t="s">
        <v>17</v>
      </c>
      <c r="P1186" s="26">
        <v>0.05</v>
      </c>
      <c r="Q1186" s="17" t="s">
        <v>28</v>
      </c>
      <c r="R1186" s="17" t="s">
        <v>21</v>
      </c>
      <c r="S1186" s="50" t="str">
        <f t="shared" si="56"/>
        <v>Bob-West</v>
      </c>
      <c r="T1186" s="59" t="str">
        <f>IF(ROUND(sales_data_1[[#This Row],[Profit_Margin]],2)=ROUND((sales_data_1[[#This Row],[Unit_Price]]*(1-sales_data_1[[#This Row],[Discount]]) - sales_data_1[[#This Row],[Unit_Cost]])*sales_data_1[[#This Row],[Quantity_Sold]],2), "PASS", "CHECK")</f>
        <v>PASS</v>
      </c>
    </row>
    <row r="1187" spans="1:20" x14ac:dyDescent="0.35">
      <c r="A1187" s="7">
        <v>1186</v>
      </c>
      <c r="B1187" s="9">
        <v>1017</v>
      </c>
      <c r="C1187" s="14" t="str">
        <f>IFERROR(_xlfn.TEXTJOIN("-", TRUE, _xlfn.XLOOKUP(K1187, product_category_id_lookup!$A$2:$A$5, product_category_id_lookup!$B$2:$B$5), B1187), "Unknown Category")</f>
        <v>ctg-1017</v>
      </c>
      <c r="D1187" s="8">
        <v>44946</v>
      </c>
      <c r="E1187" s="14">
        <f t="shared" si="54"/>
        <v>2023</v>
      </c>
      <c r="F1187" s="29" t="str">
        <f t="shared" si="55"/>
        <v>Jan</v>
      </c>
      <c r="G1187" s="17" t="s">
        <v>14</v>
      </c>
      <c r="H1187" s="17" t="s">
        <v>30</v>
      </c>
      <c r="I1187" s="24">
        <v>100389.70690797782</v>
      </c>
      <c r="J1187" s="32">
        <v>29</v>
      </c>
      <c r="K1187" s="17" t="s">
        <v>26</v>
      </c>
      <c r="L1187" s="24">
        <v>3410.49</v>
      </c>
      <c r="M1187" s="24">
        <v>3481.72</v>
      </c>
      <c r="N1187" s="34">
        <f>((sales_data_1[[#This Row],[Unit_Price]]*(1-sales_data_1[[#This Row],[Discount]]))-sales_data_1[[#This Row],[Unit_Cost]])*sales_data_1[[#This Row],[Quantity_Sold]]</f>
        <v>1055.9712000000018</v>
      </c>
      <c r="O1187" s="17" t="s">
        <v>27</v>
      </c>
      <c r="P1187" s="26">
        <v>0.01</v>
      </c>
      <c r="Q1187" s="17" t="s">
        <v>25</v>
      </c>
      <c r="R1187" s="17" t="s">
        <v>21</v>
      </c>
      <c r="S1187" s="50" t="str">
        <f t="shared" si="56"/>
        <v>Bob-East</v>
      </c>
      <c r="T1187" s="59" t="str">
        <f>IF(ROUND(sales_data_1[[#This Row],[Profit_Margin]],2)=ROUND((sales_data_1[[#This Row],[Unit_Price]]*(1-sales_data_1[[#This Row],[Discount]]) - sales_data_1[[#This Row],[Unit_Cost]])*sales_data_1[[#This Row],[Quantity_Sold]],2), "PASS", "CHECK")</f>
        <v>PASS</v>
      </c>
    </row>
    <row r="1188" spans="1:20" x14ac:dyDescent="0.35">
      <c r="A1188" s="7">
        <v>1187</v>
      </c>
      <c r="B1188" s="9">
        <v>1046</v>
      </c>
      <c r="C1188" s="14" t="str">
        <f>IFERROR(_xlfn.TEXTJOIN("-", TRUE, _xlfn.XLOOKUP(K1188, product_category_id_lookup!$A$2:$A$5, product_category_id_lookup!$B$2:$B$5), B1188), "Unknown Category")</f>
        <v>ctg-1046</v>
      </c>
      <c r="D1188" s="8">
        <v>44946</v>
      </c>
      <c r="E1188" s="14">
        <f t="shared" si="54"/>
        <v>2023</v>
      </c>
      <c r="F1188" s="29" t="str">
        <f t="shared" si="55"/>
        <v>Jan</v>
      </c>
      <c r="G1188" s="17" t="s">
        <v>32</v>
      </c>
      <c r="H1188" s="17" t="s">
        <v>30</v>
      </c>
      <c r="I1188" s="24">
        <v>176514.59559113477</v>
      </c>
      <c r="J1188" s="32">
        <v>43</v>
      </c>
      <c r="K1188" s="17" t="s">
        <v>26</v>
      </c>
      <c r="L1188" s="24">
        <v>4052.42</v>
      </c>
      <c r="M1188" s="24">
        <v>4199.3</v>
      </c>
      <c r="N1188" s="34">
        <f>((sales_data_1[[#This Row],[Unit_Price]]*(1-sales_data_1[[#This Row],[Discount]]))-sales_data_1[[#This Row],[Unit_Cost]])*sales_data_1[[#This Row],[Quantity_Sold]]</f>
        <v>2704.44200000001</v>
      </c>
      <c r="O1188" s="17" t="s">
        <v>27</v>
      </c>
      <c r="P1188" s="26">
        <v>0.02</v>
      </c>
      <c r="Q1188" s="17" t="s">
        <v>25</v>
      </c>
      <c r="R1188" s="17" t="s">
        <v>21</v>
      </c>
      <c r="S1188" s="50" t="str">
        <f t="shared" si="56"/>
        <v>Eve-East</v>
      </c>
      <c r="T1188" s="59" t="str">
        <f>IF(ROUND(sales_data_1[[#This Row],[Profit_Margin]],2)=ROUND((sales_data_1[[#This Row],[Unit_Price]]*(1-sales_data_1[[#This Row],[Discount]]) - sales_data_1[[#This Row],[Unit_Cost]])*sales_data_1[[#This Row],[Quantity_Sold]],2), "PASS", "CHECK")</f>
        <v>PASS</v>
      </c>
    </row>
    <row r="1189" spans="1:20" x14ac:dyDescent="0.35">
      <c r="A1189" s="7">
        <v>1188</v>
      </c>
      <c r="B1189" s="9">
        <v>1092</v>
      </c>
      <c r="C1189" s="14" t="str">
        <f>IFERROR(_xlfn.TEXTJOIN("-", TRUE, _xlfn.XLOOKUP(K1189, product_category_id_lookup!$A$2:$A$5, product_category_id_lookup!$B$2:$B$5), B1189), "Unknown Category")</f>
        <v>etc-1092</v>
      </c>
      <c r="D1189" s="8">
        <v>44946</v>
      </c>
      <c r="E1189" s="14">
        <f t="shared" si="54"/>
        <v>2023</v>
      </c>
      <c r="F1189" s="29" t="str">
        <f t="shared" si="55"/>
        <v>Jan</v>
      </c>
      <c r="G1189" s="17" t="s">
        <v>29</v>
      </c>
      <c r="H1189" s="17" t="s">
        <v>30</v>
      </c>
      <c r="I1189" s="24">
        <v>187684.31403092164</v>
      </c>
      <c r="J1189" s="32">
        <v>40</v>
      </c>
      <c r="K1189" s="17" t="s">
        <v>31</v>
      </c>
      <c r="L1189" s="24">
        <v>4624.16</v>
      </c>
      <c r="M1189" s="24">
        <v>4731.9799999999996</v>
      </c>
      <c r="N1189" s="34">
        <f>((sales_data_1[[#This Row],[Unit_Price]]*(1-sales_data_1[[#This Row],[Discount]]))-sales_data_1[[#This Row],[Unit_Cost]])*sales_data_1[[#This Row],[Quantity_Sold]]</f>
        <v>2420.0079999999798</v>
      </c>
      <c r="O1189" s="17" t="s">
        <v>27</v>
      </c>
      <c r="P1189" s="26">
        <v>0.01</v>
      </c>
      <c r="Q1189" s="17" t="s">
        <v>25</v>
      </c>
      <c r="R1189" s="17" t="s">
        <v>21</v>
      </c>
      <c r="S1189" s="50" t="str">
        <f t="shared" si="56"/>
        <v>Charlie-East</v>
      </c>
      <c r="T1189" s="59" t="str">
        <f>IF(ROUND(sales_data_1[[#This Row],[Profit_Margin]],2)=ROUND((sales_data_1[[#This Row],[Unit_Price]]*(1-sales_data_1[[#This Row],[Discount]]) - sales_data_1[[#This Row],[Unit_Cost]])*sales_data_1[[#This Row],[Quantity_Sold]],2), "PASS", "CHECK")</f>
        <v>PASS</v>
      </c>
    </row>
    <row r="1190" spans="1:20" x14ac:dyDescent="0.35">
      <c r="A1190" s="7">
        <v>1189</v>
      </c>
      <c r="B1190" s="9">
        <v>1053</v>
      </c>
      <c r="C1190" s="14" t="str">
        <f>IFERROR(_xlfn.TEXTJOIN("-", TRUE, _xlfn.XLOOKUP(K1190, product_category_id_lookup!$A$2:$A$5, product_category_id_lookup!$B$2:$B$5), B1190), "Unknown Category")</f>
        <v>fnt-1053</v>
      </c>
      <c r="D1190" s="8">
        <v>44946</v>
      </c>
      <c r="E1190" s="14">
        <f t="shared" si="54"/>
        <v>2023</v>
      </c>
      <c r="F1190" s="29" t="str">
        <f t="shared" si="55"/>
        <v>Jan</v>
      </c>
      <c r="G1190" s="17" t="s">
        <v>22</v>
      </c>
      <c r="H1190" s="17" t="s">
        <v>20</v>
      </c>
      <c r="I1190" s="24">
        <v>119020.37744351634</v>
      </c>
      <c r="J1190" s="32">
        <v>42</v>
      </c>
      <c r="K1190" s="17" t="s">
        <v>16</v>
      </c>
      <c r="L1190" s="24">
        <v>2443.5700000000002</v>
      </c>
      <c r="M1190" s="24">
        <v>2943.3100000000004</v>
      </c>
      <c r="N1190" s="34">
        <f>((sales_data_1[[#This Row],[Unit_Price]]*(1-sales_data_1[[#This Row],[Discount]]))-sales_data_1[[#This Row],[Unit_Cost]])*sales_data_1[[#This Row],[Quantity_Sold]]</f>
        <v>16044.319199999996</v>
      </c>
      <c r="O1190" s="17" t="s">
        <v>27</v>
      </c>
      <c r="P1190" s="26">
        <v>0.04</v>
      </c>
      <c r="Q1190" s="17" t="s">
        <v>18</v>
      </c>
      <c r="R1190" s="17" t="s">
        <v>19</v>
      </c>
      <c r="S1190" s="50" t="str">
        <f t="shared" si="56"/>
        <v>David-West</v>
      </c>
      <c r="T1190" s="59" t="str">
        <f>IF(ROUND(sales_data_1[[#This Row],[Profit_Margin]],2)=ROUND((sales_data_1[[#This Row],[Unit_Price]]*(1-sales_data_1[[#This Row],[Discount]]) - sales_data_1[[#This Row],[Unit_Cost]])*sales_data_1[[#This Row],[Quantity_Sold]],2), "PASS", "CHECK")</f>
        <v>PASS</v>
      </c>
    </row>
    <row r="1191" spans="1:20" x14ac:dyDescent="0.35">
      <c r="A1191" s="7">
        <v>1190</v>
      </c>
      <c r="B1191" s="9">
        <v>1003</v>
      </c>
      <c r="C1191" s="14" t="str">
        <f>IFERROR(_xlfn.TEXTJOIN("-", TRUE, _xlfn.XLOOKUP(K1191, product_category_id_lookup!$A$2:$A$5, product_category_id_lookup!$B$2:$B$5), B1191), "Unknown Category")</f>
        <v>fnt-1003</v>
      </c>
      <c r="D1191" s="8">
        <v>44947</v>
      </c>
      <c r="E1191" s="14">
        <f t="shared" si="54"/>
        <v>2023</v>
      </c>
      <c r="F1191" s="29" t="str">
        <f t="shared" si="55"/>
        <v>Jan</v>
      </c>
      <c r="G1191" s="17" t="s">
        <v>29</v>
      </c>
      <c r="H1191" s="17" t="s">
        <v>15</v>
      </c>
      <c r="I1191" s="24">
        <v>5709.0579000000007</v>
      </c>
      <c r="J1191" s="32">
        <v>3</v>
      </c>
      <c r="K1191" s="17" t="s">
        <v>16</v>
      </c>
      <c r="L1191" s="24">
        <v>1792.05</v>
      </c>
      <c r="M1191" s="24">
        <v>2091.23</v>
      </c>
      <c r="N1191" s="34">
        <f>((sales_data_1[[#This Row],[Unit_Price]]*(1-sales_data_1[[#This Row],[Discount]]))-sales_data_1[[#This Row],[Unit_Cost]])*sales_data_1[[#This Row],[Quantity_Sold]]</f>
        <v>332.90790000000061</v>
      </c>
      <c r="O1191" s="17" t="s">
        <v>17</v>
      </c>
      <c r="P1191" s="26">
        <v>0.09</v>
      </c>
      <c r="Q1191" s="17" t="s">
        <v>18</v>
      </c>
      <c r="R1191" s="17" t="s">
        <v>21</v>
      </c>
      <c r="S1191" s="50" t="str">
        <f t="shared" si="56"/>
        <v>Charlie-North</v>
      </c>
      <c r="T1191" s="59" t="str">
        <f>IF(ROUND(sales_data_1[[#This Row],[Profit_Margin]],2)=ROUND((sales_data_1[[#This Row],[Unit_Price]]*(1-sales_data_1[[#This Row],[Discount]]) - sales_data_1[[#This Row],[Unit_Cost]])*sales_data_1[[#This Row],[Quantity_Sold]],2), "PASS", "CHECK")</f>
        <v>PASS</v>
      </c>
    </row>
    <row r="1192" spans="1:20" x14ac:dyDescent="0.35">
      <c r="A1192" s="7">
        <v>1191</v>
      </c>
      <c r="B1192" s="9">
        <v>1006</v>
      </c>
      <c r="C1192" s="14" t="str">
        <f>IFERROR(_xlfn.TEXTJOIN("-", TRUE, _xlfn.XLOOKUP(K1192, product_category_id_lookup!$A$2:$A$5, product_category_id_lookup!$B$2:$B$5), B1192), "Unknown Category")</f>
        <v>etc-1006</v>
      </c>
      <c r="D1192" s="8">
        <v>44948</v>
      </c>
      <c r="E1192" s="14">
        <f t="shared" si="54"/>
        <v>2023</v>
      </c>
      <c r="F1192" s="29" t="str">
        <f t="shared" si="55"/>
        <v>Jan</v>
      </c>
      <c r="G1192" s="17" t="s">
        <v>33</v>
      </c>
      <c r="H1192" s="17" t="s">
        <v>23</v>
      </c>
      <c r="I1192" s="24">
        <v>127232.05081980594</v>
      </c>
      <c r="J1192" s="32">
        <v>29</v>
      </c>
      <c r="K1192" s="17" t="s">
        <v>31</v>
      </c>
      <c r="L1192" s="24">
        <v>4353.29</v>
      </c>
      <c r="M1192" s="24">
        <v>4405.8</v>
      </c>
      <c r="N1192" s="34">
        <f>((sales_data_1[[#This Row],[Unit_Price]]*(1-sales_data_1[[#This Row],[Discount]]))-sales_data_1[[#This Row],[Unit_Cost]])*sales_data_1[[#This Row],[Quantity_Sold]]</f>
        <v>1522.7900000000063</v>
      </c>
      <c r="O1192" s="17" t="s">
        <v>27</v>
      </c>
      <c r="P1192" s="26">
        <v>0</v>
      </c>
      <c r="Q1192" s="17" t="s">
        <v>25</v>
      </c>
      <c r="R1192" s="17" t="s">
        <v>19</v>
      </c>
      <c r="S1192" s="50" t="str">
        <f t="shared" si="56"/>
        <v>Alice-South</v>
      </c>
      <c r="T1192" s="59" t="str">
        <f>IF(ROUND(sales_data_1[[#This Row],[Profit_Margin]],2)=ROUND((sales_data_1[[#This Row],[Unit_Price]]*(1-sales_data_1[[#This Row],[Discount]]) - sales_data_1[[#This Row],[Unit_Cost]])*sales_data_1[[#This Row],[Quantity_Sold]],2), "PASS", "CHECK")</f>
        <v>PASS</v>
      </c>
    </row>
    <row r="1193" spans="1:20" x14ac:dyDescent="0.35">
      <c r="A1193" s="7">
        <v>1192</v>
      </c>
      <c r="B1193" s="9">
        <v>1045</v>
      </c>
      <c r="C1193" s="14" t="str">
        <f>IFERROR(_xlfn.TEXTJOIN("-", TRUE, _xlfn.XLOOKUP(K1193, product_category_id_lookup!$A$2:$A$5, product_category_id_lookup!$B$2:$B$5), B1193), "Unknown Category")</f>
        <v>fd-1045</v>
      </c>
      <c r="D1193" s="8">
        <v>44948</v>
      </c>
      <c r="E1193" s="14">
        <f t="shared" si="54"/>
        <v>2023</v>
      </c>
      <c r="F1193" s="29" t="str">
        <f t="shared" si="55"/>
        <v>Jan</v>
      </c>
      <c r="G1193" s="17" t="s">
        <v>14</v>
      </c>
      <c r="H1193" s="17" t="s">
        <v>30</v>
      </c>
      <c r="I1193" s="24">
        <v>122608.584</v>
      </c>
      <c r="J1193" s="32">
        <v>46</v>
      </c>
      <c r="K1193" s="17" t="s">
        <v>24</v>
      </c>
      <c r="L1193" s="24">
        <v>2577.08</v>
      </c>
      <c r="M1193" s="24">
        <v>2961.56</v>
      </c>
      <c r="N1193" s="34">
        <f>((sales_data_1[[#This Row],[Unit_Price]]*(1-sales_data_1[[#This Row],[Discount]]))-sales_data_1[[#This Row],[Unit_Cost]])*sales_data_1[[#This Row],[Quantity_Sold]]</f>
        <v>4062.9040000000032</v>
      </c>
      <c r="O1193" s="17" t="s">
        <v>17</v>
      </c>
      <c r="P1193" s="26">
        <v>0.1</v>
      </c>
      <c r="Q1193" s="17" t="s">
        <v>18</v>
      </c>
      <c r="R1193" s="17" t="s">
        <v>19</v>
      </c>
      <c r="S1193" s="50" t="str">
        <f t="shared" si="56"/>
        <v>Bob-East</v>
      </c>
      <c r="T1193" s="59" t="str">
        <f>IF(ROUND(sales_data_1[[#This Row],[Profit_Margin]],2)=ROUND((sales_data_1[[#This Row],[Unit_Price]]*(1-sales_data_1[[#This Row],[Discount]]) - sales_data_1[[#This Row],[Unit_Cost]])*sales_data_1[[#This Row],[Quantity_Sold]],2), "PASS", "CHECK")</f>
        <v>PASS</v>
      </c>
    </row>
    <row r="1194" spans="1:20" x14ac:dyDescent="0.35">
      <c r="A1194" s="7">
        <v>1193</v>
      </c>
      <c r="B1194" s="9">
        <v>1035</v>
      </c>
      <c r="C1194" s="14" t="str">
        <f>IFERROR(_xlfn.TEXTJOIN("-", TRUE, _xlfn.XLOOKUP(K1194, product_category_id_lookup!$A$2:$A$5, product_category_id_lookup!$B$2:$B$5), B1194), "Unknown Category")</f>
        <v>fnt-1035</v>
      </c>
      <c r="D1194" s="8">
        <v>44948</v>
      </c>
      <c r="E1194" s="14">
        <f t="shared" si="54"/>
        <v>2023</v>
      </c>
      <c r="F1194" s="29" t="str">
        <f t="shared" si="55"/>
        <v>Jan</v>
      </c>
      <c r="G1194" s="17" t="s">
        <v>33</v>
      </c>
      <c r="H1194" s="17" t="s">
        <v>15</v>
      </c>
      <c r="I1194" s="24">
        <v>116985.67024617491</v>
      </c>
      <c r="J1194" s="32">
        <v>28</v>
      </c>
      <c r="K1194" s="17" t="s">
        <v>16</v>
      </c>
      <c r="L1194" s="24">
        <v>3771.38</v>
      </c>
      <c r="M1194" s="24">
        <v>4234.92</v>
      </c>
      <c r="N1194" s="34">
        <f>((sales_data_1[[#This Row],[Unit_Price]]*(1-sales_data_1[[#This Row],[Discount]]))-sales_data_1[[#This Row],[Unit_Cost]])*sales_data_1[[#This Row],[Quantity_Sold]]</f>
        <v>11793.342400000009</v>
      </c>
      <c r="O1194" s="17" t="s">
        <v>27</v>
      </c>
      <c r="P1194" s="26">
        <v>0.01</v>
      </c>
      <c r="Q1194" s="17" t="s">
        <v>28</v>
      </c>
      <c r="R1194" s="17" t="s">
        <v>21</v>
      </c>
      <c r="S1194" s="50" t="str">
        <f t="shared" si="56"/>
        <v>Alice-North</v>
      </c>
      <c r="T1194" s="59" t="str">
        <f>IF(ROUND(sales_data_1[[#This Row],[Profit_Margin]],2)=ROUND((sales_data_1[[#This Row],[Unit_Price]]*(1-sales_data_1[[#This Row],[Discount]]) - sales_data_1[[#This Row],[Unit_Cost]])*sales_data_1[[#This Row],[Quantity_Sold]],2), "PASS", "CHECK")</f>
        <v>PASS</v>
      </c>
    </row>
    <row r="1195" spans="1:20" x14ac:dyDescent="0.35">
      <c r="A1195" s="7">
        <v>1194</v>
      </c>
      <c r="B1195" s="9">
        <v>1018</v>
      </c>
      <c r="C1195" s="14" t="str">
        <f>IFERROR(_xlfn.TEXTJOIN("-", TRUE, _xlfn.XLOOKUP(K1195, product_category_id_lookup!$A$2:$A$5, product_category_id_lookup!$B$2:$B$5), B1195), "Unknown Category")</f>
        <v>fnt-1018</v>
      </c>
      <c r="D1195" s="8">
        <v>44949</v>
      </c>
      <c r="E1195" s="14">
        <f t="shared" si="54"/>
        <v>2023</v>
      </c>
      <c r="F1195" s="29" t="str">
        <f t="shared" si="55"/>
        <v>Jan</v>
      </c>
      <c r="G1195" s="17" t="s">
        <v>22</v>
      </c>
      <c r="H1195" s="17" t="s">
        <v>15</v>
      </c>
      <c r="I1195" s="24">
        <v>24649.033485383588</v>
      </c>
      <c r="J1195" s="32">
        <v>20</v>
      </c>
      <c r="K1195" s="17" t="s">
        <v>16</v>
      </c>
      <c r="L1195" s="24">
        <v>1140.6199999999999</v>
      </c>
      <c r="M1195" s="24">
        <v>1258.6299999999999</v>
      </c>
      <c r="N1195" s="34">
        <f>((sales_data_1[[#This Row],[Unit_Price]]*(1-sales_data_1[[#This Row],[Discount]]))-sales_data_1[[#This Row],[Unit_Cost]])*sales_data_1[[#This Row],[Quantity_Sold]]</f>
        <v>1856.7479999999978</v>
      </c>
      <c r="O1195" s="17" t="s">
        <v>17</v>
      </c>
      <c r="P1195" s="26">
        <v>0.02</v>
      </c>
      <c r="Q1195" s="17" t="s">
        <v>25</v>
      </c>
      <c r="R1195" s="17" t="s">
        <v>19</v>
      </c>
      <c r="S1195" s="50" t="str">
        <f t="shared" si="56"/>
        <v>David-North</v>
      </c>
      <c r="T1195" s="59" t="str">
        <f>IF(ROUND(sales_data_1[[#This Row],[Profit_Margin]],2)=ROUND((sales_data_1[[#This Row],[Unit_Price]]*(1-sales_data_1[[#This Row],[Discount]]) - sales_data_1[[#This Row],[Unit_Cost]])*sales_data_1[[#This Row],[Quantity_Sold]],2), "PASS", "CHECK")</f>
        <v>PASS</v>
      </c>
    </row>
    <row r="1196" spans="1:20" x14ac:dyDescent="0.35">
      <c r="A1196" s="7">
        <v>1195</v>
      </c>
      <c r="B1196" s="9">
        <v>1037</v>
      </c>
      <c r="C1196" s="14" t="str">
        <f>IFERROR(_xlfn.TEXTJOIN("-", TRUE, _xlfn.XLOOKUP(K1196, product_category_id_lookup!$A$2:$A$5, product_category_id_lookup!$B$2:$B$5), B1196), "Unknown Category")</f>
        <v>fd-1037</v>
      </c>
      <c r="D1196" s="8">
        <v>44949</v>
      </c>
      <c r="E1196" s="14">
        <f t="shared" si="54"/>
        <v>2023</v>
      </c>
      <c r="F1196" s="29" t="str">
        <f t="shared" si="55"/>
        <v>Jan</v>
      </c>
      <c r="G1196" s="17" t="s">
        <v>29</v>
      </c>
      <c r="H1196" s="17" t="s">
        <v>30</v>
      </c>
      <c r="I1196" s="24">
        <v>34498.593010891855</v>
      </c>
      <c r="J1196" s="32">
        <v>25</v>
      </c>
      <c r="K1196" s="17" t="s">
        <v>24</v>
      </c>
      <c r="L1196" s="24">
        <v>1074.6199999999999</v>
      </c>
      <c r="M1196" s="24">
        <v>1382.4299999999998</v>
      </c>
      <c r="N1196" s="34">
        <f>((sales_data_1[[#This Row],[Unit_Price]]*(1-sales_data_1[[#This Row],[Discount]]))-sales_data_1[[#This Row],[Unit_Cost]])*sales_data_1[[#This Row],[Quantity_Sold]]</f>
        <v>7695.2499999999982</v>
      </c>
      <c r="O1196" s="17" t="s">
        <v>17</v>
      </c>
      <c r="P1196" s="26">
        <v>0</v>
      </c>
      <c r="Q1196" s="17" t="s">
        <v>28</v>
      </c>
      <c r="R1196" s="17" t="s">
        <v>21</v>
      </c>
      <c r="S1196" s="50" t="str">
        <f t="shared" si="56"/>
        <v>Charlie-East</v>
      </c>
      <c r="T1196" s="59" t="str">
        <f>IF(ROUND(sales_data_1[[#This Row],[Profit_Margin]],2)=ROUND((sales_data_1[[#This Row],[Unit_Price]]*(1-sales_data_1[[#This Row],[Discount]]) - sales_data_1[[#This Row],[Unit_Cost]])*sales_data_1[[#This Row],[Quantity_Sold]],2), "PASS", "CHECK")</f>
        <v>PASS</v>
      </c>
    </row>
    <row r="1197" spans="1:20" x14ac:dyDescent="0.35">
      <c r="A1197" s="7">
        <v>1196</v>
      </c>
      <c r="B1197" s="9">
        <v>1037</v>
      </c>
      <c r="C1197" s="14" t="str">
        <f>IFERROR(_xlfn.TEXTJOIN("-", TRUE, _xlfn.XLOOKUP(K1197, product_category_id_lookup!$A$2:$A$5, product_category_id_lookup!$B$2:$B$5), B1197), "Unknown Category")</f>
        <v>ctg-1037</v>
      </c>
      <c r="D1197" s="8">
        <v>44949</v>
      </c>
      <c r="E1197" s="14">
        <f t="shared" si="54"/>
        <v>2023</v>
      </c>
      <c r="F1197" s="29" t="str">
        <f t="shared" si="55"/>
        <v>Jan</v>
      </c>
      <c r="G1197" s="17" t="s">
        <v>14</v>
      </c>
      <c r="H1197" s="17" t="s">
        <v>15</v>
      </c>
      <c r="I1197" s="24">
        <v>126717.28813452413</v>
      </c>
      <c r="J1197" s="32">
        <v>40</v>
      </c>
      <c r="K1197" s="17" t="s">
        <v>26</v>
      </c>
      <c r="L1197" s="24">
        <v>2790.11</v>
      </c>
      <c r="M1197" s="24">
        <v>3192.37</v>
      </c>
      <c r="N1197" s="34">
        <f>((sales_data_1[[#This Row],[Unit_Price]]*(1-sales_data_1[[#This Row],[Discount]]))-sales_data_1[[#This Row],[Unit_Cost]])*sales_data_1[[#This Row],[Quantity_Sold]]</f>
        <v>14813.451999999997</v>
      </c>
      <c r="O1197" s="17" t="s">
        <v>17</v>
      </c>
      <c r="P1197" s="26">
        <v>0.01</v>
      </c>
      <c r="Q1197" s="17" t="s">
        <v>25</v>
      </c>
      <c r="R1197" s="17" t="s">
        <v>19</v>
      </c>
      <c r="S1197" s="50" t="str">
        <f t="shared" si="56"/>
        <v>Bob-North</v>
      </c>
      <c r="T1197" s="59" t="str">
        <f>IF(ROUND(sales_data_1[[#This Row],[Profit_Margin]],2)=ROUND((sales_data_1[[#This Row],[Unit_Price]]*(1-sales_data_1[[#This Row],[Discount]]) - sales_data_1[[#This Row],[Unit_Cost]])*sales_data_1[[#This Row],[Quantity_Sold]],2), "PASS", "CHECK")</f>
        <v>PASS</v>
      </c>
    </row>
    <row r="1198" spans="1:20" x14ac:dyDescent="0.35">
      <c r="A1198" s="7">
        <v>1197</v>
      </c>
      <c r="B1198" s="9">
        <v>1017</v>
      </c>
      <c r="C1198" s="14" t="str">
        <f>IFERROR(_xlfn.TEXTJOIN("-", TRUE, _xlfn.XLOOKUP(K1198, product_category_id_lookup!$A$2:$A$5, product_category_id_lookup!$B$2:$B$5), B1198), "Unknown Category")</f>
        <v>etc-1017</v>
      </c>
      <c r="D1198" s="8">
        <v>44950</v>
      </c>
      <c r="E1198" s="14">
        <f t="shared" si="54"/>
        <v>2023</v>
      </c>
      <c r="F1198" s="29" t="str">
        <f t="shared" si="55"/>
        <v>Jan</v>
      </c>
      <c r="G1198" s="17" t="s">
        <v>32</v>
      </c>
      <c r="H1198" s="17" t="s">
        <v>15</v>
      </c>
      <c r="I1198" s="24">
        <v>27576.063899999997</v>
      </c>
      <c r="J1198" s="32">
        <v>27</v>
      </c>
      <c r="K1198" s="17" t="s">
        <v>31</v>
      </c>
      <c r="L1198" s="24">
        <v>927.89</v>
      </c>
      <c r="M1198" s="24">
        <v>1399.09</v>
      </c>
      <c r="N1198" s="34">
        <f>((sales_data_1[[#This Row],[Unit_Price]]*(1-sales_data_1[[#This Row],[Discount]]))-sales_data_1[[#This Row],[Unit_Cost]])*sales_data_1[[#This Row],[Quantity_Sold]]</f>
        <v>2523.0338999999967</v>
      </c>
      <c r="O1198" s="17" t="s">
        <v>17</v>
      </c>
      <c r="P1198" s="26">
        <v>0.27</v>
      </c>
      <c r="Q1198" s="17" t="s">
        <v>28</v>
      </c>
      <c r="R1198" s="17" t="s">
        <v>19</v>
      </c>
      <c r="S1198" s="50" t="str">
        <f t="shared" si="56"/>
        <v>Eve-North</v>
      </c>
      <c r="T1198" s="59" t="str">
        <f>IF(ROUND(sales_data_1[[#This Row],[Profit_Margin]],2)=ROUND((sales_data_1[[#This Row],[Unit_Price]]*(1-sales_data_1[[#This Row],[Discount]]) - sales_data_1[[#This Row],[Unit_Cost]])*sales_data_1[[#This Row],[Quantity_Sold]],2), "PASS", "CHECK")</f>
        <v>PASS</v>
      </c>
    </row>
    <row r="1199" spans="1:20" x14ac:dyDescent="0.35">
      <c r="A1199" s="7">
        <v>1198</v>
      </c>
      <c r="B1199" s="9">
        <v>1054</v>
      </c>
      <c r="C1199" s="14" t="str">
        <f>IFERROR(_xlfn.TEXTJOIN("-", TRUE, _xlfn.XLOOKUP(K1199, product_category_id_lookup!$A$2:$A$5, product_category_id_lookup!$B$2:$B$5), B1199), "Unknown Category")</f>
        <v>etc-1054</v>
      </c>
      <c r="D1199" s="8">
        <v>44950</v>
      </c>
      <c r="E1199" s="14">
        <f t="shared" si="54"/>
        <v>2023</v>
      </c>
      <c r="F1199" s="29" t="str">
        <f t="shared" si="55"/>
        <v>Jan</v>
      </c>
      <c r="G1199" s="17" t="s">
        <v>14</v>
      </c>
      <c r="H1199" s="17" t="s">
        <v>30</v>
      </c>
      <c r="I1199" s="24">
        <v>98773.095713177856</v>
      </c>
      <c r="J1199" s="32">
        <v>22</v>
      </c>
      <c r="K1199" s="17" t="s">
        <v>31</v>
      </c>
      <c r="L1199" s="24">
        <v>4200.08</v>
      </c>
      <c r="M1199" s="24">
        <v>4647.28</v>
      </c>
      <c r="N1199" s="34">
        <f>((sales_data_1[[#This Row],[Unit_Price]]*(1-sales_data_1[[#This Row],[Discount]]))-sales_data_1[[#This Row],[Unit_Cost]])*sales_data_1[[#This Row],[Quantity_Sold]]</f>
        <v>6771.1951999999856</v>
      </c>
      <c r="O1199" s="17" t="s">
        <v>17</v>
      </c>
      <c r="P1199" s="26">
        <v>0.03</v>
      </c>
      <c r="Q1199" s="17" t="s">
        <v>18</v>
      </c>
      <c r="R1199" s="17" t="s">
        <v>19</v>
      </c>
      <c r="S1199" s="50" t="str">
        <f t="shared" si="56"/>
        <v>Bob-East</v>
      </c>
      <c r="T1199" s="59" t="str">
        <f>IF(ROUND(sales_data_1[[#This Row],[Profit_Margin]],2)=ROUND((sales_data_1[[#This Row],[Unit_Price]]*(1-sales_data_1[[#This Row],[Discount]]) - sales_data_1[[#This Row],[Unit_Cost]])*sales_data_1[[#This Row],[Quantity_Sold]],2), "PASS", "CHECK")</f>
        <v>PASS</v>
      </c>
    </row>
    <row r="1200" spans="1:20" x14ac:dyDescent="0.35">
      <c r="A1200" s="7">
        <v>1199</v>
      </c>
      <c r="B1200" s="9">
        <v>1061</v>
      </c>
      <c r="C1200" s="14" t="str">
        <f>IFERROR(_xlfn.TEXTJOIN("-", TRUE, _xlfn.XLOOKUP(K1200, product_category_id_lookup!$A$2:$A$5, product_category_id_lookup!$B$2:$B$5), B1200), "Unknown Category")</f>
        <v>fnt-1061</v>
      </c>
      <c r="D1200" s="8">
        <v>44951</v>
      </c>
      <c r="E1200" s="14">
        <f t="shared" si="54"/>
        <v>2023</v>
      </c>
      <c r="F1200" s="29" t="str">
        <f t="shared" si="55"/>
        <v>Jan</v>
      </c>
      <c r="G1200" s="17" t="s">
        <v>14</v>
      </c>
      <c r="H1200" s="17" t="s">
        <v>30</v>
      </c>
      <c r="I1200" s="24">
        <v>170889.00975550566</v>
      </c>
      <c r="J1200" s="32">
        <v>38</v>
      </c>
      <c r="K1200" s="17" t="s">
        <v>16</v>
      </c>
      <c r="L1200" s="24">
        <v>4440.8599999999997</v>
      </c>
      <c r="M1200" s="24">
        <v>4506.8099999999995</v>
      </c>
      <c r="N1200" s="34">
        <f>((sales_data_1[[#This Row],[Unit_Price]]*(1-sales_data_1[[#This Row],[Discount]]))-sales_data_1[[#This Row],[Unit_Cost]])*sales_data_1[[#This Row],[Quantity_Sold]]</f>
        <v>2506.0999999999931</v>
      </c>
      <c r="O1200" s="17" t="s">
        <v>17</v>
      </c>
      <c r="P1200" s="26">
        <v>0</v>
      </c>
      <c r="Q1200" s="17" t="s">
        <v>25</v>
      </c>
      <c r="R1200" s="17" t="s">
        <v>19</v>
      </c>
      <c r="S1200" s="50" t="str">
        <f t="shared" si="56"/>
        <v>Bob-East</v>
      </c>
      <c r="T1200" s="59" t="str">
        <f>IF(ROUND(sales_data_1[[#This Row],[Profit_Margin]],2)=ROUND((sales_data_1[[#This Row],[Unit_Price]]*(1-sales_data_1[[#This Row],[Discount]]) - sales_data_1[[#This Row],[Unit_Cost]])*sales_data_1[[#This Row],[Quantity_Sold]],2), "PASS", "CHECK")</f>
        <v>PASS</v>
      </c>
    </row>
    <row r="1201" spans="1:20" x14ac:dyDescent="0.35">
      <c r="A1201" s="7">
        <v>1200</v>
      </c>
      <c r="B1201" s="9">
        <v>1048</v>
      </c>
      <c r="C1201" s="14" t="str">
        <f>IFERROR(_xlfn.TEXTJOIN("-", TRUE, _xlfn.XLOOKUP(K1201, product_category_id_lookup!$A$2:$A$5, product_category_id_lookup!$B$2:$B$5), B1201), "Unknown Category")</f>
        <v>etc-1048</v>
      </c>
      <c r="D1201" s="8">
        <v>44951</v>
      </c>
      <c r="E1201" s="14">
        <f t="shared" si="54"/>
        <v>2023</v>
      </c>
      <c r="F1201" s="29" t="str">
        <f t="shared" si="55"/>
        <v>Jan</v>
      </c>
      <c r="G1201" s="17" t="s">
        <v>32</v>
      </c>
      <c r="H1201" s="17" t="s">
        <v>23</v>
      </c>
      <c r="I1201" s="24">
        <v>13902.009454875129</v>
      </c>
      <c r="J1201" s="32">
        <v>7</v>
      </c>
      <c r="K1201" s="17" t="s">
        <v>31</v>
      </c>
      <c r="L1201" s="24">
        <v>1655.43</v>
      </c>
      <c r="M1201" s="24">
        <v>2001.08</v>
      </c>
      <c r="N1201" s="34">
        <f>((sales_data_1[[#This Row],[Unit_Price]]*(1-sales_data_1[[#This Row],[Discount]]))-sales_data_1[[#This Row],[Unit_Cost]])*sales_data_1[[#This Row],[Quantity_Sold]]</f>
        <v>2279.4743999999992</v>
      </c>
      <c r="O1201" s="17" t="s">
        <v>27</v>
      </c>
      <c r="P1201" s="26">
        <v>0.01</v>
      </c>
      <c r="Q1201" s="17" t="s">
        <v>25</v>
      </c>
      <c r="R1201" s="17" t="s">
        <v>19</v>
      </c>
      <c r="S1201" s="50" t="str">
        <f t="shared" si="56"/>
        <v>Eve-South</v>
      </c>
      <c r="T1201" s="59" t="str">
        <f>IF(ROUND(sales_data_1[[#This Row],[Profit_Margin]],2)=ROUND((sales_data_1[[#This Row],[Unit_Price]]*(1-sales_data_1[[#This Row],[Discount]]) - sales_data_1[[#This Row],[Unit_Cost]])*sales_data_1[[#This Row],[Quantity_Sold]],2), "PASS", "CHECK")</f>
        <v>PASS</v>
      </c>
    </row>
    <row r="1202" spans="1:20" x14ac:dyDescent="0.35">
      <c r="A1202" s="7">
        <v>1201</v>
      </c>
      <c r="B1202" s="9">
        <v>1096</v>
      </c>
      <c r="C1202" s="14" t="str">
        <f>IFERROR(_xlfn.TEXTJOIN("-", TRUE, _xlfn.XLOOKUP(K1202, product_category_id_lookup!$A$2:$A$5, product_category_id_lookup!$B$2:$B$5), B1202), "Unknown Category")</f>
        <v>ctg-1096</v>
      </c>
      <c r="D1202" s="8">
        <v>44951</v>
      </c>
      <c r="E1202" s="14">
        <f t="shared" si="54"/>
        <v>2023</v>
      </c>
      <c r="F1202" s="29" t="str">
        <f t="shared" si="55"/>
        <v>Jan</v>
      </c>
      <c r="G1202" s="17" t="s">
        <v>29</v>
      </c>
      <c r="H1202" s="17" t="s">
        <v>20</v>
      </c>
      <c r="I1202" s="24">
        <v>133401.04738194478</v>
      </c>
      <c r="J1202" s="32">
        <v>27</v>
      </c>
      <c r="K1202" s="17" t="s">
        <v>26</v>
      </c>
      <c r="L1202" s="24">
        <v>4809</v>
      </c>
      <c r="M1202" s="24">
        <v>4967.4399999999996</v>
      </c>
      <c r="N1202" s="34">
        <f>((sales_data_1[[#This Row],[Unit_Price]]*(1-sales_data_1[[#This Row],[Discount]]))-sales_data_1[[#This Row],[Unit_Cost]])*sales_data_1[[#This Row],[Quantity_Sold]]</f>
        <v>2936.6711999999925</v>
      </c>
      <c r="O1202" s="17" t="s">
        <v>27</v>
      </c>
      <c r="P1202" s="26">
        <v>0.01</v>
      </c>
      <c r="Q1202" s="17" t="s">
        <v>18</v>
      </c>
      <c r="R1202" s="17" t="s">
        <v>19</v>
      </c>
      <c r="S1202" s="50" t="str">
        <f t="shared" si="56"/>
        <v>Charlie-West</v>
      </c>
      <c r="T1202" s="59" t="str">
        <f>IF(ROUND(sales_data_1[[#This Row],[Profit_Margin]],2)=ROUND((sales_data_1[[#This Row],[Unit_Price]]*(1-sales_data_1[[#This Row],[Discount]]) - sales_data_1[[#This Row],[Unit_Cost]])*sales_data_1[[#This Row],[Quantity_Sold]],2), "PASS", "CHECK")</f>
        <v>PASS</v>
      </c>
    </row>
    <row r="1203" spans="1:20" x14ac:dyDescent="0.35">
      <c r="A1203" s="7">
        <v>1202</v>
      </c>
      <c r="B1203" s="9">
        <v>1011</v>
      </c>
      <c r="C1203" s="14" t="str">
        <f>IFERROR(_xlfn.TEXTJOIN("-", TRUE, _xlfn.XLOOKUP(K1203, product_category_id_lookup!$A$2:$A$5, product_category_id_lookup!$B$2:$B$5), B1203), "Unknown Category")</f>
        <v>etc-1011</v>
      </c>
      <c r="D1203" s="8">
        <v>44951</v>
      </c>
      <c r="E1203" s="14">
        <f t="shared" si="54"/>
        <v>2023</v>
      </c>
      <c r="F1203" s="29" t="str">
        <f t="shared" si="55"/>
        <v>Jan</v>
      </c>
      <c r="G1203" s="17" t="s">
        <v>32</v>
      </c>
      <c r="H1203" s="17" t="s">
        <v>15</v>
      </c>
      <c r="I1203" s="24">
        <v>32952.660566846556</v>
      </c>
      <c r="J1203" s="32">
        <v>22</v>
      </c>
      <c r="K1203" s="17" t="s">
        <v>31</v>
      </c>
      <c r="L1203" s="24">
        <v>1324.52</v>
      </c>
      <c r="M1203" s="24">
        <v>1510.3</v>
      </c>
      <c r="N1203" s="34">
        <f>((sales_data_1[[#This Row],[Unit_Price]]*(1-sales_data_1[[#This Row],[Discount]]))-sales_data_1[[#This Row],[Unit_Cost]])*sales_data_1[[#This Row],[Quantity_Sold]]</f>
        <v>3754.893999999998</v>
      </c>
      <c r="O1203" s="17" t="s">
        <v>17</v>
      </c>
      <c r="P1203" s="26">
        <v>0.01</v>
      </c>
      <c r="Q1203" s="17" t="s">
        <v>18</v>
      </c>
      <c r="R1203" s="17" t="s">
        <v>21</v>
      </c>
      <c r="S1203" s="50" t="str">
        <f t="shared" si="56"/>
        <v>Eve-North</v>
      </c>
      <c r="T1203" s="59" t="str">
        <f>IF(ROUND(sales_data_1[[#This Row],[Profit_Margin]],2)=ROUND((sales_data_1[[#This Row],[Unit_Price]]*(1-sales_data_1[[#This Row],[Discount]]) - sales_data_1[[#This Row],[Unit_Cost]])*sales_data_1[[#This Row],[Quantity_Sold]],2), "PASS", "CHECK")</f>
        <v>PASS</v>
      </c>
    </row>
    <row r="1204" spans="1:20" x14ac:dyDescent="0.35">
      <c r="A1204" s="7">
        <v>1203</v>
      </c>
      <c r="B1204" s="9">
        <v>1090</v>
      </c>
      <c r="C1204" s="14" t="str">
        <f>IFERROR(_xlfn.TEXTJOIN("-", TRUE, _xlfn.XLOOKUP(K1204, product_category_id_lookup!$A$2:$A$5, product_category_id_lookup!$B$2:$B$5), B1204), "Unknown Category")</f>
        <v>ctg-1090</v>
      </c>
      <c r="D1204" s="8">
        <v>44951</v>
      </c>
      <c r="E1204" s="14">
        <f t="shared" si="54"/>
        <v>2023</v>
      </c>
      <c r="F1204" s="29" t="str">
        <f t="shared" si="55"/>
        <v>Jan</v>
      </c>
      <c r="G1204" s="17" t="s">
        <v>29</v>
      </c>
      <c r="H1204" s="17" t="s">
        <v>23</v>
      </c>
      <c r="I1204" s="24">
        <v>75065.995318405985</v>
      </c>
      <c r="J1204" s="32">
        <v>17</v>
      </c>
      <c r="K1204" s="17" t="s">
        <v>26</v>
      </c>
      <c r="L1204" s="24">
        <v>4190.26</v>
      </c>
      <c r="M1204" s="24">
        <v>4645.3500000000004</v>
      </c>
      <c r="N1204" s="34">
        <f>((sales_data_1[[#This Row],[Unit_Price]]*(1-sales_data_1[[#This Row],[Discount]]))-sales_data_1[[#This Row],[Unit_Cost]])*sales_data_1[[#This Row],[Quantity_Sold]]</f>
        <v>3787.9825000000037</v>
      </c>
      <c r="O1204" s="17" t="s">
        <v>27</v>
      </c>
      <c r="P1204" s="26">
        <v>0.05</v>
      </c>
      <c r="Q1204" s="17" t="s">
        <v>28</v>
      </c>
      <c r="R1204" s="17" t="s">
        <v>21</v>
      </c>
      <c r="S1204" s="50" t="str">
        <f t="shared" si="56"/>
        <v>Charlie-South</v>
      </c>
      <c r="T1204" s="59" t="str">
        <f>IF(ROUND(sales_data_1[[#This Row],[Profit_Margin]],2)=ROUND((sales_data_1[[#This Row],[Unit_Price]]*(1-sales_data_1[[#This Row],[Discount]]) - sales_data_1[[#This Row],[Unit_Cost]])*sales_data_1[[#This Row],[Quantity_Sold]],2), "PASS", "CHECK")</f>
        <v>PASS</v>
      </c>
    </row>
    <row r="1205" spans="1:20" x14ac:dyDescent="0.35">
      <c r="A1205" s="7">
        <v>1204</v>
      </c>
      <c r="B1205" s="9">
        <v>1083</v>
      </c>
      <c r="C1205" s="14" t="str">
        <f>IFERROR(_xlfn.TEXTJOIN("-", TRUE, _xlfn.XLOOKUP(K1205, product_category_id_lookup!$A$2:$A$5, product_category_id_lookup!$B$2:$B$5), B1205), "Unknown Category")</f>
        <v>ctg-1083</v>
      </c>
      <c r="D1205" s="8">
        <v>44951</v>
      </c>
      <c r="E1205" s="14">
        <f t="shared" si="54"/>
        <v>2023</v>
      </c>
      <c r="F1205" s="29" t="str">
        <f t="shared" si="55"/>
        <v>Jan</v>
      </c>
      <c r="G1205" s="17" t="s">
        <v>22</v>
      </c>
      <c r="H1205" s="17" t="s">
        <v>30</v>
      </c>
      <c r="I1205" s="24">
        <v>46820.087600000006</v>
      </c>
      <c r="J1205" s="32">
        <v>34</v>
      </c>
      <c r="K1205" s="17" t="s">
        <v>26</v>
      </c>
      <c r="L1205" s="24">
        <v>1167.9100000000001</v>
      </c>
      <c r="M1205" s="24">
        <v>1547.2600000000002</v>
      </c>
      <c r="N1205" s="34">
        <f>((sales_data_1[[#This Row],[Unit_Price]]*(1-sales_data_1[[#This Row],[Discount]]))-sales_data_1[[#This Row],[Unit_Cost]])*sales_data_1[[#This Row],[Quantity_Sold]]</f>
        <v>7111.1476000000066</v>
      </c>
      <c r="O1205" s="17" t="s">
        <v>27</v>
      </c>
      <c r="P1205" s="26">
        <v>0.11</v>
      </c>
      <c r="Q1205" s="17" t="s">
        <v>25</v>
      </c>
      <c r="R1205" s="17" t="s">
        <v>19</v>
      </c>
      <c r="S1205" s="50" t="str">
        <f t="shared" si="56"/>
        <v>David-East</v>
      </c>
      <c r="T1205" s="59" t="str">
        <f>IF(ROUND(sales_data_1[[#This Row],[Profit_Margin]],2)=ROUND((sales_data_1[[#This Row],[Unit_Price]]*(1-sales_data_1[[#This Row],[Discount]]) - sales_data_1[[#This Row],[Unit_Cost]])*sales_data_1[[#This Row],[Quantity_Sold]],2), "PASS", "CHECK")</f>
        <v>PASS</v>
      </c>
    </row>
    <row r="1206" spans="1:20" x14ac:dyDescent="0.35">
      <c r="A1206" s="7">
        <v>1205</v>
      </c>
      <c r="B1206" s="9">
        <v>1026</v>
      </c>
      <c r="C1206" s="14" t="str">
        <f>IFERROR(_xlfn.TEXTJOIN("-", TRUE, _xlfn.XLOOKUP(K1206, product_category_id_lookup!$A$2:$A$5, product_category_id_lookup!$B$2:$B$5), B1206), "Unknown Category")</f>
        <v>fd-1026</v>
      </c>
      <c r="D1206" s="8">
        <v>44952</v>
      </c>
      <c r="E1206" s="14">
        <f t="shared" si="54"/>
        <v>2023</v>
      </c>
      <c r="F1206" s="29" t="str">
        <f t="shared" si="55"/>
        <v>Jan</v>
      </c>
      <c r="G1206" s="17" t="s">
        <v>22</v>
      </c>
      <c r="H1206" s="17" t="s">
        <v>30</v>
      </c>
      <c r="I1206" s="24">
        <v>20475.463879624982</v>
      </c>
      <c r="J1206" s="32">
        <v>5</v>
      </c>
      <c r="K1206" s="17" t="s">
        <v>24</v>
      </c>
      <c r="L1206" s="24">
        <v>4093.61</v>
      </c>
      <c r="M1206" s="24">
        <v>4117.88</v>
      </c>
      <c r="N1206" s="34">
        <f>((sales_data_1[[#This Row],[Unit_Price]]*(1-sales_data_1[[#This Row],[Discount]]))-sales_data_1[[#This Row],[Unit_Cost]])*sales_data_1[[#This Row],[Quantity_Sold]]</f>
        <v>-84.544000000000779</v>
      </c>
      <c r="O1206" s="17" t="s">
        <v>17</v>
      </c>
      <c r="P1206" s="26">
        <v>0.01</v>
      </c>
      <c r="Q1206" s="17" t="s">
        <v>28</v>
      </c>
      <c r="R1206" s="17" t="s">
        <v>21</v>
      </c>
      <c r="S1206" s="50" t="str">
        <f t="shared" si="56"/>
        <v>David-East</v>
      </c>
      <c r="T1206" s="59" t="str">
        <f>IF(ROUND(sales_data_1[[#This Row],[Profit_Margin]],2)=ROUND((sales_data_1[[#This Row],[Unit_Price]]*(1-sales_data_1[[#This Row],[Discount]]) - sales_data_1[[#This Row],[Unit_Cost]])*sales_data_1[[#This Row],[Quantity_Sold]],2), "PASS", "CHECK")</f>
        <v>PASS</v>
      </c>
    </row>
    <row r="1207" spans="1:20" x14ac:dyDescent="0.35">
      <c r="A1207" s="7">
        <v>1206</v>
      </c>
      <c r="B1207" s="9">
        <v>1018</v>
      </c>
      <c r="C1207" s="14" t="str">
        <f>IFERROR(_xlfn.TEXTJOIN("-", TRUE, _xlfn.XLOOKUP(K1207, product_category_id_lookup!$A$2:$A$5, product_category_id_lookup!$B$2:$B$5), B1207), "Unknown Category")</f>
        <v>ctg-1018</v>
      </c>
      <c r="D1207" s="8">
        <v>44952</v>
      </c>
      <c r="E1207" s="14">
        <f t="shared" si="54"/>
        <v>2023</v>
      </c>
      <c r="F1207" s="29" t="str">
        <f t="shared" si="55"/>
        <v>Jan</v>
      </c>
      <c r="G1207" s="17" t="s">
        <v>33</v>
      </c>
      <c r="H1207" s="17" t="s">
        <v>30</v>
      </c>
      <c r="I1207" s="24">
        <v>27709.77</v>
      </c>
      <c r="J1207" s="32">
        <v>11</v>
      </c>
      <c r="K1207" s="17" t="s">
        <v>26</v>
      </c>
      <c r="L1207" s="24">
        <v>2414.8200000000002</v>
      </c>
      <c r="M1207" s="24">
        <v>2519.0700000000002</v>
      </c>
      <c r="N1207" s="34">
        <f>((sales_data_1[[#This Row],[Unit_Price]]*(1-sales_data_1[[#This Row],[Discount]]))-sales_data_1[[#This Row],[Unit_Cost]])*sales_data_1[[#This Row],[Quantity_Sold]]</f>
        <v>1146.75</v>
      </c>
      <c r="O1207" s="17" t="s">
        <v>17</v>
      </c>
      <c r="P1207" s="26">
        <v>0</v>
      </c>
      <c r="Q1207" s="17" t="s">
        <v>18</v>
      </c>
      <c r="R1207" s="17" t="s">
        <v>19</v>
      </c>
      <c r="S1207" s="50" t="str">
        <f t="shared" si="56"/>
        <v>Alice-East</v>
      </c>
      <c r="T1207" s="59" t="str">
        <f>IF(ROUND(sales_data_1[[#This Row],[Profit_Margin]],2)=ROUND((sales_data_1[[#This Row],[Unit_Price]]*(1-sales_data_1[[#This Row],[Discount]]) - sales_data_1[[#This Row],[Unit_Cost]])*sales_data_1[[#This Row],[Quantity_Sold]],2), "PASS", "CHECK")</f>
        <v>PASS</v>
      </c>
    </row>
    <row r="1208" spans="1:20" x14ac:dyDescent="0.35">
      <c r="A1208" s="7">
        <v>1207</v>
      </c>
      <c r="B1208" s="9">
        <v>1023</v>
      </c>
      <c r="C1208" s="14" t="str">
        <f>IFERROR(_xlfn.TEXTJOIN("-", TRUE, _xlfn.XLOOKUP(K1208, product_category_id_lookup!$A$2:$A$5, product_category_id_lookup!$B$2:$B$5), B1208), "Unknown Category")</f>
        <v>ctg-1023</v>
      </c>
      <c r="D1208" s="8">
        <v>44952</v>
      </c>
      <c r="E1208" s="14">
        <f t="shared" si="54"/>
        <v>2023</v>
      </c>
      <c r="F1208" s="29" t="str">
        <f t="shared" si="55"/>
        <v>Jan</v>
      </c>
      <c r="G1208" s="17" t="s">
        <v>22</v>
      </c>
      <c r="H1208" s="17" t="s">
        <v>15</v>
      </c>
      <c r="I1208" s="24">
        <v>80600.617362429301</v>
      </c>
      <c r="J1208" s="32">
        <v>36</v>
      </c>
      <c r="K1208" s="17" t="s">
        <v>26</v>
      </c>
      <c r="L1208" s="24">
        <v>1991.72</v>
      </c>
      <c r="M1208" s="24">
        <v>2329.37</v>
      </c>
      <c r="N1208" s="34">
        <f>((sales_data_1[[#This Row],[Unit_Price]]*(1-sales_data_1[[#This Row],[Discount]]))-sales_data_1[[#This Row],[Unit_Cost]])*sales_data_1[[#This Row],[Quantity_Sold]]</f>
        <v>8801.1071999999876</v>
      </c>
      <c r="O1208" s="17" t="s">
        <v>27</v>
      </c>
      <c r="P1208" s="26">
        <v>0.04</v>
      </c>
      <c r="Q1208" s="17" t="s">
        <v>28</v>
      </c>
      <c r="R1208" s="17" t="s">
        <v>21</v>
      </c>
      <c r="S1208" s="50" t="str">
        <f t="shared" si="56"/>
        <v>David-North</v>
      </c>
      <c r="T1208" s="59" t="str">
        <f>IF(ROUND(sales_data_1[[#This Row],[Profit_Margin]],2)=ROUND((sales_data_1[[#This Row],[Unit_Price]]*(1-sales_data_1[[#This Row],[Discount]]) - sales_data_1[[#This Row],[Unit_Cost]])*sales_data_1[[#This Row],[Quantity_Sold]],2), "PASS", "CHECK")</f>
        <v>PASS</v>
      </c>
    </row>
    <row r="1209" spans="1:20" x14ac:dyDescent="0.35">
      <c r="A1209" s="7">
        <v>1208</v>
      </c>
      <c r="B1209" s="9">
        <v>1065</v>
      </c>
      <c r="C1209" s="14" t="str">
        <f>IFERROR(_xlfn.TEXTJOIN("-", TRUE, _xlfn.XLOOKUP(K1209, product_category_id_lookup!$A$2:$A$5, product_category_id_lookup!$B$2:$B$5), B1209), "Unknown Category")</f>
        <v>etc-1065</v>
      </c>
      <c r="D1209" s="8">
        <v>44953</v>
      </c>
      <c r="E1209" s="14">
        <f t="shared" si="54"/>
        <v>2023</v>
      </c>
      <c r="F1209" s="29" t="str">
        <f t="shared" si="55"/>
        <v>Jan</v>
      </c>
      <c r="G1209" s="17" t="s">
        <v>14</v>
      </c>
      <c r="H1209" s="17" t="s">
        <v>23</v>
      </c>
      <c r="I1209" s="24">
        <v>24711.331082794124</v>
      </c>
      <c r="J1209" s="32">
        <v>12</v>
      </c>
      <c r="K1209" s="17" t="s">
        <v>31</v>
      </c>
      <c r="L1209" s="24">
        <v>2035.68</v>
      </c>
      <c r="M1209" s="24">
        <v>2079.64</v>
      </c>
      <c r="N1209" s="34">
        <f>((sales_data_1[[#This Row],[Unit_Price]]*(1-sales_data_1[[#This Row],[Discount]]))-sales_data_1[[#This Row],[Unit_Cost]])*sales_data_1[[#This Row],[Quantity_Sold]]</f>
        <v>277.9631999999956</v>
      </c>
      <c r="O1209" s="17" t="s">
        <v>17</v>
      </c>
      <c r="P1209" s="26">
        <v>0.01</v>
      </c>
      <c r="Q1209" s="17" t="s">
        <v>18</v>
      </c>
      <c r="R1209" s="17" t="s">
        <v>19</v>
      </c>
      <c r="S1209" s="50" t="str">
        <f t="shared" si="56"/>
        <v>Bob-South</v>
      </c>
      <c r="T1209" s="59" t="str">
        <f>IF(ROUND(sales_data_1[[#This Row],[Profit_Margin]],2)=ROUND((sales_data_1[[#This Row],[Unit_Price]]*(1-sales_data_1[[#This Row],[Discount]]) - sales_data_1[[#This Row],[Unit_Cost]])*sales_data_1[[#This Row],[Quantity_Sold]],2), "PASS", "CHECK")</f>
        <v>PASS</v>
      </c>
    </row>
    <row r="1210" spans="1:20" x14ac:dyDescent="0.35">
      <c r="A1210" s="7">
        <v>1209</v>
      </c>
      <c r="B1210" s="9">
        <v>1016</v>
      </c>
      <c r="C1210" s="14" t="str">
        <f>IFERROR(_xlfn.TEXTJOIN("-", TRUE, _xlfn.XLOOKUP(K1210, product_category_id_lookup!$A$2:$A$5, product_category_id_lookup!$B$2:$B$5), B1210), "Unknown Category")</f>
        <v>fd-1016</v>
      </c>
      <c r="D1210" s="8">
        <v>44953</v>
      </c>
      <c r="E1210" s="14">
        <f t="shared" si="54"/>
        <v>2023</v>
      </c>
      <c r="F1210" s="29" t="str">
        <f t="shared" si="55"/>
        <v>Jan</v>
      </c>
      <c r="G1210" s="17" t="s">
        <v>32</v>
      </c>
      <c r="H1210" s="17" t="s">
        <v>15</v>
      </c>
      <c r="I1210" s="24">
        <v>140303.24533241143</v>
      </c>
      <c r="J1210" s="32">
        <v>41</v>
      </c>
      <c r="K1210" s="17" t="s">
        <v>24</v>
      </c>
      <c r="L1210" s="24">
        <v>3386.49</v>
      </c>
      <c r="M1210" s="24">
        <v>3430.99</v>
      </c>
      <c r="N1210" s="34">
        <f>((sales_data_1[[#This Row],[Unit_Price]]*(1-sales_data_1[[#This Row],[Discount]]))-sales_data_1[[#This Row],[Unit_Cost]])*sales_data_1[[#This Row],[Quantity_Sold]]</f>
        <v>1824.5</v>
      </c>
      <c r="O1210" s="17" t="s">
        <v>27</v>
      </c>
      <c r="P1210" s="26">
        <v>0</v>
      </c>
      <c r="Q1210" s="17" t="s">
        <v>25</v>
      </c>
      <c r="R1210" s="17" t="s">
        <v>21</v>
      </c>
      <c r="S1210" s="50" t="str">
        <f t="shared" si="56"/>
        <v>Eve-North</v>
      </c>
      <c r="T1210" s="59" t="str">
        <f>IF(ROUND(sales_data_1[[#This Row],[Profit_Margin]],2)=ROUND((sales_data_1[[#This Row],[Unit_Price]]*(1-sales_data_1[[#This Row],[Discount]]) - sales_data_1[[#This Row],[Unit_Cost]])*sales_data_1[[#This Row],[Quantity_Sold]],2), "PASS", "CHECK")</f>
        <v>PASS</v>
      </c>
    </row>
    <row r="1211" spans="1:20" x14ac:dyDescent="0.35">
      <c r="A1211" s="7">
        <v>1210</v>
      </c>
      <c r="B1211" s="9">
        <v>1092</v>
      </c>
      <c r="C1211" s="14" t="str">
        <f>IFERROR(_xlfn.TEXTJOIN("-", TRUE, _xlfn.XLOOKUP(K1211, product_category_id_lookup!$A$2:$A$5, product_category_id_lookup!$B$2:$B$5), B1211), "Unknown Category")</f>
        <v>fnt-1092</v>
      </c>
      <c r="D1211" s="8">
        <v>44953</v>
      </c>
      <c r="E1211" s="14">
        <f t="shared" si="54"/>
        <v>2023</v>
      </c>
      <c r="F1211" s="29" t="str">
        <f t="shared" si="55"/>
        <v>Jan</v>
      </c>
      <c r="G1211" s="17" t="s">
        <v>22</v>
      </c>
      <c r="H1211" s="17" t="s">
        <v>20</v>
      </c>
      <c r="I1211" s="24">
        <v>100579.63407117853</v>
      </c>
      <c r="J1211" s="32">
        <v>26</v>
      </c>
      <c r="K1211" s="17" t="s">
        <v>16</v>
      </c>
      <c r="L1211" s="24">
        <v>3697.29</v>
      </c>
      <c r="M1211" s="24">
        <v>4003.96</v>
      </c>
      <c r="N1211" s="34">
        <f>((sales_data_1[[#This Row],[Unit_Price]]*(1-sales_data_1[[#This Row],[Discount]]))-sales_data_1[[#This Row],[Unit_Cost]])*sales_data_1[[#This Row],[Quantity_Sold]]</f>
        <v>4850.3311999999969</v>
      </c>
      <c r="O1211" s="17" t="s">
        <v>27</v>
      </c>
      <c r="P1211" s="26">
        <v>0.03</v>
      </c>
      <c r="Q1211" s="17" t="s">
        <v>18</v>
      </c>
      <c r="R1211" s="17" t="s">
        <v>19</v>
      </c>
      <c r="S1211" s="50" t="str">
        <f t="shared" si="56"/>
        <v>David-West</v>
      </c>
      <c r="T1211" s="59" t="str">
        <f>IF(ROUND(sales_data_1[[#This Row],[Profit_Margin]],2)=ROUND((sales_data_1[[#This Row],[Unit_Price]]*(1-sales_data_1[[#This Row],[Discount]]) - sales_data_1[[#This Row],[Unit_Cost]])*sales_data_1[[#This Row],[Quantity_Sold]],2), "PASS", "CHECK")</f>
        <v>PASS</v>
      </c>
    </row>
    <row r="1212" spans="1:20" x14ac:dyDescent="0.35">
      <c r="A1212" s="7">
        <v>1211</v>
      </c>
      <c r="B1212" s="9">
        <v>1034</v>
      </c>
      <c r="C1212" s="14" t="str">
        <f>IFERROR(_xlfn.TEXTJOIN("-", TRUE, _xlfn.XLOOKUP(K1212, product_category_id_lookup!$A$2:$A$5, product_category_id_lookup!$B$2:$B$5), B1212), "Unknown Category")</f>
        <v>fd-1034</v>
      </c>
      <c r="D1212" s="8">
        <v>44953</v>
      </c>
      <c r="E1212" s="14">
        <f t="shared" si="54"/>
        <v>2023</v>
      </c>
      <c r="F1212" s="29" t="str">
        <f t="shared" si="55"/>
        <v>Jan</v>
      </c>
      <c r="G1212" s="17" t="s">
        <v>14</v>
      </c>
      <c r="H1212" s="17" t="s">
        <v>30</v>
      </c>
      <c r="I1212" s="24">
        <v>115926.03</v>
      </c>
      <c r="J1212" s="32">
        <v>38</v>
      </c>
      <c r="K1212" s="17" t="s">
        <v>24</v>
      </c>
      <c r="L1212" s="24">
        <v>2729.75</v>
      </c>
      <c r="M1212" s="24">
        <v>3081.5</v>
      </c>
      <c r="N1212" s="34">
        <f>((sales_data_1[[#This Row],[Unit_Price]]*(1-sales_data_1[[#This Row],[Discount]]))-sales_data_1[[#This Row],[Unit_Cost]])*sales_data_1[[#This Row],[Quantity_Sold]]</f>
        <v>12195.529999999999</v>
      </c>
      <c r="O1212" s="17" t="s">
        <v>27</v>
      </c>
      <c r="P1212" s="26">
        <v>0.01</v>
      </c>
      <c r="Q1212" s="17" t="s">
        <v>25</v>
      </c>
      <c r="R1212" s="17" t="s">
        <v>19</v>
      </c>
      <c r="S1212" s="50" t="str">
        <f t="shared" si="56"/>
        <v>Bob-East</v>
      </c>
      <c r="T1212" s="59" t="str">
        <f>IF(ROUND(sales_data_1[[#This Row],[Profit_Margin]],2)=ROUND((sales_data_1[[#This Row],[Unit_Price]]*(1-sales_data_1[[#This Row],[Discount]]) - sales_data_1[[#This Row],[Unit_Cost]])*sales_data_1[[#This Row],[Quantity_Sold]],2), "PASS", "CHECK")</f>
        <v>PASS</v>
      </c>
    </row>
    <row r="1213" spans="1:20" x14ac:dyDescent="0.35">
      <c r="A1213" s="7">
        <v>1212</v>
      </c>
      <c r="B1213" s="9">
        <v>1007</v>
      </c>
      <c r="C1213" s="14" t="str">
        <f>IFERROR(_xlfn.TEXTJOIN("-", TRUE, _xlfn.XLOOKUP(K1213, product_category_id_lookup!$A$2:$A$5, product_category_id_lookup!$B$2:$B$5), B1213), "Unknown Category")</f>
        <v>fnt-1007</v>
      </c>
      <c r="D1213" s="8">
        <v>44955</v>
      </c>
      <c r="E1213" s="14">
        <f t="shared" si="54"/>
        <v>2023</v>
      </c>
      <c r="F1213" s="29" t="str">
        <f t="shared" si="55"/>
        <v>Jan</v>
      </c>
      <c r="G1213" s="17" t="s">
        <v>29</v>
      </c>
      <c r="H1213" s="17" t="s">
        <v>20</v>
      </c>
      <c r="I1213" s="24">
        <v>49758.531118106424</v>
      </c>
      <c r="J1213" s="32">
        <v>13</v>
      </c>
      <c r="K1213" s="17" t="s">
        <v>16</v>
      </c>
      <c r="L1213" s="24">
        <v>3765.46</v>
      </c>
      <c r="M1213" s="24">
        <v>3860.56</v>
      </c>
      <c r="N1213" s="34">
        <f>((sales_data_1[[#This Row],[Unit_Price]]*(1-sales_data_1[[#This Row],[Discount]]))-sales_data_1[[#This Row],[Unit_Cost]])*sales_data_1[[#This Row],[Quantity_Sold]]</f>
        <v>734.42720000000054</v>
      </c>
      <c r="O1213" s="17" t="s">
        <v>17</v>
      </c>
      <c r="P1213" s="26">
        <v>0.01</v>
      </c>
      <c r="Q1213" s="17" t="s">
        <v>18</v>
      </c>
      <c r="R1213" s="17" t="s">
        <v>21</v>
      </c>
      <c r="S1213" s="50" t="str">
        <f t="shared" si="56"/>
        <v>Charlie-West</v>
      </c>
      <c r="T1213" s="59" t="str">
        <f>IF(ROUND(sales_data_1[[#This Row],[Profit_Margin]],2)=ROUND((sales_data_1[[#This Row],[Unit_Price]]*(1-sales_data_1[[#This Row],[Discount]]) - sales_data_1[[#This Row],[Unit_Cost]])*sales_data_1[[#This Row],[Quantity_Sold]],2), "PASS", "CHECK")</f>
        <v>PASS</v>
      </c>
    </row>
    <row r="1214" spans="1:20" x14ac:dyDescent="0.35">
      <c r="A1214" s="7">
        <v>1213</v>
      </c>
      <c r="B1214" s="9">
        <v>1009</v>
      </c>
      <c r="C1214" s="14" t="str">
        <f>IFERROR(_xlfn.TEXTJOIN("-", TRUE, _xlfn.XLOOKUP(K1214, product_category_id_lookup!$A$2:$A$5, product_category_id_lookup!$B$2:$B$5), B1214), "Unknown Category")</f>
        <v>ctg-1009</v>
      </c>
      <c r="D1214" s="8">
        <v>44955</v>
      </c>
      <c r="E1214" s="14">
        <f t="shared" si="54"/>
        <v>2023</v>
      </c>
      <c r="F1214" s="29" t="str">
        <f t="shared" si="55"/>
        <v>Jan</v>
      </c>
      <c r="G1214" s="17" t="s">
        <v>32</v>
      </c>
      <c r="H1214" s="17" t="s">
        <v>20</v>
      </c>
      <c r="I1214" s="24">
        <v>61574.340264699997</v>
      </c>
      <c r="J1214" s="32">
        <v>16</v>
      </c>
      <c r="K1214" s="17" t="s">
        <v>26</v>
      </c>
      <c r="L1214" s="24">
        <v>3745.69</v>
      </c>
      <c r="M1214" s="24">
        <v>3883.77</v>
      </c>
      <c r="N1214" s="34">
        <f>((sales_data_1[[#This Row],[Unit_Price]]*(1-sales_data_1[[#This Row],[Discount]]))-sales_data_1[[#This Row],[Unit_Cost]])*sales_data_1[[#This Row],[Quantity_Sold]]</f>
        <v>1587.8767999999982</v>
      </c>
      <c r="O1214" s="17" t="s">
        <v>17</v>
      </c>
      <c r="P1214" s="26">
        <v>0.01</v>
      </c>
      <c r="Q1214" s="17" t="s">
        <v>25</v>
      </c>
      <c r="R1214" s="17" t="s">
        <v>21</v>
      </c>
      <c r="S1214" s="50" t="str">
        <f t="shared" si="56"/>
        <v>Eve-West</v>
      </c>
      <c r="T1214" s="59" t="str">
        <f>IF(ROUND(sales_data_1[[#This Row],[Profit_Margin]],2)=ROUND((sales_data_1[[#This Row],[Unit_Price]]*(1-sales_data_1[[#This Row],[Discount]]) - sales_data_1[[#This Row],[Unit_Cost]])*sales_data_1[[#This Row],[Quantity_Sold]],2), "PASS", "CHECK")</f>
        <v>PASS</v>
      </c>
    </row>
    <row r="1215" spans="1:20" x14ac:dyDescent="0.35">
      <c r="A1215" s="7">
        <v>1214</v>
      </c>
      <c r="B1215" s="9">
        <v>1042</v>
      </c>
      <c r="C1215" s="14" t="str">
        <f>IFERROR(_xlfn.TEXTJOIN("-", TRUE, _xlfn.XLOOKUP(K1215, product_category_id_lookup!$A$2:$A$5, product_category_id_lookup!$B$2:$B$5), B1215), "Unknown Category")</f>
        <v>fd-1042</v>
      </c>
      <c r="D1215" s="8">
        <v>44955</v>
      </c>
      <c r="E1215" s="14">
        <f t="shared" si="54"/>
        <v>2023</v>
      </c>
      <c r="F1215" s="29" t="str">
        <f t="shared" si="55"/>
        <v>Jan</v>
      </c>
      <c r="G1215" s="17" t="s">
        <v>32</v>
      </c>
      <c r="H1215" s="17" t="s">
        <v>15</v>
      </c>
      <c r="I1215" s="24">
        <v>61999.68</v>
      </c>
      <c r="J1215" s="32">
        <v>25</v>
      </c>
      <c r="K1215" s="17" t="s">
        <v>24</v>
      </c>
      <c r="L1215" s="24">
        <v>2403.54</v>
      </c>
      <c r="M1215" s="24">
        <v>2850.56</v>
      </c>
      <c r="N1215" s="34">
        <f>((sales_data_1[[#This Row],[Unit_Price]]*(1-sales_data_1[[#This Row],[Discount]]))-sales_data_1[[#This Row],[Unit_Cost]])*sales_data_1[[#This Row],[Quantity_Sold]]</f>
        <v>1911.1800000000017</v>
      </c>
      <c r="O1215" s="17" t="s">
        <v>27</v>
      </c>
      <c r="P1215" s="26">
        <v>0.13</v>
      </c>
      <c r="Q1215" s="17" t="s">
        <v>25</v>
      </c>
      <c r="R1215" s="17" t="s">
        <v>19</v>
      </c>
      <c r="S1215" s="50" t="str">
        <f t="shared" si="56"/>
        <v>Eve-North</v>
      </c>
      <c r="T1215" s="59" t="str">
        <f>IF(ROUND(sales_data_1[[#This Row],[Profit_Margin]],2)=ROUND((sales_data_1[[#This Row],[Unit_Price]]*(1-sales_data_1[[#This Row],[Discount]]) - sales_data_1[[#This Row],[Unit_Cost]])*sales_data_1[[#This Row],[Quantity_Sold]],2), "PASS", "CHECK")</f>
        <v>PASS</v>
      </c>
    </row>
    <row r="1216" spans="1:20" x14ac:dyDescent="0.35">
      <c r="A1216" s="7">
        <v>1215</v>
      </c>
      <c r="B1216" s="9">
        <v>1092</v>
      </c>
      <c r="C1216" s="14" t="str">
        <f>IFERROR(_xlfn.TEXTJOIN("-", TRUE, _xlfn.XLOOKUP(K1216, product_category_id_lookup!$A$2:$A$5, product_category_id_lookup!$B$2:$B$5), B1216), "Unknown Category")</f>
        <v>ctg-1092</v>
      </c>
      <c r="D1216" s="8">
        <v>44955</v>
      </c>
      <c r="E1216" s="14">
        <f t="shared" si="54"/>
        <v>2023</v>
      </c>
      <c r="F1216" s="29" t="str">
        <f t="shared" si="55"/>
        <v>Jan</v>
      </c>
      <c r="G1216" s="17" t="s">
        <v>14</v>
      </c>
      <c r="H1216" s="17" t="s">
        <v>23</v>
      </c>
      <c r="I1216" s="24">
        <v>37448.426730661362</v>
      </c>
      <c r="J1216" s="32">
        <v>13</v>
      </c>
      <c r="K1216" s="17" t="s">
        <v>26</v>
      </c>
      <c r="L1216" s="24">
        <v>2684.5</v>
      </c>
      <c r="M1216" s="24">
        <v>2913.78</v>
      </c>
      <c r="N1216" s="34">
        <f>((sales_data_1[[#This Row],[Unit_Price]]*(1-sales_data_1[[#This Row],[Discount]]))-sales_data_1[[#This Row],[Unit_Cost]])*sales_data_1[[#This Row],[Quantity_Sold]]</f>
        <v>2601.848600000003</v>
      </c>
      <c r="O1216" s="17" t="s">
        <v>27</v>
      </c>
      <c r="P1216" s="26">
        <v>0.01</v>
      </c>
      <c r="Q1216" s="17" t="s">
        <v>28</v>
      </c>
      <c r="R1216" s="17" t="s">
        <v>21</v>
      </c>
      <c r="S1216" s="50" t="str">
        <f t="shared" si="56"/>
        <v>Bob-South</v>
      </c>
      <c r="T1216" s="59" t="str">
        <f>IF(ROUND(sales_data_1[[#This Row],[Profit_Margin]],2)=ROUND((sales_data_1[[#This Row],[Unit_Price]]*(1-sales_data_1[[#This Row],[Discount]]) - sales_data_1[[#This Row],[Unit_Cost]])*sales_data_1[[#This Row],[Quantity_Sold]],2), "PASS", "CHECK")</f>
        <v>PASS</v>
      </c>
    </row>
    <row r="1217" spans="1:20" x14ac:dyDescent="0.35">
      <c r="A1217" s="7">
        <v>1216</v>
      </c>
      <c r="B1217" s="9">
        <v>1018</v>
      </c>
      <c r="C1217" s="14" t="str">
        <f>IFERROR(_xlfn.TEXTJOIN("-", TRUE, _xlfn.XLOOKUP(K1217, product_category_id_lookup!$A$2:$A$5, product_category_id_lookup!$B$2:$B$5), B1217), "Unknown Category")</f>
        <v>fd-1018</v>
      </c>
      <c r="D1217" s="8">
        <v>44955</v>
      </c>
      <c r="E1217" s="14">
        <f t="shared" si="54"/>
        <v>2023</v>
      </c>
      <c r="F1217" s="29" t="str">
        <f t="shared" si="55"/>
        <v>Jan</v>
      </c>
      <c r="G1217" s="17" t="s">
        <v>22</v>
      </c>
      <c r="H1217" s="17" t="s">
        <v>20</v>
      </c>
      <c r="I1217" s="24">
        <v>119454.29562094978</v>
      </c>
      <c r="J1217" s="32">
        <v>25</v>
      </c>
      <c r="K1217" s="17" t="s">
        <v>24</v>
      </c>
      <c r="L1217" s="24">
        <v>4660.82</v>
      </c>
      <c r="M1217" s="24">
        <v>5011.4299999999994</v>
      </c>
      <c r="N1217" s="34">
        <f>((sales_data_1[[#This Row],[Unit_Price]]*(1-sales_data_1[[#This Row],[Discount]]))-sales_data_1[[#This Row],[Unit_Cost]])*sales_data_1[[#This Row],[Quantity_Sold]]</f>
        <v>2500.9624999999915</v>
      </c>
      <c r="O1217" s="17" t="s">
        <v>27</v>
      </c>
      <c r="P1217" s="26">
        <v>0.05</v>
      </c>
      <c r="Q1217" s="17" t="s">
        <v>25</v>
      </c>
      <c r="R1217" s="17" t="s">
        <v>19</v>
      </c>
      <c r="S1217" s="50" t="str">
        <f t="shared" si="56"/>
        <v>David-West</v>
      </c>
      <c r="T1217" s="59" t="str">
        <f>IF(ROUND(sales_data_1[[#This Row],[Profit_Margin]],2)=ROUND((sales_data_1[[#This Row],[Unit_Price]]*(1-sales_data_1[[#This Row],[Discount]]) - sales_data_1[[#This Row],[Unit_Cost]])*sales_data_1[[#This Row],[Quantity_Sold]],2), "PASS", "CHECK")</f>
        <v>PASS</v>
      </c>
    </row>
    <row r="1218" spans="1:20" x14ac:dyDescent="0.35">
      <c r="A1218" s="7">
        <v>1217</v>
      </c>
      <c r="B1218" s="9">
        <v>1017</v>
      </c>
      <c r="C1218" s="14" t="str">
        <f>IFERROR(_xlfn.TEXTJOIN("-", TRUE, _xlfn.XLOOKUP(K1218, product_category_id_lookup!$A$2:$A$5, product_category_id_lookup!$B$2:$B$5), B1218), "Unknown Category")</f>
        <v>etc-1017</v>
      </c>
      <c r="D1218" s="8">
        <v>44955</v>
      </c>
      <c r="E1218" s="14">
        <f t="shared" ref="E1218:E1281" si="57">YEAR(D1218)</f>
        <v>2023</v>
      </c>
      <c r="F1218" s="29" t="str">
        <f t="shared" ref="F1218:F1281" si="58">LEFT(TEXT(D1218,"mmmm"),3)</f>
        <v>Jan</v>
      </c>
      <c r="G1218" s="17" t="s">
        <v>29</v>
      </c>
      <c r="H1218" s="17" t="s">
        <v>23</v>
      </c>
      <c r="I1218" s="24">
        <v>29021.948999999997</v>
      </c>
      <c r="J1218" s="32">
        <v>19</v>
      </c>
      <c r="K1218" s="17" t="s">
        <v>31</v>
      </c>
      <c r="L1218" s="24">
        <v>1233.1199999999999</v>
      </c>
      <c r="M1218" s="24">
        <v>1697.1899999999998</v>
      </c>
      <c r="N1218" s="34">
        <f>((sales_data_1[[#This Row],[Unit_Price]]*(1-sales_data_1[[#This Row],[Discount]]))-sales_data_1[[#This Row],[Unit_Cost]])*sales_data_1[[#This Row],[Quantity_Sold]]</f>
        <v>5592.6689999999981</v>
      </c>
      <c r="O1218" s="17" t="s">
        <v>27</v>
      </c>
      <c r="P1218" s="26">
        <v>0.1</v>
      </c>
      <c r="Q1218" s="17" t="s">
        <v>28</v>
      </c>
      <c r="R1218" s="17" t="s">
        <v>19</v>
      </c>
      <c r="S1218" s="50" t="str">
        <f t="shared" ref="S1218:S1281" si="59">_xlfn.CONCAT(G1218,"-",H1218)</f>
        <v>Charlie-South</v>
      </c>
      <c r="T1218" s="59" t="str">
        <f>IF(ROUND(sales_data_1[[#This Row],[Profit_Margin]],2)=ROUND((sales_data_1[[#This Row],[Unit_Price]]*(1-sales_data_1[[#This Row],[Discount]]) - sales_data_1[[#This Row],[Unit_Cost]])*sales_data_1[[#This Row],[Quantity_Sold]],2), "PASS", "CHECK")</f>
        <v>PASS</v>
      </c>
    </row>
    <row r="1219" spans="1:20" x14ac:dyDescent="0.35">
      <c r="A1219" s="7">
        <v>1218</v>
      </c>
      <c r="B1219" s="9">
        <v>1042</v>
      </c>
      <c r="C1219" s="14" t="str">
        <f>IFERROR(_xlfn.TEXTJOIN("-", TRUE, _xlfn.XLOOKUP(K1219, product_category_id_lookup!$A$2:$A$5, product_category_id_lookup!$B$2:$B$5), B1219), "Unknown Category")</f>
        <v>fd-1042</v>
      </c>
      <c r="D1219" s="8">
        <v>44957</v>
      </c>
      <c r="E1219" s="14">
        <f t="shared" si="57"/>
        <v>2023</v>
      </c>
      <c r="F1219" s="29" t="str">
        <f t="shared" si="58"/>
        <v>Jan</v>
      </c>
      <c r="G1219" s="17" t="s">
        <v>33</v>
      </c>
      <c r="H1219" s="17" t="s">
        <v>15</v>
      </c>
      <c r="I1219" s="24">
        <v>8776.4292000000005</v>
      </c>
      <c r="J1219" s="32">
        <v>11</v>
      </c>
      <c r="K1219" s="17" t="s">
        <v>24</v>
      </c>
      <c r="L1219" s="24">
        <v>635.20000000000005</v>
      </c>
      <c r="M1219" s="24">
        <v>814.1400000000001</v>
      </c>
      <c r="N1219" s="34">
        <f>((sales_data_1[[#This Row],[Unit_Price]]*(1-sales_data_1[[#This Row],[Discount]]))-sales_data_1[[#This Row],[Unit_Cost]])*sales_data_1[[#This Row],[Quantity_Sold]]</f>
        <v>1789.2291999999998</v>
      </c>
      <c r="O1219" s="17" t="s">
        <v>17</v>
      </c>
      <c r="P1219" s="26">
        <v>0.02</v>
      </c>
      <c r="Q1219" s="17" t="s">
        <v>18</v>
      </c>
      <c r="R1219" s="17" t="s">
        <v>19</v>
      </c>
      <c r="S1219" s="50" t="str">
        <f t="shared" si="59"/>
        <v>Alice-North</v>
      </c>
      <c r="T1219" s="59" t="str">
        <f>IF(ROUND(sales_data_1[[#This Row],[Profit_Margin]],2)=ROUND((sales_data_1[[#This Row],[Unit_Price]]*(1-sales_data_1[[#This Row],[Discount]]) - sales_data_1[[#This Row],[Unit_Cost]])*sales_data_1[[#This Row],[Quantity_Sold]],2), "PASS", "CHECK")</f>
        <v>PASS</v>
      </c>
    </row>
    <row r="1220" spans="1:20" x14ac:dyDescent="0.35">
      <c r="A1220" s="7">
        <v>1219</v>
      </c>
      <c r="B1220" s="9">
        <v>1057</v>
      </c>
      <c r="C1220" s="14" t="str">
        <f>IFERROR(_xlfn.TEXTJOIN("-", TRUE, _xlfn.XLOOKUP(K1220, product_category_id_lookup!$A$2:$A$5, product_category_id_lookup!$B$2:$B$5), B1220), "Unknown Category")</f>
        <v>fd-1057</v>
      </c>
      <c r="D1220" s="8">
        <v>44957</v>
      </c>
      <c r="E1220" s="14">
        <f t="shared" si="57"/>
        <v>2023</v>
      </c>
      <c r="F1220" s="29" t="str">
        <f t="shared" si="58"/>
        <v>Jan</v>
      </c>
      <c r="G1220" s="17" t="s">
        <v>29</v>
      </c>
      <c r="H1220" s="17" t="s">
        <v>15</v>
      </c>
      <c r="I1220" s="24">
        <v>184844.56440041645</v>
      </c>
      <c r="J1220" s="32">
        <v>36</v>
      </c>
      <c r="K1220" s="17" t="s">
        <v>24</v>
      </c>
      <c r="L1220" s="24">
        <v>4995.3</v>
      </c>
      <c r="M1220" s="24">
        <v>5165.09</v>
      </c>
      <c r="N1220" s="34">
        <f>((sales_data_1[[#This Row],[Unit_Price]]*(1-sales_data_1[[#This Row],[Discount]]))-sales_data_1[[#This Row],[Unit_Cost]])*sales_data_1[[#This Row],[Quantity_Sold]]</f>
        <v>4253.0076000000117</v>
      </c>
      <c r="O1220" s="17" t="s">
        <v>17</v>
      </c>
      <c r="P1220" s="26">
        <v>0.01</v>
      </c>
      <c r="Q1220" s="17" t="s">
        <v>18</v>
      </c>
      <c r="R1220" s="17" t="s">
        <v>19</v>
      </c>
      <c r="S1220" s="50" t="str">
        <f t="shared" si="59"/>
        <v>Charlie-North</v>
      </c>
      <c r="T1220" s="59" t="str">
        <f>IF(ROUND(sales_data_1[[#This Row],[Profit_Margin]],2)=ROUND((sales_data_1[[#This Row],[Unit_Price]]*(1-sales_data_1[[#This Row],[Discount]]) - sales_data_1[[#This Row],[Unit_Cost]])*sales_data_1[[#This Row],[Quantity_Sold]],2), "PASS", "CHECK")</f>
        <v>PASS</v>
      </c>
    </row>
    <row r="1221" spans="1:20" x14ac:dyDescent="0.35">
      <c r="A1221" s="7">
        <v>1220</v>
      </c>
      <c r="B1221" s="9">
        <v>1069</v>
      </c>
      <c r="C1221" s="14" t="str">
        <f>IFERROR(_xlfn.TEXTJOIN("-", TRUE, _xlfn.XLOOKUP(K1221, product_category_id_lookup!$A$2:$A$5, product_category_id_lookup!$B$2:$B$5), B1221), "Unknown Category")</f>
        <v>fnt-1069</v>
      </c>
      <c r="D1221" s="8">
        <v>44958</v>
      </c>
      <c r="E1221" s="14">
        <f t="shared" si="57"/>
        <v>2023</v>
      </c>
      <c r="F1221" s="29" t="str">
        <f t="shared" si="58"/>
        <v>Feb</v>
      </c>
      <c r="G1221" s="17" t="s">
        <v>32</v>
      </c>
      <c r="H1221" s="17" t="s">
        <v>15</v>
      </c>
      <c r="I1221" s="24">
        <v>55910.107721276116</v>
      </c>
      <c r="J1221" s="32">
        <v>18</v>
      </c>
      <c r="K1221" s="17" t="s">
        <v>16</v>
      </c>
      <c r="L1221" s="24">
        <v>2760.21</v>
      </c>
      <c r="M1221" s="24">
        <v>3219.58</v>
      </c>
      <c r="N1221" s="34">
        <f>((sales_data_1[[#This Row],[Unit_Price]]*(1-sales_data_1[[#This Row],[Discount]]))-sales_data_1[[#This Row],[Unit_Cost]])*sales_data_1[[#This Row],[Quantity_Sold]]</f>
        <v>5950.5623999999925</v>
      </c>
      <c r="O1221" s="17" t="s">
        <v>27</v>
      </c>
      <c r="P1221" s="26">
        <v>0.04</v>
      </c>
      <c r="Q1221" s="17" t="s">
        <v>25</v>
      </c>
      <c r="R1221" s="17" t="s">
        <v>21</v>
      </c>
      <c r="S1221" s="50" t="str">
        <f t="shared" si="59"/>
        <v>Eve-North</v>
      </c>
      <c r="T1221" s="59" t="str">
        <f>IF(ROUND(sales_data_1[[#This Row],[Profit_Margin]],2)=ROUND((sales_data_1[[#This Row],[Unit_Price]]*(1-sales_data_1[[#This Row],[Discount]]) - sales_data_1[[#This Row],[Unit_Cost]])*sales_data_1[[#This Row],[Quantity_Sold]],2), "PASS", "CHECK")</f>
        <v>PASS</v>
      </c>
    </row>
    <row r="1222" spans="1:20" x14ac:dyDescent="0.35">
      <c r="A1222" s="7">
        <v>1221</v>
      </c>
      <c r="B1222" s="9">
        <v>1097</v>
      </c>
      <c r="C1222" s="14" t="str">
        <f>IFERROR(_xlfn.TEXTJOIN("-", TRUE, _xlfn.XLOOKUP(K1222, product_category_id_lookup!$A$2:$A$5, product_category_id_lookup!$B$2:$B$5), B1222), "Unknown Category")</f>
        <v>etc-1097</v>
      </c>
      <c r="D1222" s="8">
        <v>44958</v>
      </c>
      <c r="E1222" s="14">
        <f t="shared" si="57"/>
        <v>2023</v>
      </c>
      <c r="F1222" s="29" t="str">
        <f t="shared" si="58"/>
        <v>Feb</v>
      </c>
      <c r="G1222" s="17" t="s">
        <v>33</v>
      </c>
      <c r="H1222" s="17" t="s">
        <v>20</v>
      </c>
      <c r="I1222" s="24">
        <v>113884.18560000001</v>
      </c>
      <c r="J1222" s="32">
        <v>27</v>
      </c>
      <c r="K1222" s="17" t="s">
        <v>31</v>
      </c>
      <c r="L1222" s="24">
        <v>3955.19</v>
      </c>
      <c r="M1222" s="24">
        <v>4393.68</v>
      </c>
      <c r="N1222" s="34">
        <f>((sales_data_1[[#This Row],[Unit_Price]]*(1-sales_data_1[[#This Row],[Discount]]))-sales_data_1[[#This Row],[Unit_Cost]])*sales_data_1[[#This Row],[Quantity_Sold]]</f>
        <v>7094.0556000000124</v>
      </c>
      <c r="O1222" s="17" t="s">
        <v>17</v>
      </c>
      <c r="P1222" s="26">
        <v>0.04</v>
      </c>
      <c r="Q1222" s="17" t="s">
        <v>28</v>
      </c>
      <c r="R1222" s="17" t="s">
        <v>19</v>
      </c>
      <c r="S1222" s="50" t="str">
        <f t="shared" si="59"/>
        <v>Alice-West</v>
      </c>
      <c r="T1222" s="59" t="str">
        <f>IF(ROUND(sales_data_1[[#This Row],[Profit_Margin]],2)=ROUND((sales_data_1[[#This Row],[Unit_Price]]*(1-sales_data_1[[#This Row],[Discount]]) - sales_data_1[[#This Row],[Unit_Cost]])*sales_data_1[[#This Row],[Quantity_Sold]],2), "PASS", "CHECK")</f>
        <v>PASS</v>
      </c>
    </row>
    <row r="1223" spans="1:20" x14ac:dyDescent="0.35">
      <c r="A1223" s="7">
        <v>1222</v>
      </c>
      <c r="B1223" s="9">
        <v>1096</v>
      </c>
      <c r="C1223" s="14" t="str">
        <f>IFERROR(_xlfn.TEXTJOIN("-", TRUE, _xlfn.XLOOKUP(K1223, product_category_id_lookup!$A$2:$A$5, product_category_id_lookup!$B$2:$B$5), B1223), "Unknown Category")</f>
        <v>etc-1096</v>
      </c>
      <c r="D1223" s="8">
        <v>44959</v>
      </c>
      <c r="E1223" s="14">
        <f t="shared" si="57"/>
        <v>2023</v>
      </c>
      <c r="F1223" s="29" t="str">
        <f t="shared" si="58"/>
        <v>Feb</v>
      </c>
      <c r="G1223" s="17" t="s">
        <v>33</v>
      </c>
      <c r="H1223" s="17" t="s">
        <v>30</v>
      </c>
      <c r="I1223" s="24">
        <v>61813.602063411534</v>
      </c>
      <c r="J1223" s="32">
        <v>31</v>
      </c>
      <c r="K1223" s="17" t="s">
        <v>31</v>
      </c>
      <c r="L1223" s="24">
        <v>1724.24</v>
      </c>
      <c r="M1223" s="24">
        <v>2036.2</v>
      </c>
      <c r="N1223" s="34">
        <f>((sales_data_1[[#This Row],[Unit_Price]]*(1-sales_data_1[[#This Row],[Discount]]))-sales_data_1[[#This Row],[Unit_Cost]])*sales_data_1[[#This Row],[Quantity_Sold]]</f>
        <v>8408.3160000000025</v>
      </c>
      <c r="O1223" s="17" t="s">
        <v>27</v>
      </c>
      <c r="P1223" s="26">
        <v>0.02</v>
      </c>
      <c r="Q1223" s="17" t="s">
        <v>18</v>
      </c>
      <c r="R1223" s="17" t="s">
        <v>19</v>
      </c>
      <c r="S1223" s="50" t="str">
        <f t="shared" si="59"/>
        <v>Alice-East</v>
      </c>
      <c r="T1223" s="59" t="str">
        <f>IF(ROUND(sales_data_1[[#This Row],[Profit_Margin]],2)=ROUND((sales_data_1[[#This Row],[Unit_Price]]*(1-sales_data_1[[#This Row],[Discount]]) - sales_data_1[[#This Row],[Unit_Cost]])*sales_data_1[[#This Row],[Quantity_Sold]],2), "PASS", "CHECK")</f>
        <v>PASS</v>
      </c>
    </row>
    <row r="1224" spans="1:20" x14ac:dyDescent="0.35">
      <c r="A1224" s="7">
        <v>1223</v>
      </c>
      <c r="B1224" s="9">
        <v>1013</v>
      </c>
      <c r="C1224" s="14" t="str">
        <f>IFERROR(_xlfn.TEXTJOIN("-", TRUE, _xlfn.XLOOKUP(K1224, product_category_id_lookup!$A$2:$A$5, product_category_id_lookup!$B$2:$B$5), B1224), "Unknown Category")</f>
        <v>ctg-1013</v>
      </c>
      <c r="D1224" s="8">
        <v>44960</v>
      </c>
      <c r="E1224" s="14">
        <f t="shared" si="57"/>
        <v>2023</v>
      </c>
      <c r="F1224" s="29" t="str">
        <f t="shared" si="58"/>
        <v>Feb</v>
      </c>
      <c r="G1224" s="17" t="s">
        <v>14</v>
      </c>
      <c r="H1224" s="17" t="s">
        <v>15</v>
      </c>
      <c r="I1224" s="24">
        <v>194721.40554025135</v>
      </c>
      <c r="J1224" s="32">
        <v>42</v>
      </c>
      <c r="K1224" s="17" t="s">
        <v>26</v>
      </c>
      <c r="L1224" s="24">
        <v>4625.33</v>
      </c>
      <c r="M1224" s="24">
        <v>4642.83</v>
      </c>
      <c r="N1224" s="34">
        <f>((sales_data_1[[#This Row],[Unit_Price]]*(1-sales_data_1[[#This Row],[Discount]]))-sales_data_1[[#This Row],[Unit_Cost]])*sales_data_1[[#This Row],[Quantity_Sold]]</f>
        <v>735</v>
      </c>
      <c r="O1224" s="17" t="s">
        <v>27</v>
      </c>
      <c r="P1224" s="26">
        <v>0</v>
      </c>
      <c r="Q1224" s="17" t="s">
        <v>28</v>
      </c>
      <c r="R1224" s="17" t="s">
        <v>19</v>
      </c>
      <c r="S1224" s="50" t="str">
        <f t="shared" si="59"/>
        <v>Bob-North</v>
      </c>
      <c r="T1224" s="59" t="str">
        <f>IF(ROUND(sales_data_1[[#This Row],[Profit_Margin]],2)=ROUND((sales_data_1[[#This Row],[Unit_Price]]*(1-sales_data_1[[#This Row],[Discount]]) - sales_data_1[[#This Row],[Unit_Cost]])*sales_data_1[[#This Row],[Quantity_Sold]],2), "PASS", "CHECK")</f>
        <v>PASS</v>
      </c>
    </row>
    <row r="1225" spans="1:20" x14ac:dyDescent="0.35">
      <c r="A1225" s="7">
        <v>1224</v>
      </c>
      <c r="B1225" s="9">
        <v>1035</v>
      </c>
      <c r="C1225" s="14" t="str">
        <f>IFERROR(_xlfn.TEXTJOIN("-", TRUE, _xlfn.XLOOKUP(K1225, product_category_id_lookup!$A$2:$A$5, product_category_id_lookup!$B$2:$B$5), B1225), "Unknown Category")</f>
        <v>fd-1035</v>
      </c>
      <c r="D1225" s="8">
        <v>44960</v>
      </c>
      <c r="E1225" s="14">
        <f t="shared" si="57"/>
        <v>2023</v>
      </c>
      <c r="F1225" s="29" t="str">
        <f t="shared" si="58"/>
        <v>Feb</v>
      </c>
      <c r="G1225" s="17" t="s">
        <v>29</v>
      </c>
      <c r="H1225" s="17" t="s">
        <v>15</v>
      </c>
      <c r="I1225" s="24">
        <v>23377.418553082483</v>
      </c>
      <c r="J1225" s="32">
        <v>5</v>
      </c>
      <c r="K1225" s="17" t="s">
        <v>24</v>
      </c>
      <c r="L1225" s="24">
        <v>4483.8500000000004</v>
      </c>
      <c r="M1225" s="24">
        <v>4795.42</v>
      </c>
      <c r="N1225" s="34">
        <f>((sales_data_1[[#This Row],[Unit_Price]]*(1-sales_data_1[[#This Row],[Discount]]))-sales_data_1[[#This Row],[Unit_Cost]])*sales_data_1[[#This Row],[Quantity_Sold]]</f>
        <v>838.53699999999662</v>
      </c>
      <c r="O1225" s="17" t="s">
        <v>17</v>
      </c>
      <c r="P1225" s="26">
        <v>0.03</v>
      </c>
      <c r="Q1225" s="17" t="s">
        <v>18</v>
      </c>
      <c r="R1225" s="17" t="s">
        <v>19</v>
      </c>
      <c r="S1225" s="50" t="str">
        <f t="shared" si="59"/>
        <v>Charlie-North</v>
      </c>
      <c r="T1225" s="59" t="str">
        <f>IF(ROUND(sales_data_1[[#This Row],[Profit_Margin]],2)=ROUND((sales_data_1[[#This Row],[Unit_Price]]*(1-sales_data_1[[#This Row],[Discount]]) - sales_data_1[[#This Row],[Unit_Cost]])*sales_data_1[[#This Row],[Quantity_Sold]],2), "PASS", "CHECK")</f>
        <v>PASS</v>
      </c>
    </row>
    <row r="1226" spans="1:20" x14ac:dyDescent="0.35">
      <c r="A1226" s="7">
        <v>1225</v>
      </c>
      <c r="B1226" s="9">
        <v>1052</v>
      </c>
      <c r="C1226" s="14" t="str">
        <f>IFERROR(_xlfn.TEXTJOIN("-", TRUE, _xlfn.XLOOKUP(K1226, product_category_id_lookup!$A$2:$A$5, product_category_id_lookup!$B$2:$B$5), B1226), "Unknown Category")</f>
        <v>fnt-1052</v>
      </c>
      <c r="D1226" s="8">
        <v>44960</v>
      </c>
      <c r="E1226" s="14">
        <f t="shared" si="57"/>
        <v>2023</v>
      </c>
      <c r="F1226" s="29" t="str">
        <f t="shared" si="58"/>
        <v>Feb</v>
      </c>
      <c r="G1226" s="17" t="s">
        <v>14</v>
      </c>
      <c r="H1226" s="17" t="s">
        <v>15</v>
      </c>
      <c r="I1226" s="24">
        <v>4377.0636000000004</v>
      </c>
      <c r="J1226" s="32">
        <v>18</v>
      </c>
      <c r="K1226" s="17" t="s">
        <v>16</v>
      </c>
      <c r="L1226" s="24">
        <v>152.75</v>
      </c>
      <c r="M1226" s="24">
        <v>267.22000000000003</v>
      </c>
      <c r="N1226" s="34">
        <f>((sales_data_1[[#This Row],[Unit_Price]]*(1-sales_data_1[[#This Row],[Discount]]))-sales_data_1[[#This Row],[Unit_Cost]])*sales_data_1[[#This Row],[Quantity_Sold]]</f>
        <v>1627.5636000000004</v>
      </c>
      <c r="O1226" s="17" t="s">
        <v>17</v>
      </c>
      <c r="P1226" s="26">
        <v>0.09</v>
      </c>
      <c r="Q1226" s="17" t="s">
        <v>18</v>
      </c>
      <c r="R1226" s="17" t="s">
        <v>19</v>
      </c>
      <c r="S1226" s="50" t="str">
        <f t="shared" si="59"/>
        <v>Bob-North</v>
      </c>
      <c r="T1226" s="59" t="str">
        <f>IF(ROUND(sales_data_1[[#This Row],[Profit_Margin]],2)=ROUND((sales_data_1[[#This Row],[Unit_Price]]*(1-sales_data_1[[#This Row],[Discount]]) - sales_data_1[[#This Row],[Unit_Cost]])*sales_data_1[[#This Row],[Quantity_Sold]],2), "PASS", "CHECK")</f>
        <v>PASS</v>
      </c>
    </row>
    <row r="1227" spans="1:20" x14ac:dyDescent="0.35">
      <c r="A1227" s="7">
        <v>1226</v>
      </c>
      <c r="B1227" s="9">
        <v>1038</v>
      </c>
      <c r="C1227" s="14" t="str">
        <f>IFERROR(_xlfn.TEXTJOIN("-", TRUE, _xlfn.XLOOKUP(K1227, product_category_id_lookup!$A$2:$A$5, product_category_id_lookup!$B$2:$B$5), B1227), "Unknown Category")</f>
        <v>fnt-1038</v>
      </c>
      <c r="D1227" s="8">
        <v>44961</v>
      </c>
      <c r="E1227" s="14">
        <f t="shared" si="57"/>
        <v>2023</v>
      </c>
      <c r="F1227" s="29" t="str">
        <f t="shared" si="58"/>
        <v>Feb</v>
      </c>
      <c r="G1227" s="17" t="s">
        <v>29</v>
      </c>
      <c r="H1227" s="17" t="s">
        <v>15</v>
      </c>
      <c r="I1227" s="24">
        <v>4611.5999999999995</v>
      </c>
      <c r="J1227" s="32">
        <v>7</v>
      </c>
      <c r="K1227" s="17" t="s">
        <v>16</v>
      </c>
      <c r="L1227" s="24">
        <v>523.02</v>
      </c>
      <c r="M1227" s="24">
        <v>686.25</v>
      </c>
      <c r="N1227" s="34">
        <f>((sales_data_1[[#This Row],[Unit_Price]]*(1-sales_data_1[[#This Row],[Discount]]))-sales_data_1[[#This Row],[Unit_Cost]])*sales_data_1[[#This Row],[Quantity_Sold]]</f>
        <v>950.45999999999981</v>
      </c>
      <c r="O1227" s="17" t="s">
        <v>17</v>
      </c>
      <c r="P1227" s="26">
        <v>0.04</v>
      </c>
      <c r="Q1227" s="17" t="s">
        <v>18</v>
      </c>
      <c r="R1227" s="17" t="s">
        <v>19</v>
      </c>
      <c r="S1227" s="50" t="str">
        <f t="shared" si="59"/>
        <v>Charlie-North</v>
      </c>
      <c r="T1227" s="59" t="str">
        <f>IF(ROUND(sales_data_1[[#This Row],[Profit_Margin]],2)=ROUND((sales_data_1[[#This Row],[Unit_Price]]*(1-sales_data_1[[#This Row],[Discount]]) - sales_data_1[[#This Row],[Unit_Cost]])*sales_data_1[[#This Row],[Quantity_Sold]],2), "PASS", "CHECK")</f>
        <v>PASS</v>
      </c>
    </row>
    <row r="1228" spans="1:20" x14ac:dyDescent="0.35">
      <c r="A1228" s="7">
        <v>1227</v>
      </c>
      <c r="B1228" s="9">
        <v>1026</v>
      </c>
      <c r="C1228" s="14" t="str">
        <f>IFERROR(_xlfn.TEXTJOIN("-", TRUE, _xlfn.XLOOKUP(K1228, product_category_id_lookup!$A$2:$A$5, product_category_id_lookup!$B$2:$B$5), B1228), "Unknown Category")</f>
        <v>etc-1026</v>
      </c>
      <c r="D1228" s="8">
        <v>44961</v>
      </c>
      <c r="E1228" s="14">
        <f t="shared" si="57"/>
        <v>2023</v>
      </c>
      <c r="F1228" s="29" t="str">
        <f t="shared" si="58"/>
        <v>Feb</v>
      </c>
      <c r="G1228" s="17" t="s">
        <v>33</v>
      </c>
      <c r="H1228" s="17" t="s">
        <v>20</v>
      </c>
      <c r="I1228" s="24">
        <v>30970.731499999998</v>
      </c>
      <c r="J1228" s="32">
        <v>19</v>
      </c>
      <c r="K1228" s="17" t="s">
        <v>31</v>
      </c>
      <c r="L1228" s="24">
        <v>1265.48</v>
      </c>
      <c r="M1228" s="24">
        <v>1715.83</v>
      </c>
      <c r="N1228" s="34">
        <f>((sales_data_1[[#This Row],[Unit_Price]]*(1-sales_data_1[[#This Row],[Discount]]))-sales_data_1[[#This Row],[Unit_Cost]])*sales_data_1[[#This Row],[Quantity_Sold]]</f>
        <v>6926.6114999999972</v>
      </c>
      <c r="O1228" s="17" t="s">
        <v>27</v>
      </c>
      <c r="P1228" s="26">
        <v>0.05</v>
      </c>
      <c r="Q1228" s="17" t="s">
        <v>28</v>
      </c>
      <c r="R1228" s="17" t="s">
        <v>21</v>
      </c>
      <c r="S1228" s="50" t="str">
        <f t="shared" si="59"/>
        <v>Alice-West</v>
      </c>
      <c r="T1228" s="59" t="str">
        <f>IF(ROUND(sales_data_1[[#This Row],[Profit_Margin]],2)=ROUND((sales_data_1[[#This Row],[Unit_Price]]*(1-sales_data_1[[#This Row],[Discount]]) - sales_data_1[[#This Row],[Unit_Cost]])*sales_data_1[[#This Row],[Quantity_Sold]],2), "PASS", "CHECK")</f>
        <v>PASS</v>
      </c>
    </row>
    <row r="1229" spans="1:20" x14ac:dyDescent="0.35">
      <c r="A1229" s="7">
        <v>1228</v>
      </c>
      <c r="B1229" s="9">
        <v>1080</v>
      </c>
      <c r="C1229" s="14" t="str">
        <f>IFERROR(_xlfn.TEXTJOIN("-", TRUE, _xlfn.XLOOKUP(K1229, product_category_id_lookup!$A$2:$A$5, product_category_id_lookup!$B$2:$B$5), B1229), "Unknown Category")</f>
        <v>etc-1080</v>
      </c>
      <c r="D1229" s="8">
        <v>44962</v>
      </c>
      <c r="E1229" s="14">
        <f t="shared" si="57"/>
        <v>2023</v>
      </c>
      <c r="F1229" s="29" t="str">
        <f t="shared" si="58"/>
        <v>Feb</v>
      </c>
      <c r="G1229" s="17" t="s">
        <v>29</v>
      </c>
      <c r="H1229" s="17" t="s">
        <v>23</v>
      </c>
      <c r="I1229" s="24">
        <v>13607.35629887912</v>
      </c>
      <c r="J1229" s="32">
        <v>9</v>
      </c>
      <c r="K1229" s="17" t="s">
        <v>31</v>
      </c>
      <c r="L1229" s="24">
        <v>1141.52</v>
      </c>
      <c r="M1229" s="24">
        <v>1550.19</v>
      </c>
      <c r="N1229" s="34">
        <f>((sales_data_1[[#This Row],[Unit_Price]]*(1-sales_data_1[[#This Row],[Discount]]))-sales_data_1[[#This Row],[Unit_Cost]])*sales_data_1[[#This Row],[Quantity_Sold]]</f>
        <v>3398.9958000000011</v>
      </c>
      <c r="O1229" s="17" t="s">
        <v>27</v>
      </c>
      <c r="P1229" s="26">
        <v>0.02</v>
      </c>
      <c r="Q1229" s="17" t="s">
        <v>28</v>
      </c>
      <c r="R1229" s="17" t="s">
        <v>21</v>
      </c>
      <c r="S1229" s="50" t="str">
        <f t="shared" si="59"/>
        <v>Charlie-South</v>
      </c>
      <c r="T1229" s="59" t="str">
        <f>IF(ROUND(sales_data_1[[#This Row],[Profit_Margin]],2)=ROUND((sales_data_1[[#This Row],[Unit_Price]]*(1-sales_data_1[[#This Row],[Discount]]) - sales_data_1[[#This Row],[Unit_Cost]])*sales_data_1[[#This Row],[Quantity_Sold]],2), "PASS", "CHECK")</f>
        <v>PASS</v>
      </c>
    </row>
    <row r="1230" spans="1:20" x14ac:dyDescent="0.35">
      <c r="A1230" s="7">
        <v>1229</v>
      </c>
      <c r="B1230" s="9">
        <v>1030</v>
      </c>
      <c r="C1230" s="14" t="str">
        <f>IFERROR(_xlfn.TEXTJOIN("-", TRUE, _xlfn.XLOOKUP(K1230, product_category_id_lookup!$A$2:$A$5, product_category_id_lookup!$B$2:$B$5), B1230), "Unknown Category")</f>
        <v>fnt-1030</v>
      </c>
      <c r="D1230" s="8">
        <v>44962</v>
      </c>
      <c r="E1230" s="14">
        <f t="shared" si="57"/>
        <v>2023</v>
      </c>
      <c r="F1230" s="29" t="str">
        <f t="shared" si="58"/>
        <v>Feb</v>
      </c>
      <c r="G1230" s="17" t="s">
        <v>22</v>
      </c>
      <c r="H1230" s="17" t="s">
        <v>30</v>
      </c>
      <c r="I1230" s="24">
        <v>138078.14153287749</v>
      </c>
      <c r="J1230" s="32">
        <v>49</v>
      </c>
      <c r="K1230" s="17" t="s">
        <v>16</v>
      </c>
      <c r="L1230" s="24">
        <v>2590.29</v>
      </c>
      <c r="M1230" s="24">
        <v>2925.86</v>
      </c>
      <c r="N1230" s="34">
        <f>((sales_data_1[[#This Row],[Unit_Price]]*(1-sales_data_1[[#This Row],[Discount]]))-sales_data_1[[#This Row],[Unit_Cost]])*sales_data_1[[#This Row],[Quantity_Sold]]</f>
        <v>10708.244400000007</v>
      </c>
      <c r="O1230" s="17" t="s">
        <v>17</v>
      </c>
      <c r="P1230" s="26">
        <v>0.04</v>
      </c>
      <c r="Q1230" s="17" t="s">
        <v>18</v>
      </c>
      <c r="R1230" s="17" t="s">
        <v>21</v>
      </c>
      <c r="S1230" s="50" t="str">
        <f t="shared" si="59"/>
        <v>David-East</v>
      </c>
      <c r="T1230" s="59" t="str">
        <f>IF(ROUND(sales_data_1[[#This Row],[Profit_Margin]],2)=ROUND((sales_data_1[[#This Row],[Unit_Price]]*(1-sales_data_1[[#This Row],[Discount]]) - sales_data_1[[#This Row],[Unit_Cost]])*sales_data_1[[#This Row],[Quantity_Sold]],2), "PASS", "CHECK")</f>
        <v>PASS</v>
      </c>
    </row>
    <row r="1231" spans="1:20" x14ac:dyDescent="0.35">
      <c r="A1231" s="7">
        <v>1230</v>
      </c>
      <c r="B1231" s="9">
        <v>1048</v>
      </c>
      <c r="C1231" s="14" t="str">
        <f>IFERROR(_xlfn.TEXTJOIN("-", TRUE, _xlfn.XLOOKUP(K1231, product_category_id_lookup!$A$2:$A$5, product_category_id_lookup!$B$2:$B$5), B1231), "Unknown Category")</f>
        <v>etc-1048</v>
      </c>
      <c r="D1231" s="8">
        <v>44962</v>
      </c>
      <c r="E1231" s="14">
        <f t="shared" si="57"/>
        <v>2023</v>
      </c>
      <c r="F1231" s="29" t="str">
        <f t="shared" si="58"/>
        <v>Feb</v>
      </c>
      <c r="G1231" s="17" t="s">
        <v>22</v>
      </c>
      <c r="H1231" s="17" t="s">
        <v>15</v>
      </c>
      <c r="I1231" s="24">
        <v>211769.18333193316</v>
      </c>
      <c r="J1231" s="32">
        <v>42</v>
      </c>
      <c r="K1231" s="17" t="s">
        <v>31</v>
      </c>
      <c r="L1231" s="24">
        <v>4723.83</v>
      </c>
      <c r="M1231" s="24">
        <v>5186.1899999999996</v>
      </c>
      <c r="N1231" s="34">
        <f>((sales_data_1[[#This Row],[Unit_Price]]*(1-sales_data_1[[#This Row],[Discount]]))-sales_data_1[[#This Row],[Unit_Cost]])*sales_data_1[[#This Row],[Quantity_Sold]]</f>
        <v>12884.520599999963</v>
      </c>
      <c r="O1231" s="17" t="s">
        <v>17</v>
      </c>
      <c r="P1231" s="26">
        <v>0.03</v>
      </c>
      <c r="Q1231" s="17" t="s">
        <v>28</v>
      </c>
      <c r="R1231" s="17" t="s">
        <v>19</v>
      </c>
      <c r="S1231" s="50" t="str">
        <f t="shared" si="59"/>
        <v>David-North</v>
      </c>
      <c r="T1231" s="59" t="str">
        <f>IF(ROUND(sales_data_1[[#This Row],[Profit_Margin]],2)=ROUND((sales_data_1[[#This Row],[Unit_Price]]*(1-sales_data_1[[#This Row],[Discount]]) - sales_data_1[[#This Row],[Unit_Cost]])*sales_data_1[[#This Row],[Quantity_Sold]],2), "PASS", "CHECK")</f>
        <v>PASS</v>
      </c>
    </row>
    <row r="1232" spans="1:20" x14ac:dyDescent="0.35">
      <c r="A1232" s="7">
        <v>1231</v>
      </c>
      <c r="B1232" s="9">
        <v>1036</v>
      </c>
      <c r="C1232" s="14" t="str">
        <f>IFERROR(_xlfn.TEXTJOIN("-", TRUE, _xlfn.XLOOKUP(K1232, product_category_id_lookup!$A$2:$A$5, product_category_id_lookup!$B$2:$B$5), B1232), "Unknown Category")</f>
        <v>etc-1036</v>
      </c>
      <c r="D1232" s="8">
        <v>44963</v>
      </c>
      <c r="E1232" s="14">
        <f t="shared" si="57"/>
        <v>2023</v>
      </c>
      <c r="F1232" s="29" t="str">
        <f t="shared" si="58"/>
        <v>Feb</v>
      </c>
      <c r="G1232" s="17" t="s">
        <v>29</v>
      </c>
      <c r="H1232" s="17" t="s">
        <v>30</v>
      </c>
      <c r="I1232" s="24">
        <v>111690.75583513116</v>
      </c>
      <c r="J1232" s="32">
        <v>26</v>
      </c>
      <c r="K1232" s="17" t="s">
        <v>31</v>
      </c>
      <c r="L1232" s="24">
        <v>4266.3599999999997</v>
      </c>
      <c r="M1232" s="24">
        <v>4331.4299999999994</v>
      </c>
      <c r="N1232" s="34">
        <f>((sales_data_1[[#This Row],[Unit_Price]]*(1-sales_data_1[[#This Row],[Discount]]))-sales_data_1[[#This Row],[Unit_Cost]])*sales_data_1[[#This Row],[Quantity_Sold]]</f>
        <v>565.64819999999236</v>
      </c>
      <c r="O1232" s="17" t="s">
        <v>17</v>
      </c>
      <c r="P1232" s="26">
        <v>0.01</v>
      </c>
      <c r="Q1232" s="17" t="s">
        <v>28</v>
      </c>
      <c r="R1232" s="17" t="s">
        <v>21</v>
      </c>
      <c r="S1232" s="50" t="str">
        <f t="shared" si="59"/>
        <v>Charlie-East</v>
      </c>
      <c r="T1232" s="59" t="str">
        <f>IF(ROUND(sales_data_1[[#This Row],[Profit_Margin]],2)=ROUND((sales_data_1[[#This Row],[Unit_Price]]*(1-sales_data_1[[#This Row],[Discount]]) - sales_data_1[[#This Row],[Unit_Cost]])*sales_data_1[[#This Row],[Quantity_Sold]],2), "PASS", "CHECK")</f>
        <v>PASS</v>
      </c>
    </row>
    <row r="1233" spans="1:20" x14ac:dyDescent="0.35">
      <c r="A1233" s="7">
        <v>1232</v>
      </c>
      <c r="B1233" s="9">
        <v>1026</v>
      </c>
      <c r="C1233" s="14" t="str">
        <f>IFERROR(_xlfn.TEXTJOIN("-", TRUE, _xlfn.XLOOKUP(K1233, product_category_id_lookup!$A$2:$A$5, product_category_id_lookup!$B$2:$B$5), B1233), "Unknown Category")</f>
        <v>etc-1026</v>
      </c>
      <c r="D1233" s="8">
        <v>44963</v>
      </c>
      <c r="E1233" s="14">
        <f t="shared" si="57"/>
        <v>2023</v>
      </c>
      <c r="F1233" s="29" t="str">
        <f t="shared" si="58"/>
        <v>Feb</v>
      </c>
      <c r="G1233" s="17" t="s">
        <v>14</v>
      </c>
      <c r="H1233" s="17" t="s">
        <v>20</v>
      </c>
      <c r="I1233" s="24">
        <v>7299.7456000000002</v>
      </c>
      <c r="J1233" s="32">
        <v>34</v>
      </c>
      <c r="K1233" s="17" t="s">
        <v>31</v>
      </c>
      <c r="L1233" s="24">
        <v>68.33</v>
      </c>
      <c r="M1233" s="24">
        <v>219.07999999999998</v>
      </c>
      <c r="N1233" s="34">
        <f>((sales_data_1[[#This Row],[Unit_Price]]*(1-sales_data_1[[#This Row],[Discount]]))-sales_data_1[[#This Row],[Unit_Cost]])*sales_data_1[[#This Row],[Quantity_Sold]]</f>
        <v>4976.5255999999999</v>
      </c>
      <c r="O1233" s="17" t="s">
        <v>27</v>
      </c>
      <c r="P1233" s="26">
        <v>0.02</v>
      </c>
      <c r="Q1233" s="17" t="s">
        <v>28</v>
      </c>
      <c r="R1233" s="17" t="s">
        <v>19</v>
      </c>
      <c r="S1233" s="50" t="str">
        <f t="shared" si="59"/>
        <v>Bob-West</v>
      </c>
      <c r="T1233" s="59" t="str">
        <f>IF(ROUND(sales_data_1[[#This Row],[Profit_Margin]],2)=ROUND((sales_data_1[[#This Row],[Unit_Price]]*(1-sales_data_1[[#This Row],[Discount]]) - sales_data_1[[#This Row],[Unit_Cost]])*sales_data_1[[#This Row],[Quantity_Sold]],2), "PASS", "CHECK")</f>
        <v>PASS</v>
      </c>
    </row>
    <row r="1234" spans="1:20" x14ac:dyDescent="0.35">
      <c r="A1234" s="7">
        <v>1233</v>
      </c>
      <c r="B1234" s="9">
        <v>1027</v>
      </c>
      <c r="C1234" s="14" t="str">
        <f>IFERROR(_xlfn.TEXTJOIN("-", TRUE, _xlfn.XLOOKUP(K1234, product_category_id_lookup!$A$2:$A$5, product_category_id_lookup!$B$2:$B$5), B1234), "Unknown Category")</f>
        <v>fd-1027</v>
      </c>
      <c r="D1234" s="8">
        <v>44963</v>
      </c>
      <c r="E1234" s="14">
        <f t="shared" si="57"/>
        <v>2023</v>
      </c>
      <c r="F1234" s="29" t="str">
        <f t="shared" si="58"/>
        <v>Feb</v>
      </c>
      <c r="G1234" s="17" t="s">
        <v>32</v>
      </c>
      <c r="H1234" s="17" t="s">
        <v>20</v>
      </c>
      <c r="I1234" s="24">
        <v>65583.858743120785</v>
      </c>
      <c r="J1234" s="32">
        <v>45</v>
      </c>
      <c r="K1234" s="17" t="s">
        <v>24</v>
      </c>
      <c r="L1234" s="24">
        <v>1153.9000000000001</v>
      </c>
      <c r="M1234" s="24">
        <v>1485.3400000000001</v>
      </c>
      <c r="N1234" s="34">
        <f>((sales_data_1[[#This Row],[Unit_Price]]*(1-sales_data_1[[#This Row],[Discount]]))-sales_data_1[[#This Row],[Unit_Cost]])*sales_data_1[[#This Row],[Quantity_Sold]]</f>
        <v>13577.994000000006</v>
      </c>
      <c r="O1234" s="17" t="s">
        <v>27</v>
      </c>
      <c r="P1234" s="26">
        <v>0.02</v>
      </c>
      <c r="Q1234" s="17" t="s">
        <v>28</v>
      </c>
      <c r="R1234" s="17" t="s">
        <v>21</v>
      </c>
      <c r="S1234" s="50" t="str">
        <f t="shared" si="59"/>
        <v>Eve-West</v>
      </c>
      <c r="T1234" s="59" t="str">
        <f>IF(ROUND(sales_data_1[[#This Row],[Profit_Margin]],2)=ROUND((sales_data_1[[#This Row],[Unit_Price]]*(1-sales_data_1[[#This Row],[Discount]]) - sales_data_1[[#This Row],[Unit_Cost]])*sales_data_1[[#This Row],[Quantity_Sold]],2), "PASS", "CHECK")</f>
        <v>PASS</v>
      </c>
    </row>
    <row r="1235" spans="1:20" x14ac:dyDescent="0.35">
      <c r="A1235" s="7">
        <v>1234</v>
      </c>
      <c r="B1235" s="9">
        <v>1017</v>
      </c>
      <c r="C1235" s="14" t="str">
        <f>IFERROR(_xlfn.TEXTJOIN("-", TRUE, _xlfn.XLOOKUP(K1235, product_category_id_lookup!$A$2:$A$5, product_category_id_lookup!$B$2:$B$5), B1235), "Unknown Category")</f>
        <v>fd-1017</v>
      </c>
      <c r="D1235" s="8">
        <v>44964</v>
      </c>
      <c r="E1235" s="14">
        <f t="shared" si="57"/>
        <v>2023</v>
      </c>
      <c r="F1235" s="29" t="str">
        <f t="shared" si="58"/>
        <v>Feb</v>
      </c>
      <c r="G1235" s="17" t="s">
        <v>29</v>
      </c>
      <c r="H1235" s="17" t="s">
        <v>20</v>
      </c>
      <c r="I1235" s="24">
        <v>1664.2784000000001</v>
      </c>
      <c r="J1235" s="32">
        <v>2</v>
      </c>
      <c r="K1235" s="17" t="s">
        <v>24</v>
      </c>
      <c r="L1235" s="24">
        <v>728.41</v>
      </c>
      <c r="M1235" s="24">
        <v>1094.92</v>
      </c>
      <c r="N1235" s="34">
        <f>((sales_data_1[[#This Row],[Unit_Price]]*(1-sales_data_1[[#This Row],[Discount]]))-sales_data_1[[#This Row],[Unit_Cost]])*sales_data_1[[#This Row],[Quantity_Sold]]</f>
        <v>207.45840000000021</v>
      </c>
      <c r="O1235" s="17" t="s">
        <v>27</v>
      </c>
      <c r="P1235" s="26">
        <v>0.24</v>
      </c>
      <c r="Q1235" s="17" t="s">
        <v>18</v>
      </c>
      <c r="R1235" s="17" t="s">
        <v>21</v>
      </c>
      <c r="S1235" s="50" t="str">
        <f t="shared" si="59"/>
        <v>Charlie-West</v>
      </c>
      <c r="T1235" s="59" t="str">
        <f>IF(ROUND(sales_data_1[[#This Row],[Profit_Margin]],2)=ROUND((sales_data_1[[#This Row],[Unit_Price]]*(1-sales_data_1[[#This Row],[Discount]]) - sales_data_1[[#This Row],[Unit_Cost]])*sales_data_1[[#This Row],[Quantity_Sold]],2), "PASS", "CHECK")</f>
        <v>PASS</v>
      </c>
    </row>
    <row r="1236" spans="1:20" x14ac:dyDescent="0.35">
      <c r="A1236" s="7">
        <v>1235</v>
      </c>
      <c r="B1236" s="9">
        <v>1027</v>
      </c>
      <c r="C1236" s="14" t="str">
        <f>IFERROR(_xlfn.TEXTJOIN("-", TRUE, _xlfn.XLOOKUP(K1236, product_category_id_lookup!$A$2:$A$5, product_category_id_lookup!$B$2:$B$5), B1236), "Unknown Category")</f>
        <v>fd-1027</v>
      </c>
      <c r="D1236" s="8">
        <v>44964</v>
      </c>
      <c r="E1236" s="14">
        <f t="shared" si="57"/>
        <v>2023</v>
      </c>
      <c r="F1236" s="29" t="str">
        <f t="shared" si="58"/>
        <v>Feb</v>
      </c>
      <c r="G1236" s="17" t="s">
        <v>14</v>
      </c>
      <c r="H1236" s="17" t="s">
        <v>20</v>
      </c>
      <c r="I1236" s="24">
        <v>3243.5744999999997</v>
      </c>
      <c r="J1236" s="32">
        <v>3</v>
      </c>
      <c r="K1236" s="17" t="s">
        <v>24</v>
      </c>
      <c r="L1236" s="24">
        <v>999.09</v>
      </c>
      <c r="M1236" s="24">
        <v>1271.99</v>
      </c>
      <c r="N1236" s="34">
        <f>((sales_data_1[[#This Row],[Unit_Price]]*(1-sales_data_1[[#This Row],[Discount]]))-sales_data_1[[#This Row],[Unit_Cost]])*sales_data_1[[#This Row],[Quantity_Sold]]</f>
        <v>246.30449999999962</v>
      </c>
      <c r="O1236" s="17" t="s">
        <v>27</v>
      </c>
      <c r="P1236" s="26">
        <v>0.15</v>
      </c>
      <c r="Q1236" s="17" t="s">
        <v>28</v>
      </c>
      <c r="R1236" s="17" t="s">
        <v>19</v>
      </c>
      <c r="S1236" s="50" t="str">
        <f t="shared" si="59"/>
        <v>Bob-West</v>
      </c>
      <c r="T1236" s="59" t="str">
        <f>IF(ROUND(sales_data_1[[#This Row],[Profit_Margin]],2)=ROUND((sales_data_1[[#This Row],[Unit_Price]]*(1-sales_data_1[[#This Row],[Discount]]) - sales_data_1[[#This Row],[Unit_Cost]])*sales_data_1[[#This Row],[Quantity_Sold]],2), "PASS", "CHECK")</f>
        <v>PASS</v>
      </c>
    </row>
    <row r="1237" spans="1:20" x14ac:dyDescent="0.35">
      <c r="A1237" s="7">
        <v>1236</v>
      </c>
      <c r="B1237" s="9">
        <v>1081</v>
      </c>
      <c r="C1237" s="14" t="str">
        <f>IFERROR(_xlfn.TEXTJOIN("-", TRUE, _xlfn.XLOOKUP(K1237, product_category_id_lookup!$A$2:$A$5, product_category_id_lookup!$B$2:$B$5), B1237), "Unknown Category")</f>
        <v>fnt-1081</v>
      </c>
      <c r="D1237" s="8">
        <v>44964</v>
      </c>
      <c r="E1237" s="14">
        <f t="shared" si="57"/>
        <v>2023</v>
      </c>
      <c r="F1237" s="29" t="str">
        <f t="shared" si="58"/>
        <v>Feb</v>
      </c>
      <c r="G1237" s="17" t="s">
        <v>22</v>
      </c>
      <c r="H1237" s="17" t="s">
        <v>30</v>
      </c>
      <c r="I1237" s="24">
        <v>114661.2020529583</v>
      </c>
      <c r="J1237" s="32">
        <v>41</v>
      </c>
      <c r="K1237" s="17" t="s">
        <v>16</v>
      </c>
      <c r="L1237" s="24">
        <v>2782.08</v>
      </c>
      <c r="M1237" s="24">
        <v>2879.24</v>
      </c>
      <c r="N1237" s="34">
        <f>((sales_data_1[[#This Row],[Unit_Price]]*(1-sales_data_1[[#This Row],[Discount]]))-sales_data_1[[#This Row],[Unit_Cost]])*sales_data_1[[#This Row],[Quantity_Sold]]</f>
        <v>442.09479999999803</v>
      </c>
      <c r="O1237" s="17" t="s">
        <v>27</v>
      </c>
      <c r="P1237" s="26">
        <v>0.03</v>
      </c>
      <c r="Q1237" s="17" t="s">
        <v>25</v>
      </c>
      <c r="R1237" s="17" t="s">
        <v>19</v>
      </c>
      <c r="S1237" s="50" t="str">
        <f t="shared" si="59"/>
        <v>David-East</v>
      </c>
      <c r="T1237" s="59" t="str">
        <f>IF(ROUND(sales_data_1[[#This Row],[Profit_Margin]],2)=ROUND((sales_data_1[[#This Row],[Unit_Price]]*(1-sales_data_1[[#This Row],[Discount]]) - sales_data_1[[#This Row],[Unit_Cost]])*sales_data_1[[#This Row],[Quantity_Sold]],2), "PASS", "CHECK")</f>
        <v>PASS</v>
      </c>
    </row>
    <row r="1238" spans="1:20" x14ac:dyDescent="0.35">
      <c r="A1238" s="7">
        <v>1237</v>
      </c>
      <c r="B1238" s="9">
        <v>1077</v>
      </c>
      <c r="C1238" s="14" t="str">
        <f>IFERROR(_xlfn.TEXTJOIN("-", TRUE, _xlfn.XLOOKUP(K1238, product_category_id_lookup!$A$2:$A$5, product_category_id_lookup!$B$2:$B$5), B1238), "Unknown Category")</f>
        <v>ctg-1077</v>
      </c>
      <c r="D1238" s="8">
        <v>44964</v>
      </c>
      <c r="E1238" s="14">
        <f t="shared" si="57"/>
        <v>2023</v>
      </c>
      <c r="F1238" s="29" t="str">
        <f t="shared" si="58"/>
        <v>Feb</v>
      </c>
      <c r="G1238" s="17" t="s">
        <v>32</v>
      </c>
      <c r="H1238" s="17" t="s">
        <v>20</v>
      </c>
      <c r="I1238" s="24">
        <v>31577.571880307871</v>
      </c>
      <c r="J1238" s="32">
        <v>12</v>
      </c>
      <c r="K1238" s="17" t="s">
        <v>26</v>
      </c>
      <c r="L1238" s="24">
        <v>2427.46</v>
      </c>
      <c r="M1238" s="24">
        <v>2743.09</v>
      </c>
      <c r="N1238" s="34">
        <f>((sales_data_1[[#This Row],[Unit_Price]]*(1-sales_data_1[[#This Row],[Discount]]))-sales_data_1[[#This Row],[Unit_Cost]])*sales_data_1[[#This Row],[Quantity_Sold]]</f>
        <v>2470.8767999999982</v>
      </c>
      <c r="O1238" s="17" t="s">
        <v>27</v>
      </c>
      <c r="P1238" s="26">
        <v>0.04</v>
      </c>
      <c r="Q1238" s="17" t="s">
        <v>28</v>
      </c>
      <c r="R1238" s="17" t="s">
        <v>21</v>
      </c>
      <c r="S1238" s="50" t="str">
        <f t="shared" si="59"/>
        <v>Eve-West</v>
      </c>
      <c r="T1238" s="59" t="str">
        <f>IF(ROUND(sales_data_1[[#This Row],[Profit_Margin]],2)=ROUND((sales_data_1[[#This Row],[Unit_Price]]*(1-sales_data_1[[#This Row],[Discount]]) - sales_data_1[[#This Row],[Unit_Cost]])*sales_data_1[[#This Row],[Quantity_Sold]],2), "PASS", "CHECK")</f>
        <v>PASS</v>
      </c>
    </row>
    <row r="1239" spans="1:20" x14ac:dyDescent="0.35">
      <c r="A1239" s="7">
        <v>1238</v>
      </c>
      <c r="B1239" s="9">
        <v>1072</v>
      </c>
      <c r="C1239" s="14" t="str">
        <f>IFERROR(_xlfn.TEXTJOIN("-", TRUE, _xlfn.XLOOKUP(K1239, product_category_id_lookup!$A$2:$A$5, product_category_id_lookup!$B$2:$B$5), B1239), "Unknown Category")</f>
        <v>fd-1072</v>
      </c>
      <c r="D1239" s="8">
        <v>44964</v>
      </c>
      <c r="E1239" s="14">
        <f t="shared" si="57"/>
        <v>2023</v>
      </c>
      <c r="F1239" s="29" t="str">
        <f t="shared" si="58"/>
        <v>Feb</v>
      </c>
      <c r="G1239" s="17" t="s">
        <v>14</v>
      </c>
      <c r="H1239" s="17" t="s">
        <v>30</v>
      </c>
      <c r="I1239" s="24">
        <v>98864.96100000001</v>
      </c>
      <c r="J1239" s="32">
        <v>26</v>
      </c>
      <c r="K1239" s="17" t="s">
        <v>24</v>
      </c>
      <c r="L1239" s="24">
        <v>3640.17</v>
      </c>
      <c r="M1239" s="24">
        <v>4002.63</v>
      </c>
      <c r="N1239" s="34">
        <f>((sales_data_1[[#This Row],[Unit_Price]]*(1-sales_data_1[[#This Row],[Discount]]))-sales_data_1[[#This Row],[Unit_Cost]])*sales_data_1[[#This Row],[Quantity_Sold]]</f>
        <v>4220.541000000002</v>
      </c>
      <c r="O1239" s="17" t="s">
        <v>27</v>
      </c>
      <c r="P1239" s="26">
        <v>0.05</v>
      </c>
      <c r="Q1239" s="17" t="s">
        <v>28</v>
      </c>
      <c r="R1239" s="17" t="s">
        <v>21</v>
      </c>
      <c r="S1239" s="50" t="str">
        <f t="shared" si="59"/>
        <v>Bob-East</v>
      </c>
      <c r="T1239" s="59" t="str">
        <f>IF(ROUND(sales_data_1[[#This Row],[Profit_Margin]],2)=ROUND((sales_data_1[[#This Row],[Unit_Price]]*(1-sales_data_1[[#This Row],[Discount]]) - sales_data_1[[#This Row],[Unit_Cost]])*sales_data_1[[#This Row],[Quantity_Sold]],2), "PASS", "CHECK")</f>
        <v>PASS</v>
      </c>
    </row>
    <row r="1240" spans="1:20" x14ac:dyDescent="0.35">
      <c r="A1240" s="7">
        <v>1239</v>
      </c>
      <c r="B1240" s="9">
        <v>1015</v>
      </c>
      <c r="C1240" s="14" t="str">
        <f>IFERROR(_xlfn.TEXTJOIN("-", TRUE, _xlfn.XLOOKUP(K1240, product_category_id_lookup!$A$2:$A$5, product_category_id_lookup!$B$2:$B$5), B1240), "Unknown Category")</f>
        <v>etc-1015</v>
      </c>
      <c r="D1240" s="8">
        <v>44965</v>
      </c>
      <c r="E1240" s="14">
        <f t="shared" si="57"/>
        <v>2023</v>
      </c>
      <c r="F1240" s="29" t="str">
        <f t="shared" si="58"/>
        <v>Feb</v>
      </c>
      <c r="G1240" s="17" t="s">
        <v>29</v>
      </c>
      <c r="H1240" s="17" t="s">
        <v>30</v>
      </c>
      <c r="I1240" s="24">
        <v>61395.000124428443</v>
      </c>
      <c r="J1240" s="32">
        <v>23</v>
      </c>
      <c r="K1240" s="17" t="s">
        <v>31</v>
      </c>
      <c r="L1240" s="24">
        <v>2644.77</v>
      </c>
      <c r="M1240" s="24">
        <v>2684.83</v>
      </c>
      <c r="N1240" s="34">
        <f>((sales_data_1[[#This Row],[Unit_Price]]*(1-sales_data_1[[#This Row],[Discount]]))-sales_data_1[[#This Row],[Unit_Cost]])*sales_data_1[[#This Row],[Quantity_Sold]]</f>
        <v>303.86909999999625</v>
      </c>
      <c r="O1240" s="17" t="s">
        <v>27</v>
      </c>
      <c r="P1240" s="26">
        <v>0.01</v>
      </c>
      <c r="Q1240" s="17" t="s">
        <v>18</v>
      </c>
      <c r="R1240" s="17" t="s">
        <v>19</v>
      </c>
      <c r="S1240" s="50" t="str">
        <f t="shared" si="59"/>
        <v>Charlie-East</v>
      </c>
      <c r="T1240" s="59" t="str">
        <f>IF(ROUND(sales_data_1[[#This Row],[Profit_Margin]],2)=ROUND((sales_data_1[[#This Row],[Unit_Price]]*(1-sales_data_1[[#This Row],[Discount]]) - sales_data_1[[#This Row],[Unit_Cost]])*sales_data_1[[#This Row],[Quantity_Sold]],2), "PASS", "CHECK")</f>
        <v>PASS</v>
      </c>
    </row>
    <row r="1241" spans="1:20" x14ac:dyDescent="0.35">
      <c r="A1241" s="7">
        <v>1240</v>
      </c>
      <c r="B1241" s="9">
        <v>1090</v>
      </c>
      <c r="C1241" s="14" t="str">
        <f>IFERROR(_xlfn.TEXTJOIN("-", TRUE, _xlfn.XLOOKUP(K1241, product_category_id_lookup!$A$2:$A$5, product_category_id_lookup!$B$2:$B$5), B1241), "Unknown Category")</f>
        <v>ctg-1090</v>
      </c>
      <c r="D1241" s="8">
        <v>44965</v>
      </c>
      <c r="E1241" s="14">
        <f t="shared" si="57"/>
        <v>2023</v>
      </c>
      <c r="F1241" s="29" t="str">
        <f t="shared" si="58"/>
        <v>Feb</v>
      </c>
      <c r="G1241" s="17" t="s">
        <v>29</v>
      </c>
      <c r="H1241" s="17" t="s">
        <v>15</v>
      </c>
      <c r="I1241" s="24">
        <v>157065.85276125249</v>
      </c>
      <c r="J1241" s="32">
        <v>44</v>
      </c>
      <c r="K1241" s="17" t="s">
        <v>26</v>
      </c>
      <c r="L1241" s="24">
        <v>3542.18</v>
      </c>
      <c r="M1241" s="24">
        <v>3578.49</v>
      </c>
      <c r="N1241" s="34">
        <f>((sales_data_1[[#This Row],[Unit_Price]]*(1-sales_data_1[[#This Row],[Discount]]))-sales_data_1[[#This Row],[Unit_Cost]])*sales_data_1[[#This Row],[Quantity_Sold]]</f>
        <v>1597.6399999999976</v>
      </c>
      <c r="O1241" s="17" t="s">
        <v>17</v>
      </c>
      <c r="P1241" s="26">
        <v>0</v>
      </c>
      <c r="Q1241" s="17" t="s">
        <v>18</v>
      </c>
      <c r="R1241" s="17" t="s">
        <v>19</v>
      </c>
      <c r="S1241" s="50" t="str">
        <f t="shared" si="59"/>
        <v>Charlie-North</v>
      </c>
      <c r="T1241" s="59" t="str">
        <f>IF(ROUND(sales_data_1[[#This Row],[Profit_Margin]],2)=ROUND((sales_data_1[[#This Row],[Unit_Price]]*(1-sales_data_1[[#This Row],[Discount]]) - sales_data_1[[#This Row],[Unit_Cost]])*sales_data_1[[#This Row],[Quantity_Sold]],2), "PASS", "CHECK")</f>
        <v>PASS</v>
      </c>
    </row>
    <row r="1242" spans="1:20" x14ac:dyDescent="0.35">
      <c r="A1242" s="7">
        <v>1241</v>
      </c>
      <c r="B1242" s="9">
        <v>1048</v>
      </c>
      <c r="C1242" s="14" t="str">
        <f>IFERROR(_xlfn.TEXTJOIN("-", TRUE, _xlfn.XLOOKUP(K1242, product_category_id_lookup!$A$2:$A$5, product_category_id_lookup!$B$2:$B$5), B1242), "Unknown Category")</f>
        <v>ctg-1048</v>
      </c>
      <c r="D1242" s="8">
        <v>44965</v>
      </c>
      <c r="E1242" s="14">
        <f t="shared" si="57"/>
        <v>2023</v>
      </c>
      <c r="F1242" s="29" t="str">
        <f t="shared" si="58"/>
        <v>Feb</v>
      </c>
      <c r="G1242" s="17" t="s">
        <v>29</v>
      </c>
      <c r="H1242" s="17" t="s">
        <v>20</v>
      </c>
      <c r="I1242" s="24">
        <v>88743.632400000002</v>
      </c>
      <c r="J1242" s="32">
        <v>27</v>
      </c>
      <c r="K1242" s="17" t="s">
        <v>26</v>
      </c>
      <c r="L1242" s="24">
        <v>3197.76</v>
      </c>
      <c r="M1242" s="24">
        <v>3572.61</v>
      </c>
      <c r="N1242" s="34">
        <f>((sales_data_1[[#This Row],[Unit_Price]]*(1-sales_data_1[[#This Row],[Discount]]))-sales_data_1[[#This Row],[Unit_Cost]])*sales_data_1[[#This Row],[Quantity_Sold]]</f>
        <v>2404.1124000000032</v>
      </c>
      <c r="O1242" s="17" t="s">
        <v>17</v>
      </c>
      <c r="P1242" s="26">
        <v>0.08</v>
      </c>
      <c r="Q1242" s="17" t="s">
        <v>28</v>
      </c>
      <c r="R1242" s="17" t="s">
        <v>19</v>
      </c>
      <c r="S1242" s="50" t="str">
        <f t="shared" si="59"/>
        <v>Charlie-West</v>
      </c>
      <c r="T1242" s="59" t="str">
        <f>IF(ROUND(sales_data_1[[#This Row],[Profit_Margin]],2)=ROUND((sales_data_1[[#This Row],[Unit_Price]]*(1-sales_data_1[[#This Row],[Discount]]) - sales_data_1[[#This Row],[Unit_Cost]])*sales_data_1[[#This Row],[Quantity_Sold]],2), "PASS", "CHECK")</f>
        <v>PASS</v>
      </c>
    </row>
    <row r="1243" spans="1:20" x14ac:dyDescent="0.35">
      <c r="A1243" s="7">
        <v>1242</v>
      </c>
      <c r="B1243" s="9">
        <v>1033</v>
      </c>
      <c r="C1243" s="14" t="str">
        <f>IFERROR(_xlfn.TEXTJOIN("-", TRUE, _xlfn.XLOOKUP(K1243, product_category_id_lookup!$A$2:$A$5, product_category_id_lookup!$B$2:$B$5), B1243), "Unknown Category")</f>
        <v>etc-1033</v>
      </c>
      <c r="D1243" s="8">
        <v>44965</v>
      </c>
      <c r="E1243" s="14">
        <f t="shared" si="57"/>
        <v>2023</v>
      </c>
      <c r="F1243" s="29" t="str">
        <f t="shared" si="58"/>
        <v>Feb</v>
      </c>
      <c r="G1243" s="17" t="s">
        <v>32</v>
      </c>
      <c r="H1243" s="17" t="s">
        <v>15</v>
      </c>
      <c r="I1243" s="24">
        <v>168969.76748457088</v>
      </c>
      <c r="J1243" s="32">
        <v>39</v>
      </c>
      <c r="K1243" s="17" t="s">
        <v>31</v>
      </c>
      <c r="L1243" s="24">
        <v>4232.8100000000004</v>
      </c>
      <c r="M1243" s="24">
        <v>4345.25</v>
      </c>
      <c r="N1243" s="34">
        <f>((sales_data_1[[#This Row],[Unit_Price]]*(1-sales_data_1[[#This Row],[Discount]]))-sales_data_1[[#This Row],[Unit_Cost]])*sales_data_1[[#This Row],[Quantity_Sold]]</f>
        <v>4385.1599999999844</v>
      </c>
      <c r="O1243" s="17" t="s">
        <v>17</v>
      </c>
      <c r="P1243" s="26">
        <v>0</v>
      </c>
      <c r="Q1243" s="17" t="s">
        <v>25</v>
      </c>
      <c r="R1243" s="17" t="s">
        <v>19</v>
      </c>
      <c r="S1243" s="50" t="str">
        <f t="shared" si="59"/>
        <v>Eve-North</v>
      </c>
      <c r="T1243" s="59" t="str">
        <f>IF(ROUND(sales_data_1[[#This Row],[Profit_Margin]],2)=ROUND((sales_data_1[[#This Row],[Unit_Price]]*(1-sales_data_1[[#This Row],[Discount]]) - sales_data_1[[#This Row],[Unit_Cost]])*sales_data_1[[#This Row],[Quantity_Sold]],2), "PASS", "CHECK")</f>
        <v>PASS</v>
      </c>
    </row>
    <row r="1244" spans="1:20" x14ac:dyDescent="0.35">
      <c r="A1244" s="7">
        <v>1243</v>
      </c>
      <c r="B1244" s="9">
        <v>1078</v>
      </c>
      <c r="C1244" s="14" t="str">
        <f>IFERROR(_xlfn.TEXTJOIN("-", TRUE, _xlfn.XLOOKUP(K1244, product_category_id_lookup!$A$2:$A$5, product_category_id_lookup!$B$2:$B$5), B1244), "Unknown Category")</f>
        <v>fnt-1078</v>
      </c>
      <c r="D1244" s="8">
        <v>44965</v>
      </c>
      <c r="E1244" s="14">
        <f t="shared" si="57"/>
        <v>2023</v>
      </c>
      <c r="F1244" s="29" t="str">
        <f t="shared" si="58"/>
        <v>Feb</v>
      </c>
      <c r="G1244" s="17" t="s">
        <v>33</v>
      </c>
      <c r="H1244" s="17" t="s">
        <v>23</v>
      </c>
      <c r="I1244" s="24">
        <v>152454.36023302149</v>
      </c>
      <c r="J1244" s="32">
        <v>49</v>
      </c>
      <c r="K1244" s="17" t="s">
        <v>16</v>
      </c>
      <c r="L1244" s="24">
        <v>3026.85</v>
      </c>
      <c r="M1244" s="24">
        <v>3183.58</v>
      </c>
      <c r="N1244" s="34">
        <f>((sales_data_1[[#This Row],[Unit_Price]]*(1-sales_data_1[[#This Row],[Discount]]))-sales_data_1[[#This Row],[Unit_Cost]])*sales_data_1[[#This Row],[Quantity_Sold]]</f>
        <v>4559.8615999999947</v>
      </c>
      <c r="O1244" s="17" t="s">
        <v>17</v>
      </c>
      <c r="P1244" s="26">
        <v>0.02</v>
      </c>
      <c r="Q1244" s="17" t="s">
        <v>18</v>
      </c>
      <c r="R1244" s="17" t="s">
        <v>21</v>
      </c>
      <c r="S1244" s="50" t="str">
        <f t="shared" si="59"/>
        <v>Alice-South</v>
      </c>
      <c r="T1244" s="59" t="str">
        <f>IF(ROUND(sales_data_1[[#This Row],[Profit_Margin]],2)=ROUND((sales_data_1[[#This Row],[Unit_Price]]*(1-sales_data_1[[#This Row],[Discount]]) - sales_data_1[[#This Row],[Unit_Cost]])*sales_data_1[[#This Row],[Quantity_Sold]],2), "PASS", "CHECK")</f>
        <v>PASS</v>
      </c>
    </row>
    <row r="1245" spans="1:20" x14ac:dyDescent="0.35">
      <c r="A1245" s="7">
        <v>1244</v>
      </c>
      <c r="B1245" s="9">
        <v>1027</v>
      </c>
      <c r="C1245" s="14" t="str">
        <f>IFERROR(_xlfn.TEXTJOIN("-", TRUE, _xlfn.XLOOKUP(K1245, product_category_id_lookup!$A$2:$A$5, product_category_id_lookup!$B$2:$B$5), B1245), "Unknown Category")</f>
        <v>etc-1027</v>
      </c>
      <c r="D1245" s="8">
        <v>44965</v>
      </c>
      <c r="E1245" s="14">
        <f t="shared" si="57"/>
        <v>2023</v>
      </c>
      <c r="F1245" s="29" t="str">
        <f t="shared" si="58"/>
        <v>Feb</v>
      </c>
      <c r="G1245" s="17" t="s">
        <v>33</v>
      </c>
      <c r="H1245" s="17" t="s">
        <v>20</v>
      </c>
      <c r="I1245" s="24">
        <v>44380.544381771571</v>
      </c>
      <c r="J1245" s="32">
        <v>20</v>
      </c>
      <c r="K1245" s="17" t="s">
        <v>31</v>
      </c>
      <c r="L1245" s="24">
        <v>1748.11</v>
      </c>
      <c r="M1245" s="24">
        <v>2220.9</v>
      </c>
      <c r="N1245" s="34">
        <f>((sales_data_1[[#This Row],[Unit_Price]]*(1-sales_data_1[[#This Row],[Discount]]))-sales_data_1[[#This Row],[Unit_Cost]])*sales_data_1[[#This Row],[Quantity_Sold]]</f>
        <v>9455.8000000000029</v>
      </c>
      <c r="O1245" s="17" t="s">
        <v>27</v>
      </c>
      <c r="P1245" s="26">
        <v>0</v>
      </c>
      <c r="Q1245" s="17" t="s">
        <v>28</v>
      </c>
      <c r="R1245" s="17" t="s">
        <v>21</v>
      </c>
      <c r="S1245" s="50" t="str">
        <f t="shared" si="59"/>
        <v>Alice-West</v>
      </c>
      <c r="T1245" s="59" t="str">
        <f>IF(ROUND(sales_data_1[[#This Row],[Profit_Margin]],2)=ROUND((sales_data_1[[#This Row],[Unit_Price]]*(1-sales_data_1[[#This Row],[Discount]]) - sales_data_1[[#This Row],[Unit_Cost]])*sales_data_1[[#This Row],[Quantity_Sold]],2), "PASS", "CHECK")</f>
        <v>PASS</v>
      </c>
    </row>
    <row r="1246" spans="1:20" x14ac:dyDescent="0.35">
      <c r="A1246" s="7">
        <v>1245</v>
      </c>
      <c r="B1246" s="9">
        <v>1046</v>
      </c>
      <c r="C1246" s="14" t="str">
        <f>IFERROR(_xlfn.TEXTJOIN("-", TRUE, _xlfn.XLOOKUP(K1246, product_category_id_lookup!$A$2:$A$5, product_category_id_lookup!$B$2:$B$5), B1246), "Unknown Category")</f>
        <v>fnt-1046</v>
      </c>
      <c r="D1246" s="8">
        <v>44966</v>
      </c>
      <c r="E1246" s="14">
        <f t="shared" si="57"/>
        <v>2023</v>
      </c>
      <c r="F1246" s="29" t="str">
        <f t="shared" si="58"/>
        <v>Feb</v>
      </c>
      <c r="G1246" s="17" t="s">
        <v>29</v>
      </c>
      <c r="H1246" s="17" t="s">
        <v>30</v>
      </c>
      <c r="I1246" s="24">
        <v>3768.5140471243826</v>
      </c>
      <c r="J1246" s="32">
        <v>3</v>
      </c>
      <c r="K1246" s="17" t="s">
        <v>16</v>
      </c>
      <c r="L1246" s="24">
        <v>1216.1600000000001</v>
      </c>
      <c r="M1246" s="24">
        <v>1295.3700000000001</v>
      </c>
      <c r="N1246" s="34">
        <f>((sales_data_1[[#This Row],[Unit_Price]]*(1-sales_data_1[[#This Row],[Discount]]))-sales_data_1[[#This Row],[Unit_Cost]])*sales_data_1[[#This Row],[Quantity_Sold]]</f>
        <v>121.04669999999987</v>
      </c>
      <c r="O1246" s="17" t="s">
        <v>27</v>
      </c>
      <c r="P1246" s="26">
        <v>0.03</v>
      </c>
      <c r="Q1246" s="17" t="s">
        <v>18</v>
      </c>
      <c r="R1246" s="17" t="s">
        <v>21</v>
      </c>
      <c r="S1246" s="50" t="str">
        <f t="shared" si="59"/>
        <v>Charlie-East</v>
      </c>
      <c r="T1246" s="59" t="str">
        <f>IF(ROUND(sales_data_1[[#This Row],[Profit_Margin]],2)=ROUND((sales_data_1[[#This Row],[Unit_Price]]*(1-sales_data_1[[#This Row],[Discount]]) - sales_data_1[[#This Row],[Unit_Cost]])*sales_data_1[[#This Row],[Quantity_Sold]],2), "PASS", "CHECK")</f>
        <v>PASS</v>
      </c>
    </row>
    <row r="1247" spans="1:20" x14ac:dyDescent="0.35">
      <c r="A1247" s="7">
        <v>1246</v>
      </c>
      <c r="B1247" s="9">
        <v>1039</v>
      </c>
      <c r="C1247" s="14" t="str">
        <f>IFERROR(_xlfn.TEXTJOIN("-", TRUE, _xlfn.XLOOKUP(K1247, product_category_id_lookup!$A$2:$A$5, product_category_id_lookup!$B$2:$B$5), B1247), "Unknown Category")</f>
        <v>fd-1039</v>
      </c>
      <c r="D1247" s="8">
        <v>44966</v>
      </c>
      <c r="E1247" s="14">
        <f t="shared" si="57"/>
        <v>2023</v>
      </c>
      <c r="F1247" s="29" t="str">
        <f t="shared" si="58"/>
        <v>Feb</v>
      </c>
      <c r="G1247" s="17" t="s">
        <v>22</v>
      </c>
      <c r="H1247" s="17" t="s">
        <v>23</v>
      </c>
      <c r="I1247" s="24">
        <v>40718.880536319928</v>
      </c>
      <c r="J1247" s="32">
        <v>20</v>
      </c>
      <c r="K1247" s="17" t="s">
        <v>24</v>
      </c>
      <c r="L1247" s="24">
        <v>2014.11</v>
      </c>
      <c r="M1247" s="24">
        <v>2056.35</v>
      </c>
      <c r="N1247" s="34">
        <f>((sales_data_1[[#This Row],[Unit_Price]]*(1-sales_data_1[[#This Row],[Discount]]))-sales_data_1[[#This Row],[Unit_Cost]])*sales_data_1[[#This Row],[Quantity_Sold]]</f>
        <v>433.53000000000065</v>
      </c>
      <c r="O1247" s="17" t="s">
        <v>17</v>
      </c>
      <c r="P1247" s="26">
        <v>0.01</v>
      </c>
      <c r="Q1247" s="17" t="s">
        <v>25</v>
      </c>
      <c r="R1247" s="17" t="s">
        <v>21</v>
      </c>
      <c r="S1247" s="50" t="str">
        <f t="shared" si="59"/>
        <v>David-South</v>
      </c>
      <c r="T1247" s="59" t="str">
        <f>IF(ROUND(sales_data_1[[#This Row],[Profit_Margin]],2)=ROUND((sales_data_1[[#This Row],[Unit_Price]]*(1-sales_data_1[[#This Row],[Discount]]) - sales_data_1[[#This Row],[Unit_Cost]])*sales_data_1[[#This Row],[Quantity_Sold]],2), "PASS", "CHECK")</f>
        <v>PASS</v>
      </c>
    </row>
    <row r="1248" spans="1:20" x14ac:dyDescent="0.35">
      <c r="A1248" s="7">
        <v>1247</v>
      </c>
      <c r="B1248" s="9">
        <v>1038</v>
      </c>
      <c r="C1248" s="14" t="str">
        <f>IFERROR(_xlfn.TEXTJOIN("-", TRUE, _xlfn.XLOOKUP(K1248, product_category_id_lookup!$A$2:$A$5, product_category_id_lookup!$B$2:$B$5), B1248), "Unknown Category")</f>
        <v>fnt-1038</v>
      </c>
      <c r="D1248" s="8">
        <v>44966</v>
      </c>
      <c r="E1248" s="14">
        <f t="shared" si="57"/>
        <v>2023</v>
      </c>
      <c r="F1248" s="29" t="str">
        <f t="shared" si="58"/>
        <v>Feb</v>
      </c>
      <c r="G1248" s="17" t="s">
        <v>33</v>
      </c>
      <c r="H1248" s="17" t="s">
        <v>30</v>
      </c>
      <c r="I1248" s="24">
        <v>65955.594513233824</v>
      </c>
      <c r="J1248" s="32">
        <v>16</v>
      </c>
      <c r="K1248" s="17" t="s">
        <v>16</v>
      </c>
      <c r="L1248" s="24">
        <v>3899.7</v>
      </c>
      <c r="M1248" s="24">
        <v>4228.18</v>
      </c>
      <c r="N1248" s="34">
        <f>((sales_data_1[[#This Row],[Unit_Price]]*(1-sales_data_1[[#This Row],[Discount]]))-sales_data_1[[#This Row],[Unit_Cost]])*sales_data_1[[#This Row],[Quantity_Sold]]</f>
        <v>3226.1536000000051</v>
      </c>
      <c r="O1248" s="17" t="s">
        <v>27</v>
      </c>
      <c r="P1248" s="26">
        <v>0.03</v>
      </c>
      <c r="Q1248" s="17" t="s">
        <v>18</v>
      </c>
      <c r="R1248" s="17" t="s">
        <v>21</v>
      </c>
      <c r="S1248" s="50" t="str">
        <f t="shared" si="59"/>
        <v>Alice-East</v>
      </c>
      <c r="T1248" s="59" t="str">
        <f>IF(ROUND(sales_data_1[[#This Row],[Profit_Margin]],2)=ROUND((sales_data_1[[#This Row],[Unit_Price]]*(1-sales_data_1[[#This Row],[Discount]]) - sales_data_1[[#This Row],[Unit_Cost]])*sales_data_1[[#This Row],[Quantity_Sold]],2), "PASS", "CHECK")</f>
        <v>PASS</v>
      </c>
    </row>
    <row r="1249" spans="1:20" x14ac:dyDescent="0.35">
      <c r="A1249" s="7">
        <v>1248</v>
      </c>
      <c r="B1249" s="9">
        <v>1092</v>
      </c>
      <c r="C1249" s="14" t="str">
        <f>IFERROR(_xlfn.TEXTJOIN("-", TRUE, _xlfn.XLOOKUP(K1249, product_category_id_lookup!$A$2:$A$5, product_category_id_lookup!$B$2:$B$5), B1249), "Unknown Category")</f>
        <v>ctg-1092</v>
      </c>
      <c r="D1249" s="8">
        <v>44966</v>
      </c>
      <c r="E1249" s="14">
        <f t="shared" si="57"/>
        <v>2023</v>
      </c>
      <c r="F1249" s="29" t="str">
        <f t="shared" si="58"/>
        <v>Feb</v>
      </c>
      <c r="G1249" s="17" t="s">
        <v>33</v>
      </c>
      <c r="H1249" s="17" t="s">
        <v>23</v>
      </c>
      <c r="I1249" s="24">
        <v>54537.584505853134</v>
      </c>
      <c r="J1249" s="32">
        <v>14</v>
      </c>
      <c r="K1249" s="17" t="s">
        <v>26</v>
      </c>
      <c r="L1249" s="24">
        <v>3586.58</v>
      </c>
      <c r="M1249" s="24">
        <v>4068.43</v>
      </c>
      <c r="N1249" s="34">
        <f>((sales_data_1[[#This Row],[Unit_Price]]*(1-sales_data_1[[#This Row],[Discount]]))-sales_data_1[[#This Row],[Unit_Cost]])*sales_data_1[[#This Row],[Quantity_Sold]]</f>
        <v>4467.5791999999983</v>
      </c>
      <c r="O1249" s="17" t="s">
        <v>27</v>
      </c>
      <c r="P1249" s="26">
        <v>0.04</v>
      </c>
      <c r="Q1249" s="17" t="s">
        <v>28</v>
      </c>
      <c r="R1249" s="17" t="s">
        <v>19</v>
      </c>
      <c r="S1249" s="50" t="str">
        <f t="shared" si="59"/>
        <v>Alice-South</v>
      </c>
      <c r="T1249" s="59" t="str">
        <f>IF(ROUND(sales_data_1[[#This Row],[Profit_Margin]],2)=ROUND((sales_data_1[[#This Row],[Unit_Price]]*(1-sales_data_1[[#This Row],[Discount]]) - sales_data_1[[#This Row],[Unit_Cost]])*sales_data_1[[#This Row],[Quantity_Sold]],2), "PASS", "CHECK")</f>
        <v>PASS</v>
      </c>
    </row>
    <row r="1250" spans="1:20" x14ac:dyDescent="0.35">
      <c r="A1250" s="7">
        <v>1249</v>
      </c>
      <c r="B1250" s="9">
        <v>1092</v>
      </c>
      <c r="C1250" s="14" t="str">
        <f>IFERROR(_xlfn.TEXTJOIN("-", TRUE, _xlfn.XLOOKUP(K1250, product_category_id_lookup!$A$2:$A$5, product_category_id_lookup!$B$2:$B$5), B1250), "Unknown Category")</f>
        <v>fnt-1092</v>
      </c>
      <c r="D1250" s="8">
        <v>44966</v>
      </c>
      <c r="E1250" s="14">
        <f t="shared" si="57"/>
        <v>2023</v>
      </c>
      <c r="F1250" s="29" t="str">
        <f t="shared" si="58"/>
        <v>Feb</v>
      </c>
      <c r="G1250" s="17" t="s">
        <v>22</v>
      </c>
      <c r="H1250" s="17" t="s">
        <v>20</v>
      </c>
      <c r="I1250" s="24">
        <v>75473.307816122426</v>
      </c>
      <c r="J1250" s="32">
        <v>34</v>
      </c>
      <c r="K1250" s="17" t="s">
        <v>16</v>
      </c>
      <c r="L1250" s="24">
        <v>2037.41</v>
      </c>
      <c r="M1250" s="24">
        <v>2238.65</v>
      </c>
      <c r="N1250" s="34">
        <f>((sales_data_1[[#This Row],[Unit_Price]]*(1-sales_data_1[[#This Row],[Discount]]))-sales_data_1[[#This Row],[Unit_Cost]])*sales_data_1[[#This Row],[Quantity_Sold]]</f>
        <v>6081.0189999999984</v>
      </c>
      <c r="O1250" s="17" t="s">
        <v>27</v>
      </c>
      <c r="P1250" s="26">
        <v>0.01</v>
      </c>
      <c r="Q1250" s="17" t="s">
        <v>28</v>
      </c>
      <c r="R1250" s="17" t="s">
        <v>19</v>
      </c>
      <c r="S1250" s="50" t="str">
        <f t="shared" si="59"/>
        <v>David-West</v>
      </c>
      <c r="T1250" s="59" t="str">
        <f>IF(ROUND(sales_data_1[[#This Row],[Profit_Margin]],2)=ROUND((sales_data_1[[#This Row],[Unit_Price]]*(1-sales_data_1[[#This Row],[Discount]]) - sales_data_1[[#This Row],[Unit_Cost]])*sales_data_1[[#This Row],[Quantity_Sold]],2), "PASS", "CHECK")</f>
        <v>PASS</v>
      </c>
    </row>
    <row r="1251" spans="1:20" x14ac:dyDescent="0.35">
      <c r="A1251" s="7">
        <v>1250</v>
      </c>
      <c r="B1251" s="9">
        <v>1020</v>
      </c>
      <c r="C1251" s="14" t="str">
        <f>IFERROR(_xlfn.TEXTJOIN("-", TRUE, _xlfn.XLOOKUP(K1251, product_category_id_lookup!$A$2:$A$5, product_category_id_lookup!$B$2:$B$5), B1251), "Unknown Category")</f>
        <v>etc-1020</v>
      </c>
      <c r="D1251" s="8">
        <v>44966</v>
      </c>
      <c r="E1251" s="14">
        <f t="shared" si="57"/>
        <v>2023</v>
      </c>
      <c r="F1251" s="29" t="str">
        <f t="shared" si="58"/>
        <v>Feb</v>
      </c>
      <c r="G1251" s="17" t="s">
        <v>29</v>
      </c>
      <c r="H1251" s="17" t="s">
        <v>30</v>
      </c>
      <c r="I1251" s="24">
        <v>17641.251000000004</v>
      </c>
      <c r="J1251" s="32">
        <v>29</v>
      </c>
      <c r="K1251" s="17" t="s">
        <v>31</v>
      </c>
      <c r="L1251" s="24">
        <v>184.05</v>
      </c>
      <c r="M1251" s="24">
        <v>675.91000000000008</v>
      </c>
      <c r="N1251" s="34">
        <f>((sales_data_1[[#This Row],[Unit_Price]]*(1-sales_data_1[[#This Row],[Discount]]))-sales_data_1[[#This Row],[Unit_Cost]])*sales_data_1[[#This Row],[Quantity_Sold]]</f>
        <v>12303.801000000001</v>
      </c>
      <c r="O1251" s="17" t="s">
        <v>17</v>
      </c>
      <c r="P1251" s="26">
        <v>0.1</v>
      </c>
      <c r="Q1251" s="17" t="s">
        <v>18</v>
      </c>
      <c r="R1251" s="17" t="s">
        <v>21</v>
      </c>
      <c r="S1251" s="50" t="str">
        <f t="shared" si="59"/>
        <v>Charlie-East</v>
      </c>
      <c r="T1251" s="59" t="str">
        <f>IF(ROUND(sales_data_1[[#This Row],[Profit_Margin]],2)=ROUND((sales_data_1[[#This Row],[Unit_Price]]*(1-sales_data_1[[#This Row],[Discount]]) - sales_data_1[[#This Row],[Unit_Cost]])*sales_data_1[[#This Row],[Quantity_Sold]],2), "PASS", "CHECK")</f>
        <v>PASS</v>
      </c>
    </row>
    <row r="1252" spans="1:20" x14ac:dyDescent="0.35">
      <c r="A1252" s="7">
        <v>1251</v>
      </c>
      <c r="B1252" s="9">
        <v>1024</v>
      </c>
      <c r="C1252" s="14" t="str">
        <f>IFERROR(_xlfn.TEXTJOIN("-", TRUE, _xlfn.XLOOKUP(K1252, product_category_id_lookup!$A$2:$A$5, product_category_id_lookup!$B$2:$B$5), B1252), "Unknown Category")</f>
        <v>ctg-1024</v>
      </c>
      <c r="D1252" s="8">
        <v>44967</v>
      </c>
      <c r="E1252" s="14">
        <f t="shared" si="57"/>
        <v>2023</v>
      </c>
      <c r="F1252" s="29" t="str">
        <f t="shared" si="58"/>
        <v>Feb</v>
      </c>
      <c r="G1252" s="17" t="s">
        <v>22</v>
      </c>
      <c r="H1252" s="17" t="s">
        <v>30</v>
      </c>
      <c r="I1252" s="24">
        <v>22228.003200000003</v>
      </c>
      <c r="J1252" s="32">
        <v>13</v>
      </c>
      <c r="K1252" s="17" t="s">
        <v>26</v>
      </c>
      <c r="L1252" s="24">
        <v>1493.88</v>
      </c>
      <c r="M1252" s="24">
        <v>1781.0900000000001</v>
      </c>
      <c r="N1252" s="34">
        <f>((sales_data_1[[#This Row],[Unit_Price]]*(1-sales_data_1[[#This Row],[Discount]]))-sales_data_1[[#This Row],[Unit_Cost]])*sales_data_1[[#This Row],[Quantity_Sold]]</f>
        <v>2807.5632000000005</v>
      </c>
      <c r="O1252" s="17" t="s">
        <v>27</v>
      </c>
      <c r="P1252" s="26">
        <v>0.04</v>
      </c>
      <c r="Q1252" s="17" t="s">
        <v>18</v>
      </c>
      <c r="R1252" s="17" t="s">
        <v>21</v>
      </c>
      <c r="S1252" s="50" t="str">
        <f t="shared" si="59"/>
        <v>David-East</v>
      </c>
      <c r="T1252" s="59" t="str">
        <f>IF(ROUND(sales_data_1[[#This Row],[Profit_Margin]],2)=ROUND((sales_data_1[[#This Row],[Unit_Price]]*(1-sales_data_1[[#This Row],[Discount]]) - sales_data_1[[#This Row],[Unit_Cost]])*sales_data_1[[#This Row],[Quantity_Sold]],2), "PASS", "CHECK")</f>
        <v>PASS</v>
      </c>
    </row>
    <row r="1253" spans="1:20" x14ac:dyDescent="0.35">
      <c r="A1253" s="7">
        <v>1252</v>
      </c>
      <c r="B1253" s="9">
        <v>1056</v>
      </c>
      <c r="C1253" s="14" t="str">
        <f>IFERROR(_xlfn.TEXTJOIN("-", TRUE, _xlfn.XLOOKUP(K1253, product_category_id_lookup!$A$2:$A$5, product_category_id_lookup!$B$2:$B$5), B1253), "Unknown Category")</f>
        <v>fnt-1056</v>
      </c>
      <c r="D1253" s="8">
        <v>44967</v>
      </c>
      <c r="E1253" s="14">
        <f t="shared" si="57"/>
        <v>2023</v>
      </c>
      <c r="F1253" s="29" t="str">
        <f t="shared" si="58"/>
        <v>Feb</v>
      </c>
      <c r="G1253" s="17" t="s">
        <v>14</v>
      </c>
      <c r="H1253" s="17" t="s">
        <v>20</v>
      </c>
      <c r="I1253" s="24">
        <v>53833.625999999997</v>
      </c>
      <c r="J1253" s="32">
        <v>42</v>
      </c>
      <c r="K1253" s="17" t="s">
        <v>16</v>
      </c>
      <c r="L1253" s="24">
        <v>1080.1199999999999</v>
      </c>
      <c r="M1253" s="24">
        <v>1424.1699999999998</v>
      </c>
      <c r="N1253" s="34">
        <f>((sales_data_1[[#This Row],[Unit_Price]]*(1-sales_data_1[[#This Row],[Discount]]))-sales_data_1[[#This Row],[Unit_Cost]])*sales_data_1[[#This Row],[Quantity_Sold]]</f>
        <v>8468.5860000000011</v>
      </c>
      <c r="O1253" s="17" t="s">
        <v>27</v>
      </c>
      <c r="P1253" s="26">
        <v>0.1</v>
      </c>
      <c r="Q1253" s="17" t="s">
        <v>18</v>
      </c>
      <c r="R1253" s="17" t="s">
        <v>19</v>
      </c>
      <c r="S1253" s="50" t="str">
        <f t="shared" si="59"/>
        <v>Bob-West</v>
      </c>
      <c r="T1253" s="59" t="str">
        <f>IF(ROUND(sales_data_1[[#This Row],[Profit_Margin]],2)=ROUND((sales_data_1[[#This Row],[Unit_Price]]*(1-sales_data_1[[#This Row],[Discount]]) - sales_data_1[[#This Row],[Unit_Cost]])*sales_data_1[[#This Row],[Quantity_Sold]],2), "PASS", "CHECK")</f>
        <v>PASS</v>
      </c>
    </row>
    <row r="1254" spans="1:20" x14ac:dyDescent="0.35">
      <c r="A1254" s="7">
        <v>1253</v>
      </c>
      <c r="B1254" s="9">
        <v>1092</v>
      </c>
      <c r="C1254" s="14" t="str">
        <f>IFERROR(_xlfn.TEXTJOIN("-", TRUE, _xlfn.XLOOKUP(K1254, product_category_id_lookup!$A$2:$A$5, product_category_id_lookup!$B$2:$B$5), B1254), "Unknown Category")</f>
        <v>fnt-1092</v>
      </c>
      <c r="D1254" s="8">
        <v>44967</v>
      </c>
      <c r="E1254" s="14">
        <f t="shared" si="57"/>
        <v>2023</v>
      </c>
      <c r="F1254" s="29" t="str">
        <f t="shared" si="58"/>
        <v>Feb</v>
      </c>
      <c r="G1254" s="17" t="s">
        <v>14</v>
      </c>
      <c r="H1254" s="17" t="s">
        <v>30</v>
      </c>
      <c r="I1254" s="24">
        <v>186936.42077778079</v>
      </c>
      <c r="J1254" s="32">
        <v>47</v>
      </c>
      <c r="K1254" s="17" t="s">
        <v>16</v>
      </c>
      <c r="L1254" s="24">
        <v>3681.53</v>
      </c>
      <c r="M1254" s="24">
        <v>4076.96</v>
      </c>
      <c r="N1254" s="34">
        <f>((sales_data_1[[#This Row],[Unit_Price]]*(1-sales_data_1[[#This Row],[Discount]]))-sales_data_1[[#This Row],[Unit_Cost]])*sales_data_1[[#This Row],[Quantity_Sold]]</f>
        <v>14752.867599999985</v>
      </c>
      <c r="O1254" s="17" t="s">
        <v>17</v>
      </c>
      <c r="P1254" s="26">
        <v>0.02</v>
      </c>
      <c r="Q1254" s="17" t="s">
        <v>18</v>
      </c>
      <c r="R1254" s="17" t="s">
        <v>21</v>
      </c>
      <c r="S1254" s="50" t="str">
        <f t="shared" si="59"/>
        <v>Bob-East</v>
      </c>
      <c r="T1254" s="59" t="str">
        <f>IF(ROUND(sales_data_1[[#This Row],[Profit_Margin]],2)=ROUND((sales_data_1[[#This Row],[Unit_Price]]*(1-sales_data_1[[#This Row],[Discount]]) - sales_data_1[[#This Row],[Unit_Cost]])*sales_data_1[[#This Row],[Quantity_Sold]],2), "PASS", "CHECK")</f>
        <v>PASS</v>
      </c>
    </row>
    <row r="1255" spans="1:20" x14ac:dyDescent="0.35">
      <c r="A1255" s="7">
        <v>1254</v>
      </c>
      <c r="B1255" s="9">
        <v>1034</v>
      </c>
      <c r="C1255" s="14" t="str">
        <f>IFERROR(_xlfn.TEXTJOIN("-", TRUE, _xlfn.XLOOKUP(K1255, product_category_id_lookup!$A$2:$A$5, product_category_id_lookup!$B$2:$B$5), B1255), "Unknown Category")</f>
        <v>etc-1034</v>
      </c>
      <c r="D1255" s="8">
        <v>44968</v>
      </c>
      <c r="E1255" s="14">
        <f t="shared" si="57"/>
        <v>2023</v>
      </c>
      <c r="F1255" s="29" t="str">
        <f t="shared" si="58"/>
        <v>Feb</v>
      </c>
      <c r="G1255" s="17" t="s">
        <v>32</v>
      </c>
      <c r="H1255" s="17" t="s">
        <v>23</v>
      </c>
      <c r="I1255" s="24">
        <v>17879.031482809747</v>
      </c>
      <c r="J1255" s="32">
        <v>26</v>
      </c>
      <c r="K1255" s="17" t="s">
        <v>31</v>
      </c>
      <c r="L1255" s="24">
        <v>667</v>
      </c>
      <c r="M1255" s="24">
        <v>718.72</v>
      </c>
      <c r="N1255" s="34">
        <f>((sales_data_1[[#This Row],[Unit_Price]]*(1-sales_data_1[[#This Row],[Discount]]))-sales_data_1[[#This Row],[Unit_Cost]])*sales_data_1[[#This Row],[Quantity_Sold]]</f>
        <v>597.25119999999879</v>
      </c>
      <c r="O1255" s="17" t="s">
        <v>27</v>
      </c>
      <c r="P1255" s="26">
        <v>0.04</v>
      </c>
      <c r="Q1255" s="17" t="s">
        <v>18</v>
      </c>
      <c r="R1255" s="17" t="s">
        <v>21</v>
      </c>
      <c r="S1255" s="50" t="str">
        <f t="shared" si="59"/>
        <v>Eve-South</v>
      </c>
      <c r="T1255" s="59" t="str">
        <f>IF(ROUND(sales_data_1[[#This Row],[Profit_Margin]],2)=ROUND((sales_data_1[[#This Row],[Unit_Price]]*(1-sales_data_1[[#This Row],[Discount]]) - sales_data_1[[#This Row],[Unit_Cost]])*sales_data_1[[#This Row],[Quantity_Sold]],2), "PASS", "CHECK")</f>
        <v>PASS</v>
      </c>
    </row>
    <row r="1256" spans="1:20" x14ac:dyDescent="0.35">
      <c r="A1256" s="7">
        <v>1255</v>
      </c>
      <c r="B1256" s="9">
        <v>1028</v>
      </c>
      <c r="C1256" s="14" t="str">
        <f>IFERROR(_xlfn.TEXTJOIN("-", TRUE, _xlfn.XLOOKUP(K1256, product_category_id_lookup!$A$2:$A$5, product_category_id_lookup!$B$2:$B$5), B1256), "Unknown Category")</f>
        <v>ctg-1028</v>
      </c>
      <c r="D1256" s="8">
        <v>44968</v>
      </c>
      <c r="E1256" s="14">
        <f t="shared" si="57"/>
        <v>2023</v>
      </c>
      <c r="F1256" s="29" t="str">
        <f t="shared" si="58"/>
        <v>Feb</v>
      </c>
      <c r="G1256" s="17" t="s">
        <v>33</v>
      </c>
      <c r="H1256" s="17" t="s">
        <v>30</v>
      </c>
      <c r="I1256" s="24">
        <v>63702.874846975858</v>
      </c>
      <c r="J1256" s="32">
        <v>24</v>
      </c>
      <c r="K1256" s="17" t="s">
        <v>26</v>
      </c>
      <c r="L1256" s="24">
        <v>2521.0300000000002</v>
      </c>
      <c r="M1256" s="24">
        <v>2766.05</v>
      </c>
      <c r="N1256" s="34">
        <f>((sales_data_1[[#This Row],[Unit_Price]]*(1-sales_data_1[[#This Row],[Discount]]))-sales_data_1[[#This Row],[Unit_Cost]])*sales_data_1[[#This Row],[Quantity_Sold]]</f>
        <v>3225.0719999999928</v>
      </c>
      <c r="O1256" s="17" t="s">
        <v>17</v>
      </c>
      <c r="P1256" s="26">
        <v>0.04</v>
      </c>
      <c r="Q1256" s="17" t="s">
        <v>25</v>
      </c>
      <c r="R1256" s="17" t="s">
        <v>21</v>
      </c>
      <c r="S1256" s="50" t="str">
        <f t="shared" si="59"/>
        <v>Alice-East</v>
      </c>
      <c r="T1256" s="59" t="str">
        <f>IF(ROUND(sales_data_1[[#This Row],[Profit_Margin]],2)=ROUND((sales_data_1[[#This Row],[Unit_Price]]*(1-sales_data_1[[#This Row],[Discount]]) - sales_data_1[[#This Row],[Unit_Cost]])*sales_data_1[[#This Row],[Quantity_Sold]],2), "PASS", "CHECK")</f>
        <v>PASS</v>
      </c>
    </row>
    <row r="1257" spans="1:20" x14ac:dyDescent="0.35">
      <c r="A1257" s="7">
        <v>1256</v>
      </c>
      <c r="B1257" s="9">
        <v>1050</v>
      </c>
      <c r="C1257" s="14" t="str">
        <f>IFERROR(_xlfn.TEXTJOIN("-", TRUE, _xlfn.XLOOKUP(K1257, product_category_id_lookup!$A$2:$A$5, product_category_id_lookup!$B$2:$B$5), B1257), "Unknown Category")</f>
        <v>fnt-1050</v>
      </c>
      <c r="D1257" s="8">
        <v>44968</v>
      </c>
      <c r="E1257" s="14">
        <f t="shared" si="57"/>
        <v>2023</v>
      </c>
      <c r="F1257" s="29" t="str">
        <f t="shared" si="58"/>
        <v>Feb</v>
      </c>
      <c r="G1257" s="17" t="s">
        <v>29</v>
      </c>
      <c r="H1257" s="17" t="s">
        <v>20</v>
      </c>
      <c r="I1257" s="24">
        <v>39230.207999999999</v>
      </c>
      <c r="J1257" s="32">
        <v>48</v>
      </c>
      <c r="K1257" s="17" t="s">
        <v>16</v>
      </c>
      <c r="L1257" s="24">
        <v>710.06</v>
      </c>
      <c r="M1257" s="24">
        <v>851.34999999999991</v>
      </c>
      <c r="N1257" s="34">
        <f>((sales_data_1[[#This Row],[Unit_Price]]*(1-sales_data_1[[#This Row],[Discount]]))-sales_data_1[[#This Row],[Unit_Cost]])*sales_data_1[[#This Row],[Quantity_Sold]]</f>
        <v>5147.3279999999995</v>
      </c>
      <c r="O1257" s="17" t="s">
        <v>17</v>
      </c>
      <c r="P1257" s="26">
        <v>0.04</v>
      </c>
      <c r="Q1257" s="17" t="s">
        <v>25</v>
      </c>
      <c r="R1257" s="17" t="s">
        <v>19</v>
      </c>
      <c r="S1257" s="50" t="str">
        <f t="shared" si="59"/>
        <v>Charlie-West</v>
      </c>
      <c r="T1257" s="59" t="str">
        <f>IF(ROUND(sales_data_1[[#This Row],[Profit_Margin]],2)=ROUND((sales_data_1[[#This Row],[Unit_Price]]*(1-sales_data_1[[#This Row],[Discount]]) - sales_data_1[[#This Row],[Unit_Cost]])*sales_data_1[[#This Row],[Quantity_Sold]],2), "PASS", "CHECK")</f>
        <v>PASS</v>
      </c>
    </row>
    <row r="1258" spans="1:20" x14ac:dyDescent="0.35">
      <c r="A1258" s="7">
        <v>1257</v>
      </c>
      <c r="B1258" s="9">
        <v>1021</v>
      </c>
      <c r="C1258" s="14" t="str">
        <f>IFERROR(_xlfn.TEXTJOIN("-", TRUE, _xlfn.XLOOKUP(K1258, product_category_id_lookup!$A$2:$A$5, product_category_id_lookup!$B$2:$B$5), B1258), "Unknown Category")</f>
        <v>fd-1021</v>
      </c>
      <c r="D1258" s="8">
        <v>44968</v>
      </c>
      <c r="E1258" s="14">
        <f t="shared" si="57"/>
        <v>2023</v>
      </c>
      <c r="F1258" s="29" t="str">
        <f t="shared" si="58"/>
        <v>Feb</v>
      </c>
      <c r="G1258" s="17" t="s">
        <v>29</v>
      </c>
      <c r="H1258" s="17" t="s">
        <v>20</v>
      </c>
      <c r="I1258" s="24">
        <v>35348.665144792903</v>
      </c>
      <c r="J1258" s="32">
        <v>32</v>
      </c>
      <c r="K1258" s="17" t="s">
        <v>24</v>
      </c>
      <c r="L1258" s="24">
        <v>900.79</v>
      </c>
      <c r="M1258" s="24">
        <v>1106.51</v>
      </c>
      <c r="N1258" s="34">
        <f>((sales_data_1[[#This Row],[Unit_Price]]*(1-sales_data_1[[#This Row],[Discount]]))-sales_data_1[[#This Row],[Unit_Cost]])*sales_data_1[[#This Row],[Quantity_Sold]]</f>
        <v>6583.0400000000009</v>
      </c>
      <c r="O1258" s="17" t="s">
        <v>27</v>
      </c>
      <c r="P1258" s="26">
        <v>0</v>
      </c>
      <c r="Q1258" s="17" t="s">
        <v>18</v>
      </c>
      <c r="R1258" s="17" t="s">
        <v>19</v>
      </c>
      <c r="S1258" s="50" t="str">
        <f t="shared" si="59"/>
        <v>Charlie-West</v>
      </c>
      <c r="T1258" s="59" t="str">
        <f>IF(ROUND(sales_data_1[[#This Row],[Profit_Margin]],2)=ROUND((sales_data_1[[#This Row],[Unit_Price]]*(1-sales_data_1[[#This Row],[Discount]]) - sales_data_1[[#This Row],[Unit_Cost]])*sales_data_1[[#This Row],[Quantity_Sold]],2), "PASS", "CHECK")</f>
        <v>PASS</v>
      </c>
    </row>
    <row r="1259" spans="1:20" x14ac:dyDescent="0.35">
      <c r="A1259" s="7">
        <v>1258</v>
      </c>
      <c r="B1259" s="9">
        <v>1014</v>
      </c>
      <c r="C1259" s="14" t="str">
        <f>IFERROR(_xlfn.TEXTJOIN("-", TRUE, _xlfn.XLOOKUP(K1259, product_category_id_lookup!$A$2:$A$5, product_category_id_lookup!$B$2:$B$5), B1259), "Unknown Category")</f>
        <v>fd-1014</v>
      </c>
      <c r="D1259" s="8">
        <v>44968</v>
      </c>
      <c r="E1259" s="14">
        <f t="shared" si="57"/>
        <v>2023</v>
      </c>
      <c r="F1259" s="29" t="str">
        <f t="shared" si="58"/>
        <v>Feb</v>
      </c>
      <c r="G1259" s="17" t="s">
        <v>22</v>
      </c>
      <c r="H1259" s="17" t="s">
        <v>20</v>
      </c>
      <c r="I1259" s="24">
        <v>118547.41029166638</v>
      </c>
      <c r="J1259" s="32">
        <v>44</v>
      </c>
      <c r="K1259" s="17" t="s">
        <v>24</v>
      </c>
      <c r="L1259" s="24">
        <v>2257.48</v>
      </c>
      <c r="M1259" s="24">
        <v>2747.81</v>
      </c>
      <c r="N1259" s="34">
        <f>((sales_data_1[[#This Row],[Unit_Price]]*(1-sales_data_1[[#This Row],[Discount]]))-sales_data_1[[#This Row],[Unit_Cost]])*sales_data_1[[#This Row],[Quantity_Sold]]</f>
        <v>19156.447199999995</v>
      </c>
      <c r="O1259" s="17" t="s">
        <v>17</v>
      </c>
      <c r="P1259" s="26">
        <v>0.02</v>
      </c>
      <c r="Q1259" s="17" t="s">
        <v>18</v>
      </c>
      <c r="R1259" s="17" t="s">
        <v>19</v>
      </c>
      <c r="S1259" s="50" t="str">
        <f t="shared" si="59"/>
        <v>David-West</v>
      </c>
      <c r="T1259" s="59" t="str">
        <f>IF(ROUND(sales_data_1[[#This Row],[Profit_Margin]],2)=ROUND((sales_data_1[[#This Row],[Unit_Price]]*(1-sales_data_1[[#This Row],[Discount]]) - sales_data_1[[#This Row],[Unit_Cost]])*sales_data_1[[#This Row],[Quantity_Sold]],2), "PASS", "CHECK")</f>
        <v>PASS</v>
      </c>
    </row>
    <row r="1260" spans="1:20" x14ac:dyDescent="0.35">
      <c r="A1260" s="7">
        <v>1259</v>
      </c>
      <c r="B1260" s="9">
        <v>1076</v>
      </c>
      <c r="C1260" s="14" t="str">
        <f>IFERROR(_xlfn.TEXTJOIN("-", TRUE, _xlfn.XLOOKUP(K1260, product_category_id_lookup!$A$2:$A$5, product_category_id_lookup!$B$2:$B$5), B1260), "Unknown Category")</f>
        <v>ctg-1076</v>
      </c>
      <c r="D1260" s="8">
        <v>44970</v>
      </c>
      <c r="E1260" s="14">
        <f t="shared" si="57"/>
        <v>2023</v>
      </c>
      <c r="F1260" s="29" t="str">
        <f t="shared" si="58"/>
        <v>Feb</v>
      </c>
      <c r="G1260" s="17" t="s">
        <v>32</v>
      </c>
      <c r="H1260" s="17" t="s">
        <v>15</v>
      </c>
      <c r="I1260" s="24">
        <v>10386.761451521543</v>
      </c>
      <c r="J1260" s="32">
        <v>17</v>
      </c>
      <c r="K1260" s="17" t="s">
        <v>26</v>
      </c>
      <c r="L1260" s="24">
        <v>604.08000000000004</v>
      </c>
      <c r="M1260" s="24">
        <v>624.71</v>
      </c>
      <c r="N1260" s="34">
        <f>((sales_data_1[[#This Row],[Unit_Price]]*(1-sales_data_1[[#This Row],[Discount]]))-sales_data_1[[#This Row],[Unit_Cost]])*sales_data_1[[#This Row],[Quantity_Sold]]</f>
        <v>138.3086000000003</v>
      </c>
      <c r="O1260" s="17" t="s">
        <v>27</v>
      </c>
      <c r="P1260" s="26">
        <v>0.02</v>
      </c>
      <c r="Q1260" s="17" t="s">
        <v>25</v>
      </c>
      <c r="R1260" s="17" t="s">
        <v>21</v>
      </c>
      <c r="S1260" s="50" t="str">
        <f t="shared" si="59"/>
        <v>Eve-North</v>
      </c>
      <c r="T1260" s="59" t="str">
        <f>IF(ROUND(sales_data_1[[#This Row],[Profit_Margin]],2)=ROUND((sales_data_1[[#This Row],[Unit_Price]]*(1-sales_data_1[[#This Row],[Discount]]) - sales_data_1[[#This Row],[Unit_Cost]])*sales_data_1[[#This Row],[Quantity_Sold]],2), "PASS", "CHECK")</f>
        <v>PASS</v>
      </c>
    </row>
    <row r="1261" spans="1:20" x14ac:dyDescent="0.35">
      <c r="A1261" s="7">
        <v>1260</v>
      </c>
      <c r="B1261" s="9">
        <v>1044</v>
      </c>
      <c r="C1261" s="14" t="str">
        <f>IFERROR(_xlfn.TEXTJOIN("-", TRUE, _xlfn.XLOOKUP(K1261, product_category_id_lookup!$A$2:$A$5, product_category_id_lookup!$B$2:$B$5), B1261), "Unknown Category")</f>
        <v>etc-1044</v>
      </c>
      <c r="D1261" s="8">
        <v>44971</v>
      </c>
      <c r="E1261" s="14">
        <f t="shared" si="57"/>
        <v>2023</v>
      </c>
      <c r="F1261" s="29" t="str">
        <f t="shared" si="58"/>
        <v>Feb</v>
      </c>
      <c r="G1261" s="17" t="s">
        <v>22</v>
      </c>
      <c r="H1261" s="17" t="s">
        <v>20</v>
      </c>
      <c r="I1261" s="24">
        <v>29550.11625779697</v>
      </c>
      <c r="J1261" s="32">
        <v>12</v>
      </c>
      <c r="K1261" s="17" t="s">
        <v>31</v>
      </c>
      <c r="L1261" s="24">
        <v>2221.31</v>
      </c>
      <c r="M1261" s="24">
        <v>2494.48</v>
      </c>
      <c r="N1261" s="34">
        <f>((sales_data_1[[#This Row],[Unit_Price]]*(1-sales_data_1[[#This Row],[Discount]]))-sales_data_1[[#This Row],[Unit_Cost]])*sales_data_1[[#This Row],[Quantity_Sold]]</f>
        <v>2978.7023999999983</v>
      </c>
      <c r="O1261" s="17" t="s">
        <v>17</v>
      </c>
      <c r="P1261" s="26">
        <v>0.01</v>
      </c>
      <c r="Q1261" s="17" t="s">
        <v>25</v>
      </c>
      <c r="R1261" s="17" t="s">
        <v>19</v>
      </c>
      <c r="S1261" s="50" t="str">
        <f t="shared" si="59"/>
        <v>David-West</v>
      </c>
      <c r="T1261" s="59" t="str">
        <f>IF(ROUND(sales_data_1[[#This Row],[Profit_Margin]],2)=ROUND((sales_data_1[[#This Row],[Unit_Price]]*(1-sales_data_1[[#This Row],[Discount]]) - sales_data_1[[#This Row],[Unit_Cost]])*sales_data_1[[#This Row],[Quantity_Sold]],2), "PASS", "CHECK")</f>
        <v>PASS</v>
      </c>
    </row>
    <row r="1262" spans="1:20" x14ac:dyDescent="0.35">
      <c r="A1262" s="7">
        <v>1261</v>
      </c>
      <c r="B1262" s="9">
        <v>1099</v>
      </c>
      <c r="C1262" s="14" t="str">
        <f>IFERROR(_xlfn.TEXTJOIN("-", TRUE, _xlfn.XLOOKUP(K1262, product_category_id_lookup!$A$2:$A$5, product_category_id_lookup!$B$2:$B$5), B1262), "Unknown Category")</f>
        <v>ctg-1099</v>
      </c>
      <c r="D1262" s="8">
        <v>44971</v>
      </c>
      <c r="E1262" s="14">
        <f t="shared" si="57"/>
        <v>2023</v>
      </c>
      <c r="F1262" s="29" t="str">
        <f t="shared" si="58"/>
        <v>Feb</v>
      </c>
      <c r="G1262" s="17" t="s">
        <v>22</v>
      </c>
      <c r="H1262" s="17" t="s">
        <v>23</v>
      </c>
      <c r="I1262" s="24">
        <v>61103.705600000001</v>
      </c>
      <c r="J1262" s="32">
        <v>32</v>
      </c>
      <c r="K1262" s="17" t="s">
        <v>26</v>
      </c>
      <c r="L1262" s="24">
        <v>1517.86</v>
      </c>
      <c r="M1262" s="24">
        <v>1948.46</v>
      </c>
      <c r="N1262" s="34">
        <f>((sales_data_1[[#This Row],[Unit_Price]]*(1-sales_data_1[[#This Row],[Discount]]))-sales_data_1[[#This Row],[Unit_Cost]])*sales_data_1[[#This Row],[Quantity_Sold]]</f>
        <v>12532.185600000004</v>
      </c>
      <c r="O1262" s="17" t="s">
        <v>27</v>
      </c>
      <c r="P1262" s="26">
        <v>0.02</v>
      </c>
      <c r="Q1262" s="17" t="s">
        <v>28</v>
      </c>
      <c r="R1262" s="17" t="s">
        <v>19</v>
      </c>
      <c r="S1262" s="50" t="str">
        <f t="shared" si="59"/>
        <v>David-South</v>
      </c>
      <c r="T1262" s="59" t="str">
        <f>IF(ROUND(sales_data_1[[#This Row],[Profit_Margin]],2)=ROUND((sales_data_1[[#This Row],[Unit_Price]]*(1-sales_data_1[[#This Row],[Discount]]) - sales_data_1[[#This Row],[Unit_Cost]])*sales_data_1[[#This Row],[Quantity_Sold]],2), "PASS", "CHECK")</f>
        <v>PASS</v>
      </c>
    </row>
    <row r="1263" spans="1:20" x14ac:dyDescent="0.35">
      <c r="A1263" s="7">
        <v>1262</v>
      </c>
      <c r="B1263" s="9">
        <v>1074</v>
      </c>
      <c r="C1263" s="14" t="str">
        <f>IFERROR(_xlfn.TEXTJOIN("-", TRUE, _xlfn.XLOOKUP(K1263, product_category_id_lookup!$A$2:$A$5, product_category_id_lookup!$B$2:$B$5), B1263), "Unknown Category")</f>
        <v>fnt-1074</v>
      </c>
      <c r="D1263" s="8">
        <v>44972</v>
      </c>
      <c r="E1263" s="14">
        <f t="shared" si="57"/>
        <v>2023</v>
      </c>
      <c r="F1263" s="29" t="str">
        <f t="shared" si="58"/>
        <v>Feb</v>
      </c>
      <c r="G1263" s="17" t="s">
        <v>14</v>
      </c>
      <c r="H1263" s="17" t="s">
        <v>20</v>
      </c>
      <c r="I1263" s="24">
        <v>1688.6529</v>
      </c>
      <c r="J1263" s="32">
        <v>1</v>
      </c>
      <c r="K1263" s="17" t="s">
        <v>16</v>
      </c>
      <c r="L1263" s="24">
        <v>1304.23</v>
      </c>
      <c r="M1263" s="24">
        <v>1705.71</v>
      </c>
      <c r="N1263" s="34">
        <f>((sales_data_1[[#This Row],[Unit_Price]]*(1-sales_data_1[[#This Row],[Discount]]))-sales_data_1[[#This Row],[Unit_Cost]])*sales_data_1[[#This Row],[Quantity_Sold]]</f>
        <v>384.42290000000003</v>
      </c>
      <c r="O1263" s="17" t="s">
        <v>17</v>
      </c>
      <c r="P1263" s="26">
        <v>0.01</v>
      </c>
      <c r="Q1263" s="17" t="s">
        <v>18</v>
      </c>
      <c r="R1263" s="17" t="s">
        <v>21</v>
      </c>
      <c r="S1263" s="50" t="str">
        <f t="shared" si="59"/>
        <v>Bob-West</v>
      </c>
      <c r="T1263" s="59" t="str">
        <f>IF(ROUND(sales_data_1[[#This Row],[Profit_Margin]],2)=ROUND((sales_data_1[[#This Row],[Unit_Price]]*(1-sales_data_1[[#This Row],[Discount]]) - sales_data_1[[#This Row],[Unit_Cost]])*sales_data_1[[#This Row],[Quantity_Sold]],2), "PASS", "CHECK")</f>
        <v>PASS</v>
      </c>
    </row>
    <row r="1264" spans="1:20" x14ac:dyDescent="0.35">
      <c r="A1264" s="7">
        <v>1263</v>
      </c>
      <c r="B1264" s="9">
        <v>1025</v>
      </c>
      <c r="C1264" s="14" t="str">
        <f>IFERROR(_xlfn.TEXTJOIN("-", TRUE, _xlfn.XLOOKUP(K1264, product_category_id_lookup!$A$2:$A$5, product_category_id_lookup!$B$2:$B$5), B1264), "Unknown Category")</f>
        <v>ctg-1025</v>
      </c>
      <c r="D1264" s="8">
        <v>44972</v>
      </c>
      <c r="E1264" s="14">
        <f t="shared" si="57"/>
        <v>2023</v>
      </c>
      <c r="F1264" s="29" t="str">
        <f t="shared" si="58"/>
        <v>Feb</v>
      </c>
      <c r="G1264" s="17" t="s">
        <v>22</v>
      </c>
      <c r="H1264" s="17" t="s">
        <v>23</v>
      </c>
      <c r="I1264" s="24">
        <v>73175.148376093988</v>
      </c>
      <c r="J1264" s="32">
        <v>45</v>
      </c>
      <c r="K1264" s="17" t="s">
        <v>26</v>
      </c>
      <c r="L1264" s="24">
        <v>1588.04</v>
      </c>
      <c r="M1264" s="24">
        <v>1703.6399999999999</v>
      </c>
      <c r="N1264" s="34">
        <f>((sales_data_1[[#This Row],[Unit_Price]]*(1-sales_data_1[[#This Row],[Discount]]))-sales_data_1[[#This Row],[Unit_Cost]])*sales_data_1[[#This Row],[Quantity_Sold]]</f>
        <v>1368.8099999999952</v>
      </c>
      <c r="O1264" s="17" t="s">
        <v>27</v>
      </c>
      <c r="P1264" s="26">
        <v>0.05</v>
      </c>
      <c r="Q1264" s="17" t="s">
        <v>25</v>
      </c>
      <c r="R1264" s="17" t="s">
        <v>21</v>
      </c>
      <c r="S1264" s="50" t="str">
        <f t="shared" si="59"/>
        <v>David-South</v>
      </c>
      <c r="T1264" s="59" t="str">
        <f>IF(ROUND(sales_data_1[[#This Row],[Profit_Margin]],2)=ROUND((sales_data_1[[#This Row],[Unit_Price]]*(1-sales_data_1[[#This Row],[Discount]]) - sales_data_1[[#This Row],[Unit_Cost]])*sales_data_1[[#This Row],[Quantity_Sold]],2), "PASS", "CHECK")</f>
        <v>PASS</v>
      </c>
    </row>
    <row r="1265" spans="1:20" x14ac:dyDescent="0.35">
      <c r="A1265" s="7">
        <v>1264</v>
      </c>
      <c r="B1265" s="9">
        <v>1094</v>
      </c>
      <c r="C1265" s="14" t="str">
        <f>IFERROR(_xlfn.TEXTJOIN("-", TRUE, _xlfn.XLOOKUP(K1265, product_category_id_lookup!$A$2:$A$5, product_category_id_lookup!$B$2:$B$5), B1265), "Unknown Category")</f>
        <v>fd-1094</v>
      </c>
      <c r="D1265" s="8">
        <v>44972</v>
      </c>
      <c r="E1265" s="14">
        <f t="shared" si="57"/>
        <v>2023</v>
      </c>
      <c r="F1265" s="29" t="str">
        <f t="shared" si="58"/>
        <v>Feb</v>
      </c>
      <c r="G1265" s="17" t="s">
        <v>29</v>
      </c>
      <c r="H1265" s="17" t="s">
        <v>23</v>
      </c>
      <c r="I1265" s="24">
        <v>165678.2742372014</v>
      </c>
      <c r="J1265" s="32">
        <v>47</v>
      </c>
      <c r="K1265" s="17" t="s">
        <v>24</v>
      </c>
      <c r="L1265" s="24">
        <v>3450.36</v>
      </c>
      <c r="M1265" s="24">
        <v>3557.38</v>
      </c>
      <c r="N1265" s="34">
        <f>((sales_data_1[[#This Row],[Unit_Price]]*(1-sales_data_1[[#This Row],[Discount]]))-sales_data_1[[#This Row],[Unit_Cost]])*sales_data_1[[#This Row],[Quantity_Sold]]</f>
        <v>3357.9713999999935</v>
      </c>
      <c r="O1265" s="17" t="s">
        <v>27</v>
      </c>
      <c r="P1265" s="26">
        <v>0.01</v>
      </c>
      <c r="Q1265" s="17" t="s">
        <v>28</v>
      </c>
      <c r="R1265" s="17" t="s">
        <v>19</v>
      </c>
      <c r="S1265" s="50" t="str">
        <f t="shared" si="59"/>
        <v>Charlie-South</v>
      </c>
      <c r="T1265" s="59" t="str">
        <f>IF(ROUND(sales_data_1[[#This Row],[Profit_Margin]],2)=ROUND((sales_data_1[[#This Row],[Unit_Price]]*(1-sales_data_1[[#This Row],[Discount]]) - sales_data_1[[#This Row],[Unit_Cost]])*sales_data_1[[#This Row],[Quantity_Sold]],2), "PASS", "CHECK")</f>
        <v>PASS</v>
      </c>
    </row>
    <row r="1266" spans="1:20" x14ac:dyDescent="0.35">
      <c r="A1266" s="7">
        <v>1265</v>
      </c>
      <c r="B1266" s="9">
        <v>1074</v>
      </c>
      <c r="C1266" s="14" t="str">
        <f>IFERROR(_xlfn.TEXTJOIN("-", TRUE, _xlfn.XLOOKUP(K1266, product_category_id_lookup!$A$2:$A$5, product_category_id_lookup!$B$2:$B$5), B1266), "Unknown Category")</f>
        <v>fnt-1074</v>
      </c>
      <c r="D1266" s="8">
        <v>44972</v>
      </c>
      <c r="E1266" s="14">
        <f t="shared" si="57"/>
        <v>2023</v>
      </c>
      <c r="F1266" s="29" t="str">
        <f t="shared" si="58"/>
        <v>Feb</v>
      </c>
      <c r="G1266" s="17" t="s">
        <v>33</v>
      </c>
      <c r="H1266" s="17" t="s">
        <v>23</v>
      </c>
      <c r="I1266" s="24">
        <v>39224.194567366671</v>
      </c>
      <c r="J1266" s="32">
        <v>31</v>
      </c>
      <c r="K1266" s="17" t="s">
        <v>16</v>
      </c>
      <c r="L1266" s="24">
        <v>1138.32</v>
      </c>
      <c r="M1266" s="24">
        <v>1266.25</v>
      </c>
      <c r="N1266" s="34">
        <f>((sales_data_1[[#This Row],[Unit_Price]]*(1-sales_data_1[[#This Row],[Discount]]))-sales_data_1[[#This Row],[Unit_Cost]])*sales_data_1[[#This Row],[Quantity_Sold]]</f>
        <v>3965.8300000000017</v>
      </c>
      <c r="O1266" s="17" t="s">
        <v>17</v>
      </c>
      <c r="P1266" s="26">
        <v>0</v>
      </c>
      <c r="Q1266" s="17" t="s">
        <v>18</v>
      </c>
      <c r="R1266" s="17" t="s">
        <v>21</v>
      </c>
      <c r="S1266" s="50" t="str">
        <f t="shared" si="59"/>
        <v>Alice-South</v>
      </c>
      <c r="T1266" s="59" t="str">
        <f>IF(ROUND(sales_data_1[[#This Row],[Profit_Margin]],2)=ROUND((sales_data_1[[#This Row],[Unit_Price]]*(1-sales_data_1[[#This Row],[Discount]]) - sales_data_1[[#This Row],[Unit_Cost]])*sales_data_1[[#This Row],[Quantity_Sold]],2), "PASS", "CHECK")</f>
        <v>PASS</v>
      </c>
    </row>
    <row r="1267" spans="1:20" x14ac:dyDescent="0.35">
      <c r="A1267" s="7">
        <v>1266</v>
      </c>
      <c r="B1267" s="9">
        <v>1053</v>
      </c>
      <c r="C1267" s="14" t="str">
        <f>IFERROR(_xlfn.TEXTJOIN("-", TRUE, _xlfn.XLOOKUP(K1267, product_category_id_lookup!$A$2:$A$5, product_category_id_lookup!$B$2:$B$5), B1267), "Unknown Category")</f>
        <v>fnt-1053</v>
      </c>
      <c r="D1267" s="8">
        <v>44973</v>
      </c>
      <c r="E1267" s="14">
        <f t="shared" si="57"/>
        <v>2023</v>
      </c>
      <c r="F1267" s="29" t="str">
        <f t="shared" si="58"/>
        <v>Feb</v>
      </c>
      <c r="G1267" s="17" t="s">
        <v>32</v>
      </c>
      <c r="H1267" s="17" t="s">
        <v>20</v>
      </c>
      <c r="I1267" s="24">
        <v>17735.481499999998</v>
      </c>
      <c r="J1267" s="32">
        <v>11</v>
      </c>
      <c r="K1267" s="17" t="s">
        <v>16</v>
      </c>
      <c r="L1267" s="24">
        <v>1582.86</v>
      </c>
      <c r="M1267" s="24">
        <v>1942.55</v>
      </c>
      <c r="N1267" s="34">
        <f>((sales_data_1[[#This Row],[Unit_Price]]*(1-sales_data_1[[#This Row],[Discount]]))-sales_data_1[[#This Row],[Unit_Cost]])*sales_data_1[[#This Row],[Quantity_Sold]]</f>
        <v>324.02150000000006</v>
      </c>
      <c r="O1267" s="17" t="s">
        <v>27</v>
      </c>
      <c r="P1267" s="26">
        <v>0.17</v>
      </c>
      <c r="Q1267" s="17" t="s">
        <v>28</v>
      </c>
      <c r="R1267" s="17" t="s">
        <v>21</v>
      </c>
      <c r="S1267" s="50" t="str">
        <f t="shared" si="59"/>
        <v>Eve-West</v>
      </c>
      <c r="T1267" s="59" t="str">
        <f>IF(ROUND(sales_data_1[[#This Row],[Profit_Margin]],2)=ROUND((sales_data_1[[#This Row],[Unit_Price]]*(1-sales_data_1[[#This Row],[Discount]]) - sales_data_1[[#This Row],[Unit_Cost]])*sales_data_1[[#This Row],[Quantity_Sold]],2), "PASS", "CHECK")</f>
        <v>PASS</v>
      </c>
    </row>
    <row r="1268" spans="1:20" x14ac:dyDescent="0.35">
      <c r="A1268" s="7">
        <v>1267</v>
      </c>
      <c r="B1268" s="9">
        <v>1010</v>
      </c>
      <c r="C1268" s="14" t="str">
        <f>IFERROR(_xlfn.TEXTJOIN("-", TRUE, _xlfn.XLOOKUP(K1268, product_category_id_lookup!$A$2:$A$5, product_category_id_lookup!$B$2:$B$5), B1268), "Unknown Category")</f>
        <v>fnt-1010</v>
      </c>
      <c r="D1268" s="8">
        <v>44973</v>
      </c>
      <c r="E1268" s="14">
        <f t="shared" si="57"/>
        <v>2023</v>
      </c>
      <c r="F1268" s="29" t="str">
        <f t="shared" si="58"/>
        <v>Feb</v>
      </c>
      <c r="G1268" s="17" t="s">
        <v>22</v>
      </c>
      <c r="H1268" s="17" t="s">
        <v>30</v>
      </c>
      <c r="I1268" s="24">
        <v>107354.30740000001</v>
      </c>
      <c r="J1268" s="32">
        <v>47</v>
      </c>
      <c r="K1268" s="17" t="s">
        <v>16</v>
      </c>
      <c r="L1268" s="24">
        <v>2265.38</v>
      </c>
      <c r="M1268" s="24">
        <v>2429.9300000000003</v>
      </c>
      <c r="N1268" s="34">
        <f>((sales_data_1[[#This Row],[Unit_Price]]*(1-sales_data_1[[#This Row],[Discount]]))-sales_data_1[[#This Row],[Unit_Cost]])*sales_data_1[[#This Row],[Quantity_Sold]]</f>
        <v>881.44739999999319</v>
      </c>
      <c r="O1268" s="17" t="s">
        <v>17</v>
      </c>
      <c r="P1268" s="26">
        <v>0.06</v>
      </c>
      <c r="Q1268" s="17" t="s">
        <v>25</v>
      </c>
      <c r="R1268" s="17" t="s">
        <v>19</v>
      </c>
      <c r="S1268" s="50" t="str">
        <f t="shared" si="59"/>
        <v>David-East</v>
      </c>
      <c r="T1268" s="59" t="str">
        <f>IF(ROUND(sales_data_1[[#This Row],[Profit_Margin]],2)=ROUND((sales_data_1[[#This Row],[Unit_Price]]*(1-sales_data_1[[#This Row],[Discount]]) - sales_data_1[[#This Row],[Unit_Cost]])*sales_data_1[[#This Row],[Quantity_Sold]],2), "PASS", "CHECK")</f>
        <v>PASS</v>
      </c>
    </row>
    <row r="1269" spans="1:20" x14ac:dyDescent="0.35">
      <c r="A1269" s="7">
        <v>1268</v>
      </c>
      <c r="B1269" s="9">
        <v>1044</v>
      </c>
      <c r="C1269" s="14" t="str">
        <f>IFERROR(_xlfn.TEXTJOIN("-", TRUE, _xlfn.XLOOKUP(K1269, product_category_id_lookup!$A$2:$A$5, product_category_id_lookup!$B$2:$B$5), B1269), "Unknown Category")</f>
        <v>fd-1044</v>
      </c>
      <c r="D1269" s="8">
        <v>44973</v>
      </c>
      <c r="E1269" s="14">
        <f t="shared" si="57"/>
        <v>2023</v>
      </c>
      <c r="F1269" s="29" t="str">
        <f t="shared" si="58"/>
        <v>Feb</v>
      </c>
      <c r="G1269" s="17" t="s">
        <v>22</v>
      </c>
      <c r="H1269" s="17" t="s">
        <v>23</v>
      </c>
      <c r="I1269" s="24">
        <v>75289.654209087486</v>
      </c>
      <c r="J1269" s="32">
        <v>22</v>
      </c>
      <c r="K1269" s="17" t="s">
        <v>24</v>
      </c>
      <c r="L1269" s="24">
        <v>3373.46</v>
      </c>
      <c r="M1269" s="24">
        <v>3454.76</v>
      </c>
      <c r="N1269" s="34">
        <f>((sales_data_1[[#This Row],[Unit_Price]]*(1-sales_data_1[[#This Row],[Discount]]))-sales_data_1[[#This Row],[Unit_Cost]])*sales_data_1[[#This Row],[Quantity_Sold]]</f>
        <v>1028.5528000000068</v>
      </c>
      <c r="O1269" s="17" t="s">
        <v>17</v>
      </c>
      <c r="P1269" s="26">
        <v>0.01</v>
      </c>
      <c r="Q1269" s="17" t="s">
        <v>25</v>
      </c>
      <c r="R1269" s="17" t="s">
        <v>21</v>
      </c>
      <c r="S1269" s="50" t="str">
        <f t="shared" si="59"/>
        <v>David-South</v>
      </c>
      <c r="T1269" s="59" t="str">
        <f>IF(ROUND(sales_data_1[[#This Row],[Profit_Margin]],2)=ROUND((sales_data_1[[#This Row],[Unit_Price]]*(1-sales_data_1[[#This Row],[Discount]]) - sales_data_1[[#This Row],[Unit_Cost]])*sales_data_1[[#This Row],[Quantity_Sold]],2), "PASS", "CHECK")</f>
        <v>PASS</v>
      </c>
    </row>
    <row r="1270" spans="1:20" x14ac:dyDescent="0.35">
      <c r="A1270" s="7">
        <v>1269</v>
      </c>
      <c r="B1270" s="9">
        <v>1028</v>
      </c>
      <c r="C1270" s="14" t="str">
        <f>IFERROR(_xlfn.TEXTJOIN("-", TRUE, _xlfn.XLOOKUP(K1270, product_category_id_lookup!$A$2:$A$5, product_category_id_lookup!$B$2:$B$5), B1270), "Unknown Category")</f>
        <v>etc-1028</v>
      </c>
      <c r="D1270" s="8">
        <v>44973</v>
      </c>
      <c r="E1270" s="14">
        <f t="shared" si="57"/>
        <v>2023</v>
      </c>
      <c r="F1270" s="29" t="str">
        <f t="shared" si="58"/>
        <v>Feb</v>
      </c>
      <c r="G1270" s="17" t="s">
        <v>14</v>
      </c>
      <c r="H1270" s="17" t="s">
        <v>30</v>
      </c>
      <c r="I1270" s="24">
        <v>52730.8992</v>
      </c>
      <c r="J1270" s="32">
        <v>24</v>
      </c>
      <c r="K1270" s="17" t="s">
        <v>31</v>
      </c>
      <c r="L1270" s="24">
        <v>1969.09</v>
      </c>
      <c r="M1270" s="24">
        <v>2241.96</v>
      </c>
      <c r="N1270" s="34">
        <f>((sales_data_1[[#This Row],[Unit_Price]]*(1-sales_data_1[[#This Row],[Discount]]))-sales_data_1[[#This Row],[Unit_Cost]])*sales_data_1[[#This Row],[Quantity_Sold]]</f>
        <v>5472.7392000000054</v>
      </c>
      <c r="O1270" s="17" t="s">
        <v>17</v>
      </c>
      <c r="P1270" s="26">
        <v>0.02</v>
      </c>
      <c r="Q1270" s="17" t="s">
        <v>28</v>
      </c>
      <c r="R1270" s="17" t="s">
        <v>19</v>
      </c>
      <c r="S1270" s="50" t="str">
        <f t="shared" si="59"/>
        <v>Bob-East</v>
      </c>
      <c r="T1270" s="59" t="str">
        <f>IF(ROUND(sales_data_1[[#This Row],[Profit_Margin]],2)=ROUND((sales_data_1[[#This Row],[Unit_Price]]*(1-sales_data_1[[#This Row],[Discount]]) - sales_data_1[[#This Row],[Unit_Cost]])*sales_data_1[[#This Row],[Quantity_Sold]],2), "PASS", "CHECK")</f>
        <v>PASS</v>
      </c>
    </row>
    <row r="1271" spans="1:20" x14ac:dyDescent="0.35">
      <c r="A1271" s="7">
        <v>1270</v>
      </c>
      <c r="B1271" s="9">
        <v>1001</v>
      </c>
      <c r="C1271" s="14" t="str">
        <f>IFERROR(_xlfn.TEXTJOIN("-", TRUE, _xlfn.XLOOKUP(K1271, product_category_id_lookup!$A$2:$A$5, product_category_id_lookup!$B$2:$B$5), B1271), "Unknown Category")</f>
        <v>ctg-1001</v>
      </c>
      <c r="D1271" s="8">
        <v>44975</v>
      </c>
      <c r="E1271" s="14">
        <f t="shared" si="57"/>
        <v>2023</v>
      </c>
      <c r="F1271" s="29" t="str">
        <f t="shared" si="58"/>
        <v>Feb</v>
      </c>
      <c r="G1271" s="17" t="s">
        <v>22</v>
      </c>
      <c r="H1271" s="17" t="s">
        <v>20</v>
      </c>
      <c r="I1271" s="24">
        <v>32314.561199999996</v>
      </c>
      <c r="J1271" s="32">
        <v>27</v>
      </c>
      <c r="K1271" s="17" t="s">
        <v>26</v>
      </c>
      <c r="L1271" s="24">
        <v>939.02</v>
      </c>
      <c r="M1271" s="24">
        <v>1286.92</v>
      </c>
      <c r="N1271" s="34">
        <f>((sales_data_1[[#This Row],[Unit_Price]]*(1-sales_data_1[[#This Row],[Discount]]))-sales_data_1[[#This Row],[Unit_Cost]])*sales_data_1[[#This Row],[Quantity_Sold]]</f>
        <v>6961.0211999999974</v>
      </c>
      <c r="O1271" s="17" t="s">
        <v>17</v>
      </c>
      <c r="P1271" s="26">
        <v>7.0000000000000007E-2</v>
      </c>
      <c r="Q1271" s="17" t="s">
        <v>28</v>
      </c>
      <c r="R1271" s="17" t="s">
        <v>21</v>
      </c>
      <c r="S1271" s="50" t="str">
        <f t="shared" si="59"/>
        <v>David-West</v>
      </c>
      <c r="T1271" s="59" t="str">
        <f>IF(ROUND(sales_data_1[[#This Row],[Profit_Margin]],2)=ROUND((sales_data_1[[#This Row],[Unit_Price]]*(1-sales_data_1[[#This Row],[Discount]]) - sales_data_1[[#This Row],[Unit_Cost]])*sales_data_1[[#This Row],[Quantity_Sold]],2), "PASS", "CHECK")</f>
        <v>PASS</v>
      </c>
    </row>
    <row r="1272" spans="1:20" x14ac:dyDescent="0.35">
      <c r="A1272" s="7">
        <v>1271</v>
      </c>
      <c r="B1272" s="9">
        <v>1007</v>
      </c>
      <c r="C1272" s="14" t="str">
        <f>IFERROR(_xlfn.TEXTJOIN("-", TRUE, _xlfn.XLOOKUP(K1272, product_category_id_lookup!$A$2:$A$5, product_category_id_lookup!$B$2:$B$5), B1272), "Unknown Category")</f>
        <v>ctg-1007</v>
      </c>
      <c r="D1272" s="8">
        <v>44975</v>
      </c>
      <c r="E1272" s="14">
        <f t="shared" si="57"/>
        <v>2023</v>
      </c>
      <c r="F1272" s="29" t="str">
        <f t="shared" si="58"/>
        <v>Feb</v>
      </c>
      <c r="G1272" s="17" t="s">
        <v>33</v>
      </c>
      <c r="H1272" s="17" t="s">
        <v>23</v>
      </c>
      <c r="I1272" s="24">
        <v>72386.717399999994</v>
      </c>
      <c r="J1272" s="32">
        <v>34</v>
      </c>
      <c r="K1272" s="17" t="s">
        <v>26</v>
      </c>
      <c r="L1272" s="24">
        <v>1921.07</v>
      </c>
      <c r="M1272" s="24">
        <v>2289.27</v>
      </c>
      <c r="N1272" s="34">
        <f>((sales_data_1[[#This Row],[Unit_Price]]*(1-sales_data_1[[#This Row],[Discount]]))-sales_data_1[[#This Row],[Unit_Cost]])*sales_data_1[[#This Row],[Quantity_Sold]]</f>
        <v>7070.3374000000003</v>
      </c>
      <c r="O1272" s="17" t="s">
        <v>17</v>
      </c>
      <c r="P1272" s="26">
        <v>7.0000000000000007E-2</v>
      </c>
      <c r="Q1272" s="17" t="s">
        <v>25</v>
      </c>
      <c r="R1272" s="17" t="s">
        <v>21</v>
      </c>
      <c r="S1272" s="50" t="str">
        <f t="shared" si="59"/>
        <v>Alice-South</v>
      </c>
      <c r="T1272" s="59" t="str">
        <f>IF(ROUND(sales_data_1[[#This Row],[Profit_Margin]],2)=ROUND((sales_data_1[[#This Row],[Unit_Price]]*(1-sales_data_1[[#This Row],[Discount]]) - sales_data_1[[#This Row],[Unit_Cost]])*sales_data_1[[#This Row],[Quantity_Sold]],2), "PASS", "CHECK")</f>
        <v>PASS</v>
      </c>
    </row>
    <row r="1273" spans="1:20" x14ac:dyDescent="0.35">
      <c r="A1273" s="7">
        <v>1272</v>
      </c>
      <c r="B1273" s="9">
        <v>1084</v>
      </c>
      <c r="C1273" s="14" t="str">
        <f>IFERROR(_xlfn.TEXTJOIN("-", TRUE, _xlfn.XLOOKUP(K1273, product_category_id_lookup!$A$2:$A$5, product_category_id_lookup!$B$2:$B$5), B1273), "Unknown Category")</f>
        <v>fd-1084</v>
      </c>
      <c r="D1273" s="8">
        <v>44976</v>
      </c>
      <c r="E1273" s="14">
        <f t="shared" si="57"/>
        <v>2023</v>
      </c>
      <c r="F1273" s="29" t="str">
        <f t="shared" si="58"/>
        <v>Feb</v>
      </c>
      <c r="G1273" s="17" t="s">
        <v>22</v>
      </c>
      <c r="H1273" s="17" t="s">
        <v>20</v>
      </c>
      <c r="I1273" s="24">
        <v>23899.554000000004</v>
      </c>
      <c r="J1273" s="32">
        <v>35</v>
      </c>
      <c r="K1273" s="17" t="s">
        <v>24</v>
      </c>
      <c r="L1273" s="24">
        <v>465.61</v>
      </c>
      <c r="M1273" s="24">
        <v>812.91000000000008</v>
      </c>
      <c r="N1273" s="34">
        <f>((sales_data_1[[#This Row],[Unit_Price]]*(1-sales_data_1[[#This Row],[Discount]]))-sales_data_1[[#This Row],[Unit_Cost]])*sales_data_1[[#This Row],[Quantity_Sold]]</f>
        <v>7603.2040000000015</v>
      </c>
      <c r="O1273" s="17" t="s">
        <v>27</v>
      </c>
      <c r="P1273" s="26">
        <v>0.16</v>
      </c>
      <c r="Q1273" s="17" t="s">
        <v>25</v>
      </c>
      <c r="R1273" s="17" t="s">
        <v>19</v>
      </c>
      <c r="S1273" s="50" t="str">
        <f t="shared" si="59"/>
        <v>David-West</v>
      </c>
      <c r="T1273" s="59" t="str">
        <f>IF(ROUND(sales_data_1[[#This Row],[Profit_Margin]],2)=ROUND((sales_data_1[[#This Row],[Unit_Price]]*(1-sales_data_1[[#This Row],[Discount]]) - sales_data_1[[#This Row],[Unit_Cost]])*sales_data_1[[#This Row],[Quantity_Sold]],2), "PASS", "CHECK")</f>
        <v>PASS</v>
      </c>
    </row>
    <row r="1274" spans="1:20" x14ac:dyDescent="0.35">
      <c r="A1274" s="7">
        <v>1273</v>
      </c>
      <c r="B1274" s="9">
        <v>1003</v>
      </c>
      <c r="C1274" s="14" t="str">
        <f>IFERROR(_xlfn.TEXTJOIN("-", TRUE, _xlfn.XLOOKUP(K1274, product_category_id_lookup!$A$2:$A$5, product_category_id_lookup!$B$2:$B$5), B1274), "Unknown Category")</f>
        <v>etc-1003</v>
      </c>
      <c r="D1274" s="8">
        <v>44976</v>
      </c>
      <c r="E1274" s="14">
        <f t="shared" si="57"/>
        <v>2023</v>
      </c>
      <c r="F1274" s="29" t="str">
        <f t="shared" si="58"/>
        <v>Feb</v>
      </c>
      <c r="G1274" s="17" t="s">
        <v>33</v>
      </c>
      <c r="H1274" s="17" t="s">
        <v>30</v>
      </c>
      <c r="I1274" s="24">
        <v>234820.17275299458</v>
      </c>
      <c r="J1274" s="32">
        <v>45</v>
      </c>
      <c r="K1274" s="17" t="s">
        <v>31</v>
      </c>
      <c r="L1274" s="24">
        <v>4974.1400000000003</v>
      </c>
      <c r="M1274" s="24">
        <v>5227.93</v>
      </c>
      <c r="N1274" s="34">
        <f>((sales_data_1[[#This Row],[Unit_Price]]*(1-sales_data_1[[#This Row],[Discount]]))-sales_data_1[[#This Row],[Unit_Cost]])*sales_data_1[[#This Row],[Quantity_Sold]]</f>
        <v>11420.55</v>
      </c>
      <c r="O1274" s="17" t="s">
        <v>27</v>
      </c>
      <c r="P1274" s="26">
        <v>0</v>
      </c>
      <c r="Q1274" s="17" t="s">
        <v>25</v>
      </c>
      <c r="R1274" s="17" t="s">
        <v>19</v>
      </c>
      <c r="S1274" s="50" t="str">
        <f t="shared" si="59"/>
        <v>Alice-East</v>
      </c>
      <c r="T1274" s="59" t="str">
        <f>IF(ROUND(sales_data_1[[#This Row],[Profit_Margin]],2)=ROUND((sales_data_1[[#This Row],[Unit_Price]]*(1-sales_data_1[[#This Row],[Discount]]) - sales_data_1[[#This Row],[Unit_Cost]])*sales_data_1[[#This Row],[Quantity_Sold]],2), "PASS", "CHECK")</f>
        <v>PASS</v>
      </c>
    </row>
    <row r="1275" spans="1:20" x14ac:dyDescent="0.35">
      <c r="A1275" s="7">
        <v>1274</v>
      </c>
      <c r="B1275" s="9">
        <v>1017</v>
      </c>
      <c r="C1275" s="14" t="str">
        <f>IFERROR(_xlfn.TEXTJOIN("-", TRUE, _xlfn.XLOOKUP(K1275, product_category_id_lookup!$A$2:$A$5, product_category_id_lookup!$B$2:$B$5), B1275), "Unknown Category")</f>
        <v>fnt-1017</v>
      </c>
      <c r="D1275" s="8">
        <v>44977</v>
      </c>
      <c r="E1275" s="14">
        <f t="shared" si="57"/>
        <v>2023</v>
      </c>
      <c r="F1275" s="29" t="str">
        <f t="shared" si="58"/>
        <v>Feb</v>
      </c>
      <c r="G1275" s="17" t="s">
        <v>29</v>
      </c>
      <c r="H1275" s="17" t="s">
        <v>15</v>
      </c>
      <c r="I1275" s="24">
        <v>2566.9632000000001</v>
      </c>
      <c r="J1275" s="32">
        <v>16</v>
      </c>
      <c r="K1275" s="17" t="s">
        <v>16</v>
      </c>
      <c r="L1275" s="24">
        <v>102.23</v>
      </c>
      <c r="M1275" s="24">
        <v>167.12</v>
      </c>
      <c r="N1275" s="34">
        <f>((sales_data_1[[#This Row],[Unit_Price]]*(1-sales_data_1[[#This Row],[Discount]]))-sales_data_1[[#This Row],[Unit_Cost]])*sales_data_1[[#This Row],[Quantity_Sold]]</f>
        <v>931.28320000000008</v>
      </c>
      <c r="O1275" s="17" t="s">
        <v>27</v>
      </c>
      <c r="P1275" s="26">
        <v>0.04</v>
      </c>
      <c r="Q1275" s="17" t="s">
        <v>28</v>
      </c>
      <c r="R1275" s="17" t="s">
        <v>21</v>
      </c>
      <c r="S1275" s="50" t="str">
        <f t="shared" si="59"/>
        <v>Charlie-North</v>
      </c>
      <c r="T1275" s="59" t="str">
        <f>IF(ROUND(sales_data_1[[#This Row],[Profit_Margin]],2)=ROUND((sales_data_1[[#This Row],[Unit_Price]]*(1-sales_data_1[[#This Row],[Discount]]) - sales_data_1[[#This Row],[Unit_Cost]])*sales_data_1[[#This Row],[Quantity_Sold]],2), "PASS", "CHECK")</f>
        <v>PASS</v>
      </c>
    </row>
    <row r="1276" spans="1:20" x14ac:dyDescent="0.35">
      <c r="A1276" s="7">
        <v>1275</v>
      </c>
      <c r="B1276" s="9">
        <v>1002</v>
      </c>
      <c r="C1276" s="14" t="str">
        <f>IFERROR(_xlfn.TEXTJOIN("-", TRUE, _xlfn.XLOOKUP(K1276, product_category_id_lookup!$A$2:$A$5, product_category_id_lookup!$B$2:$B$5), B1276), "Unknown Category")</f>
        <v>fd-1002</v>
      </c>
      <c r="D1276" s="8">
        <v>44977</v>
      </c>
      <c r="E1276" s="14">
        <f t="shared" si="57"/>
        <v>2023</v>
      </c>
      <c r="F1276" s="29" t="str">
        <f t="shared" si="58"/>
        <v>Feb</v>
      </c>
      <c r="G1276" s="17" t="s">
        <v>29</v>
      </c>
      <c r="H1276" s="17" t="s">
        <v>20</v>
      </c>
      <c r="I1276" s="24">
        <v>14277.692089366552</v>
      </c>
      <c r="J1276" s="32">
        <v>26</v>
      </c>
      <c r="K1276" s="17" t="s">
        <v>24</v>
      </c>
      <c r="L1276" s="24">
        <v>508.94</v>
      </c>
      <c r="M1276" s="24">
        <v>557.69000000000005</v>
      </c>
      <c r="N1276" s="34">
        <f>((sales_data_1[[#This Row],[Unit_Price]]*(1-sales_data_1[[#This Row],[Discount]]))-sales_data_1[[#This Row],[Unit_Cost]])*sales_data_1[[#This Row],[Quantity_Sold]]</f>
        <v>977.50120000000027</v>
      </c>
      <c r="O1276" s="17" t="s">
        <v>27</v>
      </c>
      <c r="P1276" s="26">
        <v>0.02</v>
      </c>
      <c r="Q1276" s="17" t="s">
        <v>28</v>
      </c>
      <c r="R1276" s="17" t="s">
        <v>21</v>
      </c>
      <c r="S1276" s="50" t="str">
        <f t="shared" si="59"/>
        <v>Charlie-West</v>
      </c>
      <c r="T1276" s="59" t="str">
        <f>IF(ROUND(sales_data_1[[#This Row],[Profit_Margin]],2)=ROUND((sales_data_1[[#This Row],[Unit_Price]]*(1-sales_data_1[[#This Row],[Discount]]) - sales_data_1[[#This Row],[Unit_Cost]])*sales_data_1[[#This Row],[Quantity_Sold]],2), "PASS", "CHECK")</f>
        <v>PASS</v>
      </c>
    </row>
    <row r="1277" spans="1:20" x14ac:dyDescent="0.35">
      <c r="A1277" s="7">
        <v>1276</v>
      </c>
      <c r="B1277" s="9">
        <v>1049</v>
      </c>
      <c r="C1277" s="14" t="str">
        <f>IFERROR(_xlfn.TEXTJOIN("-", TRUE, _xlfn.XLOOKUP(K1277, product_category_id_lookup!$A$2:$A$5, product_category_id_lookup!$B$2:$B$5), B1277), "Unknown Category")</f>
        <v>etc-1049</v>
      </c>
      <c r="D1277" s="8">
        <v>44978</v>
      </c>
      <c r="E1277" s="14">
        <f t="shared" si="57"/>
        <v>2023</v>
      </c>
      <c r="F1277" s="29" t="str">
        <f t="shared" si="58"/>
        <v>Feb</v>
      </c>
      <c r="G1277" s="17" t="s">
        <v>33</v>
      </c>
      <c r="H1277" s="17" t="s">
        <v>30</v>
      </c>
      <c r="I1277" s="24">
        <v>111627.35749999998</v>
      </c>
      <c r="J1277" s="32">
        <v>31</v>
      </c>
      <c r="K1277" s="17" t="s">
        <v>31</v>
      </c>
      <c r="L1277" s="24">
        <v>3570.24</v>
      </c>
      <c r="M1277" s="24">
        <v>3712.25</v>
      </c>
      <c r="N1277" s="34">
        <f>((sales_data_1[[#This Row],[Unit_Price]]*(1-sales_data_1[[#This Row],[Discount]]))-sales_data_1[[#This Row],[Unit_Cost]])*sales_data_1[[#This Row],[Quantity_Sold]]</f>
        <v>949.91749999999774</v>
      </c>
      <c r="O1277" s="17" t="s">
        <v>27</v>
      </c>
      <c r="P1277" s="26">
        <v>0.03</v>
      </c>
      <c r="Q1277" s="17" t="s">
        <v>28</v>
      </c>
      <c r="R1277" s="17" t="s">
        <v>19</v>
      </c>
      <c r="S1277" s="50" t="str">
        <f t="shared" si="59"/>
        <v>Alice-East</v>
      </c>
      <c r="T1277" s="59" t="str">
        <f>IF(ROUND(sales_data_1[[#This Row],[Profit_Margin]],2)=ROUND((sales_data_1[[#This Row],[Unit_Price]]*(1-sales_data_1[[#This Row],[Discount]]) - sales_data_1[[#This Row],[Unit_Cost]])*sales_data_1[[#This Row],[Quantity_Sold]],2), "PASS", "CHECK")</f>
        <v>PASS</v>
      </c>
    </row>
    <row r="1278" spans="1:20" x14ac:dyDescent="0.35">
      <c r="A1278" s="7">
        <v>1277</v>
      </c>
      <c r="B1278" s="9">
        <v>1046</v>
      </c>
      <c r="C1278" s="14" t="str">
        <f>IFERROR(_xlfn.TEXTJOIN("-", TRUE, _xlfn.XLOOKUP(K1278, product_category_id_lookup!$A$2:$A$5, product_category_id_lookup!$B$2:$B$5), B1278), "Unknown Category")</f>
        <v>ctg-1046</v>
      </c>
      <c r="D1278" s="8">
        <v>44979</v>
      </c>
      <c r="E1278" s="14">
        <f t="shared" si="57"/>
        <v>2023</v>
      </c>
      <c r="F1278" s="29" t="str">
        <f t="shared" si="58"/>
        <v>Feb</v>
      </c>
      <c r="G1278" s="17" t="s">
        <v>33</v>
      </c>
      <c r="H1278" s="17" t="s">
        <v>23</v>
      </c>
      <c r="I1278" s="24">
        <v>118952.72480000001</v>
      </c>
      <c r="J1278" s="32">
        <v>46</v>
      </c>
      <c r="K1278" s="17" t="s">
        <v>26</v>
      </c>
      <c r="L1278" s="24">
        <v>2551.56</v>
      </c>
      <c r="M1278" s="24">
        <v>2841.68</v>
      </c>
      <c r="N1278" s="34">
        <f>((sales_data_1[[#This Row],[Unit_Price]]*(1-sales_data_1[[#This Row],[Discount]]))-sales_data_1[[#This Row],[Unit_Cost]])*sales_data_1[[#This Row],[Quantity_Sold]]</f>
        <v>1580.9648000000088</v>
      </c>
      <c r="O1278" s="17" t="s">
        <v>27</v>
      </c>
      <c r="P1278" s="26">
        <v>0.09</v>
      </c>
      <c r="Q1278" s="17" t="s">
        <v>25</v>
      </c>
      <c r="R1278" s="17" t="s">
        <v>21</v>
      </c>
      <c r="S1278" s="50" t="str">
        <f t="shared" si="59"/>
        <v>Alice-South</v>
      </c>
      <c r="T1278" s="59" t="str">
        <f>IF(ROUND(sales_data_1[[#This Row],[Profit_Margin]],2)=ROUND((sales_data_1[[#This Row],[Unit_Price]]*(1-sales_data_1[[#This Row],[Discount]]) - sales_data_1[[#This Row],[Unit_Cost]])*sales_data_1[[#This Row],[Quantity_Sold]],2), "PASS", "CHECK")</f>
        <v>PASS</v>
      </c>
    </row>
    <row r="1279" spans="1:20" x14ac:dyDescent="0.35">
      <c r="A1279" s="7">
        <v>1278</v>
      </c>
      <c r="B1279" s="9">
        <v>1048</v>
      </c>
      <c r="C1279" s="14" t="str">
        <f>IFERROR(_xlfn.TEXTJOIN("-", TRUE, _xlfn.XLOOKUP(K1279, product_category_id_lookup!$A$2:$A$5, product_category_id_lookup!$B$2:$B$5), B1279), "Unknown Category")</f>
        <v>fd-1048</v>
      </c>
      <c r="D1279" s="8">
        <v>44980</v>
      </c>
      <c r="E1279" s="14">
        <f t="shared" si="57"/>
        <v>2023</v>
      </c>
      <c r="F1279" s="29" t="str">
        <f t="shared" si="58"/>
        <v>Feb</v>
      </c>
      <c r="G1279" s="17" t="s">
        <v>14</v>
      </c>
      <c r="H1279" s="17" t="s">
        <v>20</v>
      </c>
      <c r="I1279" s="24">
        <v>216577.21348113785</v>
      </c>
      <c r="J1279" s="32">
        <v>47</v>
      </c>
      <c r="K1279" s="17" t="s">
        <v>24</v>
      </c>
      <c r="L1279" s="24">
        <v>4535.8599999999997</v>
      </c>
      <c r="M1279" s="24">
        <v>4641.41</v>
      </c>
      <c r="N1279" s="34">
        <f>((sales_data_1[[#This Row],[Unit_Price]]*(1-sales_data_1[[#This Row],[Discount]]))-sales_data_1[[#This Row],[Unit_Cost]])*sales_data_1[[#This Row],[Quantity_Sold]]</f>
        <v>2779.3873000000103</v>
      </c>
      <c r="O1279" s="17" t="s">
        <v>27</v>
      </c>
      <c r="P1279" s="26">
        <v>0.01</v>
      </c>
      <c r="Q1279" s="17" t="s">
        <v>28</v>
      </c>
      <c r="R1279" s="17" t="s">
        <v>21</v>
      </c>
      <c r="S1279" s="50" t="str">
        <f t="shared" si="59"/>
        <v>Bob-West</v>
      </c>
      <c r="T1279" s="59" t="str">
        <f>IF(ROUND(sales_data_1[[#This Row],[Profit_Margin]],2)=ROUND((sales_data_1[[#This Row],[Unit_Price]]*(1-sales_data_1[[#This Row],[Discount]]) - sales_data_1[[#This Row],[Unit_Cost]])*sales_data_1[[#This Row],[Quantity_Sold]],2), "PASS", "CHECK")</f>
        <v>PASS</v>
      </c>
    </row>
    <row r="1280" spans="1:20" x14ac:dyDescent="0.35">
      <c r="A1280" s="7">
        <v>1279</v>
      </c>
      <c r="B1280" s="9">
        <v>1100</v>
      </c>
      <c r="C1280" s="14" t="str">
        <f>IFERROR(_xlfn.TEXTJOIN("-", TRUE, _xlfn.XLOOKUP(K1280, product_category_id_lookup!$A$2:$A$5, product_category_id_lookup!$B$2:$B$5), B1280), "Unknown Category")</f>
        <v>fnt-1100</v>
      </c>
      <c r="D1280" s="8">
        <v>44980</v>
      </c>
      <c r="E1280" s="14">
        <f t="shared" si="57"/>
        <v>2023</v>
      </c>
      <c r="F1280" s="29" t="str">
        <f t="shared" si="58"/>
        <v>Feb</v>
      </c>
      <c r="G1280" s="17" t="s">
        <v>32</v>
      </c>
      <c r="H1280" s="17" t="s">
        <v>15</v>
      </c>
      <c r="I1280" s="24">
        <v>105274.7586</v>
      </c>
      <c r="J1280" s="32">
        <v>43</v>
      </c>
      <c r="K1280" s="17" t="s">
        <v>16</v>
      </c>
      <c r="L1280" s="24">
        <v>2116.09</v>
      </c>
      <c r="M1280" s="24">
        <v>2472.98</v>
      </c>
      <c r="N1280" s="34">
        <f>((sales_data_1[[#This Row],[Unit_Price]]*(1-sales_data_1[[#This Row],[Discount]]))-sales_data_1[[#This Row],[Unit_Cost]])*sales_data_1[[#This Row],[Quantity_Sold]]</f>
        <v>14282.888599999991</v>
      </c>
      <c r="O1280" s="17" t="s">
        <v>27</v>
      </c>
      <c r="P1280" s="26">
        <v>0.01</v>
      </c>
      <c r="Q1280" s="17" t="s">
        <v>28</v>
      </c>
      <c r="R1280" s="17" t="s">
        <v>21</v>
      </c>
      <c r="S1280" s="50" t="str">
        <f t="shared" si="59"/>
        <v>Eve-North</v>
      </c>
      <c r="T1280" s="59" t="str">
        <f>IF(ROUND(sales_data_1[[#This Row],[Profit_Margin]],2)=ROUND((sales_data_1[[#This Row],[Unit_Price]]*(1-sales_data_1[[#This Row],[Discount]]) - sales_data_1[[#This Row],[Unit_Cost]])*sales_data_1[[#This Row],[Quantity_Sold]],2), "PASS", "CHECK")</f>
        <v>PASS</v>
      </c>
    </row>
    <row r="1281" spans="1:20" x14ac:dyDescent="0.35">
      <c r="A1281" s="7">
        <v>1280</v>
      </c>
      <c r="B1281" s="9">
        <v>1094</v>
      </c>
      <c r="C1281" s="14" t="str">
        <f>IFERROR(_xlfn.TEXTJOIN("-", TRUE, _xlfn.XLOOKUP(K1281, product_category_id_lookup!$A$2:$A$5, product_category_id_lookup!$B$2:$B$5), B1281), "Unknown Category")</f>
        <v>fnt-1094</v>
      </c>
      <c r="D1281" s="8">
        <v>44981</v>
      </c>
      <c r="E1281" s="14">
        <f t="shared" si="57"/>
        <v>2023</v>
      </c>
      <c r="F1281" s="29" t="str">
        <f t="shared" si="58"/>
        <v>Feb</v>
      </c>
      <c r="G1281" s="17" t="s">
        <v>14</v>
      </c>
      <c r="H1281" s="17" t="s">
        <v>20</v>
      </c>
      <c r="I1281" s="24">
        <v>29285.899268860157</v>
      </c>
      <c r="J1281" s="32">
        <v>7</v>
      </c>
      <c r="K1281" s="17" t="s">
        <v>16</v>
      </c>
      <c r="L1281" s="24">
        <v>4122.38</v>
      </c>
      <c r="M1281" s="24">
        <v>4358.78</v>
      </c>
      <c r="N1281" s="34">
        <f>((sales_data_1[[#This Row],[Unit_Price]]*(1-sales_data_1[[#This Row],[Discount]]))-sales_data_1[[#This Row],[Unit_Cost]])*sales_data_1[[#This Row],[Quantity_Sold]]</f>
        <v>434.34159999999702</v>
      </c>
      <c r="O1281" s="17" t="s">
        <v>17</v>
      </c>
      <c r="P1281" s="26">
        <v>0.04</v>
      </c>
      <c r="Q1281" s="17" t="s">
        <v>25</v>
      </c>
      <c r="R1281" s="17" t="s">
        <v>21</v>
      </c>
      <c r="S1281" s="50" t="str">
        <f t="shared" si="59"/>
        <v>Bob-West</v>
      </c>
      <c r="T1281" s="59" t="str">
        <f>IF(ROUND(sales_data_1[[#This Row],[Profit_Margin]],2)=ROUND((sales_data_1[[#This Row],[Unit_Price]]*(1-sales_data_1[[#This Row],[Discount]]) - sales_data_1[[#This Row],[Unit_Cost]])*sales_data_1[[#This Row],[Quantity_Sold]],2), "PASS", "CHECK")</f>
        <v>PASS</v>
      </c>
    </row>
    <row r="1282" spans="1:20" x14ac:dyDescent="0.35">
      <c r="A1282" s="7">
        <v>1281</v>
      </c>
      <c r="B1282" s="9">
        <v>1008</v>
      </c>
      <c r="C1282" s="14" t="str">
        <f>IFERROR(_xlfn.TEXTJOIN("-", TRUE, _xlfn.XLOOKUP(K1282, product_category_id_lookup!$A$2:$A$5, product_category_id_lookup!$B$2:$B$5), B1282), "Unknown Category")</f>
        <v>etc-1008</v>
      </c>
      <c r="D1282" s="8">
        <v>44981</v>
      </c>
      <c r="E1282" s="14">
        <f t="shared" ref="E1282:E1345" si="60">YEAR(D1282)</f>
        <v>2023</v>
      </c>
      <c r="F1282" s="29" t="str">
        <f t="shared" ref="F1282:F1345" si="61">LEFT(TEXT(D1282,"mmmm"),3)</f>
        <v>Feb</v>
      </c>
      <c r="G1282" s="17" t="s">
        <v>32</v>
      </c>
      <c r="H1282" s="17" t="s">
        <v>20</v>
      </c>
      <c r="I1282" s="24">
        <v>50476.569000000003</v>
      </c>
      <c r="J1282" s="32">
        <v>22</v>
      </c>
      <c r="K1282" s="17" t="s">
        <v>31</v>
      </c>
      <c r="L1282" s="24">
        <v>2269.3200000000002</v>
      </c>
      <c r="M1282" s="24">
        <v>2365.3500000000004</v>
      </c>
      <c r="N1282" s="34">
        <f>((sales_data_1[[#This Row],[Unit_Price]]*(1-sales_data_1[[#This Row],[Discount]]))-sales_data_1[[#This Row],[Unit_Cost]])*sales_data_1[[#This Row],[Quantity_Sold]]</f>
        <v>551.52900000000136</v>
      </c>
      <c r="O1282" s="17" t="s">
        <v>27</v>
      </c>
      <c r="P1282" s="26">
        <v>0.03</v>
      </c>
      <c r="Q1282" s="17" t="s">
        <v>18</v>
      </c>
      <c r="R1282" s="17" t="s">
        <v>21</v>
      </c>
      <c r="S1282" s="50" t="str">
        <f t="shared" ref="S1282:S1345" si="62">_xlfn.CONCAT(G1282,"-",H1282)</f>
        <v>Eve-West</v>
      </c>
      <c r="T1282" s="59" t="str">
        <f>IF(ROUND(sales_data_1[[#This Row],[Profit_Margin]],2)=ROUND((sales_data_1[[#This Row],[Unit_Price]]*(1-sales_data_1[[#This Row],[Discount]]) - sales_data_1[[#This Row],[Unit_Cost]])*sales_data_1[[#This Row],[Quantity_Sold]],2), "PASS", "CHECK")</f>
        <v>PASS</v>
      </c>
    </row>
    <row r="1283" spans="1:20" x14ac:dyDescent="0.35">
      <c r="A1283" s="7">
        <v>1282</v>
      </c>
      <c r="B1283" s="9">
        <v>1068</v>
      </c>
      <c r="C1283" s="14" t="str">
        <f>IFERROR(_xlfn.TEXTJOIN("-", TRUE, _xlfn.XLOOKUP(K1283, product_category_id_lookup!$A$2:$A$5, product_category_id_lookup!$B$2:$B$5), B1283), "Unknown Category")</f>
        <v>ctg-1068</v>
      </c>
      <c r="D1283" s="8">
        <v>44981</v>
      </c>
      <c r="E1283" s="14">
        <f t="shared" si="60"/>
        <v>2023</v>
      </c>
      <c r="F1283" s="29" t="str">
        <f t="shared" si="61"/>
        <v>Feb</v>
      </c>
      <c r="G1283" s="17" t="s">
        <v>14</v>
      </c>
      <c r="H1283" s="17" t="s">
        <v>15</v>
      </c>
      <c r="I1283" s="24">
        <v>80285.628659363399</v>
      </c>
      <c r="J1283" s="32">
        <v>22</v>
      </c>
      <c r="K1283" s="17" t="s">
        <v>26</v>
      </c>
      <c r="L1283" s="24">
        <v>3619.61</v>
      </c>
      <c r="M1283" s="24">
        <v>3651.42</v>
      </c>
      <c r="N1283" s="34">
        <f>((sales_data_1[[#This Row],[Unit_Price]]*(1-sales_data_1[[#This Row],[Discount]]))-sales_data_1[[#This Row],[Unit_Cost]])*sales_data_1[[#This Row],[Quantity_Sold]]</f>
        <v>699.8199999999988</v>
      </c>
      <c r="O1283" s="17" t="s">
        <v>17</v>
      </c>
      <c r="P1283" s="26">
        <v>0</v>
      </c>
      <c r="Q1283" s="17" t="s">
        <v>25</v>
      </c>
      <c r="R1283" s="17" t="s">
        <v>19</v>
      </c>
      <c r="S1283" s="50" t="str">
        <f t="shared" si="62"/>
        <v>Bob-North</v>
      </c>
      <c r="T1283" s="59" t="str">
        <f>IF(ROUND(sales_data_1[[#This Row],[Profit_Margin]],2)=ROUND((sales_data_1[[#This Row],[Unit_Price]]*(1-sales_data_1[[#This Row],[Discount]]) - sales_data_1[[#This Row],[Unit_Cost]])*sales_data_1[[#This Row],[Quantity_Sold]],2), "PASS", "CHECK")</f>
        <v>PASS</v>
      </c>
    </row>
    <row r="1284" spans="1:20" x14ac:dyDescent="0.35">
      <c r="A1284" s="7">
        <v>1283</v>
      </c>
      <c r="B1284" s="9">
        <v>1099</v>
      </c>
      <c r="C1284" s="14" t="str">
        <f>IFERROR(_xlfn.TEXTJOIN("-", TRUE, _xlfn.XLOOKUP(K1284, product_category_id_lookup!$A$2:$A$5, product_category_id_lookup!$B$2:$B$5), B1284), "Unknown Category")</f>
        <v>ctg-1099</v>
      </c>
      <c r="D1284" s="8">
        <v>44981</v>
      </c>
      <c r="E1284" s="14">
        <f t="shared" si="60"/>
        <v>2023</v>
      </c>
      <c r="F1284" s="29" t="str">
        <f t="shared" si="61"/>
        <v>Feb</v>
      </c>
      <c r="G1284" s="17" t="s">
        <v>22</v>
      </c>
      <c r="H1284" s="17" t="s">
        <v>30</v>
      </c>
      <c r="I1284" s="24">
        <v>92450.727550514668</v>
      </c>
      <c r="J1284" s="32">
        <v>35</v>
      </c>
      <c r="K1284" s="17" t="s">
        <v>26</v>
      </c>
      <c r="L1284" s="24">
        <v>2610.19</v>
      </c>
      <c r="M1284" s="24">
        <v>2682.53</v>
      </c>
      <c r="N1284" s="34">
        <f>((sales_data_1[[#This Row],[Unit_Price]]*(1-sales_data_1[[#This Row],[Discount]]))-sales_data_1[[#This Row],[Unit_Cost]])*sales_data_1[[#This Row],[Quantity_Sold]]</f>
        <v>654.12900000000718</v>
      </c>
      <c r="O1284" s="17" t="s">
        <v>27</v>
      </c>
      <c r="P1284" s="26">
        <v>0.02</v>
      </c>
      <c r="Q1284" s="17" t="s">
        <v>18</v>
      </c>
      <c r="R1284" s="17" t="s">
        <v>21</v>
      </c>
      <c r="S1284" s="50" t="str">
        <f t="shared" si="62"/>
        <v>David-East</v>
      </c>
      <c r="T1284" s="59" t="str">
        <f>IF(ROUND(sales_data_1[[#This Row],[Profit_Margin]],2)=ROUND((sales_data_1[[#This Row],[Unit_Price]]*(1-sales_data_1[[#This Row],[Discount]]) - sales_data_1[[#This Row],[Unit_Cost]])*sales_data_1[[#This Row],[Quantity_Sold]],2), "PASS", "CHECK")</f>
        <v>PASS</v>
      </c>
    </row>
    <row r="1285" spans="1:20" x14ac:dyDescent="0.35">
      <c r="A1285" s="7">
        <v>1284</v>
      </c>
      <c r="B1285" s="9">
        <v>1054</v>
      </c>
      <c r="C1285" s="14" t="str">
        <f>IFERROR(_xlfn.TEXTJOIN("-", TRUE, _xlfn.XLOOKUP(K1285, product_category_id_lookup!$A$2:$A$5, product_category_id_lookup!$B$2:$B$5), B1285), "Unknown Category")</f>
        <v>fd-1054</v>
      </c>
      <c r="D1285" s="8">
        <v>44981</v>
      </c>
      <c r="E1285" s="14">
        <f t="shared" si="60"/>
        <v>2023</v>
      </c>
      <c r="F1285" s="29" t="str">
        <f t="shared" si="61"/>
        <v>Feb</v>
      </c>
      <c r="G1285" s="17" t="s">
        <v>33</v>
      </c>
      <c r="H1285" s="17" t="s">
        <v>15</v>
      </c>
      <c r="I1285" s="24">
        <v>94103.254885235685</v>
      </c>
      <c r="J1285" s="32">
        <v>43</v>
      </c>
      <c r="K1285" s="17" t="s">
        <v>24</v>
      </c>
      <c r="L1285" s="24">
        <v>2124.7199999999998</v>
      </c>
      <c r="M1285" s="24">
        <v>2188.66</v>
      </c>
      <c r="N1285" s="34">
        <f>((sales_data_1[[#This Row],[Unit_Price]]*(1-sales_data_1[[#This Row],[Discount]]))-sales_data_1[[#This Row],[Unit_Cost]])*sales_data_1[[#This Row],[Quantity_Sold]]</f>
        <v>2749.4200000000023</v>
      </c>
      <c r="O1285" s="17" t="s">
        <v>17</v>
      </c>
      <c r="P1285" s="26">
        <v>0</v>
      </c>
      <c r="Q1285" s="17" t="s">
        <v>28</v>
      </c>
      <c r="R1285" s="17" t="s">
        <v>21</v>
      </c>
      <c r="S1285" s="50" t="str">
        <f t="shared" si="62"/>
        <v>Alice-North</v>
      </c>
      <c r="T1285" s="59" t="str">
        <f>IF(ROUND(sales_data_1[[#This Row],[Profit_Margin]],2)=ROUND((sales_data_1[[#This Row],[Unit_Price]]*(1-sales_data_1[[#This Row],[Discount]]) - sales_data_1[[#This Row],[Unit_Cost]])*sales_data_1[[#This Row],[Quantity_Sold]],2), "PASS", "CHECK")</f>
        <v>PASS</v>
      </c>
    </row>
    <row r="1286" spans="1:20" x14ac:dyDescent="0.35">
      <c r="A1286" s="7">
        <v>1285</v>
      </c>
      <c r="B1286" s="9">
        <v>1013</v>
      </c>
      <c r="C1286" s="14" t="str">
        <f>IFERROR(_xlfn.TEXTJOIN("-", TRUE, _xlfn.XLOOKUP(K1286, product_category_id_lookup!$A$2:$A$5, product_category_id_lookup!$B$2:$B$5), B1286), "Unknown Category")</f>
        <v>fd-1013</v>
      </c>
      <c r="D1286" s="8">
        <v>44982</v>
      </c>
      <c r="E1286" s="14">
        <f t="shared" si="60"/>
        <v>2023</v>
      </c>
      <c r="F1286" s="29" t="str">
        <f t="shared" si="61"/>
        <v>Feb</v>
      </c>
      <c r="G1286" s="17" t="s">
        <v>32</v>
      </c>
      <c r="H1286" s="17" t="s">
        <v>30</v>
      </c>
      <c r="I1286" s="24">
        <v>91043.412810173002</v>
      </c>
      <c r="J1286" s="32">
        <v>31</v>
      </c>
      <c r="K1286" s="17" t="s">
        <v>24</v>
      </c>
      <c r="L1286" s="24">
        <v>2757.06</v>
      </c>
      <c r="M1286" s="24">
        <v>3023.97</v>
      </c>
      <c r="N1286" s="34">
        <f>((sales_data_1[[#This Row],[Unit_Price]]*(1-sales_data_1[[#This Row],[Discount]]))-sales_data_1[[#This Row],[Unit_Cost]])*sales_data_1[[#This Row],[Quantity_Sold]]</f>
        <v>5461.9178999999876</v>
      </c>
      <c r="O1286" s="17" t="s">
        <v>17</v>
      </c>
      <c r="P1286" s="26">
        <v>0.03</v>
      </c>
      <c r="Q1286" s="17" t="s">
        <v>18</v>
      </c>
      <c r="R1286" s="17" t="s">
        <v>19</v>
      </c>
      <c r="S1286" s="50" t="str">
        <f t="shared" si="62"/>
        <v>Eve-East</v>
      </c>
      <c r="T1286" s="59" t="str">
        <f>IF(ROUND(sales_data_1[[#This Row],[Profit_Margin]],2)=ROUND((sales_data_1[[#This Row],[Unit_Price]]*(1-sales_data_1[[#This Row],[Discount]]) - sales_data_1[[#This Row],[Unit_Cost]])*sales_data_1[[#This Row],[Quantity_Sold]],2), "PASS", "CHECK")</f>
        <v>PASS</v>
      </c>
    </row>
    <row r="1287" spans="1:20" x14ac:dyDescent="0.35">
      <c r="A1287" s="7">
        <v>1286</v>
      </c>
      <c r="B1287" s="9">
        <v>1086</v>
      </c>
      <c r="C1287" s="14" t="str">
        <f>IFERROR(_xlfn.TEXTJOIN("-", TRUE, _xlfn.XLOOKUP(K1287, product_category_id_lookup!$A$2:$A$5, product_category_id_lookup!$B$2:$B$5), B1287), "Unknown Category")</f>
        <v>etc-1086</v>
      </c>
      <c r="D1287" s="8">
        <v>44983</v>
      </c>
      <c r="E1287" s="14">
        <f t="shared" si="60"/>
        <v>2023</v>
      </c>
      <c r="F1287" s="29" t="str">
        <f t="shared" si="61"/>
        <v>Feb</v>
      </c>
      <c r="G1287" s="17" t="s">
        <v>14</v>
      </c>
      <c r="H1287" s="17" t="s">
        <v>20</v>
      </c>
      <c r="I1287" s="24">
        <v>25307.69885578391</v>
      </c>
      <c r="J1287" s="32">
        <v>5</v>
      </c>
      <c r="K1287" s="17" t="s">
        <v>31</v>
      </c>
      <c r="L1287" s="24">
        <v>4934.1000000000004</v>
      </c>
      <c r="M1287" s="24">
        <v>5191.0200000000004</v>
      </c>
      <c r="N1287" s="34">
        <f>((sales_data_1[[#This Row],[Unit_Price]]*(1-sales_data_1[[#This Row],[Discount]]))-sales_data_1[[#This Row],[Unit_Cost]])*sales_data_1[[#This Row],[Quantity_Sold]]</f>
        <v>765.49799999999777</v>
      </c>
      <c r="O1287" s="17" t="s">
        <v>27</v>
      </c>
      <c r="P1287" s="26">
        <v>0.02</v>
      </c>
      <c r="Q1287" s="17" t="s">
        <v>25</v>
      </c>
      <c r="R1287" s="17" t="s">
        <v>19</v>
      </c>
      <c r="S1287" s="50" t="str">
        <f t="shared" si="62"/>
        <v>Bob-West</v>
      </c>
      <c r="T1287" s="59" t="str">
        <f>IF(ROUND(sales_data_1[[#This Row],[Profit_Margin]],2)=ROUND((sales_data_1[[#This Row],[Unit_Price]]*(1-sales_data_1[[#This Row],[Discount]]) - sales_data_1[[#This Row],[Unit_Cost]])*sales_data_1[[#This Row],[Quantity_Sold]],2), "PASS", "CHECK")</f>
        <v>PASS</v>
      </c>
    </row>
    <row r="1288" spans="1:20" x14ac:dyDescent="0.35">
      <c r="A1288" s="7">
        <v>1287</v>
      </c>
      <c r="B1288" s="9">
        <v>1083</v>
      </c>
      <c r="C1288" s="14" t="str">
        <f>IFERROR(_xlfn.TEXTJOIN("-", TRUE, _xlfn.XLOOKUP(K1288, product_category_id_lookup!$A$2:$A$5, product_category_id_lookup!$B$2:$B$5), B1288), "Unknown Category")</f>
        <v>ctg-1083</v>
      </c>
      <c r="D1288" s="8">
        <v>44984</v>
      </c>
      <c r="E1288" s="14">
        <f t="shared" si="60"/>
        <v>2023</v>
      </c>
      <c r="F1288" s="29" t="str">
        <f t="shared" si="61"/>
        <v>Feb</v>
      </c>
      <c r="G1288" s="17" t="s">
        <v>33</v>
      </c>
      <c r="H1288" s="17" t="s">
        <v>20</v>
      </c>
      <c r="I1288" s="24">
        <v>79269.3</v>
      </c>
      <c r="J1288" s="32">
        <v>20</v>
      </c>
      <c r="K1288" s="17" t="s">
        <v>26</v>
      </c>
      <c r="L1288" s="24">
        <v>3617.59</v>
      </c>
      <c r="M1288" s="24">
        <v>4003.5</v>
      </c>
      <c r="N1288" s="34">
        <f>((sales_data_1[[#This Row],[Unit_Price]]*(1-sales_data_1[[#This Row],[Discount]]))-sales_data_1[[#This Row],[Unit_Cost]])*sales_data_1[[#This Row],[Quantity_Sold]]</f>
        <v>6917.5</v>
      </c>
      <c r="O1288" s="17" t="s">
        <v>27</v>
      </c>
      <c r="P1288" s="26">
        <v>0.01</v>
      </c>
      <c r="Q1288" s="17" t="s">
        <v>28</v>
      </c>
      <c r="R1288" s="17" t="s">
        <v>21</v>
      </c>
      <c r="S1288" s="50" t="str">
        <f t="shared" si="62"/>
        <v>Alice-West</v>
      </c>
      <c r="T1288" s="59" t="str">
        <f>IF(ROUND(sales_data_1[[#This Row],[Profit_Margin]],2)=ROUND((sales_data_1[[#This Row],[Unit_Price]]*(1-sales_data_1[[#This Row],[Discount]]) - sales_data_1[[#This Row],[Unit_Cost]])*sales_data_1[[#This Row],[Quantity_Sold]],2), "PASS", "CHECK")</f>
        <v>PASS</v>
      </c>
    </row>
    <row r="1289" spans="1:20" x14ac:dyDescent="0.35">
      <c r="A1289" s="7">
        <v>1288</v>
      </c>
      <c r="B1289" s="9">
        <v>1085</v>
      </c>
      <c r="C1289" s="14" t="str">
        <f>IFERROR(_xlfn.TEXTJOIN("-", TRUE, _xlfn.XLOOKUP(K1289, product_category_id_lookup!$A$2:$A$5, product_category_id_lookup!$B$2:$B$5), B1289), "Unknown Category")</f>
        <v>fnt-1085</v>
      </c>
      <c r="D1289" s="8">
        <v>44984</v>
      </c>
      <c r="E1289" s="14">
        <f t="shared" si="60"/>
        <v>2023</v>
      </c>
      <c r="F1289" s="29" t="str">
        <f t="shared" si="61"/>
        <v>Feb</v>
      </c>
      <c r="G1289" s="17" t="s">
        <v>32</v>
      </c>
      <c r="H1289" s="17" t="s">
        <v>20</v>
      </c>
      <c r="I1289" s="24">
        <v>168348.45000156958</v>
      </c>
      <c r="J1289" s="32">
        <v>45</v>
      </c>
      <c r="K1289" s="17" t="s">
        <v>16</v>
      </c>
      <c r="L1289" s="24">
        <v>3325.96</v>
      </c>
      <c r="M1289" s="24">
        <v>3781.4</v>
      </c>
      <c r="N1289" s="34">
        <f>((sales_data_1[[#This Row],[Unit_Price]]*(1-sales_data_1[[#This Row],[Discount]]))-sales_data_1[[#This Row],[Unit_Cost]])*sales_data_1[[#This Row],[Quantity_Sold]]</f>
        <v>18793.170000000009</v>
      </c>
      <c r="O1289" s="17" t="s">
        <v>17</v>
      </c>
      <c r="P1289" s="26">
        <v>0.01</v>
      </c>
      <c r="Q1289" s="17" t="s">
        <v>28</v>
      </c>
      <c r="R1289" s="17" t="s">
        <v>19</v>
      </c>
      <c r="S1289" s="50" t="str">
        <f t="shared" si="62"/>
        <v>Eve-West</v>
      </c>
      <c r="T1289" s="59" t="str">
        <f>IF(ROUND(sales_data_1[[#This Row],[Profit_Margin]],2)=ROUND((sales_data_1[[#This Row],[Unit_Price]]*(1-sales_data_1[[#This Row],[Discount]]) - sales_data_1[[#This Row],[Unit_Cost]])*sales_data_1[[#This Row],[Quantity_Sold]],2), "PASS", "CHECK")</f>
        <v>PASS</v>
      </c>
    </row>
    <row r="1290" spans="1:20" x14ac:dyDescent="0.35">
      <c r="A1290" s="7">
        <v>1289</v>
      </c>
      <c r="B1290" s="9">
        <v>1025</v>
      </c>
      <c r="C1290" s="14" t="str">
        <f>IFERROR(_xlfn.TEXTJOIN("-", TRUE, _xlfn.XLOOKUP(K1290, product_category_id_lookup!$A$2:$A$5, product_category_id_lookup!$B$2:$B$5), B1290), "Unknown Category")</f>
        <v>etc-1025</v>
      </c>
      <c r="D1290" s="8">
        <v>44985</v>
      </c>
      <c r="E1290" s="14">
        <f t="shared" si="60"/>
        <v>2023</v>
      </c>
      <c r="F1290" s="29" t="str">
        <f t="shared" si="61"/>
        <v>Feb</v>
      </c>
      <c r="G1290" s="17" t="s">
        <v>14</v>
      </c>
      <c r="H1290" s="17" t="s">
        <v>30</v>
      </c>
      <c r="I1290" s="24">
        <v>12341.369687475299</v>
      </c>
      <c r="J1290" s="32">
        <v>14</v>
      </c>
      <c r="K1290" s="17" t="s">
        <v>31</v>
      </c>
      <c r="L1290" s="24">
        <v>859.59</v>
      </c>
      <c r="M1290" s="24">
        <v>884.51</v>
      </c>
      <c r="N1290" s="34">
        <f>((sales_data_1[[#This Row],[Unit_Price]]*(1-sales_data_1[[#This Row],[Discount]]))-sales_data_1[[#This Row],[Unit_Cost]])*sales_data_1[[#This Row],[Quantity_Sold]]</f>
        <v>348.87999999999943</v>
      </c>
      <c r="O1290" s="17" t="s">
        <v>27</v>
      </c>
      <c r="P1290" s="26">
        <v>0</v>
      </c>
      <c r="Q1290" s="17" t="s">
        <v>25</v>
      </c>
      <c r="R1290" s="17" t="s">
        <v>19</v>
      </c>
      <c r="S1290" s="50" t="str">
        <f t="shared" si="62"/>
        <v>Bob-East</v>
      </c>
      <c r="T1290" s="59" t="str">
        <f>IF(ROUND(sales_data_1[[#This Row],[Profit_Margin]],2)=ROUND((sales_data_1[[#This Row],[Unit_Price]]*(1-sales_data_1[[#This Row],[Discount]]) - sales_data_1[[#This Row],[Unit_Cost]])*sales_data_1[[#This Row],[Quantity_Sold]],2), "PASS", "CHECK")</f>
        <v>PASS</v>
      </c>
    </row>
    <row r="1291" spans="1:20" x14ac:dyDescent="0.35">
      <c r="A1291" s="7">
        <v>1290</v>
      </c>
      <c r="B1291" s="9">
        <v>1033</v>
      </c>
      <c r="C1291" s="14" t="str">
        <f>IFERROR(_xlfn.TEXTJOIN("-", TRUE, _xlfn.XLOOKUP(K1291, product_category_id_lookup!$A$2:$A$5, product_category_id_lookup!$B$2:$B$5), B1291), "Unknown Category")</f>
        <v>ctg-1033</v>
      </c>
      <c r="D1291" s="8">
        <v>44985</v>
      </c>
      <c r="E1291" s="14">
        <f t="shared" si="60"/>
        <v>2023</v>
      </c>
      <c r="F1291" s="29" t="str">
        <f t="shared" si="61"/>
        <v>Feb</v>
      </c>
      <c r="G1291" s="17" t="s">
        <v>22</v>
      </c>
      <c r="H1291" s="17" t="s">
        <v>20</v>
      </c>
      <c r="I1291" s="24">
        <v>9255.0289793499633</v>
      </c>
      <c r="J1291" s="32">
        <v>3</v>
      </c>
      <c r="K1291" s="17" t="s">
        <v>26</v>
      </c>
      <c r="L1291" s="24">
        <v>2958.75</v>
      </c>
      <c r="M1291" s="24">
        <v>3177.64</v>
      </c>
      <c r="N1291" s="34">
        <f>((sales_data_1[[#This Row],[Unit_Price]]*(1-sales_data_1[[#This Row],[Discount]]))-sales_data_1[[#This Row],[Unit_Cost]])*sales_data_1[[#This Row],[Quantity_Sold]]</f>
        <v>370.68239999999923</v>
      </c>
      <c r="O1291" s="17" t="s">
        <v>17</v>
      </c>
      <c r="P1291" s="26">
        <v>0.03</v>
      </c>
      <c r="Q1291" s="17" t="s">
        <v>18</v>
      </c>
      <c r="R1291" s="17" t="s">
        <v>19</v>
      </c>
      <c r="S1291" s="50" t="str">
        <f t="shared" si="62"/>
        <v>David-West</v>
      </c>
      <c r="T1291" s="59" t="str">
        <f>IF(ROUND(sales_data_1[[#This Row],[Profit_Margin]],2)=ROUND((sales_data_1[[#This Row],[Unit_Price]]*(1-sales_data_1[[#This Row],[Discount]]) - sales_data_1[[#This Row],[Unit_Cost]])*sales_data_1[[#This Row],[Quantity_Sold]],2), "PASS", "CHECK")</f>
        <v>PASS</v>
      </c>
    </row>
    <row r="1292" spans="1:20" x14ac:dyDescent="0.35">
      <c r="A1292" s="7">
        <v>1291</v>
      </c>
      <c r="B1292" s="9">
        <v>1087</v>
      </c>
      <c r="C1292" s="14" t="str">
        <f>IFERROR(_xlfn.TEXTJOIN("-", TRUE, _xlfn.XLOOKUP(K1292, product_category_id_lookup!$A$2:$A$5, product_category_id_lookup!$B$2:$B$5), B1292), "Unknown Category")</f>
        <v>fnt-1087</v>
      </c>
      <c r="D1292" s="8">
        <v>44985</v>
      </c>
      <c r="E1292" s="14">
        <f t="shared" si="60"/>
        <v>2023</v>
      </c>
      <c r="F1292" s="29" t="str">
        <f t="shared" si="61"/>
        <v>Feb</v>
      </c>
      <c r="G1292" s="17" t="s">
        <v>33</v>
      </c>
      <c r="H1292" s="17" t="s">
        <v>20</v>
      </c>
      <c r="I1292" s="24">
        <v>61560.508373151031</v>
      </c>
      <c r="J1292" s="32">
        <v>15</v>
      </c>
      <c r="K1292" s="17" t="s">
        <v>16</v>
      </c>
      <c r="L1292" s="24">
        <v>4074.66</v>
      </c>
      <c r="M1292" s="24">
        <v>4261.1099999999997</v>
      </c>
      <c r="N1292" s="34">
        <f>((sales_data_1[[#This Row],[Unit_Price]]*(1-sales_data_1[[#This Row],[Discount]]))-sales_data_1[[#This Row],[Unit_Cost]])*sales_data_1[[#This Row],[Quantity_Sold]]</f>
        <v>240.08399999999256</v>
      </c>
      <c r="O1292" s="17" t="s">
        <v>17</v>
      </c>
      <c r="P1292" s="26">
        <v>0.04</v>
      </c>
      <c r="Q1292" s="17" t="s">
        <v>28</v>
      </c>
      <c r="R1292" s="17" t="s">
        <v>21</v>
      </c>
      <c r="S1292" s="50" t="str">
        <f t="shared" si="62"/>
        <v>Alice-West</v>
      </c>
      <c r="T1292" s="59" t="str">
        <f>IF(ROUND(sales_data_1[[#This Row],[Profit_Margin]],2)=ROUND((sales_data_1[[#This Row],[Unit_Price]]*(1-sales_data_1[[#This Row],[Discount]]) - sales_data_1[[#This Row],[Unit_Cost]])*sales_data_1[[#This Row],[Quantity_Sold]],2), "PASS", "CHECK")</f>
        <v>PASS</v>
      </c>
    </row>
    <row r="1293" spans="1:20" x14ac:dyDescent="0.35">
      <c r="A1293" s="7">
        <v>1292</v>
      </c>
      <c r="B1293" s="9">
        <v>1056</v>
      </c>
      <c r="C1293" s="14" t="str">
        <f>IFERROR(_xlfn.TEXTJOIN("-", TRUE, _xlfn.XLOOKUP(K1293, product_category_id_lookup!$A$2:$A$5, product_category_id_lookup!$B$2:$B$5), B1293), "Unknown Category")</f>
        <v>etc-1056</v>
      </c>
      <c r="D1293" s="8">
        <v>44985</v>
      </c>
      <c r="E1293" s="14">
        <f t="shared" si="60"/>
        <v>2023</v>
      </c>
      <c r="F1293" s="29" t="str">
        <f t="shared" si="61"/>
        <v>Feb</v>
      </c>
      <c r="G1293" s="17" t="s">
        <v>32</v>
      </c>
      <c r="H1293" s="17" t="s">
        <v>15</v>
      </c>
      <c r="I1293" s="24">
        <v>59272.576876104831</v>
      </c>
      <c r="J1293" s="32">
        <v>37</v>
      </c>
      <c r="K1293" s="17" t="s">
        <v>31</v>
      </c>
      <c r="L1293" s="24">
        <v>1555.41</v>
      </c>
      <c r="M1293" s="24">
        <v>1609.94</v>
      </c>
      <c r="N1293" s="34">
        <f>((sales_data_1[[#This Row],[Unit_Price]]*(1-sales_data_1[[#This Row],[Discount]]))-sales_data_1[[#This Row],[Unit_Cost]])*sales_data_1[[#This Row],[Quantity_Sold]]</f>
        <v>2017.609999999999</v>
      </c>
      <c r="O1293" s="17" t="s">
        <v>17</v>
      </c>
      <c r="P1293" s="26">
        <v>0</v>
      </c>
      <c r="Q1293" s="17" t="s">
        <v>28</v>
      </c>
      <c r="R1293" s="17" t="s">
        <v>19</v>
      </c>
      <c r="S1293" s="50" t="str">
        <f t="shared" si="62"/>
        <v>Eve-North</v>
      </c>
      <c r="T1293" s="59" t="str">
        <f>IF(ROUND(sales_data_1[[#This Row],[Profit_Margin]],2)=ROUND((sales_data_1[[#This Row],[Unit_Price]]*(1-sales_data_1[[#This Row],[Discount]]) - sales_data_1[[#This Row],[Unit_Cost]])*sales_data_1[[#This Row],[Quantity_Sold]],2), "PASS", "CHECK")</f>
        <v>PASS</v>
      </c>
    </row>
    <row r="1294" spans="1:20" x14ac:dyDescent="0.35">
      <c r="A1294" s="7">
        <v>1293</v>
      </c>
      <c r="B1294" s="9">
        <v>1012</v>
      </c>
      <c r="C1294" s="14" t="str">
        <f>IFERROR(_xlfn.TEXTJOIN("-", TRUE, _xlfn.XLOOKUP(K1294, product_category_id_lookup!$A$2:$A$5, product_category_id_lookup!$B$2:$B$5), B1294), "Unknown Category")</f>
        <v>fd-1012</v>
      </c>
      <c r="D1294" s="8">
        <v>44985</v>
      </c>
      <c r="E1294" s="14">
        <f t="shared" si="60"/>
        <v>2023</v>
      </c>
      <c r="F1294" s="29" t="str">
        <f t="shared" si="61"/>
        <v>Feb</v>
      </c>
      <c r="G1294" s="17" t="s">
        <v>22</v>
      </c>
      <c r="H1294" s="17" t="s">
        <v>30</v>
      </c>
      <c r="I1294" s="24">
        <v>128804.32910016848</v>
      </c>
      <c r="J1294" s="32">
        <v>33</v>
      </c>
      <c r="K1294" s="17" t="s">
        <v>24</v>
      </c>
      <c r="L1294" s="24">
        <v>3831.09</v>
      </c>
      <c r="M1294" s="24">
        <v>3908.3700000000003</v>
      </c>
      <c r="N1294" s="34">
        <f>((sales_data_1[[#This Row],[Unit_Price]]*(1-sales_data_1[[#This Row],[Discount]]))-sales_data_1[[#This Row],[Unit_Cost]])*sales_data_1[[#This Row],[Quantity_Sold]]</f>
        <v>2550.2400000000066</v>
      </c>
      <c r="O1294" s="17" t="s">
        <v>27</v>
      </c>
      <c r="P1294" s="26">
        <v>0</v>
      </c>
      <c r="Q1294" s="17" t="s">
        <v>18</v>
      </c>
      <c r="R1294" s="17" t="s">
        <v>21</v>
      </c>
      <c r="S1294" s="50" t="str">
        <f t="shared" si="62"/>
        <v>David-East</v>
      </c>
      <c r="T1294" s="59" t="str">
        <f>IF(ROUND(sales_data_1[[#This Row],[Profit_Margin]],2)=ROUND((sales_data_1[[#This Row],[Unit_Price]]*(1-sales_data_1[[#This Row],[Discount]]) - sales_data_1[[#This Row],[Unit_Cost]])*sales_data_1[[#This Row],[Quantity_Sold]],2), "PASS", "CHECK")</f>
        <v>PASS</v>
      </c>
    </row>
    <row r="1295" spans="1:20" x14ac:dyDescent="0.35">
      <c r="A1295" s="7">
        <v>1294</v>
      </c>
      <c r="B1295" s="9">
        <v>1007</v>
      </c>
      <c r="C1295" s="14" t="str">
        <f>IFERROR(_xlfn.TEXTJOIN("-", TRUE, _xlfn.XLOOKUP(K1295, product_category_id_lookup!$A$2:$A$5, product_category_id_lookup!$B$2:$B$5), B1295), "Unknown Category")</f>
        <v>fnt-1007</v>
      </c>
      <c r="D1295" s="8">
        <v>44985</v>
      </c>
      <c r="E1295" s="14">
        <f t="shared" si="60"/>
        <v>2023</v>
      </c>
      <c r="F1295" s="29" t="str">
        <f t="shared" si="61"/>
        <v>Feb</v>
      </c>
      <c r="G1295" s="17" t="s">
        <v>29</v>
      </c>
      <c r="H1295" s="17" t="s">
        <v>30</v>
      </c>
      <c r="I1295" s="24">
        <v>176518.1178979</v>
      </c>
      <c r="J1295" s="32">
        <v>43</v>
      </c>
      <c r="K1295" s="17" t="s">
        <v>16</v>
      </c>
      <c r="L1295" s="24">
        <v>3967.25</v>
      </c>
      <c r="M1295" s="24">
        <v>4272.92</v>
      </c>
      <c r="N1295" s="34">
        <f>((sales_data_1[[#This Row],[Unit_Price]]*(1-sales_data_1[[#This Row],[Discount]]))-sales_data_1[[#This Row],[Unit_Cost]])*sales_data_1[[#This Row],[Quantity_Sold]]</f>
        <v>5794.3876000000046</v>
      </c>
      <c r="O1295" s="17" t="s">
        <v>27</v>
      </c>
      <c r="P1295" s="26">
        <v>0.04</v>
      </c>
      <c r="Q1295" s="17" t="s">
        <v>28</v>
      </c>
      <c r="R1295" s="17" t="s">
        <v>19</v>
      </c>
      <c r="S1295" s="50" t="str">
        <f t="shared" si="62"/>
        <v>Charlie-East</v>
      </c>
      <c r="T1295" s="59" t="str">
        <f>IF(ROUND(sales_data_1[[#This Row],[Profit_Margin]],2)=ROUND((sales_data_1[[#This Row],[Unit_Price]]*(1-sales_data_1[[#This Row],[Discount]]) - sales_data_1[[#This Row],[Unit_Cost]])*sales_data_1[[#This Row],[Quantity_Sold]],2), "PASS", "CHECK")</f>
        <v>PASS</v>
      </c>
    </row>
    <row r="1296" spans="1:20" x14ac:dyDescent="0.35">
      <c r="A1296" s="7">
        <v>1295</v>
      </c>
      <c r="B1296" s="9">
        <v>1029</v>
      </c>
      <c r="C1296" s="14" t="str">
        <f>IFERROR(_xlfn.TEXTJOIN("-", TRUE, _xlfn.XLOOKUP(K1296, product_category_id_lookup!$A$2:$A$5, product_category_id_lookup!$B$2:$B$5), B1296), "Unknown Category")</f>
        <v>ctg-1029</v>
      </c>
      <c r="D1296" s="8">
        <v>44986</v>
      </c>
      <c r="E1296" s="14">
        <f t="shared" si="60"/>
        <v>2023</v>
      </c>
      <c r="F1296" s="29" t="str">
        <f t="shared" si="61"/>
        <v>Mar</v>
      </c>
      <c r="G1296" s="17" t="s">
        <v>22</v>
      </c>
      <c r="H1296" s="17" t="s">
        <v>30</v>
      </c>
      <c r="I1296" s="24">
        <v>83043.814221128661</v>
      </c>
      <c r="J1296" s="32">
        <v>28</v>
      </c>
      <c r="K1296" s="17" t="s">
        <v>26</v>
      </c>
      <c r="L1296" s="24">
        <v>2873.53</v>
      </c>
      <c r="M1296" s="24">
        <v>3108.3</v>
      </c>
      <c r="N1296" s="34">
        <f>((sales_data_1[[#This Row],[Unit_Price]]*(1-sales_data_1[[#This Row],[Discount]]))-sales_data_1[[#This Row],[Unit_Cost]])*sales_data_1[[#This Row],[Quantity_Sold]]</f>
        <v>2221.9400000000005</v>
      </c>
      <c r="O1296" s="17" t="s">
        <v>27</v>
      </c>
      <c r="P1296" s="26">
        <v>0.05</v>
      </c>
      <c r="Q1296" s="17" t="s">
        <v>28</v>
      </c>
      <c r="R1296" s="17" t="s">
        <v>21</v>
      </c>
      <c r="S1296" s="50" t="str">
        <f t="shared" si="62"/>
        <v>David-East</v>
      </c>
      <c r="T1296" s="59" t="str">
        <f>IF(ROUND(sales_data_1[[#This Row],[Profit_Margin]],2)=ROUND((sales_data_1[[#This Row],[Unit_Price]]*(1-sales_data_1[[#This Row],[Discount]]) - sales_data_1[[#This Row],[Unit_Cost]])*sales_data_1[[#This Row],[Quantity_Sold]],2), "PASS", "CHECK")</f>
        <v>PASS</v>
      </c>
    </row>
    <row r="1297" spans="1:20" x14ac:dyDescent="0.35">
      <c r="A1297" s="7">
        <v>1296</v>
      </c>
      <c r="B1297" s="9">
        <v>1041</v>
      </c>
      <c r="C1297" s="14" t="str">
        <f>IFERROR(_xlfn.TEXTJOIN("-", TRUE, _xlfn.XLOOKUP(K1297, product_category_id_lookup!$A$2:$A$5, product_category_id_lookup!$B$2:$B$5), B1297), "Unknown Category")</f>
        <v>etc-1041</v>
      </c>
      <c r="D1297" s="8">
        <v>44986</v>
      </c>
      <c r="E1297" s="14">
        <f t="shared" si="60"/>
        <v>2023</v>
      </c>
      <c r="F1297" s="29" t="str">
        <f t="shared" si="61"/>
        <v>Mar</v>
      </c>
      <c r="G1297" s="17" t="s">
        <v>29</v>
      </c>
      <c r="H1297" s="17" t="s">
        <v>30</v>
      </c>
      <c r="I1297" s="24">
        <v>148011.05164929118</v>
      </c>
      <c r="J1297" s="32">
        <v>44</v>
      </c>
      <c r="K1297" s="17" t="s">
        <v>31</v>
      </c>
      <c r="L1297" s="24">
        <v>3288.39</v>
      </c>
      <c r="M1297" s="24">
        <v>3391.46</v>
      </c>
      <c r="N1297" s="34">
        <f>((sales_data_1[[#This Row],[Unit_Price]]*(1-sales_data_1[[#This Row],[Discount]]))-sales_data_1[[#This Row],[Unit_Cost]])*sales_data_1[[#This Row],[Quantity_Sold]]</f>
        <v>3042.8376000000044</v>
      </c>
      <c r="O1297" s="17" t="s">
        <v>27</v>
      </c>
      <c r="P1297" s="26">
        <v>0.01</v>
      </c>
      <c r="Q1297" s="17" t="s">
        <v>28</v>
      </c>
      <c r="R1297" s="17" t="s">
        <v>21</v>
      </c>
      <c r="S1297" s="50" t="str">
        <f t="shared" si="62"/>
        <v>Charlie-East</v>
      </c>
      <c r="T1297" s="59" t="str">
        <f>IF(ROUND(sales_data_1[[#This Row],[Profit_Margin]],2)=ROUND((sales_data_1[[#This Row],[Unit_Price]]*(1-sales_data_1[[#This Row],[Discount]]) - sales_data_1[[#This Row],[Unit_Cost]])*sales_data_1[[#This Row],[Quantity_Sold]],2), "PASS", "CHECK")</f>
        <v>PASS</v>
      </c>
    </row>
    <row r="1298" spans="1:20" x14ac:dyDescent="0.35">
      <c r="A1298" s="7">
        <v>1297</v>
      </c>
      <c r="B1298" s="9">
        <v>1034</v>
      </c>
      <c r="C1298" s="14" t="str">
        <f>IFERROR(_xlfn.TEXTJOIN("-", TRUE, _xlfn.XLOOKUP(K1298, product_category_id_lookup!$A$2:$A$5, product_category_id_lookup!$B$2:$B$5), B1298), "Unknown Category")</f>
        <v>fd-1034</v>
      </c>
      <c r="D1298" s="8">
        <v>44986</v>
      </c>
      <c r="E1298" s="14">
        <f t="shared" si="60"/>
        <v>2023</v>
      </c>
      <c r="F1298" s="29" t="str">
        <f t="shared" si="61"/>
        <v>Mar</v>
      </c>
      <c r="G1298" s="17" t="s">
        <v>29</v>
      </c>
      <c r="H1298" s="17" t="s">
        <v>20</v>
      </c>
      <c r="I1298" s="24">
        <v>103114.87073786974</v>
      </c>
      <c r="J1298" s="32">
        <v>45</v>
      </c>
      <c r="K1298" s="17" t="s">
        <v>24</v>
      </c>
      <c r="L1298" s="24">
        <v>2013.12</v>
      </c>
      <c r="M1298" s="24">
        <v>2321.87</v>
      </c>
      <c r="N1298" s="34">
        <f>((sales_data_1[[#This Row],[Unit_Price]]*(1-sales_data_1[[#This Row],[Discount]]))-sales_data_1[[#This Row],[Unit_Cost]])*sales_data_1[[#This Row],[Quantity_Sold]]</f>
        <v>12848.908500000005</v>
      </c>
      <c r="O1298" s="17" t="s">
        <v>27</v>
      </c>
      <c r="P1298" s="26">
        <v>0.01</v>
      </c>
      <c r="Q1298" s="17" t="s">
        <v>25</v>
      </c>
      <c r="R1298" s="17" t="s">
        <v>21</v>
      </c>
      <c r="S1298" s="50" t="str">
        <f t="shared" si="62"/>
        <v>Charlie-West</v>
      </c>
      <c r="T1298" s="59" t="str">
        <f>IF(ROUND(sales_data_1[[#This Row],[Profit_Margin]],2)=ROUND((sales_data_1[[#This Row],[Unit_Price]]*(1-sales_data_1[[#This Row],[Discount]]) - sales_data_1[[#This Row],[Unit_Cost]])*sales_data_1[[#This Row],[Quantity_Sold]],2), "PASS", "CHECK")</f>
        <v>PASS</v>
      </c>
    </row>
    <row r="1299" spans="1:20" x14ac:dyDescent="0.35">
      <c r="A1299" s="7">
        <v>1298</v>
      </c>
      <c r="B1299" s="9">
        <v>1058</v>
      </c>
      <c r="C1299" s="14" t="str">
        <f>IFERROR(_xlfn.TEXTJOIN("-", TRUE, _xlfn.XLOOKUP(K1299, product_category_id_lookup!$A$2:$A$5, product_category_id_lookup!$B$2:$B$5), B1299), "Unknown Category")</f>
        <v>fd-1058</v>
      </c>
      <c r="D1299" s="8">
        <v>44987</v>
      </c>
      <c r="E1299" s="14">
        <f t="shared" si="60"/>
        <v>2023</v>
      </c>
      <c r="F1299" s="29" t="str">
        <f t="shared" si="61"/>
        <v>Mar</v>
      </c>
      <c r="G1299" s="17" t="s">
        <v>32</v>
      </c>
      <c r="H1299" s="17" t="s">
        <v>20</v>
      </c>
      <c r="I1299" s="24">
        <v>139117.05855627314</v>
      </c>
      <c r="J1299" s="32">
        <v>39</v>
      </c>
      <c r="K1299" s="17" t="s">
        <v>24</v>
      </c>
      <c r="L1299" s="24">
        <v>3542.8</v>
      </c>
      <c r="M1299" s="24">
        <v>3603.02</v>
      </c>
      <c r="N1299" s="34">
        <f>((sales_data_1[[#This Row],[Unit_Price]]*(1-sales_data_1[[#This Row],[Discount]]))-sales_data_1[[#This Row],[Unit_Cost]])*sales_data_1[[#This Row],[Quantity_Sold]]</f>
        <v>943.40219999998635</v>
      </c>
      <c r="O1299" s="17" t="s">
        <v>17</v>
      </c>
      <c r="P1299" s="26">
        <v>0.01</v>
      </c>
      <c r="Q1299" s="17" t="s">
        <v>18</v>
      </c>
      <c r="R1299" s="17" t="s">
        <v>19</v>
      </c>
      <c r="S1299" s="50" t="str">
        <f t="shared" si="62"/>
        <v>Eve-West</v>
      </c>
      <c r="T1299" s="59" t="str">
        <f>IF(ROUND(sales_data_1[[#This Row],[Profit_Margin]],2)=ROUND((sales_data_1[[#This Row],[Unit_Price]]*(1-sales_data_1[[#This Row],[Discount]]) - sales_data_1[[#This Row],[Unit_Cost]])*sales_data_1[[#This Row],[Quantity_Sold]],2), "PASS", "CHECK")</f>
        <v>PASS</v>
      </c>
    </row>
    <row r="1300" spans="1:20" x14ac:dyDescent="0.35">
      <c r="A1300" s="7">
        <v>1299</v>
      </c>
      <c r="B1300" s="9">
        <v>1023</v>
      </c>
      <c r="C1300" s="14" t="str">
        <f>IFERROR(_xlfn.TEXTJOIN("-", TRUE, _xlfn.XLOOKUP(K1300, product_category_id_lookup!$A$2:$A$5, product_category_id_lookup!$B$2:$B$5), B1300), "Unknown Category")</f>
        <v>fd-1023</v>
      </c>
      <c r="D1300" s="8">
        <v>44987</v>
      </c>
      <c r="E1300" s="14">
        <f t="shared" si="60"/>
        <v>2023</v>
      </c>
      <c r="F1300" s="29" t="str">
        <f t="shared" si="61"/>
        <v>Mar</v>
      </c>
      <c r="G1300" s="17" t="s">
        <v>22</v>
      </c>
      <c r="H1300" s="17" t="s">
        <v>20</v>
      </c>
      <c r="I1300" s="24">
        <v>180254.4604082717</v>
      </c>
      <c r="J1300" s="32">
        <v>39</v>
      </c>
      <c r="K1300" s="17" t="s">
        <v>24</v>
      </c>
      <c r="L1300" s="24">
        <v>4450.6099999999997</v>
      </c>
      <c r="M1300" s="24">
        <v>4663.3399999999992</v>
      </c>
      <c r="N1300" s="34">
        <f>((sales_data_1[[#This Row],[Unit_Price]]*(1-sales_data_1[[#This Row],[Discount]]))-sales_data_1[[#This Row],[Unit_Cost]])*sales_data_1[[#This Row],[Quantity_Sold]]</f>
        <v>6477.7673999999943</v>
      </c>
      <c r="O1300" s="17" t="s">
        <v>27</v>
      </c>
      <c r="P1300" s="26">
        <v>0.01</v>
      </c>
      <c r="Q1300" s="17" t="s">
        <v>18</v>
      </c>
      <c r="R1300" s="17" t="s">
        <v>21</v>
      </c>
      <c r="S1300" s="50" t="str">
        <f t="shared" si="62"/>
        <v>David-West</v>
      </c>
      <c r="T1300" s="59" t="str">
        <f>IF(ROUND(sales_data_1[[#This Row],[Profit_Margin]],2)=ROUND((sales_data_1[[#This Row],[Unit_Price]]*(1-sales_data_1[[#This Row],[Discount]]) - sales_data_1[[#This Row],[Unit_Cost]])*sales_data_1[[#This Row],[Quantity_Sold]],2), "PASS", "CHECK")</f>
        <v>PASS</v>
      </c>
    </row>
    <row r="1301" spans="1:20" x14ac:dyDescent="0.35">
      <c r="A1301" s="7">
        <v>1300</v>
      </c>
      <c r="B1301" s="9">
        <v>1058</v>
      </c>
      <c r="C1301" s="14" t="str">
        <f>IFERROR(_xlfn.TEXTJOIN("-", TRUE, _xlfn.XLOOKUP(K1301, product_category_id_lookup!$A$2:$A$5, product_category_id_lookup!$B$2:$B$5), B1301), "Unknown Category")</f>
        <v>fnt-1058</v>
      </c>
      <c r="D1301" s="8">
        <v>44987</v>
      </c>
      <c r="E1301" s="14">
        <f t="shared" si="60"/>
        <v>2023</v>
      </c>
      <c r="F1301" s="29" t="str">
        <f t="shared" si="61"/>
        <v>Mar</v>
      </c>
      <c r="G1301" s="17" t="s">
        <v>32</v>
      </c>
      <c r="H1301" s="17" t="s">
        <v>30</v>
      </c>
      <c r="I1301" s="24">
        <v>73540.616361709937</v>
      </c>
      <c r="J1301" s="32">
        <v>49</v>
      </c>
      <c r="K1301" s="17" t="s">
        <v>16</v>
      </c>
      <c r="L1301" s="24">
        <v>1307.22</v>
      </c>
      <c r="M1301" s="24">
        <v>1528.4</v>
      </c>
      <c r="N1301" s="34">
        <f>((sales_data_1[[#This Row],[Unit_Price]]*(1-sales_data_1[[#This Row],[Discount]]))-sales_data_1[[#This Row],[Unit_Cost]])*sales_data_1[[#This Row],[Quantity_Sold]]</f>
        <v>9339.9880000000048</v>
      </c>
      <c r="O1301" s="17" t="s">
        <v>17</v>
      </c>
      <c r="P1301" s="26">
        <v>0.02</v>
      </c>
      <c r="Q1301" s="17" t="s">
        <v>18</v>
      </c>
      <c r="R1301" s="17" t="s">
        <v>21</v>
      </c>
      <c r="S1301" s="50" t="str">
        <f t="shared" si="62"/>
        <v>Eve-East</v>
      </c>
      <c r="T1301" s="59" t="str">
        <f>IF(ROUND(sales_data_1[[#This Row],[Profit_Margin]],2)=ROUND((sales_data_1[[#This Row],[Unit_Price]]*(1-sales_data_1[[#This Row],[Discount]]) - sales_data_1[[#This Row],[Unit_Cost]])*sales_data_1[[#This Row],[Quantity_Sold]],2), "PASS", "CHECK")</f>
        <v>PASS</v>
      </c>
    </row>
    <row r="1302" spans="1:20" x14ac:dyDescent="0.35">
      <c r="A1302" s="7">
        <v>1301</v>
      </c>
      <c r="B1302" s="9">
        <v>1007</v>
      </c>
      <c r="C1302" s="14" t="str">
        <f>IFERROR(_xlfn.TEXTJOIN("-", TRUE, _xlfn.XLOOKUP(K1302, product_category_id_lookup!$A$2:$A$5, product_category_id_lookup!$B$2:$B$5), B1302), "Unknown Category")</f>
        <v>fd-1007</v>
      </c>
      <c r="D1302" s="8">
        <v>44988</v>
      </c>
      <c r="E1302" s="14">
        <f t="shared" si="60"/>
        <v>2023</v>
      </c>
      <c r="F1302" s="29" t="str">
        <f t="shared" si="61"/>
        <v>Mar</v>
      </c>
      <c r="G1302" s="17" t="s">
        <v>32</v>
      </c>
      <c r="H1302" s="17" t="s">
        <v>20</v>
      </c>
      <c r="I1302" s="24">
        <v>2610.5212424160427</v>
      </c>
      <c r="J1302" s="32">
        <v>1</v>
      </c>
      <c r="K1302" s="17" t="s">
        <v>24</v>
      </c>
      <c r="L1302" s="24">
        <v>2543.2600000000002</v>
      </c>
      <c r="M1302" s="24">
        <v>2637.9100000000003</v>
      </c>
      <c r="N1302" s="34">
        <f>((sales_data_1[[#This Row],[Unit_Price]]*(1-sales_data_1[[#This Row],[Discount]]))-sales_data_1[[#This Row],[Unit_Cost]])*sales_data_1[[#This Row],[Quantity_Sold]]</f>
        <v>68.270899999999983</v>
      </c>
      <c r="O1302" s="17" t="s">
        <v>17</v>
      </c>
      <c r="P1302" s="26">
        <v>0.01</v>
      </c>
      <c r="Q1302" s="17" t="s">
        <v>28</v>
      </c>
      <c r="R1302" s="17" t="s">
        <v>19</v>
      </c>
      <c r="S1302" s="50" t="str">
        <f t="shared" si="62"/>
        <v>Eve-West</v>
      </c>
      <c r="T1302" s="59" t="str">
        <f>IF(ROUND(sales_data_1[[#This Row],[Profit_Margin]],2)=ROUND((sales_data_1[[#This Row],[Unit_Price]]*(1-sales_data_1[[#This Row],[Discount]]) - sales_data_1[[#This Row],[Unit_Cost]])*sales_data_1[[#This Row],[Quantity_Sold]],2), "PASS", "CHECK")</f>
        <v>PASS</v>
      </c>
    </row>
    <row r="1303" spans="1:20" x14ac:dyDescent="0.35">
      <c r="A1303" s="7">
        <v>1302</v>
      </c>
      <c r="B1303" s="9">
        <v>1089</v>
      </c>
      <c r="C1303" s="14" t="str">
        <f>IFERROR(_xlfn.TEXTJOIN("-", TRUE, _xlfn.XLOOKUP(K1303, product_category_id_lookup!$A$2:$A$5, product_category_id_lookup!$B$2:$B$5), B1303), "Unknown Category")</f>
        <v>fnt-1089</v>
      </c>
      <c r="D1303" s="8">
        <v>44988</v>
      </c>
      <c r="E1303" s="14">
        <f t="shared" si="60"/>
        <v>2023</v>
      </c>
      <c r="F1303" s="29" t="str">
        <f t="shared" si="61"/>
        <v>Mar</v>
      </c>
      <c r="G1303" s="17" t="s">
        <v>29</v>
      </c>
      <c r="H1303" s="17" t="s">
        <v>15</v>
      </c>
      <c r="I1303" s="24">
        <v>16859.98469875865</v>
      </c>
      <c r="J1303" s="32">
        <v>4</v>
      </c>
      <c r="K1303" s="17" t="s">
        <v>16</v>
      </c>
      <c r="L1303" s="24">
        <v>4117.67</v>
      </c>
      <c r="M1303" s="24">
        <v>4280.0600000000004</v>
      </c>
      <c r="N1303" s="34">
        <f>((sales_data_1[[#This Row],[Unit_Price]]*(1-sales_data_1[[#This Row],[Discount]]))-sales_data_1[[#This Row],[Unit_Cost]])*sales_data_1[[#This Row],[Quantity_Sold]]</f>
        <v>307.15520000000106</v>
      </c>
      <c r="O1303" s="17" t="s">
        <v>17</v>
      </c>
      <c r="P1303" s="26">
        <v>0.02</v>
      </c>
      <c r="Q1303" s="17" t="s">
        <v>25</v>
      </c>
      <c r="R1303" s="17" t="s">
        <v>19</v>
      </c>
      <c r="S1303" s="50" t="str">
        <f t="shared" si="62"/>
        <v>Charlie-North</v>
      </c>
      <c r="T1303" s="59" t="str">
        <f>IF(ROUND(sales_data_1[[#This Row],[Profit_Margin]],2)=ROUND((sales_data_1[[#This Row],[Unit_Price]]*(1-sales_data_1[[#This Row],[Discount]]) - sales_data_1[[#This Row],[Unit_Cost]])*sales_data_1[[#This Row],[Quantity_Sold]],2), "PASS", "CHECK")</f>
        <v>PASS</v>
      </c>
    </row>
    <row r="1304" spans="1:20" x14ac:dyDescent="0.35">
      <c r="A1304" s="7">
        <v>1303</v>
      </c>
      <c r="B1304" s="9">
        <v>1095</v>
      </c>
      <c r="C1304" s="14" t="str">
        <f>IFERROR(_xlfn.TEXTJOIN("-", TRUE, _xlfn.XLOOKUP(K1304, product_category_id_lookup!$A$2:$A$5, product_category_id_lookup!$B$2:$B$5), B1304), "Unknown Category")</f>
        <v>etc-1095</v>
      </c>
      <c r="D1304" s="8">
        <v>44988</v>
      </c>
      <c r="E1304" s="14">
        <f t="shared" si="60"/>
        <v>2023</v>
      </c>
      <c r="F1304" s="29" t="str">
        <f t="shared" si="61"/>
        <v>Mar</v>
      </c>
      <c r="G1304" s="17" t="s">
        <v>32</v>
      </c>
      <c r="H1304" s="17" t="s">
        <v>30</v>
      </c>
      <c r="I1304" s="24">
        <v>57861.94549133371</v>
      </c>
      <c r="J1304" s="32">
        <v>16</v>
      </c>
      <c r="K1304" s="17" t="s">
        <v>31</v>
      </c>
      <c r="L1304" s="24">
        <v>3591.05</v>
      </c>
      <c r="M1304" s="24">
        <v>3625.3500000000004</v>
      </c>
      <c r="N1304" s="34">
        <f>((sales_data_1[[#This Row],[Unit_Price]]*(1-sales_data_1[[#This Row],[Discount]]))-sales_data_1[[#This Row],[Unit_Cost]])*sales_data_1[[#This Row],[Quantity_Sold]]</f>
        <v>548.80000000000291</v>
      </c>
      <c r="O1304" s="17" t="s">
        <v>17</v>
      </c>
      <c r="P1304" s="26">
        <v>0</v>
      </c>
      <c r="Q1304" s="17" t="s">
        <v>28</v>
      </c>
      <c r="R1304" s="17" t="s">
        <v>21</v>
      </c>
      <c r="S1304" s="50" t="str">
        <f t="shared" si="62"/>
        <v>Eve-East</v>
      </c>
      <c r="T1304" s="59" t="str">
        <f>IF(ROUND(sales_data_1[[#This Row],[Profit_Margin]],2)=ROUND((sales_data_1[[#This Row],[Unit_Price]]*(1-sales_data_1[[#This Row],[Discount]]) - sales_data_1[[#This Row],[Unit_Cost]])*sales_data_1[[#This Row],[Quantity_Sold]],2), "PASS", "CHECK")</f>
        <v>PASS</v>
      </c>
    </row>
    <row r="1305" spans="1:20" x14ac:dyDescent="0.35">
      <c r="A1305" s="7">
        <v>1304</v>
      </c>
      <c r="B1305" s="9">
        <v>1035</v>
      </c>
      <c r="C1305" s="14" t="str">
        <f>IFERROR(_xlfn.TEXTJOIN("-", TRUE, _xlfn.XLOOKUP(K1305, product_category_id_lookup!$A$2:$A$5, product_category_id_lookup!$B$2:$B$5), B1305), "Unknown Category")</f>
        <v>etc-1035</v>
      </c>
      <c r="D1305" s="8">
        <v>44988</v>
      </c>
      <c r="E1305" s="14">
        <f t="shared" si="60"/>
        <v>2023</v>
      </c>
      <c r="F1305" s="29" t="str">
        <f t="shared" si="61"/>
        <v>Mar</v>
      </c>
      <c r="G1305" s="17" t="s">
        <v>14</v>
      </c>
      <c r="H1305" s="17" t="s">
        <v>20</v>
      </c>
      <c r="I1305" s="24">
        <v>140212.91124648644</v>
      </c>
      <c r="J1305" s="32">
        <v>47</v>
      </c>
      <c r="K1305" s="17" t="s">
        <v>31</v>
      </c>
      <c r="L1305" s="24">
        <v>2936.48</v>
      </c>
      <c r="M1305" s="24">
        <v>3096.64</v>
      </c>
      <c r="N1305" s="34">
        <f>((sales_data_1[[#This Row],[Unit_Price]]*(1-sales_data_1[[#This Row],[Discount]]))-sales_data_1[[#This Row],[Unit_Cost]])*sales_data_1[[#This Row],[Quantity_Sold]]</f>
        <v>1705.8367999999891</v>
      </c>
      <c r="O1305" s="17" t="s">
        <v>27</v>
      </c>
      <c r="P1305" s="26">
        <v>0.04</v>
      </c>
      <c r="Q1305" s="17" t="s">
        <v>25</v>
      </c>
      <c r="R1305" s="17" t="s">
        <v>19</v>
      </c>
      <c r="S1305" s="50" t="str">
        <f t="shared" si="62"/>
        <v>Bob-West</v>
      </c>
      <c r="T1305" s="59" t="str">
        <f>IF(ROUND(sales_data_1[[#This Row],[Profit_Margin]],2)=ROUND((sales_data_1[[#This Row],[Unit_Price]]*(1-sales_data_1[[#This Row],[Discount]]) - sales_data_1[[#This Row],[Unit_Cost]])*sales_data_1[[#This Row],[Quantity_Sold]],2), "PASS", "CHECK")</f>
        <v>PASS</v>
      </c>
    </row>
    <row r="1306" spans="1:20" x14ac:dyDescent="0.35">
      <c r="A1306" s="7">
        <v>1305</v>
      </c>
      <c r="B1306" s="9">
        <v>1009</v>
      </c>
      <c r="C1306" s="14" t="str">
        <f>IFERROR(_xlfn.TEXTJOIN("-", TRUE, _xlfn.XLOOKUP(K1306, product_category_id_lookup!$A$2:$A$5, product_category_id_lookup!$B$2:$B$5), B1306), "Unknown Category")</f>
        <v>ctg-1009</v>
      </c>
      <c r="D1306" s="8">
        <v>44989</v>
      </c>
      <c r="E1306" s="14">
        <f t="shared" si="60"/>
        <v>2023</v>
      </c>
      <c r="F1306" s="29" t="str">
        <f t="shared" si="61"/>
        <v>Mar</v>
      </c>
      <c r="G1306" s="17" t="s">
        <v>22</v>
      </c>
      <c r="H1306" s="17" t="s">
        <v>30</v>
      </c>
      <c r="I1306" s="24">
        <v>3515.3980476172533</v>
      </c>
      <c r="J1306" s="32">
        <v>1</v>
      </c>
      <c r="K1306" s="17" t="s">
        <v>26</v>
      </c>
      <c r="L1306" s="24">
        <v>3223.07</v>
      </c>
      <c r="M1306" s="24">
        <v>3590.83</v>
      </c>
      <c r="N1306" s="34">
        <f>((sales_data_1[[#This Row],[Unit_Price]]*(1-sales_data_1[[#This Row],[Discount]]))-sales_data_1[[#This Row],[Unit_Cost]])*sales_data_1[[#This Row],[Quantity_Sold]]</f>
        <v>295.94339999999966</v>
      </c>
      <c r="O1306" s="17" t="s">
        <v>27</v>
      </c>
      <c r="P1306" s="26">
        <v>0.02</v>
      </c>
      <c r="Q1306" s="17" t="s">
        <v>25</v>
      </c>
      <c r="R1306" s="17" t="s">
        <v>21</v>
      </c>
      <c r="S1306" s="50" t="str">
        <f t="shared" si="62"/>
        <v>David-East</v>
      </c>
      <c r="T1306" s="59" t="str">
        <f>IF(ROUND(sales_data_1[[#This Row],[Profit_Margin]],2)=ROUND((sales_data_1[[#This Row],[Unit_Price]]*(1-sales_data_1[[#This Row],[Discount]]) - sales_data_1[[#This Row],[Unit_Cost]])*sales_data_1[[#This Row],[Quantity_Sold]],2), "PASS", "CHECK")</f>
        <v>PASS</v>
      </c>
    </row>
    <row r="1307" spans="1:20" x14ac:dyDescent="0.35">
      <c r="A1307" s="7">
        <v>1306</v>
      </c>
      <c r="B1307" s="9">
        <v>1070</v>
      </c>
      <c r="C1307" s="14" t="str">
        <f>IFERROR(_xlfn.TEXTJOIN("-", TRUE, _xlfn.XLOOKUP(K1307, product_category_id_lookup!$A$2:$A$5, product_category_id_lookup!$B$2:$B$5), B1307), "Unknown Category")</f>
        <v>etc-1070</v>
      </c>
      <c r="D1307" s="8">
        <v>44989</v>
      </c>
      <c r="E1307" s="14">
        <f t="shared" si="60"/>
        <v>2023</v>
      </c>
      <c r="F1307" s="29" t="str">
        <f t="shared" si="61"/>
        <v>Mar</v>
      </c>
      <c r="G1307" s="17" t="s">
        <v>14</v>
      </c>
      <c r="H1307" s="17" t="s">
        <v>23</v>
      </c>
      <c r="I1307" s="24">
        <v>56689.564499999993</v>
      </c>
      <c r="J1307" s="32">
        <v>15</v>
      </c>
      <c r="K1307" s="17" t="s">
        <v>31</v>
      </c>
      <c r="L1307" s="24">
        <v>3653.66</v>
      </c>
      <c r="M1307" s="24">
        <v>3896.19</v>
      </c>
      <c r="N1307" s="34">
        <f>((sales_data_1[[#This Row],[Unit_Price]]*(1-sales_data_1[[#This Row],[Discount]]))-sales_data_1[[#This Row],[Unit_Cost]])*sales_data_1[[#This Row],[Quantity_Sold]]</f>
        <v>1884.664499999999</v>
      </c>
      <c r="O1307" s="17" t="s">
        <v>27</v>
      </c>
      <c r="P1307" s="26">
        <v>0.03</v>
      </c>
      <c r="Q1307" s="17" t="s">
        <v>28</v>
      </c>
      <c r="R1307" s="17" t="s">
        <v>21</v>
      </c>
      <c r="S1307" s="50" t="str">
        <f t="shared" si="62"/>
        <v>Bob-South</v>
      </c>
      <c r="T1307" s="59" t="str">
        <f>IF(ROUND(sales_data_1[[#This Row],[Profit_Margin]],2)=ROUND((sales_data_1[[#This Row],[Unit_Price]]*(1-sales_data_1[[#This Row],[Discount]]) - sales_data_1[[#This Row],[Unit_Cost]])*sales_data_1[[#This Row],[Quantity_Sold]],2), "PASS", "CHECK")</f>
        <v>PASS</v>
      </c>
    </row>
    <row r="1308" spans="1:20" x14ac:dyDescent="0.35">
      <c r="A1308" s="7">
        <v>1307</v>
      </c>
      <c r="B1308" s="9">
        <v>1033</v>
      </c>
      <c r="C1308" s="14" t="str">
        <f>IFERROR(_xlfn.TEXTJOIN("-", TRUE, _xlfn.XLOOKUP(K1308, product_category_id_lookup!$A$2:$A$5, product_category_id_lookup!$B$2:$B$5), B1308), "Unknown Category")</f>
        <v>ctg-1033</v>
      </c>
      <c r="D1308" s="8">
        <v>44989</v>
      </c>
      <c r="E1308" s="14">
        <f t="shared" si="60"/>
        <v>2023</v>
      </c>
      <c r="F1308" s="29" t="str">
        <f t="shared" si="61"/>
        <v>Mar</v>
      </c>
      <c r="G1308" s="17" t="s">
        <v>14</v>
      </c>
      <c r="H1308" s="17" t="s">
        <v>20</v>
      </c>
      <c r="I1308" s="24">
        <v>8548.2053999999989</v>
      </c>
      <c r="J1308" s="32">
        <v>14</v>
      </c>
      <c r="K1308" s="17" t="s">
        <v>26</v>
      </c>
      <c r="L1308" s="24">
        <v>362.38</v>
      </c>
      <c r="M1308" s="24">
        <v>753.81</v>
      </c>
      <c r="N1308" s="34">
        <f>((sales_data_1[[#This Row],[Unit_Price]]*(1-sales_data_1[[#This Row],[Discount]]))-sales_data_1[[#This Row],[Unit_Cost]])*sales_data_1[[#This Row],[Quantity_Sold]]</f>
        <v>3474.8854000000001</v>
      </c>
      <c r="O1308" s="17" t="s">
        <v>17</v>
      </c>
      <c r="P1308" s="26">
        <v>0.19</v>
      </c>
      <c r="Q1308" s="17" t="s">
        <v>18</v>
      </c>
      <c r="R1308" s="17" t="s">
        <v>21</v>
      </c>
      <c r="S1308" s="50" t="str">
        <f t="shared" si="62"/>
        <v>Bob-West</v>
      </c>
      <c r="T1308" s="59" t="str">
        <f>IF(ROUND(sales_data_1[[#This Row],[Profit_Margin]],2)=ROUND((sales_data_1[[#This Row],[Unit_Price]]*(1-sales_data_1[[#This Row],[Discount]]) - sales_data_1[[#This Row],[Unit_Cost]])*sales_data_1[[#This Row],[Quantity_Sold]],2), "PASS", "CHECK")</f>
        <v>PASS</v>
      </c>
    </row>
    <row r="1309" spans="1:20" x14ac:dyDescent="0.35">
      <c r="A1309" s="7">
        <v>1308</v>
      </c>
      <c r="B1309" s="9">
        <v>1094</v>
      </c>
      <c r="C1309" s="14" t="str">
        <f>IFERROR(_xlfn.TEXTJOIN("-", TRUE, _xlfn.XLOOKUP(K1309, product_category_id_lookup!$A$2:$A$5, product_category_id_lookup!$B$2:$B$5), B1309), "Unknown Category")</f>
        <v>fd-1094</v>
      </c>
      <c r="D1309" s="8">
        <v>44989</v>
      </c>
      <c r="E1309" s="14">
        <f t="shared" si="60"/>
        <v>2023</v>
      </c>
      <c r="F1309" s="29" t="str">
        <f t="shared" si="61"/>
        <v>Mar</v>
      </c>
      <c r="G1309" s="17" t="s">
        <v>14</v>
      </c>
      <c r="H1309" s="17" t="s">
        <v>15</v>
      </c>
      <c r="I1309" s="24">
        <v>34034.592912587919</v>
      </c>
      <c r="J1309" s="32">
        <v>49</v>
      </c>
      <c r="K1309" s="17" t="s">
        <v>24</v>
      </c>
      <c r="L1309" s="24">
        <v>615.47</v>
      </c>
      <c r="M1309" s="24">
        <v>715.84</v>
      </c>
      <c r="N1309" s="34">
        <f>((sales_data_1[[#This Row],[Unit_Price]]*(1-sales_data_1[[#This Row],[Discount]]))-sales_data_1[[#This Row],[Unit_Cost]])*sales_data_1[[#This Row],[Quantity_Sold]]</f>
        <v>3865.8452000000016</v>
      </c>
      <c r="O1309" s="17" t="s">
        <v>17</v>
      </c>
      <c r="P1309" s="26">
        <v>0.03</v>
      </c>
      <c r="Q1309" s="17" t="s">
        <v>28</v>
      </c>
      <c r="R1309" s="17" t="s">
        <v>21</v>
      </c>
      <c r="S1309" s="50" t="str">
        <f t="shared" si="62"/>
        <v>Bob-North</v>
      </c>
      <c r="T1309" s="59" t="str">
        <f>IF(ROUND(sales_data_1[[#This Row],[Profit_Margin]],2)=ROUND((sales_data_1[[#This Row],[Unit_Price]]*(1-sales_data_1[[#This Row],[Discount]]) - sales_data_1[[#This Row],[Unit_Cost]])*sales_data_1[[#This Row],[Quantity_Sold]],2), "PASS", "CHECK")</f>
        <v>PASS</v>
      </c>
    </row>
    <row r="1310" spans="1:20" x14ac:dyDescent="0.35">
      <c r="A1310" s="7">
        <v>1309</v>
      </c>
      <c r="B1310" s="9">
        <v>1099</v>
      </c>
      <c r="C1310" s="14" t="str">
        <f>IFERROR(_xlfn.TEXTJOIN("-", TRUE, _xlfn.XLOOKUP(K1310, product_category_id_lookup!$A$2:$A$5, product_category_id_lookup!$B$2:$B$5), B1310), "Unknown Category")</f>
        <v>fnt-1099</v>
      </c>
      <c r="D1310" s="8">
        <v>44989</v>
      </c>
      <c r="E1310" s="14">
        <f t="shared" si="60"/>
        <v>2023</v>
      </c>
      <c r="F1310" s="29" t="str">
        <f t="shared" si="61"/>
        <v>Mar</v>
      </c>
      <c r="G1310" s="17" t="s">
        <v>22</v>
      </c>
      <c r="H1310" s="17" t="s">
        <v>30</v>
      </c>
      <c r="I1310" s="24">
        <v>19555.599999999999</v>
      </c>
      <c r="J1310" s="32">
        <v>10</v>
      </c>
      <c r="K1310" s="17" t="s">
        <v>16</v>
      </c>
      <c r="L1310" s="24">
        <v>1531.2</v>
      </c>
      <c r="M1310" s="24">
        <v>1955.56</v>
      </c>
      <c r="N1310" s="34">
        <f>((sales_data_1[[#This Row],[Unit_Price]]*(1-sales_data_1[[#This Row],[Discount]]))-sales_data_1[[#This Row],[Unit_Cost]])*sales_data_1[[#This Row],[Quantity_Sold]]</f>
        <v>4243.5999999999985</v>
      </c>
      <c r="O1310" s="17" t="s">
        <v>27</v>
      </c>
      <c r="P1310" s="26">
        <v>0</v>
      </c>
      <c r="Q1310" s="17" t="s">
        <v>28</v>
      </c>
      <c r="R1310" s="17" t="s">
        <v>19</v>
      </c>
      <c r="S1310" s="50" t="str">
        <f t="shared" si="62"/>
        <v>David-East</v>
      </c>
      <c r="T1310" s="59" t="str">
        <f>IF(ROUND(sales_data_1[[#This Row],[Profit_Margin]],2)=ROUND((sales_data_1[[#This Row],[Unit_Price]]*(1-sales_data_1[[#This Row],[Discount]]) - sales_data_1[[#This Row],[Unit_Cost]])*sales_data_1[[#This Row],[Quantity_Sold]],2), "PASS", "CHECK")</f>
        <v>PASS</v>
      </c>
    </row>
    <row r="1311" spans="1:20" x14ac:dyDescent="0.35">
      <c r="A1311" s="7">
        <v>1310</v>
      </c>
      <c r="B1311" s="9">
        <v>1058</v>
      </c>
      <c r="C1311" s="14" t="str">
        <f>IFERROR(_xlfn.TEXTJOIN("-", TRUE, _xlfn.XLOOKUP(K1311, product_category_id_lookup!$A$2:$A$5, product_category_id_lookup!$B$2:$B$5), B1311), "Unknown Category")</f>
        <v>fnt-1058</v>
      </c>
      <c r="D1311" s="8">
        <v>44990</v>
      </c>
      <c r="E1311" s="14">
        <f t="shared" si="60"/>
        <v>2023</v>
      </c>
      <c r="F1311" s="29" t="str">
        <f t="shared" si="61"/>
        <v>Mar</v>
      </c>
      <c r="G1311" s="17" t="s">
        <v>32</v>
      </c>
      <c r="H1311" s="17" t="s">
        <v>15</v>
      </c>
      <c r="I1311" s="24">
        <v>125109.50399999999</v>
      </c>
      <c r="J1311" s="32">
        <v>48</v>
      </c>
      <c r="K1311" s="17" t="s">
        <v>16</v>
      </c>
      <c r="L1311" s="24">
        <v>2596.7199999999998</v>
      </c>
      <c r="M1311" s="24">
        <v>2715.0499999999997</v>
      </c>
      <c r="N1311" s="34">
        <f>((sales_data_1[[#This Row],[Unit_Price]]*(1-sales_data_1[[#This Row],[Discount]]))-sales_data_1[[#This Row],[Unit_Cost]])*sales_data_1[[#This Row],[Quantity_Sold]]</f>
        <v>466.94400000000314</v>
      </c>
      <c r="O1311" s="17" t="s">
        <v>17</v>
      </c>
      <c r="P1311" s="26">
        <v>0.04</v>
      </c>
      <c r="Q1311" s="17" t="s">
        <v>18</v>
      </c>
      <c r="R1311" s="17" t="s">
        <v>19</v>
      </c>
      <c r="S1311" s="50" t="str">
        <f t="shared" si="62"/>
        <v>Eve-North</v>
      </c>
      <c r="T1311" s="59" t="str">
        <f>IF(ROUND(sales_data_1[[#This Row],[Profit_Margin]],2)=ROUND((sales_data_1[[#This Row],[Unit_Price]]*(1-sales_data_1[[#This Row],[Discount]]) - sales_data_1[[#This Row],[Unit_Cost]])*sales_data_1[[#This Row],[Quantity_Sold]],2), "PASS", "CHECK")</f>
        <v>PASS</v>
      </c>
    </row>
    <row r="1312" spans="1:20" x14ac:dyDescent="0.35">
      <c r="A1312" s="7">
        <v>1311</v>
      </c>
      <c r="B1312" s="9">
        <v>1050</v>
      </c>
      <c r="C1312" s="14" t="str">
        <f>IFERROR(_xlfn.TEXTJOIN("-", TRUE, _xlfn.XLOOKUP(K1312, product_category_id_lookup!$A$2:$A$5, product_category_id_lookup!$B$2:$B$5), B1312), "Unknown Category")</f>
        <v>etc-1050</v>
      </c>
      <c r="D1312" s="8">
        <v>44990</v>
      </c>
      <c r="E1312" s="14">
        <f t="shared" si="60"/>
        <v>2023</v>
      </c>
      <c r="F1312" s="29" t="str">
        <f t="shared" si="61"/>
        <v>Mar</v>
      </c>
      <c r="G1312" s="17" t="s">
        <v>14</v>
      </c>
      <c r="H1312" s="17" t="s">
        <v>15</v>
      </c>
      <c r="I1312" s="24">
        <v>72157.994977675757</v>
      </c>
      <c r="J1312" s="32">
        <v>20</v>
      </c>
      <c r="K1312" s="17" t="s">
        <v>31</v>
      </c>
      <c r="L1312" s="24">
        <v>3318.92</v>
      </c>
      <c r="M1312" s="24">
        <v>3785.91</v>
      </c>
      <c r="N1312" s="34">
        <f>((sales_data_1[[#This Row],[Unit_Price]]*(1-sales_data_1[[#This Row],[Discount]]))-sales_data_1[[#This Row],[Unit_Cost]])*sales_data_1[[#This Row],[Quantity_Sold]]</f>
        <v>5553.8899999999921</v>
      </c>
      <c r="O1312" s="17" t="s">
        <v>27</v>
      </c>
      <c r="P1312" s="26">
        <v>0.05</v>
      </c>
      <c r="Q1312" s="17" t="s">
        <v>25</v>
      </c>
      <c r="R1312" s="17" t="s">
        <v>19</v>
      </c>
      <c r="S1312" s="50" t="str">
        <f t="shared" si="62"/>
        <v>Bob-North</v>
      </c>
      <c r="T1312" s="59" t="str">
        <f>IF(ROUND(sales_data_1[[#This Row],[Profit_Margin]],2)=ROUND((sales_data_1[[#This Row],[Unit_Price]]*(1-sales_data_1[[#This Row],[Discount]]) - sales_data_1[[#This Row],[Unit_Cost]])*sales_data_1[[#This Row],[Quantity_Sold]],2), "PASS", "CHECK")</f>
        <v>PASS</v>
      </c>
    </row>
    <row r="1313" spans="1:20" x14ac:dyDescent="0.35">
      <c r="A1313" s="7">
        <v>1312</v>
      </c>
      <c r="B1313" s="9">
        <v>1024</v>
      </c>
      <c r="C1313" s="14" t="str">
        <f>IFERROR(_xlfn.TEXTJOIN("-", TRUE, _xlfn.XLOOKUP(K1313, product_category_id_lookup!$A$2:$A$5, product_category_id_lookup!$B$2:$B$5), B1313), "Unknown Category")</f>
        <v>etc-1024</v>
      </c>
      <c r="D1313" s="8">
        <v>44991</v>
      </c>
      <c r="E1313" s="14">
        <f t="shared" si="60"/>
        <v>2023</v>
      </c>
      <c r="F1313" s="29" t="str">
        <f t="shared" si="61"/>
        <v>Mar</v>
      </c>
      <c r="G1313" s="17" t="s">
        <v>33</v>
      </c>
      <c r="H1313" s="17" t="s">
        <v>23</v>
      </c>
      <c r="I1313" s="24">
        <v>52321.457999999999</v>
      </c>
      <c r="J1313" s="32">
        <v>35</v>
      </c>
      <c r="K1313" s="17" t="s">
        <v>31</v>
      </c>
      <c r="L1313" s="24">
        <v>1258.53</v>
      </c>
      <c r="M1313" s="24">
        <v>1624.8899999999999</v>
      </c>
      <c r="N1313" s="34">
        <f>((sales_data_1[[#This Row],[Unit_Price]]*(1-sales_data_1[[#This Row],[Discount]]))-sales_data_1[[#This Row],[Unit_Cost]])*sales_data_1[[#This Row],[Quantity_Sold]]</f>
        <v>8272.9079999999994</v>
      </c>
      <c r="O1313" s="17" t="s">
        <v>27</v>
      </c>
      <c r="P1313" s="26">
        <v>0.08</v>
      </c>
      <c r="Q1313" s="17" t="s">
        <v>28</v>
      </c>
      <c r="R1313" s="17" t="s">
        <v>19</v>
      </c>
      <c r="S1313" s="50" t="str">
        <f t="shared" si="62"/>
        <v>Alice-South</v>
      </c>
      <c r="T1313" s="59" t="str">
        <f>IF(ROUND(sales_data_1[[#This Row],[Profit_Margin]],2)=ROUND((sales_data_1[[#This Row],[Unit_Price]]*(1-sales_data_1[[#This Row],[Discount]]) - sales_data_1[[#This Row],[Unit_Cost]])*sales_data_1[[#This Row],[Quantity_Sold]],2), "PASS", "CHECK")</f>
        <v>PASS</v>
      </c>
    </row>
    <row r="1314" spans="1:20" x14ac:dyDescent="0.35">
      <c r="A1314" s="7">
        <v>1313</v>
      </c>
      <c r="B1314" s="9">
        <v>1005</v>
      </c>
      <c r="C1314" s="14" t="str">
        <f>IFERROR(_xlfn.TEXTJOIN("-", TRUE, _xlfn.XLOOKUP(K1314, product_category_id_lookup!$A$2:$A$5, product_category_id_lookup!$B$2:$B$5), B1314), "Unknown Category")</f>
        <v>ctg-1005</v>
      </c>
      <c r="D1314" s="8">
        <v>44993</v>
      </c>
      <c r="E1314" s="14">
        <f t="shared" si="60"/>
        <v>2023</v>
      </c>
      <c r="F1314" s="29" t="str">
        <f t="shared" si="61"/>
        <v>Mar</v>
      </c>
      <c r="G1314" s="17" t="s">
        <v>33</v>
      </c>
      <c r="H1314" s="17" t="s">
        <v>15</v>
      </c>
      <c r="I1314" s="24">
        <v>6154.02</v>
      </c>
      <c r="J1314" s="32">
        <v>12</v>
      </c>
      <c r="K1314" s="17" t="s">
        <v>26</v>
      </c>
      <c r="L1314" s="24">
        <v>253.29</v>
      </c>
      <c r="M1314" s="24">
        <v>683.78</v>
      </c>
      <c r="N1314" s="34">
        <f>((sales_data_1[[#This Row],[Unit_Price]]*(1-sales_data_1[[#This Row],[Discount]]))-sales_data_1[[#This Row],[Unit_Cost]])*sales_data_1[[#This Row],[Quantity_Sold]]</f>
        <v>3114.5400000000009</v>
      </c>
      <c r="O1314" s="17" t="s">
        <v>27</v>
      </c>
      <c r="P1314" s="26">
        <v>0.25</v>
      </c>
      <c r="Q1314" s="17" t="s">
        <v>28</v>
      </c>
      <c r="R1314" s="17" t="s">
        <v>19</v>
      </c>
      <c r="S1314" s="50" t="str">
        <f t="shared" si="62"/>
        <v>Alice-North</v>
      </c>
      <c r="T1314" s="59" t="str">
        <f>IF(ROUND(sales_data_1[[#This Row],[Profit_Margin]],2)=ROUND((sales_data_1[[#This Row],[Unit_Price]]*(1-sales_data_1[[#This Row],[Discount]]) - sales_data_1[[#This Row],[Unit_Cost]])*sales_data_1[[#This Row],[Quantity_Sold]],2), "PASS", "CHECK")</f>
        <v>PASS</v>
      </c>
    </row>
    <row r="1315" spans="1:20" x14ac:dyDescent="0.35">
      <c r="A1315" s="7">
        <v>1314</v>
      </c>
      <c r="B1315" s="9">
        <v>1067</v>
      </c>
      <c r="C1315" s="14" t="str">
        <f>IFERROR(_xlfn.TEXTJOIN("-", TRUE, _xlfn.XLOOKUP(K1315, product_category_id_lookup!$A$2:$A$5, product_category_id_lookup!$B$2:$B$5), B1315), "Unknown Category")</f>
        <v>etc-1067</v>
      </c>
      <c r="D1315" s="8">
        <v>44993</v>
      </c>
      <c r="E1315" s="14">
        <f t="shared" si="60"/>
        <v>2023</v>
      </c>
      <c r="F1315" s="29" t="str">
        <f t="shared" si="61"/>
        <v>Mar</v>
      </c>
      <c r="G1315" s="17" t="s">
        <v>14</v>
      </c>
      <c r="H1315" s="17" t="s">
        <v>30</v>
      </c>
      <c r="I1315" s="24">
        <v>104363.658</v>
      </c>
      <c r="J1315" s="32">
        <v>28</v>
      </c>
      <c r="K1315" s="17" t="s">
        <v>31</v>
      </c>
      <c r="L1315" s="24">
        <v>3489.85</v>
      </c>
      <c r="M1315" s="24">
        <v>3842.5499999999997</v>
      </c>
      <c r="N1315" s="34">
        <f>((sales_data_1[[#This Row],[Unit_Price]]*(1-sales_data_1[[#This Row],[Discount]]))-sales_data_1[[#This Row],[Unit_Cost]])*sales_data_1[[#This Row],[Quantity_Sold]]</f>
        <v>6647.8579999999965</v>
      </c>
      <c r="O1315" s="17" t="s">
        <v>27</v>
      </c>
      <c r="P1315" s="26">
        <v>0.03</v>
      </c>
      <c r="Q1315" s="17" t="s">
        <v>25</v>
      </c>
      <c r="R1315" s="17" t="s">
        <v>19</v>
      </c>
      <c r="S1315" s="50" t="str">
        <f t="shared" si="62"/>
        <v>Bob-East</v>
      </c>
      <c r="T1315" s="59" t="str">
        <f>IF(ROUND(sales_data_1[[#This Row],[Profit_Margin]],2)=ROUND((sales_data_1[[#This Row],[Unit_Price]]*(1-sales_data_1[[#This Row],[Discount]]) - sales_data_1[[#This Row],[Unit_Cost]])*sales_data_1[[#This Row],[Quantity_Sold]],2), "PASS", "CHECK")</f>
        <v>PASS</v>
      </c>
    </row>
    <row r="1316" spans="1:20" x14ac:dyDescent="0.35">
      <c r="A1316" s="7">
        <v>1315</v>
      </c>
      <c r="B1316" s="9">
        <v>1058</v>
      </c>
      <c r="C1316" s="14" t="str">
        <f>IFERROR(_xlfn.TEXTJOIN("-", TRUE, _xlfn.XLOOKUP(K1316, product_category_id_lookup!$A$2:$A$5, product_category_id_lookup!$B$2:$B$5), B1316), "Unknown Category")</f>
        <v>fnt-1058</v>
      </c>
      <c r="D1316" s="8">
        <v>44994</v>
      </c>
      <c r="E1316" s="14">
        <f t="shared" si="60"/>
        <v>2023</v>
      </c>
      <c r="F1316" s="29" t="str">
        <f t="shared" si="61"/>
        <v>Mar</v>
      </c>
      <c r="G1316" s="17" t="s">
        <v>32</v>
      </c>
      <c r="H1316" s="17" t="s">
        <v>23</v>
      </c>
      <c r="I1316" s="24">
        <v>100273.9489037818</v>
      </c>
      <c r="J1316" s="32">
        <v>40</v>
      </c>
      <c r="K1316" s="17" t="s">
        <v>16</v>
      </c>
      <c r="L1316" s="24">
        <v>2249.7600000000002</v>
      </c>
      <c r="M1316" s="24">
        <v>2598.4</v>
      </c>
      <c r="N1316" s="34">
        <f>((sales_data_1[[#This Row],[Unit_Price]]*(1-sales_data_1[[#This Row],[Discount]]))-sales_data_1[[#This Row],[Unit_Cost]])*sales_data_1[[#This Row],[Quantity_Sold]]</f>
        <v>9788.1599999999889</v>
      </c>
      <c r="O1316" s="17" t="s">
        <v>17</v>
      </c>
      <c r="P1316" s="26">
        <v>0.04</v>
      </c>
      <c r="Q1316" s="17" t="s">
        <v>28</v>
      </c>
      <c r="R1316" s="17" t="s">
        <v>21</v>
      </c>
      <c r="S1316" s="50" t="str">
        <f t="shared" si="62"/>
        <v>Eve-South</v>
      </c>
      <c r="T1316" s="59" t="str">
        <f>IF(ROUND(sales_data_1[[#This Row],[Profit_Margin]],2)=ROUND((sales_data_1[[#This Row],[Unit_Price]]*(1-sales_data_1[[#This Row],[Discount]]) - sales_data_1[[#This Row],[Unit_Cost]])*sales_data_1[[#This Row],[Quantity_Sold]],2), "PASS", "CHECK")</f>
        <v>PASS</v>
      </c>
    </row>
    <row r="1317" spans="1:20" x14ac:dyDescent="0.35">
      <c r="A1317" s="7">
        <v>1316</v>
      </c>
      <c r="B1317" s="9">
        <v>1040</v>
      </c>
      <c r="C1317" s="14" t="str">
        <f>IFERROR(_xlfn.TEXTJOIN("-", TRUE, _xlfn.XLOOKUP(K1317, product_category_id_lookup!$A$2:$A$5, product_category_id_lookup!$B$2:$B$5), B1317), "Unknown Category")</f>
        <v>ctg-1040</v>
      </c>
      <c r="D1317" s="8">
        <v>44995</v>
      </c>
      <c r="E1317" s="14">
        <f t="shared" si="60"/>
        <v>2023</v>
      </c>
      <c r="F1317" s="29" t="str">
        <f t="shared" si="61"/>
        <v>Mar</v>
      </c>
      <c r="G1317" s="17" t="s">
        <v>29</v>
      </c>
      <c r="H1317" s="17" t="s">
        <v>30</v>
      </c>
      <c r="I1317" s="24">
        <v>36024.642520507274</v>
      </c>
      <c r="J1317" s="32">
        <v>13</v>
      </c>
      <c r="K1317" s="17" t="s">
        <v>26</v>
      </c>
      <c r="L1317" s="24">
        <v>2750.18</v>
      </c>
      <c r="M1317" s="24">
        <v>2882.85</v>
      </c>
      <c r="N1317" s="34">
        <f>((sales_data_1[[#This Row],[Unit_Price]]*(1-sales_data_1[[#This Row],[Discount]]))-sales_data_1[[#This Row],[Unit_Cost]])*sales_data_1[[#This Row],[Quantity_Sold]]</f>
        <v>225.62799999999697</v>
      </c>
      <c r="O1317" s="17" t="s">
        <v>17</v>
      </c>
      <c r="P1317" s="26">
        <v>0.04</v>
      </c>
      <c r="Q1317" s="17" t="s">
        <v>28</v>
      </c>
      <c r="R1317" s="17" t="s">
        <v>19</v>
      </c>
      <c r="S1317" s="50" t="str">
        <f t="shared" si="62"/>
        <v>Charlie-East</v>
      </c>
      <c r="T1317" s="59" t="str">
        <f>IF(ROUND(sales_data_1[[#This Row],[Profit_Margin]],2)=ROUND((sales_data_1[[#This Row],[Unit_Price]]*(1-sales_data_1[[#This Row],[Discount]]) - sales_data_1[[#This Row],[Unit_Cost]])*sales_data_1[[#This Row],[Quantity_Sold]],2), "PASS", "CHECK")</f>
        <v>PASS</v>
      </c>
    </row>
    <row r="1318" spans="1:20" x14ac:dyDescent="0.35">
      <c r="A1318" s="7">
        <v>1317</v>
      </c>
      <c r="B1318" s="9">
        <v>1027</v>
      </c>
      <c r="C1318" s="14" t="str">
        <f>IFERROR(_xlfn.TEXTJOIN("-", TRUE, _xlfn.XLOOKUP(K1318, product_category_id_lookup!$A$2:$A$5, product_category_id_lookup!$B$2:$B$5), B1318), "Unknown Category")</f>
        <v>fd-1027</v>
      </c>
      <c r="D1318" s="8">
        <v>44995</v>
      </c>
      <c r="E1318" s="14">
        <f t="shared" si="60"/>
        <v>2023</v>
      </c>
      <c r="F1318" s="29" t="str">
        <f t="shared" si="61"/>
        <v>Mar</v>
      </c>
      <c r="G1318" s="17" t="s">
        <v>32</v>
      </c>
      <c r="H1318" s="17" t="s">
        <v>23</v>
      </c>
      <c r="I1318" s="24">
        <v>56227.41599999999</v>
      </c>
      <c r="J1318" s="32">
        <v>21</v>
      </c>
      <c r="K1318" s="17" t="s">
        <v>24</v>
      </c>
      <c r="L1318" s="24">
        <v>2511.41</v>
      </c>
      <c r="M1318" s="24">
        <v>2848.3999999999996</v>
      </c>
      <c r="N1318" s="34">
        <f>((sales_data_1[[#This Row],[Unit_Price]]*(1-sales_data_1[[#This Row],[Discount]]))-sales_data_1[[#This Row],[Unit_Cost]])*sales_data_1[[#This Row],[Quantity_Sold]]</f>
        <v>3487.8059999999955</v>
      </c>
      <c r="O1318" s="17" t="s">
        <v>17</v>
      </c>
      <c r="P1318" s="26">
        <v>0.06</v>
      </c>
      <c r="Q1318" s="17" t="s">
        <v>25</v>
      </c>
      <c r="R1318" s="17" t="s">
        <v>19</v>
      </c>
      <c r="S1318" s="50" t="str">
        <f t="shared" si="62"/>
        <v>Eve-South</v>
      </c>
      <c r="T1318" s="59" t="str">
        <f>IF(ROUND(sales_data_1[[#This Row],[Profit_Margin]],2)=ROUND((sales_data_1[[#This Row],[Unit_Price]]*(1-sales_data_1[[#This Row],[Discount]]) - sales_data_1[[#This Row],[Unit_Cost]])*sales_data_1[[#This Row],[Quantity_Sold]],2), "PASS", "CHECK")</f>
        <v>PASS</v>
      </c>
    </row>
    <row r="1319" spans="1:20" x14ac:dyDescent="0.35">
      <c r="A1319" s="7">
        <v>1318</v>
      </c>
      <c r="B1319" s="9">
        <v>1040</v>
      </c>
      <c r="C1319" s="14" t="str">
        <f>IFERROR(_xlfn.TEXTJOIN("-", TRUE, _xlfn.XLOOKUP(K1319, product_category_id_lookup!$A$2:$A$5, product_category_id_lookup!$B$2:$B$5), B1319), "Unknown Category")</f>
        <v>etc-1040</v>
      </c>
      <c r="D1319" s="8">
        <v>44995</v>
      </c>
      <c r="E1319" s="14">
        <f t="shared" si="60"/>
        <v>2023</v>
      </c>
      <c r="F1319" s="29" t="str">
        <f t="shared" si="61"/>
        <v>Mar</v>
      </c>
      <c r="G1319" s="17" t="s">
        <v>33</v>
      </c>
      <c r="H1319" s="17" t="s">
        <v>30</v>
      </c>
      <c r="I1319" s="24">
        <v>181879.67538177362</v>
      </c>
      <c r="J1319" s="32">
        <v>42</v>
      </c>
      <c r="K1319" s="17" t="s">
        <v>31</v>
      </c>
      <c r="L1319" s="24">
        <v>4205.29</v>
      </c>
      <c r="M1319" s="24">
        <v>4382.3500000000004</v>
      </c>
      <c r="N1319" s="34">
        <f>((sales_data_1[[#This Row],[Unit_Price]]*(1-sales_data_1[[#This Row],[Discount]]))-sales_data_1[[#This Row],[Unit_Cost]])*sales_data_1[[#This Row],[Quantity_Sold]]</f>
        <v>5595.9329999999991</v>
      </c>
      <c r="O1319" s="17" t="s">
        <v>27</v>
      </c>
      <c r="P1319" s="26">
        <v>0.01</v>
      </c>
      <c r="Q1319" s="17" t="s">
        <v>18</v>
      </c>
      <c r="R1319" s="17" t="s">
        <v>21</v>
      </c>
      <c r="S1319" s="50" t="str">
        <f t="shared" si="62"/>
        <v>Alice-East</v>
      </c>
      <c r="T1319" s="59" t="str">
        <f>IF(ROUND(sales_data_1[[#This Row],[Profit_Margin]],2)=ROUND((sales_data_1[[#This Row],[Unit_Price]]*(1-sales_data_1[[#This Row],[Discount]]) - sales_data_1[[#This Row],[Unit_Cost]])*sales_data_1[[#This Row],[Quantity_Sold]],2), "PASS", "CHECK")</f>
        <v>PASS</v>
      </c>
    </row>
    <row r="1320" spans="1:20" x14ac:dyDescent="0.35">
      <c r="A1320" s="7">
        <v>1319</v>
      </c>
      <c r="B1320" s="9">
        <v>1038</v>
      </c>
      <c r="C1320" s="14" t="str">
        <f>IFERROR(_xlfn.TEXTJOIN("-", TRUE, _xlfn.XLOOKUP(K1320, product_category_id_lookup!$A$2:$A$5, product_category_id_lookup!$B$2:$B$5), B1320), "Unknown Category")</f>
        <v>ctg-1038</v>
      </c>
      <c r="D1320" s="8">
        <v>44996</v>
      </c>
      <c r="E1320" s="14">
        <f t="shared" si="60"/>
        <v>2023</v>
      </c>
      <c r="F1320" s="29" t="str">
        <f t="shared" si="61"/>
        <v>Mar</v>
      </c>
      <c r="G1320" s="17" t="s">
        <v>14</v>
      </c>
      <c r="H1320" s="17" t="s">
        <v>23</v>
      </c>
      <c r="I1320" s="24">
        <v>38921.895000000004</v>
      </c>
      <c r="J1320" s="32">
        <v>15</v>
      </c>
      <c r="K1320" s="17" t="s">
        <v>26</v>
      </c>
      <c r="L1320" s="24">
        <v>2543.36</v>
      </c>
      <c r="M1320" s="24">
        <v>2790.1000000000004</v>
      </c>
      <c r="N1320" s="34">
        <f>((sales_data_1[[#This Row],[Unit_Price]]*(1-sales_data_1[[#This Row],[Discount]]))-sales_data_1[[#This Row],[Unit_Cost]])*sales_data_1[[#This Row],[Quantity_Sold]]</f>
        <v>771.49499999999989</v>
      </c>
      <c r="O1320" s="17" t="s">
        <v>17</v>
      </c>
      <c r="P1320" s="26">
        <v>7.0000000000000007E-2</v>
      </c>
      <c r="Q1320" s="17" t="s">
        <v>18</v>
      </c>
      <c r="R1320" s="17" t="s">
        <v>19</v>
      </c>
      <c r="S1320" s="50" t="str">
        <f t="shared" si="62"/>
        <v>Bob-South</v>
      </c>
      <c r="T1320" s="59" t="str">
        <f>IF(ROUND(sales_data_1[[#This Row],[Profit_Margin]],2)=ROUND((sales_data_1[[#This Row],[Unit_Price]]*(1-sales_data_1[[#This Row],[Discount]]) - sales_data_1[[#This Row],[Unit_Cost]])*sales_data_1[[#This Row],[Quantity_Sold]],2), "PASS", "CHECK")</f>
        <v>PASS</v>
      </c>
    </row>
    <row r="1321" spans="1:20" x14ac:dyDescent="0.35">
      <c r="A1321" s="7">
        <v>1320</v>
      </c>
      <c r="B1321" s="9">
        <v>1038</v>
      </c>
      <c r="C1321" s="14" t="str">
        <f>IFERROR(_xlfn.TEXTJOIN("-", TRUE, _xlfn.XLOOKUP(K1321, product_category_id_lookup!$A$2:$A$5, product_category_id_lookup!$B$2:$B$5), B1321), "Unknown Category")</f>
        <v>ctg-1038</v>
      </c>
      <c r="D1321" s="8">
        <v>44998</v>
      </c>
      <c r="E1321" s="14">
        <f t="shared" si="60"/>
        <v>2023</v>
      </c>
      <c r="F1321" s="29" t="str">
        <f t="shared" si="61"/>
        <v>Mar</v>
      </c>
      <c r="G1321" s="17" t="s">
        <v>22</v>
      </c>
      <c r="H1321" s="17" t="s">
        <v>15</v>
      </c>
      <c r="I1321" s="24">
        <v>3974.8401000000003</v>
      </c>
      <c r="J1321" s="32">
        <v>9</v>
      </c>
      <c r="K1321" s="17" t="s">
        <v>26</v>
      </c>
      <c r="L1321" s="24">
        <v>400.42</v>
      </c>
      <c r="M1321" s="24">
        <v>446.11</v>
      </c>
      <c r="N1321" s="34">
        <f>((sales_data_1[[#This Row],[Unit_Price]]*(1-sales_data_1[[#This Row],[Discount]]))-sales_data_1[[#This Row],[Unit_Cost]])*sales_data_1[[#This Row],[Quantity_Sold]]</f>
        <v>371.06010000000009</v>
      </c>
      <c r="O1321" s="17" t="s">
        <v>27</v>
      </c>
      <c r="P1321" s="26">
        <v>0.01</v>
      </c>
      <c r="Q1321" s="17" t="s">
        <v>25</v>
      </c>
      <c r="R1321" s="17" t="s">
        <v>21</v>
      </c>
      <c r="S1321" s="50" t="str">
        <f t="shared" si="62"/>
        <v>David-North</v>
      </c>
      <c r="T1321" s="59" t="str">
        <f>IF(ROUND(sales_data_1[[#This Row],[Profit_Margin]],2)=ROUND((sales_data_1[[#This Row],[Unit_Price]]*(1-sales_data_1[[#This Row],[Discount]]) - sales_data_1[[#This Row],[Unit_Cost]])*sales_data_1[[#This Row],[Quantity_Sold]],2), "PASS", "CHECK")</f>
        <v>PASS</v>
      </c>
    </row>
    <row r="1322" spans="1:20" x14ac:dyDescent="0.35">
      <c r="A1322" s="7">
        <v>1321</v>
      </c>
      <c r="B1322" s="9">
        <v>1030</v>
      </c>
      <c r="C1322" s="14" t="str">
        <f>IFERROR(_xlfn.TEXTJOIN("-", TRUE, _xlfn.XLOOKUP(K1322, product_category_id_lookup!$A$2:$A$5, product_category_id_lookup!$B$2:$B$5), B1322), "Unknown Category")</f>
        <v>fd-1030</v>
      </c>
      <c r="D1322" s="8">
        <v>44998</v>
      </c>
      <c r="E1322" s="14">
        <f t="shared" si="60"/>
        <v>2023</v>
      </c>
      <c r="F1322" s="29" t="str">
        <f t="shared" si="61"/>
        <v>Mar</v>
      </c>
      <c r="G1322" s="17" t="s">
        <v>33</v>
      </c>
      <c r="H1322" s="17" t="s">
        <v>15</v>
      </c>
      <c r="I1322" s="24">
        <v>99370.507312816611</v>
      </c>
      <c r="J1322" s="32">
        <v>39</v>
      </c>
      <c r="K1322" s="17" t="s">
        <v>24</v>
      </c>
      <c r="L1322" s="24">
        <v>2511.2800000000002</v>
      </c>
      <c r="M1322" s="24">
        <v>2658.0600000000004</v>
      </c>
      <c r="N1322" s="34">
        <f>((sales_data_1[[#This Row],[Unit_Price]]*(1-sales_data_1[[#This Row],[Discount]]))-sales_data_1[[#This Row],[Unit_Cost]])*sales_data_1[[#This Row],[Quantity_Sold]]</f>
        <v>1577.8464000000072</v>
      </c>
      <c r="O1322" s="17" t="s">
        <v>27</v>
      </c>
      <c r="P1322" s="26">
        <v>0.04</v>
      </c>
      <c r="Q1322" s="17" t="s">
        <v>28</v>
      </c>
      <c r="R1322" s="17" t="s">
        <v>21</v>
      </c>
      <c r="S1322" s="50" t="str">
        <f t="shared" si="62"/>
        <v>Alice-North</v>
      </c>
      <c r="T1322" s="59" t="str">
        <f>IF(ROUND(sales_data_1[[#This Row],[Profit_Margin]],2)=ROUND((sales_data_1[[#This Row],[Unit_Price]]*(1-sales_data_1[[#This Row],[Discount]]) - sales_data_1[[#This Row],[Unit_Cost]])*sales_data_1[[#This Row],[Quantity_Sold]],2), "PASS", "CHECK")</f>
        <v>PASS</v>
      </c>
    </row>
    <row r="1323" spans="1:20" x14ac:dyDescent="0.35">
      <c r="A1323" s="7">
        <v>1322</v>
      </c>
      <c r="B1323" s="9">
        <v>1061</v>
      </c>
      <c r="C1323" s="14" t="str">
        <f>IFERROR(_xlfn.TEXTJOIN("-", TRUE, _xlfn.XLOOKUP(K1323, product_category_id_lookup!$A$2:$A$5, product_category_id_lookup!$B$2:$B$5), B1323), "Unknown Category")</f>
        <v>ctg-1061</v>
      </c>
      <c r="D1323" s="8">
        <v>44998</v>
      </c>
      <c r="E1323" s="14">
        <f t="shared" si="60"/>
        <v>2023</v>
      </c>
      <c r="F1323" s="29" t="str">
        <f t="shared" si="61"/>
        <v>Mar</v>
      </c>
      <c r="G1323" s="17" t="s">
        <v>14</v>
      </c>
      <c r="H1323" s="17" t="s">
        <v>23</v>
      </c>
      <c r="I1323" s="24">
        <v>30160.072799999998</v>
      </c>
      <c r="J1323" s="32">
        <v>11</v>
      </c>
      <c r="K1323" s="17" t="s">
        <v>26</v>
      </c>
      <c r="L1323" s="24">
        <v>2594.71</v>
      </c>
      <c r="M1323" s="24">
        <v>2769.52</v>
      </c>
      <c r="N1323" s="34">
        <f>((sales_data_1[[#This Row],[Unit_Price]]*(1-sales_data_1[[#This Row],[Discount]]))-sales_data_1[[#This Row],[Unit_Cost]])*sales_data_1[[#This Row],[Quantity_Sold]]</f>
        <v>1618.2627999999982</v>
      </c>
      <c r="O1323" s="17" t="s">
        <v>17</v>
      </c>
      <c r="P1323" s="26">
        <v>0.01</v>
      </c>
      <c r="Q1323" s="17" t="s">
        <v>25</v>
      </c>
      <c r="R1323" s="17" t="s">
        <v>21</v>
      </c>
      <c r="S1323" s="50" t="str">
        <f t="shared" si="62"/>
        <v>Bob-South</v>
      </c>
      <c r="T1323" s="59" t="str">
        <f>IF(ROUND(sales_data_1[[#This Row],[Profit_Margin]],2)=ROUND((sales_data_1[[#This Row],[Unit_Price]]*(1-sales_data_1[[#This Row],[Discount]]) - sales_data_1[[#This Row],[Unit_Cost]])*sales_data_1[[#This Row],[Quantity_Sold]],2), "PASS", "CHECK")</f>
        <v>PASS</v>
      </c>
    </row>
    <row r="1324" spans="1:20" x14ac:dyDescent="0.35">
      <c r="A1324" s="7">
        <v>1323</v>
      </c>
      <c r="B1324" s="9">
        <v>1032</v>
      </c>
      <c r="C1324" s="14" t="str">
        <f>IFERROR(_xlfn.TEXTJOIN("-", TRUE, _xlfn.XLOOKUP(K1324, product_category_id_lookup!$A$2:$A$5, product_category_id_lookup!$B$2:$B$5), B1324), "Unknown Category")</f>
        <v>etc-1032</v>
      </c>
      <c r="D1324" s="8">
        <v>44998</v>
      </c>
      <c r="E1324" s="14">
        <f t="shared" si="60"/>
        <v>2023</v>
      </c>
      <c r="F1324" s="29" t="str">
        <f t="shared" si="61"/>
        <v>Mar</v>
      </c>
      <c r="G1324" s="17" t="s">
        <v>33</v>
      </c>
      <c r="H1324" s="17" t="s">
        <v>15</v>
      </c>
      <c r="I1324" s="24">
        <v>98191.016704855661</v>
      </c>
      <c r="J1324" s="32">
        <v>20</v>
      </c>
      <c r="K1324" s="17" t="s">
        <v>31</v>
      </c>
      <c r="L1324" s="24">
        <v>4741.59</v>
      </c>
      <c r="M1324" s="24">
        <v>4975.2300000000005</v>
      </c>
      <c r="N1324" s="34">
        <f>((sales_data_1[[#This Row],[Unit_Price]]*(1-sales_data_1[[#This Row],[Discount]]))-sales_data_1[[#This Row],[Unit_Cost]])*sales_data_1[[#This Row],[Quantity_Sold]]</f>
        <v>3677.7540000000045</v>
      </c>
      <c r="O1324" s="17" t="s">
        <v>27</v>
      </c>
      <c r="P1324" s="26">
        <v>0.01</v>
      </c>
      <c r="Q1324" s="17" t="s">
        <v>28</v>
      </c>
      <c r="R1324" s="17" t="s">
        <v>19</v>
      </c>
      <c r="S1324" s="50" t="str">
        <f t="shared" si="62"/>
        <v>Alice-North</v>
      </c>
      <c r="T1324" s="59" t="str">
        <f>IF(ROUND(sales_data_1[[#This Row],[Profit_Margin]],2)=ROUND((sales_data_1[[#This Row],[Unit_Price]]*(1-sales_data_1[[#This Row],[Discount]]) - sales_data_1[[#This Row],[Unit_Cost]])*sales_data_1[[#This Row],[Quantity_Sold]],2), "PASS", "CHECK")</f>
        <v>PASS</v>
      </c>
    </row>
    <row r="1325" spans="1:20" x14ac:dyDescent="0.35">
      <c r="A1325" s="7">
        <v>1324</v>
      </c>
      <c r="B1325" s="9">
        <v>1062</v>
      </c>
      <c r="C1325" s="14" t="str">
        <f>IFERROR(_xlfn.TEXTJOIN("-", TRUE, _xlfn.XLOOKUP(K1325, product_category_id_lookup!$A$2:$A$5, product_category_id_lookup!$B$2:$B$5), B1325), "Unknown Category")</f>
        <v>fd-1062</v>
      </c>
      <c r="D1325" s="8">
        <v>44999</v>
      </c>
      <c r="E1325" s="14">
        <f t="shared" si="60"/>
        <v>2023</v>
      </c>
      <c r="F1325" s="29" t="str">
        <f t="shared" si="61"/>
        <v>Mar</v>
      </c>
      <c r="G1325" s="17" t="s">
        <v>33</v>
      </c>
      <c r="H1325" s="17" t="s">
        <v>30</v>
      </c>
      <c r="I1325" s="24">
        <v>78004.691787276461</v>
      </c>
      <c r="J1325" s="32">
        <v>24</v>
      </c>
      <c r="K1325" s="17" t="s">
        <v>24</v>
      </c>
      <c r="L1325" s="24">
        <v>3018.01</v>
      </c>
      <c r="M1325" s="24">
        <v>3418.19</v>
      </c>
      <c r="N1325" s="34">
        <f>((sales_data_1[[#This Row],[Unit_Price]]*(1-sales_data_1[[#This Row],[Discount]]))-sales_data_1[[#This Row],[Unit_Cost]])*sales_data_1[[#This Row],[Quantity_Sold]]</f>
        <v>5502.4919999999911</v>
      </c>
      <c r="O1325" s="17" t="s">
        <v>17</v>
      </c>
      <c r="P1325" s="26">
        <v>0.05</v>
      </c>
      <c r="Q1325" s="17" t="s">
        <v>25</v>
      </c>
      <c r="R1325" s="17" t="s">
        <v>21</v>
      </c>
      <c r="S1325" s="50" t="str">
        <f t="shared" si="62"/>
        <v>Alice-East</v>
      </c>
      <c r="T1325" s="59" t="str">
        <f>IF(ROUND(sales_data_1[[#This Row],[Profit_Margin]],2)=ROUND((sales_data_1[[#This Row],[Unit_Price]]*(1-sales_data_1[[#This Row],[Discount]]) - sales_data_1[[#This Row],[Unit_Cost]])*sales_data_1[[#This Row],[Quantity_Sold]],2), "PASS", "CHECK")</f>
        <v>PASS</v>
      </c>
    </row>
    <row r="1326" spans="1:20" x14ac:dyDescent="0.35">
      <c r="A1326" s="7">
        <v>1325</v>
      </c>
      <c r="B1326" s="9">
        <v>1021</v>
      </c>
      <c r="C1326" s="14" t="str">
        <f>IFERROR(_xlfn.TEXTJOIN("-", TRUE, _xlfn.XLOOKUP(K1326, product_category_id_lookup!$A$2:$A$5, product_category_id_lookup!$B$2:$B$5), B1326), "Unknown Category")</f>
        <v>fd-1021</v>
      </c>
      <c r="D1326" s="8">
        <v>44999</v>
      </c>
      <c r="E1326" s="14">
        <f t="shared" si="60"/>
        <v>2023</v>
      </c>
      <c r="F1326" s="29" t="str">
        <f t="shared" si="61"/>
        <v>Mar</v>
      </c>
      <c r="G1326" s="17" t="s">
        <v>22</v>
      </c>
      <c r="H1326" s="17" t="s">
        <v>23</v>
      </c>
      <c r="I1326" s="24">
        <v>20452.2624</v>
      </c>
      <c r="J1326" s="32">
        <v>23</v>
      </c>
      <c r="K1326" s="17" t="s">
        <v>24</v>
      </c>
      <c r="L1326" s="24">
        <v>580.75</v>
      </c>
      <c r="M1326" s="24">
        <v>956.16000000000008</v>
      </c>
      <c r="N1326" s="34">
        <f>((sales_data_1[[#This Row],[Unit_Price]]*(1-sales_data_1[[#This Row],[Discount]]))-sales_data_1[[#This Row],[Unit_Cost]])*sales_data_1[[#This Row],[Quantity_Sold]]</f>
        <v>7095.0123999999996</v>
      </c>
      <c r="O1326" s="17" t="s">
        <v>17</v>
      </c>
      <c r="P1326" s="26">
        <v>7.0000000000000007E-2</v>
      </c>
      <c r="Q1326" s="17" t="s">
        <v>18</v>
      </c>
      <c r="R1326" s="17" t="s">
        <v>21</v>
      </c>
      <c r="S1326" s="50" t="str">
        <f t="shared" si="62"/>
        <v>David-South</v>
      </c>
      <c r="T1326" s="59" t="str">
        <f>IF(ROUND(sales_data_1[[#This Row],[Profit_Margin]],2)=ROUND((sales_data_1[[#This Row],[Unit_Price]]*(1-sales_data_1[[#This Row],[Discount]]) - sales_data_1[[#This Row],[Unit_Cost]])*sales_data_1[[#This Row],[Quantity_Sold]],2), "PASS", "CHECK")</f>
        <v>PASS</v>
      </c>
    </row>
    <row r="1327" spans="1:20" x14ac:dyDescent="0.35">
      <c r="A1327" s="7">
        <v>1326</v>
      </c>
      <c r="B1327" s="9">
        <v>1090</v>
      </c>
      <c r="C1327" s="14" t="str">
        <f>IFERROR(_xlfn.TEXTJOIN("-", TRUE, _xlfn.XLOOKUP(K1327, product_category_id_lookup!$A$2:$A$5, product_category_id_lookup!$B$2:$B$5), B1327), "Unknown Category")</f>
        <v>fnt-1090</v>
      </c>
      <c r="D1327" s="8">
        <v>44999</v>
      </c>
      <c r="E1327" s="14">
        <f t="shared" si="60"/>
        <v>2023</v>
      </c>
      <c r="F1327" s="29" t="str">
        <f t="shared" si="61"/>
        <v>Mar</v>
      </c>
      <c r="G1327" s="17" t="s">
        <v>22</v>
      </c>
      <c r="H1327" s="17" t="s">
        <v>30</v>
      </c>
      <c r="I1327" s="24">
        <v>124135.66778702399</v>
      </c>
      <c r="J1327" s="32">
        <v>47</v>
      </c>
      <c r="K1327" s="17" t="s">
        <v>16</v>
      </c>
      <c r="L1327" s="24">
        <v>2310.8200000000002</v>
      </c>
      <c r="M1327" s="24">
        <v>2714.71</v>
      </c>
      <c r="N1327" s="34">
        <f>((sales_data_1[[#This Row],[Unit_Price]]*(1-sales_data_1[[#This Row],[Discount]]))-sales_data_1[[#This Row],[Unit_Cost]])*sales_data_1[[#This Row],[Quantity_Sold]]</f>
        <v>15155.088899999995</v>
      </c>
      <c r="O1327" s="17" t="s">
        <v>27</v>
      </c>
      <c r="P1327" s="26">
        <v>0.03</v>
      </c>
      <c r="Q1327" s="17" t="s">
        <v>18</v>
      </c>
      <c r="R1327" s="17" t="s">
        <v>21</v>
      </c>
      <c r="S1327" s="50" t="str">
        <f t="shared" si="62"/>
        <v>David-East</v>
      </c>
      <c r="T1327" s="59" t="str">
        <f>IF(ROUND(sales_data_1[[#This Row],[Profit_Margin]],2)=ROUND((sales_data_1[[#This Row],[Unit_Price]]*(1-sales_data_1[[#This Row],[Discount]]) - sales_data_1[[#This Row],[Unit_Cost]])*sales_data_1[[#This Row],[Quantity_Sold]],2), "PASS", "CHECK")</f>
        <v>PASS</v>
      </c>
    </row>
    <row r="1328" spans="1:20" x14ac:dyDescent="0.35">
      <c r="A1328" s="7">
        <v>1327</v>
      </c>
      <c r="B1328" s="9">
        <v>1060</v>
      </c>
      <c r="C1328" s="14" t="str">
        <f>IFERROR(_xlfn.TEXTJOIN("-", TRUE, _xlfn.XLOOKUP(K1328, product_category_id_lookup!$A$2:$A$5, product_category_id_lookup!$B$2:$B$5), B1328), "Unknown Category")</f>
        <v>ctg-1060</v>
      </c>
      <c r="D1328" s="8">
        <v>45000</v>
      </c>
      <c r="E1328" s="14">
        <f t="shared" si="60"/>
        <v>2023</v>
      </c>
      <c r="F1328" s="29" t="str">
        <f t="shared" si="61"/>
        <v>Mar</v>
      </c>
      <c r="G1328" s="17" t="s">
        <v>22</v>
      </c>
      <c r="H1328" s="17" t="s">
        <v>23</v>
      </c>
      <c r="I1328" s="24">
        <v>106142.36159999997</v>
      </c>
      <c r="J1328" s="32">
        <v>44</v>
      </c>
      <c r="K1328" s="17" t="s">
        <v>26</v>
      </c>
      <c r="L1328" s="24">
        <v>2211.9499999999998</v>
      </c>
      <c r="M1328" s="24">
        <v>2512.8399999999997</v>
      </c>
      <c r="N1328" s="34">
        <f>((sales_data_1[[#This Row],[Unit_Price]]*(1-sales_data_1[[#This Row],[Discount]]))-sales_data_1[[#This Row],[Unit_Cost]])*sales_data_1[[#This Row],[Quantity_Sold]]</f>
        <v>8816.5615999999845</v>
      </c>
      <c r="O1328" s="17" t="s">
        <v>17</v>
      </c>
      <c r="P1328" s="26">
        <v>0.04</v>
      </c>
      <c r="Q1328" s="17" t="s">
        <v>18</v>
      </c>
      <c r="R1328" s="17" t="s">
        <v>19</v>
      </c>
      <c r="S1328" s="50" t="str">
        <f t="shared" si="62"/>
        <v>David-South</v>
      </c>
      <c r="T1328" s="59" t="str">
        <f>IF(ROUND(sales_data_1[[#This Row],[Profit_Margin]],2)=ROUND((sales_data_1[[#This Row],[Unit_Price]]*(1-sales_data_1[[#This Row],[Discount]]) - sales_data_1[[#This Row],[Unit_Cost]])*sales_data_1[[#This Row],[Quantity_Sold]],2), "PASS", "CHECK")</f>
        <v>PASS</v>
      </c>
    </row>
    <row r="1329" spans="1:20" x14ac:dyDescent="0.35">
      <c r="A1329" s="7">
        <v>1328</v>
      </c>
      <c r="B1329" s="9">
        <v>1098</v>
      </c>
      <c r="C1329" s="14" t="str">
        <f>IFERROR(_xlfn.TEXTJOIN("-", TRUE, _xlfn.XLOOKUP(K1329, product_category_id_lookup!$A$2:$A$5, product_category_id_lookup!$B$2:$B$5), B1329), "Unknown Category")</f>
        <v>fnt-1098</v>
      </c>
      <c r="D1329" s="8">
        <v>45001</v>
      </c>
      <c r="E1329" s="14">
        <f t="shared" si="60"/>
        <v>2023</v>
      </c>
      <c r="F1329" s="29" t="str">
        <f t="shared" si="61"/>
        <v>Mar</v>
      </c>
      <c r="G1329" s="17" t="s">
        <v>22</v>
      </c>
      <c r="H1329" s="17" t="s">
        <v>23</v>
      </c>
      <c r="I1329" s="24">
        <v>9330.763598914451</v>
      </c>
      <c r="J1329" s="32">
        <v>11</v>
      </c>
      <c r="K1329" s="17" t="s">
        <v>16</v>
      </c>
      <c r="L1329" s="24">
        <v>741.48</v>
      </c>
      <c r="M1329" s="24">
        <v>878.09</v>
      </c>
      <c r="N1329" s="34">
        <f>((sales_data_1[[#This Row],[Unit_Price]]*(1-sales_data_1[[#This Row],[Discount]]))-sales_data_1[[#This Row],[Unit_Cost]])*sales_data_1[[#This Row],[Quantity_Sold]]</f>
        <v>1212.9402999999998</v>
      </c>
      <c r="O1329" s="17" t="s">
        <v>27</v>
      </c>
      <c r="P1329" s="26">
        <v>0.03</v>
      </c>
      <c r="Q1329" s="17" t="s">
        <v>18</v>
      </c>
      <c r="R1329" s="17" t="s">
        <v>21</v>
      </c>
      <c r="S1329" s="50" t="str">
        <f t="shared" si="62"/>
        <v>David-South</v>
      </c>
      <c r="T1329" s="59" t="str">
        <f>IF(ROUND(sales_data_1[[#This Row],[Profit_Margin]],2)=ROUND((sales_data_1[[#This Row],[Unit_Price]]*(1-sales_data_1[[#This Row],[Discount]]) - sales_data_1[[#This Row],[Unit_Cost]])*sales_data_1[[#This Row],[Quantity_Sold]],2), "PASS", "CHECK")</f>
        <v>PASS</v>
      </c>
    </row>
    <row r="1330" spans="1:20" x14ac:dyDescent="0.35">
      <c r="A1330" s="7">
        <v>1329</v>
      </c>
      <c r="B1330" s="9">
        <v>1039</v>
      </c>
      <c r="C1330" s="14" t="str">
        <f>IFERROR(_xlfn.TEXTJOIN("-", TRUE, _xlfn.XLOOKUP(K1330, product_category_id_lookup!$A$2:$A$5, product_category_id_lookup!$B$2:$B$5), B1330), "Unknown Category")</f>
        <v>fnt-1039</v>
      </c>
      <c r="D1330" s="8">
        <v>45001</v>
      </c>
      <c r="E1330" s="14">
        <f t="shared" si="60"/>
        <v>2023</v>
      </c>
      <c r="F1330" s="29" t="str">
        <f t="shared" si="61"/>
        <v>Mar</v>
      </c>
      <c r="G1330" s="17" t="s">
        <v>32</v>
      </c>
      <c r="H1330" s="17" t="s">
        <v>15</v>
      </c>
      <c r="I1330" s="24">
        <v>100208.74499999998</v>
      </c>
      <c r="J1330" s="32">
        <v>35</v>
      </c>
      <c r="K1330" s="17" t="s">
        <v>16</v>
      </c>
      <c r="L1330" s="24">
        <v>2735.74</v>
      </c>
      <c r="M1330" s="24">
        <v>3181.2299999999996</v>
      </c>
      <c r="N1330" s="34">
        <f>((sales_data_1[[#This Row],[Unit_Price]]*(1-sales_data_1[[#This Row],[Discount]]))-sales_data_1[[#This Row],[Unit_Cost]])*sales_data_1[[#This Row],[Quantity_Sold]]</f>
        <v>4457.8449999999903</v>
      </c>
      <c r="O1330" s="17" t="s">
        <v>27</v>
      </c>
      <c r="P1330" s="26">
        <v>0.1</v>
      </c>
      <c r="Q1330" s="17" t="s">
        <v>28</v>
      </c>
      <c r="R1330" s="17" t="s">
        <v>21</v>
      </c>
      <c r="S1330" s="50" t="str">
        <f t="shared" si="62"/>
        <v>Eve-North</v>
      </c>
      <c r="T1330" s="59" t="str">
        <f>IF(ROUND(sales_data_1[[#This Row],[Profit_Margin]],2)=ROUND((sales_data_1[[#This Row],[Unit_Price]]*(1-sales_data_1[[#This Row],[Discount]]) - sales_data_1[[#This Row],[Unit_Cost]])*sales_data_1[[#This Row],[Quantity_Sold]],2), "PASS", "CHECK")</f>
        <v>PASS</v>
      </c>
    </row>
    <row r="1331" spans="1:20" x14ac:dyDescent="0.35">
      <c r="A1331" s="7">
        <v>1330</v>
      </c>
      <c r="B1331" s="9">
        <v>1062</v>
      </c>
      <c r="C1331" s="14" t="str">
        <f>IFERROR(_xlfn.TEXTJOIN("-", TRUE, _xlfn.XLOOKUP(K1331, product_category_id_lookup!$A$2:$A$5, product_category_id_lookup!$B$2:$B$5), B1331), "Unknown Category")</f>
        <v>fnt-1062</v>
      </c>
      <c r="D1331" s="8">
        <v>45001</v>
      </c>
      <c r="E1331" s="14">
        <f t="shared" si="60"/>
        <v>2023</v>
      </c>
      <c r="F1331" s="29" t="str">
        <f t="shared" si="61"/>
        <v>Mar</v>
      </c>
      <c r="G1331" s="17" t="s">
        <v>22</v>
      </c>
      <c r="H1331" s="17" t="s">
        <v>20</v>
      </c>
      <c r="I1331" s="24">
        <v>228136.02777546764</v>
      </c>
      <c r="J1331" s="32">
        <v>45</v>
      </c>
      <c r="K1331" s="17" t="s">
        <v>16</v>
      </c>
      <c r="L1331" s="24">
        <v>4849.6000000000004</v>
      </c>
      <c r="M1331" s="24">
        <v>5166.72</v>
      </c>
      <c r="N1331" s="34">
        <f>((sales_data_1[[#This Row],[Unit_Price]]*(1-sales_data_1[[#This Row],[Discount]]))-sales_data_1[[#This Row],[Unit_Cost]])*sales_data_1[[#This Row],[Quantity_Sold]]</f>
        <v>9620.3520000000062</v>
      </c>
      <c r="O1331" s="17" t="s">
        <v>17</v>
      </c>
      <c r="P1331" s="26">
        <v>0.02</v>
      </c>
      <c r="Q1331" s="17" t="s">
        <v>28</v>
      </c>
      <c r="R1331" s="17" t="s">
        <v>19</v>
      </c>
      <c r="S1331" s="50" t="str">
        <f t="shared" si="62"/>
        <v>David-West</v>
      </c>
      <c r="T1331" s="59" t="str">
        <f>IF(ROUND(sales_data_1[[#This Row],[Profit_Margin]],2)=ROUND((sales_data_1[[#This Row],[Unit_Price]]*(1-sales_data_1[[#This Row],[Discount]]) - sales_data_1[[#This Row],[Unit_Cost]])*sales_data_1[[#This Row],[Quantity_Sold]],2), "PASS", "CHECK")</f>
        <v>PASS</v>
      </c>
    </row>
    <row r="1332" spans="1:20" x14ac:dyDescent="0.35">
      <c r="A1332" s="7">
        <v>1331</v>
      </c>
      <c r="B1332" s="9">
        <v>1097</v>
      </c>
      <c r="C1332" s="14" t="str">
        <f>IFERROR(_xlfn.TEXTJOIN("-", TRUE, _xlfn.XLOOKUP(K1332, product_category_id_lookup!$A$2:$A$5, product_category_id_lookup!$B$2:$B$5), B1332), "Unknown Category")</f>
        <v>fd-1097</v>
      </c>
      <c r="D1332" s="8">
        <v>45001</v>
      </c>
      <c r="E1332" s="14">
        <f t="shared" si="60"/>
        <v>2023</v>
      </c>
      <c r="F1332" s="29" t="str">
        <f t="shared" si="61"/>
        <v>Mar</v>
      </c>
      <c r="G1332" s="17" t="s">
        <v>22</v>
      </c>
      <c r="H1332" s="17" t="s">
        <v>23</v>
      </c>
      <c r="I1332" s="24">
        <v>78698.655992014232</v>
      </c>
      <c r="J1332" s="32">
        <v>35</v>
      </c>
      <c r="K1332" s="17" t="s">
        <v>24</v>
      </c>
      <c r="L1332" s="24">
        <v>1958.49</v>
      </c>
      <c r="M1332" s="24">
        <v>2254.84</v>
      </c>
      <c r="N1332" s="34">
        <f>((sales_data_1[[#This Row],[Unit_Price]]*(1-sales_data_1[[#This Row],[Discount]]))-sales_data_1[[#This Row],[Unit_Cost]])*sales_data_1[[#This Row],[Quantity_Sold]]</f>
        <v>10372.250000000005</v>
      </c>
      <c r="O1332" s="17" t="s">
        <v>27</v>
      </c>
      <c r="P1332" s="26">
        <v>0</v>
      </c>
      <c r="Q1332" s="17" t="s">
        <v>28</v>
      </c>
      <c r="R1332" s="17" t="s">
        <v>19</v>
      </c>
      <c r="S1332" s="50" t="str">
        <f t="shared" si="62"/>
        <v>David-South</v>
      </c>
      <c r="T1332" s="59" t="str">
        <f>IF(ROUND(sales_data_1[[#This Row],[Profit_Margin]],2)=ROUND((sales_data_1[[#This Row],[Unit_Price]]*(1-sales_data_1[[#This Row],[Discount]]) - sales_data_1[[#This Row],[Unit_Cost]])*sales_data_1[[#This Row],[Quantity_Sold]],2), "PASS", "CHECK")</f>
        <v>PASS</v>
      </c>
    </row>
    <row r="1333" spans="1:20" x14ac:dyDescent="0.35">
      <c r="A1333" s="7">
        <v>1332</v>
      </c>
      <c r="B1333" s="9">
        <v>1017</v>
      </c>
      <c r="C1333" s="14" t="str">
        <f>IFERROR(_xlfn.TEXTJOIN("-", TRUE, _xlfn.XLOOKUP(K1333, product_category_id_lookup!$A$2:$A$5, product_category_id_lookup!$B$2:$B$5), B1333), "Unknown Category")</f>
        <v>ctg-1017</v>
      </c>
      <c r="D1333" s="8">
        <v>45002</v>
      </c>
      <c r="E1333" s="14">
        <f t="shared" si="60"/>
        <v>2023</v>
      </c>
      <c r="F1333" s="29" t="str">
        <f t="shared" si="61"/>
        <v>Mar</v>
      </c>
      <c r="G1333" s="17" t="s">
        <v>14</v>
      </c>
      <c r="H1333" s="17" t="s">
        <v>15</v>
      </c>
      <c r="I1333" s="24">
        <v>106289.44310753138</v>
      </c>
      <c r="J1333" s="32">
        <v>28</v>
      </c>
      <c r="K1333" s="17" t="s">
        <v>26</v>
      </c>
      <c r="L1333" s="24">
        <v>3780.91</v>
      </c>
      <c r="M1333" s="24">
        <v>3892.73</v>
      </c>
      <c r="N1333" s="34">
        <f>((sales_data_1[[#This Row],[Unit_Price]]*(1-sales_data_1[[#This Row],[Discount]]))-sales_data_1[[#This Row],[Unit_Cost]])*sales_data_1[[#This Row],[Quantity_Sold]]</f>
        <v>951.03120000000126</v>
      </c>
      <c r="O1333" s="17" t="s">
        <v>17</v>
      </c>
      <c r="P1333" s="26">
        <v>0.02</v>
      </c>
      <c r="Q1333" s="17" t="s">
        <v>18</v>
      </c>
      <c r="R1333" s="17" t="s">
        <v>21</v>
      </c>
      <c r="S1333" s="50" t="str">
        <f t="shared" si="62"/>
        <v>Bob-North</v>
      </c>
      <c r="T1333" s="59" t="str">
        <f>IF(ROUND(sales_data_1[[#This Row],[Profit_Margin]],2)=ROUND((sales_data_1[[#This Row],[Unit_Price]]*(1-sales_data_1[[#This Row],[Discount]]) - sales_data_1[[#This Row],[Unit_Cost]])*sales_data_1[[#This Row],[Quantity_Sold]],2), "PASS", "CHECK")</f>
        <v>PASS</v>
      </c>
    </row>
    <row r="1334" spans="1:20" x14ac:dyDescent="0.35">
      <c r="A1334" s="7">
        <v>1333</v>
      </c>
      <c r="B1334" s="9">
        <v>1036</v>
      </c>
      <c r="C1334" s="14" t="str">
        <f>IFERROR(_xlfn.TEXTJOIN("-", TRUE, _xlfn.XLOOKUP(K1334, product_category_id_lookup!$A$2:$A$5, product_category_id_lookup!$B$2:$B$5), B1334), "Unknown Category")</f>
        <v>fd-1036</v>
      </c>
      <c r="D1334" s="8">
        <v>45002</v>
      </c>
      <c r="E1334" s="14">
        <f t="shared" si="60"/>
        <v>2023</v>
      </c>
      <c r="F1334" s="29" t="str">
        <f t="shared" si="61"/>
        <v>Mar</v>
      </c>
      <c r="G1334" s="17" t="s">
        <v>33</v>
      </c>
      <c r="H1334" s="17" t="s">
        <v>30</v>
      </c>
      <c r="I1334" s="24">
        <v>83486.69720000001</v>
      </c>
      <c r="J1334" s="32">
        <v>23</v>
      </c>
      <c r="K1334" s="17" t="s">
        <v>24</v>
      </c>
      <c r="L1334" s="24">
        <v>3335.53</v>
      </c>
      <c r="M1334" s="24">
        <v>3742.1200000000003</v>
      </c>
      <c r="N1334" s="34">
        <f>((sales_data_1[[#This Row],[Unit_Price]]*(1-sales_data_1[[#This Row],[Discount]]))-sales_data_1[[#This Row],[Unit_Cost]])*sales_data_1[[#This Row],[Quantity_Sold]]</f>
        <v>6769.5071999999982</v>
      </c>
      <c r="O1334" s="17" t="s">
        <v>27</v>
      </c>
      <c r="P1334" s="26">
        <v>0.03</v>
      </c>
      <c r="Q1334" s="17" t="s">
        <v>25</v>
      </c>
      <c r="R1334" s="17" t="s">
        <v>21</v>
      </c>
      <c r="S1334" s="50" t="str">
        <f t="shared" si="62"/>
        <v>Alice-East</v>
      </c>
      <c r="T1334" s="59" t="str">
        <f>IF(ROUND(sales_data_1[[#This Row],[Profit_Margin]],2)=ROUND((sales_data_1[[#This Row],[Unit_Price]]*(1-sales_data_1[[#This Row],[Discount]]) - sales_data_1[[#This Row],[Unit_Cost]])*sales_data_1[[#This Row],[Quantity_Sold]],2), "PASS", "CHECK")</f>
        <v>PASS</v>
      </c>
    </row>
    <row r="1335" spans="1:20" x14ac:dyDescent="0.35">
      <c r="A1335" s="7">
        <v>1334</v>
      </c>
      <c r="B1335" s="9">
        <v>1024</v>
      </c>
      <c r="C1335" s="14" t="str">
        <f>IFERROR(_xlfn.TEXTJOIN("-", TRUE, _xlfn.XLOOKUP(K1335, product_category_id_lookup!$A$2:$A$5, product_category_id_lookup!$B$2:$B$5), B1335), "Unknown Category")</f>
        <v>etc-1024</v>
      </c>
      <c r="D1335" s="8">
        <v>45002</v>
      </c>
      <c r="E1335" s="14">
        <f t="shared" si="60"/>
        <v>2023</v>
      </c>
      <c r="F1335" s="29" t="str">
        <f t="shared" si="61"/>
        <v>Mar</v>
      </c>
      <c r="G1335" s="17" t="s">
        <v>32</v>
      </c>
      <c r="H1335" s="17" t="s">
        <v>23</v>
      </c>
      <c r="I1335" s="24">
        <v>106501.88396529207</v>
      </c>
      <c r="J1335" s="32">
        <v>46</v>
      </c>
      <c r="K1335" s="17" t="s">
        <v>31</v>
      </c>
      <c r="L1335" s="24">
        <v>2016.49</v>
      </c>
      <c r="M1335" s="24">
        <v>2338.66</v>
      </c>
      <c r="N1335" s="34">
        <f>((sales_data_1[[#This Row],[Unit_Price]]*(1-sales_data_1[[#This Row],[Discount]]))-sales_data_1[[#This Row],[Unit_Cost]])*sales_data_1[[#This Row],[Quantity_Sold]]</f>
        <v>13744.036400000001</v>
      </c>
      <c r="O1335" s="17" t="s">
        <v>17</v>
      </c>
      <c r="P1335" s="26">
        <v>0.01</v>
      </c>
      <c r="Q1335" s="17" t="s">
        <v>25</v>
      </c>
      <c r="R1335" s="17" t="s">
        <v>21</v>
      </c>
      <c r="S1335" s="50" t="str">
        <f t="shared" si="62"/>
        <v>Eve-South</v>
      </c>
      <c r="T1335" s="59" t="str">
        <f>IF(ROUND(sales_data_1[[#This Row],[Profit_Margin]],2)=ROUND((sales_data_1[[#This Row],[Unit_Price]]*(1-sales_data_1[[#This Row],[Discount]]) - sales_data_1[[#This Row],[Unit_Cost]])*sales_data_1[[#This Row],[Quantity_Sold]],2), "PASS", "CHECK")</f>
        <v>PASS</v>
      </c>
    </row>
    <row r="1336" spans="1:20" x14ac:dyDescent="0.35">
      <c r="A1336" s="7">
        <v>1335</v>
      </c>
      <c r="B1336" s="9">
        <v>1016</v>
      </c>
      <c r="C1336" s="14" t="str">
        <f>IFERROR(_xlfn.TEXTJOIN("-", TRUE, _xlfn.XLOOKUP(K1336, product_category_id_lookup!$A$2:$A$5, product_category_id_lookup!$B$2:$B$5), B1336), "Unknown Category")</f>
        <v>fd-1016</v>
      </c>
      <c r="D1336" s="8">
        <v>45003</v>
      </c>
      <c r="E1336" s="14">
        <f t="shared" si="60"/>
        <v>2023</v>
      </c>
      <c r="F1336" s="29" t="str">
        <f t="shared" si="61"/>
        <v>Mar</v>
      </c>
      <c r="G1336" s="17" t="s">
        <v>22</v>
      </c>
      <c r="H1336" s="17" t="s">
        <v>23</v>
      </c>
      <c r="I1336" s="24">
        <v>3379.1164497399736</v>
      </c>
      <c r="J1336" s="32">
        <v>4</v>
      </c>
      <c r="K1336" s="17" t="s">
        <v>24</v>
      </c>
      <c r="L1336" s="24">
        <v>688.98</v>
      </c>
      <c r="M1336" s="24">
        <v>863.81000000000006</v>
      </c>
      <c r="N1336" s="34">
        <f>((sales_data_1[[#This Row],[Unit_Price]]*(1-sales_data_1[[#This Row],[Discount]]))-sales_data_1[[#This Row],[Unit_Cost]])*sales_data_1[[#This Row],[Quantity_Sold]]</f>
        <v>630.2152000000001</v>
      </c>
      <c r="O1336" s="17" t="s">
        <v>27</v>
      </c>
      <c r="P1336" s="26">
        <v>0.02</v>
      </c>
      <c r="Q1336" s="17" t="s">
        <v>28</v>
      </c>
      <c r="R1336" s="17" t="s">
        <v>21</v>
      </c>
      <c r="S1336" s="50" t="str">
        <f t="shared" si="62"/>
        <v>David-South</v>
      </c>
      <c r="T1336" s="59" t="str">
        <f>IF(ROUND(sales_data_1[[#This Row],[Profit_Margin]],2)=ROUND((sales_data_1[[#This Row],[Unit_Price]]*(1-sales_data_1[[#This Row],[Discount]]) - sales_data_1[[#This Row],[Unit_Cost]])*sales_data_1[[#This Row],[Quantity_Sold]],2), "PASS", "CHECK")</f>
        <v>PASS</v>
      </c>
    </row>
    <row r="1337" spans="1:20" x14ac:dyDescent="0.35">
      <c r="A1337" s="7">
        <v>1336</v>
      </c>
      <c r="B1337" s="9">
        <v>1095</v>
      </c>
      <c r="C1337" s="14" t="str">
        <f>IFERROR(_xlfn.TEXTJOIN("-", TRUE, _xlfn.XLOOKUP(K1337, product_category_id_lookup!$A$2:$A$5, product_category_id_lookup!$B$2:$B$5), B1337), "Unknown Category")</f>
        <v>fnt-1095</v>
      </c>
      <c r="D1337" s="8">
        <v>45003</v>
      </c>
      <c r="E1337" s="14">
        <f t="shared" si="60"/>
        <v>2023</v>
      </c>
      <c r="F1337" s="29" t="str">
        <f t="shared" si="61"/>
        <v>Mar</v>
      </c>
      <c r="G1337" s="17" t="s">
        <v>32</v>
      </c>
      <c r="H1337" s="17" t="s">
        <v>23</v>
      </c>
      <c r="I1337" s="24">
        <v>58239.827799999999</v>
      </c>
      <c r="J1337" s="32">
        <v>43</v>
      </c>
      <c r="K1337" s="17" t="s">
        <v>16</v>
      </c>
      <c r="L1337" s="24">
        <v>1331.86</v>
      </c>
      <c r="M1337" s="24">
        <v>1758.98</v>
      </c>
      <c r="N1337" s="34">
        <f>((sales_data_1[[#This Row],[Unit_Price]]*(1-sales_data_1[[#This Row],[Discount]]))-sales_data_1[[#This Row],[Unit_Cost]])*sales_data_1[[#This Row],[Quantity_Sold]]</f>
        <v>969.84780000000706</v>
      </c>
      <c r="O1337" s="17" t="s">
        <v>17</v>
      </c>
      <c r="P1337" s="26">
        <v>0.23</v>
      </c>
      <c r="Q1337" s="17" t="s">
        <v>25</v>
      </c>
      <c r="R1337" s="17" t="s">
        <v>21</v>
      </c>
      <c r="S1337" s="50" t="str">
        <f t="shared" si="62"/>
        <v>Eve-South</v>
      </c>
      <c r="T1337" s="59" t="str">
        <f>IF(ROUND(sales_data_1[[#This Row],[Profit_Margin]],2)=ROUND((sales_data_1[[#This Row],[Unit_Price]]*(1-sales_data_1[[#This Row],[Discount]]) - sales_data_1[[#This Row],[Unit_Cost]])*sales_data_1[[#This Row],[Quantity_Sold]],2), "PASS", "CHECK")</f>
        <v>PASS</v>
      </c>
    </row>
    <row r="1338" spans="1:20" x14ac:dyDescent="0.35">
      <c r="A1338" s="7">
        <v>1337</v>
      </c>
      <c r="B1338" s="9">
        <v>1030</v>
      </c>
      <c r="C1338" s="14" t="str">
        <f>IFERROR(_xlfn.TEXTJOIN("-", TRUE, _xlfn.XLOOKUP(K1338, product_category_id_lookup!$A$2:$A$5, product_category_id_lookup!$B$2:$B$5), B1338), "Unknown Category")</f>
        <v>ctg-1030</v>
      </c>
      <c r="D1338" s="8">
        <v>45004</v>
      </c>
      <c r="E1338" s="14">
        <f t="shared" si="60"/>
        <v>2023</v>
      </c>
      <c r="F1338" s="29" t="str">
        <f t="shared" si="61"/>
        <v>Mar</v>
      </c>
      <c r="G1338" s="17" t="s">
        <v>22</v>
      </c>
      <c r="H1338" s="17" t="s">
        <v>30</v>
      </c>
      <c r="I1338" s="24">
        <v>1887.4856000000002</v>
      </c>
      <c r="J1338" s="32">
        <v>2</v>
      </c>
      <c r="K1338" s="17" t="s">
        <v>26</v>
      </c>
      <c r="L1338" s="24">
        <v>844.94</v>
      </c>
      <c r="M1338" s="24">
        <v>1225.6400000000001</v>
      </c>
      <c r="N1338" s="34">
        <f>((sales_data_1[[#This Row],[Unit_Price]]*(1-sales_data_1[[#This Row],[Discount]]))-sales_data_1[[#This Row],[Unit_Cost]])*sales_data_1[[#This Row],[Quantity_Sold]]</f>
        <v>197.60560000000009</v>
      </c>
      <c r="O1338" s="17" t="s">
        <v>17</v>
      </c>
      <c r="P1338" s="26">
        <v>0.23</v>
      </c>
      <c r="Q1338" s="17" t="s">
        <v>28</v>
      </c>
      <c r="R1338" s="17" t="s">
        <v>19</v>
      </c>
      <c r="S1338" s="50" t="str">
        <f t="shared" si="62"/>
        <v>David-East</v>
      </c>
      <c r="T1338" s="59" t="str">
        <f>IF(ROUND(sales_data_1[[#This Row],[Profit_Margin]],2)=ROUND((sales_data_1[[#This Row],[Unit_Price]]*(1-sales_data_1[[#This Row],[Discount]]) - sales_data_1[[#This Row],[Unit_Cost]])*sales_data_1[[#This Row],[Quantity_Sold]],2), "PASS", "CHECK")</f>
        <v>PASS</v>
      </c>
    </row>
    <row r="1339" spans="1:20" x14ac:dyDescent="0.35">
      <c r="A1339" s="7">
        <v>1338</v>
      </c>
      <c r="B1339" s="9">
        <v>1035</v>
      </c>
      <c r="C1339" s="14" t="str">
        <f>IFERROR(_xlfn.TEXTJOIN("-", TRUE, _xlfn.XLOOKUP(K1339, product_category_id_lookup!$A$2:$A$5, product_category_id_lookup!$B$2:$B$5), B1339), "Unknown Category")</f>
        <v>ctg-1035</v>
      </c>
      <c r="D1339" s="8">
        <v>45004</v>
      </c>
      <c r="E1339" s="14">
        <f t="shared" si="60"/>
        <v>2023</v>
      </c>
      <c r="F1339" s="29" t="str">
        <f t="shared" si="61"/>
        <v>Mar</v>
      </c>
      <c r="G1339" s="17" t="s">
        <v>14</v>
      </c>
      <c r="H1339" s="17" t="s">
        <v>23</v>
      </c>
      <c r="I1339" s="24">
        <v>24370.297268683906</v>
      </c>
      <c r="J1339" s="32">
        <v>9</v>
      </c>
      <c r="K1339" s="17" t="s">
        <v>26</v>
      </c>
      <c r="L1339" s="24">
        <v>2534.94</v>
      </c>
      <c r="M1339" s="24">
        <v>2755.56</v>
      </c>
      <c r="N1339" s="34">
        <f>((sales_data_1[[#This Row],[Unit_Price]]*(1-sales_data_1[[#This Row],[Discount]]))-sales_data_1[[#This Row],[Unit_Cost]])*sales_data_1[[#This Row],[Quantity_Sold]]</f>
        <v>1489.5792000000006</v>
      </c>
      <c r="O1339" s="17" t="s">
        <v>17</v>
      </c>
      <c r="P1339" s="26">
        <v>0.02</v>
      </c>
      <c r="Q1339" s="17" t="s">
        <v>28</v>
      </c>
      <c r="R1339" s="17" t="s">
        <v>21</v>
      </c>
      <c r="S1339" s="50" t="str">
        <f t="shared" si="62"/>
        <v>Bob-South</v>
      </c>
      <c r="T1339" s="59" t="str">
        <f>IF(ROUND(sales_data_1[[#This Row],[Profit_Margin]],2)=ROUND((sales_data_1[[#This Row],[Unit_Price]]*(1-sales_data_1[[#This Row],[Discount]]) - sales_data_1[[#This Row],[Unit_Cost]])*sales_data_1[[#This Row],[Quantity_Sold]],2), "PASS", "CHECK")</f>
        <v>PASS</v>
      </c>
    </row>
    <row r="1340" spans="1:20" x14ac:dyDescent="0.35">
      <c r="A1340" s="7">
        <v>1339</v>
      </c>
      <c r="B1340" s="9">
        <v>1020</v>
      </c>
      <c r="C1340" s="14" t="str">
        <f>IFERROR(_xlfn.TEXTJOIN("-", TRUE, _xlfn.XLOOKUP(K1340, product_category_id_lookup!$A$2:$A$5, product_category_id_lookup!$B$2:$B$5), B1340), "Unknown Category")</f>
        <v>fd-1020</v>
      </c>
      <c r="D1340" s="8">
        <v>45004</v>
      </c>
      <c r="E1340" s="14">
        <f t="shared" si="60"/>
        <v>2023</v>
      </c>
      <c r="F1340" s="29" t="str">
        <f t="shared" si="61"/>
        <v>Mar</v>
      </c>
      <c r="G1340" s="17" t="s">
        <v>32</v>
      </c>
      <c r="H1340" s="17" t="s">
        <v>20</v>
      </c>
      <c r="I1340" s="24">
        <v>35509.593053963174</v>
      </c>
      <c r="J1340" s="32">
        <v>19</v>
      </c>
      <c r="K1340" s="17" t="s">
        <v>24</v>
      </c>
      <c r="L1340" s="24">
        <v>1783.48</v>
      </c>
      <c r="M1340" s="24">
        <v>1931.56</v>
      </c>
      <c r="N1340" s="34">
        <f>((sales_data_1[[#This Row],[Unit_Price]]*(1-sales_data_1[[#This Row],[Discount]]))-sales_data_1[[#This Row],[Unit_Cost]])*sales_data_1[[#This Row],[Quantity_Sold]]</f>
        <v>1712.5307999999998</v>
      </c>
      <c r="O1340" s="17" t="s">
        <v>17</v>
      </c>
      <c r="P1340" s="26">
        <v>0.03</v>
      </c>
      <c r="Q1340" s="17" t="s">
        <v>25</v>
      </c>
      <c r="R1340" s="17" t="s">
        <v>21</v>
      </c>
      <c r="S1340" s="50" t="str">
        <f t="shared" si="62"/>
        <v>Eve-West</v>
      </c>
      <c r="T1340" s="59" t="str">
        <f>IF(ROUND(sales_data_1[[#This Row],[Profit_Margin]],2)=ROUND((sales_data_1[[#This Row],[Unit_Price]]*(1-sales_data_1[[#This Row],[Discount]]) - sales_data_1[[#This Row],[Unit_Cost]])*sales_data_1[[#This Row],[Quantity_Sold]],2), "PASS", "CHECK")</f>
        <v>PASS</v>
      </c>
    </row>
    <row r="1341" spans="1:20" x14ac:dyDescent="0.35">
      <c r="A1341" s="7">
        <v>1340</v>
      </c>
      <c r="B1341" s="9">
        <v>1011</v>
      </c>
      <c r="C1341" s="14" t="str">
        <f>IFERROR(_xlfn.TEXTJOIN("-", TRUE, _xlfn.XLOOKUP(K1341, product_category_id_lookup!$A$2:$A$5, product_category_id_lookup!$B$2:$B$5), B1341), "Unknown Category")</f>
        <v>fnt-1011</v>
      </c>
      <c r="D1341" s="8">
        <v>45005</v>
      </c>
      <c r="E1341" s="14">
        <f t="shared" si="60"/>
        <v>2023</v>
      </c>
      <c r="F1341" s="29" t="str">
        <f t="shared" si="61"/>
        <v>Mar</v>
      </c>
      <c r="G1341" s="17" t="s">
        <v>14</v>
      </c>
      <c r="H1341" s="17" t="s">
        <v>30</v>
      </c>
      <c r="I1341" s="24">
        <v>10185.970591917974</v>
      </c>
      <c r="J1341" s="32">
        <v>2</v>
      </c>
      <c r="K1341" s="17" t="s">
        <v>16</v>
      </c>
      <c r="L1341" s="24">
        <v>4906.17</v>
      </c>
      <c r="M1341" s="24">
        <v>5107.43</v>
      </c>
      <c r="N1341" s="34">
        <f>((sales_data_1[[#This Row],[Unit_Price]]*(1-sales_data_1[[#This Row],[Discount]]))-sales_data_1[[#This Row],[Unit_Cost]])*sales_data_1[[#This Row],[Quantity_Sold]]</f>
        <v>402.52000000000044</v>
      </c>
      <c r="O1341" s="17" t="s">
        <v>17</v>
      </c>
      <c r="P1341" s="26">
        <v>0</v>
      </c>
      <c r="Q1341" s="17" t="s">
        <v>18</v>
      </c>
      <c r="R1341" s="17" t="s">
        <v>19</v>
      </c>
      <c r="S1341" s="50" t="str">
        <f t="shared" si="62"/>
        <v>Bob-East</v>
      </c>
      <c r="T1341" s="59" t="str">
        <f>IF(ROUND(sales_data_1[[#This Row],[Profit_Margin]],2)=ROUND((sales_data_1[[#This Row],[Unit_Price]]*(1-sales_data_1[[#This Row],[Discount]]) - sales_data_1[[#This Row],[Unit_Cost]])*sales_data_1[[#This Row],[Quantity_Sold]],2), "PASS", "CHECK")</f>
        <v>PASS</v>
      </c>
    </row>
    <row r="1342" spans="1:20" x14ac:dyDescent="0.35">
      <c r="A1342" s="7">
        <v>1341</v>
      </c>
      <c r="B1342" s="9">
        <v>1026</v>
      </c>
      <c r="C1342" s="14" t="str">
        <f>IFERROR(_xlfn.TEXTJOIN("-", TRUE, _xlfn.XLOOKUP(K1342, product_category_id_lookup!$A$2:$A$5, product_category_id_lookup!$B$2:$B$5), B1342), "Unknown Category")</f>
        <v>etc-1026</v>
      </c>
      <c r="D1342" s="8">
        <v>45005</v>
      </c>
      <c r="E1342" s="14">
        <f t="shared" si="60"/>
        <v>2023</v>
      </c>
      <c r="F1342" s="29" t="str">
        <f t="shared" si="61"/>
        <v>Mar</v>
      </c>
      <c r="G1342" s="17" t="s">
        <v>14</v>
      </c>
      <c r="H1342" s="17" t="s">
        <v>30</v>
      </c>
      <c r="I1342" s="24">
        <v>99060.806015898983</v>
      </c>
      <c r="J1342" s="32">
        <v>19</v>
      </c>
      <c r="K1342" s="17" t="s">
        <v>31</v>
      </c>
      <c r="L1342" s="24">
        <v>4991.68</v>
      </c>
      <c r="M1342" s="24">
        <v>5296.6500000000015</v>
      </c>
      <c r="N1342" s="34">
        <f>((sales_data_1[[#This Row],[Unit_Price]]*(1-sales_data_1[[#This Row],[Discount]]))-sales_data_1[[#This Row],[Unit_Cost]])*sales_data_1[[#This Row],[Quantity_Sold]]</f>
        <v>3781.7030000000223</v>
      </c>
      <c r="O1342" s="17" t="s">
        <v>27</v>
      </c>
      <c r="P1342" s="26">
        <v>0.02</v>
      </c>
      <c r="Q1342" s="17" t="s">
        <v>25</v>
      </c>
      <c r="R1342" s="17" t="s">
        <v>19</v>
      </c>
      <c r="S1342" s="50" t="str">
        <f t="shared" si="62"/>
        <v>Bob-East</v>
      </c>
      <c r="T1342" s="59" t="str">
        <f>IF(ROUND(sales_data_1[[#This Row],[Profit_Margin]],2)=ROUND((sales_data_1[[#This Row],[Unit_Price]]*(1-sales_data_1[[#This Row],[Discount]]) - sales_data_1[[#This Row],[Unit_Cost]])*sales_data_1[[#This Row],[Quantity_Sold]],2), "PASS", "CHECK")</f>
        <v>PASS</v>
      </c>
    </row>
    <row r="1343" spans="1:20" x14ac:dyDescent="0.35">
      <c r="A1343" s="7">
        <v>1342</v>
      </c>
      <c r="B1343" s="9">
        <v>1069</v>
      </c>
      <c r="C1343" s="14" t="str">
        <f>IFERROR(_xlfn.TEXTJOIN("-", TRUE, _xlfn.XLOOKUP(K1343, product_category_id_lookup!$A$2:$A$5, product_category_id_lookup!$B$2:$B$5), B1343), "Unknown Category")</f>
        <v>fnt-1069</v>
      </c>
      <c r="D1343" s="8">
        <v>45006</v>
      </c>
      <c r="E1343" s="14">
        <f t="shared" si="60"/>
        <v>2023</v>
      </c>
      <c r="F1343" s="29" t="str">
        <f t="shared" si="61"/>
        <v>Mar</v>
      </c>
      <c r="G1343" s="17" t="s">
        <v>14</v>
      </c>
      <c r="H1343" s="17" t="s">
        <v>30</v>
      </c>
      <c r="I1343" s="24">
        <v>74214.456799999985</v>
      </c>
      <c r="J1343" s="32">
        <v>29</v>
      </c>
      <c r="K1343" s="17" t="s">
        <v>16</v>
      </c>
      <c r="L1343" s="24">
        <v>2462.66</v>
      </c>
      <c r="M1343" s="24">
        <v>2908.0899999999997</v>
      </c>
      <c r="N1343" s="34">
        <f>((sales_data_1[[#This Row],[Unit_Price]]*(1-sales_data_1[[#This Row],[Discount]]))-sales_data_1[[#This Row],[Unit_Cost]])*sales_data_1[[#This Row],[Quantity_Sold]]</f>
        <v>2797.3167999999937</v>
      </c>
      <c r="O1343" s="17" t="s">
        <v>27</v>
      </c>
      <c r="P1343" s="26">
        <v>0.12</v>
      </c>
      <c r="Q1343" s="17" t="s">
        <v>28</v>
      </c>
      <c r="R1343" s="17" t="s">
        <v>19</v>
      </c>
      <c r="S1343" s="50" t="str">
        <f t="shared" si="62"/>
        <v>Bob-East</v>
      </c>
      <c r="T1343" s="59" t="str">
        <f>IF(ROUND(sales_data_1[[#This Row],[Profit_Margin]],2)=ROUND((sales_data_1[[#This Row],[Unit_Price]]*(1-sales_data_1[[#This Row],[Discount]]) - sales_data_1[[#This Row],[Unit_Cost]])*sales_data_1[[#This Row],[Quantity_Sold]],2), "PASS", "CHECK")</f>
        <v>PASS</v>
      </c>
    </row>
    <row r="1344" spans="1:20" x14ac:dyDescent="0.35">
      <c r="A1344" s="7">
        <v>1343</v>
      </c>
      <c r="B1344" s="9">
        <v>1084</v>
      </c>
      <c r="C1344" s="14" t="str">
        <f>IFERROR(_xlfn.TEXTJOIN("-", TRUE, _xlfn.XLOOKUP(K1344, product_category_id_lookup!$A$2:$A$5, product_category_id_lookup!$B$2:$B$5), B1344), "Unknown Category")</f>
        <v>fd-1084</v>
      </c>
      <c r="D1344" s="8">
        <v>45006</v>
      </c>
      <c r="E1344" s="14">
        <f t="shared" si="60"/>
        <v>2023</v>
      </c>
      <c r="F1344" s="29" t="str">
        <f t="shared" si="61"/>
        <v>Mar</v>
      </c>
      <c r="G1344" s="17" t="s">
        <v>32</v>
      </c>
      <c r="H1344" s="17" t="s">
        <v>23</v>
      </c>
      <c r="I1344" s="24">
        <v>119053.12203221457</v>
      </c>
      <c r="J1344" s="32">
        <v>40</v>
      </c>
      <c r="K1344" s="17" t="s">
        <v>24</v>
      </c>
      <c r="L1344" s="24">
        <v>2890.95</v>
      </c>
      <c r="M1344" s="24">
        <v>3104.43</v>
      </c>
      <c r="N1344" s="34">
        <f>((sales_data_1[[#This Row],[Unit_Price]]*(1-sales_data_1[[#This Row],[Discount]]))-sales_data_1[[#This Row],[Unit_Cost]])*sales_data_1[[#This Row],[Quantity_Sold]]</f>
        <v>3572.1119999999974</v>
      </c>
      <c r="O1344" s="17" t="s">
        <v>27</v>
      </c>
      <c r="P1344" s="26">
        <v>0.04</v>
      </c>
      <c r="Q1344" s="17" t="s">
        <v>25</v>
      </c>
      <c r="R1344" s="17" t="s">
        <v>19</v>
      </c>
      <c r="S1344" s="50" t="str">
        <f t="shared" si="62"/>
        <v>Eve-South</v>
      </c>
      <c r="T1344" s="59" t="str">
        <f>IF(ROUND(sales_data_1[[#This Row],[Profit_Margin]],2)=ROUND((sales_data_1[[#This Row],[Unit_Price]]*(1-sales_data_1[[#This Row],[Discount]]) - sales_data_1[[#This Row],[Unit_Cost]])*sales_data_1[[#This Row],[Quantity_Sold]],2), "PASS", "CHECK")</f>
        <v>PASS</v>
      </c>
    </row>
    <row r="1345" spans="1:20" x14ac:dyDescent="0.35">
      <c r="A1345" s="7">
        <v>1344</v>
      </c>
      <c r="B1345" s="9">
        <v>1097</v>
      </c>
      <c r="C1345" s="14" t="str">
        <f>IFERROR(_xlfn.TEXTJOIN("-", TRUE, _xlfn.XLOOKUP(K1345, product_category_id_lookup!$A$2:$A$5, product_category_id_lookup!$B$2:$B$5), B1345), "Unknown Category")</f>
        <v>etc-1097</v>
      </c>
      <c r="D1345" s="8">
        <v>45007</v>
      </c>
      <c r="E1345" s="14">
        <f t="shared" si="60"/>
        <v>2023</v>
      </c>
      <c r="F1345" s="29" t="str">
        <f t="shared" si="61"/>
        <v>Mar</v>
      </c>
      <c r="G1345" s="17" t="s">
        <v>32</v>
      </c>
      <c r="H1345" s="17" t="s">
        <v>15</v>
      </c>
      <c r="I1345" s="24">
        <v>29526.539849889905</v>
      </c>
      <c r="J1345" s="32">
        <v>6</v>
      </c>
      <c r="K1345" s="17" t="s">
        <v>31</v>
      </c>
      <c r="L1345" s="24">
        <v>4885.9799999999996</v>
      </c>
      <c r="M1345" s="24">
        <v>4949.95</v>
      </c>
      <c r="N1345" s="34">
        <f>((sales_data_1[[#This Row],[Unit_Price]]*(1-sales_data_1[[#This Row],[Discount]]))-sales_data_1[[#This Row],[Unit_Cost]])*sales_data_1[[#This Row],[Quantity_Sold]]</f>
        <v>86.823000000002139</v>
      </c>
      <c r="O1345" s="17" t="s">
        <v>17</v>
      </c>
      <c r="P1345" s="26">
        <v>0.01</v>
      </c>
      <c r="Q1345" s="17" t="s">
        <v>25</v>
      </c>
      <c r="R1345" s="17" t="s">
        <v>19</v>
      </c>
      <c r="S1345" s="50" t="str">
        <f t="shared" si="62"/>
        <v>Eve-North</v>
      </c>
      <c r="T1345" s="59" t="str">
        <f>IF(ROUND(sales_data_1[[#This Row],[Profit_Margin]],2)=ROUND((sales_data_1[[#This Row],[Unit_Price]]*(1-sales_data_1[[#This Row],[Discount]]) - sales_data_1[[#This Row],[Unit_Cost]])*sales_data_1[[#This Row],[Quantity_Sold]],2), "PASS", "CHECK")</f>
        <v>PASS</v>
      </c>
    </row>
    <row r="1346" spans="1:20" x14ac:dyDescent="0.35">
      <c r="A1346" s="7">
        <v>1345</v>
      </c>
      <c r="B1346" s="9">
        <v>1076</v>
      </c>
      <c r="C1346" s="14" t="str">
        <f>IFERROR(_xlfn.TEXTJOIN("-", TRUE, _xlfn.XLOOKUP(K1346, product_category_id_lookup!$A$2:$A$5, product_category_id_lookup!$B$2:$B$5), B1346), "Unknown Category")</f>
        <v>fd-1076</v>
      </c>
      <c r="D1346" s="8">
        <v>45007</v>
      </c>
      <c r="E1346" s="14">
        <f t="shared" ref="E1346:E1409" si="63">YEAR(D1346)</f>
        <v>2023</v>
      </c>
      <c r="F1346" s="29" t="str">
        <f t="shared" ref="F1346:F1409" si="64">LEFT(TEXT(D1346,"mmmm"),3)</f>
        <v>Mar</v>
      </c>
      <c r="G1346" s="17" t="s">
        <v>29</v>
      </c>
      <c r="H1346" s="17" t="s">
        <v>23</v>
      </c>
      <c r="I1346" s="24">
        <v>65498.645760611857</v>
      </c>
      <c r="J1346" s="32">
        <v>23</v>
      </c>
      <c r="K1346" s="17" t="s">
        <v>24</v>
      </c>
      <c r="L1346" s="24">
        <v>2759.16</v>
      </c>
      <c r="M1346" s="24">
        <v>2864.45</v>
      </c>
      <c r="N1346" s="34">
        <f>((sales_data_1[[#This Row],[Unit_Price]]*(1-sales_data_1[[#This Row],[Discount]]))-sales_data_1[[#This Row],[Unit_Cost]])*sales_data_1[[#This Row],[Quantity_Sold]]</f>
        <v>1762.8465000000019</v>
      </c>
      <c r="O1346" s="17" t="s">
        <v>17</v>
      </c>
      <c r="P1346" s="26">
        <v>0.01</v>
      </c>
      <c r="Q1346" s="17" t="s">
        <v>28</v>
      </c>
      <c r="R1346" s="17" t="s">
        <v>21</v>
      </c>
      <c r="S1346" s="50" t="str">
        <f t="shared" ref="S1346:S1409" si="65">_xlfn.CONCAT(G1346,"-",H1346)</f>
        <v>Charlie-South</v>
      </c>
      <c r="T1346" s="59" t="str">
        <f>IF(ROUND(sales_data_1[[#This Row],[Profit_Margin]],2)=ROUND((sales_data_1[[#This Row],[Unit_Price]]*(1-sales_data_1[[#This Row],[Discount]]) - sales_data_1[[#This Row],[Unit_Cost]])*sales_data_1[[#This Row],[Quantity_Sold]],2), "PASS", "CHECK")</f>
        <v>PASS</v>
      </c>
    </row>
    <row r="1347" spans="1:20" x14ac:dyDescent="0.35">
      <c r="A1347" s="7">
        <v>1346</v>
      </c>
      <c r="B1347" s="9">
        <v>1061</v>
      </c>
      <c r="C1347" s="14" t="str">
        <f>IFERROR(_xlfn.TEXTJOIN("-", TRUE, _xlfn.XLOOKUP(K1347, product_category_id_lookup!$A$2:$A$5, product_category_id_lookup!$B$2:$B$5), B1347), "Unknown Category")</f>
        <v>ctg-1061</v>
      </c>
      <c r="D1347" s="8">
        <v>45007</v>
      </c>
      <c r="E1347" s="14">
        <f t="shared" si="63"/>
        <v>2023</v>
      </c>
      <c r="F1347" s="29" t="str">
        <f t="shared" si="64"/>
        <v>Mar</v>
      </c>
      <c r="G1347" s="17" t="s">
        <v>33</v>
      </c>
      <c r="H1347" s="17" t="s">
        <v>30</v>
      </c>
      <c r="I1347" s="24">
        <v>94181.00473438637</v>
      </c>
      <c r="J1347" s="32">
        <v>34</v>
      </c>
      <c r="K1347" s="17" t="s">
        <v>26</v>
      </c>
      <c r="L1347" s="24">
        <v>2680.82</v>
      </c>
      <c r="M1347" s="24">
        <v>2771.02</v>
      </c>
      <c r="N1347" s="34">
        <f>((sales_data_1[[#This Row],[Unit_Price]]*(1-sales_data_1[[#This Row],[Discount]]))-sales_data_1[[#This Row],[Unit_Cost]])*sales_data_1[[#This Row],[Quantity_Sold]]</f>
        <v>3066.7999999999938</v>
      </c>
      <c r="O1347" s="17" t="s">
        <v>27</v>
      </c>
      <c r="P1347" s="26">
        <v>0</v>
      </c>
      <c r="Q1347" s="17" t="s">
        <v>25</v>
      </c>
      <c r="R1347" s="17" t="s">
        <v>19</v>
      </c>
      <c r="S1347" s="50" t="str">
        <f t="shared" si="65"/>
        <v>Alice-East</v>
      </c>
      <c r="T1347" s="59" t="str">
        <f>IF(ROUND(sales_data_1[[#This Row],[Profit_Margin]],2)=ROUND((sales_data_1[[#This Row],[Unit_Price]]*(1-sales_data_1[[#This Row],[Discount]]) - sales_data_1[[#This Row],[Unit_Cost]])*sales_data_1[[#This Row],[Quantity_Sold]],2), "PASS", "CHECK")</f>
        <v>PASS</v>
      </c>
    </row>
    <row r="1348" spans="1:20" x14ac:dyDescent="0.35">
      <c r="A1348" s="7">
        <v>1347</v>
      </c>
      <c r="B1348" s="9">
        <v>1092</v>
      </c>
      <c r="C1348" s="14" t="str">
        <f>IFERROR(_xlfn.TEXTJOIN("-", TRUE, _xlfn.XLOOKUP(K1348, product_category_id_lookup!$A$2:$A$5, product_category_id_lookup!$B$2:$B$5), B1348), "Unknown Category")</f>
        <v>fd-1092</v>
      </c>
      <c r="D1348" s="8">
        <v>45008</v>
      </c>
      <c r="E1348" s="14">
        <f t="shared" si="63"/>
        <v>2023</v>
      </c>
      <c r="F1348" s="29" t="str">
        <f t="shared" si="64"/>
        <v>Mar</v>
      </c>
      <c r="G1348" s="17" t="s">
        <v>14</v>
      </c>
      <c r="H1348" s="17" t="s">
        <v>23</v>
      </c>
      <c r="I1348" s="24">
        <v>60738.564338492957</v>
      </c>
      <c r="J1348" s="32">
        <v>18</v>
      </c>
      <c r="K1348" s="17" t="s">
        <v>24</v>
      </c>
      <c r="L1348" s="24">
        <v>3070.47</v>
      </c>
      <c r="M1348" s="24">
        <v>3475.29</v>
      </c>
      <c r="N1348" s="34">
        <f>((sales_data_1[[#This Row],[Unit_Price]]*(1-sales_data_1[[#This Row],[Discount]]))-sales_data_1[[#This Row],[Unit_Cost]])*sales_data_1[[#This Row],[Quantity_Sold]]</f>
        <v>5410.1033999999972</v>
      </c>
      <c r="O1348" s="17" t="s">
        <v>17</v>
      </c>
      <c r="P1348" s="26">
        <v>0.03</v>
      </c>
      <c r="Q1348" s="17" t="s">
        <v>25</v>
      </c>
      <c r="R1348" s="17" t="s">
        <v>19</v>
      </c>
      <c r="S1348" s="50" t="str">
        <f t="shared" si="65"/>
        <v>Bob-South</v>
      </c>
      <c r="T1348" s="59" t="str">
        <f>IF(ROUND(sales_data_1[[#This Row],[Profit_Margin]],2)=ROUND((sales_data_1[[#This Row],[Unit_Price]]*(1-sales_data_1[[#This Row],[Discount]]) - sales_data_1[[#This Row],[Unit_Cost]])*sales_data_1[[#This Row],[Quantity_Sold]],2), "PASS", "CHECK")</f>
        <v>PASS</v>
      </c>
    </row>
    <row r="1349" spans="1:20" x14ac:dyDescent="0.35">
      <c r="A1349" s="7">
        <v>1348</v>
      </c>
      <c r="B1349" s="9">
        <v>1031</v>
      </c>
      <c r="C1349" s="14" t="str">
        <f>IFERROR(_xlfn.TEXTJOIN("-", TRUE, _xlfn.XLOOKUP(K1349, product_category_id_lookup!$A$2:$A$5, product_category_id_lookup!$B$2:$B$5), B1349), "Unknown Category")</f>
        <v>ctg-1031</v>
      </c>
      <c r="D1349" s="8">
        <v>45008</v>
      </c>
      <c r="E1349" s="14">
        <f t="shared" si="63"/>
        <v>2023</v>
      </c>
      <c r="F1349" s="29" t="str">
        <f t="shared" si="64"/>
        <v>Mar</v>
      </c>
      <c r="G1349" s="17" t="s">
        <v>32</v>
      </c>
      <c r="H1349" s="17" t="s">
        <v>30</v>
      </c>
      <c r="I1349" s="24">
        <v>113529.13413963525</v>
      </c>
      <c r="J1349" s="32">
        <v>32</v>
      </c>
      <c r="K1349" s="17" t="s">
        <v>26</v>
      </c>
      <c r="L1349" s="24">
        <v>3351.33</v>
      </c>
      <c r="M1349" s="24">
        <v>3711.47</v>
      </c>
      <c r="N1349" s="34">
        <f>((sales_data_1[[#This Row],[Unit_Price]]*(1-sales_data_1[[#This Row],[Discount]]))-sales_data_1[[#This Row],[Unit_Cost]])*sales_data_1[[#This Row],[Quantity_Sold]]</f>
        <v>6773.7983999999851</v>
      </c>
      <c r="O1349" s="17" t="s">
        <v>27</v>
      </c>
      <c r="P1349" s="26">
        <v>0.04</v>
      </c>
      <c r="Q1349" s="17" t="s">
        <v>18</v>
      </c>
      <c r="R1349" s="17" t="s">
        <v>21</v>
      </c>
      <c r="S1349" s="50" t="str">
        <f t="shared" si="65"/>
        <v>Eve-East</v>
      </c>
      <c r="T1349" s="59" t="str">
        <f>IF(ROUND(sales_data_1[[#This Row],[Profit_Margin]],2)=ROUND((sales_data_1[[#This Row],[Unit_Price]]*(1-sales_data_1[[#This Row],[Discount]]) - sales_data_1[[#This Row],[Unit_Cost]])*sales_data_1[[#This Row],[Quantity_Sold]],2), "PASS", "CHECK")</f>
        <v>PASS</v>
      </c>
    </row>
    <row r="1350" spans="1:20" x14ac:dyDescent="0.35">
      <c r="A1350" s="7">
        <v>1349</v>
      </c>
      <c r="B1350" s="9">
        <v>1078</v>
      </c>
      <c r="C1350" s="14" t="str">
        <f>IFERROR(_xlfn.TEXTJOIN("-", TRUE, _xlfn.XLOOKUP(K1350, product_category_id_lookup!$A$2:$A$5, product_category_id_lookup!$B$2:$B$5), B1350), "Unknown Category")</f>
        <v>ctg-1078</v>
      </c>
      <c r="D1350" s="8">
        <v>45008</v>
      </c>
      <c r="E1350" s="14">
        <f t="shared" si="63"/>
        <v>2023</v>
      </c>
      <c r="F1350" s="29" t="str">
        <f t="shared" si="64"/>
        <v>Mar</v>
      </c>
      <c r="G1350" s="17" t="s">
        <v>32</v>
      </c>
      <c r="H1350" s="17" t="s">
        <v>20</v>
      </c>
      <c r="I1350" s="24">
        <v>87122.385472509995</v>
      </c>
      <c r="J1350" s="32">
        <v>33</v>
      </c>
      <c r="K1350" s="17" t="s">
        <v>26</v>
      </c>
      <c r="L1350" s="24">
        <v>2396.6799999999998</v>
      </c>
      <c r="M1350" s="24">
        <v>2661.54</v>
      </c>
      <c r="N1350" s="34">
        <f>((sales_data_1[[#This Row],[Unit_Price]]*(1-sales_data_1[[#This Row],[Discount]]))-sales_data_1[[#This Row],[Unit_Cost]])*sales_data_1[[#This Row],[Quantity_Sold]]</f>
        <v>7862.0717999999997</v>
      </c>
      <c r="O1350" s="17" t="s">
        <v>27</v>
      </c>
      <c r="P1350" s="26">
        <v>0.01</v>
      </c>
      <c r="Q1350" s="17" t="s">
        <v>25</v>
      </c>
      <c r="R1350" s="17" t="s">
        <v>19</v>
      </c>
      <c r="S1350" s="50" t="str">
        <f t="shared" si="65"/>
        <v>Eve-West</v>
      </c>
      <c r="T1350" s="59" t="str">
        <f>IF(ROUND(sales_data_1[[#This Row],[Profit_Margin]],2)=ROUND((sales_data_1[[#This Row],[Unit_Price]]*(1-sales_data_1[[#This Row],[Discount]]) - sales_data_1[[#This Row],[Unit_Cost]])*sales_data_1[[#This Row],[Quantity_Sold]],2), "PASS", "CHECK")</f>
        <v>PASS</v>
      </c>
    </row>
    <row r="1351" spans="1:20" x14ac:dyDescent="0.35">
      <c r="A1351" s="7">
        <v>1350</v>
      </c>
      <c r="B1351" s="9">
        <v>1035</v>
      </c>
      <c r="C1351" s="14" t="str">
        <f>IFERROR(_xlfn.TEXTJOIN("-", TRUE, _xlfn.XLOOKUP(K1351, product_category_id_lookup!$A$2:$A$5, product_category_id_lookup!$B$2:$B$5), B1351), "Unknown Category")</f>
        <v>ctg-1035</v>
      </c>
      <c r="D1351" s="8">
        <v>45008</v>
      </c>
      <c r="E1351" s="14">
        <f t="shared" si="63"/>
        <v>2023</v>
      </c>
      <c r="F1351" s="29" t="str">
        <f t="shared" si="64"/>
        <v>Mar</v>
      </c>
      <c r="G1351" s="17" t="s">
        <v>22</v>
      </c>
      <c r="H1351" s="17" t="s">
        <v>30</v>
      </c>
      <c r="I1351" s="24">
        <v>47652.695999999996</v>
      </c>
      <c r="J1351" s="32">
        <v>30</v>
      </c>
      <c r="K1351" s="17" t="s">
        <v>26</v>
      </c>
      <c r="L1351" s="24">
        <v>1300.03</v>
      </c>
      <c r="M1351" s="24">
        <v>1745.52</v>
      </c>
      <c r="N1351" s="34">
        <f>((sales_data_1[[#This Row],[Unit_Price]]*(1-sales_data_1[[#This Row],[Discount]]))-sales_data_1[[#This Row],[Unit_Cost]])*sales_data_1[[#This Row],[Quantity_Sold]]</f>
        <v>8651.7959999999985</v>
      </c>
      <c r="O1351" s="17" t="s">
        <v>27</v>
      </c>
      <c r="P1351" s="26">
        <v>0.09</v>
      </c>
      <c r="Q1351" s="17" t="s">
        <v>18</v>
      </c>
      <c r="R1351" s="17" t="s">
        <v>21</v>
      </c>
      <c r="S1351" s="50" t="str">
        <f t="shared" si="65"/>
        <v>David-East</v>
      </c>
      <c r="T1351" s="59" t="str">
        <f>IF(ROUND(sales_data_1[[#This Row],[Profit_Margin]],2)=ROUND((sales_data_1[[#This Row],[Unit_Price]]*(1-sales_data_1[[#This Row],[Discount]]) - sales_data_1[[#This Row],[Unit_Cost]])*sales_data_1[[#This Row],[Quantity_Sold]],2), "PASS", "CHECK")</f>
        <v>PASS</v>
      </c>
    </row>
    <row r="1352" spans="1:20" x14ac:dyDescent="0.35">
      <c r="A1352" s="7">
        <v>1351</v>
      </c>
      <c r="B1352" s="9">
        <v>1061</v>
      </c>
      <c r="C1352" s="14" t="str">
        <f>IFERROR(_xlfn.TEXTJOIN("-", TRUE, _xlfn.XLOOKUP(K1352, product_category_id_lookup!$A$2:$A$5, product_category_id_lookup!$B$2:$B$5), B1352), "Unknown Category")</f>
        <v>etc-1061</v>
      </c>
      <c r="D1352" s="8">
        <v>45009</v>
      </c>
      <c r="E1352" s="14">
        <f t="shared" si="63"/>
        <v>2023</v>
      </c>
      <c r="F1352" s="29" t="str">
        <f t="shared" si="64"/>
        <v>Mar</v>
      </c>
      <c r="G1352" s="17" t="s">
        <v>29</v>
      </c>
      <c r="H1352" s="17" t="s">
        <v>30</v>
      </c>
      <c r="I1352" s="24">
        <v>8603.0951150580077</v>
      </c>
      <c r="J1352" s="32">
        <v>13</v>
      </c>
      <c r="K1352" s="17" t="s">
        <v>31</v>
      </c>
      <c r="L1352" s="24">
        <v>637.37</v>
      </c>
      <c r="M1352" s="24">
        <v>692.71</v>
      </c>
      <c r="N1352" s="34">
        <f>((sales_data_1[[#This Row],[Unit_Price]]*(1-sales_data_1[[#This Row],[Discount]]))-sales_data_1[[#This Row],[Unit_Cost]])*sales_data_1[[#This Row],[Quantity_Sold]]</f>
        <v>359.21080000000063</v>
      </c>
      <c r="O1352" s="17" t="s">
        <v>27</v>
      </c>
      <c r="P1352" s="26">
        <v>0.04</v>
      </c>
      <c r="Q1352" s="17" t="s">
        <v>28</v>
      </c>
      <c r="R1352" s="17" t="s">
        <v>19</v>
      </c>
      <c r="S1352" s="50" t="str">
        <f t="shared" si="65"/>
        <v>Charlie-East</v>
      </c>
      <c r="T1352" s="59" t="str">
        <f>IF(ROUND(sales_data_1[[#This Row],[Profit_Margin]],2)=ROUND((sales_data_1[[#This Row],[Unit_Price]]*(1-sales_data_1[[#This Row],[Discount]]) - sales_data_1[[#This Row],[Unit_Cost]])*sales_data_1[[#This Row],[Quantity_Sold]],2), "PASS", "CHECK")</f>
        <v>PASS</v>
      </c>
    </row>
    <row r="1353" spans="1:20" x14ac:dyDescent="0.35">
      <c r="A1353" s="7">
        <v>1352</v>
      </c>
      <c r="B1353" s="9">
        <v>1005</v>
      </c>
      <c r="C1353" s="14" t="str">
        <f>IFERROR(_xlfn.TEXTJOIN("-", TRUE, _xlfn.XLOOKUP(K1353, product_category_id_lookup!$A$2:$A$5, product_category_id_lookup!$B$2:$B$5), B1353), "Unknown Category")</f>
        <v>ctg-1005</v>
      </c>
      <c r="D1353" s="8">
        <v>45010</v>
      </c>
      <c r="E1353" s="14">
        <f t="shared" si="63"/>
        <v>2023</v>
      </c>
      <c r="F1353" s="29" t="str">
        <f t="shared" si="64"/>
        <v>Mar</v>
      </c>
      <c r="G1353" s="17" t="s">
        <v>14</v>
      </c>
      <c r="H1353" s="17" t="s">
        <v>20</v>
      </c>
      <c r="I1353" s="24">
        <v>26149.41</v>
      </c>
      <c r="J1353" s="32">
        <v>14</v>
      </c>
      <c r="K1353" s="17" t="s">
        <v>26</v>
      </c>
      <c r="L1353" s="24">
        <v>1861.2</v>
      </c>
      <c r="M1353" s="24">
        <v>2075.35</v>
      </c>
      <c r="N1353" s="34">
        <f>((sales_data_1[[#This Row],[Unit_Price]]*(1-sales_data_1[[#This Row],[Discount]]))-sales_data_1[[#This Row],[Unit_Cost]])*sales_data_1[[#This Row],[Quantity_Sold]]</f>
        <v>92.610000000000127</v>
      </c>
      <c r="O1353" s="17" t="s">
        <v>17</v>
      </c>
      <c r="P1353" s="26">
        <v>0.1</v>
      </c>
      <c r="Q1353" s="17" t="s">
        <v>28</v>
      </c>
      <c r="R1353" s="17" t="s">
        <v>21</v>
      </c>
      <c r="S1353" s="50" t="str">
        <f t="shared" si="65"/>
        <v>Bob-West</v>
      </c>
      <c r="T1353" s="59" t="str">
        <f>IF(ROUND(sales_data_1[[#This Row],[Profit_Margin]],2)=ROUND((sales_data_1[[#This Row],[Unit_Price]]*(1-sales_data_1[[#This Row],[Discount]]) - sales_data_1[[#This Row],[Unit_Cost]])*sales_data_1[[#This Row],[Quantity_Sold]],2), "PASS", "CHECK")</f>
        <v>PASS</v>
      </c>
    </row>
    <row r="1354" spans="1:20" x14ac:dyDescent="0.35">
      <c r="A1354" s="7">
        <v>1353</v>
      </c>
      <c r="B1354" s="9">
        <v>1053</v>
      </c>
      <c r="C1354" s="14" t="str">
        <f>IFERROR(_xlfn.TEXTJOIN("-", TRUE, _xlfn.XLOOKUP(K1354, product_category_id_lookup!$A$2:$A$5, product_category_id_lookup!$B$2:$B$5), B1354), "Unknown Category")</f>
        <v>ctg-1053</v>
      </c>
      <c r="D1354" s="8">
        <v>45010</v>
      </c>
      <c r="E1354" s="14">
        <f t="shared" si="63"/>
        <v>2023</v>
      </c>
      <c r="F1354" s="29" t="str">
        <f t="shared" si="64"/>
        <v>Mar</v>
      </c>
      <c r="G1354" s="17" t="s">
        <v>14</v>
      </c>
      <c r="H1354" s="17" t="s">
        <v>30</v>
      </c>
      <c r="I1354" s="24">
        <v>1851.3428400239893</v>
      </c>
      <c r="J1354" s="32">
        <v>1</v>
      </c>
      <c r="K1354" s="17" t="s">
        <v>26</v>
      </c>
      <c r="L1354" s="24">
        <v>1702.82</v>
      </c>
      <c r="M1354" s="24">
        <v>1862.61</v>
      </c>
      <c r="N1354" s="34">
        <f>((sales_data_1[[#This Row],[Unit_Price]]*(1-sales_data_1[[#This Row],[Discount]]))-sales_data_1[[#This Row],[Unit_Cost]])*sales_data_1[[#This Row],[Quantity_Sold]]</f>
        <v>141.16390000000001</v>
      </c>
      <c r="O1354" s="17" t="s">
        <v>17</v>
      </c>
      <c r="P1354" s="26">
        <v>0.01</v>
      </c>
      <c r="Q1354" s="17" t="s">
        <v>18</v>
      </c>
      <c r="R1354" s="17" t="s">
        <v>21</v>
      </c>
      <c r="S1354" s="50" t="str">
        <f t="shared" si="65"/>
        <v>Bob-East</v>
      </c>
      <c r="T1354" s="59" t="str">
        <f>IF(ROUND(sales_data_1[[#This Row],[Profit_Margin]],2)=ROUND((sales_data_1[[#This Row],[Unit_Price]]*(1-sales_data_1[[#This Row],[Discount]]) - sales_data_1[[#This Row],[Unit_Cost]])*sales_data_1[[#This Row],[Quantity_Sold]],2), "PASS", "CHECK")</f>
        <v>PASS</v>
      </c>
    </row>
    <row r="1355" spans="1:20" x14ac:dyDescent="0.35">
      <c r="A1355" s="7">
        <v>1354</v>
      </c>
      <c r="B1355" s="9">
        <v>1055</v>
      </c>
      <c r="C1355" s="14" t="str">
        <f>IFERROR(_xlfn.TEXTJOIN("-", TRUE, _xlfn.XLOOKUP(K1355, product_category_id_lookup!$A$2:$A$5, product_category_id_lookup!$B$2:$B$5), B1355), "Unknown Category")</f>
        <v>etc-1055</v>
      </c>
      <c r="D1355" s="8">
        <v>45010</v>
      </c>
      <c r="E1355" s="14">
        <f t="shared" si="63"/>
        <v>2023</v>
      </c>
      <c r="F1355" s="29" t="str">
        <f t="shared" si="64"/>
        <v>Mar</v>
      </c>
      <c r="G1355" s="17" t="s">
        <v>22</v>
      </c>
      <c r="H1355" s="17" t="s">
        <v>30</v>
      </c>
      <c r="I1355" s="24">
        <v>27639.375368927969</v>
      </c>
      <c r="J1355" s="32">
        <v>11</v>
      </c>
      <c r="K1355" s="17" t="s">
        <v>31</v>
      </c>
      <c r="L1355" s="24">
        <v>2495.1999999999998</v>
      </c>
      <c r="M1355" s="24">
        <v>2600.9299999999998</v>
      </c>
      <c r="N1355" s="34">
        <f>((sales_data_1[[#This Row],[Unit_Price]]*(1-sales_data_1[[#This Row],[Discount]]))-sales_data_1[[#This Row],[Unit_Cost]])*sales_data_1[[#This Row],[Quantity_Sold]]</f>
        <v>304.7230999999997</v>
      </c>
      <c r="O1355" s="17" t="s">
        <v>27</v>
      </c>
      <c r="P1355" s="26">
        <v>0.03</v>
      </c>
      <c r="Q1355" s="17" t="s">
        <v>25</v>
      </c>
      <c r="R1355" s="17" t="s">
        <v>21</v>
      </c>
      <c r="S1355" s="50" t="str">
        <f t="shared" si="65"/>
        <v>David-East</v>
      </c>
      <c r="T1355" s="59" t="str">
        <f>IF(ROUND(sales_data_1[[#This Row],[Profit_Margin]],2)=ROUND((sales_data_1[[#This Row],[Unit_Price]]*(1-sales_data_1[[#This Row],[Discount]]) - sales_data_1[[#This Row],[Unit_Cost]])*sales_data_1[[#This Row],[Quantity_Sold]],2), "PASS", "CHECK")</f>
        <v>PASS</v>
      </c>
    </row>
    <row r="1356" spans="1:20" x14ac:dyDescent="0.35">
      <c r="A1356" s="7">
        <v>1355</v>
      </c>
      <c r="B1356" s="9">
        <v>1092</v>
      </c>
      <c r="C1356" s="14" t="str">
        <f>IFERROR(_xlfn.TEXTJOIN("-", TRUE, _xlfn.XLOOKUP(K1356, product_category_id_lookup!$A$2:$A$5, product_category_id_lookup!$B$2:$B$5), B1356), "Unknown Category")</f>
        <v>fnt-1092</v>
      </c>
      <c r="D1356" s="8">
        <v>45010</v>
      </c>
      <c r="E1356" s="14">
        <f t="shared" si="63"/>
        <v>2023</v>
      </c>
      <c r="F1356" s="29" t="str">
        <f t="shared" si="64"/>
        <v>Mar</v>
      </c>
      <c r="G1356" s="17" t="s">
        <v>33</v>
      </c>
      <c r="H1356" s="17" t="s">
        <v>20</v>
      </c>
      <c r="I1356" s="24">
        <v>115787.90570851606</v>
      </c>
      <c r="J1356" s="32">
        <v>49</v>
      </c>
      <c r="K1356" s="17" t="s">
        <v>16</v>
      </c>
      <c r="L1356" s="24">
        <v>2315</v>
      </c>
      <c r="M1356" s="24">
        <v>2467.2800000000002</v>
      </c>
      <c r="N1356" s="34">
        <f>((sales_data_1[[#This Row],[Unit_Price]]*(1-sales_data_1[[#This Row],[Discount]]))-sales_data_1[[#This Row],[Unit_Cost]])*sales_data_1[[#This Row],[Quantity_Sold]]</f>
        <v>2625.8511999999996</v>
      </c>
      <c r="O1356" s="17" t="s">
        <v>27</v>
      </c>
      <c r="P1356" s="26">
        <v>0.04</v>
      </c>
      <c r="Q1356" s="17" t="s">
        <v>25</v>
      </c>
      <c r="R1356" s="17" t="s">
        <v>21</v>
      </c>
      <c r="S1356" s="50" t="str">
        <f t="shared" si="65"/>
        <v>Alice-West</v>
      </c>
      <c r="T1356" s="59" t="str">
        <f>IF(ROUND(sales_data_1[[#This Row],[Profit_Margin]],2)=ROUND((sales_data_1[[#This Row],[Unit_Price]]*(1-sales_data_1[[#This Row],[Discount]]) - sales_data_1[[#This Row],[Unit_Cost]])*sales_data_1[[#This Row],[Quantity_Sold]],2), "PASS", "CHECK")</f>
        <v>PASS</v>
      </c>
    </row>
    <row r="1357" spans="1:20" x14ac:dyDescent="0.35">
      <c r="A1357" s="7">
        <v>1356</v>
      </c>
      <c r="B1357" s="9">
        <v>1074</v>
      </c>
      <c r="C1357" s="14" t="str">
        <f>IFERROR(_xlfn.TEXTJOIN("-", TRUE, _xlfn.XLOOKUP(K1357, product_category_id_lookup!$A$2:$A$5, product_category_id_lookup!$B$2:$B$5), B1357), "Unknown Category")</f>
        <v>fd-1074</v>
      </c>
      <c r="D1357" s="8">
        <v>45010</v>
      </c>
      <c r="E1357" s="14">
        <f t="shared" si="63"/>
        <v>2023</v>
      </c>
      <c r="F1357" s="29" t="str">
        <f t="shared" si="64"/>
        <v>Mar</v>
      </c>
      <c r="G1357" s="17" t="s">
        <v>32</v>
      </c>
      <c r="H1357" s="17" t="s">
        <v>20</v>
      </c>
      <c r="I1357" s="24">
        <v>102878.85662494716</v>
      </c>
      <c r="J1357" s="32">
        <v>38</v>
      </c>
      <c r="K1357" s="17" t="s">
        <v>24</v>
      </c>
      <c r="L1357" s="24">
        <v>2610.6</v>
      </c>
      <c r="M1357" s="24">
        <v>2836.94</v>
      </c>
      <c r="N1357" s="34">
        <f>((sales_data_1[[#This Row],[Unit_Price]]*(1-sales_data_1[[#This Row],[Discount]]))-sales_data_1[[#This Row],[Unit_Cost]])*sales_data_1[[#This Row],[Quantity_Sold]]</f>
        <v>3210.7339999999976</v>
      </c>
      <c r="O1357" s="17" t="s">
        <v>17</v>
      </c>
      <c r="P1357" s="26">
        <v>0.05</v>
      </c>
      <c r="Q1357" s="17" t="s">
        <v>28</v>
      </c>
      <c r="R1357" s="17" t="s">
        <v>19</v>
      </c>
      <c r="S1357" s="50" t="str">
        <f t="shared" si="65"/>
        <v>Eve-West</v>
      </c>
      <c r="T1357" s="59" t="str">
        <f>IF(ROUND(sales_data_1[[#This Row],[Profit_Margin]],2)=ROUND((sales_data_1[[#This Row],[Unit_Price]]*(1-sales_data_1[[#This Row],[Discount]]) - sales_data_1[[#This Row],[Unit_Cost]])*sales_data_1[[#This Row],[Quantity_Sold]],2), "PASS", "CHECK")</f>
        <v>PASS</v>
      </c>
    </row>
    <row r="1358" spans="1:20" x14ac:dyDescent="0.35">
      <c r="A1358" s="7">
        <v>1357</v>
      </c>
      <c r="B1358" s="9">
        <v>1049</v>
      </c>
      <c r="C1358" s="14" t="str">
        <f>IFERROR(_xlfn.TEXTJOIN("-", TRUE, _xlfn.XLOOKUP(K1358, product_category_id_lookup!$A$2:$A$5, product_category_id_lookup!$B$2:$B$5), B1358), "Unknown Category")</f>
        <v>etc-1049</v>
      </c>
      <c r="D1358" s="8">
        <v>45010</v>
      </c>
      <c r="E1358" s="14">
        <f t="shared" si="63"/>
        <v>2023</v>
      </c>
      <c r="F1358" s="29" t="str">
        <f t="shared" si="64"/>
        <v>Mar</v>
      </c>
      <c r="G1358" s="17" t="s">
        <v>32</v>
      </c>
      <c r="H1358" s="17" t="s">
        <v>30</v>
      </c>
      <c r="I1358" s="24">
        <v>16557.279200000001</v>
      </c>
      <c r="J1358" s="32">
        <v>17</v>
      </c>
      <c r="K1358" s="17" t="s">
        <v>31</v>
      </c>
      <c r="L1358" s="24">
        <v>558.70000000000005</v>
      </c>
      <c r="M1358" s="24">
        <v>1004.08</v>
      </c>
      <c r="N1358" s="34">
        <f>((sales_data_1[[#This Row],[Unit_Price]]*(1-sales_data_1[[#This Row],[Discount]]))-sales_data_1[[#This Row],[Unit_Cost]])*sales_data_1[[#This Row],[Quantity_Sold]]</f>
        <v>7059.3791999999985</v>
      </c>
      <c r="O1358" s="17" t="s">
        <v>17</v>
      </c>
      <c r="P1358" s="26">
        <v>0.03</v>
      </c>
      <c r="Q1358" s="17" t="s">
        <v>28</v>
      </c>
      <c r="R1358" s="17" t="s">
        <v>19</v>
      </c>
      <c r="S1358" s="50" t="str">
        <f t="shared" si="65"/>
        <v>Eve-East</v>
      </c>
      <c r="T1358" s="59" t="str">
        <f>IF(ROUND(sales_data_1[[#This Row],[Profit_Margin]],2)=ROUND((sales_data_1[[#This Row],[Unit_Price]]*(1-sales_data_1[[#This Row],[Discount]]) - sales_data_1[[#This Row],[Unit_Cost]])*sales_data_1[[#This Row],[Quantity_Sold]],2), "PASS", "CHECK")</f>
        <v>PASS</v>
      </c>
    </row>
    <row r="1359" spans="1:20" x14ac:dyDescent="0.35">
      <c r="A1359" s="7">
        <v>1358</v>
      </c>
      <c r="B1359" s="9">
        <v>1097</v>
      </c>
      <c r="C1359" s="14" t="str">
        <f>IFERROR(_xlfn.TEXTJOIN("-", TRUE, _xlfn.XLOOKUP(K1359, product_category_id_lookup!$A$2:$A$5, product_category_id_lookup!$B$2:$B$5), B1359), "Unknown Category")</f>
        <v>ctg-1097</v>
      </c>
      <c r="D1359" s="8">
        <v>45011</v>
      </c>
      <c r="E1359" s="14">
        <f t="shared" si="63"/>
        <v>2023</v>
      </c>
      <c r="F1359" s="29" t="str">
        <f t="shared" si="64"/>
        <v>Mar</v>
      </c>
      <c r="G1359" s="17" t="s">
        <v>22</v>
      </c>
      <c r="H1359" s="17" t="s">
        <v>30</v>
      </c>
      <c r="I1359" s="24">
        <v>16107.288395628724</v>
      </c>
      <c r="J1359" s="32">
        <v>7</v>
      </c>
      <c r="K1359" s="17" t="s">
        <v>26</v>
      </c>
      <c r="L1359" s="24">
        <v>1896.35</v>
      </c>
      <c r="M1359" s="24">
        <v>2394.1999999999998</v>
      </c>
      <c r="N1359" s="34">
        <f>((sales_data_1[[#This Row],[Unit_Price]]*(1-sales_data_1[[#This Row],[Discount]]))-sales_data_1[[#This Row],[Unit_Cost]])*sales_data_1[[#This Row],[Quantity_Sold]]</f>
        <v>2814.5739999999992</v>
      </c>
      <c r="O1359" s="17" t="s">
        <v>27</v>
      </c>
      <c r="P1359" s="26">
        <v>0.04</v>
      </c>
      <c r="Q1359" s="17" t="s">
        <v>25</v>
      </c>
      <c r="R1359" s="17" t="s">
        <v>19</v>
      </c>
      <c r="S1359" s="50" t="str">
        <f t="shared" si="65"/>
        <v>David-East</v>
      </c>
      <c r="T1359" s="59" t="str">
        <f>IF(ROUND(sales_data_1[[#This Row],[Profit_Margin]],2)=ROUND((sales_data_1[[#This Row],[Unit_Price]]*(1-sales_data_1[[#This Row],[Discount]]) - sales_data_1[[#This Row],[Unit_Cost]])*sales_data_1[[#This Row],[Quantity_Sold]],2), "PASS", "CHECK")</f>
        <v>PASS</v>
      </c>
    </row>
    <row r="1360" spans="1:20" x14ac:dyDescent="0.35">
      <c r="A1360" s="7">
        <v>1359</v>
      </c>
      <c r="B1360" s="9">
        <v>1010</v>
      </c>
      <c r="C1360" s="14" t="str">
        <f>IFERROR(_xlfn.TEXTJOIN("-", TRUE, _xlfn.XLOOKUP(K1360, product_category_id_lookup!$A$2:$A$5, product_category_id_lookup!$B$2:$B$5), B1360), "Unknown Category")</f>
        <v>ctg-1010</v>
      </c>
      <c r="D1360" s="8">
        <v>45012</v>
      </c>
      <c r="E1360" s="14">
        <f t="shared" si="63"/>
        <v>2023</v>
      </c>
      <c r="F1360" s="29" t="str">
        <f t="shared" si="64"/>
        <v>Mar</v>
      </c>
      <c r="G1360" s="17" t="s">
        <v>32</v>
      </c>
      <c r="H1360" s="17" t="s">
        <v>23</v>
      </c>
      <c r="I1360" s="24">
        <v>164684.08439999999</v>
      </c>
      <c r="J1360" s="32">
        <v>37</v>
      </c>
      <c r="K1360" s="17" t="s">
        <v>26</v>
      </c>
      <c r="L1360" s="24">
        <v>4354.92</v>
      </c>
      <c r="M1360" s="24">
        <v>4495.88</v>
      </c>
      <c r="N1360" s="34">
        <f>((sales_data_1[[#This Row],[Unit_Price]]*(1-sales_data_1[[#This Row],[Discount]]))-sales_data_1[[#This Row],[Unit_Cost]])*sales_data_1[[#This Row],[Quantity_Sold]]</f>
        <v>3552.0443999999889</v>
      </c>
      <c r="O1360" s="17" t="s">
        <v>17</v>
      </c>
      <c r="P1360" s="26">
        <v>0.01</v>
      </c>
      <c r="Q1360" s="17" t="s">
        <v>25</v>
      </c>
      <c r="R1360" s="17" t="s">
        <v>19</v>
      </c>
      <c r="S1360" s="50" t="str">
        <f t="shared" si="65"/>
        <v>Eve-South</v>
      </c>
      <c r="T1360" s="59" t="str">
        <f>IF(ROUND(sales_data_1[[#This Row],[Profit_Margin]],2)=ROUND((sales_data_1[[#This Row],[Unit_Price]]*(1-sales_data_1[[#This Row],[Discount]]) - sales_data_1[[#This Row],[Unit_Cost]])*sales_data_1[[#This Row],[Quantity_Sold]],2), "PASS", "CHECK")</f>
        <v>PASS</v>
      </c>
    </row>
    <row r="1361" spans="1:20" x14ac:dyDescent="0.35">
      <c r="A1361" s="7">
        <v>1360</v>
      </c>
      <c r="B1361" s="9">
        <v>1069</v>
      </c>
      <c r="C1361" s="14" t="str">
        <f>IFERROR(_xlfn.TEXTJOIN("-", TRUE, _xlfn.XLOOKUP(K1361, product_category_id_lookup!$A$2:$A$5, product_category_id_lookup!$B$2:$B$5), B1361), "Unknown Category")</f>
        <v>etc-1069</v>
      </c>
      <c r="D1361" s="8">
        <v>45012</v>
      </c>
      <c r="E1361" s="14">
        <f t="shared" si="63"/>
        <v>2023</v>
      </c>
      <c r="F1361" s="29" t="str">
        <f t="shared" si="64"/>
        <v>Mar</v>
      </c>
      <c r="G1361" s="17" t="s">
        <v>22</v>
      </c>
      <c r="H1361" s="17" t="s">
        <v>30</v>
      </c>
      <c r="I1361" s="24">
        <v>202933.17540581748</v>
      </c>
      <c r="J1361" s="32">
        <v>47</v>
      </c>
      <c r="K1361" s="17" t="s">
        <v>31</v>
      </c>
      <c r="L1361" s="24">
        <v>4171.83</v>
      </c>
      <c r="M1361" s="24">
        <v>4320.93</v>
      </c>
      <c r="N1361" s="34">
        <f>((sales_data_1[[#This Row],[Unit_Price]]*(1-sales_data_1[[#This Row],[Discount]]))-sales_data_1[[#This Row],[Unit_Cost]])*sales_data_1[[#This Row],[Quantity_Sold]]</f>
        <v>7007.7000000000171</v>
      </c>
      <c r="O1361" s="17" t="s">
        <v>27</v>
      </c>
      <c r="P1361" s="26">
        <v>0</v>
      </c>
      <c r="Q1361" s="17" t="s">
        <v>18</v>
      </c>
      <c r="R1361" s="17" t="s">
        <v>19</v>
      </c>
      <c r="S1361" s="50" t="str">
        <f t="shared" si="65"/>
        <v>David-East</v>
      </c>
      <c r="T1361" s="59" t="str">
        <f>IF(ROUND(sales_data_1[[#This Row],[Profit_Margin]],2)=ROUND((sales_data_1[[#This Row],[Unit_Price]]*(1-sales_data_1[[#This Row],[Discount]]) - sales_data_1[[#This Row],[Unit_Cost]])*sales_data_1[[#This Row],[Quantity_Sold]],2), "PASS", "CHECK")</f>
        <v>PASS</v>
      </c>
    </row>
    <row r="1362" spans="1:20" x14ac:dyDescent="0.35">
      <c r="A1362" s="7">
        <v>1361</v>
      </c>
      <c r="B1362" s="9">
        <v>1096</v>
      </c>
      <c r="C1362" s="14" t="str">
        <f>IFERROR(_xlfn.TEXTJOIN("-", TRUE, _xlfn.XLOOKUP(K1362, product_category_id_lookup!$A$2:$A$5, product_category_id_lookup!$B$2:$B$5), B1362), "Unknown Category")</f>
        <v>ctg-1096</v>
      </c>
      <c r="D1362" s="8">
        <v>45012</v>
      </c>
      <c r="E1362" s="14">
        <f t="shared" si="63"/>
        <v>2023</v>
      </c>
      <c r="F1362" s="29" t="str">
        <f t="shared" si="64"/>
        <v>Mar</v>
      </c>
      <c r="G1362" s="17" t="s">
        <v>33</v>
      </c>
      <c r="H1362" s="17" t="s">
        <v>15</v>
      </c>
      <c r="I1362" s="24">
        <v>128974.98239999999</v>
      </c>
      <c r="J1362" s="32">
        <v>48</v>
      </c>
      <c r="K1362" s="17" t="s">
        <v>26</v>
      </c>
      <c r="L1362" s="24">
        <v>2449.21</v>
      </c>
      <c r="M1362" s="24">
        <v>2714.12</v>
      </c>
      <c r="N1362" s="34">
        <f>((sales_data_1[[#This Row],[Unit_Price]]*(1-sales_data_1[[#This Row],[Discount]]))-sales_data_1[[#This Row],[Unit_Cost]])*sales_data_1[[#This Row],[Quantity_Sold]]</f>
        <v>11412.902399999992</v>
      </c>
      <c r="O1362" s="17" t="s">
        <v>27</v>
      </c>
      <c r="P1362" s="26">
        <v>0.01</v>
      </c>
      <c r="Q1362" s="17" t="s">
        <v>28</v>
      </c>
      <c r="R1362" s="17" t="s">
        <v>19</v>
      </c>
      <c r="S1362" s="50" t="str">
        <f t="shared" si="65"/>
        <v>Alice-North</v>
      </c>
      <c r="T1362" s="59" t="str">
        <f>IF(ROUND(sales_data_1[[#This Row],[Profit_Margin]],2)=ROUND((sales_data_1[[#This Row],[Unit_Price]]*(1-sales_data_1[[#This Row],[Discount]]) - sales_data_1[[#This Row],[Unit_Cost]])*sales_data_1[[#This Row],[Quantity_Sold]],2), "PASS", "CHECK")</f>
        <v>PASS</v>
      </c>
    </row>
    <row r="1363" spans="1:20" x14ac:dyDescent="0.35">
      <c r="A1363" s="7">
        <v>1362</v>
      </c>
      <c r="B1363" s="9">
        <v>1066</v>
      </c>
      <c r="C1363" s="14" t="str">
        <f>IFERROR(_xlfn.TEXTJOIN("-", TRUE, _xlfn.XLOOKUP(K1363, product_category_id_lookup!$A$2:$A$5, product_category_id_lookup!$B$2:$B$5), B1363), "Unknown Category")</f>
        <v>ctg-1066</v>
      </c>
      <c r="D1363" s="8">
        <v>45013</v>
      </c>
      <c r="E1363" s="14">
        <f t="shared" si="63"/>
        <v>2023</v>
      </c>
      <c r="F1363" s="29" t="str">
        <f t="shared" si="64"/>
        <v>Mar</v>
      </c>
      <c r="G1363" s="17" t="s">
        <v>29</v>
      </c>
      <c r="H1363" s="17" t="s">
        <v>15</v>
      </c>
      <c r="I1363" s="24">
        <v>4291.3461945943227</v>
      </c>
      <c r="J1363" s="32">
        <v>7</v>
      </c>
      <c r="K1363" s="17" t="s">
        <v>26</v>
      </c>
      <c r="L1363" s="24">
        <v>523.41999999999996</v>
      </c>
      <c r="M1363" s="24">
        <v>632.43999999999994</v>
      </c>
      <c r="N1363" s="34">
        <f>((sales_data_1[[#This Row],[Unit_Price]]*(1-sales_data_1[[#This Row],[Discount]]))-sales_data_1[[#This Row],[Unit_Cost]])*sales_data_1[[#This Row],[Quantity_Sold]]</f>
        <v>630.32759999999973</v>
      </c>
      <c r="O1363" s="17" t="s">
        <v>27</v>
      </c>
      <c r="P1363" s="26">
        <v>0.03</v>
      </c>
      <c r="Q1363" s="17" t="s">
        <v>25</v>
      </c>
      <c r="R1363" s="17" t="s">
        <v>19</v>
      </c>
      <c r="S1363" s="50" t="str">
        <f t="shared" si="65"/>
        <v>Charlie-North</v>
      </c>
      <c r="T1363" s="59" t="str">
        <f>IF(ROUND(sales_data_1[[#This Row],[Profit_Margin]],2)=ROUND((sales_data_1[[#This Row],[Unit_Price]]*(1-sales_data_1[[#This Row],[Discount]]) - sales_data_1[[#This Row],[Unit_Cost]])*sales_data_1[[#This Row],[Quantity_Sold]],2), "PASS", "CHECK")</f>
        <v>PASS</v>
      </c>
    </row>
    <row r="1364" spans="1:20" x14ac:dyDescent="0.35">
      <c r="A1364" s="7">
        <v>1363</v>
      </c>
      <c r="B1364" s="9">
        <v>1045</v>
      </c>
      <c r="C1364" s="14" t="str">
        <f>IFERROR(_xlfn.TEXTJOIN("-", TRUE, _xlfn.XLOOKUP(K1364, product_category_id_lookup!$A$2:$A$5, product_category_id_lookup!$B$2:$B$5), B1364), "Unknown Category")</f>
        <v>ctg-1045</v>
      </c>
      <c r="D1364" s="8">
        <v>45013</v>
      </c>
      <c r="E1364" s="14">
        <f t="shared" si="63"/>
        <v>2023</v>
      </c>
      <c r="F1364" s="29" t="str">
        <f t="shared" si="64"/>
        <v>Mar</v>
      </c>
      <c r="G1364" s="17" t="s">
        <v>32</v>
      </c>
      <c r="H1364" s="17" t="s">
        <v>20</v>
      </c>
      <c r="I1364" s="24">
        <v>9657.730599999999</v>
      </c>
      <c r="J1364" s="32">
        <v>14</v>
      </c>
      <c r="K1364" s="17" t="s">
        <v>26</v>
      </c>
      <c r="L1364" s="24">
        <v>635.28</v>
      </c>
      <c r="M1364" s="24">
        <v>831.13</v>
      </c>
      <c r="N1364" s="34">
        <f>((sales_data_1[[#This Row],[Unit_Price]]*(1-sales_data_1[[#This Row],[Discount]]))-sales_data_1[[#This Row],[Unit_Cost]])*sales_data_1[[#This Row],[Quantity_Sold]]</f>
        <v>763.81060000000025</v>
      </c>
      <c r="O1364" s="17" t="s">
        <v>17</v>
      </c>
      <c r="P1364" s="26">
        <v>0.17</v>
      </c>
      <c r="Q1364" s="17" t="s">
        <v>25</v>
      </c>
      <c r="R1364" s="17" t="s">
        <v>21</v>
      </c>
      <c r="S1364" s="50" t="str">
        <f t="shared" si="65"/>
        <v>Eve-West</v>
      </c>
      <c r="T1364" s="59" t="str">
        <f>IF(ROUND(sales_data_1[[#This Row],[Profit_Margin]],2)=ROUND((sales_data_1[[#This Row],[Unit_Price]]*(1-sales_data_1[[#This Row],[Discount]]) - sales_data_1[[#This Row],[Unit_Cost]])*sales_data_1[[#This Row],[Quantity_Sold]],2), "PASS", "CHECK")</f>
        <v>PASS</v>
      </c>
    </row>
    <row r="1365" spans="1:20" x14ac:dyDescent="0.35">
      <c r="A1365" s="7">
        <v>1364</v>
      </c>
      <c r="B1365" s="9">
        <v>1063</v>
      </c>
      <c r="C1365" s="14" t="str">
        <f>IFERROR(_xlfn.TEXTJOIN("-", TRUE, _xlfn.XLOOKUP(K1365, product_category_id_lookup!$A$2:$A$5, product_category_id_lookup!$B$2:$B$5), B1365), "Unknown Category")</f>
        <v>fd-1063</v>
      </c>
      <c r="D1365" s="8">
        <v>45013</v>
      </c>
      <c r="E1365" s="14">
        <f t="shared" si="63"/>
        <v>2023</v>
      </c>
      <c r="F1365" s="29" t="str">
        <f t="shared" si="64"/>
        <v>Mar</v>
      </c>
      <c r="G1365" s="17" t="s">
        <v>29</v>
      </c>
      <c r="H1365" s="17" t="s">
        <v>23</v>
      </c>
      <c r="I1365" s="24">
        <v>61721.351999999992</v>
      </c>
      <c r="J1365" s="32">
        <v>42</v>
      </c>
      <c r="K1365" s="17" t="s">
        <v>24</v>
      </c>
      <c r="L1365" s="24">
        <v>1170.07</v>
      </c>
      <c r="M1365" s="24">
        <v>1669.9499999999998</v>
      </c>
      <c r="N1365" s="34">
        <f>((sales_data_1[[#This Row],[Unit_Price]]*(1-sales_data_1[[#This Row],[Discount]]))-sales_data_1[[#This Row],[Unit_Cost]])*sales_data_1[[#This Row],[Quantity_Sold]]</f>
        <v>12578.411999999995</v>
      </c>
      <c r="O1365" s="17" t="s">
        <v>17</v>
      </c>
      <c r="P1365" s="26">
        <v>0.12</v>
      </c>
      <c r="Q1365" s="17" t="s">
        <v>25</v>
      </c>
      <c r="R1365" s="17" t="s">
        <v>21</v>
      </c>
      <c r="S1365" s="50" t="str">
        <f t="shared" si="65"/>
        <v>Charlie-South</v>
      </c>
      <c r="T1365" s="59" t="str">
        <f>IF(ROUND(sales_data_1[[#This Row],[Profit_Margin]],2)=ROUND((sales_data_1[[#This Row],[Unit_Price]]*(1-sales_data_1[[#This Row],[Discount]]) - sales_data_1[[#This Row],[Unit_Cost]])*sales_data_1[[#This Row],[Quantity_Sold]],2), "PASS", "CHECK")</f>
        <v>PASS</v>
      </c>
    </row>
    <row r="1366" spans="1:20" x14ac:dyDescent="0.35">
      <c r="A1366" s="7">
        <v>1365</v>
      </c>
      <c r="B1366" s="9">
        <v>1022</v>
      </c>
      <c r="C1366" s="14" t="str">
        <f>IFERROR(_xlfn.TEXTJOIN("-", TRUE, _xlfn.XLOOKUP(K1366, product_category_id_lookup!$A$2:$A$5, product_category_id_lookup!$B$2:$B$5), B1366), "Unknown Category")</f>
        <v>fnt-1022</v>
      </c>
      <c r="D1366" s="8">
        <v>45014</v>
      </c>
      <c r="E1366" s="14">
        <f t="shared" si="63"/>
        <v>2023</v>
      </c>
      <c r="F1366" s="29" t="str">
        <f t="shared" si="64"/>
        <v>Mar</v>
      </c>
      <c r="G1366" s="17" t="s">
        <v>14</v>
      </c>
      <c r="H1366" s="17" t="s">
        <v>20</v>
      </c>
      <c r="I1366" s="24">
        <v>182098.56713451227</v>
      </c>
      <c r="J1366" s="32">
        <v>45</v>
      </c>
      <c r="K1366" s="17" t="s">
        <v>16</v>
      </c>
      <c r="L1366" s="24">
        <v>4020.09</v>
      </c>
      <c r="M1366" s="24">
        <v>4087.9100000000003</v>
      </c>
      <c r="N1366" s="34">
        <f>((sales_data_1[[#This Row],[Unit_Price]]*(1-sales_data_1[[#This Row],[Discount]]))-sales_data_1[[#This Row],[Unit_Cost]])*sales_data_1[[#This Row],[Quantity_Sold]]</f>
        <v>1212.3405000000025</v>
      </c>
      <c r="O1366" s="17" t="s">
        <v>17</v>
      </c>
      <c r="P1366" s="26">
        <v>0.01</v>
      </c>
      <c r="Q1366" s="17" t="s">
        <v>25</v>
      </c>
      <c r="R1366" s="17" t="s">
        <v>19</v>
      </c>
      <c r="S1366" s="50" t="str">
        <f t="shared" si="65"/>
        <v>Bob-West</v>
      </c>
      <c r="T1366" s="59" t="str">
        <f>IF(ROUND(sales_data_1[[#This Row],[Profit_Margin]],2)=ROUND((sales_data_1[[#This Row],[Unit_Price]]*(1-sales_data_1[[#This Row],[Discount]]) - sales_data_1[[#This Row],[Unit_Cost]])*sales_data_1[[#This Row],[Quantity_Sold]],2), "PASS", "CHECK")</f>
        <v>PASS</v>
      </c>
    </row>
    <row r="1367" spans="1:20" x14ac:dyDescent="0.35">
      <c r="A1367" s="7">
        <v>1366</v>
      </c>
      <c r="B1367" s="9">
        <v>1010</v>
      </c>
      <c r="C1367" s="14" t="str">
        <f>IFERROR(_xlfn.TEXTJOIN("-", TRUE, _xlfn.XLOOKUP(K1367, product_category_id_lookup!$A$2:$A$5, product_category_id_lookup!$B$2:$B$5), B1367), "Unknown Category")</f>
        <v>fd-1010</v>
      </c>
      <c r="D1367" s="8">
        <v>45014</v>
      </c>
      <c r="E1367" s="14">
        <f t="shared" si="63"/>
        <v>2023</v>
      </c>
      <c r="F1367" s="29" t="str">
        <f t="shared" si="64"/>
        <v>Mar</v>
      </c>
      <c r="G1367" s="17" t="s">
        <v>33</v>
      </c>
      <c r="H1367" s="17" t="s">
        <v>23</v>
      </c>
      <c r="I1367" s="24">
        <v>60155.281199999998</v>
      </c>
      <c r="J1367" s="32">
        <v>49</v>
      </c>
      <c r="K1367" s="17" t="s">
        <v>24</v>
      </c>
      <c r="L1367" s="24">
        <v>1150.3</v>
      </c>
      <c r="M1367" s="24">
        <v>1306.02</v>
      </c>
      <c r="N1367" s="34">
        <f>((sales_data_1[[#This Row],[Unit_Price]]*(1-sales_data_1[[#This Row],[Discount]]))-sales_data_1[[#This Row],[Unit_Cost]])*sales_data_1[[#This Row],[Quantity_Sold]]</f>
        <v>3790.5811999999987</v>
      </c>
      <c r="O1367" s="17" t="s">
        <v>27</v>
      </c>
      <c r="P1367" s="26">
        <v>0.06</v>
      </c>
      <c r="Q1367" s="17" t="s">
        <v>28</v>
      </c>
      <c r="R1367" s="17" t="s">
        <v>21</v>
      </c>
      <c r="S1367" s="50" t="str">
        <f t="shared" si="65"/>
        <v>Alice-South</v>
      </c>
      <c r="T1367" s="59" t="str">
        <f>IF(ROUND(sales_data_1[[#This Row],[Profit_Margin]],2)=ROUND((sales_data_1[[#This Row],[Unit_Price]]*(1-sales_data_1[[#This Row],[Discount]]) - sales_data_1[[#This Row],[Unit_Cost]])*sales_data_1[[#This Row],[Quantity_Sold]],2), "PASS", "CHECK")</f>
        <v>PASS</v>
      </c>
    </row>
    <row r="1368" spans="1:20" x14ac:dyDescent="0.35">
      <c r="A1368" s="7">
        <v>1367</v>
      </c>
      <c r="B1368" s="9">
        <v>1009</v>
      </c>
      <c r="C1368" s="14" t="str">
        <f>IFERROR(_xlfn.TEXTJOIN("-", TRUE, _xlfn.XLOOKUP(K1368, product_category_id_lookup!$A$2:$A$5, product_category_id_lookup!$B$2:$B$5), B1368), "Unknown Category")</f>
        <v>ctg-1009</v>
      </c>
      <c r="D1368" s="8">
        <v>45015</v>
      </c>
      <c r="E1368" s="14">
        <f t="shared" si="63"/>
        <v>2023</v>
      </c>
      <c r="F1368" s="29" t="str">
        <f t="shared" si="64"/>
        <v>Mar</v>
      </c>
      <c r="G1368" s="17" t="s">
        <v>29</v>
      </c>
      <c r="H1368" s="17" t="s">
        <v>23</v>
      </c>
      <c r="I1368" s="24">
        <v>43803.93</v>
      </c>
      <c r="J1368" s="32">
        <v>10</v>
      </c>
      <c r="K1368" s="17" t="s">
        <v>26</v>
      </c>
      <c r="L1368" s="24">
        <v>4364.3500000000004</v>
      </c>
      <c r="M1368" s="24">
        <v>4710.1000000000004</v>
      </c>
      <c r="N1368" s="34">
        <f>((sales_data_1[[#This Row],[Unit_Price]]*(1-sales_data_1[[#This Row],[Discount]]))-sales_data_1[[#This Row],[Unit_Cost]])*sales_data_1[[#This Row],[Quantity_Sold]]</f>
        <v>160.42999999999665</v>
      </c>
      <c r="O1368" s="17" t="s">
        <v>27</v>
      </c>
      <c r="P1368" s="26">
        <v>7.0000000000000007E-2</v>
      </c>
      <c r="Q1368" s="17" t="s">
        <v>28</v>
      </c>
      <c r="R1368" s="17" t="s">
        <v>19</v>
      </c>
      <c r="S1368" s="50" t="str">
        <f t="shared" si="65"/>
        <v>Charlie-South</v>
      </c>
      <c r="T1368" s="59" t="str">
        <f>IF(ROUND(sales_data_1[[#This Row],[Profit_Margin]],2)=ROUND((sales_data_1[[#This Row],[Unit_Price]]*(1-sales_data_1[[#This Row],[Discount]]) - sales_data_1[[#This Row],[Unit_Cost]])*sales_data_1[[#This Row],[Quantity_Sold]],2), "PASS", "CHECK")</f>
        <v>PASS</v>
      </c>
    </row>
    <row r="1369" spans="1:20" x14ac:dyDescent="0.35">
      <c r="A1369" s="7">
        <v>1368</v>
      </c>
      <c r="B1369" s="9">
        <v>1007</v>
      </c>
      <c r="C1369" s="14" t="str">
        <f>IFERROR(_xlfn.TEXTJOIN("-", TRUE, _xlfn.XLOOKUP(K1369, product_category_id_lookup!$A$2:$A$5, product_category_id_lookup!$B$2:$B$5), B1369), "Unknown Category")</f>
        <v>fnt-1007</v>
      </c>
      <c r="D1369" s="8">
        <v>45015</v>
      </c>
      <c r="E1369" s="14">
        <f t="shared" si="63"/>
        <v>2023</v>
      </c>
      <c r="F1369" s="29" t="str">
        <f t="shared" si="64"/>
        <v>Mar</v>
      </c>
      <c r="G1369" s="17" t="s">
        <v>22</v>
      </c>
      <c r="H1369" s="17" t="s">
        <v>30</v>
      </c>
      <c r="I1369" s="24">
        <v>17567.659200000002</v>
      </c>
      <c r="J1369" s="32">
        <v>14</v>
      </c>
      <c r="K1369" s="17" t="s">
        <v>16</v>
      </c>
      <c r="L1369" s="24">
        <v>1122.07</v>
      </c>
      <c r="M1369" s="24">
        <v>1608.76</v>
      </c>
      <c r="N1369" s="34">
        <f>((sales_data_1[[#This Row],[Unit_Price]]*(1-sales_data_1[[#This Row],[Discount]]))-sales_data_1[[#This Row],[Unit_Cost]])*sales_data_1[[#This Row],[Quantity_Sold]]</f>
        <v>1858.6792000000028</v>
      </c>
      <c r="O1369" s="17" t="s">
        <v>27</v>
      </c>
      <c r="P1369" s="26">
        <v>0.22</v>
      </c>
      <c r="Q1369" s="17" t="s">
        <v>18</v>
      </c>
      <c r="R1369" s="17" t="s">
        <v>21</v>
      </c>
      <c r="S1369" s="50" t="str">
        <f t="shared" si="65"/>
        <v>David-East</v>
      </c>
      <c r="T1369" s="59" t="str">
        <f>IF(ROUND(sales_data_1[[#This Row],[Profit_Margin]],2)=ROUND((sales_data_1[[#This Row],[Unit_Price]]*(1-sales_data_1[[#This Row],[Discount]]) - sales_data_1[[#This Row],[Unit_Cost]])*sales_data_1[[#This Row],[Quantity_Sold]],2), "PASS", "CHECK")</f>
        <v>PASS</v>
      </c>
    </row>
    <row r="1370" spans="1:20" x14ac:dyDescent="0.35">
      <c r="A1370" s="7">
        <v>1369</v>
      </c>
      <c r="B1370" s="9">
        <v>1005</v>
      </c>
      <c r="C1370" s="14" t="str">
        <f>IFERROR(_xlfn.TEXTJOIN("-", TRUE, _xlfn.XLOOKUP(K1370, product_category_id_lookup!$A$2:$A$5, product_category_id_lookup!$B$2:$B$5), B1370), "Unknown Category")</f>
        <v>etc-1005</v>
      </c>
      <c r="D1370" s="8">
        <v>45015</v>
      </c>
      <c r="E1370" s="14">
        <f t="shared" si="63"/>
        <v>2023</v>
      </c>
      <c r="F1370" s="29" t="str">
        <f t="shared" si="64"/>
        <v>Mar</v>
      </c>
      <c r="G1370" s="17" t="s">
        <v>33</v>
      </c>
      <c r="H1370" s="17" t="s">
        <v>30</v>
      </c>
      <c r="I1370" s="24">
        <v>9243.9935999999998</v>
      </c>
      <c r="J1370" s="32">
        <v>12</v>
      </c>
      <c r="K1370" s="17" t="s">
        <v>31</v>
      </c>
      <c r="L1370" s="24">
        <v>319.83</v>
      </c>
      <c r="M1370" s="24">
        <v>802.43000000000006</v>
      </c>
      <c r="N1370" s="34">
        <f>((sales_data_1[[#This Row],[Unit_Price]]*(1-sales_data_1[[#This Row],[Discount]]))-sales_data_1[[#This Row],[Unit_Cost]])*sales_data_1[[#This Row],[Quantity_Sold]]</f>
        <v>5406.0336000000007</v>
      </c>
      <c r="O1370" s="17" t="s">
        <v>27</v>
      </c>
      <c r="P1370" s="26">
        <v>0.04</v>
      </c>
      <c r="Q1370" s="17" t="s">
        <v>28</v>
      </c>
      <c r="R1370" s="17" t="s">
        <v>21</v>
      </c>
      <c r="S1370" s="50" t="str">
        <f t="shared" si="65"/>
        <v>Alice-East</v>
      </c>
      <c r="T1370" s="59" t="str">
        <f>IF(ROUND(sales_data_1[[#This Row],[Profit_Margin]],2)=ROUND((sales_data_1[[#This Row],[Unit_Price]]*(1-sales_data_1[[#This Row],[Discount]]) - sales_data_1[[#This Row],[Unit_Cost]])*sales_data_1[[#This Row],[Quantity_Sold]],2), "PASS", "CHECK")</f>
        <v>PASS</v>
      </c>
    </row>
    <row r="1371" spans="1:20" x14ac:dyDescent="0.35">
      <c r="A1371" s="7">
        <v>1370</v>
      </c>
      <c r="B1371" s="9">
        <v>1085</v>
      </c>
      <c r="C1371" s="14" t="str">
        <f>IFERROR(_xlfn.TEXTJOIN("-", TRUE, _xlfn.XLOOKUP(K1371, product_category_id_lookup!$A$2:$A$5, product_category_id_lookup!$B$2:$B$5), B1371), "Unknown Category")</f>
        <v>ctg-1085</v>
      </c>
      <c r="D1371" s="8">
        <v>45015</v>
      </c>
      <c r="E1371" s="14">
        <f t="shared" si="63"/>
        <v>2023</v>
      </c>
      <c r="F1371" s="29" t="str">
        <f t="shared" si="64"/>
        <v>Mar</v>
      </c>
      <c r="G1371" s="17" t="s">
        <v>22</v>
      </c>
      <c r="H1371" s="17" t="s">
        <v>20</v>
      </c>
      <c r="I1371" s="24">
        <v>223476.51355035507</v>
      </c>
      <c r="J1371" s="32">
        <v>45</v>
      </c>
      <c r="K1371" s="17" t="s">
        <v>26</v>
      </c>
      <c r="L1371" s="24">
        <v>4763.1099999999997</v>
      </c>
      <c r="M1371" s="24">
        <v>5119.91</v>
      </c>
      <c r="N1371" s="34">
        <f>((sales_data_1[[#This Row],[Unit_Price]]*(1-sales_data_1[[#This Row],[Discount]]))-sales_data_1[[#This Row],[Unit_Cost]])*sales_data_1[[#This Row],[Quantity_Sold]]</f>
        <v>9144.121499999992</v>
      </c>
      <c r="O1371" s="17" t="s">
        <v>17</v>
      </c>
      <c r="P1371" s="26">
        <v>0.03</v>
      </c>
      <c r="Q1371" s="17" t="s">
        <v>18</v>
      </c>
      <c r="R1371" s="17" t="s">
        <v>21</v>
      </c>
      <c r="S1371" s="50" t="str">
        <f t="shared" si="65"/>
        <v>David-West</v>
      </c>
      <c r="T1371" s="59" t="str">
        <f>IF(ROUND(sales_data_1[[#This Row],[Profit_Margin]],2)=ROUND((sales_data_1[[#This Row],[Unit_Price]]*(1-sales_data_1[[#This Row],[Discount]]) - sales_data_1[[#This Row],[Unit_Cost]])*sales_data_1[[#This Row],[Quantity_Sold]],2), "PASS", "CHECK")</f>
        <v>PASS</v>
      </c>
    </row>
    <row r="1372" spans="1:20" x14ac:dyDescent="0.35">
      <c r="A1372" s="7">
        <v>1371</v>
      </c>
      <c r="B1372" s="9">
        <v>1025</v>
      </c>
      <c r="C1372" s="14" t="str">
        <f>IFERROR(_xlfn.TEXTJOIN("-", TRUE, _xlfn.XLOOKUP(K1372, product_category_id_lookup!$A$2:$A$5, product_category_id_lookup!$B$2:$B$5), B1372), "Unknown Category")</f>
        <v>fnt-1025</v>
      </c>
      <c r="D1372" s="8">
        <v>45016</v>
      </c>
      <c r="E1372" s="14">
        <f t="shared" si="63"/>
        <v>2023</v>
      </c>
      <c r="F1372" s="29" t="str">
        <f t="shared" si="64"/>
        <v>Mar</v>
      </c>
      <c r="G1372" s="17" t="s">
        <v>22</v>
      </c>
      <c r="H1372" s="17" t="s">
        <v>20</v>
      </c>
      <c r="I1372" s="24">
        <v>11336.672617398997</v>
      </c>
      <c r="J1372" s="32">
        <v>4</v>
      </c>
      <c r="K1372" s="17" t="s">
        <v>16</v>
      </c>
      <c r="L1372" s="24">
        <v>2751.06</v>
      </c>
      <c r="M1372" s="24">
        <v>2976.0099999999998</v>
      </c>
      <c r="N1372" s="34">
        <f>((sales_data_1[[#This Row],[Unit_Price]]*(1-sales_data_1[[#This Row],[Discount]]))-sales_data_1[[#This Row],[Unit_Cost]])*sales_data_1[[#This Row],[Quantity_Sold]]</f>
        <v>304.59799999999814</v>
      </c>
      <c r="O1372" s="17" t="s">
        <v>17</v>
      </c>
      <c r="P1372" s="26">
        <v>0.05</v>
      </c>
      <c r="Q1372" s="17" t="s">
        <v>28</v>
      </c>
      <c r="R1372" s="17" t="s">
        <v>19</v>
      </c>
      <c r="S1372" s="50" t="str">
        <f t="shared" si="65"/>
        <v>David-West</v>
      </c>
      <c r="T1372" s="59" t="str">
        <f>IF(ROUND(sales_data_1[[#This Row],[Profit_Margin]],2)=ROUND((sales_data_1[[#This Row],[Unit_Price]]*(1-sales_data_1[[#This Row],[Discount]]) - sales_data_1[[#This Row],[Unit_Cost]])*sales_data_1[[#This Row],[Quantity_Sold]],2), "PASS", "CHECK")</f>
        <v>PASS</v>
      </c>
    </row>
    <row r="1373" spans="1:20" x14ac:dyDescent="0.35">
      <c r="A1373" s="7">
        <v>1372</v>
      </c>
      <c r="B1373" s="9">
        <v>1004</v>
      </c>
      <c r="C1373" s="14" t="str">
        <f>IFERROR(_xlfn.TEXTJOIN("-", TRUE, _xlfn.XLOOKUP(K1373, product_category_id_lookup!$A$2:$A$5, product_category_id_lookup!$B$2:$B$5), B1373), "Unknown Category")</f>
        <v>ctg-1004</v>
      </c>
      <c r="D1373" s="8">
        <v>45016</v>
      </c>
      <c r="E1373" s="14">
        <f t="shared" si="63"/>
        <v>2023</v>
      </c>
      <c r="F1373" s="29" t="str">
        <f t="shared" si="64"/>
        <v>Mar</v>
      </c>
      <c r="G1373" s="17" t="s">
        <v>29</v>
      </c>
      <c r="H1373" s="17" t="s">
        <v>30</v>
      </c>
      <c r="I1373" s="24">
        <v>55023.040799999995</v>
      </c>
      <c r="J1373" s="32">
        <v>12</v>
      </c>
      <c r="K1373" s="17" t="s">
        <v>26</v>
      </c>
      <c r="L1373" s="24">
        <v>4553.2299999999996</v>
      </c>
      <c r="M1373" s="24">
        <v>5038.74</v>
      </c>
      <c r="N1373" s="34">
        <f>((sales_data_1[[#This Row],[Unit_Price]]*(1-sales_data_1[[#This Row],[Discount]]))-sales_data_1[[#This Row],[Unit_Cost]])*sales_data_1[[#This Row],[Quantity_Sold]]</f>
        <v>384.28080000000045</v>
      </c>
      <c r="O1373" s="17" t="s">
        <v>27</v>
      </c>
      <c r="P1373" s="26">
        <v>0.09</v>
      </c>
      <c r="Q1373" s="17" t="s">
        <v>28</v>
      </c>
      <c r="R1373" s="17" t="s">
        <v>21</v>
      </c>
      <c r="S1373" s="50" t="str">
        <f t="shared" si="65"/>
        <v>Charlie-East</v>
      </c>
      <c r="T1373" s="59" t="str">
        <f>IF(ROUND(sales_data_1[[#This Row],[Profit_Margin]],2)=ROUND((sales_data_1[[#This Row],[Unit_Price]]*(1-sales_data_1[[#This Row],[Discount]]) - sales_data_1[[#This Row],[Unit_Cost]])*sales_data_1[[#This Row],[Quantity_Sold]],2), "PASS", "CHECK")</f>
        <v>PASS</v>
      </c>
    </row>
    <row r="1374" spans="1:20" x14ac:dyDescent="0.35">
      <c r="A1374" s="7">
        <v>1373</v>
      </c>
      <c r="B1374" s="9">
        <v>1047</v>
      </c>
      <c r="C1374" s="14" t="str">
        <f>IFERROR(_xlfn.TEXTJOIN("-", TRUE, _xlfn.XLOOKUP(K1374, product_category_id_lookup!$A$2:$A$5, product_category_id_lookup!$B$2:$B$5), B1374), "Unknown Category")</f>
        <v>etc-1047</v>
      </c>
      <c r="D1374" s="8">
        <v>45016</v>
      </c>
      <c r="E1374" s="14">
        <f t="shared" si="63"/>
        <v>2023</v>
      </c>
      <c r="F1374" s="29" t="str">
        <f t="shared" si="64"/>
        <v>Mar</v>
      </c>
      <c r="G1374" s="17" t="s">
        <v>33</v>
      </c>
      <c r="H1374" s="17" t="s">
        <v>30</v>
      </c>
      <c r="I1374" s="24">
        <v>116257.65376465287</v>
      </c>
      <c r="J1374" s="32">
        <v>37</v>
      </c>
      <c r="K1374" s="17" t="s">
        <v>31</v>
      </c>
      <c r="L1374" s="24">
        <v>3114.88</v>
      </c>
      <c r="M1374" s="24">
        <v>3256.78</v>
      </c>
      <c r="N1374" s="34">
        <f>((sales_data_1[[#This Row],[Unit_Price]]*(1-sales_data_1[[#This Row],[Discount]]))-sales_data_1[[#This Row],[Unit_Cost]])*sales_data_1[[#This Row],[Quantity_Sold]]</f>
        <v>430.26559999999836</v>
      </c>
      <c r="O1374" s="17" t="s">
        <v>17</v>
      </c>
      <c r="P1374" s="26">
        <v>0.04</v>
      </c>
      <c r="Q1374" s="17" t="s">
        <v>28</v>
      </c>
      <c r="R1374" s="17" t="s">
        <v>19</v>
      </c>
      <c r="S1374" s="50" t="str">
        <f t="shared" si="65"/>
        <v>Alice-East</v>
      </c>
      <c r="T1374" s="59" t="str">
        <f>IF(ROUND(sales_data_1[[#This Row],[Profit_Margin]],2)=ROUND((sales_data_1[[#This Row],[Unit_Price]]*(1-sales_data_1[[#This Row],[Discount]]) - sales_data_1[[#This Row],[Unit_Cost]])*sales_data_1[[#This Row],[Quantity_Sold]],2), "PASS", "CHECK")</f>
        <v>PASS</v>
      </c>
    </row>
    <row r="1375" spans="1:20" x14ac:dyDescent="0.35">
      <c r="A1375" s="7">
        <v>1374</v>
      </c>
      <c r="B1375" s="9">
        <v>1016</v>
      </c>
      <c r="C1375" s="14" t="str">
        <f>IFERROR(_xlfn.TEXTJOIN("-", TRUE, _xlfn.XLOOKUP(K1375, product_category_id_lookup!$A$2:$A$5, product_category_id_lookup!$B$2:$B$5), B1375), "Unknown Category")</f>
        <v>etc-1016</v>
      </c>
      <c r="D1375" s="8">
        <v>45016</v>
      </c>
      <c r="E1375" s="14">
        <f t="shared" si="63"/>
        <v>2023</v>
      </c>
      <c r="F1375" s="29" t="str">
        <f t="shared" si="64"/>
        <v>Mar</v>
      </c>
      <c r="G1375" s="17" t="s">
        <v>32</v>
      </c>
      <c r="H1375" s="17" t="s">
        <v>30</v>
      </c>
      <c r="I1375" s="24">
        <v>152886.95632814549</v>
      </c>
      <c r="J1375" s="32">
        <v>38</v>
      </c>
      <c r="K1375" s="17" t="s">
        <v>31</v>
      </c>
      <c r="L1375" s="24">
        <v>3883.38</v>
      </c>
      <c r="M1375" s="24">
        <v>4152.72</v>
      </c>
      <c r="N1375" s="34">
        <f>((sales_data_1[[#This Row],[Unit_Price]]*(1-sales_data_1[[#This Row],[Discount]]))-sales_data_1[[#This Row],[Unit_Cost]])*sales_data_1[[#This Row],[Quantity_Sold]]</f>
        <v>5500.8192000000063</v>
      </c>
      <c r="O1375" s="17" t="s">
        <v>17</v>
      </c>
      <c r="P1375" s="26">
        <v>0.03</v>
      </c>
      <c r="Q1375" s="17" t="s">
        <v>18</v>
      </c>
      <c r="R1375" s="17" t="s">
        <v>19</v>
      </c>
      <c r="S1375" s="50" t="str">
        <f t="shared" si="65"/>
        <v>Eve-East</v>
      </c>
      <c r="T1375" s="59" t="str">
        <f>IF(ROUND(sales_data_1[[#This Row],[Profit_Margin]],2)=ROUND((sales_data_1[[#This Row],[Unit_Price]]*(1-sales_data_1[[#This Row],[Discount]]) - sales_data_1[[#This Row],[Unit_Cost]])*sales_data_1[[#This Row],[Quantity_Sold]],2), "PASS", "CHECK")</f>
        <v>PASS</v>
      </c>
    </row>
    <row r="1376" spans="1:20" x14ac:dyDescent="0.35">
      <c r="A1376" s="7">
        <v>1375</v>
      </c>
      <c r="B1376" s="9">
        <v>1062</v>
      </c>
      <c r="C1376" s="14" t="str">
        <f>IFERROR(_xlfn.TEXTJOIN("-", TRUE, _xlfn.XLOOKUP(K1376, product_category_id_lookup!$A$2:$A$5, product_category_id_lookup!$B$2:$B$5), B1376), "Unknown Category")</f>
        <v>ctg-1062</v>
      </c>
      <c r="D1376" s="8">
        <v>45018</v>
      </c>
      <c r="E1376" s="14">
        <f t="shared" si="63"/>
        <v>2023</v>
      </c>
      <c r="F1376" s="29" t="str">
        <f t="shared" si="64"/>
        <v>Apr</v>
      </c>
      <c r="G1376" s="17" t="s">
        <v>14</v>
      </c>
      <c r="H1376" s="17" t="s">
        <v>30</v>
      </c>
      <c r="I1376" s="24">
        <v>15605.297272128297</v>
      </c>
      <c r="J1376" s="32">
        <v>10</v>
      </c>
      <c r="K1376" s="17" t="s">
        <v>26</v>
      </c>
      <c r="L1376" s="24">
        <v>1524.88</v>
      </c>
      <c r="M1376" s="24">
        <v>1636.14</v>
      </c>
      <c r="N1376" s="34">
        <f>((sales_data_1[[#This Row],[Unit_Price]]*(1-sales_data_1[[#This Row],[Discount]]))-sales_data_1[[#This Row],[Unit_Cost]])*sales_data_1[[#This Row],[Quantity_Sold]]</f>
        <v>294.52999999999975</v>
      </c>
      <c r="O1376" s="17" t="s">
        <v>27</v>
      </c>
      <c r="P1376" s="26">
        <v>0.05</v>
      </c>
      <c r="Q1376" s="17" t="s">
        <v>25</v>
      </c>
      <c r="R1376" s="17" t="s">
        <v>19</v>
      </c>
      <c r="S1376" s="50" t="str">
        <f t="shared" si="65"/>
        <v>Bob-East</v>
      </c>
      <c r="T1376" s="59" t="str">
        <f>IF(ROUND(sales_data_1[[#This Row],[Profit_Margin]],2)=ROUND((sales_data_1[[#This Row],[Unit_Price]]*(1-sales_data_1[[#This Row],[Discount]]) - sales_data_1[[#This Row],[Unit_Cost]])*sales_data_1[[#This Row],[Quantity_Sold]],2), "PASS", "CHECK")</f>
        <v>PASS</v>
      </c>
    </row>
    <row r="1377" spans="1:20" x14ac:dyDescent="0.35">
      <c r="A1377" s="7">
        <v>1376</v>
      </c>
      <c r="B1377" s="9">
        <v>1034</v>
      </c>
      <c r="C1377" s="14" t="str">
        <f>IFERROR(_xlfn.TEXTJOIN("-", TRUE, _xlfn.XLOOKUP(K1377, product_category_id_lookup!$A$2:$A$5, product_category_id_lookup!$B$2:$B$5), B1377), "Unknown Category")</f>
        <v>etc-1034</v>
      </c>
      <c r="D1377" s="8">
        <v>45018</v>
      </c>
      <c r="E1377" s="14">
        <f t="shared" si="63"/>
        <v>2023</v>
      </c>
      <c r="F1377" s="29" t="str">
        <f t="shared" si="64"/>
        <v>Apr</v>
      </c>
      <c r="G1377" s="17" t="s">
        <v>29</v>
      </c>
      <c r="H1377" s="17" t="s">
        <v>20</v>
      </c>
      <c r="I1377" s="24">
        <v>18715.107613666194</v>
      </c>
      <c r="J1377" s="32">
        <v>7</v>
      </c>
      <c r="K1377" s="17" t="s">
        <v>31</v>
      </c>
      <c r="L1377" s="24">
        <v>2492.36</v>
      </c>
      <c r="M1377" s="24">
        <v>2738.6800000000003</v>
      </c>
      <c r="N1377" s="34">
        <f>((sales_data_1[[#This Row],[Unit_Price]]*(1-sales_data_1[[#This Row],[Discount]]))-sales_data_1[[#This Row],[Unit_Cost]])*sales_data_1[[#This Row],[Quantity_Sold]]</f>
        <v>1340.8248000000012</v>
      </c>
      <c r="O1377" s="17" t="s">
        <v>17</v>
      </c>
      <c r="P1377" s="26">
        <v>0.02</v>
      </c>
      <c r="Q1377" s="17" t="s">
        <v>18</v>
      </c>
      <c r="R1377" s="17" t="s">
        <v>19</v>
      </c>
      <c r="S1377" s="50" t="str">
        <f t="shared" si="65"/>
        <v>Charlie-West</v>
      </c>
      <c r="T1377" s="59" t="str">
        <f>IF(ROUND(sales_data_1[[#This Row],[Profit_Margin]],2)=ROUND((sales_data_1[[#This Row],[Unit_Price]]*(1-sales_data_1[[#This Row],[Discount]]) - sales_data_1[[#This Row],[Unit_Cost]])*sales_data_1[[#This Row],[Quantity_Sold]],2), "PASS", "CHECK")</f>
        <v>PASS</v>
      </c>
    </row>
    <row r="1378" spans="1:20" x14ac:dyDescent="0.35">
      <c r="A1378" s="7">
        <v>1377</v>
      </c>
      <c r="B1378" s="9">
        <v>1059</v>
      </c>
      <c r="C1378" s="14" t="str">
        <f>IFERROR(_xlfn.TEXTJOIN("-", TRUE, _xlfn.XLOOKUP(K1378, product_category_id_lookup!$A$2:$A$5, product_category_id_lookup!$B$2:$B$5), B1378), "Unknown Category")</f>
        <v>fd-1059</v>
      </c>
      <c r="D1378" s="8">
        <v>45018</v>
      </c>
      <c r="E1378" s="14">
        <f t="shared" si="63"/>
        <v>2023</v>
      </c>
      <c r="F1378" s="29" t="str">
        <f t="shared" si="64"/>
        <v>Apr</v>
      </c>
      <c r="G1378" s="17" t="s">
        <v>32</v>
      </c>
      <c r="H1378" s="17" t="s">
        <v>20</v>
      </c>
      <c r="I1378" s="24">
        <v>45616.111177425024</v>
      </c>
      <c r="J1378" s="32">
        <v>12</v>
      </c>
      <c r="K1378" s="17" t="s">
        <v>24</v>
      </c>
      <c r="L1378" s="24">
        <v>3496.15</v>
      </c>
      <c r="M1378" s="24">
        <v>3955.75</v>
      </c>
      <c r="N1378" s="34">
        <f>((sales_data_1[[#This Row],[Unit_Price]]*(1-sales_data_1[[#This Row],[Discount]]))-sales_data_1[[#This Row],[Unit_Cost]])*sales_data_1[[#This Row],[Quantity_Sold]]</f>
        <v>3616.4399999999987</v>
      </c>
      <c r="O1378" s="17" t="s">
        <v>17</v>
      </c>
      <c r="P1378" s="26">
        <v>0.04</v>
      </c>
      <c r="Q1378" s="17" t="s">
        <v>18</v>
      </c>
      <c r="R1378" s="17" t="s">
        <v>21</v>
      </c>
      <c r="S1378" s="50" t="str">
        <f t="shared" si="65"/>
        <v>Eve-West</v>
      </c>
      <c r="T1378" s="59" t="str">
        <f>IF(ROUND(sales_data_1[[#This Row],[Profit_Margin]],2)=ROUND((sales_data_1[[#This Row],[Unit_Price]]*(1-sales_data_1[[#This Row],[Discount]]) - sales_data_1[[#This Row],[Unit_Cost]])*sales_data_1[[#This Row],[Quantity_Sold]],2), "PASS", "CHECK")</f>
        <v>PASS</v>
      </c>
    </row>
    <row r="1379" spans="1:20" x14ac:dyDescent="0.35">
      <c r="A1379" s="7">
        <v>1378</v>
      </c>
      <c r="B1379" s="9">
        <v>1048</v>
      </c>
      <c r="C1379" s="14" t="str">
        <f>IFERROR(_xlfn.TEXTJOIN("-", TRUE, _xlfn.XLOOKUP(K1379, product_category_id_lookup!$A$2:$A$5, product_category_id_lookup!$B$2:$B$5), B1379), "Unknown Category")</f>
        <v>etc-1048</v>
      </c>
      <c r="D1379" s="8">
        <v>45018</v>
      </c>
      <c r="E1379" s="14">
        <f t="shared" si="63"/>
        <v>2023</v>
      </c>
      <c r="F1379" s="29" t="str">
        <f t="shared" si="64"/>
        <v>Apr</v>
      </c>
      <c r="G1379" s="17" t="s">
        <v>22</v>
      </c>
      <c r="H1379" s="17" t="s">
        <v>23</v>
      </c>
      <c r="I1379" s="24">
        <v>195527.48034457749</v>
      </c>
      <c r="J1379" s="32">
        <v>45</v>
      </c>
      <c r="K1379" s="17" t="s">
        <v>31</v>
      </c>
      <c r="L1379" s="24">
        <v>4262.21</v>
      </c>
      <c r="M1379" s="24">
        <v>4533.3100000000004</v>
      </c>
      <c r="N1379" s="34">
        <f>((sales_data_1[[#This Row],[Unit_Price]]*(1-sales_data_1[[#This Row],[Discount]]))-sales_data_1[[#This Row],[Unit_Cost]])*sales_data_1[[#This Row],[Quantity_Sold]]</f>
        <v>4039.5420000000058</v>
      </c>
      <c r="O1379" s="17" t="s">
        <v>17</v>
      </c>
      <c r="P1379" s="26">
        <v>0.04</v>
      </c>
      <c r="Q1379" s="17" t="s">
        <v>28</v>
      </c>
      <c r="R1379" s="17" t="s">
        <v>19</v>
      </c>
      <c r="S1379" s="50" t="str">
        <f t="shared" si="65"/>
        <v>David-South</v>
      </c>
      <c r="T1379" s="59" t="str">
        <f>IF(ROUND(sales_data_1[[#This Row],[Profit_Margin]],2)=ROUND((sales_data_1[[#This Row],[Unit_Price]]*(1-sales_data_1[[#This Row],[Discount]]) - sales_data_1[[#This Row],[Unit_Cost]])*sales_data_1[[#This Row],[Quantity_Sold]],2), "PASS", "CHECK")</f>
        <v>PASS</v>
      </c>
    </row>
    <row r="1380" spans="1:20" x14ac:dyDescent="0.35">
      <c r="A1380" s="7">
        <v>1379</v>
      </c>
      <c r="B1380" s="9">
        <v>1005</v>
      </c>
      <c r="C1380" s="14" t="str">
        <f>IFERROR(_xlfn.TEXTJOIN("-", TRUE, _xlfn.XLOOKUP(K1380, product_category_id_lookup!$A$2:$A$5, product_category_id_lookup!$B$2:$B$5), B1380), "Unknown Category")</f>
        <v>fnt-1005</v>
      </c>
      <c r="D1380" s="8">
        <v>45018</v>
      </c>
      <c r="E1380" s="14">
        <f t="shared" si="63"/>
        <v>2023</v>
      </c>
      <c r="F1380" s="29" t="str">
        <f t="shared" si="64"/>
        <v>Apr</v>
      </c>
      <c r="G1380" s="17" t="s">
        <v>22</v>
      </c>
      <c r="H1380" s="17" t="s">
        <v>23</v>
      </c>
      <c r="I1380" s="24">
        <v>227715.75230833492</v>
      </c>
      <c r="J1380" s="32">
        <v>46</v>
      </c>
      <c r="K1380" s="17" t="s">
        <v>16</v>
      </c>
      <c r="L1380" s="24">
        <v>4691.42</v>
      </c>
      <c r="M1380" s="24">
        <v>5026.1900000000005</v>
      </c>
      <c r="N1380" s="34">
        <f>((sales_data_1[[#This Row],[Unit_Price]]*(1-sales_data_1[[#This Row],[Discount]]))-sales_data_1[[#This Row],[Unit_Cost]])*sales_data_1[[#This Row],[Quantity_Sold]]</f>
        <v>10775.325200000023</v>
      </c>
      <c r="O1380" s="17" t="s">
        <v>17</v>
      </c>
      <c r="P1380" s="26">
        <v>0.02</v>
      </c>
      <c r="Q1380" s="17" t="s">
        <v>25</v>
      </c>
      <c r="R1380" s="17" t="s">
        <v>21</v>
      </c>
      <c r="S1380" s="50" t="str">
        <f t="shared" si="65"/>
        <v>David-South</v>
      </c>
      <c r="T1380" s="59" t="str">
        <f>IF(ROUND(sales_data_1[[#This Row],[Profit_Margin]],2)=ROUND((sales_data_1[[#This Row],[Unit_Price]]*(1-sales_data_1[[#This Row],[Discount]]) - sales_data_1[[#This Row],[Unit_Cost]])*sales_data_1[[#This Row],[Quantity_Sold]],2), "PASS", "CHECK")</f>
        <v>PASS</v>
      </c>
    </row>
    <row r="1381" spans="1:20" x14ac:dyDescent="0.35">
      <c r="A1381" s="7">
        <v>1380</v>
      </c>
      <c r="B1381" s="9">
        <v>1095</v>
      </c>
      <c r="C1381" s="14" t="str">
        <f>IFERROR(_xlfn.TEXTJOIN("-", TRUE, _xlfn.XLOOKUP(K1381, product_category_id_lookup!$A$2:$A$5, product_category_id_lookup!$B$2:$B$5), B1381), "Unknown Category")</f>
        <v>fd-1095</v>
      </c>
      <c r="D1381" s="8">
        <v>45019</v>
      </c>
      <c r="E1381" s="14">
        <f t="shared" si="63"/>
        <v>2023</v>
      </c>
      <c r="F1381" s="29" t="str">
        <f t="shared" si="64"/>
        <v>Apr</v>
      </c>
      <c r="G1381" s="17" t="s">
        <v>29</v>
      </c>
      <c r="H1381" s="17" t="s">
        <v>30</v>
      </c>
      <c r="I1381" s="24">
        <v>24518.504859589753</v>
      </c>
      <c r="J1381" s="32">
        <v>9</v>
      </c>
      <c r="K1381" s="17" t="s">
        <v>24</v>
      </c>
      <c r="L1381" s="24">
        <v>2650.95</v>
      </c>
      <c r="M1381" s="24">
        <v>2860.4199999999996</v>
      </c>
      <c r="N1381" s="34">
        <f>((sales_data_1[[#This Row],[Unit_Price]]*(1-sales_data_1[[#This Row],[Discount]]))-sales_data_1[[#This Row],[Unit_Cost]])*sales_data_1[[#This Row],[Quantity_Sold]]</f>
        <v>598.04099999999653</v>
      </c>
      <c r="O1381" s="17" t="s">
        <v>27</v>
      </c>
      <c r="P1381" s="26">
        <v>0.05</v>
      </c>
      <c r="Q1381" s="17" t="s">
        <v>18</v>
      </c>
      <c r="R1381" s="17" t="s">
        <v>21</v>
      </c>
      <c r="S1381" s="50" t="str">
        <f t="shared" si="65"/>
        <v>Charlie-East</v>
      </c>
      <c r="T1381" s="59" t="str">
        <f>IF(ROUND(sales_data_1[[#This Row],[Profit_Margin]],2)=ROUND((sales_data_1[[#This Row],[Unit_Price]]*(1-sales_data_1[[#This Row],[Discount]]) - sales_data_1[[#This Row],[Unit_Cost]])*sales_data_1[[#This Row],[Quantity_Sold]],2), "PASS", "CHECK")</f>
        <v>PASS</v>
      </c>
    </row>
    <row r="1382" spans="1:20" x14ac:dyDescent="0.35">
      <c r="A1382" s="7">
        <v>1381</v>
      </c>
      <c r="B1382" s="9">
        <v>1099</v>
      </c>
      <c r="C1382" s="14" t="str">
        <f>IFERROR(_xlfn.TEXTJOIN("-", TRUE, _xlfn.XLOOKUP(K1382, product_category_id_lookup!$A$2:$A$5, product_category_id_lookup!$B$2:$B$5), B1382), "Unknown Category")</f>
        <v>fnt-1099</v>
      </c>
      <c r="D1382" s="8">
        <v>45019</v>
      </c>
      <c r="E1382" s="14">
        <f t="shared" si="63"/>
        <v>2023</v>
      </c>
      <c r="F1382" s="29" t="str">
        <f t="shared" si="64"/>
        <v>Apr</v>
      </c>
      <c r="G1382" s="17" t="s">
        <v>33</v>
      </c>
      <c r="H1382" s="17" t="s">
        <v>15</v>
      </c>
      <c r="I1382" s="24">
        <v>142141.52301119975</v>
      </c>
      <c r="J1382" s="32">
        <v>30</v>
      </c>
      <c r="K1382" s="17" t="s">
        <v>16</v>
      </c>
      <c r="L1382" s="24">
        <v>4495.82</v>
      </c>
      <c r="M1382" s="24">
        <v>4794.0099999999993</v>
      </c>
      <c r="N1382" s="34">
        <f>((sales_data_1[[#This Row],[Unit_Price]]*(1-sales_data_1[[#This Row],[Discount]]))-sales_data_1[[#This Row],[Unit_Cost]])*sales_data_1[[#This Row],[Quantity_Sold]]</f>
        <v>7507.4969999999939</v>
      </c>
      <c r="O1382" s="17" t="s">
        <v>27</v>
      </c>
      <c r="P1382" s="26">
        <v>0.01</v>
      </c>
      <c r="Q1382" s="17" t="s">
        <v>25</v>
      </c>
      <c r="R1382" s="17" t="s">
        <v>21</v>
      </c>
      <c r="S1382" s="50" t="str">
        <f t="shared" si="65"/>
        <v>Alice-North</v>
      </c>
      <c r="T1382" s="59" t="str">
        <f>IF(ROUND(sales_data_1[[#This Row],[Profit_Margin]],2)=ROUND((sales_data_1[[#This Row],[Unit_Price]]*(1-sales_data_1[[#This Row],[Discount]]) - sales_data_1[[#This Row],[Unit_Cost]])*sales_data_1[[#This Row],[Quantity_Sold]],2), "PASS", "CHECK")</f>
        <v>PASS</v>
      </c>
    </row>
    <row r="1383" spans="1:20" x14ac:dyDescent="0.35">
      <c r="A1383" s="7">
        <v>1382</v>
      </c>
      <c r="B1383" s="9">
        <v>1051</v>
      </c>
      <c r="C1383" s="14" t="str">
        <f>IFERROR(_xlfn.TEXTJOIN("-", TRUE, _xlfn.XLOOKUP(K1383, product_category_id_lookup!$A$2:$A$5, product_category_id_lookup!$B$2:$B$5), B1383), "Unknown Category")</f>
        <v>etc-1051</v>
      </c>
      <c r="D1383" s="8">
        <v>45020</v>
      </c>
      <c r="E1383" s="14">
        <f t="shared" si="63"/>
        <v>2023</v>
      </c>
      <c r="F1383" s="29" t="str">
        <f t="shared" si="64"/>
        <v>Apr</v>
      </c>
      <c r="G1383" s="17" t="s">
        <v>14</v>
      </c>
      <c r="H1383" s="17" t="s">
        <v>30</v>
      </c>
      <c r="I1383" s="24">
        <v>43015.78562695835</v>
      </c>
      <c r="J1383" s="32">
        <v>12</v>
      </c>
      <c r="K1383" s="17" t="s">
        <v>31</v>
      </c>
      <c r="L1383" s="24">
        <v>3544.48</v>
      </c>
      <c r="M1383" s="24">
        <v>3723.66</v>
      </c>
      <c r="N1383" s="34">
        <f>((sales_data_1[[#This Row],[Unit_Price]]*(1-sales_data_1[[#This Row],[Discount]]))-sales_data_1[[#This Row],[Unit_Cost]])*sales_data_1[[#This Row],[Quantity_Sold]]</f>
        <v>362.80319999999483</v>
      </c>
      <c r="O1383" s="17" t="s">
        <v>17</v>
      </c>
      <c r="P1383" s="26">
        <v>0.04</v>
      </c>
      <c r="Q1383" s="17" t="s">
        <v>18</v>
      </c>
      <c r="R1383" s="17" t="s">
        <v>19</v>
      </c>
      <c r="S1383" s="50" t="str">
        <f t="shared" si="65"/>
        <v>Bob-East</v>
      </c>
      <c r="T1383" s="59" t="str">
        <f>IF(ROUND(sales_data_1[[#This Row],[Profit_Margin]],2)=ROUND((sales_data_1[[#This Row],[Unit_Price]]*(1-sales_data_1[[#This Row],[Discount]]) - sales_data_1[[#This Row],[Unit_Cost]])*sales_data_1[[#This Row],[Quantity_Sold]],2), "PASS", "CHECK")</f>
        <v>PASS</v>
      </c>
    </row>
    <row r="1384" spans="1:20" x14ac:dyDescent="0.35">
      <c r="A1384" s="7">
        <v>1383</v>
      </c>
      <c r="B1384" s="9">
        <v>1078</v>
      </c>
      <c r="C1384" s="14" t="str">
        <f>IFERROR(_xlfn.TEXTJOIN("-", TRUE, _xlfn.XLOOKUP(K1384, product_category_id_lookup!$A$2:$A$5, product_category_id_lookup!$B$2:$B$5), B1384), "Unknown Category")</f>
        <v>fnt-1078</v>
      </c>
      <c r="D1384" s="8">
        <v>45020</v>
      </c>
      <c r="E1384" s="14">
        <f t="shared" si="63"/>
        <v>2023</v>
      </c>
      <c r="F1384" s="29" t="str">
        <f t="shared" si="64"/>
        <v>Apr</v>
      </c>
      <c r="G1384" s="17" t="s">
        <v>22</v>
      </c>
      <c r="H1384" s="17" t="s">
        <v>30</v>
      </c>
      <c r="I1384" s="24">
        <v>100275.42305058391</v>
      </c>
      <c r="J1384" s="32">
        <v>49</v>
      </c>
      <c r="K1384" s="17" t="s">
        <v>16</v>
      </c>
      <c r="L1384" s="24">
        <v>1833.95</v>
      </c>
      <c r="M1384" s="24">
        <v>2147.14</v>
      </c>
      <c r="N1384" s="34">
        <f>((sales_data_1[[#This Row],[Unit_Price]]*(1-sales_data_1[[#This Row],[Discount]]))-sales_data_1[[#This Row],[Unit_Cost]])*sales_data_1[[#This Row],[Quantity_Sold]]</f>
        <v>10085.816999999981</v>
      </c>
      <c r="O1384" s="17" t="s">
        <v>17</v>
      </c>
      <c r="P1384" s="26">
        <v>0.05</v>
      </c>
      <c r="Q1384" s="17" t="s">
        <v>28</v>
      </c>
      <c r="R1384" s="17" t="s">
        <v>21</v>
      </c>
      <c r="S1384" s="50" t="str">
        <f t="shared" si="65"/>
        <v>David-East</v>
      </c>
      <c r="T1384" s="59" t="str">
        <f>IF(ROUND(sales_data_1[[#This Row],[Profit_Margin]],2)=ROUND((sales_data_1[[#This Row],[Unit_Price]]*(1-sales_data_1[[#This Row],[Discount]]) - sales_data_1[[#This Row],[Unit_Cost]])*sales_data_1[[#This Row],[Quantity_Sold]],2), "PASS", "CHECK")</f>
        <v>PASS</v>
      </c>
    </row>
    <row r="1385" spans="1:20" x14ac:dyDescent="0.35">
      <c r="A1385" s="7">
        <v>1384</v>
      </c>
      <c r="B1385" s="9">
        <v>1062</v>
      </c>
      <c r="C1385" s="14" t="str">
        <f>IFERROR(_xlfn.TEXTJOIN("-", TRUE, _xlfn.XLOOKUP(K1385, product_category_id_lookup!$A$2:$A$5, product_category_id_lookup!$B$2:$B$5), B1385), "Unknown Category")</f>
        <v>fd-1062</v>
      </c>
      <c r="D1385" s="8">
        <v>45021</v>
      </c>
      <c r="E1385" s="14">
        <f t="shared" si="63"/>
        <v>2023</v>
      </c>
      <c r="F1385" s="29" t="str">
        <f t="shared" si="64"/>
        <v>Apr</v>
      </c>
      <c r="G1385" s="17" t="s">
        <v>14</v>
      </c>
      <c r="H1385" s="17" t="s">
        <v>15</v>
      </c>
      <c r="I1385" s="24">
        <v>120467.54459870918</v>
      </c>
      <c r="J1385" s="32">
        <v>48</v>
      </c>
      <c r="K1385" s="17" t="s">
        <v>24</v>
      </c>
      <c r="L1385" s="24">
        <v>2487.19</v>
      </c>
      <c r="M1385" s="24">
        <v>2521.4500000000003</v>
      </c>
      <c r="N1385" s="34">
        <f>((sales_data_1[[#This Row],[Unit_Price]]*(1-sales_data_1[[#This Row],[Discount]]))-sales_data_1[[#This Row],[Unit_Cost]])*sales_data_1[[#This Row],[Quantity_Sold]]</f>
        <v>1644.4800000000105</v>
      </c>
      <c r="O1385" s="17" t="s">
        <v>27</v>
      </c>
      <c r="P1385" s="26">
        <v>0</v>
      </c>
      <c r="Q1385" s="17" t="s">
        <v>18</v>
      </c>
      <c r="R1385" s="17" t="s">
        <v>19</v>
      </c>
      <c r="S1385" s="50" t="str">
        <f t="shared" si="65"/>
        <v>Bob-North</v>
      </c>
      <c r="T1385" s="59" t="str">
        <f>IF(ROUND(sales_data_1[[#This Row],[Profit_Margin]],2)=ROUND((sales_data_1[[#This Row],[Unit_Price]]*(1-sales_data_1[[#This Row],[Discount]]) - sales_data_1[[#This Row],[Unit_Cost]])*sales_data_1[[#This Row],[Quantity_Sold]],2), "PASS", "CHECK")</f>
        <v>PASS</v>
      </c>
    </row>
    <row r="1386" spans="1:20" x14ac:dyDescent="0.35">
      <c r="A1386" s="7">
        <v>1385</v>
      </c>
      <c r="B1386" s="9">
        <v>1058</v>
      </c>
      <c r="C1386" s="14" t="str">
        <f>IFERROR(_xlfn.TEXTJOIN("-", TRUE, _xlfn.XLOOKUP(K1386, product_category_id_lookup!$A$2:$A$5, product_category_id_lookup!$B$2:$B$5), B1386), "Unknown Category")</f>
        <v>fnt-1058</v>
      </c>
      <c r="D1386" s="8">
        <v>45021</v>
      </c>
      <c r="E1386" s="14">
        <f t="shared" si="63"/>
        <v>2023</v>
      </c>
      <c r="F1386" s="29" t="str">
        <f t="shared" si="64"/>
        <v>Apr</v>
      </c>
      <c r="G1386" s="17" t="s">
        <v>33</v>
      </c>
      <c r="H1386" s="17" t="s">
        <v>15</v>
      </c>
      <c r="I1386" s="24">
        <v>34846.367725933356</v>
      </c>
      <c r="J1386" s="32">
        <v>33</v>
      </c>
      <c r="K1386" s="17" t="s">
        <v>16</v>
      </c>
      <c r="L1386" s="24">
        <v>1011.65</v>
      </c>
      <c r="M1386" s="24">
        <v>1084.28</v>
      </c>
      <c r="N1386" s="34">
        <f>((sales_data_1[[#This Row],[Unit_Price]]*(1-sales_data_1[[#This Row],[Discount]]))-sales_data_1[[#This Row],[Unit_Cost]])*sales_data_1[[#This Row],[Quantity_Sold]]</f>
        <v>1323.3528000000024</v>
      </c>
      <c r="O1386" s="17" t="s">
        <v>17</v>
      </c>
      <c r="P1386" s="26">
        <v>0.03</v>
      </c>
      <c r="Q1386" s="17" t="s">
        <v>25</v>
      </c>
      <c r="R1386" s="17" t="s">
        <v>21</v>
      </c>
      <c r="S1386" s="50" t="str">
        <f t="shared" si="65"/>
        <v>Alice-North</v>
      </c>
      <c r="T1386" s="59" t="str">
        <f>IF(ROUND(sales_data_1[[#This Row],[Profit_Margin]],2)=ROUND((sales_data_1[[#This Row],[Unit_Price]]*(1-sales_data_1[[#This Row],[Discount]]) - sales_data_1[[#This Row],[Unit_Cost]])*sales_data_1[[#This Row],[Quantity_Sold]],2), "PASS", "CHECK")</f>
        <v>PASS</v>
      </c>
    </row>
    <row r="1387" spans="1:20" x14ac:dyDescent="0.35">
      <c r="A1387" s="7">
        <v>1386</v>
      </c>
      <c r="B1387" s="9">
        <v>1087</v>
      </c>
      <c r="C1387" s="14" t="str">
        <f>IFERROR(_xlfn.TEXTJOIN("-", TRUE, _xlfn.XLOOKUP(K1387, product_category_id_lookup!$A$2:$A$5, product_category_id_lookup!$B$2:$B$5), B1387), "Unknown Category")</f>
        <v>fnt-1087</v>
      </c>
      <c r="D1387" s="8">
        <v>45021</v>
      </c>
      <c r="E1387" s="14">
        <f t="shared" si="63"/>
        <v>2023</v>
      </c>
      <c r="F1387" s="29" t="str">
        <f t="shared" si="64"/>
        <v>Apr</v>
      </c>
      <c r="G1387" s="17" t="s">
        <v>32</v>
      </c>
      <c r="H1387" s="17" t="s">
        <v>30</v>
      </c>
      <c r="I1387" s="24">
        <v>22399.146010617314</v>
      </c>
      <c r="J1387" s="32">
        <v>43</v>
      </c>
      <c r="K1387" s="17" t="s">
        <v>16</v>
      </c>
      <c r="L1387" s="24">
        <v>481</v>
      </c>
      <c r="M1387" s="24">
        <v>531.02</v>
      </c>
      <c r="N1387" s="34">
        <f>((sales_data_1[[#This Row],[Unit_Price]]*(1-sales_data_1[[#This Row],[Discount]]))-sales_data_1[[#This Row],[Unit_Cost]])*sales_data_1[[#This Row],[Quantity_Sold]]</f>
        <v>1694.1827999999985</v>
      </c>
      <c r="O1387" s="17" t="s">
        <v>27</v>
      </c>
      <c r="P1387" s="26">
        <v>0.02</v>
      </c>
      <c r="Q1387" s="17" t="s">
        <v>18</v>
      </c>
      <c r="R1387" s="17" t="s">
        <v>19</v>
      </c>
      <c r="S1387" s="50" t="str">
        <f t="shared" si="65"/>
        <v>Eve-East</v>
      </c>
      <c r="T1387" s="59" t="str">
        <f>IF(ROUND(sales_data_1[[#This Row],[Profit_Margin]],2)=ROUND((sales_data_1[[#This Row],[Unit_Price]]*(1-sales_data_1[[#This Row],[Discount]]) - sales_data_1[[#This Row],[Unit_Cost]])*sales_data_1[[#This Row],[Quantity_Sold]],2), "PASS", "CHECK")</f>
        <v>PASS</v>
      </c>
    </row>
    <row r="1388" spans="1:20" x14ac:dyDescent="0.35">
      <c r="A1388" s="7">
        <v>1387</v>
      </c>
      <c r="B1388" s="9">
        <v>1052</v>
      </c>
      <c r="C1388" s="14" t="str">
        <f>IFERROR(_xlfn.TEXTJOIN("-", TRUE, _xlfn.XLOOKUP(K1388, product_category_id_lookup!$A$2:$A$5, product_category_id_lookup!$B$2:$B$5), B1388), "Unknown Category")</f>
        <v>ctg-1052</v>
      </c>
      <c r="D1388" s="8">
        <v>45021</v>
      </c>
      <c r="E1388" s="14">
        <f t="shared" si="63"/>
        <v>2023</v>
      </c>
      <c r="F1388" s="29" t="str">
        <f t="shared" si="64"/>
        <v>Apr</v>
      </c>
      <c r="G1388" s="17" t="s">
        <v>29</v>
      </c>
      <c r="H1388" s="17" t="s">
        <v>23</v>
      </c>
      <c r="I1388" s="24">
        <v>129734.00835336292</v>
      </c>
      <c r="J1388" s="32">
        <v>26</v>
      </c>
      <c r="K1388" s="17" t="s">
        <v>26</v>
      </c>
      <c r="L1388" s="24">
        <v>4771.99</v>
      </c>
      <c r="M1388" s="24">
        <v>5079.6499999999996</v>
      </c>
      <c r="N1388" s="34">
        <f>((sales_data_1[[#This Row],[Unit_Price]]*(1-sales_data_1[[#This Row],[Discount]]))-sales_data_1[[#This Row],[Unit_Cost]])*sales_data_1[[#This Row],[Quantity_Sold]]</f>
        <v>5357.7420000000002</v>
      </c>
      <c r="O1388" s="17" t="s">
        <v>27</v>
      </c>
      <c r="P1388" s="26">
        <v>0.02</v>
      </c>
      <c r="Q1388" s="17" t="s">
        <v>28</v>
      </c>
      <c r="R1388" s="17" t="s">
        <v>19</v>
      </c>
      <c r="S1388" s="50" t="str">
        <f t="shared" si="65"/>
        <v>Charlie-South</v>
      </c>
      <c r="T1388" s="59" t="str">
        <f>IF(ROUND(sales_data_1[[#This Row],[Profit_Margin]],2)=ROUND((sales_data_1[[#This Row],[Unit_Price]]*(1-sales_data_1[[#This Row],[Discount]]) - sales_data_1[[#This Row],[Unit_Cost]])*sales_data_1[[#This Row],[Quantity_Sold]],2), "PASS", "CHECK")</f>
        <v>PASS</v>
      </c>
    </row>
    <row r="1389" spans="1:20" x14ac:dyDescent="0.35">
      <c r="A1389" s="7">
        <v>1388</v>
      </c>
      <c r="B1389" s="9">
        <v>1026</v>
      </c>
      <c r="C1389" s="14" t="str">
        <f>IFERROR(_xlfn.TEXTJOIN("-", TRUE, _xlfn.XLOOKUP(K1389, product_category_id_lookup!$A$2:$A$5, product_category_id_lookup!$B$2:$B$5), B1389), "Unknown Category")</f>
        <v>etc-1026</v>
      </c>
      <c r="D1389" s="8">
        <v>45022</v>
      </c>
      <c r="E1389" s="14">
        <f t="shared" si="63"/>
        <v>2023</v>
      </c>
      <c r="F1389" s="29" t="str">
        <f t="shared" si="64"/>
        <v>Apr</v>
      </c>
      <c r="G1389" s="17" t="s">
        <v>14</v>
      </c>
      <c r="H1389" s="17" t="s">
        <v>23</v>
      </c>
      <c r="I1389" s="24">
        <v>17146.80381964397</v>
      </c>
      <c r="J1389" s="32">
        <v>4</v>
      </c>
      <c r="K1389" s="17" t="s">
        <v>31</v>
      </c>
      <c r="L1389" s="24">
        <v>3993.39</v>
      </c>
      <c r="M1389" s="24">
        <v>4288.3</v>
      </c>
      <c r="N1389" s="34">
        <f>((sales_data_1[[#This Row],[Unit_Price]]*(1-sales_data_1[[#This Row],[Discount]]))-sales_data_1[[#This Row],[Unit_Cost]])*sales_data_1[[#This Row],[Quantity_Sold]]</f>
        <v>1179.6400000000012</v>
      </c>
      <c r="O1389" s="17" t="s">
        <v>27</v>
      </c>
      <c r="P1389" s="26">
        <v>0</v>
      </c>
      <c r="Q1389" s="17" t="s">
        <v>28</v>
      </c>
      <c r="R1389" s="17" t="s">
        <v>19</v>
      </c>
      <c r="S1389" s="50" t="str">
        <f t="shared" si="65"/>
        <v>Bob-South</v>
      </c>
      <c r="T1389" s="59" t="str">
        <f>IF(ROUND(sales_data_1[[#This Row],[Profit_Margin]],2)=ROUND((sales_data_1[[#This Row],[Unit_Price]]*(1-sales_data_1[[#This Row],[Discount]]) - sales_data_1[[#This Row],[Unit_Cost]])*sales_data_1[[#This Row],[Quantity_Sold]],2), "PASS", "CHECK")</f>
        <v>PASS</v>
      </c>
    </row>
    <row r="1390" spans="1:20" x14ac:dyDescent="0.35">
      <c r="A1390" s="7">
        <v>1389</v>
      </c>
      <c r="B1390" s="9">
        <v>1068</v>
      </c>
      <c r="C1390" s="14" t="str">
        <f>IFERROR(_xlfn.TEXTJOIN("-", TRUE, _xlfn.XLOOKUP(K1390, product_category_id_lookup!$A$2:$A$5, product_category_id_lookup!$B$2:$B$5), B1390), "Unknown Category")</f>
        <v>ctg-1068</v>
      </c>
      <c r="D1390" s="8">
        <v>45022</v>
      </c>
      <c r="E1390" s="14">
        <f t="shared" si="63"/>
        <v>2023</v>
      </c>
      <c r="F1390" s="29" t="str">
        <f t="shared" si="64"/>
        <v>Apr</v>
      </c>
      <c r="G1390" s="17" t="s">
        <v>33</v>
      </c>
      <c r="H1390" s="17" t="s">
        <v>23</v>
      </c>
      <c r="I1390" s="24">
        <v>102355.0146672519</v>
      </c>
      <c r="J1390" s="32">
        <v>31</v>
      </c>
      <c r="K1390" s="17" t="s">
        <v>26</v>
      </c>
      <c r="L1390" s="24">
        <v>3169.37</v>
      </c>
      <c r="M1390" s="24">
        <v>3304.15</v>
      </c>
      <c r="N1390" s="34">
        <f>((sales_data_1[[#This Row],[Unit_Price]]*(1-sales_data_1[[#This Row],[Discount]]))-sales_data_1[[#This Row],[Unit_Cost]])*sales_data_1[[#This Row],[Quantity_Sold]]</f>
        <v>4178.1800000000057</v>
      </c>
      <c r="O1390" s="17" t="s">
        <v>17</v>
      </c>
      <c r="P1390" s="26">
        <v>0</v>
      </c>
      <c r="Q1390" s="17" t="s">
        <v>28</v>
      </c>
      <c r="R1390" s="17" t="s">
        <v>21</v>
      </c>
      <c r="S1390" s="50" t="str">
        <f t="shared" si="65"/>
        <v>Alice-South</v>
      </c>
      <c r="T1390" s="59" t="str">
        <f>IF(ROUND(sales_data_1[[#This Row],[Profit_Margin]],2)=ROUND((sales_data_1[[#This Row],[Unit_Price]]*(1-sales_data_1[[#This Row],[Discount]]) - sales_data_1[[#This Row],[Unit_Cost]])*sales_data_1[[#This Row],[Quantity_Sold]],2), "PASS", "CHECK")</f>
        <v>PASS</v>
      </c>
    </row>
    <row r="1391" spans="1:20" x14ac:dyDescent="0.35">
      <c r="A1391" s="7">
        <v>1390</v>
      </c>
      <c r="B1391" s="9">
        <v>1086</v>
      </c>
      <c r="C1391" s="14" t="str">
        <f>IFERROR(_xlfn.TEXTJOIN("-", TRUE, _xlfn.XLOOKUP(K1391, product_category_id_lookup!$A$2:$A$5, product_category_id_lookup!$B$2:$B$5), B1391), "Unknown Category")</f>
        <v>etc-1086</v>
      </c>
      <c r="D1391" s="8">
        <v>45022</v>
      </c>
      <c r="E1391" s="14">
        <f t="shared" si="63"/>
        <v>2023</v>
      </c>
      <c r="F1391" s="29" t="str">
        <f t="shared" si="64"/>
        <v>Apr</v>
      </c>
      <c r="G1391" s="17" t="s">
        <v>29</v>
      </c>
      <c r="H1391" s="17" t="s">
        <v>20</v>
      </c>
      <c r="I1391" s="24">
        <v>125519.66865146658</v>
      </c>
      <c r="J1391" s="32">
        <v>32</v>
      </c>
      <c r="K1391" s="17" t="s">
        <v>31</v>
      </c>
      <c r="L1391" s="24">
        <v>3743.59</v>
      </c>
      <c r="M1391" s="24">
        <v>4116.38</v>
      </c>
      <c r="N1391" s="34">
        <f>((sales_data_1[[#This Row],[Unit_Price]]*(1-sales_data_1[[#This Row],[Discount]]))-sales_data_1[[#This Row],[Unit_Cost]])*sales_data_1[[#This Row],[Quantity_Sold]]</f>
        <v>5343.0719999999856</v>
      </c>
      <c r="O1391" s="17" t="s">
        <v>17</v>
      </c>
      <c r="P1391" s="26">
        <v>0.05</v>
      </c>
      <c r="Q1391" s="17" t="s">
        <v>18</v>
      </c>
      <c r="R1391" s="17" t="s">
        <v>19</v>
      </c>
      <c r="S1391" s="50" t="str">
        <f t="shared" si="65"/>
        <v>Charlie-West</v>
      </c>
      <c r="T1391" s="59" t="str">
        <f>IF(ROUND(sales_data_1[[#This Row],[Profit_Margin]],2)=ROUND((sales_data_1[[#This Row],[Unit_Price]]*(1-sales_data_1[[#This Row],[Discount]]) - sales_data_1[[#This Row],[Unit_Cost]])*sales_data_1[[#This Row],[Quantity_Sold]],2), "PASS", "CHECK")</f>
        <v>PASS</v>
      </c>
    </row>
    <row r="1392" spans="1:20" x14ac:dyDescent="0.35">
      <c r="A1392" s="7">
        <v>1391</v>
      </c>
      <c r="B1392" s="9">
        <v>1033</v>
      </c>
      <c r="C1392" s="14" t="str">
        <f>IFERROR(_xlfn.TEXTJOIN("-", TRUE, _xlfn.XLOOKUP(K1392, product_category_id_lookup!$A$2:$A$5, product_category_id_lookup!$B$2:$B$5), B1392), "Unknown Category")</f>
        <v>fd-1033</v>
      </c>
      <c r="D1392" s="8">
        <v>45023</v>
      </c>
      <c r="E1392" s="14">
        <f t="shared" si="63"/>
        <v>2023</v>
      </c>
      <c r="F1392" s="29" t="str">
        <f t="shared" si="64"/>
        <v>Apr</v>
      </c>
      <c r="G1392" s="17" t="s">
        <v>14</v>
      </c>
      <c r="H1392" s="17" t="s">
        <v>30</v>
      </c>
      <c r="I1392" s="24">
        <v>8057.6067999999987</v>
      </c>
      <c r="J1392" s="32">
        <v>4</v>
      </c>
      <c r="K1392" s="17" t="s">
        <v>24</v>
      </c>
      <c r="L1392" s="24">
        <v>2000.75</v>
      </c>
      <c r="M1392" s="24">
        <v>2426.9899999999998</v>
      </c>
      <c r="N1392" s="34">
        <f>((sales_data_1[[#This Row],[Unit_Price]]*(1-sales_data_1[[#This Row],[Discount]]))-sales_data_1[[#This Row],[Unit_Cost]])*sales_data_1[[#This Row],[Quantity_Sold]]</f>
        <v>54.606799999998657</v>
      </c>
      <c r="O1392" s="17" t="s">
        <v>17</v>
      </c>
      <c r="P1392" s="26">
        <v>0.17</v>
      </c>
      <c r="Q1392" s="17" t="s">
        <v>25</v>
      </c>
      <c r="R1392" s="17" t="s">
        <v>19</v>
      </c>
      <c r="S1392" s="50" t="str">
        <f t="shared" si="65"/>
        <v>Bob-East</v>
      </c>
      <c r="T1392" s="59" t="str">
        <f>IF(ROUND(sales_data_1[[#This Row],[Profit_Margin]],2)=ROUND((sales_data_1[[#This Row],[Unit_Price]]*(1-sales_data_1[[#This Row],[Discount]]) - sales_data_1[[#This Row],[Unit_Cost]])*sales_data_1[[#This Row],[Quantity_Sold]],2), "PASS", "CHECK")</f>
        <v>PASS</v>
      </c>
    </row>
    <row r="1393" spans="1:20" x14ac:dyDescent="0.35">
      <c r="A1393" s="7">
        <v>1392</v>
      </c>
      <c r="B1393" s="9">
        <v>1051</v>
      </c>
      <c r="C1393" s="14" t="str">
        <f>IFERROR(_xlfn.TEXTJOIN("-", TRUE, _xlfn.XLOOKUP(K1393, product_category_id_lookup!$A$2:$A$5, product_category_id_lookup!$B$2:$B$5), B1393), "Unknown Category")</f>
        <v>etc-1051</v>
      </c>
      <c r="D1393" s="8">
        <v>45023</v>
      </c>
      <c r="E1393" s="14">
        <f t="shared" si="63"/>
        <v>2023</v>
      </c>
      <c r="F1393" s="29" t="str">
        <f t="shared" si="64"/>
        <v>Apr</v>
      </c>
      <c r="G1393" s="17" t="s">
        <v>33</v>
      </c>
      <c r="H1393" s="17" t="s">
        <v>20</v>
      </c>
      <c r="I1393" s="24">
        <v>77291.58463972852</v>
      </c>
      <c r="J1393" s="32">
        <v>23</v>
      </c>
      <c r="K1393" s="17" t="s">
        <v>31</v>
      </c>
      <c r="L1393" s="24">
        <v>3325.43</v>
      </c>
      <c r="M1393" s="24">
        <v>3401.1</v>
      </c>
      <c r="N1393" s="34">
        <f>((sales_data_1[[#This Row],[Unit_Price]]*(1-sales_data_1[[#This Row],[Discount]]))-sales_data_1[[#This Row],[Unit_Cost]])*sales_data_1[[#This Row],[Quantity_Sold]]</f>
        <v>958.15700000000243</v>
      </c>
      <c r="O1393" s="17" t="s">
        <v>27</v>
      </c>
      <c r="P1393" s="26">
        <v>0.01</v>
      </c>
      <c r="Q1393" s="17" t="s">
        <v>18</v>
      </c>
      <c r="R1393" s="17" t="s">
        <v>19</v>
      </c>
      <c r="S1393" s="50" t="str">
        <f t="shared" si="65"/>
        <v>Alice-West</v>
      </c>
      <c r="T1393" s="59" t="str">
        <f>IF(ROUND(sales_data_1[[#This Row],[Profit_Margin]],2)=ROUND((sales_data_1[[#This Row],[Unit_Price]]*(1-sales_data_1[[#This Row],[Discount]]) - sales_data_1[[#This Row],[Unit_Cost]])*sales_data_1[[#This Row],[Quantity_Sold]],2), "PASS", "CHECK")</f>
        <v>PASS</v>
      </c>
    </row>
    <row r="1394" spans="1:20" x14ac:dyDescent="0.35">
      <c r="A1394" s="7">
        <v>1393</v>
      </c>
      <c r="B1394" s="9">
        <v>1098</v>
      </c>
      <c r="C1394" s="14" t="str">
        <f>IFERROR(_xlfn.TEXTJOIN("-", TRUE, _xlfn.XLOOKUP(K1394, product_category_id_lookup!$A$2:$A$5, product_category_id_lookup!$B$2:$B$5), B1394), "Unknown Category")</f>
        <v>etc-1098</v>
      </c>
      <c r="D1394" s="8">
        <v>45024</v>
      </c>
      <c r="E1394" s="14">
        <f t="shared" si="63"/>
        <v>2023</v>
      </c>
      <c r="F1394" s="29" t="str">
        <f t="shared" si="64"/>
        <v>Apr</v>
      </c>
      <c r="G1394" s="17" t="s">
        <v>32</v>
      </c>
      <c r="H1394" s="17" t="s">
        <v>15</v>
      </c>
      <c r="I1394" s="24">
        <v>15448.879512571366</v>
      </c>
      <c r="J1394" s="32">
        <v>5</v>
      </c>
      <c r="K1394" s="17" t="s">
        <v>31</v>
      </c>
      <c r="L1394" s="24">
        <v>2947.22</v>
      </c>
      <c r="M1394" s="24">
        <v>3145.27</v>
      </c>
      <c r="N1394" s="34">
        <f>((sales_data_1[[#This Row],[Unit_Price]]*(1-sales_data_1[[#This Row],[Discount]]))-sales_data_1[[#This Row],[Unit_Cost]])*sales_data_1[[#This Row],[Quantity_Sold]]</f>
        <v>675.72300000000041</v>
      </c>
      <c r="O1394" s="17" t="s">
        <v>27</v>
      </c>
      <c r="P1394" s="26">
        <v>0.02</v>
      </c>
      <c r="Q1394" s="17" t="s">
        <v>28</v>
      </c>
      <c r="R1394" s="17" t="s">
        <v>21</v>
      </c>
      <c r="S1394" s="50" t="str">
        <f t="shared" si="65"/>
        <v>Eve-North</v>
      </c>
      <c r="T1394" s="59" t="str">
        <f>IF(ROUND(sales_data_1[[#This Row],[Profit_Margin]],2)=ROUND((sales_data_1[[#This Row],[Unit_Price]]*(1-sales_data_1[[#This Row],[Discount]]) - sales_data_1[[#This Row],[Unit_Cost]])*sales_data_1[[#This Row],[Quantity_Sold]],2), "PASS", "CHECK")</f>
        <v>PASS</v>
      </c>
    </row>
    <row r="1395" spans="1:20" x14ac:dyDescent="0.35">
      <c r="A1395" s="7">
        <v>1394</v>
      </c>
      <c r="B1395" s="9">
        <v>1009</v>
      </c>
      <c r="C1395" s="14" t="str">
        <f>IFERROR(_xlfn.TEXTJOIN("-", TRUE, _xlfn.XLOOKUP(K1395, product_category_id_lookup!$A$2:$A$5, product_category_id_lookup!$B$2:$B$5), B1395), "Unknown Category")</f>
        <v>ctg-1009</v>
      </c>
      <c r="D1395" s="8">
        <v>45024</v>
      </c>
      <c r="E1395" s="14">
        <f t="shared" si="63"/>
        <v>2023</v>
      </c>
      <c r="F1395" s="29" t="str">
        <f t="shared" si="64"/>
        <v>Apr</v>
      </c>
      <c r="G1395" s="17" t="s">
        <v>29</v>
      </c>
      <c r="H1395" s="17" t="s">
        <v>23</v>
      </c>
      <c r="I1395" s="24">
        <v>104612.91283250143</v>
      </c>
      <c r="J1395" s="32">
        <v>32</v>
      </c>
      <c r="K1395" s="17" t="s">
        <v>26</v>
      </c>
      <c r="L1395" s="24">
        <v>3219.88</v>
      </c>
      <c r="M1395" s="24">
        <v>3384.5</v>
      </c>
      <c r="N1395" s="34">
        <f>((sales_data_1[[#This Row],[Unit_Price]]*(1-sales_data_1[[#This Row],[Discount]]))-sales_data_1[[#This Row],[Unit_Cost]])*sales_data_1[[#This Row],[Quantity_Sold]]</f>
        <v>2018.7199999999866</v>
      </c>
      <c r="O1395" s="17" t="s">
        <v>17</v>
      </c>
      <c r="P1395" s="26">
        <v>0.03</v>
      </c>
      <c r="Q1395" s="17" t="s">
        <v>18</v>
      </c>
      <c r="R1395" s="17" t="s">
        <v>21</v>
      </c>
      <c r="S1395" s="50" t="str">
        <f t="shared" si="65"/>
        <v>Charlie-South</v>
      </c>
      <c r="T1395" s="59" t="str">
        <f>IF(ROUND(sales_data_1[[#This Row],[Profit_Margin]],2)=ROUND((sales_data_1[[#This Row],[Unit_Price]]*(1-sales_data_1[[#This Row],[Discount]]) - sales_data_1[[#This Row],[Unit_Cost]])*sales_data_1[[#This Row],[Quantity_Sold]],2), "PASS", "CHECK")</f>
        <v>PASS</v>
      </c>
    </row>
    <row r="1396" spans="1:20" x14ac:dyDescent="0.35">
      <c r="A1396" s="7">
        <v>1395</v>
      </c>
      <c r="B1396" s="9">
        <v>1007</v>
      </c>
      <c r="C1396" s="14" t="str">
        <f>IFERROR(_xlfn.TEXTJOIN("-", TRUE, _xlfn.XLOOKUP(K1396, product_category_id_lookup!$A$2:$A$5, product_category_id_lookup!$B$2:$B$5), B1396), "Unknown Category")</f>
        <v>ctg-1007</v>
      </c>
      <c r="D1396" s="8">
        <v>45024</v>
      </c>
      <c r="E1396" s="14">
        <f t="shared" si="63"/>
        <v>2023</v>
      </c>
      <c r="F1396" s="29" t="str">
        <f t="shared" si="64"/>
        <v>Apr</v>
      </c>
      <c r="G1396" s="17" t="s">
        <v>29</v>
      </c>
      <c r="H1396" s="17" t="s">
        <v>30</v>
      </c>
      <c r="I1396" s="24">
        <v>50744.489104141801</v>
      </c>
      <c r="J1396" s="32">
        <v>13</v>
      </c>
      <c r="K1396" s="17" t="s">
        <v>26</v>
      </c>
      <c r="L1396" s="24">
        <v>3597.2</v>
      </c>
      <c r="M1396" s="24">
        <v>4071.8199999999997</v>
      </c>
      <c r="N1396" s="34">
        <f>((sales_data_1[[#This Row],[Unit_Price]]*(1-sales_data_1[[#This Row],[Discount]]))-sales_data_1[[#This Row],[Unit_Cost]])*sales_data_1[[#This Row],[Quantity_Sold]]</f>
        <v>4052.7135999999973</v>
      </c>
      <c r="O1396" s="17" t="s">
        <v>17</v>
      </c>
      <c r="P1396" s="26">
        <v>0.04</v>
      </c>
      <c r="Q1396" s="17" t="s">
        <v>25</v>
      </c>
      <c r="R1396" s="17" t="s">
        <v>19</v>
      </c>
      <c r="S1396" s="50" t="str">
        <f t="shared" si="65"/>
        <v>Charlie-East</v>
      </c>
      <c r="T1396" s="59" t="str">
        <f>IF(ROUND(sales_data_1[[#This Row],[Profit_Margin]],2)=ROUND((sales_data_1[[#This Row],[Unit_Price]]*(1-sales_data_1[[#This Row],[Discount]]) - sales_data_1[[#This Row],[Unit_Cost]])*sales_data_1[[#This Row],[Quantity_Sold]],2), "PASS", "CHECK")</f>
        <v>PASS</v>
      </c>
    </row>
    <row r="1397" spans="1:20" x14ac:dyDescent="0.35">
      <c r="A1397" s="7">
        <v>1396</v>
      </c>
      <c r="B1397" s="9">
        <v>1061</v>
      </c>
      <c r="C1397" s="14" t="str">
        <f>IFERROR(_xlfn.TEXTJOIN("-", TRUE, _xlfn.XLOOKUP(K1397, product_category_id_lookup!$A$2:$A$5, product_category_id_lookup!$B$2:$B$5), B1397), "Unknown Category")</f>
        <v>ctg-1061</v>
      </c>
      <c r="D1397" s="8">
        <v>45024</v>
      </c>
      <c r="E1397" s="14">
        <f t="shared" si="63"/>
        <v>2023</v>
      </c>
      <c r="F1397" s="29" t="str">
        <f t="shared" si="64"/>
        <v>Apr</v>
      </c>
      <c r="G1397" s="17" t="s">
        <v>29</v>
      </c>
      <c r="H1397" s="17" t="s">
        <v>30</v>
      </c>
      <c r="I1397" s="24">
        <v>39733.828000000001</v>
      </c>
      <c r="J1397" s="32">
        <v>29</v>
      </c>
      <c r="K1397" s="17" t="s">
        <v>26</v>
      </c>
      <c r="L1397" s="24">
        <v>1221.74</v>
      </c>
      <c r="M1397" s="24">
        <v>1611.92</v>
      </c>
      <c r="N1397" s="34">
        <f>((sales_data_1[[#This Row],[Unit_Price]]*(1-sales_data_1[[#This Row],[Discount]]))-sales_data_1[[#This Row],[Unit_Cost]])*sales_data_1[[#This Row],[Quantity_Sold]]</f>
        <v>4303.3680000000013</v>
      </c>
      <c r="O1397" s="17" t="s">
        <v>27</v>
      </c>
      <c r="P1397" s="26">
        <v>0.15</v>
      </c>
      <c r="Q1397" s="17" t="s">
        <v>18</v>
      </c>
      <c r="R1397" s="17" t="s">
        <v>21</v>
      </c>
      <c r="S1397" s="50" t="str">
        <f t="shared" si="65"/>
        <v>Charlie-East</v>
      </c>
      <c r="T1397" s="59" t="str">
        <f>IF(ROUND(sales_data_1[[#This Row],[Profit_Margin]],2)=ROUND((sales_data_1[[#This Row],[Unit_Price]]*(1-sales_data_1[[#This Row],[Discount]]) - sales_data_1[[#This Row],[Unit_Cost]])*sales_data_1[[#This Row],[Quantity_Sold]],2), "PASS", "CHECK")</f>
        <v>PASS</v>
      </c>
    </row>
    <row r="1398" spans="1:20" x14ac:dyDescent="0.35">
      <c r="A1398" s="7">
        <v>1397</v>
      </c>
      <c r="B1398" s="9">
        <v>1096</v>
      </c>
      <c r="C1398" s="14" t="str">
        <f>IFERROR(_xlfn.TEXTJOIN("-", TRUE, _xlfn.XLOOKUP(K1398, product_category_id_lookup!$A$2:$A$5, product_category_id_lookup!$B$2:$B$5), B1398), "Unknown Category")</f>
        <v>ctg-1096</v>
      </c>
      <c r="D1398" s="8">
        <v>45024</v>
      </c>
      <c r="E1398" s="14">
        <f t="shared" si="63"/>
        <v>2023</v>
      </c>
      <c r="F1398" s="29" t="str">
        <f t="shared" si="64"/>
        <v>Apr</v>
      </c>
      <c r="G1398" s="17" t="s">
        <v>29</v>
      </c>
      <c r="H1398" s="17" t="s">
        <v>23</v>
      </c>
      <c r="I1398" s="24">
        <v>20614.04513605154</v>
      </c>
      <c r="J1398" s="32">
        <v>45</v>
      </c>
      <c r="K1398" s="17" t="s">
        <v>26</v>
      </c>
      <c r="L1398" s="24">
        <v>357.92</v>
      </c>
      <c r="M1398" s="24">
        <v>461.3</v>
      </c>
      <c r="N1398" s="34">
        <f>((sales_data_1[[#This Row],[Unit_Price]]*(1-sales_data_1[[#This Row],[Discount]]))-sales_data_1[[#This Row],[Unit_Cost]])*sales_data_1[[#This Row],[Quantity_Sold]]</f>
        <v>4444.5149999999994</v>
      </c>
      <c r="O1398" s="17" t="s">
        <v>17</v>
      </c>
      <c r="P1398" s="26">
        <v>0.01</v>
      </c>
      <c r="Q1398" s="17" t="s">
        <v>18</v>
      </c>
      <c r="R1398" s="17" t="s">
        <v>19</v>
      </c>
      <c r="S1398" s="50" t="str">
        <f t="shared" si="65"/>
        <v>Charlie-South</v>
      </c>
      <c r="T1398" s="59" t="str">
        <f>IF(ROUND(sales_data_1[[#This Row],[Profit_Margin]],2)=ROUND((sales_data_1[[#This Row],[Unit_Price]]*(1-sales_data_1[[#This Row],[Discount]]) - sales_data_1[[#This Row],[Unit_Cost]])*sales_data_1[[#This Row],[Quantity_Sold]],2), "PASS", "CHECK")</f>
        <v>PASS</v>
      </c>
    </row>
    <row r="1399" spans="1:20" x14ac:dyDescent="0.35">
      <c r="A1399" s="7">
        <v>1398</v>
      </c>
      <c r="B1399" s="9">
        <v>1059</v>
      </c>
      <c r="C1399" s="14" t="str">
        <f>IFERROR(_xlfn.TEXTJOIN("-", TRUE, _xlfn.XLOOKUP(K1399, product_category_id_lookup!$A$2:$A$5, product_category_id_lookup!$B$2:$B$5), B1399), "Unknown Category")</f>
        <v>etc-1059</v>
      </c>
      <c r="D1399" s="8">
        <v>45025</v>
      </c>
      <c r="E1399" s="14">
        <f t="shared" si="63"/>
        <v>2023</v>
      </c>
      <c r="F1399" s="29" t="str">
        <f t="shared" si="64"/>
        <v>Apr</v>
      </c>
      <c r="G1399" s="17" t="s">
        <v>29</v>
      </c>
      <c r="H1399" s="17" t="s">
        <v>23</v>
      </c>
      <c r="I1399" s="24">
        <v>465.46960000000001</v>
      </c>
      <c r="J1399" s="32">
        <v>1</v>
      </c>
      <c r="K1399" s="17" t="s">
        <v>31</v>
      </c>
      <c r="L1399" s="24">
        <v>332.62</v>
      </c>
      <c r="M1399" s="24">
        <v>612.46</v>
      </c>
      <c r="N1399" s="34">
        <f>((sales_data_1[[#This Row],[Unit_Price]]*(1-sales_data_1[[#This Row],[Discount]]))-sales_data_1[[#This Row],[Unit_Cost]])*sales_data_1[[#This Row],[Quantity_Sold]]</f>
        <v>132.84960000000001</v>
      </c>
      <c r="O1399" s="17" t="s">
        <v>17</v>
      </c>
      <c r="P1399" s="26">
        <v>0.24</v>
      </c>
      <c r="Q1399" s="17" t="s">
        <v>18</v>
      </c>
      <c r="R1399" s="17" t="s">
        <v>21</v>
      </c>
      <c r="S1399" s="50" t="str">
        <f t="shared" si="65"/>
        <v>Charlie-South</v>
      </c>
      <c r="T1399" s="59" t="str">
        <f>IF(ROUND(sales_data_1[[#This Row],[Profit_Margin]],2)=ROUND((sales_data_1[[#This Row],[Unit_Price]]*(1-sales_data_1[[#This Row],[Discount]]) - sales_data_1[[#This Row],[Unit_Cost]])*sales_data_1[[#This Row],[Quantity_Sold]],2), "PASS", "CHECK")</f>
        <v>PASS</v>
      </c>
    </row>
    <row r="1400" spans="1:20" x14ac:dyDescent="0.35">
      <c r="A1400" s="7">
        <v>1399</v>
      </c>
      <c r="B1400" s="9">
        <v>1039</v>
      </c>
      <c r="C1400" s="14" t="str">
        <f>IFERROR(_xlfn.TEXTJOIN("-", TRUE, _xlfn.XLOOKUP(K1400, product_category_id_lookup!$A$2:$A$5, product_category_id_lookup!$B$2:$B$5), B1400), "Unknown Category")</f>
        <v>fd-1039</v>
      </c>
      <c r="D1400" s="8">
        <v>45025</v>
      </c>
      <c r="E1400" s="14">
        <f t="shared" si="63"/>
        <v>2023</v>
      </c>
      <c r="F1400" s="29" t="str">
        <f t="shared" si="64"/>
        <v>Apr</v>
      </c>
      <c r="G1400" s="17" t="s">
        <v>33</v>
      </c>
      <c r="H1400" s="17" t="s">
        <v>15</v>
      </c>
      <c r="I1400" s="24">
        <v>1358.3279348277463</v>
      </c>
      <c r="J1400" s="32">
        <v>3</v>
      </c>
      <c r="K1400" s="17" t="s">
        <v>24</v>
      </c>
      <c r="L1400" s="24">
        <v>391.19</v>
      </c>
      <c r="M1400" s="24">
        <v>471.75</v>
      </c>
      <c r="N1400" s="34">
        <f>((sales_data_1[[#This Row],[Unit_Price]]*(1-sales_data_1[[#This Row],[Discount]]))-sales_data_1[[#This Row],[Unit_Cost]])*sales_data_1[[#This Row],[Quantity_Sold]]</f>
        <v>185.07</v>
      </c>
      <c r="O1400" s="17" t="s">
        <v>17</v>
      </c>
      <c r="P1400" s="26">
        <v>0.04</v>
      </c>
      <c r="Q1400" s="17" t="s">
        <v>18</v>
      </c>
      <c r="R1400" s="17" t="s">
        <v>19</v>
      </c>
      <c r="S1400" s="50" t="str">
        <f t="shared" si="65"/>
        <v>Alice-North</v>
      </c>
      <c r="T1400" s="59" t="str">
        <f>IF(ROUND(sales_data_1[[#This Row],[Profit_Margin]],2)=ROUND((sales_data_1[[#This Row],[Unit_Price]]*(1-sales_data_1[[#This Row],[Discount]]) - sales_data_1[[#This Row],[Unit_Cost]])*sales_data_1[[#This Row],[Quantity_Sold]],2), "PASS", "CHECK")</f>
        <v>PASS</v>
      </c>
    </row>
    <row r="1401" spans="1:20" x14ac:dyDescent="0.35">
      <c r="A1401" s="7">
        <v>1400</v>
      </c>
      <c r="B1401" s="9">
        <v>1002</v>
      </c>
      <c r="C1401" s="14" t="str">
        <f>IFERROR(_xlfn.TEXTJOIN("-", TRUE, _xlfn.XLOOKUP(K1401, product_category_id_lookup!$A$2:$A$5, product_category_id_lookup!$B$2:$B$5), B1401), "Unknown Category")</f>
        <v>fd-1002</v>
      </c>
      <c r="D1401" s="8">
        <v>45027</v>
      </c>
      <c r="E1401" s="14">
        <f t="shared" si="63"/>
        <v>2023</v>
      </c>
      <c r="F1401" s="29" t="str">
        <f t="shared" si="64"/>
        <v>Apr</v>
      </c>
      <c r="G1401" s="17" t="s">
        <v>14</v>
      </c>
      <c r="H1401" s="17" t="s">
        <v>15</v>
      </c>
      <c r="I1401" s="24">
        <v>20001.386440636154</v>
      </c>
      <c r="J1401" s="32">
        <v>21</v>
      </c>
      <c r="K1401" s="17" t="s">
        <v>24</v>
      </c>
      <c r="L1401" s="24">
        <v>914.22</v>
      </c>
      <c r="M1401" s="24">
        <v>971.57</v>
      </c>
      <c r="N1401" s="34">
        <f>((sales_data_1[[#This Row],[Unit_Price]]*(1-sales_data_1[[#This Row],[Discount]]))-sales_data_1[[#This Row],[Unit_Cost]])*sales_data_1[[#This Row],[Quantity_Sold]]</f>
        <v>796.29059999999936</v>
      </c>
      <c r="O1401" s="17" t="s">
        <v>17</v>
      </c>
      <c r="P1401" s="26">
        <v>0.02</v>
      </c>
      <c r="Q1401" s="17" t="s">
        <v>18</v>
      </c>
      <c r="R1401" s="17" t="s">
        <v>19</v>
      </c>
      <c r="S1401" s="50" t="str">
        <f t="shared" si="65"/>
        <v>Bob-North</v>
      </c>
      <c r="T1401" s="59" t="str">
        <f>IF(ROUND(sales_data_1[[#This Row],[Profit_Margin]],2)=ROUND((sales_data_1[[#This Row],[Unit_Price]]*(1-sales_data_1[[#This Row],[Discount]]) - sales_data_1[[#This Row],[Unit_Cost]])*sales_data_1[[#This Row],[Quantity_Sold]],2), "PASS", "CHECK")</f>
        <v>PASS</v>
      </c>
    </row>
    <row r="1402" spans="1:20" x14ac:dyDescent="0.35">
      <c r="A1402" s="7">
        <v>1401</v>
      </c>
      <c r="B1402" s="9">
        <v>1083</v>
      </c>
      <c r="C1402" s="14" t="str">
        <f>IFERROR(_xlfn.TEXTJOIN("-", TRUE, _xlfn.XLOOKUP(K1402, product_category_id_lookup!$A$2:$A$5, product_category_id_lookup!$B$2:$B$5), B1402), "Unknown Category")</f>
        <v>fnt-1083</v>
      </c>
      <c r="D1402" s="8">
        <v>45027</v>
      </c>
      <c r="E1402" s="14">
        <f t="shared" si="63"/>
        <v>2023</v>
      </c>
      <c r="F1402" s="29" t="str">
        <f t="shared" si="64"/>
        <v>Apr</v>
      </c>
      <c r="G1402" s="17" t="s">
        <v>14</v>
      </c>
      <c r="H1402" s="17" t="s">
        <v>20</v>
      </c>
      <c r="I1402" s="24">
        <v>72419.178130563218</v>
      </c>
      <c r="J1402" s="32">
        <v>29</v>
      </c>
      <c r="K1402" s="17" t="s">
        <v>16</v>
      </c>
      <c r="L1402" s="24">
        <v>2408.81</v>
      </c>
      <c r="M1402" s="24">
        <v>2624.09</v>
      </c>
      <c r="N1402" s="34">
        <f>((sales_data_1[[#This Row],[Unit_Price]]*(1-sales_data_1[[#This Row],[Discount]]))-sales_data_1[[#This Row],[Unit_Cost]])*sales_data_1[[#This Row],[Quantity_Sold]]</f>
        <v>2438.1894999999977</v>
      </c>
      <c r="O1402" s="17" t="s">
        <v>17</v>
      </c>
      <c r="P1402" s="26">
        <v>0.05</v>
      </c>
      <c r="Q1402" s="17" t="s">
        <v>18</v>
      </c>
      <c r="R1402" s="17" t="s">
        <v>19</v>
      </c>
      <c r="S1402" s="50" t="str">
        <f t="shared" si="65"/>
        <v>Bob-West</v>
      </c>
      <c r="T1402" s="59" t="str">
        <f>IF(ROUND(sales_data_1[[#This Row],[Profit_Margin]],2)=ROUND((sales_data_1[[#This Row],[Unit_Price]]*(1-sales_data_1[[#This Row],[Discount]]) - sales_data_1[[#This Row],[Unit_Cost]])*sales_data_1[[#This Row],[Quantity_Sold]],2), "PASS", "CHECK")</f>
        <v>PASS</v>
      </c>
    </row>
    <row r="1403" spans="1:20" x14ac:dyDescent="0.35">
      <c r="A1403" s="7">
        <v>1402</v>
      </c>
      <c r="B1403" s="9">
        <v>1067</v>
      </c>
      <c r="C1403" s="14" t="str">
        <f>IFERROR(_xlfn.TEXTJOIN("-", TRUE, _xlfn.XLOOKUP(K1403, product_category_id_lookup!$A$2:$A$5, product_category_id_lookup!$B$2:$B$5), B1403), "Unknown Category")</f>
        <v>fd-1067</v>
      </c>
      <c r="D1403" s="8">
        <v>45027</v>
      </c>
      <c r="E1403" s="14">
        <f t="shared" si="63"/>
        <v>2023</v>
      </c>
      <c r="F1403" s="29" t="str">
        <f t="shared" si="64"/>
        <v>Apr</v>
      </c>
      <c r="G1403" s="17" t="s">
        <v>14</v>
      </c>
      <c r="H1403" s="17" t="s">
        <v>30</v>
      </c>
      <c r="I1403" s="24">
        <v>53403.785341324037</v>
      </c>
      <c r="J1403" s="32">
        <v>17</v>
      </c>
      <c r="K1403" s="17" t="s">
        <v>24</v>
      </c>
      <c r="L1403" s="24">
        <v>2831.58</v>
      </c>
      <c r="M1403" s="24">
        <v>3186.15</v>
      </c>
      <c r="N1403" s="34">
        <f>((sales_data_1[[#This Row],[Unit_Price]]*(1-sales_data_1[[#This Row],[Discount]]))-sales_data_1[[#This Row],[Unit_Cost]])*sales_data_1[[#This Row],[Quantity_Sold]]</f>
        <v>5486.0445000000036</v>
      </c>
      <c r="O1403" s="17" t="s">
        <v>27</v>
      </c>
      <c r="P1403" s="26">
        <v>0.01</v>
      </c>
      <c r="Q1403" s="17" t="s">
        <v>25</v>
      </c>
      <c r="R1403" s="17" t="s">
        <v>21</v>
      </c>
      <c r="S1403" s="50" t="str">
        <f t="shared" si="65"/>
        <v>Bob-East</v>
      </c>
      <c r="T1403" s="59" t="str">
        <f>IF(ROUND(sales_data_1[[#This Row],[Profit_Margin]],2)=ROUND((sales_data_1[[#This Row],[Unit_Price]]*(1-sales_data_1[[#This Row],[Discount]]) - sales_data_1[[#This Row],[Unit_Cost]])*sales_data_1[[#This Row],[Quantity_Sold]],2), "PASS", "CHECK")</f>
        <v>PASS</v>
      </c>
    </row>
    <row r="1404" spans="1:20" x14ac:dyDescent="0.35">
      <c r="A1404" s="7">
        <v>1403</v>
      </c>
      <c r="B1404" s="9">
        <v>1014</v>
      </c>
      <c r="C1404" s="14" t="str">
        <f>IFERROR(_xlfn.TEXTJOIN("-", TRUE, _xlfn.XLOOKUP(K1404, product_category_id_lookup!$A$2:$A$5, product_category_id_lookup!$B$2:$B$5), B1404), "Unknown Category")</f>
        <v>fd-1014</v>
      </c>
      <c r="D1404" s="8">
        <v>45027</v>
      </c>
      <c r="E1404" s="14">
        <f t="shared" si="63"/>
        <v>2023</v>
      </c>
      <c r="F1404" s="29" t="str">
        <f t="shared" si="64"/>
        <v>Apr</v>
      </c>
      <c r="G1404" s="17" t="s">
        <v>33</v>
      </c>
      <c r="H1404" s="17" t="s">
        <v>23</v>
      </c>
      <c r="I1404" s="24">
        <v>95065.74</v>
      </c>
      <c r="J1404" s="32">
        <v>38</v>
      </c>
      <c r="K1404" s="17" t="s">
        <v>24</v>
      </c>
      <c r="L1404" s="24">
        <v>2091.21</v>
      </c>
      <c r="M1404" s="24">
        <v>2527</v>
      </c>
      <c r="N1404" s="34">
        <f>((sales_data_1[[#This Row],[Unit_Price]]*(1-sales_data_1[[#This Row],[Discount]]))-sales_data_1[[#This Row],[Unit_Cost]])*sales_data_1[[#This Row],[Quantity_Sold]]</f>
        <v>15599.759999999998</v>
      </c>
      <c r="O1404" s="17" t="s">
        <v>17</v>
      </c>
      <c r="P1404" s="26">
        <v>0.01</v>
      </c>
      <c r="Q1404" s="17" t="s">
        <v>28</v>
      </c>
      <c r="R1404" s="17" t="s">
        <v>19</v>
      </c>
      <c r="S1404" s="50" t="str">
        <f t="shared" si="65"/>
        <v>Alice-South</v>
      </c>
      <c r="T1404" s="59" t="str">
        <f>IF(ROUND(sales_data_1[[#This Row],[Profit_Margin]],2)=ROUND((sales_data_1[[#This Row],[Unit_Price]]*(1-sales_data_1[[#This Row],[Discount]]) - sales_data_1[[#This Row],[Unit_Cost]])*sales_data_1[[#This Row],[Quantity_Sold]],2), "PASS", "CHECK")</f>
        <v>PASS</v>
      </c>
    </row>
    <row r="1405" spans="1:20" x14ac:dyDescent="0.35">
      <c r="A1405" s="7">
        <v>1404</v>
      </c>
      <c r="B1405" s="9">
        <v>1081</v>
      </c>
      <c r="C1405" s="14" t="str">
        <f>IFERROR(_xlfn.TEXTJOIN("-", TRUE, _xlfn.XLOOKUP(K1405, product_category_id_lookup!$A$2:$A$5, product_category_id_lookup!$B$2:$B$5), B1405), "Unknown Category")</f>
        <v>fd-1081</v>
      </c>
      <c r="D1405" s="8">
        <v>45028</v>
      </c>
      <c r="E1405" s="14">
        <f t="shared" si="63"/>
        <v>2023</v>
      </c>
      <c r="F1405" s="29" t="str">
        <f t="shared" si="64"/>
        <v>Apr</v>
      </c>
      <c r="G1405" s="17" t="s">
        <v>14</v>
      </c>
      <c r="H1405" s="17" t="s">
        <v>23</v>
      </c>
      <c r="I1405" s="24">
        <v>46758.136392512344</v>
      </c>
      <c r="J1405" s="32">
        <v>19</v>
      </c>
      <c r="K1405" s="17" t="s">
        <v>24</v>
      </c>
      <c r="L1405" s="24">
        <v>2443.69</v>
      </c>
      <c r="M1405" s="24">
        <v>2462.34</v>
      </c>
      <c r="N1405" s="34">
        <f>((sales_data_1[[#This Row],[Unit_Price]]*(1-sales_data_1[[#This Row],[Discount]]))-sales_data_1[[#This Row],[Unit_Cost]])*sales_data_1[[#This Row],[Quantity_Sold]]</f>
        <v>354.35000000000173</v>
      </c>
      <c r="O1405" s="17" t="s">
        <v>27</v>
      </c>
      <c r="P1405" s="26">
        <v>0</v>
      </c>
      <c r="Q1405" s="17" t="s">
        <v>25</v>
      </c>
      <c r="R1405" s="17" t="s">
        <v>21</v>
      </c>
      <c r="S1405" s="50" t="str">
        <f t="shared" si="65"/>
        <v>Bob-South</v>
      </c>
      <c r="T1405" s="59" t="str">
        <f>IF(ROUND(sales_data_1[[#This Row],[Profit_Margin]],2)=ROUND((sales_data_1[[#This Row],[Unit_Price]]*(1-sales_data_1[[#This Row],[Discount]]) - sales_data_1[[#This Row],[Unit_Cost]])*sales_data_1[[#This Row],[Quantity_Sold]],2), "PASS", "CHECK")</f>
        <v>PASS</v>
      </c>
    </row>
    <row r="1406" spans="1:20" x14ac:dyDescent="0.35">
      <c r="A1406" s="7">
        <v>1405</v>
      </c>
      <c r="B1406" s="9">
        <v>1063</v>
      </c>
      <c r="C1406" s="14" t="str">
        <f>IFERROR(_xlfn.TEXTJOIN("-", TRUE, _xlfn.XLOOKUP(K1406, product_category_id_lookup!$A$2:$A$5, product_category_id_lookup!$B$2:$B$5), B1406), "Unknown Category")</f>
        <v>etc-1063</v>
      </c>
      <c r="D1406" s="8">
        <v>45028</v>
      </c>
      <c r="E1406" s="14">
        <f t="shared" si="63"/>
        <v>2023</v>
      </c>
      <c r="F1406" s="29" t="str">
        <f t="shared" si="64"/>
        <v>Apr</v>
      </c>
      <c r="G1406" s="17" t="s">
        <v>29</v>
      </c>
      <c r="H1406" s="17" t="s">
        <v>15</v>
      </c>
      <c r="I1406" s="24">
        <v>94007.515096406481</v>
      </c>
      <c r="J1406" s="32">
        <v>40</v>
      </c>
      <c r="K1406" s="17" t="s">
        <v>31</v>
      </c>
      <c r="L1406" s="24">
        <v>2101.3200000000002</v>
      </c>
      <c r="M1406" s="24">
        <v>2440.63</v>
      </c>
      <c r="N1406" s="34">
        <f>((sales_data_1[[#This Row],[Unit_Price]]*(1-sales_data_1[[#This Row],[Discount]]))-sales_data_1[[#This Row],[Unit_Cost]])*sales_data_1[[#This Row],[Quantity_Sold]]</f>
        <v>9667.3919999999998</v>
      </c>
      <c r="O1406" s="17" t="s">
        <v>27</v>
      </c>
      <c r="P1406" s="26">
        <v>0.04</v>
      </c>
      <c r="Q1406" s="17" t="s">
        <v>25</v>
      </c>
      <c r="R1406" s="17" t="s">
        <v>21</v>
      </c>
      <c r="S1406" s="50" t="str">
        <f t="shared" si="65"/>
        <v>Charlie-North</v>
      </c>
      <c r="T1406" s="59" t="str">
        <f>IF(ROUND(sales_data_1[[#This Row],[Profit_Margin]],2)=ROUND((sales_data_1[[#This Row],[Unit_Price]]*(1-sales_data_1[[#This Row],[Discount]]) - sales_data_1[[#This Row],[Unit_Cost]])*sales_data_1[[#This Row],[Quantity_Sold]],2), "PASS", "CHECK")</f>
        <v>PASS</v>
      </c>
    </row>
    <row r="1407" spans="1:20" x14ac:dyDescent="0.35">
      <c r="A1407" s="7">
        <v>1406</v>
      </c>
      <c r="B1407" s="9">
        <v>1008</v>
      </c>
      <c r="C1407" s="14" t="str">
        <f>IFERROR(_xlfn.TEXTJOIN("-", TRUE, _xlfn.XLOOKUP(K1407, product_category_id_lookup!$A$2:$A$5, product_category_id_lookup!$B$2:$B$5), B1407), "Unknown Category")</f>
        <v>fnt-1008</v>
      </c>
      <c r="D1407" s="8">
        <v>45029</v>
      </c>
      <c r="E1407" s="14">
        <f t="shared" si="63"/>
        <v>2023</v>
      </c>
      <c r="F1407" s="29" t="str">
        <f t="shared" si="64"/>
        <v>Apr</v>
      </c>
      <c r="G1407" s="17" t="s">
        <v>29</v>
      </c>
      <c r="H1407" s="17" t="s">
        <v>23</v>
      </c>
      <c r="I1407" s="24">
        <v>116363.08959137305</v>
      </c>
      <c r="J1407" s="32">
        <v>24</v>
      </c>
      <c r="K1407" s="17" t="s">
        <v>16</v>
      </c>
      <c r="L1407" s="24">
        <v>4739.13</v>
      </c>
      <c r="M1407" s="24">
        <v>4868.95</v>
      </c>
      <c r="N1407" s="34">
        <f>((sales_data_1[[#This Row],[Unit_Price]]*(1-sales_data_1[[#This Row],[Discount]]))-sales_data_1[[#This Row],[Unit_Cost]])*sales_data_1[[#This Row],[Quantity_Sold]]</f>
        <v>3115.679999999993</v>
      </c>
      <c r="O1407" s="17" t="s">
        <v>27</v>
      </c>
      <c r="P1407" s="26">
        <v>0</v>
      </c>
      <c r="Q1407" s="17" t="s">
        <v>28</v>
      </c>
      <c r="R1407" s="17" t="s">
        <v>21</v>
      </c>
      <c r="S1407" s="50" t="str">
        <f t="shared" si="65"/>
        <v>Charlie-South</v>
      </c>
      <c r="T1407" s="59" t="str">
        <f>IF(ROUND(sales_data_1[[#This Row],[Profit_Margin]],2)=ROUND((sales_data_1[[#This Row],[Unit_Price]]*(1-sales_data_1[[#This Row],[Discount]]) - sales_data_1[[#This Row],[Unit_Cost]])*sales_data_1[[#This Row],[Quantity_Sold]],2), "PASS", "CHECK")</f>
        <v>PASS</v>
      </c>
    </row>
    <row r="1408" spans="1:20" x14ac:dyDescent="0.35">
      <c r="A1408" s="7">
        <v>1407</v>
      </c>
      <c r="B1408" s="9">
        <v>1091</v>
      </c>
      <c r="C1408" s="14" t="str">
        <f>IFERROR(_xlfn.TEXTJOIN("-", TRUE, _xlfn.XLOOKUP(K1408, product_category_id_lookup!$A$2:$A$5, product_category_id_lookup!$B$2:$B$5), B1408), "Unknown Category")</f>
        <v>etc-1091</v>
      </c>
      <c r="D1408" s="8">
        <v>45029</v>
      </c>
      <c r="E1408" s="14">
        <f t="shared" si="63"/>
        <v>2023</v>
      </c>
      <c r="F1408" s="29" t="str">
        <f t="shared" si="64"/>
        <v>Apr</v>
      </c>
      <c r="G1408" s="17" t="s">
        <v>32</v>
      </c>
      <c r="H1408" s="17" t="s">
        <v>20</v>
      </c>
      <c r="I1408" s="24">
        <v>146877.09479999999</v>
      </c>
      <c r="J1408" s="32">
        <v>36</v>
      </c>
      <c r="K1408" s="17" t="s">
        <v>31</v>
      </c>
      <c r="L1408" s="24">
        <v>3951.59</v>
      </c>
      <c r="M1408" s="24">
        <v>4387.01</v>
      </c>
      <c r="N1408" s="34">
        <f>((sales_data_1[[#This Row],[Unit_Price]]*(1-sales_data_1[[#This Row],[Discount]]))-sales_data_1[[#This Row],[Unit_Cost]])*sales_data_1[[#This Row],[Quantity_Sold]]</f>
        <v>4619.8547999999955</v>
      </c>
      <c r="O1408" s="17" t="s">
        <v>27</v>
      </c>
      <c r="P1408" s="26">
        <v>7.0000000000000007E-2</v>
      </c>
      <c r="Q1408" s="17" t="s">
        <v>25</v>
      </c>
      <c r="R1408" s="17" t="s">
        <v>21</v>
      </c>
      <c r="S1408" s="50" t="str">
        <f t="shared" si="65"/>
        <v>Eve-West</v>
      </c>
      <c r="T1408" s="59" t="str">
        <f>IF(ROUND(sales_data_1[[#This Row],[Profit_Margin]],2)=ROUND((sales_data_1[[#This Row],[Unit_Price]]*(1-sales_data_1[[#This Row],[Discount]]) - sales_data_1[[#This Row],[Unit_Cost]])*sales_data_1[[#This Row],[Quantity_Sold]],2), "PASS", "CHECK")</f>
        <v>PASS</v>
      </c>
    </row>
    <row r="1409" spans="1:20" x14ac:dyDescent="0.35">
      <c r="A1409" s="7">
        <v>1408</v>
      </c>
      <c r="B1409" s="9">
        <v>1034</v>
      </c>
      <c r="C1409" s="14" t="str">
        <f>IFERROR(_xlfn.TEXTJOIN("-", TRUE, _xlfn.XLOOKUP(K1409, product_category_id_lookup!$A$2:$A$5, product_category_id_lookup!$B$2:$B$5), B1409), "Unknown Category")</f>
        <v>ctg-1034</v>
      </c>
      <c r="D1409" s="8">
        <v>45030</v>
      </c>
      <c r="E1409" s="14">
        <f t="shared" si="63"/>
        <v>2023</v>
      </c>
      <c r="F1409" s="29" t="str">
        <f t="shared" si="64"/>
        <v>Apr</v>
      </c>
      <c r="G1409" s="17" t="s">
        <v>33</v>
      </c>
      <c r="H1409" s="17" t="s">
        <v>20</v>
      </c>
      <c r="I1409" s="24">
        <v>10524.24</v>
      </c>
      <c r="J1409" s="32">
        <v>3</v>
      </c>
      <c r="K1409" s="17" t="s">
        <v>26</v>
      </c>
      <c r="L1409" s="24">
        <v>3472.51</v>
      </c>
      <c r="M1409" s="24">
        <v>3732</v>
      </c>
      <c r="N1409" s="34">
        <f>((sales_data_1[[#This Row],[Unit_Price]]*(1-sales_data_1[[#This Row],[Discount]]))-sales_data_1[[#This Row],[Unit_Cost]])*sales_data_1[[#This Row],[Quantity_Sold]]</f>
        <v>106.70999999999913</v>
      </c>
      <c r="O1409" s="17" t="s">
        <v>27</v>
      </c>
      <c r="P1409" s="26">
        <v>0.06</v>
      </c>
      <c r="Q1409" s="17" t="s">
        <v>18</v>
      </c>
      <c r="R1409" s="17" t="s">
        <v>19</v>
      </c>
      <c r="S1409" s="50" t="str">
        <f t="shared" si="65"/>
        <v>Alice-West</v>
      </c>
      <c r="T1409" s="59" t="str">
        <f>IF(ROUND(sales_data_1[[#This Row],[Profit_Margin]],2)=ROUND((sales_data_1[[#This Row],[Unit_Price]]*(1-sales_data_1[[#This Row],[Discount]]) - sales_data_1[[#This Row],[Unit_Cost]])*sales_data_1[[#This Row],[Quantity_Sold]],2), "PASS", "CHECK")</f>
        <v>PASS</v>
      </c>
    </row>
    <row r="1410" spans="1:20" x14ac:dyDescent="0.35">
      <c r="A1410" s="7">
        <v>1409</v>
      </c>
      <c r="B1410" s="9">
        <v>1001</v>
      </c>
      <c r="C1410" s="14" t="str">
        <f>IFERROR(_xlfn.TEXTJOIN("-", TRUE, _xlfn.XLOOKUP(K1410, product_category_id_lookup!$A$2:$A$5, product_category_id_lookup!$B$2:$B$5), B1410), "Unknown Category")</f>
        <v>etc-1001</v>
      </c>
      <c r="D1410" s="8">
        <v>45030</v>
      </c>
      <c r="E1410" s="14">
        <f t="shared" ref="E1410:E1473" si="66">YEAR(D1410)</f>
        <v>2023</v>
      </c>
      <c r="F1410" s="29" t="str">
        <f t="shared" ref="F1410:F1473" si="67">LEFT(TEXT(D1410,"mmmm"),3)</f>
        <v>Apr</v>
      </c>
      <c r="G1410" s="17" t="s">
        <v>22</v>
      </c>
      <c r="H1410" s="17" t="s">
        <v>30</v>
      </c>
      <c r="I1410" s="24">
        <v>5564.4168780238824</v>
      </c>
      <c r="J1410" s="32">
        <v>2</v>
      </c>
      <c r="K1410" s="17" t="s">
        <v>31</v>
      </c>
      <c r="L1410" s="24">
        <v>2631.68</v>
      </c>
      <c r="M1410" s="24">
        <v>2904.06</v>
      </c>
      <c r="N1410" s="34">
        <f>((sales_data_1[[#This Row],[Unit_Price]]*(1-sales_data_1[[#This Row],[Discount]]))-sales_data_1[[#This Row],[Unit_Cost]])*sales_data_1[[#This Row],[Quantity_Sold]]</f>
        <v>312.4351999999999</v>
      </c>
      <c r="O1410" s="17" t="s">
        <v>27</v>
      </c>
      <c r="P1410" s="26">
        <v>0.04</v>
      </c>
      <c r="Q1410" s="17" t="s">
        <v>25</v>
      </c>
      <c r="R1410" s="17" t="s">
        <v>19</v>
      </c>
      <c r="S1410" s="50" t="str">
        <f t="shared" ref="S1410:S1473" si="68">_xlfn.CONCAT(G1410,"-",H1410)</f>
        <v>David-East</v>
      </c>
      <c r="T1410" s="59" t="str">
        <f>IF(ROUND(sales_data_1[[#This Row],[Profit_Margin]],2)=ROUND((sales_data_1[[#This Row],[Unit_Price]]*(1-sales_data_1[[#This Row],[Discount]]) - sales_data_1[[#This Row],[Unit_Cost]])*sales_data_1[[#This Row],[Quantity_Sold]],2), "PASS", "CHECK")</f>
        <v>PASS</v>
      </c>
    </row>
    <row r="1411" spans="1:20" x14ac:dyDescent="0.35">
      <c r="A1411" s="7">
        <v>1410</v>
      </c>
      <c r="B1411" s="9">
        <v>1052</v>
      </c>
      <c r="C1411" s="14" t="str">
        <f>IFERROR(_xlfn.TEXTJOIN("-", TRUE, _xlfn.XLOOKUP(K1411, product_category_id_lookup!$A$2:$A$5, product_category_id_lookup!$B$2:$B$5), B1411), "Unknown Category")</f>
        <v>fnt-1052</v>
      </c>
      <c r="D1411" s="8">
        <v>45030</v>
      </c>
      <c r="E1411" s="14">
        <f t="shared" si="66"/>
        <v>2023</v>
      </c>
      <c r="F1411" s="29" t="str">
        <f t="shared" si="67"/>
        <v>Apr</v>
      </c>
      <c r="G1411" s="17" t="s">
        <v>22</v>
      </c>
      <c r="H1411" s="17" t="s">
        <v>15</v>
      </c>
      <c r="I1411" s="24">
        <v>4096.5191819345082</v>
      </c>
      <c r="J1411" s="32">
        <v>5</v>
      </c>
      <c r="K1411" s="17" t="s">
        <v>16</v>
      </c>
      <c r="L1411" s="24">
        <v>745.71</v>
      </c>
      <c r="M1411" s="24">
        <v>856.91000000000008</v>
      </c>
      <c r="N1411" s="34">
        <f>((sales_data_1[[#This Row],[Unit_Price]]*(1-sales_data_1[[#This Row],[Discount]]))-sales_data_1[[#This Row],[Unit_Cost]])*sales_data_1[[#This Row],[Quantity_Sold]]</f>
        <v>384.61799999999982</v>
      </c>
      <c r="O1411" s="17" t="s">
        <v>17</v>
      </c>
      <c r="P1411" s="26">
        <v>0.04</v>
      </c>
      <c r="Q1411" s="17" t="s">
        <v>25</v>
      </c>
      <c r="R1411" s="17" t="s">
        <v>21</v>
      </c>
      <c r="S1411" s="50" t="str">
        <f t="shared" si="68"/>
        <v>David-North</v>
      </c>
      <c r="T1411" s="59" t="str">
        <f>IF(ROUND(sales_data_1[[#This Row],[Profit_Margin]],2)=ROUND((sales_data_1[[#This Row],[Unit_Price]]*(1-sales_data_1[[#This Row],[Discount]]) - sales_data_1[[#This Row],[Unit_Cost]])*sales_data_1[[#This Row],[Quantity_Sold]],2), "PASS", "CHECK")</f>
        <v>PASS</v>
      </c>
    </row>
    <row r="1412" spans="1:20" x14ac:dyDescent="0.35">
      <c r="A1412" s="7">
        <v>1411</v>
      </c>
      <c r="B1412" s="9">
        <v>1099</v>
      </c>
      <c r="C1412" s="14" t="str">
        <f>IFERROR(_xlfn.TEXTJOIN("-", TRUE, _xlfn.XLOOKUP(K1412, product_category_id_lookup!$A$2:$A$5, product_category_id_lookup!$B$2:$B$5), B1412), "Unknown Category")</f>
        <v>fd-1099</v>
      </c>
      <c r="D1412" s="8">
        <v>45030</v>
      </c>
      <c r="E1412" s="14">
        <f t="shared" si="66"/>
        <v>2023</v>
      </c>
      <c r="F1412" s="29" t="str">
        <f t="shared" si="67"/>
        <v>Apr</v>
      </c>
      <c r="G1412" s="17" t="s">
        <v>33</v>
      </c>
      <c r="H1412" s="17" t="s">
        <v>30</v>
      </c>
      <c r="I1412" s="24">
        <v>134504.5684465158</v>
      </c>
      <c r="J1412" s="32">
        <v>27</v>
      </c>
      <c r="K1412" s="17" t="s">
        <v>24</v>
      </c>
      <c r="L1412" s="24">
        <v>4929.55</v>
      </c>
      <c r="M1412" s="24">
        <v>4990.33</v>
      </c>
      <c r="N1412" s="34">
        <f>((sales_data_1[[#This Row],[Unit_Price]]*(1-sales_data_1[[#This Row],[Discount]]))-sales_data_1[[#This Row],[Unit_Cost]])*sales_data_1[[#This Row],[Quantity_Sold]]</f>
        <v>1641.0599999999931</v>
      </c>
      <c r="O1412" s="17" t="s">
        <v>17</v>
      </c>
      <c r="P1412" s="26">
        <v>0</v>
      </c>
      <c r="Q1412" s="17" t="s">
        <v>28</v>
      </c>
      <c r="R1412" s="17" t="s">
        <v>19</v>
      </c>
      <c r="S1412" s="50" t="str">
        <f t="shared" si="68"/>
        <v>Alice-East</v>
      </c>
      <c r="T1412" s="59" t="str">
        <f>IF(ROUND(sales_data_1[[#This Row],[Profit_Margin]],2)=ROUND((sales_data_1[[#This Row],[Unit_Price]]*(1-sales_data_1[[#This Row],[Discount]]) - sales_data_1[[#This Row],[Unit_Cost]])*sales_data_1[[#This Row],[Quantity_Sold]],2), "PASS", "CHECK")</f>
        <v>PASS</v>
      </c>
    </row>
    <row r="1413" spans="1:20" x14ac:dyDescent="0.35">
      <c r="A1413" s="7">
        <v>1412</v>
      </c>
      <c r="B1413" s="9">
        <v>1032</v>
      </c>
      <c r="C1413" s="14" t="str">
        <f>IFERROR(_xlfn.TEXTJOIN("-", TRUE, _xlfn.XLOOKUP(K1413, product_category_id_lookup!$A$2:$A$5, product_category_id_lookup!$B$2:$B$5), B1413), "Unknown Category")</f>
        <v>ctg-1032</v>
      </c>
      <c r="D1413" s="8">
        <v>45030</v>
      </c>
      <c r="E1413" s="14">
        <f t="shared" si="66"/>
        <v>2023</v>
      </c>
      <c r="F1413" s="29" t="str">
        <f t="shared" si="67"/>
        <v>Apr</v>
      </c>
      <c r="G1413" s="17" t="s">
        <v>22</v>
      </c>
      <c r="H1413" s="17" t="s">
        <v>15</v>
      </c>
      <c r="I1413" s="24">
        <v>168791.66338675685</v>
      </c>
      <c r="J1413" s="32">
        <v>45</v>
      </c>
      <c r="K1413" s="17" t="s">
        <v>26</v>
      </c>
      <c r="L1413" s="24">
        <v>3712.35</v>
      </c>
      <c r="M1413" s="24">
        <v>3780.88</v>
      </c>
      <c r="N1413" s="34">
        <f>((sales_data_1[[#This Row],[Unit_Price]]*(1-sales_data_1[[#This Row],[Discount]]))-sales_data_1[[#This Row],[Unit_Cost]])*sales_data_1[[#This Row],[Quantity_Sold]]</f>
        <v>1382.4539999999979</v>
      </c>
      <c r="O1413" s="17" t="s">
        <v>27</v>
      </c>
      <c r="P1413" s="26">
        <v>0.01</v>
      </c>
      <c r="Q1413" s="17" t="s">
        <v>18</v>
      </c>
      <c r="R1413" s="17" t="s">
        <v>21</v>
      </c>
      <c r="S1413" s="50" t="str">
        <f t="shared" si="68"/>
        <v>David-North</v>
      </c>
      <c r="T1413" s="59" t="str">
        <f>IF(ROUND(sales_data_1[[#This Row],[Profit_Margin]],2)=ROUND((sales_data_1[[#This Row],[Unit_Price]]*(1-sales_data_1[[#This Row],[Discount]]) - sales_data_1[[#This Row],[Unit_Cost]])*sales_data_1[[#This Row],[Quantity_Sold]],2), "PASS", "CHECK")</f>
        <v>PASS</v>
      </c>
    </row>
    <row r="1414" spans="1:20" x14ac:dyDescent="0.35">
      <c r="A1414" s="7">
        <v>1413</v>
      </c>
      <c r="B1414" s="9">
        <v>1047</v>
      </c>
      <c r="C1414" s="14" t="str">
        <f>IFERROR(_xlfn.TEXTJOIN("-", TRUE, _xlfn.XLOOKUP(K1414, product_category_id_lookup!$A$2:$A$5, product_category_id_lookup!$B$2:$B$5), B1414), "Unknown Category")</f>
        <v>ctg-1047</v>
      </c>
      <c r="D1414" s="8">
        <v>45030</v>
      </c>
      <c r="E1414" s="14">
        <f t="shared" si="66"/>
        <v>2023</v>
      </c>
      <c r="F1414" s="29" t="str">
        <f t="shared" si="67"/>
        <v>Apr</v>
      </c>
      <c r="G1414" s="17" t="s">
        <v>32</v>
      </c>
      <c r="H1414" s="17" t="s">
        <v>20</v>
      </c>
      <c r="I1414" s="24">
        <v>66310.983610330324</v>
      </c>
      <c r="J1414" s="32">
        <v>16</v>
      </c>
      <c r="K1414" s="17" t="s">
        <v>26</v>
      </c>
      <c r="L1414" s="24">
        <v>3966.86</v>
      </c>
      <c r="M1414" s="24">
        <v>4321.04</v>
      </c>
      <c r="N1414" s="34">
        <f>((sales_data_1[[#This Row],[Unit_Price]]*(1-sales_data_1[[#This Row],[Discount]]))-sales_data_1[[#This Row],[Unit_Cost]])*sales_data_1[[#This Row],[Quantity_Sold]]</f>
        <v>2901.4144000000015</v>
      </c>
      <c r="O1414" s="17" t="s">
        <v>17</v>
      </c>
      <c r="P1414" s="26">
        <v>0.04</v>
      </c>
      <c r="Q1414" s="17" t="s">
        <v>28</v>
      </c>
      <c r="R1414" s="17" t="s">
        <v>21</v>
      </c>
      <c r="S1414" s="50" t="str">
        <f t="shared" si="68"/>
        <v>Eve-West</v>
      </c>
      <c r="T1414" s="59" t="str">
        <f>IF(ROUND(sales_data_1[[#This Row],[Profit_Margin]],2)=ROUND((sales_data_1[[#This Row],[Unit_Price]]*(1-sales_data_1[[#This Row],[Discount]]) - sales_data_1[[#This Row],[Unit_Cost]])*sales_data_1[[#This Row],[Quantity_Sold]],2), "PASS", "CHECK")</f>
        <v>PASS</v>
      </c>
    </row>
    <row r="1415" spans="1:20" x14ac:dyDescent="0.35">
      <c r="A1415" s="7">
        <v>1414</v>
      </c>
      <c r="B1415" s="9">
        <v>1010</v>
      </c>
      <c r="C1415" s="14" t="str">
        <f>IFERROR(_xlfn.TEXTJOIN("-", TRUE, _xlfn.XLOOKUP(K1415, product_category_id_lookup!$A$2:$A$5, product_category_id_lookup!$B$2:$B$5), B1415), "Unknown Category")</f>
        <v>fd-1010</v>
      </c>
      <c r="D1415" s="8">
        <v>45031</v>
      </c>
      <c r="E1415" s="14">
        <f t="shared" si="66"/>
        <v>2023</v>
      </c>
      <c r="F1415" s="29" t="str">
        <f t="shared" si="67"/>
        <v>Apr</v>
      </c>
      <c r="G1415" s="17" t="s">
        <v>29</v>
      </c>
      <c r="H1415" s="17" t="s">
        <v>15</v>
      </c>
      <c r="I1415" s="24">
        <v>21481.190319436297</v>
      </c>
      <c r="J1415" s="32">
        <v>4</v>
      </c>
      <c r="K1415" s="17" t="s">
        <v>24</v>
      </c>
      <c r="L1415" s="24">
        <v>4943.03</v>
      </c>
      <c r="M1415" s="24">
        <v>5442.15</v>
      </c>
      <c r="N1415" s="34">
        <f>((sales_data_1[[#This Row],[Unit_Price]]*(1-sales_data_1[[#This Row],[Discount]]))-sales_data_1[[#This Row],[Unit_Cost]])*sales_data_1[[#This Row],[Quantity_Sold]]</f>
        <v>1778.7939999999981</v>
      </c>
      <c r="O1415" s="17" t="s">
        <v>17</v>
      </c>
      <c r="P1415" s="26">
        <v>0.01</v>
      </c>
      <c r="Q1415" s="17" t="s">
        <v>18</v>
      </c>
      <c r="R1415" s="17" t="s">
        <v>19</v>
      </c>
      <c r="S1415" s="50" t="str">
        <f t="shared" si="68"/>
        <v>Charlie-North</v>
      </c>
      <c r="T1415" s="59" t="str">
        <f>IF(ROUND(sales_data_1[[#This Row],[Profit_Margin]],2)=ROUND((sales_data_1[[#This Row],[Unit_Price]]*(1-sales_data_1[[#This Row],[Discount]]) - sales_data_1[[#This Row],[Unit_Cost]])*sales_data_1[[#This Row],[Quantity_Sold]],2), "PASS", "CHECK")</f>
        <v>PASS</v>
      </c>
    </row>
    <row r="1416" spans="1:20" x14ac:dyDescent="0.35">
      <c r="A1416" s="7">
        <v>1415</v>
      </c>
      <c r="B1416" s="9">
        <v>1013</v>
      </c>
      <c r="C1416" s="14" t="str">
        <f>IFERROR(_xlfn.TEXTJOIN("-", TRUE, _xlfn.XLOOKUP(K1416, product_category_id_lookup!$A$2:$A$5, product_category_id_lookup!$B$2:$B$5), B1416), "Unknown Category")</f>
        <v>fnt-1013</v>
      </c>
      <c r="D1416" s="8">
        <v>45031</v>
      </c>
      <c r="E1416" s="14">
        <f t="shared" si="66"/>
        <v>2023</v>
      </c>
      <c r="F1416" s="29" t="str">
        <f t="shared" si="67"/>
        <v>Apr</v>
      </c>
      <c r="G1416" s="17" t="s">
        <v>32</v>
      </c>
      <c r="H1416" s="17" t="s">
        <v>15</v>
      </c>
      <c r="I1416" s="24">
        <v>69741.907200000001</v>
      </c>
      <c r="J1416" s="32">
        <v>42</v>
      </c>
      <c r="K1416" s="17" t="s">
        <v>16</v>
      </c>
      <c r="L1416" s="24">
        <v>1375.57</v>
      </c>
      <c r="M1416" s="24">
        <v>1729.71</v>
      </c>
      <c r="N1416" s="34">
        <f>((sales_data_1[[#This Row],[Unit_Price]]*(1-sales_data_1[[#This Row],[Discount]]))-sales_data_1[[#This Row],[Unit_Cost]])*sales_data_1[[#This Row],[Quantity_Sold]]</f>
        <v>11967.967200000005</v>
      </c>
      <c r="O1416" s="17" t="s">
        <v>27</v>
      </c>
      <c r="P1416" s="26">
        <v>0.04</v>
      </c>
      <c r="Q1416" s="17" t="s">
        <v>18</v>
      </c>
      <c r="R1416" s="17" t="s">
        <v>19</v>
      </c>
      <c r="S1416" s="50" t="str">
        <f t="shared" si="68"/>
        <v>Eve-North</v>
      </c>
      <c r="T1416" s="59" t="str">
        <f>IF(ROUND(sales_data_1[[#This Row],[Profit_Margin]],2)=ROUND((sales_data_1[[#This Row],[Unit_Price]]*(1-sales_data_1[[#This Row],[Discount]]) - sales_data_1[[#This Row],[Unit_Cost]])*sales_data_1[[#This Row],[Quantity_Sold]],2), "PASS", "CHECK")</f>
        <v>PASS</v>
      </c>
    </row>
    <row r="1417" spans="1:20" x14ac:dyDescent="0.35">
      <c r="A1417" s="7">
        <v>1416</v>
      </c>
      <c r="B1417" s="9">
        <v>1027</v>
      </c>
      <c r="C1417" s="14" t="str">
        <f>IFERROR(_xlfn.TEXTJOIN("-", TRUE, _xlfn.XLOOKUP(K1417, product_category_id_lookup!$A$2:$A$5, product_category_id_lookup!$B$2:$B$5), B1417), "Unknown Category")</f>
        <v>fd-1027</v>
      </c>
      <c r="D1417" s="8">
        <v>45032</v>
      </c>
      <c r="E1417" s="14">
        <f t="shared" si="66"/>
        <v>2023</v>
      </c>
      <c r="F1417" s="29" t="str">
        <f t="shared" si="67"/>
        <v>Apr</v>
      </c>
      <c r="G1417" s="17" t="s">
        <v>33</v>
      </c>
      <c r="H1417" s="17" t="s">
        <v>30</v>
      </c>
      <c r="I1417" s="24">
        <v>16684.999100000001</v>
      </c>
      <c r="J1417" s="32">
        <v>7</v>
      </c>
      <c r="K1417" s="17" t="s">
        <v>24</v>
      </c>
      <c r="L1417" s="24">
        <v>2371.85</v>
      </c>
      <c r="M1417" s="24">
        <v>2457.29</v>
      </c>
      <c r="N1417" s="34">
        <f>((sales_data_1[[#This Row],[Unit_Price]]*(1-sales_data_1[[#This Row],[Discount]]))-sales_data_1[[#This Row],[Unit_Cost]])*sales_data_1[[#This Row],[Quantity_Sold]]</f>
        <v>82.04910000000109</v>
      </c>
      <c r="O1417" s="17" t="s">
        <v>27</v>
      </c>
      <c r="P1417" s="26">
        <v>0.03</v>
      </c>
      <c r="Q1417" s="17" t="s">
        <v>18</v>
      </c>
      <c r="R1417" s="17" t="s">
        <v>21</v>
      </c>
      <c r="S1417" s="50" t="str">
        <f t="shared" si="68"/>
        <v>Alice-East</v>
      </c>
      <c r="T1417" s="59" t="str">
        <f>IF(ROUND(sales_data_1[[#This Row],[Profit_Margin]],2)=ROUND((sales_data_1[[#This Row],[Unit_Price]]*(1-sales_data_1[[#This Row],[Discount]]) - sales_data_1[[#This Row],[Unit_Cost]])*sales_data_1[[#This Row],[Quantity_Sold]],2), "PASS", "CHECK")</f>
        <v>PASS</v>
      </c>
    </row>
    <row r="1418" spans="1:20" x14ac:dyDescent="0.35">
      <c r="A1418" s="7">
        <v>1417</v>
      </c>
      <c r="B1418" s="9">
        <v>1081</v>
      </c>
      <c r="C1418" s="14" t="str">
        <f>IFERROR(_xlfn.TEXTJOIN("-", TRUE, _xlfn.XLOOKUP(K1418, product_category_id_lookup!$A$2:$A$5, product_category_id_lookup!$B$2:$B$5), B1418), "Unknown Category")</f>
        <v>etc-1081</v>
      </c>
      <c r="D1418" s="8">
        <v>45032</v>
      </c>
      <c r="E1418" s="14">
        <f t="shared" si="66"/>
        <v>2023</v>
      </c>
      <c r="F1418" s="29" t="str">
        <f t="shared" si="67"/>
        <v>Apr</v>
      </c>
      <c r="G1418" s="17" t="s">
        <v>29</v>
      </c>
      <c r="H1418" s="17" t="s">
        <v>20</v>
      </c>
      <c r="I1418" s="24">
        <v>80707.787677106491</v>
      </c>
      <c r="J1418" s="32">
        <v>44</v>
      </c>
      <c r="K1418" s="17" t="s">
        <v>31</v>
      </c>
      <c r="L1418" s="24">
        <v>1362.15</v>
      </c>
      <c r="M1418" s="24">
        <v>1844.0700000000002</v>
      </c>
      <c r="N1418" s="34">
        <f>((sales_data_1[[#This Row],[Unit_Price]]*(1-sales_data_1[[#This Row],[Discount]]))-sales_data_1[[#This Row],[Unit_Cost]])*sales_data_1[[#This Row],[Quantity_Sold]]</f>
        <v>20393.089199999999</v>
      </c>
      <c r="O1418" s="17" t="s">
        <v>27</v>
      </c>
      <c r="P1418" s="26">
        <v>0.01</v>
      </c>
      <c r="Q1418" s="17" t="s">
        <v>28</v>
      </c>
      <c r="R1418" s="17" t="s">
        <v>19</v>
      </c>
      <c r="S1418" s="50" t="str">
        <f t="shared" si="68"/>
        <v>Charlie-West</v>
      </c>
      <c r="T1418" s="59" t="str">
        <f>IF(ROUND(sales_data_1[[#This Row],[Profit_Margin]],2)=ROUND((sales_data_1[[#This Row],[Unit_Price]]*(1-sales_data_1[[#This Row],[Discount]]) - sales_data_1[[#This Row],[Unit_Cost]])*sales_data_1[[#This Row],[Quantity_Sold]],2), "PASS", "CHECK")</f>
        <v>PASS</v>
      </c>
    </row>
    <row r="1419" spans="1:20" x14ac:dyDescent="0.35">
      <c r="A1419" s="7">
        <v>1418</v>
      </c>
      <c r="B1419" s="9">
        <v>1052</v>
      </c>
      <c r="C1419" s="14" t="str">
        <f>IFERROR(_xlfn.TEXTJOIN("-", TRUE, _xlfn.XLOOKUP(K1419, product_category_id_lookup!$A$2:$A$5, product_category_id_lookup!$B$2:$B$5), B1419), "Unknown Category")</f>
        <v>fd-1052</v>
      </c>
      <c r="D1419" s="8">
        <v>45033</v>
      </c>
      <c r="E1419" s="14">
        <f t="shared" si="66"/>
        <v>2023</v>
      </c>
      <c r="F1419" s="29" t="str">
        <f t="shared" si="67"/>
        <v>Apr</v>
      </c>
      <c r="G1419" s="17" t="s">
        <v>33</v>
      </c>
      <c r="H1419" s="17" t="s">
        <v>23</v>
      </c>
      <c r="I1419" s="24">
        <v>4607.7145919494087</v>
      </c>
      <c r="J1419" s="32">
        <v>2</v>
      </c>
      <c r="K1419" s="17" t="s">
        <v>24</v>
      </c>
      <c r="L1419" s="24">
        <v>1935.41</v>
      </c>
      <c r="M1419" s="24">
        <v>2305.44</v>
      </c>
      <c r="N1419" s="34">
        <f>((sales_data_1[[#This Row],[Unit_Price]]*(1-sales_data_1[[#This Row],[Discount]]))-sales_data_1[[#This Row],[Unit_Cost]])*sales_data_1[[#This Row],[Quantity_Sold]]</f>
        <v>740.06</v>
      </c>
      <c r="O1419" s="17" t="s">
        <v>17</v>
      </c>
      <c r="P1419" s="26">
        <v>0</v>
      </c>
      <c r="Q1419" s="17" t="s">
        <v>28</v>
      </c>
      <c r="R1419" s="17" t="s">
        <v>19</v>
      </c>
      <c r="S1419" s="50" t="str">
        <f t="shared" si="68"/>
        <v>Alice-South</v>
      </c>
      <c r="T1419" s="59" t="str">
        <f>IF(ROUND(sales_data_1[[#This Row],[Profit_Margin]],2)=ROUND((sales_data_1[[#This Row],[Unit_Price]]*(1-sales_data_1[[#This Row],[Discount]]) - sales_data_1[[#This Row],[Unit_Cost]])*sales_data_1[[#This Row],[Quantity_Sold]],2), "PASS", "CHECK")</f>
        <v>PASS</v>
      </c>
    </row>
    <row r="1420" spans="1:20" x14ac:dyDescent="0.35">
      <c r="A1420" s="7">
        <v>1419</v>
      </c>
      <c r="B1420" s="9">
        <v>1012</v>
      </c>
      <c r="C1420" s="14" t="str">
        <f>IFERROR(_xlfn.TEXTJOIN("-", TRUE, _xlfn.XLOOKUP(K1420, product_category_id_lookup!$A$2:$A$5, product_category_id_lookup!$B$2:$B$5), B1420), "Unknown Category")</f>
        <v>etc-1012</v>
      </c>
      <c r="D1420" s="8">
        <v>45034</v>
      </c>
      <c r="E1420" s="14">
        <f t="shared" si="66"/>
        <v>2023</v>
      </c>
      <c r="F1420" s="29" t="str">
        <f t="shared" si="67"/>
        <v>Apr</v>
      </c>
      <c r="G1420" s="17" t="s">
        <v>33</v>
      </c>
      <c r="H1420" s="17" t="s">
        <v>23</v>
      </c>
      <c r="I1420" s="24">
        <v>8062.6293000000005</v>
      </c>
      <c r="J1420" s="32">
        <v>9</v>
      </c>
      <c r="K1420" s="17" t="s">
        <v>31</v>
      </c>
      <c r="L1420" s="24">
        <v>709.97</v>
      </c>
      <c r="M1420" s="24">
        <v>1029.71</v>
      </c>
      <c r="N1420" s="34">
        <f>((sales_data_1[[#This Row],[Unit_Price]]*(1-sales_data_1[[#This Row],[Discount]]))-sales_data_1[[#This Row],[Unit_Cost]])*sales_data_1[[#This Row],[Quantity_Sold]]</f>
        <v>1672.8993</v>
      </c>
      <c r="O1420" s="17" t="s">
        <v>17</v>
      </c>
      <c r="P1420" s="26">
        <v>0.13</v>
      </c>
      <c r="Q1420" s="17" t="s">
        <v>25</v>
      </c>
      <c r="R1420" s="17" t="s">
        <v>21</v>
      </c>
      <c r="S1420" s="50" t="str">
        <f t="shared" si="68"/>
        <v>Alice-South</v>
      </c>
      <c r="T1420" s="59" t="str">
        <f>IF(ROUND(sales_data_1[[#This Row],[Profit_Margin]],2)=ROUND((sales_data_1[[#This Row],[Unit_Price]]*(1-sales_data_1[[#This Row],[Discount]]) - sales_data_1[[#This Row],[Unit_Cost]])*sales_data_1[[#This Row],[Quantity_Sold]],2), "PASS", "CHECK")</f>
        <v>PASS</v>
      </c>
    </row>
    <row r="1421" spans="1:20" x14ac:dyDescent="0.35">
      <c r="A1421" s="7">
        <v>1420</v>
      </c>
      <c r="B1421" s="9">
        <v>1035</v>
      </c>
      <c r="C1421" s="14" t="str">
        <f>IFERROR(_xlfn.TEXTJOIN("-", TRUE, _xlfn.XLOOKUP(K1421, product_category_id_lookup!$A$2:$A$5, product_category_id_lookup!$B$2:$B$5), B1421), "Unknown Category")</f>
        <v>fd-1035</v>
      </c>
      <c r="D1421" s="8">
        <v>45034</v>
      </c>
      <c r="E1421" s="14">
        <f t="shared" si="66"/>
        <v>2023</v>
      </c>
      <c r="F1421" s="29" t="str">
        <f t="shared" si="67"/>
        <v>Apr</v>
      </c>
      <c r="G1421" s="17" t="s">
        <v>22</v>
      </c>
      <c r="H1421" s="17" t="s">
        <v>23</v>
      </c>
      <c r="I1421" s="24">
        <v>40124.94568911197</v>
      </c>
      <c r="J1421" s="32">
        <v>34</v>
      </c>
      <c r="K1421" s="17" t="s">
        <v>24</v>
      </c>
      <c r="L1421" s="24">
        <v>1105.05</v>
      </c>
      <c r="M1421" s="24">
        <v>1200.96</v>
      </c>
      <c r="N1421" s="34">
        <f>((sales_data_1[[#This Row],[Unit_Price]]*(1-sales_data_1[[#This Row],[Discount]]))-sales_data_1[[#This Row],[Unit_Cost]])*sales_data_1[[#This Row],[Quantity_Sold]]</f>
        <v>2444.2872000000043</v>
      </c>
      <c r="O1421" s="17" t="s">
        <v>17</v>
      </c>
      <c r="P1421" s="26">
        <v>0.02</v>
      </c>
      <c r="Q1421" s="17" t="s">
        <v>18</v>
      </c>
      <c r="R1421" s="17" t="s">
        <v>19</v>
      </c>
      <c r="S1421" s="50" t="str">
        <f t="shared" si="68"/>
        <v>David-South</v>
      </c>
      <c r="T1421" s="59" t="str">
        <f>IF(ROUND(sales_data_1[[#This Row],[Profit_Margin]],2)=ROUND((sales_data_1[[#This Row],[Unit_Price]]*(1-sales_data_1[[#This Row],[Discount]]) - sales_data_1[[#This Row],[Unit_Cost]])*sales_data_1[[#This Row],[Quantity_Sold]],2), "PASS", "CHECK")</f>
        <v>PASS</v>
      </c>
    </row>
    <row r="1422" spans="1:20" x14ac:dyDescent="0.35">
      <c r="A1422" s="7">
        <v>1421</v>
      </c>
      <c r="B1422" s="9">
        <v>1061</v>
      </c>
      <c r="C1422" s="14" t="str">
        <f>IFERROR(_xlfn.TEXTJOIN("-", TRUE, _xlfn.XLOOKUP(K1422, product_category_id_lookup!$A$2:$A$5, product_category_id_lookup!$B$2:$B$5), B1422), "Unknown Category")</f>
        <v>etc-1061</v>
      </c>
      <c r="D1422" s="8">
        <v>45034</v>
      </c>
      <c r="E1422" s="14">
        <f t="shared" si="66"/>
        <v>2023</v>
      </c>
      <c r="F1422" s="29" t="str">
        <f t="shared" si="67"/>
        <v>Apr</v>
      </c>
      <c r="G1422" s="17" t="s">
        <v>32</v>
      </c>
      <c r="H1422" s="17" t="s">
        <v>15</v>
      </c>
      <c r="I1422" s="24">
        <v>22021.962800000001</v>
      </c>
      <c r="J1422" s="32">
        <v>47</v>
      </c>
      <c r="K1422" s="17" t="s">
        <v>31</v>
      </c>
      <c r="L1422" s="24">
        <v>146.27000000000001</v>
      </c>
      <c r="M1422" s="24">
        <v>498.46000000000004</v>
      </c>
      <c r="N1422" s="34">
        <f>((sales_data_1[[#This Row],[Unit_Price]]*(1-sales_data_1[[#This Row],[Discount]]))-sales_data_1[[#This Row],[Unit_Cost]])*sales_data_1[[#This Row],[Quantity_Sold]]</f>
        <v>15147.272800000002</v>
      </c>
      <c r="O1422" s="17" t="s">
        <v>27</v>
      </c>
      <c r="P1422" s="26">
        <v>0.06</v>
      </c>
      <c r="Q1422" s="17" t="s">
        <v>18</v>
      </c>
      <c r="R1422" s="17" t="s">
        <v>21</v>
      </c>
      <c r="S1422" s="50" t="str">
        <f t="shared" si="68"/>
        <v>Eve-North</v>
      </c>
      <c r="T1422" s="59" t="str">
        <f>IF(ROUND(sales_data_1[[#This Row],[Profit_Margin]],2)=ROUND((sales_data_1[[#This Row],[Unit_Price]]*(1-sales_data_1[[#This Row],[Discount]]) - sales_data_1[[#This Row],[Unit_Cost]])*sales_data_1[[#This Row],[Quantity_Sold]],2), "PASS", "CHECK")</f>
        <v>PASS</v>
      </c>
    </row>
    <row r="1423" spans="1:20" x14ac:dyDescent="0.35">
      <c r="A1423" s="7">
        <v>1422</v>
      </c>
      <c r="B1423" s="9">
        <v>1033</v>
      </c>
      <c r="C1423" s="14" t="str">
        <f>IFERROR(_xlfn.TEXTJOIN("-", TRUE, _xlfn.XLOOKUP(K1423, product_category_id_lookup!$A$2:$A$5, product_category_id_lookup!$B$2:$B$5), B1423), "Unknown Category")</f>
        <v>fnt-1033</v>
      </c>
      <c r="D1423" s="8">
        <v>45035</v>
      </c>
      <c r="E1423" s="14">
        <f t="shared" si="66"/>
        <v>2023</v>
      </c>
      <c r="F1423" s="29" t="str">
        <f t="shared" si="67"/>
        <v>Apr</v>
      </c>
      <c r="G1423" s="17" t="s">
        <v>14</v>
      </c>
      <c r="H1423" s="17" t="s">
        <v>23</v>
      </c>
      <c r="I1423" s="24">
        <v>17049.650000000001</v>
      </c>
      <c r="J1423" s="32">
        <v>5</v>
      </c>
      <c r="K1423" s="17" t="s">
        <v>16</v>
      </c>
      <c r="L1423" s="24">
        <v>3162.92</v>
      </c>
      <c r="M1423" s="24">
        <v>3409.9300000000003</v>
      </c>
      <c r="N1423" s="34">
        <f>((sales_data_1[[#This Row],[Unit_Price]]*(1-sales_data_1[[#This Row],[Discount]]))-sales_data_1[[#This Row],[Unit_Cost]])*sales_data_1[[#This Row],[Quantity_Sold]]</f>
        <v>1235.0500000000011</v>
      </c>
      <c r="O1423" s="17" t="s">
        <v>27</v>
      </c>
      <c r="P1423" s="26">
        <v>0</v>
      </c>
      <c r="Q1423" s="17" t="s">
        <v>18</v>
      </c>
      <c r="R1423" s="17" t="s">
        <v>19</v>
      </c>
      <c r="S1423" s="50" t="str">
        <f t="shared" si="68"/>
        <v>Bob-South</v>
      </c>
      <c r="T1423" s="59" t="str">
        <f>IF(ROUND(sales_data_1[[#This Row],[Profit_Margin]],2)=ROUND((sales_data_1[[#This Row],[Unit_Price]]*(1-sales_data_1[[#This Row],[Discount]]) - sales_data_1[[#This Row],[Unit_Cost]])*sales_data_1[[#This Row],[Quantity_Sold]],2), "PASS", "CHECK")</f>
        <v>PASS</v>
      </c>
    </row>
    <row r="1424" spans="1:20" x14ac:dyDescent="0.35">
      <c r="A1424" s="7">
        <v>1423</v>
      </c>
      <c r="B1424" s="9">
        <v>1044</v>
      </c>
      <c r="C1424" s="14" t="str">
        <f>IFERROR(_xlfn.TEXTJOIN("-", TRUE, _xlfn.XLOOKUP(K1424, product_category_id_lookup!$A$2:$A$5, product_category_id_lookup!$B$2:$B$5), B1424), "Unknown Category")</f>
        <v>fd-1044</v>
      </c>
      <c r="D1424" s="8">
        <v>45036</v>
      </c>
      <c r="E1424" s="14">
        <f t="shared" si="66"/>
        <v>2023</v>
      </c>
      <c r="F1424" s="29" t="str">
        <f t="shared" si="67"/>
        <v>Apr</v>
      </c>
      <c r="G1424" s="17" t="s">
        <v>29</v>
      </c>
      <c r="H1424" s="17" t="s">
        <v>20</v>
      </c>
      <c r="I1424" s="24">
        <v>125892.7758</v>
      </c>
      <c r="J1424" s="32">
        <v>34</v>
      </c>
      <c r="K1424" s="17" t="s">
        <v>24</v>
      </c>
      <c r="L1424" s="24">
        <v>3573.3</v>
      </c>
      <c r="M1424" s="24">
        <v>3740.13</v>
      </c>
      <c r="N1424" s="34">
        <f>((sales_data_1[[#This Row],[Unit_Price]]*(1-sales_data_1[[#This Row],[Discount]]))-sales_data_1[[#This Row],[Unit_Cost]])*sales_data_1[[#This Row],[Quantity_Sold]]</f>
        <v>4400.5757999999978</v>
      </c>
      <c r="O1424" s="17" t="s">
        <v>17</v>
      </c>
      <c r="P1424" s="26">
        <v>0.01</v>
      </c>
      <c r="Q1424" s="17" t="s">
        <v>28</v>
      </c>
      <c r="R1424" s="17" t="s">
        <v>19</v>
      </c>
      <c r="S1424" s="50" t="str">
        <f t="shared" si="68"/>
        <v>Charlie-West</v>
      </c>
      <c r="T1424" s="59" t="str">
        <f>IF(ROUND(sales_data_1[[#This Row],[Profit_Margin]],2)=ROUND((sales_data_1[[#This Row],[Unit_Price]]*(1-sales_data_1[[#This Row],[Discount]]) - sales_data_1[[#This Row],[Unit_Cost]])*sales_data_1[[#This Row],[Quantity_Sold]],2), "PASS", "CHECK")</f>
        <v>PASS</v>
      </c>
    </row>
    <row r="1425" spans="1:20" x14ac:dyDescent="0.35">
      <c r="A1425" s="7">
        <v>1424</v>
      </c>
      <c r="B1425" s="9">
        <v>1088</v>
      </c>
      <c r="C1425" s="14" t="str">
        <f>IFERROR(_xlfn.TEXTJOIN("-", TRUE, _xlfn.XLOOKUP(K1425, product_category_id_lookup!$A$2:$A$5, product_category_id_lookup!$B$2:$B$5), B1425), "Unknown Category")</f>
        <v>fnt-1088</v>
      </c>
      <c r="D1425" s="8">
        <v>45037</v>
      </c>
      <c r="E1425" s="14">
        <f t="shared" si="66"/>
        <v>2023</v>
      </c>
      <c r="F1425" s="29" t="str">
        <f t="shared" si="67"/>
        <v>Apr</v>
      </c>
      <c r="G1425" s="17" t="s">
        <v>29</v>
      </c>
      <c r="H1425" s="17" t="s">
        <v>30</v>
      </c>
      <c r="I1425" s="24">
        <v>22802.395499999999</v>
      </c>
      <c r="J1425" s="32">
        <v>29</v>
      </c>
      <c r="K1425" s="17" t="s">
        <v>16</v>
      </c>
      <c r="L1425" s="24">
        <v>639.58000000000004</v>
      </c>
      <c r="M1425" s="24">
        <v>1107.45</v>
      </c>
      <c r="N1425" s="34">
        <f>((sales_data_1[[#This Row],[Unit_Price]]*(1-sales_data_1[[#This Row],[Discount]]))-sales_data_1[[#This Row],[Unit_Cost]])*sales_data_1[[#This Row],[Quantity_Sold]]</f>
        <v>4254.5754999999981</v>
      </c>
      <c r="O1425" s="17" t="s">
        <v>27</v>
      </c>
      <c r="P1425" s="26">
        <v>0.28999999999999998</v>
      </c>
      <c r="Q1425" s="17" t="s">
        <v>18</v>
      </c>
      <c r="R1425" s="17" t="s">
        <v>21</v>
      </c>
      <c r="S1425" s="50" t="str">
        <f t="shared" si="68"/>
        <v>Charlie-East</v>
      </c>
      <c r="T1425" s="59" t="str">
        <f>IF(ROUND(sales_data_1[[#This Row],[Profit_Margin]],2)=ROUND((sales_data_1[[#This Row],[Unit_Price]]*(1-sales_data_1[[#This Row],[Discount]]) - sales_data_1[[#This Row],[Unit_Cost]])*sales_data_1[[#This Row],[Quantity_Sold]],2), "PASS", "CHECK")</f>
        <v>PASS</v>
      </c>
    </row>
    <row r="1426" spans="1:20" x14ac:dyDescent="0.35">
      <c r="A1426" s="7">
        <v>1425</v>
      </c>
      <c r="B1426" s="9">
        <v>1090</v>
      </c>
      <c r="C1426" s="14" t="str">
        <f>IFERROR(_xlfn.TEXTJOIN("-", TRUE, _xlfn.XLOOKUP(K1426, product_category_id_lookup!$A$2:$A$5, product_category_id_lookup!$B$2:$B$5), B1426), "Unknown Category")</f>
        <v>etc-1090</v>
      </c>
      <c r="D1426" s="8">
        <v>45037</v>
      </c>
      <c r="E1426" s="14">
        <f t="shared" si="66"/>
        <v>2023</v>
      </c>
      <c r="F1426" s="29" t="str">
        <f t="shared" si="67"/>
        <v>Apr</v>
      </c>
      <c r="G1426" s="17" t="s">
        <v>22</v>
      </c>
      <c r="H1426" s="17" t="s">
        <v>20</v>
      </c>
      <c r="I1426" s="24">
        <v>44645.180999999997</v>
      </c>
      <c r="J1426" s="32">
        <v>35</v>
      </c>
      <c r="K1426" s="17" t="s">
        <v>31</v>
      </c>
      <c r="L1426" s="24">
        <v>1130.5999999999999</v>
      </c>
      <c r="M1426" s="24">
        <v>1466.1799999999998</v>
      </c>
      <c r="N1426" s="34">
        <f>((sales_data_1[[#This Row],[Unit_Price]]*(1-sales_data_1[[#This Row],[Discount]]))-sales_data_1[[#This Row],[Unit_Cost]])*sales_data_1[[#This Row],[Quantity_Sold]]</f>
        <v>5074.1809999999987</v>
      </c>
      <c r="O1426" s="17" t="s">
        <v>17</v>
      </c>
      <c r="P1426" s="26">
        <v>0.13</v>
      </c>
      <c r="Q1426" s="17" t="s">
        <v>18</v>
      </c>
      <c r="R1426" s="17" t="s">
        <v>19</v>
      </c>
      <c r="S1426" s="50" t="str">
        <f t="shared" si="68"/>
        <v>David-West</v>
      </c>
      <c r="T1426" s="59" t="str">
        <f>IF(ROUND(sales_data_1[[#This Row],[Profit_Margin]],2)=ROUND((sales_data_1[[#This Row],[Unit_Price]]*(1-sales_data_1[[#This Row],[Discount]]) - sales_data_1[[#This Row],[Unit_Cost]])*sales_data_1[[#This Row],[Quantity_Sold]],2), "PASS", "CHECK")</f>
        <v>PASS</v>
      </c>
    </row>
    <row r="1427" spans="1:20" x14ac:dyDescent="0.35">
      <c r="A1427" s="7">
        <v>1426</v>
      </c>
      <c r="B1427" s="9">
        <v>1093</v>
      </c>
      <c r="C1427" s="14" t="str">
        <f>IFERROR(_xlfn.TEXTJOIN("-", TRUE, _xlfn.XLOOKUP(K1427, product_category_id_lookup!$A$2:$A$5, product_category_id_lookup!$B$2:$B$5), B1427), "Unknown Category")</f>
        <v>fnt-1093</v>
      </c>
      <c r="D1427" s="8">
        <v>45037</v>
      </c>
      <c r="E1427" s="14">
        <f t="shared" si="66"/>
        <v>2023</v>
      </c>
      <c r="F1427" s="29" t="str">
        <f t="shared" si="67"/>
        <v>Apr</v>
      </c>
      <c r="G1427" s="17" t="s">
        <v>14</v>
      </c>
      <c r="H1427" s="17" t="s">
        <v>20</v>
      </c>
      <c r="I1427" s="24">
        <v>70392.720136355405</v>
      </c>
      <c r="J1427" s="32">
        <v>17</v>
      </c>
      <c r="K1427" s="17" t="s">
        <v>16</v>
      </c>
      <c r="L1427" s="24">
        <v>3816.39</v>
      </c>
      <c r="M1427" s="24">
        <v>4209.4399999999996</v>
      </c>
      <c r="N1427" s="34">
        <f>((sales_data_1[[#This Row],[Unit_Price]]*(1-sales_data_1[[#This Row],[Discount]]))-sales_data_1[[#This Row],[Unit_Cost]])*sales_data_1[[#This Row],[Quantity_Sold]]</f>
        <v>5250.6403999999966</v>
      </c>
      <c r="O1427" s="17" t="s">
        <v>17</v>
      </c>
      <c r="P1427" s="26">
        <v>0.02</v>
      </c>
      <c r="Q1427" s="17" t="s">
        <v>18</v>
      </c>
      <c r="R1427" s="17" t="s">
        <v>21</v>
      </c>
      <c r="S1427" s="50" t="str">
        <f t="shared" si="68"/>
        <v>Bob-West</v>
      </c>
      <c r="T1427" s="59" t="str">
        <f>IF(ROUND(sales_data_1[[#This Row],[Profit_Margin]],2)=ROUND((sales_data_1[[#This Row],[Unit_Price]]*(1-sales_data_1[[#This Row],[Discount]]) - sales_data_1[[#This Row],[Unit_Cost]])*sales_data_1[[#This Row],[Quantity_Sold]],2), "PASS", "CHECK")</f>
        <v>PASS</v>
      </c>
    </row>
    <row r="1428" spans="1:20" x14ac:dyDescent="0.35">
      <c r="A1428" s="7">
        <v>1427</v>
      </c>
      <c r="B1428" s="9">
        <v>1047</v>
      </c>
      <c r="C1428" s="14" t="str">
        <f>IFERROR(_xlfn.TEXTJOIN("-", TRUE, _xlfn.XLOOKUP(K1428, product_category_id_lookup!$A$2:$A$5, product_category_id_lookup!$B$2:$B$5), B1428), "Unknown Category")</f>
        <v>fnt-1047</v>
      </c>
      <c r="D1428" s="8">
        <v>45037</v>
      </c>
      <c r="E1428" s="14">
        <f t="shared" si="66"/>
        <v>2023</v>
      </c>
      <c r="F1428" s="29" t="str">
        <f t="shared" si="67"/>
        <v>Apr</v>
      </c>
      <c r="G1428" s="17" t="s">
        <v>32</v>
      </c>
      <c r="H1428" s="17" t="s">
        <v>20</v>
      </c>
      <c r="I1428" s="24">
        <v>34563.437185821684</v>
      </c>
      <c r="J1428" s="32">
        <v>17</v>
      </c>
      <c r="K1428" s="17" t="s">
        <v>16</v>
      </c>
      <c r="L1428" s="24">
        <v>1591.34</v>
      </c>
      <c r="M1428" s="24">
        <v>2043.82</v>
      </c>
      <c r="N1428" s="34">
        <f>((sales_data_1[[#This Row],[Unit_Price]]*(1-sales_data_1[[#This Row],[Discount]]))-sales_data_1[[#This Row],[Unit_Cost]])*sales_data_1[[#This Row],[Quantity_Sold]]</f>
        <v>7344.7105999999994</v>
      </c>
      <c r="O1428" s="17" t="s">
        <v>27</v>
      </c>
      <c r="P1428" s="26">
        <v>0.01</v>
      </c>
      <c r="Q1428" s="17" t="s">
        <v>18</v>
      </c>
      <c r="R1428" s="17" t="s">
        <v>21</v>
      </c>
      <c r="S1428" s="50" t="str">
        <f t="shared" si="68"/>
        <v>Eve-West</v>
      </c>
      <c r="T1428" s="59" t="str">
        <f>IF(ROUND(sales_data_1[[#This Row],[Profit_Margin]],2)=ROUND((sales_data_1[[#This Row],[Unit_Price]]*(1-sales_data_1[[#This Row],[Discount]]) - sales_data_1[[#This Row],[Unit_Cost]])*sales_data_1[[#This Row],[Quantity_Sold]],2), "PASS", "CHECK")</f>
        <v>PASS</v>
      </c>
    </row>
    <row r="1429" spans="1:20" x14ac:dyDescent="0.35">
      <c r="A1429" s="7">
        <v>1428</v>
      </c>
      <c r="B1429" s="9">
        <v>1009</v>
      </c>
      <c r="C1429" s="14" t="str">
        <f>IFERROR(_xlfn.TEXTJOIN("-", TRUE, _xlfn.XLOOKUP(K1429, product_category_id_lookup!$A$2:$A$5, product_category_id_lookup!$B$2:$B$5), B1429), "Unknown Category")</f>
        <v>ctg-1009</v>
      </c>
      <c r="D1429" s="8">
        <v>45037</v>
      </c>
      <c r="E1429" s="14">
        <f t="shared" si="66"/>
        <v>2023</v>
      </c>
      <c r="F1429" s="29" t="str">
        <f t="shared" si="67"/>
        <v>Apr</v>
      </c>
      <c r="G1429" s="17" t="s">
        <v>32</v>
      </c>
      <c r="H1429" s="17" t="s">
        <v>15</v>
      </c>
      <c r="I1429" s="24">
        <v>27560.799999999999</v>
      </c>
      <c r="J1429" s="32">
        <v>47</v>
      </c>
      <c r="K1429" s="17" t="s">
        <v>26</v>
      </c>
      <c r="L1429" s="24">
        <v>359.41</v>
      </c>
      <c r="M1429" s="24">
        <v>733</v>
      </c>
      <c r="N1429" s="34">
        <f>((sales_data_1[[#This Row],[Unit_Price]]*(1-sales_data_1[[#This Row],[Discount]]))-sales_data_1[[#This Row],[Unit_Cost]])*sales_data_1[[#This Row],[Quantity_Sold]]</f>
        <v>10668.529999999997</v>
      </c>
      <c r="O1429" s="17" t="s">
        <v>17</v>
      </c>
      <c r="P1429" s="26">
        <v>0.2</v>
      </c>
      <c r="Q1429" s="17" t="s">
        <v>25</v>
      </c>
      <c r="R1429" s="17" t="s">
        <v>21</v>
      </c>
      <c r="S1429" s="50" t="str">
        <f t="shared" si="68"/>
        <v>Eve-North</v>
      </c>
      <c r="T1429" s="59" t="str">
        <f>IF(ROUND(sales_data_1[[#This Row],[Profit_Margin]],2)=ROUND((sales_data_1[[#This Row],[Unit_Price]]*(1-sales_data_1[[#This Row],[Discount]]) - sales_data_1[[#This Row],[Unit_Cost]])*sales_data_1[[#This Row],[Quantity_Sold]],2), "PASS", "CHECK")</f>
        <v>PASS</v>
      </c>
    </row>
    <row r="1430" spans="1:20" x14ac:dyDescent="0.35">
      <c r="A1430" s="7">
        <v>1429</v>
      </c>
      <c r="B1430" s="9">
        <v>1002</v>
      </c>
      <c r="C1430" s="14" t="str">
        <f>IFERROR(_xlfn.TEXTJOIN("-", TRUE, _xlfn.XLOOKUP(K1430, product_category_id_lookup!$A$2:$A$5, product_category_id_lookup!$B$2:$B$5), B1430), "Unknown Category")</f>
        <v>etc-1002</v>
      </c>
      <c r="D1430" s="8">
        <v>45038</v>
      </c>
      <c r="E1430" s="14">
        <f t="shared" si="66"/>
        <v>2023</v>
      </c>
      <c r="F1430" s="29" t="str">
        <f t="shared" si="67"/>
        <v>Apr</v>
      </c>
      <c r="G1430" s="17" t="s">
        <v>32</v>
      </c>
      <c r="H1430" s="17" t="s">
        <v>15</v>
      </c>
      <c r="I1430" s="24">
        <v>39611.525725814616</v>
      </c>
      <c r="J1430" s="32">
        <v>9</v>
      </c>
      <c r="K1430" s="17" t="s">
        <v>31</v>
      </c>
      <c r="L1430" s="24">
        <v>4398.16</v>
      </c>
      <c r="M1430" s="24">
        <v>4439.12</v>
      </c>
      <c r="N1430" s="34">
        <f>((sales_data_1[[#This Row],[Unit_Price]]*(1-sales_data_1[[#This Row],[Discount]]))-sales_data_1[[#This Row],[Unit_Cost]])*sales_data_1[[#This Row],[Quantity_Sold]]</f>
        <v>-30.880799999999908</v>
      </c>
      <c r="O1430" s="17" t="s">
        <v>27</v>
      </c>
      <c r="P1430" s="26">
        <v>0.01</v>
      </c>
      <c r="Q1430" s="17" t="s">
        <v>25</v>
      </c>
      <c r="R1430" s="17" t="s">
        <v>19</v>
      </c>
      <c r="S1430" s="50" t="str">
        <f t="shared" si="68"/>
        <v>Eve-North</v>
      </c>
      <c r="T1430" s="59" t="str">
        <f>IF(ROUND(sales_data_1[[#This Row],[Profit_Margin]],2)=ROUND((sales_data_1[[#This Row],[Unit_Price]]*(1-sales_data_1[[#This Row],[Discount]]) - sales_data_1[[#This Row],[Unit_Cost]])*sales_data_1[[#This Row],[Quantity_Sold]],2), "PASS", "CHECK")</f>
        <v>PASS</v>
      </c>
    </row>
    <row r="1431" spans="1:20" x14ac:dyDescent="0.35">
      <c r="A1431" s="7">
        <v>1430</v>
      </c>
      <c r="B1431" s="9">
        <v>1061</v>
      </c>
      <c r="C1431" s="14" t="str">
        <f>IFERROR(_xlfn.TEXTJOIN("-", TRUE, _xlfn.XLOOKUP(K1431, product_category_id_lookup!$A$2:$A$5, product_category_id_lookup!$B$2:$B$5), B1431), "Unknown Category")</f>
        <v>etc-1061</v>
      </c>
      <c r="D1431" s="8">
        <v>45038</v>
      </c>
      <c r="E1431" s="14">
        <f t="shared" si="66"/>
        <v>2023</v>
      </c>
      <c r="F1431" s="29" t="str">
        <f t="shared" si="67"/>
        <v>Apr</v>
      </c>
      <c r="G1431" s="17" t="s">
        <v>32</v>
      </c>
      <c r="H1431" s="17" t="s">
        <v>23</v>
      </c>
      <c r="I1431" s="24">
        <v>138943.9350914825</v>
      </c>
      <c r="J1431" s="32">
        <v>39</v>
      </c>
      <c r="K1431" s="17" t="s">
        <v>31</v>
      </c>
      <c r="L1431" s="24">
        <v>3494.19</v>
      </c>
      <c r="M1431" s="24">
        <v>3746</v>
      </c>
      <c r="N1431" s="34">
        <f>((sales_data_1[[#This Row],[Unit_Price]]*(1-sales_data_1[[#This Row],[Discount]]))-sales_data_1[[#This Row],[Unit_Cost]])*sales_data_1[[#This Row],[Quantity_Sold]]</f>
        <v>2515.8899999999908</v>
      </c>
      <c r="O1431" s="17" t="s">
        <v>17</v>
      </c>
      <c r="P1431" s="26">
        <v>0.05</v>
      </c>
      <c r="Q1431" s="17" t="s">
        <v>25</v>
      </c>
      <c r="R1431" s="17" t="s">
        <v>21</v>
      </c>
      <c r="S1431" s="50" t="str">
        <f t="shared" si="68"/>
        <v>Eve-South</v>
      </c>
      <c r="T1431" s="59" t="str">
        <f>IF(ROUND(sales_data_1[[#This Row],[Profit_Margin]],2)=ROUND((sales_data_1[[#This Row],[Unit_Price]]*(1-sales_data_1[[#This Row],[Discount]]) - sales_data_1[[#This Row],[Unit_Cost]])*sales_data_1[[#This Row],[Quantity_Sold]],2), "PASS", "CHECK")</f>
        <v>PASS</v>
      </c>
    </row>
    <row r="1432" spans="1:20" x14ac:dyDescent="0.35">
      <c r="A1432" s="7">
        <v>1431</v>
      </c>
      <c r="B1432" s="9">
        <v>1016</v>
      </c>
      <c r="C1432" s="14" t="str">
        <f>IFERROR(_xlfn.TEXTJOIN("-", TRUE, _xlfn.XLOOKUP(K1432, product_category_id_lookup!$A$2:$A$5, product_category_id_lookup!$B$2:$B$5), B1432), "Unknown Category")</f>
        <v>fnt-1016</v>
      </c>
      <c r="D1432" s="8">
        <v>45039</v>
      </c>
      <c r="E1432" s="14">
        <f t="shared" si="66"/>
        <v>2023</v>
      </c>
      <c r="F1432" s="29" t="str">
        <f t="shared" si="67"/>
        <v>Apr</v>
      </c>
      <c r="G1432" s="17" t="s">
        <v>22</v>
      </c>
      <c r="H1432" s="17" t="s">
        <v>23</v>
      </c>
      <c r="I1432" s="24">
        <v>29271.94411395114</v>
      </c>
      <c r="J1432" s="32">
        <v>6</v>
      </c>
      <c r="K1432" s="17" t="s">
        <v>16</v>
      </c>
      <c r="L1432" s="24">
        <v>4502.09</v>
      </c>
      <c r="M1432" s="24">
        <v>4879.72</v>
      </c>
      <c r="N1432" s="34">
        <f>((sales_data_1[[#This Row],[Unit_Price]]*(1-sales_data_1[[#This Row],[Discount]]))-sales_data_1[[#This Row],[Unit_Cost]])*sales_data_1[[#This Row],[Quantity_Sold]]</f>
        <v>2265.7800000000007</v>
      </c>
      <c r="O1432" s="17" t="s">
        <v>27</v>
      </c>
      <c r="P1432" s="26">
        <v>0</v>
      </c>
      <c r="Q1432" s="17" t="s">
        <v>28</v>
      </c>
      <c r="R1432" s="17" t="s">
        <v>19</v>
      </c>
      <c r="S1432" s="50" t="str">
        <f t="shared" si="68"/>
        <v>David-South</v>
      </c>
      <c r="T1432" s="59" t="str">
        <f>IF(ROUND(sales_data_1[[#This Row],[Profit_Margin]],2)=ROUND((sales_data_1[[#This Row],[Unit_Price]]*(1-sales_data_1[[#This Row],[Discount]]) - sales_data_1[[#This Row],[Unit_Cost]])*sales_data_1[[#This Row],[Quantity_Sold]],2), "PASS", "CHECK")</f>
        <v>PASS</v>
      </c>
    </row>
    <row r="1433" spans="1:20" x14ac:dyDescent="0.35">
      <c r="A1433" s="7">
        <v>1432</v>
      </c>
      <c r="B1433" s="9">
        <v>1060</v>
      </c>
      <c r="C1433" s="14" t="str">
        <f>IFERROR(_xlfn.TEXTJOIN("-", TRUE, _xlfn.XLOOKUP(K1433, product_category_id_lookup!$A$2:$A$5, product_category_id_lookup!$B$2:$B$5), B1433), "Unknown Category")</f>
        <v>ctg-1060</v>
      </c>
      <c r="D1433" s="8">
        <v>45039</v>
      </c>
      <c r="E1433" s="14">
        <f t="shared" si="66"/>
        <v>2023</v>
      </c>
      <c r="F1433" s="29" t="str">
        <f t="shared" si="67"/>
        <v>Apr</v>
      </c>
      <c r="G1433" s="17" t="s">
        <v>32</v>
      </c>
      <c r="H1433" s="17" t="s">
        <v>30</v>
      </c>
      <c r="I1433" s="24">
        <v>98542.790282231261</v>
      </c>
      <c r="J1433" s="32">
        <v>23</v>
      </c>
      <c r="K1433" s="17" t="s">
        <v>26</v>
      </c>
      <c r="L1433" s="24">
        <v>4110.6000000000004</v>
      </c>
      <c r="M1433" s="24">
        <v>4488.3700000000008</v>
      </c>
      <c r="N1433" s="34">
        <f>((sales_data_1[[#This Row],[Unit_Price]]*(1-sales_data_1[[#This Row],[Discount]]))-sales_data_1[[#This Row],[Unit_Cost]])*sales_data_1[[#This Row],[Quantity_Sold]]</f>
        <v>3527.0844999999945</v>
      </c>
      <c r="O1433" s="17" t="s">
        <v>27</v>
      </c>
      <c r="P1433" s="26">
        <v>0.05</v>
      </c>
      <c r="Q1433" s="17" t="s">
        <v>28</v>
      </c>
      <c r="R1433" s="17" t="s">
        <v>19</v>
      </c>
      <c r="S1433" s="50" t="str">
        <f t="shared" si="68"/>
        <v>Eve-East</v>
      </c>
      <c r="T1433" s="59" t="str">
        <f>IF(ROUND(sales_data_1[[#This Row],[Profit_Margin]],2)=ROUND((sales_data_1[[#This Row],[Unit_Price]]*(1-sales_data_1[[#This Row],[Discount]]) - sales_data_1[[#This Row],[Unit_Cost]])*sales_data_1[[#This Row],[Quantity_Sold]],2), "PASS", "CHECK")</f>
        <v>PASS</v>
      </c>
    </row>
    <row r="1434" spans="1:20" x14ac:dyDescent="0.35">
      <c r="A1434" s="7">
        <v>1433</v>
      </c>
      <c r="B1434" s="9">
        <v>1033</v>
      </c>
      <c r="C1434" s="14" t="str">
        <f>IFERROR(_xlfn.TEXTJOIN("-", TRUE, _xlfn.XLOOKUP(K1434, product_category_id_lookup!$A$2:$A$5, product_category_id_lookup!$B$2:$B$5), B1434), "Unknown Category")</f>
        <v>etc-1033</v>
      </c>
      <c r="D1434" s="8">
        <v>45039</v>
      </c>
      <c r="E1434" s="14">
        <f t="shared" si="66"/>
        <v>2023</v>
      </c>
      <c r="F1434" s="29" t="str">
        <f t="shared" si="67"/>
        <v>Apr</v>
      </c>
      <c r="G1434" s="17" t="s">
        <v>29</v>
      </c>
      <c r="H1434" s="17" t="s">
        <v>30</v>
      </c>
      <c r="I1434" s="24">
        <v>57181.534978630094</v>
      </c>
      <c r="J1434" s="32">
        <v>44</v>
      </c>
      <c r="K1434" s="17" t="s">
        <v>31</v>
      </c>
      <c r="L1434" s="24">
        <v>1195.22</v>
      </c>
      <c r="M1434" s="24">
        <v>1320.06</v>
      </c>
      <c r="N1434" s="34">
        <f>((sales_data_1[[#This Row],[Unit_Price]]*(1-sales_data_1[[#This Row],[Discount]]))-sales_data_1[[#This Row],[Unit_Cost]])*sales_data_1[[#This Row],[Quantity_Sold]]</f>
        <v>4331.3071999999956</v>
      </c>
      <c r="O1434" s="17" t="s">
        <v>17</v>
      </c>
      <c r="P1434" s="26">
        <v>0.02</v>
      </c>
      <c r="Q1434" s="17" t="s">
        <v>25</v>
      </c>
      <c r="R1434" s="17" t="s">
        <v>21</v>
      </c>
      <c r="S1434" s="50" t="str">
        <f t="shared" si="68"/>
        <v>Charlie-East</v>
      </c>
      <c r="T1434" s="59" t="str">
        <f>IF(ROUND(sales_data_1[[#This Row],[Profit_Margin]],2)=ROUND((sales_data_1[[#This Row],[Unit_Price]]*(1-sales_data_1[[#This Row],[Discount]]) - sales_data_1[[#This Row],[Unit_Cost]])*sales_data_1[[#This Row],[Quantity_Sold]],2), "PASS", "CHECK")</f>
        <v>PASS</v>
      </c>
    </row>
    <row r="1435" spans="1:20" x14ac:dyDescent="0.35">
      <c r="A1435" s="7">
        <v>1434</v>
      </c>
      <c r="B1435" s="9">
        <v>1008</v>
      </c>
      <c r="C1435" s="14" t="str">
        <f>IFERROR(_xlfn.TEXTJOIN("-", TRUE, _xlfn.XLOOKUP(K1435, product_category_id_lookup!$A$2:$A$5, product_category_id_lookup!$B$2:$B$5), B1435), "Unknown Category")</f>
        <v>ctg-1008</v>
      </c>
      <c r="D1435" s="8">
        <v>45039</v>
      </c>
      <c r="E1435" s="14">
        <f t="shared" si="66"/>
        <v>2023</v>
      </c>
      <c r="F1435" s="29" t="str">
        <f t="shared" si="67"/>
        <v>Apr</v>
      </c>
      <c r="G1435" s="17" t="s">
        <v>32</v>
      </c>
      <c r="H1435" s="17" t="s">
        <v>15</v>
      </c>
      <c r="I1435" s="24">
        <v>26336.527000000002</v>
      </c>
      <c r="J1435" s="32">
        <v>35</v>
      </c>
      <c r="K1435" s="17" t="s">
        <v>26</v>
      </c>
      <c r="L1435" s="24">
        <v>600.20000000000005</v>
      </c>
      <c r="M1435" s="24">
        <v>1059.8200000000002</v>
      </c>
      <c r="N1435" s="34">
        <f>((sales_data_1[[#This Row],[Unit_Price]]*(1-sales_data_1[[#This Row],[Discount]]))-sales_data_1[[#This Row],[Unit_Cost]])*sales_data_1[[#This Row],[Quantity_Sold]]</f>
        <v>5329.527</v>
      </c>
      <c r="O1435" s="17" t="s">
        <v>17</v>
      </c>
      <c r="P1435" s="26">
        <v>0.28999999999999998</v>
      </c>
      <c r="Q1435" s="17" t="s">
        <v>25</v>
      </c>
      <c r="R1435" s="17" t="s">
        <v>21</v>
      </c>
      <c r="S1435" s="50" t="str">
        <f t="shared" si="68"/>
        <v>Eve-North</v>
      </c>
      <c r="T1435" s="59" t="str">
        <f>IF(ROUND(sales_data_1[[#This Row],[Profit_Margin]],2)=ROUND((sales_data_1[[#This Row],[Unit_Price]]*(1-sales_data_1[[#This Row],[Discount]]) - sales_data_1[[#This Row],[Unit_Cost]])*sales_data_1[[#This Row],[Quantity_Sold]],2), "PASS", "CHECK")</f>
        <v>PASS</v>
      </c>
    </row>
    <row r="1436" spans="1:20" x14ac:dyDescent="0.35">
      <c r="A1436" s="7">
        <v>1435</v>
      </c>
      <c r="B1436" s="9">
        <v>1024</v>
      </c>
      <c r="C1436" s="14" t="str">
        <f>IFERROR(_xlfn.TEXTJOIN("-", TRUE, _xlfn.XLOOKUP(K1436, product_category_id_lookup!$A$2:$A$5, product_category_id_lookup!$B$2:$B$5), B1436), "Unknown Category")</f>
        <v>fnt-1024</v>
      </c>
      <c r="D1436" s="8">
        <v>45040</v>
      </c>
      <c r="E1436" s="14">
        <f t="shared" si="66"/>
        <v>2023</v>
      </c>
      <c r="F1436" s="29" t="str">
        <f t="shared" si="67"/>
        <v>Apr</v>
      </c>
      <c r="G1436" s="17" t="s">
        <v>22</v>
      </c>
      <c r="H1436" s="17" t="s">
        <v>15</v>
      </c>
      <c r="I1436" s="24">
        <v>72614.169788135623</v>
      </c>
      <c r="J1436" s="32">
        <v>35</v>
      </c>
      <c r="K1436" s="17" t="s">
        <v>16</v>
      </c>
      <c r="L1436" s="24">
        <v>2051</v>
      </c>
      <c r="M1436" s="24">
        <v>2121.5500000000002</v>
      </c>
      <c r="N1436" s="34">
        <f>((sales_data_1[[#This Row],[Unit_Price]]*(1-sales_data_1[[#This Row],[Discount]]))-sales_data_1[[#This Row],[Unit_Cost]])*sales_data_1[[#This Row],[Quantity_Sold]]</f>
        <v>984.16500000000497</v>
      </c>
      <c r="O1436" s="17" t="s">
        <v>17</v>
      </c>
      <c r="P1436" s="26">
        <v>0.02</v>
      </c>
      <c r="Q1436" s="17" t="s">
        <v>18</v>
      </c>
      <c r="R1436" s="17" t="s">
        <v>21</v>
      </c>
      <c r="S1436" s="50" t="str">
        <f t="shared" si="68"/>
        <v>David-North</v>
      </c>
      <c r="T1436" s="59" t="str">
        <f>IF(ROUND(sales_data_1[[#This Row],[Profit_Margin]],2)=ROUND((sales_data_1[[#This Row],[Unit_Price]]*(1-sales_data_1[[#This Row],[Discount]]) - sales_data_1[[#This Row],[Unit_Cost]])*sales_data_1[[#This Row],[Quantity_Sold]],2), "PASS", "CHECK")</f>
        <v>PASS</v>
      </c>
    </row>
    <row r="1437" spans="1:20" x14ac:dyDescent="0.35">
      <c r="A1437" s="7">
        <v>1436</v>
      </c>
      <c r="B1437" s="9">
        <v>1054</v>
      </c>
      <c r="C1437" s="14" t="str">
        <f>IFERROR(_xlfn.TEXTJOIN("-", TRUE, _xlfn.XLOOKUP(K1437, product_category_id_lookup!$A$2:$A$5, product_category_id_lookup!$B$2:$B$5), B1437), "Unknown Category")</f>
        <v>fd-1054</v>
      </c>
      <c r="D1437" s="8">
        <v>45040</v>
      </c>
      <c r="E1437" s="14">
        <f t="shared" si="66"/>
        <v>2023</v>
      </c>
      <c r="F1437" s="29" t="str">
        <f t="shared" si="67"/>
        <v>Apr</v>
      </c>
      <c r="G1437" s="17" t="s">
        <v>22</v>
      </c>
      <c r="H1437" s="17" t="s">
        <v>15</v>
      </c>
      <c r="I1437" s="24">
        <v>113477.99040000001</v>
      </c>
      <c r="J1437" s="32">
        <v>48</v>
      </c>
      <c r="K1437" s="17" t="s">
        <v>24</v>
      </c>
      <c r="L1437" s="24">
        <v>2316.92</v>
      </c>
      <c r="M1437" s="24">
        <v>2462.63</v>
      </c>
      <c r="N1437" s="34">
        <f>((sales_data_1[[#This Row],[Unit_Price]]*(1-sales_data_1[[#This Row],[Discount]]))-sales_data_1[[#This Row],[Unit_Cost]])*sales_data_1[[#This Row],[Quantity_Sold]]</f>
        <v>2265.8303999999989</v>
      </c>
      <c r="O1437" s="17" t="s">
        <v>27</v>
      </c>
      <c r="P1437" s="26">
        <v>0.04</v>
      </c>
      <c r="Q1437" s="17" t="s">
        <v>28</v>
      </c>
      <c r="R1437" s="17" t="s">
        <v>19</v>
      </c>
      <c r="S1437" s="50" t="str">
        <f t="shared" si="68"/>
        <v>David-North</v>
      </c>
      <c r="T1437" s="59" t="str">
        <f>IF(ROUND(sales_data_1[[#This Row],[Profit_Margin]],2)=ROUND((sales_data_1[[#This Row],[Unit_Price]]*(1-sales_data_1[[#This Row],[Discount]]) - sales_data_1[[#This Row],[Unit_Cost]])*sales_data_1[[#This Row],[Quantity_Sold]],2), "PASS", "CHECK")</f>
        <v>PASS</v>
      </c>
    </row>
    <row r="1438" spans="1:20" x14ac:dyDescent="0.35">
      <c r="A1438" s="7">
        <v>1437</v>
      </c>
      <c r="B1438" s="9">
        <v>1095</v>
      </c>
      <c r="C1438" s="14" t="str">
        <f>IFERROR(_xlfn.TEXTJOIN("-", TRUE, _xlfn.XLOOKUP(K1438, product_category_id_lookup!$A$2:$A$5, product_category_id_lookup!$B$2:$B$5), B1438), "Unknown Category")</f>
        <v>etc-1095</v>
      </c>
      <c r="D1438" s="8">
        <v>45041</v>
      </c>
      <c r="E1438" s="14">
        <f t="shared" si="66"/>
        <v>2023</v>
      </c>
      <c r="F1438" s="29" t="str">
        <f t="shared" si="67"/>
        <v>Apr</v>
      </c>
      <c r="G1438" s="17" t="s">
        <v>14</v>
      </c>
      <c r="H1438" s="17" t="s">
        <v>23</v>
      </c>
      <c r="I1438" s="24">
        <v>32271.615310147616</v>
      </c>
      <c r="J1438" s="32">
        <v>10</v>
      </c>
      <c r="K1438" s="17" t="s">
        <v>31</v>
      </c>
      <c r="L1438" s="24">
        <v>3155.97</v>
      </c>
      <c r="M1438" s="24">
        <v>3263.49</v>
      </c>
      <c r="N1438" s="34">
        <f>((sales_data_1[[#This Row],[Unit_Price]]*(1-sales_data_1[[#This Row],[Discount]]))-sales_data_1[[#This Row],[Unit_Cost]])*sales_data_1[[#This Row],[Quantity_Sold]]</f>
        <v>748.85099999999966</v>
      </c>
      <c r="O1438" s="17" t="s">
        <v>17</v>
      </c>
      <c r="P1438" s="26">
        <v>0.01</v>
      </c>
      <c r="Q1438" s="17" t="s">
        <v>28</v>
      </c>
      <c r="R1438" s="17" t="s">
        <v>19</v>
      </c>
      <c r="S1438" s="50" t="str">
        <f t="shared" si="68"/>
        <v>Bob-South</v>
      </c>
      <c r="T1438" s="59" t="str">
        <f>IF(ROUND(sales_data_1[[#This Row],[Profit_Margin]],2)=ROUND((sales_data_1[[#This Row],[Unit_Price]]*(1-sales_data_1[[#This Row],[Discount]]) - sales_data_1[[#This Row],[Unit_Cost]])*sales_data_1[[#This Row],[Quantity_Sold]],2), "PASS", "CHECK")</f>
        <v>PASS</v>
      </c>
    </row>
    <row r="1439" spans="1:20" x14ac:dyDescent="0.35">
      <c r="A1439" s="7">
        <v>1438</v>
      </c>
      <c r="B1439" s="9">
        <v>1039</v>
      </c>
      <c r="C1439" s="14" t="str">
        <f>IFERROR(_xlfn.TEXTJOIN("-", TRUE, _xlfn.XLOOKUP(K1439, product_category_id_lookup!$A$2:$A$5, product_category_id_lookup!$B$2:$B$5), B1439), "Unknown Category")</f>
        <v>ctg-1039</v>
      </c>
      <c r="D1439" s="8">
        <v>45041</v>
      </c>
      <c r="E1439" s="14">
        <f t="shared" si="66"/>
        <v>2023</v>
      </c>
      <c r="F1439" s="29" t="str">
        <f t="shared" si="67"/>
        <v>Apr</v>
      </c>
      <c r="G1439" s="17" t="s">
        <v>33</v>
      </c>
      <c r="H1439" s="17" t="s">
        <v>30</v>
      </c>
      <c r="I1439" s="24">
        <v>73422.509717037479</v>
      </c>
      <c r="J1439" s="32">
        <v>24</v>
      </c>
      <c r="K1439" s="17" t="s">
        <v>26</v>
      </c>
      <c r="L1439" s="24">
        <v>2615.48</v>
      </c>
      <c r="M1439" s="24">
        <v>3062.2200000000003</v>
      </c>
      <c r="N1439" s="34">
        <f>((sales_data_1[[#This Row],[Unit_Price]]*(1-sales_data_1[[#This Row],[Discount]]))-sales_data_1[[#This Row],[Unit_Cost]])*sales_data_1[[#This Row],[Quantity_Sold]]</f>
        <v>10721.760000000006</v>
      </c>
      <c r="O1439" s="17" t="s">
        <v>27</v>
      </c>
      <c r="P1439" s="26">
        <v>0</v>
      </c>
      <c r="Q1439" s="17" t="s">
        <v>25</v>
      </c>
      <c r="R1439" s="17" t="s">
        <v>21</v>
      </c>
      <c r="S1439" s="50" t="str">
        <f t="shared" si="68"/>
        <v>Alice-East</v>
      </c>
      <c r="T1439" s="59" t="str">
        <f>IF(ROUND(sales_data_1[[#This Row],[Profit_Margin]],2)=ROUND((sales_data_1[[#This Row],[Unit_Price]]*(1-sales_data_1[[#This Row],[Discount]]) - sales_data_1[[#This Row],[Unit_Cost]])*sales_data_1[[#This Row],[Quantity_Sold]],2), "PASS", "CHECK")</f>
        <v>PASS</v>
      </c>
    </row>
    <row r="1440" spans="1:20" x14ac:dyDescent="0.35">
      <c r="A1440" s="7">
        <v>1439</v>
      </c>
      <c r="B1440" s="9">
        <v>1075</v>
      </c>
      <c r="C1440" s="14" t="str">
        <f>IFERROR(_xlfn.TEXTJOIN("-", TRUE, _xlfn.XLOOKUP(K1440, product_category_id_lookup!$A$2:$A$5, product_category_id_lookup!$B$2:$B$5), B1440), "Unknown Category")</f>
        <v>fnt-1075</v>
      </c>
      <c r="D1440" s="8">
        <v>45041</v>
      </c>
      <c r="E1440" s="14">
        <f t="shared" si="66"/>
        <v>2023</v>
      </c>
      <c r="F1440" s="29" t="str">
        <f t="shared" si="67"/>
        <v>Apr</v>
      </c>
      <c r="G1440" s="17" t="s">
        <v>22</v>
      </c>
      <c r="H1440" s="17" t="s">
        <v>20</v>
      </c>
      <c r="I1440" s="24">
        <v>167709.46128256974</v>
      </c>
      <c r="J1440" s="32">
        <v>44</v>
      </c>
      <c r="K1440" s="17" t="s">
        <v>16</v>
      </c>
      <c r="L1440" s="24">
        <v>3519.29</v>
      </c>
      <c r="M1440" s="24">
        <v>3822.98</v>
      </c>
      <c r="N1440" s="34">
        <f>((sales_data_1[[#This Row],[Unit_Price]]*(1-sales_data_1[[#This Row],[Discount]]))-sales_data_1[[#This Row],[Unit_Cost]])*sales_data_1[[#This Row],[Quantity_Sold]]</f>
        <v>13362.360000000002</v>
      </c>
      <c r="O1440" s="17" t="s">
        <v>17</v>
      </c>
      <c r="P1440" s="26">
        <v>0</v>
      </c>
      <c r="Q1440" s="17" t="s">
        <v>25</v>
      </c>
      <c r="R1440" s="17" t="s">
        <v>19</v>
      </c>
      <c r="S1440" s="50" t="str">
        <f t="shared" si="68"/>
        <v>David-West</v>
      </c>
      <c r="T1440" s="59" t="str">
        <f>IF(ROUND(sales_data_1[[#This Row],[Profit_Margin]],2)=ROUND((sales_data_1[[#This Row],[Unit_Price]]*(1-sales_data_1[[#This Row],[Discount]]) - sales_data_1[[#This Row],[Unit_Cost]])*sales_data_1[[#This Row],[Quantity_Sold]],2), "PASS", "CHECK")</f>
        <v>PASS</v>
      </c>
    </row>
    <row r="1441" spans="1:20" x14ac:dyDescent="0.35">
      <c r="A1441" s="7">
        <v>1440</v>
      </c>
      <c r="B1441" s="9">
        <v>1075</v>
      </c>
      <c r="C1441" s="14" t="str">
        <f>IFERROR(_xlfn.TEXTJOIN("-", TRUE, _xlfn.XLOOKUP(K1441, product_category_id_lookup!$A$2:$A$5, product_category_id_lookup!$B$2:$B$5), B1441), "Unknown Category")</f>
        <v>etc-1075</v>
      </c>
      <c r="D1441" s="8">
        <v>45042</v>
      </c>
      <c r="E1441" s="14">
        <f t="shared" si="66"/>
        <v>2023</v>
      </c>
      <c r="F1441" s="29" t="str">
        <f t="shared" si="67"/>
        <v>Apr</v>
      </c>
      <c r="G1441" s="17" t="s">
        <v>22</v>
      </c>
      <c r="H1441" s="17" t="s">
        <v>23</v>
      </c>
      <c r="I1441" s="24">
        <v>171344.99861663696</v>
      </c>
      <c r="J1441" s="32">
        <v>37</v>
      </c>
      <c r="K1441" s="17" t="s">
        <v>31</v>
      </c>
      <c r="L1441" s="24">
        <v>4399.8</v>
      </c>
      <c r="M1441" s="24">
        <v>4801.0600000000004</v>
      </c>
      <c r="N1441" s="34">
        <f>((sales_data_1[[#This Row],[Unit_Price]]*(1-sales_data_1[[#This Row],[Discount]]))-sales_data_1[[#This Row],[Unit_Cost]])*sales_data_1[[#This Row],[Quantity_Sold]]</f>
        <v>7741.0511999999981</v>
      </c>
      <c r="O1441" s="17" t="s">
        <v>27</v>
      </c>
      <c r="P1441" s="26">
        <v>0.04</v>
      </c>
      <c r="Q1441" s="17" t="s">
        <v>25</v>
      </c>
      <c r="R1441" s="17" t="s">
        <v>21</v>
      </c>
      <c r="S1441" s="50" t="str">
        <f t="shared" si="68"/>
        <v>David-South</v>
      </c>
      <c r="T1441" s="59" t="str">
        <f>IF(ROUND(sales_data_1[[#This Row],[Profit_Margin]],2)=ROUND((sales_data_1[[#This Row],[Unit_Price]]*(1-sales_data_1[[#This Row],[Discount]]) - sales_data_1[[#This Row],[Unit_Cost]])*sales_data_1[[#This Row],[Quantity_Sold]],2), "PASS", "CHECK")</f>
        <v>PASS</v>
      </c>
    </row>
    <row r="1442" spans="1:20" x14ac:dyDescent="0.35">
      <c r="A1442" s="7">
        <v>1441</v>
      </c>
      <c r="B1442" s="9">
        <v>1020</v>
      </c>
      <c r="C1442" s="14" t="str">
        <f>IFERROR(_xlfn.TEXTJOIN("-", TRUE, _xlfn.XLOOKUP(K1442, product_category_id_lookup!$A$2:$A$5, product_category_id_lookup!$B$2:$B$5), B1442), "Unknown Category")</f>
        <v>fnt-1020</v>
      </c>
      <c r="D1442" s="8">
        <v>45043</v>
      </c>
      <c r="E1442" s="14">
        <f t="shared" si="66"/>
        <v>2023</v>
      </c>
      <c r="F1442" s="29" t="str">
        <f t="shared" si="67"/>
        <v>Apr</v>
      </c>
      <c r="G1442" s="17" t="s">
        <v>33</v>
      </c>
      <c r="H1442" s="17" t="s">
        <v>23</v>
      </c>
      <c r="I1442" s="24">
        <v>157840.7839898557</v>
      </c>
      <c r="J1442" s="32">
        <v>33</v>
      </c>
      <c r="K1442" s="17" t="s">
        <v>16</v>
      </c>
      <c r="L1442" s="24">
        <v>4772.03</v>
      </c>
      <c r="M1442" s="24">
        <v>4805.17</v>
      </c>
      <c r="N1442" s="34">
        <f>((sales_data_1[[#This Row],[Unit_Price]]*(1-sales_data_1[[#This Row],[Discount]]))-sales_data_1[[#This Row],[Unit_Cost]])*sales_data_1[[#This Row],[Quantity_Sold]]</f>
        <v>1093.6200000000108</v>
      </c>
      <c r="O1442" s="17" t="s">
        <v>17</v>
      </c>
      <c r="P1442" s="26">
        <v>0</v>
      </c>
      <c r="Q1442" s="17" t="s">
        <v>25</v>
      </c>
      <c r="R1442" s="17" t="s">
        <v>19</v>
      </c>
      <c r="S1442" s="50" t="str">
        <f t="shared" si="68"/>
        <v>Alice-South</v>
      </c>
      <c r="T1442" s="59" t="str">
        <f>IF(ROUND(sales_data_1[[#This Row],[Profit_Margin]],2)=ROUND((sales_data_1[[#This Row],[Unit_Price]]*(1-sales_data_1[[#This Row],[Discount]]) - sales_data_1[[#This Row],[Unit_Cost]])*sales_data_1[[#This Row],[Quantity_Sold]],2), "PASS", "CHECK")</f>
        <v>PASS</v>
      </c>
    </row>
    <row r="1443" spans="1:20" x14ac:dyDescent="0.35">
      <c r="A1443" s="7">
        <v>1442</v>
      </c>
      <c r="B1443" s="9">
        <v>1018</v>
      </c>
      <c r="C1443" s="14" t="str">
        <f>IFERROR(_xlfn.TEXTJOIN("-", TRUE, _xlfn.XLOOKUP(K1443, product_category_id_lookup!$A$2:$A$5, product_category_id_lookup!$B$2:$B$5), B1443), "Unknown Category")</f>
        <v>ctg-1018</v>
      </c>
      <c r="D1443" s="8">
        <v>45043</v>
      </c>
      <c r="E1443" s="14">
        <f t="shared" si="66"/>
        <v>2023</v>
      </c>
      <c r="F1443" s="29" t="str">
        <f t="shared" si="67"/>
        <v>Apr</v>
      </c>
      <c r="G1443" s="17" t="s">
        <v>22</v>
      </c>
      <c r="H1443" s="17" t="s">
        <v>23</v>
      </c>
      <c r="I1443" s="24">
        <v>7003.5546000000004</v>
      </c>
      <c r="J1443" s="32">
        <v>17</v>
      </c>
      <c r="K1443" s="17" t="s">
        <v>26</v>
      </c>
      <c r="L1443" s="24">
        <v>355.72</v>
      </c>
      <c r="M1443" s="24">
        <v>438.27000000000004</v>
      </c>
      <c r="N1443" s="34">
        <f>((sales_data_1[[#This Row],[Unit_Price]]*(1-sales_data_1[[#This Row],[Discount]]))-sales_data_1[[#This Row],[Unit_Cost]])*sales_data_1[[#This Row],[Quantity_Sold]]</f>
        <v>956.31460000000015</v>
      </c>
      <c r="O1443" s="17" t="s">
        <v>17</v>
      </c>
      <c r="P1443" s="26">
        <v>0.06</v>
      </c>
      <c r="Q1443" s="17" t="s">
        <v>25</v>
      </c>
      <c r="R1443" s="17" t="s">
        <v>19</v>
      </c>
      <c r="S1443" s="50" t="str">
        <f t="shared" si="68"/>
        <v>David-South</v>
      </c>
      <c r="T1443" s="59" t="str">
        <f>IF(ROUND(sales_data_1[[#This Row],[Profit_Margin]],2)=ROUND((sales_data_1[[#This Row],[Unit_Price]]*(1-sales_data_1[[#This Row],[Discount]]) - sales_data_1[[#This Row],[Unit_Cost]])*sales_data_1[[#This Row],[Quantity_Sold]],2), "PASS", "CHECK")</f>
        <v>PASS</v>
      </c>
    </row>
    <row r="1444" spans="1:20" x14ac:dyDescent="0.35">
      <c r="A1444" s="7">
        <v>1443</v>
      </c>
      <c r="B1444" s="9">
        <v>1001</v>
      </c>
      <c r="C1444" s="14" t="str">
        <f>IFERROR(_xlfn.TEXTJOIN("-", TRUE, _xlfn.XLOOKUP(K1444, product_category_id_lookup!$A$2:$A$5, product_category_id_lookup!$B$2:$B$5), B1444), "Unknown Category")</f>
        <v>etc-1001</v>
      </c>
      <c r="D1444" s="8">
        <v>45043</v>
      </c>
      <c r="E1444" s="14">
        <f t="shared" si="66"/>
        <v>2023</v>
      </c>
      <c r="F1444" s="29" t="str">
        <f t="shared" si="67"/>
        <v>Apr</v>
      </c>
      <c r="G1444" s="17" t="s">
        <v>32</v>
      </c>
      <c r="H1444" s="17" t="s">
        <v>30</v>
      </c>
      <c r="I1444" s="24">
        <v>37078.902678546765</v>
      </c>
      <c r="J1444" s="32">
        <v>25</v>
      </c>
      <c r="K1444" s="17" t="s">
        <v>31</v>
      </c>
      <c r="L1444" s="24">
        <v>1330.62</v>
      </c>
      <c r="M1444" s="24">
        <v>1543.6899999999998</v>
      </c>
      <c r="N1444" s="34">
        <f>((sales_data_1[[#This Row],[Unit_Price]]*(1-sales_data_1[[#This Row],[Discount]]))-sales_data_1[[#This Row],[Unit_Cost]])*sales_data_1[[#This Row],[Quantity_Sold]]</f>
        <v>3783.0599999999949</v>
      </c>
      <c r="O1444" s="17" t="s">
        <v>27</v>
      </c>
      <c r="P1444" s="26">
        <v>0.04</v>
      </c>
      <c r="Q1444" s="17" t="s">
        <v>28</v>
      </c>
      <c r="R1444" s="17" t="s">
        <v>19</v>
      </c>
      <c r="S1444" s="50" t="str">
        <f t="shared" si="68"/>
        <v>Eve-East</v>
      </c>
      <c r="T1444" s="59" t="str">
        <f>IF(ROUND(sales_data_1[[#This Row],[Profit_Margin]],2)=ROUND((sales_data_1[[#This Row],[Unit_Price]]*(1-sales_data_1[[#This Row],[Discount]]) - sales_data_1[[#This Row],[Unit_Cost]])*sales_data_1[[#This Row],[Quantity_Sold]],2), "PASS", "CHECK")</f>
        <v>PASS</v>
      </c>
    </row>
    <row r="1445" spans="1:20" x14ac:dyDescent="0.35">
      <c r="A1445" s="7">
        <v>1444</v>
      </c>
      <c r="B1445" s="9">
        <v>1064</v>
      </c>
      <c r="C1445" s="14" t="str">
        <f>IFERROR(_xlfn.TEXTJOIN("-", TRUE, _xlfn.XLOOKUP(K1445, product_category_id_lookup!$A$2:$A$5, product_category_id_lookup!$B$2:$B$5), B1445), "Unknown Category")</f>
        <v>ctg-1064</v>
      </c>
      <c r="D1445" s="8">
        <v>45043</v>
      </c>
      <c r="E1445" s="14">
        <f t="shared" si="66"/>
        <v>2023</v>
      </c>
      <c r="F1445" s="29" t="str">
        <f t="shared" si="67"/>
        <v>Apr</v>
      </c>
      <c r="G1445" s="17" t="s">
        <v>14</v>
      </c>
      <c r="H1445" s="17" t="s">
        <v>15</v>
      </c>
      <c r="I1445" s="24">
        <v>25815.619834505647</v>
      </c>
      <c r="J1445" s="32">
        <v>13</v>
      </c>
      <c r="K1445" s="17" t="s">
        <v>26</v>
      </c>
      <c r="L1445" s="24">
        <v>1645.51</v>
      </c>
      <c r="M1445" s="24">
        <v>2045.53</v>
      </c>
      <c r="N1445" s="34">
        <f>((sales_data_1[[#This Row],[Unit_Price]]*(1-sales_data_1[[#This Row],[Discount]]))-sales_data_1[[#This Row],[Unit_Cost]])*sales_data_1[[#This Row],[Quantity_Sold]]</f>
        <v>4402.5032999999994</v>
      </c>
      <c r="O1445" s="17" t="s">
        <v>17</v>
      </c>
      <c r="P1445" s="26">
        <v>0.03</v>
      </c>
      <c r="Q1445" s="17" t="s">
        <v>18</v>
      </c>
      <c r="R1445" s="17" t="s">
        <v>21</v>
      </c>
      <c r="S1445" s="50" t="str">
        <f t="shared" si="68"/>
        <v>Bob-North</v>
      </c>
      <c r="T1445" s="59" t="str">
        <f>IF(ROUND(sales_data_1[[#This Row],[Profit_Margin]],2)=ROUND((sales_data_1[[#This Row],[Unit_Price]]*(1-sales_data_1[[#This Row],[Discount]]) - sales_data_1[[#This Row],[Unit_Cost]])*sales_data_1[[#This Row],[Quantity_Sold]],2), "PASS", "CHECK")</f>
        <v>PASS</v>
      </c>
    </row>
    <row r="1446" spans="1:20" x14ac:dyDescent="0.35">
      <c r="A1446" s="7">
        <v>1445</v>
      </c>
      <c r="B1446" s="9">
        <v>1024</v>
      </c>
      <c r="C1446" s="14" t="str">
        <f>IFERROR(_xlfn.TEXTJOIN("-", TRUE, _xlfn.XLOOKUP(K1446, product_category_id_lookup!$A$2:$A$5, product_category_id_lookup!$B$2:$B$5), B1446), "Unknown Category")</f>
        <v>fd-1024</v>
      </c>
      <c r="D1446" s="8">
        <v>45043</v>
      </c>
      <c r="E1446" s="14">
        <f t="shared" si="66"/>
        <v>2023</v>
      </c>
      <c r="F1446" s="29" t="str">
        <f t="shared" si="67"/>
        <v>Apr</v>
      </c>
      <c r="G1446" s="17" t="s">
        <v>33</v>
      </c>
      <c r="H1446" s="17" t="s">
        <v>20</v>
      </c>
      <c r="I1446" s="24">
        <v>92333.934000000008</v>
      </c>
      <c r="J1446" s="32">
        <v>42</v>
      </c>
      <c r="K1446" s="17" t="s">
        <v>24</v>
      </c>
      <c r="L1446" s="24">
        <v>2069.0500000000002</v>
      </c>
      <c r="M1446" s="24">
        <v>2363.9</v>
      </c>
      <c r="N1446" s="34">
        <f>((sales_data_1[[#This Row],[Unit_Price]]*(1-sales_data_1[[#This Row],[Discount]]))-sales_data_1[[#This Row],[Unit_Cost]])*sales_data_1[[#This Row],[Quantity_Sold]]</f>
        <v>5433.833999999998</v>
      </c>
      <c r="O1446" s="17" t="s">
        <v>17</v>
      </c>
      <c r="P1446" s="26">
        <v>7.0000000000000007E-2</v>
      </c>
      <c r="Q1446" s="17" t="s">
        <v>18</v>
      </c>
      <c r="R1446" s="17" t="s">
        <v>19</v>
      </c>
      <c r="S1446" s="50" t="str">
        <f t="shared" si="68"/>
        <v>Alice-West</v>
      </c>
      <c r="T1446" s="59" t="str">
        <f>IF(ROUND(sales_data_1[[#This Row],[Profit_Margin]],2)=ROUND((sales_data_1[[#This Row],[Unit_Price]]*(1-sales_data_1[[#This Row],[Discount]]) - sales_data_1[[#This Row],[Unit_Cost]])*sales_data_1[[#This Row],[Quantity_Sold]],2), "PASS", "CHECK")</f>
        <v>PASS</v>
      </c>
    </row>
    <row r="1447" spans="1:20" x14ac:dyDescent="0.35">
      <c r="A1447" s="7">
        <v>1446</v>
      </c>
      <c r="B1447" s="9">
        <v>1036</v>
      </c>
      <c r="C1447" s="14" t="str">
        <f>IFERROR(_xlfn.TEXTJOIN("-", TRUE, _xlfn.XLOOKUP(K1447, product_category_id_lookup!$A$2:$A$5, product_category_id_lookup!$B$2:$B$5), B1447), "Unknown Category")</f>
        <v>fnt-1036</v>
      </c>
      <c r="D1447" s="8">
        <v>45044</v>
      </c>
      <c r="E1447" s="14">
        <f t="shared" si="66"/>
        <v>2023</v>
      </c>
      <c r="F1447" s="29" t="str">
        <f t="shared" si="67"/>
        <v>Apr</v>
      </c>
      <c r="G1447" s="17" t="s">
        <v>29</v>
      </c>
      <c r="H1447" s="17" t="s">
        <v>20</v>
      </c>
      <c r="I1447" s="24">
        <v>101156.7375</v>
      </c>
      <c r="J1447" s="32">
        <v>25</v>
      </c>
      <c r="K1447" s="17" t="s">
        <v>16</v>
      </c>
      <c r="L1447" s="24">
        <v>4037.73</v>
      </c>
      <c r="M1447" s="24">
        <v>4446.45</v>
      </c>
      <c r="N1447" s="34">
        <f>((sales_data_1[[#This Row],[Unit_Price]]*(1-sales_data_1[[#This Row],[Discount]]))-sales_data_1[[#This Row],[Unit_Cost]])*sales_data_1[[#This Row],[Quantity_Sold]]</f>
        <v>213.48749999999654</v>
      </c>
      <c r="O1447" s="17" t="s">
        <v>17</v>
      </c>
      <c r="P1447" s="26">
        <v>0.09</v>
      </c>
      <c r="Q1447" s="17" t="s">
        <v>25</v>
      </c>
      <c r="R1447" s="17" t="s">
        <v>19</v>
      </c>
      <c r="S1447" s="50" t="str">
        <f t="shared" si="68"/>
        <v>Charlie-West</v>
      </c>
      <c r="T1447" s="59" t="str">
        <f>IF(ROUND(sales_data_1[[#This Row],[Profit_Margin]],2)=ROUND((sales_data_1[[#This Row],[Unit_Price]]*(1-sales_data_1[[#This Row],[Discount]]) - sales_data_1[[#This Row],[Unit_Cost]])*sales_data_1[[#This Row],[Quantity_Sold]],2), "PASS", "CHECK")</f>
        <v>PASS</v>
      </c>
    </row>
    <row r="1448" spans="1:20" x14ac:dyDescent="0.35">
      <c r="A1448" s="7">
        <v>1447</v>
      </c>
      <c r="B1448" s="9">
        <v>1023</v>
      </c>
      <c r="C1448" s="14" t="str">
        <f>IFERROR(_xlfn.TEXTJOIN("-", TRUE, _xlfn.XLOOKUP(K1448, product_category_id_lookup!$A$2:$A$5, product_category_id_lookup!$B$2:$B$5), B1448), "Unknown Category")</f>
        <v>etc-1023</v>
      </c>
      <c r="D1448" s="8">
        <v>45044</v>
      </c>
      <c r="E1448" s="14">
        <f t="shared" si="66"/>
        <v>2023</v>
      </c>
      <c r="F1448" s="29" t="str">
        <f t="shared" si="67"/>
        <v>Apr</v>
      </c>
      <c r="G1448" s="17" t="s">
        <v>29</v>
      </c>
      <c r="H1448" s="17" t="s">
        <v>15</v>
      </c>
      <c r="I1448" s="24">
        <v>11816.400789034196</v>
      </c>
      <c r="J1448" s="32">
        <v>5</v>
      </c>
      <c r="K1448" s="17" t="s">
        <v>31</v>
      </c>
      <c r="L1448" s="24">
        <v>2311.25</v>
      </c>
      <c r="M1448" s="24">
        <v>2482.34</v>
      </c>
      <c r="N1448" s="34">
        <f>((sales_data_1[[#This Row],[Unit_Price]]*(1-sales_data_1[[#This Row],[Discount]]))-sales_data_1[[#This Row],[Unit_Cost]])*sales_data_1[[#This Row],[Quantity_Sold]]</f>
        <v>234.86499999999978</v>
      </c>
      <c r="O1448" s="17" t="s">
        <v>17</v>
      </c>
      <c r="P1448" s="26">
        <v>0.05</v>
      </c>
      <c r="Q1448" s="17" t="s">
        <v>28</v>
      </c>
      <c r="R1448" s="17" t="s">
        <v>21</v>
      </c>
      <c r="S1448" s="50" t="str">
        <f t="shared" si="68"/>
        <v>Charlie-North</v>
      </c>
      <c r="T1448" s="59" t="str">
        <f>IF(ROUND(sales_data_1[[#This Row],[Profit_Margin]],2)=ROUND((sales_data_1[[#This Row],[Unit_Price]]*(1-sales_data_1[[#This Row],[Discount]]) - sales_data_1[[#This Row],[Unit_Cost]])*sales_data_1[[#This Row],[Quantity_Sold]],2), "PASS", "CHECK")</f>
        <v>PASS</v>
      </c>
    </row>
    <row r="1449" spans="1:20" x14ac:dyDescent="0.35">
      <c r="A1449" s="7">
        <v>1448</v>
      </c>
      <c r="B1449" s="9">
        <v>1003</v>
      </c>
      <c r="C1449" s="14" t="str">
        <f>IFERROR(_xlfn.TEXTJOIN("-", TRUE, _xlfn.XLOOKUP(K1449, product_category_id_lookup!$A$2:$A$5, product_category_id_lookup!$B$2:$B$5), B1449), "Unknown Category")</f>
        <v>fnt-1003</v>
      </c>
      <c r="D1449" s="8">
        <v>45044</v>
      </c>
      <c r="E1449" s="14">
        <f t="shared" si="66"/>
        <v>2023</v>
      </c>
      <c r="F1449" s="29" t="str">
        <f t="shared" si="67"/>
        <v>Apr</v>
      </c>
      <c r="G1449" s="17" t="s">
        <v>29</v>
      </c>
      <c r="H1449" s="17" t="s">
        <v>23</v>
      </c>
      <c r="I1449" s="24">
        <v>22126.867200000001</v>
      </c>
      <c r="J1449" s="32">
        <v>27</v>
      </c>
      <c r="K1449" s="17" t="s">
        <v>16</v>
      </c>
      <c r="L1449" s="24">
        <v>623.32000000000005</v>
      </c>
      <c r="M1449" s="24">
        <v>853.66000000000008</v>
      </c>
      <c r="N1449" s="34">
        <f>((sales_data_1[[#This Row],[Unit_Price]]*(1-sales_data_1[[#This Row],[Discount]]))-sales_data_1[[#This Row],[Unit_Cost]])*sales_data_1[[#This Row],[Quantity_Sold]]</f>
        <v>5297.2271999999984</v>
      </c>
      <c r="O1449" s="17" t="s">
        <v>17</v>
      </c>
      <c r="P1449" s="26">
        <v>0.04</v>
      </c>
      <c r="Q1449" s="17" t="s">
        <v>18</v>
      </c>
      <c r="R1449" s="17" t="s">
        <v>19</v>
      </c>
      <c r="S1449" s="50" t="str">
        <f t="shared" si="68"/>
        <v>Charlie-South</v>
      </c>
      <c r="T1449" s="59" t="str">
        <f>IF(ROUND(sales_data_1[[#This Row],[Profit_Margin]],2)=ROUND((sales_data_1[[#This Row],[Unit_Price]]*(1-sales_data_1[[#This Row],[Discount]]) - sales_data_1[[#This Row],[Unit_Cost]])*sales_data_1[[#This Row],[Quantity_Sold]],2), "PASS", "CHECK")</f>
        <v>PASS</v>
      </c>
    </row>
    <row r="1450" spans="1:20" x14ac:dyDescent="0.35">
      <c r="A1450" s="7">
        <v>1449</v>
      </c>
      <c r="B1450" s="9">
        <v>1009</v>
      </c>
      <c r="C1450" s="14" t="str">
        <f>IFERROR(_xlfn.TEXTJOIN("-", TRUE, _xlfn.XLOOKUP(K1450, product_category_id_lookup!$A$2:$A$5, product_category_id_lookup!$B$2:$B$5), B1450), "Unknown Category")</f>
        <v>ctg-1009</v>
      </c>
      <c r="D1450" s="8">
        <v>45044</v>
      </c>
      <c r="E1450" s="14">
        <f t="shared" si="66"/>
        <v>2023</v>
      </c>
      <c r="F1450" s="29" t="str">
        <f t="shared" si="67"/>
        <v>Apr</v>
      </c>
      <c r="G1450" s="17" t="s">
        <v>33</v>
      </c>
      <c r="H1450" s="17" t="s">
        <v>15</v>
      </c>
      <c r="I1450" s="24">
        <v>82353.314999999988</v>
      </c>
      <c r="J1450" s="32">
        <v>33</v>
      </c>
      <c r="K1450" s="17" t="s">
        <v>26</v>
      </c>
      <c r="L1450" s="24">
        <v>2278.9</v>
      </c>
      <c r="M1450" s="24">
        <v>2626.9</v>
      </c>
      <c r="N1450" s="34">
        <f>((sales_data_1[[#This Row],[Unit_Price]]*(1-sales_data_1[[#This Row],[Discount]]))-sales_data_1[[#This Row],[Unit_Cost]])*sales_data_1[[#This Row],[Quantity_Sold]]</f>
        <v>7149.6149999999916</v>
      </c>
      <c r="O1450" s="17" t="s">
        <v>27</v>
      </c>
      <c r="P1450" s="26">
        <v>0.05</v>
      </c>
      <c r="Q1450" s="17" t="s">
        <v>28</v>
      </c>
      <c r="R1450" s="17" t="s">
        <v>19</v>
      </c>
      <c r="S1450" s="50" t="str">
        <f t="shared" si="68"/>
        <v>Alice-North</v>
      </c>
      <c r="T1450" s="59" t="str">
        <f>IF(ROUND(sales_data_1[[#This Row],[Profit_Margin]],2)=ROUND((sales_data_1[[#This Row],[Unit_Price]]*(1-sales_data_1[[#This Row],[Discount]]) - sales_data_1[[#This Row],[Unit_Cost]])*sales_data_1[[#This Row],[Quantity_Sold]],2), "PASS", "CHECK")</f>
        <v>PASS</v>
      </c>
    </row>
    <row r="1451" spans="1:20" x14ac:dyDescent="0.35">
      <c r="A1451" s="7">
        <v>1450</v>
      </c>
      <c r="B1451" s="9">
        <v>1093</v>
      </c>
      <c r="C1451" s="14" t="str">
        <f>IFERROR(_xlfn.TEXTJOIN("-", TRUE, _xlfn.XLOOKUP(K1451, product_category_id_lookup!$A$2:$A$5, product_category_id_lookup!$B$2:$B$5), B1451), "Unknown Category")</f>
        <v>fd-1093</v>
      </c>
      <c r="D1451" s="8">
        <v>45045</v>
      </c>
      <c r="E1451" s="14">
        <f t="shared" si="66"/>
        <v>2023</v>
      </c>
      <c r="F1451" s="29" t="str">
        <f t="shared" si="67"/>
        <v>Apr</v>
      </c>
      <c r="G1451" s="17" t="s">
        <v>33</v>
      </c>
      <c r="H1451" s="17" t="s">
        <v>15</v>
      </c>
      <c r="I1451" s="24">
        <v>143298.95000000001</v>
      </c>
      <c r="J1451" s="32">
        <v>34</v>
      </c>
      <c r="K1451" s="17" t="s">
        <v>24</v>
      </c>
      <c r="L1451" s="24">
        <v>4201.1099999999997</v>
      </c>
      <c r="M1451" s="24">
        <v>4436.5</v>
      </c>
      <c r="N1451" s="34">
        <f>((sales_data_1[[#This Row],[Unit_Price]]*(1-sales_data_1[[#This Row],[Discount]]))-sales_data_1[[#This Row],[Unit_Cost]])*sales_data_1[[#This Row],[Quantity_Sold]]</f>
        <v>461.21000000001732</v>
      </c>
      <c r="O1451" s="17" t="s">
        <v>27</v>
      </c>
      <c r="P1451" s="26">
        <v>0.05</v>
      </c>
      <c r="Q1451" s="17" t="s">
        <v>18</v>
      </c>
      <c r="R1451" s="17" t="s">
        <v>19</v>
      </c>
      <c r="S1451" s="50" t="str">
        <f t="shared" si="68"/>
        <v>Alice-North</v>
      </c>
      <c r="T1451" s="59" t="str">
        <f>IF(ROUND(sales_data_1[[#This Row],[Profit_Margin]],2)=ROUND((sales_data_1[[#This Row],[Unit_Price]]*(1-sales_data_1[[#This Row],[Discount]]) - sales_data_1[[#This Row],[Unit_Cost]])*sales_data_1[[#This Row],[Quantity_Sold]],2), "PASS", "CHECK")</f>
        <v>PASS</v>
      </c>
    </row>
    <row r="1452" spans="1:20" x14ac:dyDescent="0.35">
      <c r="A1452" s="7">
        <v>1451</v>
      </c>
      <c r="B1452" s="9">
        <v>1056</v>
      </c>
      <c r="C1452" s="14" t="str">
        <f>IFERROR(_xlfn.TEXTJOIN("-", TRUE, _xlfn.XLOOKUP(K1452, product_category_id_lookup!$A$2:$A$5, product_category_id_lookup!$B$2:$B$5), B1452), "Unknown Category")</f>
        <v>ctg-1056</v>
      </c>
      <c r="D1452" s="8">
        <v>45045</v>
      </c>
      <c r="E1452" s="14">
        <f t="shared" si="66"/>
        <v>2023</v>
      </c>
      <c r="F1452" s="29" t="str">
        <f t="shared" si="67"/>
        <v>Apr</v>
      </c>
      <c r="G1452" s="17" t="s">
        <v>29</v>
      </c>
      <c r="H1452" s="17" t="s">
        <v>15</v>
      </c>
      <c r="I1452" s="24">
        <v>7139.3199999999988</v>
      </c>
      <c r="J1452" s="32">
        <v>10</v>
      </c>
      <c r="K1452" s="17" t="s">
        <v>26</v>
      </c>
      <c r="L1452" s="24">
        <v>536.80999999999995</v>
      </c>
      <c r="M1452" s="24">
        <v>839.92</v>
      </c>
      <c r="N1452" s="34">
        <f>((sales_data_1[[#This Row],[Unit_Price]]*(1-sales_data_1[[#This Row],[Discount]]))-sales_data_1[[#This Row],[Unit_Cost]])*sales_data_1[[#This Row],[Quantity_Sold]]</f>
        <v>1771.2199999999996</v>
      </c>
      <c r="O1452" s="17" t="s">
        <v>17</v>
      </c>
      <c r="P1452" s="26">
        <v>0.15</v>
      </c>
      <c r="Q1452" s="17" t="s">
        <v>25</v>
      </c>
      <c r="R1452" s="17" t="s">
        <v>19</v>
      </c>
      <c r="S1452" s="50" t="str">
        <f t="shared" si="68"/>
        <v>Charlie-North</v>
      </c>
      <c r="T1452" s="59" t="str">
        <f>IF(ROUND(sales_data_1[[#This Row],[Profit_Margin]],2)=ROUND((sales_data_1[[#This Row],[Unit_Price]]*(1-sales_data_1[[#This Row],[Discount]]) - sales_data_1[[#This Row],[Unit_Cost]])*sales_data_1[[#This Row],[Quantity_Sold]],2), "PASS", "CHECK")</f>
        <v>PASS</v>
      </c>
    </row>
    <row r="1453" spans="1:20" x14ac:dyDescent="0.35">
      <c r="A1453" s="7">
        <v>1452</v>
      </c>
      <c r="B1453" s="9">
        <v>1051</v>
      </c>
      <c r="C1453" s="14" t="str">
        <f>IFERROR(_xlfn.TEXTJOIN("-", TRUE, _xlfn.XLOOKUP(K1453, product_category_id_lookup!$A$2:$A$5, product_category_id_lookup!$B$2:$B$5), B1453), "Unknown Category")</f>
        <v>fd-1051</v>
      </c>
      <c r="D1453" s="8">
        <v>45046</v>
      </c>
      <c r="E1453" s="14">
        <f t="shared" si="66"/>
        <v>2023</v>
      </c>
      <c r="F1453" s="29" t="str">
        <f t="shared" si="67"/>
        <v>Apr</v>
      </c>
      <c r="G1453" s="17" t="s">
        <v>14</v>
      </c>
      <c r="H1453" s="17" t="s">
        <v>20</v>
      </c>
      <c r="I1453" s="24">
        <v>3066.7827379497016</v>
      </c>
      <c r="J1453" s="32">
        <v>3</v>
      </c>
      <c r="K1453" s="17" t="s">
        <v>24</v>
      </c>
      <c r="L1453" s="24">
        <v>1000.18</v>
      </c>
      <c r="M1453" s="24">
        <v>1023.64</v>
      </c>
      <c r="N1453" s="34">
        <f>((sales_data_1[[#This Row],[Unit_Price]]*(1-sales_data_1[[#This Row],[Discount]]))-sales_data_1[[#This Row],[Unit_Cost]])*sales_data_1[[#This Row],[Quantity_Sold]]</f>
        <v>70.380000000000109</v>
      </c>
      <c r="O1453" s="17" t="s">
        <v>17</v>
      </c>
      <c r="P1453" s="26">
        <v>0</v>
      </c>
      <c r="Q1453" s="17" t="s">
        <v>28</v>
      </c>
      <c r="R1453" s="17" t="s">
        <v>19</v>
      </c>
      <c r="S1453" s="50" t="str">
        <f t="shared" si="68"/>
        <v>Bob-West</v>
      </c>
      <c r="T1453" s="59" t="str">
        <f>IF(ROUND(sales_data_1[[#This Row],[Profit_Margin]],2)=ROUND((sales_data_1[[#This Row],[Unit_Price]]*(1-sales_data_1[[#This Row],[Discount]]) - sales_data_1[[#This Row],[Unit_Cost]])*sales_data_1[[#This Row],[Quantity_Sold]],2), "PASS", "CHECK")</f>
        <v>PASS</v>
      </c>
    </row>
    <row r="1454" spans="1:20" x14ac:dyDescent="0.35">
      <c r="A1454" s="7">
        <v>1453</v>
      </c>
      <c r="B1454" s="9">
        <v>1032</v>
      </c>
      <c r="C1454" s="14" t="str">
        <f>IFERROR(_xlfn.TEXTJOIN("-", TRUE, _xlfn.XLOOKUP(K1454, product_category_id_lookup!$A$2:$A$5, product_category_id_lookup!$B$2:$B$5), B1454), "Unknown Category")</f>
        <v>etc-1032</v>
      </c>
      <c r="D1454" s="8">
        <v>45046</v>
      </c>
      <c r="E1454" s="14">
        <f t="shared" si="66"/>
        <v>2023</v>
      </c>
      <c r="F1454" s="29" t="str">
        <f t="shared" si="67"/>
        <v>Apr</v>
      </c>
      <c r="G1454" s="17" t="s">
        <v>33</v>
      </c>
      <c r="H1454" s="17" t="s">
        <v>20</v>
      </c>
      <c r="I1454" s="24">
        <v>44670.525480385688</v>
      </c>
      <c r="J1454" s="32">
        <v>18</v>
      </c>
      <c r="K1454" s="17" t="s">
        <v>31</v>
      </c>
      <c r="L1454" s="24">
        <v>2466.1799999999998</v>
      </c>
      <c r="M1454" s="24">
        <v>2483.87</v>
      </c>
      <c r="N1454" s="34">
        <f>((sales_data_1[[#This Row],[Unit_Price]]*(1-sales_data_1[[#This Row],[Discount]]))-sales_data_1[[#This Row],[Unit_Cost]])*sales_data_1[[#This Row],[Quantity_Sold]]</f>
        <v>318.42000000000098</v>
      </c>
      <c r="O1454" s="17" t="s">
        <v>17</v>
      </c>
      <c r="P1454" s="26">
        <v>0</v>
      </c>
      <c r="Q1454" s="17" t="s">
        <v>18</v>
      </c>
      <c r="R1454" s="17" t="s">
        <v>19</v>
      </c>
      <c r="S1454" s="50" t="str">
        <f t="shared" si="68"/>
        <v>Alice-West</v>
      </c>
      <c r="T1454" s="59" t="str">
        <f>IF(ROUND(sales_data_1[[#This Row],[Profit_Margin]],2)=ROUND((sales_data_1[[#This Row],[Unit_Price]]*(1-sales_data_1[[#This Row],[Discount]]) - sales_data_1[[#This Row],[Unit_Cost]])*sales_data_1[[#This Row],[Quantity_Sold]],2), "PASS", "CHECK")</f>
        <v>PASS</v>
      </c>
    </row>
    <row r="1455" spans="1:20" x14ac:dyDescent="0.35">
      <c r="A1455" s="7">
        <v>1454</v>
      </c>
      <c r="B1455" s="9">
        <v>1076</v>
      </c>
      <c r="C1455" s="14" t="str">
        <f>IFERROR(_xlfn.TEXTJOIN("-", TRUE, _xlfn.XLOOKUP(K1455, product_category_id_lookup!$A$2:$A$5, product_category_id_lookup!$B$2:$B$5), B1455), "Unknown Category")</f>
        <v>ctg-1076</v>
      </c>
      <c r="D1455" s="8">
        <v>45046</v>
      </c>
      <c r="E1455" s="14">
        <f t="shared" si="66"/>
        <v>2023</v>
      </c>
      <c r="F1455" s="29" t="str">
        <f t="shared" si="67"/>
        <v>Apr</v>
      </c>
      <c r="G1455" s="17" t="s">
        <v>32</v>
      </c>
      <c r="H1455" s="17" t="s">
        <v>20</v>
      </c>
      <c r="I1455" s="24">
        <v>141732.22415763489</v>
      </c>
      <c r="J1455" s="32">
        <v>32</v>
      </c>
      <c r="K1455" s="17" t="s">
        <v>26</v>
      </c>
      <c r="L1455" s="24">
        <v>4337.82</v>
      </c>
      <c r="M1455" s="24">
        <v>4460.71</v>
      </c>
      <c r="N1455" s="34">
        <f>((sales_data_1[[#This Row],[Unit_Price]]*(1-sales_data_1[[#This Row],[Discount]]))-sales_data_1[[#This Row],[Unit_Cost]])*sales_data_1[[#This Row],[Quantity_Sold]]</f>
        <v>2505.0528000000049</v>
      </c>
      <c r="O1455" s="17" t="s">
        <v>17</v>
      </c>
      <c r="P1455" s="26">
        <v>0.01</v>
      </c>
      <c r="Q1455" s="17" t="s">
        <v>18</v>
      </c>
      <c r="R1455" s="17" t="s">
        <v>21</v>
      </c>
      <c r="S1455" s="50" t="str">
        <f t="shared" si="68"/>
        <v>Eve-West</v>
      </c>
      <c r="T1455" s="59" t="str">
        <f>IF(ROUND(sales_data_1[[#This Row],[Profit_Margin]],2)=ROUND((sales_data_1[[#This Row],[Unit_Price]]*(1-sales_data_1[[#This Row],[Discount]]) - sales_data_1[[#This Row],[Unit_Cost]])*sales_data_1[[#This Row],[Quantity_Sold]],2), "PASS", "CHECK")</f>
        <v>PASS</v>
      </c>
    </row>
    <row r="1456" spans="1:20" x14ac:dyDescent="0.35">
      <c r="A1456" s="7">
        <v>1455</v>
      </c>
      <c r="B1456" s="9">
        <v>1006</v>
      </c>
      <c r="C1456" s="14" t="str">
        <f>IFERROR(_xlfn.TEXTJOIN("-", TRUE, _xlfn.XLOOKUP(K1456, product_category_id_lookup!$A$2:$A$5, product_category_id_lookup!$B$2:$B$5), B1456), "Unknown Category")</f>
        <v>ctg-1006</v>
      </c>
      <c r="D1456" s="8">
        <v>45046</v>
      </c>
      <c r="E1456" s="14">
        <f t="shared" si="66"/>
        <v>2023</v>
      </c>
      <c r="F1456" s="29" t="str">
        <f t="shared" si="67"/>
        <v>Apr</v>
      </c>
      <c r="G1456" s="17" t="s">
        <v>29</v>
      </c>
      <c r="H1456" s="17" t="s">
        <v>15</v>
      </c>
      <c r="I1456" s="24">
        <v>59401.468924661021</v>
      </c>
      <c r="J1456" s="32">
        <v>19</v>
      </c>
      <c r="K1456" s="17" t="s">
        <v>26</v>
      </c>
      <c r="L1456" s="24">
        <v>2962.41</v>
      </c>
      <c r="M1456" s="24">
        <v>3218.8999999999996</v>
      </c>
      <c r="N1456" s="34">
        <f>((sales_data_1[[#This Row],[Unit_Price]]*(1-sales_data_1[[#This Row],[Discount]]))-sales_data_1[[#This Row],[Unit_Cost]])*sales_data_1[[#This Row],[Quantity_Sold]]</f>
        <v>3038.5369999999957</v>
      </c>
      <c r="O1456" s="17" t="s">
        <v>27</v>
      </c>
      <c r="P1456" s="26">
        <v>0.03</v>
      </c>
      <c r="Q1456" s="17" t="s">
        <v>18</v>
      </c>
      <c r="R1456" s="17" t="s">
        <v>21</v>
      </c>
      <c r="S1456" s="50" t="str">
        <f t="shared" si="68"/>
        <v>Charlie-North</v>
      </c>
      <c r="T1456" s="59" t="str">
        <f>IF(ROUND(sales_data_1[[#This Row],[Profit_Margin]],2)=ROUND((sales_data_1[[#This Row],[Unit_Price]]*(1-sales_data_1[[#This Row],[Discount]]) - sales_data_1[[#This Row],[Unit_Cost]])*sales_data_1[[#This Row],[Quantity_Sold]],2), "PASS", "CHECK")</f>
        <v>PASS</v>
      </c>
    </row>
    <row r="1457" spans="1:20" x14ac:dyDescent="0.35">
      <c r="A1457" s="7">
        <v>1456</v>
      </c>
      <c r="B1457" s="9">
        <v>1096</v>
      </c>
      <c r="C1457" s="14" t="str">
        <f>IFERROR(_xlfn.TEXTJOIN("-", TRUE, _xlfn.XLOOKUP(K1457, product_category_id_lookup!$A$2:$A$5, product_category_id_lookup!$B$2:$B$5), B1457), "Unknown Category")</f>
        <v>fnt-1096</v>
      </c>
      <c r="D1457" s="8">
        <v>45048</v>
      </c>
      <c r="E1457" s="14">
        <f t="shared" si="66"/>
        <v>2023</v>
      </c>
      <c r="F1457" s="29" t="str">
        <f t="shared" si="67"/>
        <v>May</v>
      </c>
      <c r="G1457" s="17" t="s">
        <v>33</v>
      </c>
      <c r="H1457" s="17" t="s">
        <v>30</v>
      </c>
      <c r="I1457" s="24">
        <v>33526.954441989779</v>
      </c>
      <c r="J1457" s="32">
        <v>32</v>
      </c>
      <c r="K1457" s="17" t="s">
        <v>16</v>
      </c>
      <c r="L1457" s="24">
        <v>991.63</v>
      </c>
      <c r="M1457" s="24">
        <v>1065.55</v>
      </c>
      <c r="N1457" s="34">
        <f>((sales_data_1[[#This Row],[Unit_Price]]*(1-sales_data_1[[#This Row],[Discount]]))-sales_data_1[[#This Row],[Unit_Cost]])*sales_data_1[[#This Row],[Quantity_Sold]]</f>
        <v>1683.4880000000012</v>
      </c>
      <c r="O1457" s="17" t="s">
        <v>17</v>
      </c>
      <c r="P1457" s="26">
        <v>0.02</v>
      </c>
      <c r="Q1457" s="17" t="s">
        <v>25</v>
      </c>
      <c r="R1457" s="17" t="s">
        <v>21</v>
      </c>
      <c r="S1457" s="50" t="str">
        <f t="shared" si="68"/>
        <v>Alice-East</v>
      </c>
      <c r="T1457" s="59" t="str">
        <f>IF(ROUND(sales_data_1[[#This Row],[Profit_Margin]],2)=ROUND((sales_data_1[[#This Row],[Unit_Price]]*(1-sales_data_1[[#This Row],[Discount]]) - sales_data_1[[#This Row],[Unit_Cost]])*sales_data_1[[#This Row],[Quantity_Sold]],2), "PASS", "CHECK")</f>
        <v>PASS</v>
      </c>
    </row>
    <row r="1458" spans="1:20" x14ac:dyDescent="0.35">
      <c r="A1458" s="7">
        <v>1457</v>
      </c>
      <c r="B1458" s="9">
        <v>1036</v>
      </c>
      <c r="C1458" s="14" t="str">
        <f>IFERROR(_xlfn.TEXTJOIN("-", TRUE, _xlfn.XLOOKUP(K1458, product_category_id_lookup!$A$2:$A$5, product_category_id_lookup!$B$2:$B$5), B1458), "Unknown Category")</f>
        <v>fnt-1036</v>
      </c>
      <c r="D1458" s="8">
        <v>45048</v>
      </c>
      <c r="E1458" s="14">
        <f t="shared" si="66"/>
        <v>2023</v>
      </c>
      <c r="F1458" s="29" t="str">
        <f t="shared" si="67"/>
        <v>May</v>
      </c>
      <c r="G1458" s="17" t="s">
        <v>22</v>
      </c>
      <c r="H1458" s="17" t="s">
        <v>15</v>
      </c>
      <c r="I1458" s="24">
        <v>182284.4171822035</v>
      </c>
      <c r="J1458" s="32">
        <v>42</v>
      </c>
      <c r="K1458" s="17" t="s">
        <v>16</v>
      </c>
      <c r="L1458" s="24">
        <v>4292.63</v>
      </c>
      <c r="M1458" s="24">
        <v>4387.99</v>
      </c>
      <c r="N1458" s="34">
        <f>((sales_data_1[[#This Row],[Unit_Price]]*(1-sales_data_1[[#This Row],[Discount]]))-sales_data_1[[#This Row],[Unit_Cost]])*sales_data_1[[#This Row],[Quantity_Sold]]</f>
        <v>2162.1641999999902</v>
      </c>
      <c r="O1458" s="17" t="s">
        <v>27</v>
      </c>
      <c r="P1458" s="26">
        <v>0.01</v>
      </c>
      <c r="Q1458" s="17" t="s">
        <v>28</v>
      </c>
      <c r="R1458" s="17" t="s">
        <v>21</v>
      </c>
      <c r="S1458" s="50" t="str">
        <f t="shared" si="68"/>
        <v>David-North</v>
      </c>
      <c r="T1458" s="59" t="str">
        <f>IF(ROUND(sales_data_1[[#This Row],[Profit_Margin]],2)=ROUND((sales_data_1[[#This Row],[Unit_Price]]*(1-sales_data_1[[#This Row],[Discount]]) - sales_data_1[[#This Row],[Unit_Cost]])*sales_data_1[[#This Row],[Quantity_Sold]],2), "PASS", "CHECK")</f>
        <v>PASS</v>
      </c>
    </row>
    <row r="1459" spans="1:20" x14ac:dyDescent="0.35">
      <c r="A1459" s="7">
        <v>1458</v>
      </c>
      <c r="B1459" s="9">
        <v>1051</v>
      </c>
      <c r="C1459" s="14" t="str">
        <f>IFERROR(_xlfn.TEXTJOIN("-", TRUE, _xlfn.XLOOKUP(K1459, product_category_id_lookup!$A$2:$A$5, product_category_id_lookup!$B$2:$B$5), B1459), "Unknown Category")</f>
        <v>fnt-1051</v>
      </c>
      <c r="D1459" s="8">
        <v>45048</v>
      </c>
      <c r="E1459" s="14">
        <f t="shared" si="66"/>
        <v>2023</v>
      </c>
      <c r="F1459" s="29" t="str">
        <f t="shared" si="67"/>
        <v>May</v>
      </c>
      <c r="G1459" s="17" t="s">
        <v>33</v>
      </c>
      <c r="H1459" s="17" t="s">
        <v>15</v>
      </c>
      <c r="I1459" s="24">
        <v>132442.91999999998</v>
      </c>
      <c r="J1459" s="32">
        <v>34</v>
      </c>
      <c r="K1459" s="17" t="s">
        <v>16</v>
      </c>
      <c r="L1459" s="24">
        <v>3764.14</v>
      </c>
      <c r="M1459" s="24">
        <v>4100.3999999999996</v>
      </c>
      <c r="N1459" s="34">
        <f>((sales_data_1[[#This Row],[Unit_Price]]*(1-sales_data_1[[#This Row],[Discount]]))-sales_data_1[[#This Row],[Unit_Cost]])*sales_data_1[[#This Row],[Quantity_Sold]]</f>
        <v>4462.1599999999926</v>
      </c>
      <c r="O1459" s="17" t="s">
        <v>17</v>
      </c>
      <c r="P1459" s="26">
        <v>0.05</v>
      </c>
      <c r="Q1459" s="17" t="s">
        <v>25</v>
      </c>
      <c r="R1459" s="17" t="s">
        <v>21</v>
      </c>
      <c r="S1459" s="50" t="str">
        <f t="shared" si="68"/>
        <v>Alice-North</v>
      </c>
      <c r="T1459" s="59" t="str">
        <f>IF(ROUND(sales_data_1[[#This Row],[Profit_Margin]],2)=ROUND((sales_data_1[[#This Row],[Unit_Price]]*(1-sales_data_1[[#This Row],[Discount]]) - sales_data_1[[#This Row],[Unit_Cost]])*sales_data_1[[#This Row],[Quantity_Sold]],2), "PASS", "CHECK")</f>
        <v>PASS</v>
      </c>
    </row>
    <row r="1460" spans="1:20" x14ac:dyDescent="0.35">
      <c r="A1460" s="7">
        <v>1459</v>
      </c>
      <c r="B1460" s="9">
        <v>1042</v>
      </c>
      <c r="C1460" s="14" t="str">
        <f>IFERROR(_xlfn.TEXTJOIN("-", TRUE, _xlfn.XLOOKUP(K1460, product_category_id_lookup!$A$2:$A$5, product_category_id_lookup!$B$2:$B$5), B1460), "Unknown Category")</f>
        <v>fnt-1042</v>
      </c>
      <c r="D1460" s="8">
        <v>45049</v>
      </c>
      <c r="E1460" s="14">
        <f t="shared" si="66"/>
        <v>2023</v>
      </c>
      <c r="F1460" s="29" t="str">
        <f t="shared" si="67"/>
        <v>May</v>
      </c>
      <c r="G1460" s="17" t="s">
        <v>33</v>
      </c>
      <c r="H1460" s="17" t="s">
        <v>20</v>
      </c>
      <c r="I1460" s="24">
        <v>20098.548000000003</v>
      </c>
      <c r="J1460" s="32">
        <v>37</v>
      </c>
      <c r="K1460" s="17" t="s">
        <v>16</v>
      </c>
      <c r="L1460" s="24">
        <v>502.86</v>
      </c>
      <c r="M1460" s="24">
        <v>687.6</v>
      </c>
      <c r="N1460" s="34">
        <f>((sales_data_1[[#This Row],[Unit_Price]]*(1-sales_data_1[[#This Row],[Discount]]))-sales_data_1[[#This Row],[Unit_Cost]])*sales_data_1[[#This Row],[Quantity_Sold]]</f>
        <v>1492.7280000000019</v>
      </c>
      <c r="O1460" s="17" t="s">
        <v>17</v>
      </c>
      <c r="P1460" s="26">
        <v>0.21</v>
      </c>
      <c r="Q1460" s="17" t="s">
        <v>18</v>
      </c>
      <c r="R1460" s="17" t="s">
        <v>19</v>
      </c>
      <c r="S1460" s="50" t="str">
        <f t="shared" si="68"/>
        <v>Alice-West</v>
      </c>
      <c r="T1460" s="59" t="str">
        <f>IF(ROUND(sales_data_1[[#This Row],[Profit_Margin]],2)=ROUND((sales_data_1[[#This Row],[Unit_Price]]*(1-sales_data_1[[#This Row],[Discount]]) - sales_data_1[[#This Row],[Unit_Cost]])*sales_data_1[[#This Row],[Quantity_Sold]],2), "PASS", "CHECK")</f>
        <v>PASS</v>
      </c>
    </row>
    <row r="1461" spans="1:20" x14ac:dyDescent="0.35">
      <c r="A1461" s="7">
        <v>1460</v>
      </c>
      <c r="B1461" s="9">
        <v>1015</v>
      </c>
      <c r="C1461" s="14" t="str">
        <f>IFERROR(_xlfn.TEXTJOIN("-", TRUE, _xlfn.XLOOKUP(K1461, product_category_id_lookup!$A$2:$A$5, product_category_id_lookup!$B$2:$B$5), B1461), "Unknown Category")</f>
        <v>fd-1015</v>
      </c>
      <c r="D1461" s="8">
        <v>45049</v>
      </c>
      <c r="E1461" s="14">
        <f t="shared" si="66"/>
        <v>2023</v>
      </c>
      <c r="F1461" s="29" t="str">
        <f t="shared" si="67"/>
        <v>May</v>
      </c>
      <c r="G1461" s="17" t="s">
        <v>22</v>
      </c>
      <c r="H1461" s="17" t="s">
        <v>23</v>
      </c>
      <c r="I1461" s="24">
        <v>87497.864374804951</v>
      </c>
      <c r="J1461" s="32">
        <v>30</v>
      </c>
      <c r="K1461" s="17" t="s">
        <v>24</v>
      </c>
      <c r="L1461" s="24">
        <v>2680.22</v>
      </c>
      <c r="M1461" s="24">
        <v>3027.9199999999996</v>
      </c>
      <c r="N1461" s="34">
        <f>((sales_data_1[[#This Row],[Unit_Price]]*(1-sales_data_1[[#This Row],[Discount]]))-sales_data_1[[#This Row],[Unit_Cost]])*sales_data_1[[#This Row],[Quantity_Sold]]</f>
        <v>6797.4959999999874</v>
      </c>
      <c r="O1461" s="17" t="s">
        <v>17</v>
      </c>
      <c r="P1461" s="26">
        <v>0.04</v>
      </c>
      <c r="Q1461" s="17" t="s">
        <v>25</v>
      </c>
      <c r="R1461" s="17" t="s">
        <v>19</v>
      </c>
      <c r="S1461" s="50" t="str">
        <f t="shared" si="68"/>
        <v>David-South</v>
      </c>
      <c r="T1461" s="59" t="str">
        <f>IF(ROUND(sales_data_1[[#This Row],[Profit_Margin]],2)=ROUND((sales_data_1[[#This Row],[Unit_Price]]*(1-sales_data_1[[#This Row],[Discount]]) - sales_data_1[[#This Row],[Unit_Cost]])*sales_data_1[[#This Row],[Quantity_Sold]],2), "PASS", "CHECK")</f>
        <v>PASS</v>
      </c>
    </row>
    <row r="1462" spans="1:20" x14ac:dyDescent="0.35">
      <c r="A1462" s="7">
        <v>1461</v>
      </c>
      <c r="B1462" s="9">
        <v>1061</v>
      </c>
      <c r="C1462" s="14" t="str">
        <f>IFERROR(_xlfn.TEXTJOIN("-", TRUE, _xlfn.XLOOKUP(K1462, product_category_id_lookup!$A$2:$A$5, product_category_id_lookup!$B$2:$B$5), B1462), "Unknown Category")</f>
        <v>fnt-1061</v>
      </c>
      <c r="D1462" s="8">
        <v>45049</v>
      </c>
      <c r="E1462" s="14">
        <f t="shared" si="66"/>
        <v>2023</v>
      </c>
      <c r="F1462" s="29" t="str">
        <f t="shared" si="67"/>
        <v>May</v>
      </c>
      <c r="G1462" s="17" t="s">
        <v>14</v>
      </c>
      <c r="H1462" s="17" t="s">
        <v>23</v>
      </c>
      <c r="I1462" s="24">
        <v>126336.95431280739</v>
      </c>
      <c r="J1462" s="32">
        <v>41</v>
      </c>
      <c r="K1462" s="17" t="s">
        <v>16</v>
      </c>
      <c r="L1462" s="24">
        <v>2894.18</v>
      </c>
      <c r="M1462" s="24">
        <v>3193.92</v>
      </c>
      <c r="N1462" s="34">
        <f>((sales_data_1[[#This Row],[Unit_Price]]*(1-sales_data_1[[#This Row],[Discount]]))-sales_data_1[[#This Row],[Unit_Cost]])*sales_data_1[[#This Row],[Quantity_Sold]]</f>
        <v>7051.3112000000056</v>
      </c>
      <c r="O1462" s="17" t="s">
        <v>27</v>
      </c>
      <c r="P1462" s="26">
        <v>0.04</v>
      </c>
      <c r="Q1462" s="17" t="s">
        <v>25</v>
      </c>
      <c r="R1462" s="17" t="s">
        <v>21</v>
      </c>
      <c r="S1462" s="50" t="str">
        <f t="shared" si="68"/>
        <v>Bob-South</v>
      </c>
      <c r="T1462" s="59" t="str">
        <f>IF(ROUND(sales_data_1[[#This Row],[Profit_Margin]],2)=ROUND((sales_data_1[[#This Row],[Unit_Price]]*(1-sales_data_1[[#This Row],[Discount]]) - sales_data_1[[#This Row],[Unit_Cost]])*sales_data_1[[#This Row],[Quantity_Sold]],2), "PASS", "CHECK")</f>
        <v>PASS</v>
      </c>
    </row>
    <row r="1463" spans="1:20" x14ac:dyDescent="0.35">
      <c r="A1463" s="7">
        <v>1462</v>
      </c>
      <c r="B1463" s="9">
        <v>1086</v>
      </c>
      <c r="C1463" s="14" t="str">
        <f>IFERROR(_xlfn.TEXTJOIN("-", TRUE, _xlfn.XLOOKUP(K1463, product_category_id_lookup!$A$2:$A$5, product_category_id_lookup!$B$2:$B$5), B1463), "Unknown Category")</f>
        <v>fd-1086</v>
      </c>
      <c r="D1463" s="8">
        <v>45050</v>
      </c>
      <c r="E1463" s="14">
        <f t="shared" si="66"/>
        <v>2023</v>
      </c>
      <c r="F1463" s="29" t="str">
        <f t="shared" si="67"/>
        <v>May</v>
      </c>
      <c r="G1463" s="17" t="s">
        <v>14</v>
      </c>
      <c r="H1463" s="17" t="s">
        <v>20</v>
      </c>
      <c r="I1463" s="24">
        <v>60398.46</v>
      </c>
      <c r="J1463" s="32">
        <v>25</v>
      </c>
      <c r="K1463" s="17" t="s">
        <v>24</v>
      </c>
      <c r="L1463" s="24">
        <v>2248.71</v>
      </c>
      <c r="M1463" s="24">
        <v>2626.02</v>
      </c>
      <c r="N1463" s="34">
        <f>((sales_data_1[[#This Row],[Unit_Price]]*(1-sales_data_1[[#This Row],[Discount]]))-sales_data_1[[#This Row],[Unit_Cost]])*sales_data_1[[#This Row],[Quantity_Sold]]</f>
        <v>4180.7099999999991</v>
      </c>
      <c r="O1463" s="17" t="s">
        <v>27</v>
      </c>
      <c r="P1463" s="26">
        <v>0.08</v>
      </c>
      <c r="Q1463" s="17" t="s">
        <v>25</v>
      </c>
      <c r="R1463" s="17" t="s">
        <v>19</v>
      </c>
      <c r="S1463" s="50" t="str">
        <f t="shared" si="68"/>
        <v>Bob-West</v>
      </c>
      <c r="T1463" s="59" t="str">
        <f>IF(ROUND(sales_data_1[[#This Row],[Profit_Margin]],2)=ROUND((sales_data_1[[#This Row],[Unit_Price]]*(1-sales_data_1[[#This Row],[Discount]]) - sales_data_1[[#This Row],[Unit_Cost]])*sales_data_1[[#This Row],[Quantity_Sold]],2), "PASS", "CHECK")</f>
        <v>PASS</v>
      </c>
    </row>
    <row r="1464" spans="1:20" x14ac:dyDescent="0.35">
      <c r="A1464" s="7">
        <v>1463</v>
      </c>
      <c r="B1464" s="9">
        <v>1062</v>
      </c>
      <c r="C1464" s="14" t="str">
        <f>IFERROR(_xlfn.TEXTJOIN("-", TRUE, _xlfn.XLOOKUP(K1464, product_category_id_lookup!$A$2:$A$5, product_category_id_lookup!$B$2:$B$5), B1464), "Unknown Category")</f>
        <v>ctg-1062</v>
      </c>
      <c r="D1464" s="8">
        <v>45051</v>
      </c>
      <c r="E1464" s="14">
        <f t="shared" si="66"/>
        <v>2023</v>
      </c>
      <c r="F1464" s="29" t="str">
        <f t="shared" si="67"/>
        <v>May</v>
      </c>
      <c r="G1464" s="17" t="s">
        <v>32</v>
      </c>
      <c r="H1464" s="17" t="s">
        <v>23</v>
      </c>
      <c r="I1464" s="24">
        <v>31846.326818221089</v>
      </c>
      <c r="J1464" s="32">
        <v>26</v>
      </c>
      <c r="K1464" s="17" t="s">
        <v>26</v>
      </c>
      <c r="L1464" s="24">
        <v>992.17</v>
      </c>
      <c r="M1464" s="24">
        <v>1263.49</v>
      </c>
      <c r="N1464" s="34">
        <f>((sales_data_1[[#This Row],[Unit_Price]]*(1-sales_data_1[[#This Row],[Discount]]))-sales_data_1[[#This Row],[Unit_Cost]])*sales_data_1[[#This Row],[Quantity_Sold]]</f>
        <v>6068.7978000000003</v>
      </c>
      <c r="O1464" s="17" t="s">
        <v>17</v>
      </c>
      <c r="P1464" s="26">
        <v>0.03</v>
      </c>
      <c r="Q1464" s="17" t="s">
        <v>25</v>
      </c>
      <c r="R1464" s="17" t="s">
        <v>21</v>
      </c>
      <c r="S1464" s="50" t="str">
        <f t="shared" si="68"/>
        <v>Eve-South</v>
      </c>
      <c r="T1464" s="59" t="str">
        <f>IF(ROUND(sales_data_1[[#This Row],[Profit_Margin]],2)=ROUND((sales_data_1[[#This Row],[Unit_Price]]*(1-sales_data_1[[#This Row],[Discount]]) - sales_data_1[[#This Row],[Unit_Cost]])*sales_data_1[[#This Row],[Quantity_Sold]],2), "PASS", "CHECK")</f>
        <v>PASS</v>
      </c>
    </row>
    <row r="1465" spans="1:20" x14ac:dyDescent="0.35">
      <c r="A1465" s="7">
        <v>1464</v>
      </c>
      <c r="B1465" s="9">
        <v>1056</v>
      </c>
      <c r="C1465" s="14" t="str">
        <f>IFERROR(_xlfn.TEXTJOIN("-", TRUE, _xlfn.XLOOKUP(K1465, product_category_id_lookup!$A$2:$A$5, product_category_id_lookup!$B$2:$B$5), B1465), "Unknown Category")</f>
        <v>ctg-1056</v>
      </c>
      <c r="D1465" s="8">
        <v>45053</v>
      </c>
      <c r="E1465" s="14">
        <f t="shared" si="66"/>
        <v>2023</v>
      </c>
      <c r="F1465" s="29" t="str">
        <f t="shared" si="67"/>
        <v>May</v>
      </c>
      <c r="G1465" s="17" t="s">
        <v>22</v>
      </c>
      <c r="H1465" s="17" t="s">
        <v>30</v>
      </c>
      <c r="I1465" s="24">
        <v>44046.145923369906</v>
      </c>
      <c r="J1465" s="32">
        <v>28</v>
      </c>
      <c r="K1465" s="17" t="s">
        <v>26</v>
      </c>
      <c r="L1465" s="24">
        <v>1566.03</v>
      </c>
      <c r="M1465" s="24">
        <v>1576.34</v>
      </c>
      <c r="N1465" s="34">
        <f>((sales_data_1[[#This Row],[Unit_Price]]*(1-sales_data_1[[#This Row],[Discount]]))-sales_data_1[[#This Row],[Unit_Cost]])*sales_data_1[[#This Row],[Quantity_Sold]]</f>
        <v>288.67999999999847</v>
      </c>
      <c r="O1465" s="17" t="s">
        <v>17</v>
      </c>
      <c r="P1465" s="26">
        <v>0</v>
      </c>
      <c r="Q1465" s="17" t="s">
        <v>25</v>
      </c>
      <c r="R1465" s="17" t="s">
        <v>19</v>
      </c>
      <c r="S1465" s="50" t="str">
        <f t="shared" si="68"/>
        <v>David-East</v>
      </c>
      <c r="T1465" s="59" t="str">
        <f>IF(ROUND(sales_data_1[[#This Row],[Profit_Margin]],2)=ROUND((sales_data_1[[#This Row],[Unit_Price]]*(1-sales_data_1[[#This Row],[Discount]]) - sales_data_1[[#This Row],[Unit_Cost]])*sales_data_1[[#This Row],[Quantity_Sold]],2), "PASS", "CHECK")</f>
        <v>PASS</v>
      </c>
    </row>
    <row r="1466" spans="1:20" x14ac:dyDescent="0.35">
      <c r="A1466" s="7">
        <v>1465</v>
      </c>
      <c r="B1466" s="9">
        <v>1073</v>
      </c>
      <c r="C1466" s="14" t="str">
        <f>IFERROR(_xlfn.TEXTJOIN("-", TRUE, _xlfn.XLOOKUP(K1466, product_category_id_lookup!$A$2:$A$5, product_category_id_lookup!$B$2:$B$5), B1466), "Unknown Category")</f>
        <v>ctg-1073</v>
      </c>
      <c r="D1466" s="8">
        <v>45053</v>
      </c>
      <c r="E1466" s="14">
        <f t="shared" si="66"/>
        <v>2023</v>
      </c>
      <c r="F1466" s="29" t="str">
        <f t="shared" si="67"/>
        <v>May</v>
      </c>
      <c r="G1466" s="17" t="s">
        <v>22</v>
      </c>
      <c r="H1466" s="17" t="s">
        <v>15</v>
      </c>
      <c r="I1466" s="24">
        <v>69210.854500561647</v>
      </c>
      <c r="J1466" s="32">
        <v>29</v>
      </c>
      <c r="K1466" s="17" t="s">
        <v>26</v>
      </c>
      <c r="L1466" s="24">
        <v>2152.6799999999998</v>
      </c>
      <c r="M1466" s="24">
        <v>2475.9299999999998</v>
      </c>
      <c r="N1466" s="34">
        <f>((sales_data_1[[#This Row],[Unit_Price]]*(1-sales_data_1[[#This Row],[Discount]]))-sales_data_1[[#This Row],[Unit_Cost]])*sales_data_1[[#This Row],[Quantity_Sold]]</f>
        <v>6502.1711999999934</v>
      </c>
      <c r="O1466" s="17" t="s">
        <v>17</v>
      </c>
      <c r="P1466" s="26">
        <v>0.04</v>
      </c>
      <c r="Q1466" s="17" t="s">
        <v>25</v>
      </c>
      <c r="R1466" s="17" t="s">
        <v>19</v>
      </c>
      <c r="S1466" s="50" t="str">
        <f t="shared" si="68"/>
        <v>David-North</v>
      </c>
      <c r="T1466" s="59" t="str">
        <f>IF(ROUND(sales_data_1[[#This Row],[Profit_Margin]],2)=ROUND((sales_data_1[[#This Row],[Unit_Price]]*(1-sales_data_1[[#This Row],[Discount]]) - sales_data_1[[#This Row],[Unit_Cost]])*sales_data_1[[#This Row],[Quantity_Sold]],2), "PASS", "CHECK")</f>
        <v>PASS</v>
      </c>
    </row>
    <row r="1467" spans="1:20" x14ac:dyDescent="0.35">
      <c r="A1467" s="7">
        <v>1466</v>
      </c>
      <c r="B1467" s="9">
        <v>1093</v>
      </c>
      <c r="C1467" s="14" t="str">
        <f>IFERROR(_xlfn.TEXTJOIN("-", TRUE, _xlfn.XLOOKUP(K1467, product_category_id_lookup!$A$2:$A$5, product_category_id_lookup!$B$2:$B$5), B1467), "Unknown Category")</f>
        <v>fnt-1093</v>
      </c>
      <c r="D1467" s="8">
        <v>45054</v>
      </c>
      <c r="E1467" s="14">
        <f t="shared" si="66"/>
        <v>2023</v>
      </c>
      <c r="F1467" s="29" t="str">
        <f t="shared" si="67"/>
        <v>May</v>
      </c>
      <c r="G1467" s="17" t="s">
        <v>14</v>
      </c>
      <c r="H1467" s="17" t="s">
        <v>30</v>
      </c>
      <c r="I1467" s="24">
        <v>12592.122803464177</v>
      </c>
      <c r="J1467" s="32">
        <v>17</v>
      </c>
      <c r="K1467" s="17" t="s">
        <v>16</v>
      </c>
      <c r="L1467" s="24">
        <v>727.38</v>
      </c>
      <c r="M1467" s="24">
        <v>764.54</v>
      </c>
      <c r="N1467" s="34">
        <f>((sales_data_1[[#This Row],[Unit_Price]]*(1-sales_data_1[[#This Row],[Discount]]))-sales_data_1[[#This Row],[Unit_Cost]])*sales_data_1[[#This Row],[Quantity_Sold]]</f>
        <v>241.80459999999971</v>
      </c>
      <c r="O1467" s="17" t="s">
        <v>17</v>
      </c>
      <c r="P1467" s="26">
        <v>0.03</v>
      </c>
      <c r="Q1467" s="17" t="s">
        <v>28</v>
      </c>
      <c r="R1467" s="17" t="s">
        <v>21</v>
      </c>
      <c r="S1467" s="50" t="str">
        <f t="shared" si="68"/>
        <v>Bob-East</v>
      </c>
      <c r="T1467" s="59" t="str">
        <f>IF(ROUND(sales_data_1[[#This Row],[Profit_Margin]],2)=ROUND((sales_data_1[[#This Row],[Unit_Price]]*(1-sales_data_1[[#This Row],[Discount]]) - sales_data_1[[#This Row],[Unit_Cost]])*sales_data_1[[#This Row],[Quantity_Sold]],2), "PASS", "CHECK")</f>
        <v>PASS</v>
      </c>
    </row>
    <row r="1468" spans="1:20" x14ac:dyDescent="0.35">
      <c r="A1468" s="7">
        <v>1467</v>
      </c>
      <c r="B1468" s="9">
        <v>1067</v>
      </c>
      <c r="C1468" s="14" t="str">
        <f>IFERROR(_xlfn.TEXTJOIN("-", TRUE, _xlfn.XLOOKUP(K1468, product_category_id_lookup!$A$2:$A$5, product_category_id_lookup!$B$2:$B$5), B1468), "Unknown Category")</f>
        <v>fd-1067</v>
      </c>
      <c r="D1468" s="8">
        <v>45054</v>
      </c>
      <c r="E1468" s="14">
        <f t="shared" si="66"/>
        <v>2023</v>
      </c>
      <c r="F1468" s="29" t="str">
        <f t="shared" si="67"/>
        <v>May</v>
      </c>
      <c r="G1468" s="17" t="s">
        <v>29</v>
      </c>
      <c r="H1468" s="17" t="s">
        <v>15</v>
      </c>
      <c r="I1468" s="24">
        <v>72134.092387110111</v>
      </c>
      <c r="J1468" s="32">
        <v>32</v>
      </c>
      <c r="K1468" s="17" t="s">
        <v>24</v>
      </c>
      <c r="L1468" s="24">
        <v>2171.79</v>
      </c>
      <c r="M1468" s="24">
        <v>2307.64</v>
      </c>
      <c r="N1468" s="34">
        <f>((sales_data_1[[#This Row],[Unit_Price]]*(1-sales_data_1[[#This Row],[Discount]]))-sales_data_1[[#This Row],[Unit_Cost]])*sales_data_1[[#This Row],[Quantity_Sold]]</f>
        <v>2870.3104000000021</v>
      </c>
      <c r="O1468" s="17" t="s">
        <v>17</v>
      </c>
      <c r="P1468" s="26">
        <v>0.02</v>
      </c>
      <c r="Q1468" s="17" t="s">
        <v>25</v>
      </c>
      <c r="R1468" s="17" t="s">
        <v>19</v>
      </c>
      <c r="S1468" s="50" t="str">
        <f t="shared" si="68"/>
        <v>Charlie-North</v>
      </c>
      <c r="T1468" s="59" t="str">
        <f>IF(ROUND(sales_data_1[[#This Row],[Profit_Margin]],2)=ROUND((sales_data_1[[#This Row],[Unit_Price]]*(1-sales_data_1[[#This Row],[Discount]]) - sales_data_1[[#This Row],[Unit_Cost]])*sales_data_1[[#This Row],[Quantity_Sold]],2), "PASS", "CHECK")</f>
        <v>PASS</v>
      </c>
    </row>
    <row r="1469" spans="1:20" x14ac:dyDescent="0.35">
      <c r="A1469" s="7">
        <v>1468</v>
      </c>
      <c r="B1469" s="9">
        <v>1026</v>
      </c>
      <c r="C1469" s="14" t="str">
        <f>IFERROR(_xlfn.TEXTJOIN("-", TRUE, _xlfn.XLOOKUP(K1469, product_category_id_lookup!$A$2:$A$5, product_category_id_lookup!$B$2:$B$5), B1469), "Unknown Category")</f>
        <v>ctg-1026</v>
      </c>
      <c r="D1469" s="8">
        <v>45054</v>
      </c>
      <c r="E1469" s="14">
        <f t="shared" si="66"/>
        <v>2023</v>
      </c>
      <c r="F1469" s="29" t="str">
        <f t="shared" si="67"/>
        <v>May</v>
      </c>
      <c r="G1469" s="17" t="s">
        <v>29</v>
      </c>
      <c r="H1469" s="17" t="s">
        <v>20</v>
      </c>
      <c r="I1469" s="24">
        <v>68637.214267304371</v>
      </c>
      <c r="J1469" s="32">
        <v>20</v>
      </c>
      <c r="K1469" s="17" t="s">
        <v>26</v>
      </c>
      <c r="L1469" s="24">
        <v>2985.63</v>
      </c>
      <c r="M1469" s="24">
        <v>3452.1400000000003</v>
      </c>
      <c r="N1469" s="34">
        <f>((sales_data_1[[#This Row],[Unit_Price]]*(1-sales_data_1[[#This Row],[Discount]]))-sales_data_1[[#This Row],[Unit_Cost]])*sales_data_1[[#This Row],[Quantity_Sold]]</f>
        <v>8639.7720000000027</v>
      </c>
      <c r="O1469" s="17" t="s">
        <v>27</v>
      </c>
      <c r="P1469" s="26">
        <v>0.01</v>
      </c>
      <c r="Q1469" s="17" t="s">
        <v>28</v>
      </c>
      <c r="R1469" s="17" t="s">
        <v>21</v>
      </c>
      <c r="S1469" s="50" t="str">
        <f t="shared" si="68"/>
        <v>Charlie-West</v>
      </c>
      <c r="T1469" s="59" t="str">
        <f>IF(ROUND(sales_data_1[[#This Row],[Profit_Margin]],2)=ROUND((sales_data_1[[#This Row],[Unit_Price]]*(1-sales_data_1[[#This Row],[Discount]]) - sales_data_1[[#This Row],[Unit_Cost]])*sales_data_1[[#This Row],[Quantity_Sold]],2), "PASS", "CHECK")</f>
        <v>PASS</v>
      </c>
    </row>
    <row r="1470" spans="1:20" x14ac:dyDescent="0.35">
      <c r="A1470" s="7">
        <v>1469</v>
      </c>
      <c r="B1470" s="9">
        <v>1012</v>
      </c>
      <c r="C1470" s="14" t="str">
        <f>IFERROR(_xlfn.TEXTJOIN("-", TRUE, _xlfn.XLOOKUP(K1470, product_category_id_lookup!$A$2:$A$5, product_category_id_lookup!$B$2:$B$5), B1470), "Unknown Category")</f>
        <v>fd-1012</v>
      </c>
      <c r="D1470" s="8">
        <v>45055</v>
      </c>
      <c r="E1470" s="14">
        <f t="shared" si="66"/>
        <v>2023</v>
      </c>
      <c r="F1470" s="29" t="str">
        <f t="shared" si="67"/>
        <v>May</v>
      </c>
      <c r="G1470" s="17" t="s">
        <v>22</v>
      </c>
      <c r="H1470" s="17" t="s">
        <v>20</v>
      </c>
      <c r="I1470" s="24">
        <v>18203.885699999999</v>
      </c>
      <c r="J1470" s="32">
        <v>13</v>
      </c>
      <c r="K1470" s="17" t="s">
        <v>24</v>
      </c>
      <c r="L1470" s="24">
        <v>1311.01</v>
      </c>
      <c r="M1470" s="24">
        <v>1538.79</v>
      </c>
      <c r="N1470" s="34">
        <f>((sales_data_1[[#This Row],[Unit_Price]]*(1-sales_data_1[[#This Row],[Discount]]))-sales_data_1[[#This Row],[Unit_Cost]])*sales_data_1[[#This Row],[Quantity_Sold]]</f>
        <v>1160.7557000000002</v>
      </c>
      <c r="O1470" s="17" t="s">
        <v>17</v>
      </c>
      <c r="P1470" s="26">
        <v>0.09</v>
      </c>
      <c r="Q1470" s="17" t="s">
        <v>25</v>
      </c>
      <c r="R1470" s="17" t="s">
        <v>21</v>
      </c>
      <c r="S1470" s="50" t="str">
        <f t="shared" si="68"/>
        <v>David-West</v>
      </c>
      <c r="T1470" s="59" t="str">
        <f>IF(ROUND(sales_data_1[[#This Row],[Profit_Margin]],2)=ROUND((sales_data_1[[#This Row],[Unit_Price]]*(1-sales_data_1[[#This Row],[Discount]]) - sales_data_1[[#This Row],[Unit_Cost]])*sales_data_1[[#This Row],[Quantity_Sold]],2), "PASS", "CHECK")</f>
        <v>PASS</v>
      </c>
    </row>
    <row r="1471" spans="1:20" x14ac:dyDescent="0.35">
      <c r="A1471" s="7">
        <v>1470</v>
      </c>
      <c r="B1471" s="9">
        <v>1030</v>
      </c>
      <c r="C1471" s="14" t="str">
        <f>IFERROR(_xlfn.TEXTJOIN("-", TRUE, _xlfn.XLOOKUP(K1471, product_category_id_lookup!$A$2:$A$5, product_category_id_lookup!$B$2:$B$5), B1471), "Unknown Category")</f>
        <v>ctg-1030</v>
      </c>
      <c r="D1471" s="8">
        <v>45056</v>
      </c>
      <c r="E1471" s="14">
        <f t="shared" si="66"/>
        <v>2023</v>
      </c>
      <c r="F1471" s="29" t="str">
        <f t="shared" si="67"/>
        <v>May</v>
      </c>
      <c r="G1471" s="17" t="s">
        <v>14</v>
      </c>
      <c r="H1471" s="17" t="s">
        <v>23</v>
      </c>
      <c r="I1471" s="24">
        <v>202688.24000000002</v>
      </c>
      <c r="J1471" s="32">
        <v>43</v>
      </c>
      <c r="K1471" s="17" t="s">
        <v>26</v>
      </c>
      <c r="L1471" s="24">
        <v>4696.6400000000003</v>
      </c>
      <c r="M1471" s="24">
        <v>4713.68</v>
      </c>
      <c r="N1471" s="34">
        <f>((sales_data_1[[#This Row],[Unit_Price]]*(1-sales_data_1[[#This Row],[Discount]]))-sales_data_1[[#This Row],[Unit_Cost]])*sales_data_1[[#This Row],[Quantity_Sold]]</f>
        <v>732.71999999999844</v>
      </c>
      <c r="O1471" s="17" t="s">
        <v>17</v>
      </c>
      <c r="P1471" s="26">
        <v>0</v>
      </c>
      <c r="Q1471" s="17" t="s">
        <v>25</v>
      </c>
      <c r="R1471" s="17" t="s">
        <v>19</v>
      </c>
      <c r="S1471" s="50" t="str">
        <f t="shared" si="68"/>
        <v>Bob-South</v>
      </c>
      <c r="T1471" s="59" t="str">
        <f>IF(ROUND(sales_data_1[[#This Row],[Profit_Margin]],2)=ROUND((sales_data_1[[#This Row],[Unit_Price]]*(1-sales_data_1[[#This Row],[Discount]]) - sales_data_1[[#This Row],[Unit_Cost]])*sales_data_1[[#This Row],[Quantity_Sold]],2), "PASS", "CHECK")</f>
        <v>PASS</v>
      </c>
    </row>
    <row r="1472" spans="1:20" x14ac:dyDescent="0.35">
      <c r="A1472" s="7">
        <v>1471</v>
      </c>
      <c r="B1472" s="9">
        <v>1034</v>
      </c>
      <c r="C1472" s="14" t="str">
        <f>IFERROR(_xlfn.TEXTJOIN("-", TRUE, _xlfn.XLOOKUP(K1472, product_category_id_lookup!$A$2:$A$5, product_category_id_lookup!$B$2:$B$5), B1472), "Unknown Category")</f>
        <v>ctg-1034</v>
      </c>
      <c r="D1472" s="8">
        <v>45056</v>
      </c>
      <c r="E1472" s="14">
        <f t="shared" si="66"/>
        <v>2023</v>
      </c>
      <c r="F1472" s="29" t="str">
        <f t="shared" si="67"/>
        <v>May</v>
      </c>
      <c r="G1472" s="17" t="s">
        <v>32</v>
      </c>
      <c r="H1472" s="17" t="s">
        <v>30</v>
      </c>
      <c r="I1472" s="24">
        <v>40491.46341807452</v>
      </c>
      <c r="J1472" s="32">
        <v>19</v>
      </c>
      <c r="K1472" s="17" t="s">
        <v>26</v>
      </c>
      <c r="L1472" s="24">
        <v>1922.21</v>
      </c>
      <c r="M1472" s="24">
        <v>2180.83</v>
      </c>
      <c r="N1472" s="34">
        <f>((sales_data_1[[#This Row],[Unit_Price]]*(1-sales_data_1[[#This Row],[Discount]]))-sales_data_1[[#This Row],[Unit_Cost]])*sales_data_1[[#This Row],[Quantity_Sold]]</f>
        <v>4085.0646000000011</v>
      </c>
      <c r="O1472" s="17" t="s">
        <v>17</v>
      </c>
      <c r="P1472" s="26">
        <v>0.02</v>
      </c>
      <c r="Q1472" s="17" t="s">
        <v>28</v>
      </c>
      <c r="R1472" s="17" t="s">
        <v>21</v>
      </c>
      <c r="S1472" s="50" t="str">
        <f t="shared" si="68"/>
        <v>Eve-East</v>
      </c>
      <c r="T1472" s="59" t="str">
        <f>IF(ROUND(sales_data_1[[#This Row],[Profit_Margin]],2)=ROUND((sales_data_1[[#This Row],[Unit_Price]]*(1-sales_data_1[[#This Row],[Discount]]) - sales_data_1[[#This Row],[Unit_Cost]])*sales_data_1[[#This Row],[Quantity_Sold]],2), "PASS", "CHECK")</f>
        <v>PASS</v>
      </c>
    </row>
    <row r="1473" spans="1:20" x14ac:dyDescent="0.35">
      <c r="A1473" s="7">
        <v>1472</v>
      </c>
      <c r="B1473" s="9">
        <v>1001</v>
      </c>
      <c r="C1473" s="14" t="str">
        <f>IFERROR(_xlfn.TEXTJOIN("-", TRUE, _xlfn.XLOOKUP(K1473, product_category_id_lookup!$A$2:$A$5, product_category_id_lookup!$B$2:$B$5), B1473), "Unknown Category")</f>
        <v>fd-1001</v>
      </c>
      <c r="D1473" s="8">
        <v>45056</v>
      </c>
      <c r="E1473" s="14">
        <f t="shared" si="66"/>
        <v>2023</v>
      </c>
      <c r="F1473" s="29" t="str">
        <f t="shared" si="67"/>
        <v>May</v>
      </c>
      <c r="G1473" s="17" t="s">
        <v>22</v>
      </c>
      <c r="H1473" s="17" t="s">
        <v>30</v>
      </c>
      <c r="I1473" s="24">
        <v>234866.62339999998</v>
      </c>
      <c r="J1473" s="32">
        <v>47</v>
      </c>
      <c r="K1473" s="17" t="s">
        <v>24</v>
      </c>
      <c r="L1473" s="24">
        <v>4865.33</v>
      </c>
      <c r="M1473" s="24">
        <v>5316.13</v>
      </c>
      <c r="N1473" s="34">
        <f>((sales_data_1[[#This Row],[Unit_Price]]*(1-sales_data_1[[#This Row],[Discount]]))-sales_data_1[[#This Row],[Unit_Cost]])*sales_data_1[[#This Row],[Quantity_Sold]]</f>
        <v>6196.113399999992</v>
      </c>
      <c r="O1473" s="17" t="s">
        <v>27</v>
      </c>
      <c r="P1473" s="26">
        <v>0.06</v>
      </c>
      <c r="Q1473" s="17" t="s">
        <v>25</v>
      </c>
      <c r="R1473" s="17" t="s">
        <v>19</v>
      </c>
      <c r="S1473" s="50" t="str">
        <f t="shared" si="68"/>
        <v>David-East</v>
      </c>
      <c r="T1473" s="59" t="str">
        <f>IF(ROUND(sales_data_1[[#This Row],[Profit_Margin]],2)=ROUND((sales_data_1[[#This Row],[Unit_Price]]*(1-sales_data_1[[#This Row],[Discount]]) - sales_data_1[[#This Row],[Unit_Cost]])*sales_data_1[[#This Row],[Quantity_Sold]],2), "PASS", "CHECK")</f>
        <v>PASS</v>
      </c>
    </row>
    <row r="1474" spans="1:20" x14ac:dyDescent="0.35">
      <c r="A1474" s="7">
        <v>1473</v>
      </c>
      <c r="B1474" s="9">
        <v>1063</v>
      </c>
      <c r="C1474" s="14" t="str">
        <f>IFERROR(_xlfn.TEXTJOIN("-", TRUE, _xlfn.XLOOKUP(K1474, product_category_id_lookup!$A$2:$A$5, product_category_id_lookup!$B$2:$B$5), B1474), "Unknown Category")</f>
        <v>etc-1063</v>
      </c>
      <c r="D1474" s="8">
        <v>45056</v>
      </c>
      <c r="E1474" s="14">
        <f t="shared" ref="E1474:E1537" si="69">YEAR(D1474)</f>
        <v>2023</v>
      </c>
      <c r="F1474" s="29" t="str">
        <f t="shared" ref="F1474:F1537" si="70">LEFT(TEXT(D1474,"mmmm"),3)</f>
        <v>May</v>
      </c>
      <c r="G1474" s="17" t="s">
        <v>22</v>
      </c>
      <c r="H1474" s="17" t="s">
        <v>30</v>
      </c>
      <c r="I1474" s="24">
        <v>213740.84883707625</v>
      </c>
      <c r="J1474" s="32">
        <v>47</v>
      </c>
      <c r="K1474" s="17" t="s">
        <v>31</v>
      </c>
      <c r="L1474" s="24">
        <v>4291.33</v>
      </c>
      <c r="M1474" s="24">
        <v>4658.6400000000003</v>
      </c>
      <c r="N1474" s="34">
        <f>((sales_data_1[[#This Row],[Unit_Price]]*(1-sales_data_1[[#This Row],[Discount]]))-sales_data_1[[#This Row],[Unit_Cost]])*sales_data_1[[#This Row],[Quantity_Sold]]</f>
        <v>12884.448400000005</v>
      </c>
      <c r="O1474" s="17" t="s">
        <v>27</v>
      </c>
      <c r="P1474" s="26">
        <v>0.02</v>
      </c>
      <c r="Q1474" s="17" t="s">
        <v>28</v>
      </c>
      <c r="R1474" s="17" t="s">
        <v>21</v>
      </c>
      <c r="S1474" s="50" t="str">
        <f t="shared" ref="S1474:S1537" si="71">_xlfn.CONCAT(G1474,"-",H1474)</f>
        <v>David-East</v>
      </c>
      <c r="T1474" s="59" t="str">
        <f>IF(ROUND(sales_data_1[[#This Row],[Profit_Margin]],2)=ROUND((sales_data_1[[#This Row],[Unit_Price]]*(1-sales_data_1[[#This Row],[Discount]]) - sales_data_1[[#This Row],[Unit_Cost]])*sales_data_1[[#This Row],[Quantity_Sold]],2), "PASS", "CHECK")</f>
        <v>PASS</v>
      </c>
    </row>
    <row r="1475" spans="1:20" x14ac:dyDescent="0.35">
      <c r="A1475" s="7">
        <v>1474</v>
      </c>
      <c r="B1475" s="9">
        <v>1051</v>
      </c>
      <c r="C1475" s="14" t="str">
        <f>IFERROR(_xlfn.TEXTJOIN("-", TRUE, _xlfn.XLOOKUP(K1475, product_category_id_lookup!$A$2:$A$5, product_category_id_lookup!$B$2:$B$5), B1475), "Unknown Category")</f>
        <v>fd-1051</v>
      </c>
      <c r="D1475" s="8">
        <v>45057</v>
      </c>
      <c r="E1475" s="14">
        <f t="shared" si="69"/>
        <v>2023</v>
      </c>
      <c r="F1475" s="29" t="str">
        <f t="shared" si="70"/>
        <v>May</v>
      </c>
      <c r="G1475" s="17" t="s">
        <v>14</v>
      </c>
      <c r="H1475" s="17" t="s">
        <v>15</v>
      </c>
      <c r="I1475" s="24">
        <v>160630.38719999997</v>
      </c>
      <c r="J1475" s="32">
        <v>36</v>
      </c>
      <c r="K1475" s="17" t="s">
        <v>24</v>
      </c>
      <c r="L1475" s="24">
        <v>4418.95</v>
      </c>
      <c r="M1475" s="24">
        <v>4647.87</v>
      </c>
      <c r="N1475" s="34">
        <f>((sales_data_1[[#This Row],[Unit_Price]]*(1-sales_data_1[[#This Row],[Discount]]))-sales_data_1[[#This Row],[Unit_Cost]])*sales_data_1[[#This Row],[Quantity_Sold]]</f>
        <v>1548.1871999999858</v>
      </c>
      <c r="O1475" s="17" t="s">
        <v>27</v>
      </c>
      <c r="P1475" s="26">
        <v>0.04</v>
      </c>
      <c r="Q1475" s="17" t="s">
        <v>25</v>
      </c>
      <c r="R1475" s="17" t="s">
        <v>19</v>
      </c>
      <c r="S1475" s="50" t="str">
        <f t="shared" si="71"/>
        <v>Bob-North</v>
      </c>
      <c r="T1475" s="59" t="str">
        <f>IF(ROUND(sales_data_1[[#This Row],[Profit_Margin]],2)=ROUND((sales_data_1[[#This Row],[Unit_Price]]*(1-sales_data_1[[#This Row],[Discount]]) - sales_data_1[[#This Row],[Unit_Cost]])*sales_data_1[[#This Row],[Quantity_Sold]],2), "PASS", "CHECK")</f>
        <v>PASS</v>
      </c>
    </row>
    <row r="1476" spans="1:20" x14ac:dyDescent="0.35">
      <c r="A1476" s="7">
        <v>1475</v>
      </c>
      <c r="B1476" s="9">
        <v>1001</v>
      </c>
      <c r="C1476" s="14" t="str">
        <f>IFERROR(_xlfn.TEXTJOIN("-", TRUE, _xlfn.XLOOKUP(K1476, product_category_id_lookup!$A$2:$A$5, product_category_id_lookup!$B$2:$B$5), B1476), "Unknown Category")</f>
        <v>ctg-1001</v>
      </c>
      <c r="D1476" s="8">
        <v>45057</v>
      </c>
      <c r="E1476" s="14">
        <f t="shared" si="69"/>
        <v>2023</v>
      </c>
      <c r="F1476" s="29" t="str">
        <f t="shared" si="70"/>
        <v>May</v>
      </c>
      <c r="G1476" s="17" t="s">
        <v>32</v>
      </c>
      <c r="H1476" s="17" t="s">
        <v>30</v>
      </c>
      <c r="I1476" s="24">
        <v>5273.3872000000001</v>
      </c>
      <c r="J1476" s="32">
        <v>8</v>
      </c>
      <c r="K1476" s="17" t="s">
        <v>26</v>
      </c>
      <c r="L1476" s="24">
        <v>442.11</v>
      </c>
      <c r="M1476" s="24">
        <v>803.87</v>
      </c>
      <c r="N1476" s="34">
        <f>((sales_data_1[[#This Row],[Unit_Price]]*(1-sales_data_1[[#This Row],[Discount]]))-sales_data_1[[#This Row],[Unit_Cost]])*sales_data_1[[#This Row],[Quantity_Sold]]</f>
        <v>1736.5072</v>
      </c>
      <c r="O1476" s="17" t="s">
        <v>27</v>
      </c>
      <c r="P1476" s="26">
        <v>0.18</v>
      </c>
      <c r="Q1476" s="17" t="s">
        <v>18</v>
      </c>
      <c r="R1476" s="17" t="s">
        <v>21</v>
      </c>
      <c r="S1476" s="50" t="str">
        <f t="shared" si="71"/>
        <v>Eve-East</v>
      </c>
      <c r="T1476" s="59" t="str">
        <f>IF(ROUND(sales_data_1[[#This Row],[Profit_Margin]],2)=ROUND((sales_data_1[[#This Row],[Unit_Price]]*(1-sales_data_1[[#This Row],[Discount]]) - sales_data_1[[#This Row],[Unit_Cost]])*sales_data_1[[#This Row],[Quantity_Sold]],2), "PASS", "CHECK")</f>
        <v>PASS</v>
      </c>
    </row>
    <row r="1477" spans="1:20" x14ac:dyDescent="0.35">
      <c r="A1477" s="7">
        <v>1476</v>
      </c>
      <c r="B1477" s="9">
        <v>1003</v>
      </c>
      <c r="C1477" s="14" t="str">
        <f>IFERROR(_xlfn.TEXTJOIN("-", TRUE, _xlfn.XLOOKUP(K1477, product_category_id_lookup!$A$2:$A$5, product_category_id_lookup!$B$2:$B$5), B1477), "Unknown Category")</f>
        <v>etc-1003</v>
      </c>
      <c r="D1477" s="8">
        <v>45057</v>
      </c>
      <c r="E1477" s="14">
        <f t="shared" si="69"/>
        <v>2023</v>
      </c>
      <c r="F1477" s="29" t="str">
        <f t="shared" si="70"/>
        <v>May</v>
      </c>
      <c r="G1477" s="17" t="s">
        <v>29</v>
      </c>
      <c r="H1477" s="17" t="s">
        <v>15</v>
      </c>
      <c r="I1477" s="24">
        <v>99060.605341656221</v>
      </c>
      <c r="J1477" s="32">
        <v>26</v>
      </c>
      <c r="K1477" s="17" t="s">
        <v>31</v>
      </c>
      <c r="L1477" s="24">
        <v>3418.78</v>
      </c>
      <c r="M1477" s="24">
        <v>3824.1000000000004</v>
      </c>
      <c r="N1477" s="34">
        <f>((sales_data_1[[#This Row],[Unit_Price]]*(1-sales_data_1[[#This Row],[Discount]]))-sales_data_1[[#This Row],[Unit_Cost]])*sales_data_1[[#This Row],[Quantity_Sold]]</f>
        <v>10538.320000000003</v>
      </c>
      <c r="O1477" s="17" t="s">
        <v>27</v>
      </c>
      <c r="P1477" s="26">
        <v>0</v>
      </c>
      <c r="Q1477" s="17" t="s">
        <v>28</v>
      </c>
      <c r="R1477" s="17" t="s">
        <v>19</v>
      </c>
      <c r="S1477" s="50" t="str">
        <f t="shared" si="71"/>
        <v>Charlie-North</v>
      </c>
      <c r="T1477" s="59" t="str">
        <f>IF(ROUND(sales_data_1[[#This Row],[Profit_Margin]],2)=ROUND((sales_data_1[[#This Row],[Unit_Price]]*(1-sales_data_1[[#This Row],[Discount]]) - sales_data_1[[#This Row],[Unit_Cost]])*sales_data_1[[#This Row],[Quantity_Sold]],2), "PASS", "CHECK")</f>
        <v>PASS</v>
      </c>
    </row>
    <row r="1478" spans="1:20" x14ac:dyDescent="0.35">
      <c r="A1478" s="7">
        <v>1477</v>
      </c>
      <c r="B1478" s="9">
        <v>1099</v>
      </c>
      <c r="C1478" s="14" t="str">
        <f>IFERROR(_xlfn.TEXTJOIN("-", TRUE, _xlfn.XLOOKUP(K1478, product_category_id_lookup!$A$2:$A$5, product_category_id_lookup!$B$2:$B$5), B1478), "Unknown Category")</f>
        <v>fd-1099</v>
      </c>
      <c r="D1478" s="8">
        <v>45057</v>
      </c>
      <c r="E1478" s="14">
        <f t="shared" si="69"/>
        <v>2023</v>
      </c>
      <c r="F1478" s="29" t="str">
        <f t="shared" si="70"/>
        <v>May</v>
      </c>
      <c r="G1478" s="17" t="s">
        <v>33</v>
      </c>
      <c r="H1478" s="17" t="s">
        <v>23</v>
      </c>
      <c r="I1478" s="24">
        <v>176429.43831423527</v>
      </c>
      <c r="J1478" s="32">
        <v>48</v>
      </c>
      <c r="K1478" s="17" t="s">
        <v>24</v>
      </c>
      <c r="L1478" s="24">
        <v>3441.61</v>
      </c>
      <c r="M1478" s="24">
        <v>3693.4500000000003</v>
      </c>
      <c r="N1478" s="34">
        <f>((sales_data_1[[#This Row],[Unit_Price]]*(1-sales_data_1[[#This Row],[Discount]]))-sales_data_1[[#This Row],[Unit_Cost]])*sales_data_1[[#This Row],[Quantity_Sold]]</f>
        <v>12088.320000000007</v>
      </c>
      <c r="O1478" s="17" t="s">
        <v>17</v>
      </c>
      <c r="P1478" s="26">
        <v>0</v>
      </c>
      <c r="Q1478" s="17" t="s">
        <v>25</v>
      </c>
      <c r="R1478" s="17" t="s">
        <v>19</v>
      </c>
      <c r="S1478" s="50" t="str">
        <f t="shared" si="71"/>
        <v>Alice-South</v>
      </c>
      <c r="T1478" s="59" t="str">
        <f>IF(ROUND(sales_data_1[[#This Row],[Profit_Margin]],2)=ROUND((sales_data_1[[#This Row],[Unit_Price]]*(1-sales_data_1[[#This Row],[Discount]]) - sales_data_1[[#This Row],[Unit_Cost]])*sales_data_1[[#This Row],[Quantity_Sold]],2), "PASS", "CHECK")</f>
        <v>PASS</v>
      </c>
    </row>
    <row r="1479" spans="1:20" x14ac:dyDescent="0.35">
      <c r="A1479" s="7">
        <v>1478</v>
      </c>
      <c r="B1479" s="9">
        <v>1038</v>
      </c>
      <c r="C1479" s="14" t="str">
        <f>IFERROR(_xlfn.TEXTJOIN("-", TRUE, _xlfn.XLOOKUP(K1479, product_category_id_lookup!$A$2:$A$5, product_category_id_lookup!$B$2:$B$5), B1479), "Unknown Category")</f>
        <v>ctg-1038</v>
      </c>
      <c r="D1479" s="8">
        <v>45058</v>
      </c>
      <c r="E1479" s="14">
        <f t="shared" si="69"/>
        <v>2023</v>
      </c>
      <c r="F1479" s="29" t="str">
        <f t="shared" si="70"/>
        <v>May</v>
      </c>
      <c r="G1479" s="17" t="s">
        <v>14</v>
      </c>
      <c r="H1479" s="17" t="s">
        <v>23</v>
      </c>
      <c r="I1479" s="24">
        <v>55240.091889173556</v>
      </c>
      <c r="J1479" s="32">
        <v>20</v>
      </c>
      <c r="K1479" s="17" t="s">
        <v>26</v>
      </c>
      <c r="L1479" s="24">
        <v>2607.31</v>
      </c>
      <c r="M1479" s="24">
        <v>2774.86</v>
      </c>
      <c r="N1479" s="34">
        <f>((sales_data_1[[#This Row],[Unit_Price]]*(1-sales_data_1[[#This Row],[Discount]]))-sales_data_1[[#This Row],[Unit_Cost]])*sales_data_1[[#This Row],[Quantity_Sold]]</f>
        <v>3351.0000000000036</v>
      </c>
      <c r="O1479" s="17" t="s">
        <v>27</v>
      </c>
      <c r="P1479" s="26">
        <v>0</v>
      </c>
      <c r="Q1479" s="17" t="s">
        <v>28</v>
      </c>
      <c r="R1479" s="17" t="s">
        <v>21</v>
      </c>
      <c r="S1479" s="50" t="str">
        <f t="shared" si="71"/>
        <v>Bob-South</v>
      </c>
      <c r="T1479" s="59" t="str">
        <f>IF(ROUND(sales_data_1[[#This Row],[Profit_Margin]],2)=ROUND((sales_data_1[[#This Row],[Unit_Price]]*(1-sales_data_1[[#This Row],[Discount]]) - sales_data_1[[#This Row],[Unit_Cost]])*sales_data_1[[#This Row],[Quantity_Sold]],2), "PASS", "CHECK")</f>
        <v>PASS</v>
      </c>
    </row>
    <row r="1480" spans="1:20" x14ac:dyDescent="0.35">
      <c r="A1480" s="7">
        <v>1479</v>
      </c>
      <c r="B1480" s="9">
        <v>1033</v>
      </c>
      <c r="C1480" s="14" t="str">
        <f>IFERROR(_xlfn.TEXTJOIN("-", TRUE, _xlfn.XLOOKUP(K1480, product_category_id_lookup!$A$2:$A$5, product_category_id_lookup!$B$2:$B$5), B1480), "Unknown Category")</f>
        <v>fnt-1033</v>
      </c>
      <c r="D1480" s="8">
        <v>45058</v>
      </c>
      <c r="E1480" s="14">
        <f t="shared" si="69"/>
        <v>2023</v>
      </c>
      <c r="F1480" s="29" t="str">
        <f t="shared" si="70"/>
        <v>May</v>
      </c>
      <c r="G1480" s="17" t="s">
        <v>14</v>
      </c>
      <c r="H1480" s="17" t="s">
        <v>15</v>
      </c>
      <c r="I1480" s="24">
        <v>53856.357045488607</v>
      </c>
      <c r="J1480" s="32">
        <v>16</v>
      </c>
      <c r="K1480" s="17" t="s">
        <v>16</v>
      </c>
      <c r="L1480" s="24">
        <v>2915.88</v>
      </c>
      <c r="M1480" s="24">
        <v>3397.36</v>
      </c>
      <c r="N1480" s="34">
        <f>((sales_data_1[[#This Row],[Unit_Price]]*(1-sales_data_1[[#This Row],[Discount]]))-sales_data_1[[#This Row],[Unit_Cost]])*sales_data_1[[#This Row],[Quantity_Sold]]</f>
        <v>7160.1024000000034</v>
      </c>
      <c r="O1480" s="17" t="s">
        <v>27</v>
      </c>
      <c r="P1480" s="26">
        <v>0.01</v>
      </c>
      <c r="Q1480" s="17" t="s">
        <v>25</v>
      </c>
      <c r="R1480" s="17" t="s">
        <v>21</v>
      </c>
      <c r="S1480" s="50" t="str">
        <f t="shared" si="71"/>
        <v>Bob-North</v>
      </c>
      <c r="T1480" s="59" t="str">
        <f>IF(ROUND(sales_data_1[[#This Row],[Profit_Margin]],2)=ROUND((sales_data_1[[#This Row],[Unit_Price]]*(1-sales_data_1[[#This Row],[Discount]]) - sales_data_1[[#This Row],[Unit_Cost]])*sales_data_1[[#This Row],[Quantity_Sold]],2), "PASS", "CHECK")</f>
        <v>PASS</v>
      </c>
    </row>
    <row r="1481" spans="1:20" x14ac:dyDescent="0.35">
      <c r="A1481" s="7">
        <v>1480</v>
      </c>
      <c r="B1481" s="9">
        <v>1075</v>
      </c>
      <c r="C1481" s="14" t="str">
        <f>IFERROR(_xlfn.TEXTJOIN("-", TRUE, _xlfn.XLOOKUP(K1481, product_category_id_lookup!$A$2:$A$5, product_category_id_lookup!$B$2:$B$5), B1481), "Unknown Category")</f>
        <v>ctg-1075</v>
      </c>
      <c r="D1481" s="8">
        <v>45059</v>
      </c>
      <c r="E1481" s="14">
        <f t="shared" si="69"/>
        <v>2023</v>
      </c>
      <c r="F1481" s="29" t="str">
        <f t="shared" si="70"/>
        <v>May</v>
      </c>
      <c r="G1481" s="17" t="s">
        <v>14</v>
      </c>
      <c r="H1481" s="17" t="s">
        <v>30</v>
      </c>
      <c r="I1481" s="24">
        <v>157097.77567358955</v>
      </c>
      <c r="J1481" s="32">
        <v>36</v>
      </c>
      <c r="K1481" s="17" t="s">
        <v>26</v>
      </c>
      <c r="L1481" s="24">
        <v>4337.6099999999997</v>
      </c>
      <c r="M1481" s="24">
        <v>4386.82</v>
      </c>
      <c r="N1481" s="34">
        <f>((sales_data_1[[#This Row],[Unit_Price]]*(1-sales_data_1[[#This Row],[Discount]]))-sales_data_1[[#This Row],[Unit_Cost]])*sales_data_1[[#This Row],[Quantity_Sold]]</f>
        <v>192.30480000000534</v>
      </c>
      <c r="O1481" s="17" t="s">
        <v>17</v>
      </c>
      <c r="P1481" s="26">
        <v>0.01</v>
      </c>
      <c r="Q1481" s="17" t="s">
        <v>28</v>
      </c>
      <c r="R1481" s="17" t="s">
        <v>19</v>
      </c>
      <c r="S1481" s="50" t="str">
        <f t="shared" si="71"/>
        <v>Bob-East</v>
      </c>
      <c r="T1481" s="59" t="str">
        <f>IF(ROUND(sales_data_1[[#This Row],[Profit_Margin]],2)=ROUND((sales_data_1[[#This Row],[Unit_Price]]*(1-sales_data_1[[#This Row],[Discount]]) - sales_data_1[[#This Row],[Unit_Cost]])*sales_data_1[[#This Row],[Quantity_Sold]],2), "PASS", "CHECK")</f>
        <v>PASS</v>
      </c>
    </row>
    <row r="1482" spans="1:20" x14ac:dyDescent="0.35">
      <c r="A1482" s="7">
        <v>1481</v>
      </c>
      <c r="B1482" s="9">
        <v>1060</v>
      </c>
      <c r="C1482" s="14" t="str">
        <f>IFERROR(_xlfn.TEXTJOIN("-", TRUE, _xlfn.XLOOKUP(K1482, product_category_id_lookup!$A$2:$A$5, product_category_id_lookup!$B$2:$B$5), B1482), "Unknown Category")</f>
        <v>etc-1060</v>
      </c>
      <c r="D1482" s="8">
        <v>45059</v>
      </c>
      <c r="E1482" s="14">
        <f t="shared" si="69"/>
        <v>2023</v>
      </c>
      <c r="F1482" s="29" t="str">
        <f t="shared" si="70"/>
        <v>May</v>
      </c>
      <c r="G1482" s="17" t="s">
        <v>29</v>
      </c>
      <c r="H1482" s="17" t="s">
        <v>20</v>
      </c>
      <c r="I1482" s="24">
        <v>101458.87079999999</v>
      </c>
      <c r="J1482" s="32">
        <v>31</v>
      </c>
      <c r="K1482" s="17" t="s">
        <v>31</v>
      </c>
      <c r="L1482" s="24">
        <v>3161.4</v>
      </c>
      <c r="M1482" s="24">
        <v>3339.66</v>
      </c>
      <c r="N1482" s="34">
        <f>((sales_data_1[[#This Row],[Unit_Price]]*(1-sales_data_1[[#This Row],[Discount]]))-sales_data_1[[#This Row],[Unit_Cost]])*sales_data_1[[#This Row],[Quantity_Sold]]</f>
        <v>3455.4707999999905</v>
      </c>
      <c r="O1482" s="17" t="s">
        <v>17</v>
      </c>
      <c r="P1482" s="26">
        <v>0.02</v>
      </c>
      <c r="Q1482" s="17" t="s">
        <v>25</v>
      </c>
      <c r="R1482" s="17" t="s">
        <v>19</v>
      </c>
      <c r="S1482" s="50" t="str">
        <f t="shared" si="71"/>
        <v>Charlie-West</v>
      </c>
      <c r="T1482" s="59" t="str">
        <f>IF(ROUND(sales_data_1[[#This Row],[Profit_Margin]],2)=ROUND((sales_data_1[[#This Row],[Unit_Price]]*(1-sales_data_1[[#This Row],[Discount]]) - sales_data_1[[#This Row],[Unit_Cost]])*sales_data_1[[#This Row],[Quantity_Sold]],2), "PASS", "CHECK")</f>
        <v>PASS</v>
      </c>
    </row>
    <row r="1483" spans="1:20" x14ac:dyDescent="0.35">
      <c r="A1483" s="7">
        <v>1482</v>
      </c>
      <c r="B1483" s="9">
        <v>1039</v>
      </c>
      <c r="C1483" s="14" t="str">
        <f>IFERROR(_xlfn.TEXTJOIN("-", TRUE, _xlfn.XLOOKUP(K1483, product_category_id_lookup!$A$2:$A$5, product_category_id_lookup!$B$2:$B$5), B1483), "Unknown Category")</f>
        <v>fnt-1039</v>
      </c>
      <c r="D1483" s="8">
        <v>45059</v>
      </c>
      <c r="E1483" s="14">
        <f t="shared" si="69"/>
        <v>2023</v>
      </c>
      <c r="F1483" s="29" t="str">
        <f t="shared" si="70"/>
        <v>May</v>
      </c>
      <c r="G1483" s="17" t="s">
        <v>32</v>
      </c>
      <c r="H1483" s="17" t="s">
        <v>20</v>
      </c>
      <c r="I1483" s="24">
        <v>155943.72868934582</v>
      </c>
      <c r="J1483" s="32">
        <v>40</v>
      </c>
      <c r="K1483" s="17" t="s">
        <v>16</v>
      </c>
      <c r="L1483" s="24">
        <v>3536.46</v>
      </c>
      <c r="M1483" s="24">
        <v>3945.82</v>
      </c>
      <c r="N1483" s="34">
        <f>((sales_data_1[[#This Row],[Unit_Price]]*(1-sales_data_1[[#This Row],[Discount]]))-sales_data_1[[#This Row],[Unit_Cost]])*sales_data_1[[#This Row],[Quantity_Sold]]</f>
        <v>14796.072000000004</v>
      </c>
      <c r="O1483" s="17" t="s">
        <v>27</v>
      </c>
      <c r="P1483" s="26">
        <v>0.01</v>
      </c>
      <c r="Q1483" s="17" t="s">
        <v>25</v>
      </c>
      <c r="R1483" s="17" t="s">
        <v>19</v>
      </c>
      <c r="S1483" s="50" t="str">
        <f t="shared" si="71"/>
        <v>Eve-West</v>
      </c>
      <c r="T1483" s="59" t="str">
        <f>IF(ROUND(sales_data_1[[#This Row],[Profit_Margin]],2)=ROUND((sales_data_1[[#This Row],[Unit_Price]]*(1-sales_data_1[[#This Row],[Discount]]) - sales_data_1[[#This Row],[Unit_Cost]])*sales_data_1[[#This Row],[Quantity_Sold]],2), "PASS", "CHECK")</f>
        <v>PASS</v>
      </c>
    </row>
    <row r="1484" spans="1:20" x14ac:dyDescent="0.35">
      <c r="A1484" s="7">
        <v>1483</v>
      </c>
      <c r="B1484" s="9">
        <v>1087</v>
      </c>
      <c r="C1484" s="14" t="str">
        <f>IFERROR(_xlfn.TEXTJOIN("-", TRUE, _xlfn.XLOOKUP(K1484, product_category_id_lookup!$A$2:$A$5, product_category_id_lookup!$B$2:$B$5), B1484), "Unknown Category")</f>
        <v>etc-1087</v>
      </c>
      <c r="D1484" s="8">
        <v>45060</v>
      </c>
      <c r="E1484" s="14">
        <f t="shared" si="69"/>
        <v>2023</v>
      </c>
      <c r="F1484" s="29" t="str">
        <f t="shared" si="70"/>
        <v>May</v>
      </c>
      <c r="G1484" s="17" t="s">
        <v>29</v>
      </c>
      <c r="H1484" s="17" t="s">
        <v>20</v>
      </c>
      <c r="I1484" s="24">
        <v>40282.184999999998</v>
      </c>
      <c r="J1484" s="32">
        <v>10</v>
      </c>
      <c r="K1484" s="17" t="s">
        <v>31</v>
      </c>
      <c r="L1484" s="24">
        <v>3988.52</v>
      </c>
      <c r="M1484" s="24">
        <v>4240.2299999999996</v>
      </c>
      <c r="N1484" s="34">
        <f>((sales_data_1[[#This Row],[Unit_Price]]*(1-sales_data_1[[#This Row],[Discount]]))-sales_data_1[[#This Row],[Unit_Cost]])*sales_data_1[[#This Row],[Quantity_Sold]]</f>
        <v>396.98499999999513</v>
      </c>
      <c r="O1484" s="17" t="s">
        <v>27</v>
      </c>
      <c r="P1484" s="26">
        <v>0.05</v>
      </c>
      <c r="Q1484" s="17" t="s">
        <v>28</v>
      </c>
      <c r="R1484" s="17" t="s">
        <v>19</v>
      </c>
      <c r="S1484" s="50" t="str">
        <f t="shared" si="71"/>
        <v>Charlie-West</v>
      </c>
      <c r="T1484" s="59" t="str">
        <f>IF(ROUND(sales_data_1[[#This Row],[Profit_Margin]],2)=ROUND((sales_data_1[[#This Row],[Unit_Price]]*(1-sales_data_1[[#This Row],[Discount]]) - sales_data_1[[#This Row],[Unit_Cost]])*sales_data_1[[#This Row],[Quantity_Sold]],2), "PASS", "CHECK")</f>
        <v>PASS</v>
      </c>
    </row>
    <row r="1485" spans="1:20" x14ac:dyDescent="0.35">
      <c r="A1485" s="7">
        <v>1484</v>
      </c>
      <c r="B1485" s="9">
        <v>1064</v>
      </c>
      <c r="C1485" s="14" t="str">
        <f>IFERROR(_xlfn.TEXTJOIN("-", TRUE, _xlfn.XLOOKUP(K1485, product_category_id_lookup!$A$2:$A$5, product_category_id_lookup!$B$2:$B$5), B1485), "Unknown Category")</f>
        <v>etc-1064</v>
      </c>
      <c r="D1485" s="8">
        <v>45060</v>
      </c>
      <c r="E1485" s="14">
        <f t="shared" si="69"/>
        <v>2023</v>
      </c>
      <c r="F1485" s="29" t="str">
        <f t="shared" si="70"/>
        <v>May</v>
      </c>
      <c r="G1485" s="17" t="s">
        <v>14</v>
      </c>
      <c r="H1485" s="17" t="s">
        <v>23</v>
      </c>
      <c r="I1485" s="24">
        <v>34857.185450750701</v>
      </c>
      <c r="J1485" s="32">
        <v>8</v>
      </c>
      <c r="K1485" s="17" t="s">
        <v>31</v>
      </c>
      <c r="L1485" s="24">
        <v>4271.99</v>
      </c>
      <c r="M1485" s="24">
        <v>4417.79</v>
      </c>
      <c r="N1485" s="34">
        <f>((sales_data_1[[#This Row],[Unit_Price]]*(1-sales_data_1[[#This Row],[Discount]]))-sales_data_1[[#This Row],[Unit_Cost]])*sales_data_1[[#This Row],[Quantity_Sold]]</f>
        <v>812.976800000004</v>
      </c>
      <c r="O1485" s="17" t="s">
        <v>17</v>
      </c>
      <c r="P1485" s="26">
        <v>0.01</v>
      </c>
      <c r="Q1485" s="17" t="s">
        <v>18</v>
      </c>
      <c r="R1485" s="17" t="s">
        <v>19</v>
      </c>
      <c r="S1485" s="50" t="str">
        <f t="shared" si="71"/>
        <v>Bob-South</v>
      </c>
      <c r="T1485" s="59" t="str">
        <f>IF(ROUND(sales_data_1[[#This Row],[Profit_Margin]],2)=ROUND((sales_data_1[[#This Row],[Unit_Price]]*(1-sales_data_1[[#This Row],[Discount]]) - sales_data_1[[#This Row],[Unit_Cost]])*sales_data_1[[#This Row],[Quantity_Sold]],2), "PASS", "CHECK")</f>
        <v>PASS</v>
      </c>
    </row>
    <row r="1486" spans="1:20" x14ac:dyDescent="0.35">
      <c r="A1486" s="7">
        <v>1485</v>
      </c>
      <c r="B1486" s="9">
        <v>1049</v>
      </c>
      <c r="C1486" s="14" t="str">
        <f>IFERROR(_xlfn.TEXTJOIN("-", TRUE, _xlfn.XLOOKUP(K1486, product_category_id_lookup!$A$2:$A$5, product_category_id_lookup!$B$2:$B$5), B1486), "Unknown Category")</f>
        <v>etc-1049</v>
      </c>
      <c r="D1486" s="8">
        <v>45060</v>
      </c>
      <c r="E1486" s="14">
        <f t="shared" si="69"/>
        <v>2023</v>
      </c>
      <c r="F1486" s="29" t="str">
        <f t="shared" si="70"/>
        <v>May</v>
      </c>
      <c r="G1486" s="17" t="s">
        <v>32</v>
      </c>
      <c r="H1486" s="17" t="s">
        <v>23</v>
      </c>
      <c r="I1486" s="24">
        <v>101804.73599999999</v>
      </c>
      <c r="J1486" s="32">
        <v>22</v>
      </c>
      <c r="K1486" s="17" t="s">
        <v>31</v>
      </c>
      <c r="L1486" s="24">
        <v>4573.6899999999996</v>
      </c>
      <c r="M1486" s="24">
        <v>4820.2999999999993</v>
      </c>
      <c r="N1486" s="34">
        <f>((sales_data_1[[#This Row],[Unit_Price]]*(1-sales_data_1[[#This Row],[Discount]]))-sales_data_1[[#This Row],[Unit_Cost]])*sales_data_1[[#This Row],[Quantity_Sold]]</f>
        <v>1183.555999999995</v>
      </c>
      <c r="O1486" s="17" t="s">
        <v>27</v>
      </c>
      <c r="P1486" s="26">
        <v>0.04</v>
      </c>
      <c r="Q1486" s="17" t="s">
        <v>18</v>
      </c>
      <c r="R1486" s="17" t="s">
        <v>19</v>
      </c>
      <c r="S1486" s="50" t="str">
        <f t="shared" si="71"/>
        <v>Eve-South</v>
      </c>
      <c r="T1486" s="59" t="str">
        <f>IF(ROUND(sales_data_1[[#This Row],[Profit_Margin]],2)=ROUND((sales_data_1[[#This Row],[Unit_Price]]*(1-sales_data_1[[#This Row],[Discount]]) - sales_data_1[[#This Row],[Unit_Cost]])*sales_data_1[[#This Row],[Quantity_Sold]],2), "PASS", "CHECK")</f>
        <v>PASS</v>
      </c>
    </row>
    <row r="1487" spans="1:20" x14ac:dyDescent="0.35">
      <c r="A1487" s="7">
        <v>1486</v>
      </c>
      <c r="B1487" s="9">
        <v>1009</v>
      </c>
      <c r="C1487" s="14" t="str">
        <f>IFERROR(_xlfn.TEXTJOIN("-", TRUE, _xlfn.XLOOKUP(K1487, product_category_id_lookup!$A$2:$A$5, product_category_id_lookup!$B$2:$B$5), B1487), "Unknown Category")</f>
        <v>fnt-1009</v>
      </c>
      <c r="D1487" s="8">
        <v>45060</v>
      </c>
      <c r="E1487" s="14">
        <f t="shared" si="69"/>
        <v>2023</v>
      </c>
      <c r="F1487" s="29" t="str">
        <f t="shared" si="70"/>
        <v>May</v>
      </c>
      <c r="G1487" s="17" t="s">
        <v>22</v>
      </c>
      <c r="H1487" s="17" t="s">
        <v>20</v>
      </c>
      <c r="I1487" s="24">
        <v>123704.94422396265</v>
      </c>
      <c r="J1487" s="32">
        <v>40</v>
      </c>
      <c r="K1487" s="17" t="s">
        <v>16</v>
      </c>
      <c r="L1487" s="24">
        <v>2799.71</v>
      </c>
      <c r="M1487" s="24">
        <v>3231.08</v>
      </c>
      <c r="N1487" s="34">
        <f>((sales_data_1[[#This Row],[Unit_Price]]*(1-sales_data_1[[#This Row],[Discount]]))-sales_data_1[[#This Row],[Unit_Cost]])*sales_data_1[[#This Row],[Quantity_Sold]]</f>
        <v>12085.072</v>
      </c>
      <c r="O1487" s="17" t="s">
        <v>17</v>
      </c>
      <c r="P1487" s="26">
        <v>0.04</v>
      </c>
      <c r="Q1487" s="17" t="s">
        <v>28</v>
      </c>
      <c r="R1487" s="17" t="s">
        <v>21</v>
      </c>
      <c r="S1487" s="50" t="str">
        <f t="shared" si="71"/>
        <v>David-West</v>
      </c>
      <c r="T1487" s="59" t="str">
        <f>IF(ROUND(sales_data_1[[#This Row],[Profit_Margin]],2)=ROUND((sales_data_1[[#This Row],[Unit_Price]]*(1-sales_data_1[[#This Row],[Discount]]) - sales_data_1[[#This Row],[Unit_Cost]])*sales_data_1[[#This Row],[Quantity_Sold]],2), "PASS", "CHECK")</f>
        <v>PASS</v>
      </c>
    </row>
    <row r="1488" spans="1:20" x14ac:dyDescent="0.35">
      <c r="A1488" s="7">
        <v>1487</v>
      </c>
      <c r="B1488" s="9">
        <v>1001</v>
      </c>
      <c r="C1488" s="14" t="str">
        <f>IFERROR(_xlfn.TEXTJOIN("-", TRUE, _xlfn.XLOOKUP(K1488, product_category_id_lookup!$A$2:$A$5, product_category_id_lookup!$B$2:$B$5), B1488), "Unknown Category")</f>
        <v>etc-1001</v>
      </c>
      <c r="D1488" s="8">
        <v>45060</v>
      </c>
      <c r="E1488" s="14">
        <f t="shared" si="69"/>
        <v>2023</v>
      </c>
      <c r="F1488" s="29" t="str">
        <f t="shared" si="70"/>
        <v>May</v>
      </c>
      <c r="G1488" s="17" t="s">
        <v>32</v>
      </c>
      <c r="H1488" s="17" t="s">
        <v>23</v>
      </c>
      <c r="I1488" s="24">
        <v>107888.27</v>
      </c>
      <c r="J1488" s="32">
        <v>35</v>
      </c>
      <c r="K1488" s="17" t="s">
        <v>31</v>
      </c>
      <c r="L1488" s="24">
        <v>2745.75</v>
      </c>
      <c r="M1488" s="24">
        <v>3244.76</v>
      </c>
      <c r="N1488" s="34">
        <f>((sales_data_1[[#This Row],[Unit_Price]]*(1-sales_data_1[[#This Row],[Discount]]))-sales_data_1[[#This Row],[Unit_Cost]])*sales_data_1[[#This Row],[Quantity_Sold]]</f>
        <v>11787.019999999997</v>
      </c>
      <c r="O1488" s="17" t="s">
        <v>27</v>
      </c>
      <c r="P1488" s="26">
        <v>0.05</v>
      </c>
      <c r="Q1488" s="17" t="s">
        <v>25</v>
      </c>
      <c r="R1488" s="17" t="s">
        <v>19</v>
      </c>
      <c r="S1488" s="50" t="str">
        <f t="shared" si="71"/>
        <v>Eve-South</v>
      </c>
      <c r="T1488" s="59" t="str">
        <f>IF(ROUND(sales_data_1[[#This Row],[Profit_Margin]],2)=ROUND((sales_data_1[[#This Row],[Unit_Price]]*(1-sales_data_1[[#This Row],[Discount]]) - sales_data_1[[#This Row],[Unit_Cost]])*sales_data_1[[#This Row],[Quantity_Sold]],2), "PASS", "CHECK")</f>
        <v>PASS</v>
      </c>
    </row>
    <row r="1489" spans="1:20" x14ac:dyDescent="0.35">
      <c r="A1489" s="7">
        <v>1488</v>
      </c>
      <c r="B1489" s="9">
        <v>1062</v>
      </c>
      <c r="C1489" s="14" t="str">
        <f>IFERROR(_xlfn.TEXTJOIN("-", TRUE, _xlfn.XLOOKUP(K1489, product_category_id_lookup!$A$2:$A$5, product_category_id_lookup!$B$2:$B$5), B1489), "Unknown Category")</f>
        <v>fnt-1062</v>
      </c>
      <c r="D1489" s="8">
        <v>45062</v>
      </c>
      <c r="E1489" s="14">
        <f t="shared" si="69"/>
        <v>2023</v>
      </c>
      <c r="F1489" s="29" t="str">
        <f t="shared" si="70"/>
        <v>May</v>
      </c>
      <c r="G1489" s="17" t="s">
        <v>29</v>
      </c>
      <c r="H1489" s="17" t="s">
        <v>15</v>
      </c>
      <c r="I1489" s="24">
        <v>13535.923200000001</v>
      </c>
      <c r="J1489" s="32">
        <v>46</v>
      </c>
      <c r="K1489" s="17" t="s">
        <v>16</v>
      </c>
      <c r="L1489" s="24">
        <v>159.32</v>
      </c>
      <c r="M1489" s="24">
        <v>303.36</v>
      </c>
      <c r="N1489" s="34">
        <f>((sales_data_1[[#This Row],[Unit_Price]]*(1-sales_data_1[[#This Row],[Discount]]))-sales_data_1[[#This Row],[Unit_Cost]])*sales_data_1[[#This Row],[Quantity_Sold]]</f>
        <v>6207.2032000000017</v>
      </c>
      <c r="O1489" s="17" t="s">
        <v>27</v>
      </c>
      <c r="P1489" s="26">
        <v>0.03</v>
      </c>
      <c r="Q1489" s="17" t="s">
        <v>18</v>
      </c>
      <c r="R1489" s="17" t="s">
        <v>21</v>
      </c>
      <c r="S1489" s="50" t="str">
        <f t="shared" si="71"/>
        <v>Charlie-North</v>
      </c>
      <c r="T1489" s="59" t="str">
        <f>IF(ROUND(sales_data_1[[#This Row],[Profit_Margin]],2)=ROUND((sales_data_1[[#This Row],[Unit_Price]]*(1-sales_data_1[[#This Row],[Discount]]) - sales_data_1[[#This Row],[Unit_Cost]])*sales_data_1[[#This Row],[Quantity_Sold]],2), "PASS", "CHECK")</f>
        <v>PASS</v>
      </c>
    </row>
    <row r="1490" spans="1:20" x14ac:dyDescent="0.35">
      <c r="A1490" s="7">
        <v>1489</v>
      </c>
      <c r="B1490" s="9">
        <v>1049</v>
      </c>
      <c r="C1490" s="14" t="str">
        <f>IFERROR(_xlfn.TEXTJOIN("-", TRUE, _xlfn.XLOOKUP(K1490, product_category_id_lookup!$A$2:$A$5, product_category_id_lookup!$B$2:$B$5), B1490), "Unknown Category")</f>
        <v>fnt-1049</v>
      </c>
      <c r="D1490" s="8">
        <v>45063</v>
      </c>
      <c r="E1490" s="14">
        <f t="shared" si="69"/>
        <v>2023</v>
      </c>
      <c r="F1490" s="29" t="str">
        <f t="shared" si="70"/>
        <v>May</v>
      </c>
      <c r="G1490" s="17" t="s">
        <v>33</v>
      </c>
      <c r="H1490" s="17" t="s">
        <v>20</v>
      </c>
      <c r="I1490" s="24">
        <v>3299.7732675313614</v>
      </c>
      <c r="J1490" s="32">
        <v>1</v>
      </c>
      <c r="K1490" s="17" t="s">
        <v>16</v>
      </c>
      <c r="L1490" s="24">
        <v>3290.89</v>
      </c>
      <c r="M1490" s="24">
        <v>3317.75</v>
      </c>
      <c r="N1490" s="34">
        <f>((sales_data_1[[#This Row],[Unit_Price]]*(1-sales_data_1[[#This Row],[Discount]]))-sales_data_1[[#This Row],[Unit_Cost]])*sales_data_1[[#This Row],[Quantity_Sold]]</f>
        <v>-6.3175000000001091</v>
      </c>
      <c r="O1490" s="17" t="s">
        <v>17</v>
      </c>
      <c r="P1490" s="26">
        <v>0.01</v>
      </c>
      <c r="Q1490" s="17" t="s">
        <v>25</v>
      </c>
      <c r="R1490" s="17" t="s">
        <v>19</v>
      </c>
      <c r="S1490" s="50" t="str">
        <f t="shared" si="71"/>
        <v>Alice-West</v>
      </c>
      <c r="T1490" s="59" t="str">
        <f>IF(ROUND(sales_data_1[[#This Row],[Profit_Margin]],2)=ROUND((sales_data_1[[#This Row],[Unit_Price]]*(1-sales_data_1[[#This Row],[Discount]]) - sales_data_1[[#This Row],[Unit_Cost]])*sales_data_1[[#This Row],[Quantity_Sold]],2), "PASS", "CHECK")</f>
        <v>PASS</v>
      </c>
    </row>
    <row r="1491" spans="1:20" x14ac:dyDescent="0.35">
      <c r="A1491" s="7">
        <v>1490</v>
      </c>
      <c r="B1491" s="9">
        <v>1053</v>
      </c>
      <c r="C1491" s="14" t="str">
        <f>IFERROR(_xlfn.TEXTJOIN("-", TRUE, _xlfn.XLOOKUP(K1491, product_category_id_lookup!$A$2:$A$5, product_category_id_lookup!$B$2:$B$5), B1491), "Unknown Category")</f>
        <v>ctg-1053</v>
      </c>
      <c r="D1491" s="8">
        <v>45063</v>
      </c>
      <c r="E1491" s="14">
        <f t="shared" si="69"/>
        <v>2023</v>
      </c>
      <c r="F1491" s="29" t="str">
        <f t="shared" si="70"/>
        <v>May</v>
      </c>
      <c r="G1491" s="17" t="s">
        <v>14</v>
      </c>
      <c r="H1491" s="17" t="s">
        <v>23</v>
      </c>
      <c r="I1491" s="24">
        <v>154636.04519999999</v>
      </c>
      <c r="J1491" s="32">
        <v>36</v>
      </c>
      <c r="K1491" s="17" t="s">
        <v>26</v>
      </c>
      <c r="L1491" s="24">
        <v>4252.17</v>
      </c>
      <c r="M1491" s="24">
        <v>4720.2700000000004</v>
      </c>
      <c r="N1491" s="34">
        <f>((sales_data_1[[#This Row],[Unit_Price]]*(1-sales_data_1[[#This Row],[Discount]]))-sales_data_1[[#This Row],[Unit_Cost]])*sales_data_1[[#This Row],[Quantity_Sold]]</f>
        <v>1557.9252000000051</v>
      </c>
      <c r="O1491" s="17" t="s">
        <v>27</v>
      </c>
      <c r="P1491" s="26">
        <v>0.09</v>
      </c>
      <c r="Q1491" s="17" t="s">
        <v>18</v>
      </c>
      <c r="R1491" s="17" t="s">
        <v>21</v>
      </c>
      <c r="S1491" s="50" t="str">
        <f t="shared" si="71"/>
        <v>Bob-South</v>
      </c>
      <c r="T1491" s="59" t="str">
        <f>IF(ROUND(sales_data_1[[#This Row],[Profit_Margin]],2)=ROUND((sales_data_1[[#This Row],[Unit_Price]]*(1-sales_data_1[[#This Row],[Discount]]) - sales_data_1[[#This Row],[Unit_Cost]])*sales_data_1[[#This Row],[Quantity_Sold]],2), "PASS", "CHECK")</f>
        <v>PASS</v>
      </c>
    </row>
    <row r="1492" spans="1:20" x14ac:dyDescent="0.35">
      <c r="A1492" s="7">
        <v>1491</v>
      </c>
      <c r="B1492" s="9">
        <v>1056</v>
      </c>
      <c r="C1492" s="14" t="str">
        <f>IFERROR(_xlfn.TEXTJOIN("-", TRUE, _xlfn.XLOOKUP(K1492, product_category_id_lookup!$A$2:$A$5, product_category_id_lookup!$B$2:$B$5), B1492), "Unknown Category")</f>
        <v>fnt-1056</v>
      </c>
      <c r="D1492" s="8">
        <v>45063</v>
      </c>
      <c r="E1492" s="14">
        <f t="shared" si="69"/>
        <v>2023</v>
      </c>
      <c r="F1492" s="29" t="str">
        <f t="shared" si="70"/>
        <v>May</v>
      </c>
      <c r="G1492" s="17" t="s">
        <v>22</v>
      </c>
      <c r="H1492" s="17" t="s">
        <v>20</v>
      </c>
      <c r="I1492" s="24">
        <v>118601.54655808503</v>
      </c>
      <c r="J1492" s="32">
        <v>47</v>
      </c>
      <c r="K1492" s="17" t="s">
        <v>16</v>
      </c>
      <c r="L1492" s="24">
        <v>2461.6999999999998</v>
      </c>
      <c r="M1492" s="24">
        <v>2529.02</v>
      </c>
      <c r="N1492" s="34">
        <f>((sales_data_1[[#This Row],[Unit_Price]]*(1-sales_data_1[[#This Row],[Discount]]))-sales_data_1[[#This Row],[Unit_Cost]])*sales_data_1[[#This Row],[Quantity_Sold]]</f>
        <v>3164.0400000000077</v>
      </c>
      <c r="O1492" s="17" t="s">
        <v>17</v>
      </c>
      <c r="P1492" s="26">
        <v>0</v>
      </c>
      <c r="Q1492" s="17" t="s">
        <v>18</v>
      </c>
      <c r="R1492" s="17" t="s">
        <v>21</v>
      </c>
      <c r="S1492" s="50" t="str">
        <f t="shared" si="71"/>
        <v>David-West</v>
      </c>
      <c r="T1492" s="59" t="str">
        <f>IF(ROUND(sales_data_1[[#This Row],[Profit_Margin]],2)=ROUND((sales_data_1[[#This Row],[Unit_Price]]*(1-sales_data_1[[#This Row],[Discount]]) - sales_data_1[[#This Row],[Unit_Cost]])*sales_data_1[[#This Row],[Quantity_Sold]],2), "PASS", "CHECK")</f>
        <v>PASS</v>
      </c>
    </row>
    <row r="1493" spans="1:20" x14ac:dyDescent="0.35">
      <c r="A1493" s="7">
        <v>1492</v>
      </c>
      <c r="B1493" s="9">
        <v>1004</v>
      </c>
      <c r="C1493" s="14" t="str">
        <f>IFERROR(_xlfn.TEXTJOIN("-", TRUE, _xlfn.XLOOKUP(K1493, product_category_id_lookup!$A$2:$A$5, product_category_id_lookup!$B$2:$B$5), B1493), "Unknown Category")</f>
        <v>fd-1004</v>
      </c>
      <c r="D1493" s="8">
        <v>45063</v>
      </c>
      <c r="E1493" s="14">
        <f t="shared" si="69"/>
        <v>2023</v>
      </c>
      <c r="F1493" s="29" t="str">
        <f t="shared" si="70"/>
        <v>May</v>
      </c>
      <c r="G1493" s="17" t="s">
        <v>33</v>
      </c>
      <c r="H1493" s="17" t="s">
        <v>15</v>
      </c>
      <c r="I1493" s="24">
        <v>151834.27379223605</v>
      </c>
      <c r="J1493" s="32">
        <v>36</v>
      </c>
      <c r="K1493" s="17" t="s">
        <v>24</v>
      </c>
      <c r="L1493" s="24">
        <v>3981.2</v>
      </c>
      <c r="M1493" s="24">
        <v>4432.3499999999995</v>
      </c>
      <c r="N1493" s="34">
        <f>((sales_data_1[[#This Row],[Unit_Price]]*(1-sales_data_1[[#This Row],[Discount]]))-sales_data_1[[#This Row],[Unit_Cost]])*sales_data_1[[#This Row],[Quantity_Sold]]</f>
        <v>8263.1699999999764</v>
      </c>
      <c r="O1493" s="17" t="s">
        <v>27</v>
      </c>
      <c r="P1493" s="26">
        <v>0.05</v>
      </c>
      <c r="Q1493" s="17" t="s">
        <v>18</v>
      </c>
      <c r="R1493" s="17" t="s">
        <v>19</v>
      </c>
      <c r="S1493" s="50" t="str">
        <f t="shared" si="71"/>
        <v>Alice-North</v>
      </c>
      <c r="T1493" s="59" t="str">
        <f>IF(ROUND(sales_data_1[[#This Row],[Profit_Margin]],2)=ROUND((sales_data_1[[#This Row],[Unit_Price]]*(1-sales_data_1[[#This Row],[Discount]]) - sales_data_1[[#This Row],[Unit_Cost]])*sales_data_1[[#This Row],[Quantity_Sold]],2), "PASS", "CHECK")</f>
        <v>PASS</v>
      </c>
    </row>
    <row r="1494" spans="1:20" x14ac:dyDescent="0.35">
      <c r="A1494" s="7">
        <v>1493</v>
      </c>
      <c r="B1494" s="9">
        <v>1050</v>
      </c>
      <c r="C1494" s="14" t="str">
        <f>IFERROR(_xlfn.TEXTJOIN("-", TRUE, _xlfn.XLOOKUP(K1494, product_category_id_lookup!$A$2:$A$5, product_category_id_lookup!$B$2:$B$5), B1494), "Unknown Category")</f>
        <v>fnt-1050</v>
      </c>
      <c r="D1494" s="8">
        <v>45063</v>
      </c>
      <c r="E1494" s="14">
        <f t="shared" si="69"/>
        <v>2023</v>
      </c>
      <c r="F1494" s="29" t="str">
        <f t="shared" si="70"/>
        <v>May</v>
      </c>
      <c r="G1494" s="17" t="s">
        <v>14</v>
      </c>
      <c r="H1494" s="17" t="s">
        <v>15</v>
      </c>
      <c r="I1494" s="24">
        <v>18992.231999999996</v>
      </c>
      <c r="J1494" s="32">
        <v>45</v>
      </c>
      <c r="K1494" s="17" t="s">
        <v>16</v>
      </c>
      <c r="L1494" s="24">
        <v>112.35</v>
      </c>
      <c r="M1494" s="24">
        <v>586.17999999999995</v>
      </c>
      <c r="N1494" s="34">
        <f>((sales_data_1[[#This Row],[Unit_Price]]*(1-sales_data_1[[#This Row],[Discount]]))-sales_data_1[[#This Row],[Unit_Cost]])*sales_data_1[[#This Row],[Quantity_Sold]]</f>
        <v>13936.481999999996</v>
      </c>
      <c r="O1494" s="17" t="s">
        <v>17</v>
      </c>
      <c r="P1494" s="26">
        <v>0.28000000000000003</v>
      </c>
      <c r="Q1494" s="17" t="s">
        <v>28</v>
      </c>
      <c r="R1494" s="17" t="s">
        <v>21</v>
      </c>
      <c r="S1494" s="50" t="str">
        <f t="shared" si="71"/>
        <v>Bob-North</v>
      </c>
      <c r="T1494" s="59" t="str">
        <f>IF(ROUND(sales_data_1[[#This Row],[Profit_Margin]],2)=ROUND((sales_data_1[[#This Row],[Unit_Price]]*(1-sales_data_1[[#This Row],[Discount]]) - sales_data_1[[#This Row],[Unit_Cost]])*sales_data_1[[#This Row],[Quantity_Sold]],2), "PASS", "CHECK")</f>
        <v>PASS</v>
      </c>
    </row>
    <row r="1495" spans="1:20" x14ac:dyDescent="0.35">
      <c r="A1495" s="7">
        <v>1494</v>
      </c>
      <c r="B1495" s="9">
        <v>1063</v>
      </c>
      <c r="C1495" s="14" t="str">
        <f>IFERROR(_xlfn.TEXTJOIN("-", TRUE, _xlfn.XLOOKUP(K1495, product_category_id_lookup!$A$2:$A$5, product_category_id_lookup!$B$2:$B$5), B1495), "Unknown Category")</f>
        <v>fd-1063</v>
      </c>
      <c r="D1495" s="8">
        <v>45064</v>
      </c>
      <c r="E1495" s="14">
        <f t="shared" si="69"/>
        <v>2023</v>
      </c>
      <c r="F1495" s="29" t="str">
        <f t="shared" si="70"/>
        <v>May</v>
      </c>
      <c r="G1495" s="17" t="s">
        <v>14</v>
      </c>
      <c r="H1495" s="17" t="s">
        <v>20</v>
      </c>
      <c r="I1495" s="24">
        <v>146436.4321959946</v>
      </c>
      <c r="J1495" s="32">
        <v>39</v>
      </c>
      <c r="K1495" s="17" t="s">
        <v>24</v>
      </c>
      <c r="L1495" s="24">
        <v>3577.69</v>
      </c>
      <c r="M1495" s="24">
        <v>3931.25</v>
      </c>
      <c r="N1495" s="34">
        <f>((sales_data_1[[#This Row],[Unit_Price]]*(1-sales_data_1[[#This Row],[Discount]]))-sales_data_1[[#This Row],[Unit_Cost]])*sales_data_1[[#This Row],[Quantity_Sold]]</f>
        <v>7656.0899999999983</v>
      </c>
      <c r="O1495" s="17" t="s">
        <v>17</v>
      </c>
      <c r="P1495" s="26">
        <v>0.04</v>
      </c>
      <c r="Q1495" s="17" t="s">
        <v>18</v>
      </c>
      <c r="R1495" s="17" t="s">
        <v>21</v>
      </c>
      <c r="S1495" s="50" t="str">
        <f t="shared" si="71"/>
        <v>Bob-West</v>
      </c>
      <c r="T1495" s="59" t="str">
        <f>IF(ROUND(sales_data_1[[#This Row],[Profit_Margin]],2)=ROUND((sales_data_1[[#This Row],[Unit_Price]]*(1-sales_data_1[[#This Row],[Discount]]) - sales_data_1[[#This Row],[Unit_Cost]])*sales_data_1[[#This Row],[Quantity_Sold]],2), "PASS", "CHECK")</f>
        <v>PASS</v>
      </c>
    </row>
    <row r="1496" spans="1:20" x14ac:dyDescent="0.35">
      <c r="A1496" s="7">
        <v>1495</v>
      </c>
      <c r="B1496" s="9">
        <v>1050</v>
      </c>
      <c r="C1496" s="14" t="str">
        <f>IFERROR(_xlfn.TEXTJOIN("-", TRUE, _xlfn.XLOOKUP(K1496, product_category_id_lookup!$A$2:$A$5, product_category_id_lookup!$B$2:$B$5), B1496), "Unknown Category")</f>
        <v>ctg-1050</v>
      </c>
      <c r="D1496" s="8">
        <v>45065</v>
      </c>
      <c r="E1496" s="14">
        <f t="shared" si="69"/>
        <v>2023</v>
      </c>
      <c r="F1496" s="29" t="str">
        <f t="shared" si="70"/>
        <v>May</v>
      </c>
      <c r="G1496" s="17" t="s">
        <v>29</v>
      </c>
      <c r="H1496" s="17" t="s">
        <v>30</v>
      </c>
      <c r="I1496" s="24">
        <v>75942.502999999997</v>
      </c>
      <c r="J1496" s="32">
        <v>35</v>
      </c>
      <c r="K1496" s="17" t="s">
        <v>26</v>
      </c>
      <c r="L1496" s="24">
        <v>2158.69</v>
      </c>
      <c r="M1496" s="24">
        <v>2384.38</v>
      </c>
      <c r="N1496" s="34">
        <f>((sales_data_1[[#This Row],[Unit_Price]]*(1-sales_data_1[[#This Row],[Discount]]))-sales_data_1[[#This Row],[Unit_Cost]])*sales_data_1[[#This Row],[Quantity_Sold]]</f>
        <v>388.35300000000188</v>
      </c>
      <c r="O1496" s="17" t="s">
        <v>17</v>
      </c>
      <c r="P1496" s="26">
        <v>0.09</v>
      </c>
      <c r="Q1496" s="17" t="s">
        <v>25</v>
      </c>
      <c r="R1496" s="17" t="s">
        <v>21</v>
      </c>
      <c r="S1496" s="50" t="str">
        <f t="shared" si="71"/>
        <v>Charlie-East</v>
      </c>
      <c r="T1496" s="59" t="str">
        <f>IF(ROUND(sales_data_1[[#This Row],[Profit_Margin]],2)=ROUND((sales_data_1[[#This Row],[Unit_Price]]*(1-sales_data_1[[#This Row],[Discount]]) - sales_data_1[[#This Row],[Unit_Cost]])*sales_data_1[[#This Row],[Quantity_Sold]],2), "PASS", "CHECK")</f>
        <v>PASS</v>
      </c>
    </row>
    <row r="1497" spans="1:20" x14ac:dyDescent="0.35">
      <c r="A1497" s="7">
        <v>1496</v>
      </c>
      <c r="B1497" s="9">
        <v>1071</v>
      </c>
      <c r="C1497" s="14" t="str">
        <f>IFERROR(_xlfn.TEXTJOIN("-", TRUE, _xlfn.XLOOKUP(K1497, product_category_id_lookup!$A$2:$A$5, product_category_id_lookup!$B$2:$B$5), B1497), "Unknown Category")</f>
        <v>fnt-1071</v>
      </c>
      <c r="D1497" s="8">
        <v>45066</v>
      </c>
      <c r="E1497" s="14">
        <f t="shared" si="69"/>
        <v>2023</v>
      </c>
      <c r="F1497" s="29" t="str">
        <f t="shared" si="70"/>
        <v>May</v>
      </c>
      <c r="G1497" s="17" t="s">
        <v>32</v>
      </c>
      <c r="H1497" s="17" t="s">
        <v>20</v>
      </c>
      <c r="I1497" s="24">
        <v>18087.367199999997</v>
      </c>
      <c r="J1497" s="32">
        <v>6</v>
      </c>
      <c r="K1497" s="17" t="s">
        <v>16</v>
      </c>
      <c r="L1497" s="24">
        <v>2831.23</v>
      </c>
      <c r="M1497" s="24">
        <v>3206.98</v>
      </c>
      <c r="N1497" s="34">
        <f>((sales_data_1[[#This Row],[Unit_Price]]*(1-sales_data_1[[#This Row],[Discount]]))-sales_data_1[[#This Row],[Unit_Cost]])*sales_data_1[[#This Row],[Quantity_Sold]]</f>
        <v>1099.9871999999978</v>
      </c>
      <c r="O1497" s="17" t="s">
        <v>17</v>
      </c>
      <c r="P1497" s="26">
        <v>0.06</v>
      </c>
      <c r="Q1497" s="17" t="s">
        <v>25</v>
      </c>
      <c r="R1497" s="17" t="s">
        <v>21</v>
      </c>
      <c r="S1497" s="50" t="str">
        <f t="shared" si="71"/>
        <v>Eve-West</v>
      </c>
      <c r="T1497" s="59" t="str">
        <f>IF(ROUND(sales_data_1[[#This Row],[Profit_Margin]],2)=ROUND((sales_data_1[[#This Row],[Unit_Price]]*(1-sales_data_1[[#This Row],[Discount]]) - sales_data_1[[#This Row],[Unit_Cost]])*sales_data_1[[#This Row],[Quantity_Sold]],2), "PASS", "CHECK")</f>
        <v>PASS</v>
      </c>
    </row>
    <row r="1498" spans="1:20" x14ac:dyDescent="0.35">
      <c r="A1498" s="7">
        <v>1497</v>
      </c>
      <c r="B1498" s="9">
        <v>1012</v>
      </c>
      <c r="C1498" s="14" t="str">
        <f>IFERROR(_xlfn.TEXTJOIN("-", TRUE, _xlfn.XLOOKUP(K1498, product_category_id_lookup!$A$2:$A$5, product_category_id_lookup!$B$2:$B$5), B1498), "Unknown Category")</f>
        <v>fd-1012</v>
      </c>
      <c r="D1498" s="8">
        <v>45066</v>
      </c>
      <c r="E1498" s="14">
        <f t="shared" si="69"/>
        <v>2023</v>
      </c>
      <c r="F1498" s="29" t="str">
        <f t="shared" si="70"/>
        <v>May</v>
      </c>
      <c r="G1498" s="17" t="s">
        <v>14</v>
      </c>
      <c r="H1498" s="17" t="s">
        <v>15</v>
      </c>
      <c r="I1498" s="24">
        <v>60186.772799999999</v>
      </c>
      <c r="J1498" s="32">
        <v>16</v>
      </c>
      <c r="K1498" s="17" t="s">
        <v>24</v>
      </c>
      <c r="L1498" s="24">
        <v>3466.11</v>
      </c>
      <c r="M1498" s="24">
        <v>3799.67</v>
      </c>
      <c r="N1498" s="34">
        <f>((sales_data_1[[#This Row],[Unit_Price]]*(1-sales_data_1[[#This Row],[Discount]]))-sales_data_1[[#This Row],[Unit_Cost]])*sales_data_1[[#This Row],[Quantity_Sold]]</f>
        <v>4729.0127999999968</v>
      </c>
      <c r="O1498" s="17" t="s">
        <v>17</v>
      </c>
      <c r="P1498" s="26">
        <v>0.01</v>
      </c>
      <c r="Q1498" s="17" t="s">
        <v>18</v>
      </c>
      <c r="R1498" s="17" t="s">
        <v>21</v>
      </c>
      <c r="S1498" s="50" t="str">
        <f t="shared" si="71"/>
        <v>Bob-North</v>
      </c>
      <c r="T1498" s="59" t="str">
        <f>IF(ROUND(sales_data_1[[#This Row],[Profit_Margin]],2)=ROUND((sales_data_1[[#This Row],[Unit_Price]]*(1-sales_data_1[[#This Row],[Discount]]) - sales_data_1[[#This Row],[Unit_Cost]])*sales_data_1[[#This Row],[Quantity_Sold]],2), "PASS", "CHECK")</f>
        <v>PASS</v>
      </c>
    </row>
    <row r="1499" spans="1:20" x14ac:dyDescent="0.35">
      <c r="A1499" s="7">
        <v>1498</v>
      </c>
      <c r="B1499" s="9">
        <v>1059</v>
      </c>
      <c r="C1499" s="14" t="str">
        <f>IFERROR(_xlfn.TEXTJOIN("-", TRUE, _xlfn.XLOOKUP(K1499, product_category_id_lookup!$A$2:$A$5, product_category_id_lookup!$B$2:$B$5), B1499), "Unknown Category")</f>
        <v>etc-1059</v>
      </c>
      <c r="D1499" s="8">
        <v>45067</v>
      </c>
      <c r="E1499" s="14">
        <f t="shared" si="69"/>
        <v>2023</v>
      </c>
      <c r="F1499" s="29" t="str">
        <f t="shared" si="70"/>
        <v>May</v>
      </c>
      <c r="G1499" s="17" t="s">
        <v>33</v>
      </c>
      <c r="H1499" s="17" t="s">
        <v>15</v>
      </c>
      <c r="I1499" s="24">
        <v>154196.46550329297</v>
      </c>
      <c r="J1499" s="32">
        <v>37</v>
      </c>
      <c r="K1499" s="17" t="s">
        <v>31</v>
      </c>
      <c r="L1499" s="24">
        <v>4146.99</v>
      </c>
      <c r="M1499" s="24">
        <v>4172.3499999999995</v>
      </c>
      <c r="N1499" s="34">
        <f>((sales_data_1[[#This Row],[Unit_Price]]*(1-sales_data_1[[#This Row],[Discount]]))-sales_data_1[[#This Row],[Unit_Cost]])*sales_data_1[[#This Row],[Quantity_Sold]]</f>
        <v>938.31999999998789</v>
      </c>
      <c r="O1499" s="17" t="s">
        <v>17</v>
      </c>
      <c r="P1499" s="26">
        <v>0</v>
      </c>
      <c r="Q1499" s="17" t="s">
        <v>18</v>
      </c>
      <c r="R1499" s="17" t="s">
        <v>21</v>
      </c>
      <c r="S1499" s="50" t="str">
        <f t="shared" si="71"/>
        <v>Alice-North</v>
      </c>
      <c r="T1499" s="59" t="str">
        <f>IF(ROUND(sales_data_1[[#This Row],[Profit_Margin]],2)=ROUND((sales_data_1[[#This Row],[Unit_Price]]*(1-sales_data_1[[#This Row],[Discount]]) - sales_data_1[[#This Row],[Unit_Cost]])*sales_data_1[[#This Row],[Quantity_Sold]],2), "PASS", "CHECK")</f>
        <v>PASS</v>
      </c>
    </row>
    <row r="1500" spans="1:20" x14ac:dyDescent="0.35">
      <c r="A1500" s="7">
        <v>1499</v>
      </c>
      <c r="B1500" s="9">
        <v>1002</v>
      </c>
      <c r="C1500" s="14" t="str">
        <f>IFERROR(_xlfn.TEXTJOIN("-", TRUE, _xlfn.XLOOKUP(K1500, product_category_id_lookup!$A$2:$A$5, product_category_id_lookup!$B$2:$B$5), B1500), "Unknown Category")</f>
        <v>ctg-1002</v>
      </c>
      <c r="D1500" s="8">
        <v>45067</v>
      </c>
      <c r="E1500" s="14">
        <f t="shared" si="69"/>
        <v>2023</v>
      </c>
      <c r="F1500" s="29" t="str">
        <f t="shared" si="70"/>
        <v>May</v>
      </c>
      <c r="G1500" s="17" t="s">
        <v>29</v>
      </c>
      <c r="H1500" s="17" t="s">
        <v>20</v>
      </c>
      <c r="I1500" s="24">
        <v>57889.727146444689</v>
      </c>
      <c r="J1500" s="32">
        <v>26</v>
      </c>
      <c r="K1500" s="17" t="s">
        <v>26</v>
      </c>
      <c r="L1500" s="24">
        <v>2041.42</v>
      </c>
      <c r="M1500" s="24">
        <v>2291.17</v>
      </c>
      <c r="N1500" s="34">
        <f>((sales_data_1[[#This Row],[Unit_Price]]*(1-sales_data_1[[#This Row],[Discount]]))-sales_data_1[[#This Row],[Unit_Cost]])*sales_data_1[[#This Row],[Quantity_Sold]]</f>
        <v>4706.3874000000033</v>
      </c>
      <c r="O1500" s="17" t="s">
        <v>17</v>
      </c>
      <c r="P1500" s="26">
        <v>0.03</v>
      </c>
      <c r="Q1500" s="17" t="s">
        <v>18</v>
      </c>
      <c r="R1500" s="17" t="s">
        <v>19</v>
      </c>
      <c r="S1500" s="50" t="str">
        <f t="shared" si="71"/>
        <v>Charlie-West</v>
      </c>
      <c r="T1500" s="59" t="str">
        <f>IF(ROUND(sales_data_1[[#This Row],[Profit_Margin]],2)=ROUND((sales_data_1[[#This Row],[Unit_Price]]*(1-sales_data_1[[#This Row],[Discount]]) - sales_data_1[[#This Row],[Unit_Cost]])*sales_data_1[[#This Row],[Quantity_Sold]],2), "PASS", "CHECK")</f>
        <v>PASS</v>
      </c>
    </row>
    <row r="1501" spans="1:20" x14ac:dyDescent="0.35">
      <c r="A1501" s="7">
        <v>1500</v>
      </c>
      <c r="B1501" s="9">
        <v>1008</v>
      </c>
      <c r="C1501" s="14" t="str">
        <f>IFERROR(_xlfn.TEXTJOIN("-", TRUE, _xlfn.XLOOKUP(K1501, product_category_id_lookup!$A$2:$A$5, product_category_id_lookup!$B$2:$B$5), B1501), "Unknown Category")</f>
        <v>fnt-1008</v>
      </c>
      <c r="D1501" s="8">
        <v>45067</v>
      </c>
      <c r="E1501" s="14">
        <f t="shared" si="69"/>
        <v>2023</v>
      </c>
      <c r="F1501" s="29" t="str">
        <f t="shared" si="70"/>
        <v>May</v>
      </c>
      <c r="G1501" s="17" t="s">
        <v>22</v>
      </c>
      <c r="H1501" s="17" t="s">
        <v>30</v>
      </c>
      <c r="I1501" s="24">
        <v>71700.433876590134</v>
      </c>
      <c r="J1501" s="32">
        <v>37</v>
      </c>
      <c r="K1501" s="17" t="s">
        <v>16</v>
      </c>
      <c r="L1501" s="24">
        <v>1712.43</v>
      </c>
      <c r="M1501" s="24">
        <v>1980.06</v>
      </c>
      <c r="N1501" s="34">
        <f>((sales_data_1[[#This Row],[Unit_Price]]*(1-sales_data_1[[#This Row],[Discount]]))-sales_data_1[[#This Row],[Unit_Cost]])*sales_data_1[[#This Row],[Quantity_Sold]]</f>
        <v>8437.0655999999926</v>
      </c>
      <c r="O1501" s="17" t="s">
        <v>27</v>
      </c>
      <c r="P1501" s="26">
        <v>0.02</v>
      </c>
      <c r="Q1501" s="17" t="s">
        <v>18</v>
      </c>
      <c r="R1501" s="17" t="s">
        <v>19</v>
      </c>
      <c r="S1501" s="50" t="str">
        <f t="shared" si="71"/>
        <v>David-East</v>
      </c>
      <c r="T1501" s="59" t="str">
        <f>IF(ROUND(sales_data_1[[#This Row],[Profit_Margin]],2)=ROUND((sales_data_1[[#This Row],[Unit_Price]]*(1-sales_data_1[[#This Row],[Discount]]) - sales_data_1[[#This Row],[Unit_Cost]])*sales_data_1[[#This Row],[Quantity_Sold]],2), "PASS", "CHECK")</f>
        <v>PASS</v>
      </c>
    </row>
    <row r="1502" spans="1:20" x14ac:dyDescent="0.35">
      <c r="A1502" s="7">
        <v>1501</v>
      </c>
      <c r="B1502" s="9">
        <v>1049</v>
      </c>
      <c r="C1502" s="14" t="str">
        <f>IFERROR(_xlfn.TEXTJOIN("-", TRUE, _xlfn.XLOOKUP(K1502, product_category_id_lookup!$A$2:$A$5, product_category_id_lookup!$B$2:$B$5), B1502), "Unknown Category")</f>
        <v>ctg-1049</v>
      </c>
      <c r="D1502" s="8">
        <v>45068</v>
      </c>
      <c r="E1502" s="14">
        <f t="shared" si="69"/>
        <v>2023</v>
      </c>
      <c r="F1502" s="29" t="str">
        <f t="shared" si="70"/>
        <v>May</v>
      </c>
      <c r="G1502" s="17" t="s">
        <v>14</v>
      </c>
      <c r="H1502" s="17" t="s">
        <v>30</v>
      </c>
      <c r="I1502" s="24">
        <v>65216.672343006772</v>
      </c>
      <c r="J1502" s="32">
        <v>19</v>
      </c>
      <c r="K1502" s="17" t="s">
        <v>26</v>
      </c>
      <c r="L1502" s="24">
        <v>3316.97</v>
      </c>
      <c r="M1502" s="24">
        <v>3544.02</v>
      </c>
      <c r="N1502" s="34">
        <f>((sales_data_1[[#This Row],[Unit_Price]]*(1-sales_data_1[[#This Row],[Discount]]))-sales_data_1[[#This Row],[Unit_Cost]])*sales_data_1[[#This Row],[Quantity_Sold]]</f>
        <v>2293.8586000000032</v>
      </c>
      <c r="O1502" s="17" t="s">
        <v>17</v>
      </c>
      <c r="P1502" s="26">
        <v>0.03</v>
      </c>
      <c r="Q1502" s="17" t="s">
        <v>18</v>
      </c>
      <c r="R1502" s="17" t="s">
        <v>19</v>
      </c>
      <c r="S1502" s="50" t="str">
        <f t="shared" si="71"/>
        <v>Bob-East</v>
      </c>
      <c r="T1502" s="59" t="str">
        <f>IF(ROUND(sales_data_1[[#This Row],[Profit_Margin]],2)=ROUND((sales_data_1[[#This Row],[Unit_Price]]*(1-sales_data_1[[#This Row],[Discount]]) - sales_data_1[[#This Row],[Unit_Cost]])*sales_data_1[[#This Row],[Quantity_Sold]],2), "PASS", "CHECK")</f>
        <v>PASS</v>
      </c>
    </row>
    <row r="1503" spans="1:20" x14ac:dyDescent="0.35">
      <c r="A1503" s="7">
        <v>1502</v>
      </c>
      <c r="B1503" s="9">
        <v>1035</v>
      </c>
      <c r="C1503" s="14" t="str">
        <f>IFERROR(_xlfn.TEXTJOIN("-", TRUE, _xlfn.XLOOKUP(K1503, product_category_id_lookup!$A$2:$A$5, product_category_id_lookup!$B$2:$B$5), B1503), "Unknown Category")</f>
        <v>fd-1035</v>
      </c>
      <c r="D1503" s="8">
        <v>45068</v>
      </c>
      <c r="E1503" s="14">
        <f t="shared" si="69"/>
        <v>2023</v>
      </c>
      <c r="F1503" s="29" t="str">
        <f t="shared" si="70"/>
        <v>May</v>
      </c>
      <c r="G1503" s="17" t="s">
        <v>33</v>
      </c>
      <c r="H1503" s="17" t="s">
        <v>23</v>
      </c>
      <c r="I1503" s="24">
        <v>202178.66202281954</v>
      </c>
      <c r="J1503" s="32">
        <v>45</v>
      </c>
      <c r="K1503" s="17" t="s">
        <v>24</v>
      </c>
      <c r="L1503" s="24">
        <v>4132.79</v>
      </c>
      <c r="M1503" s="24">
        <v>4624.1000000000004</v>
      </c>
      <c r="N1503" s="34">
        <f>((sales_data_1[[#This Row],[Unit_Price]]*(1-sales_data_1[[#This Row],[Discount]]))-sales_data_1[[#This Row],[Unit_Cost]])*sales_data_1[[#This Row],[Quantity_Sold]]</f>
        <v>15866.415000000019</v>
      </c>
      <c r="O1503" s="17" t="s">
        <v>27</v>
      </c>
      <c r="P1503" s="26">
        <v>0.03</v>
      </c>
      <c r="Q1503" s="17" t="s">
        <v>28</v>
      </c>
      <c r="R1503" s="17" t="s">
        <v>21</v>
      </c>
      <c r="S1503" s="50" t="str">
        <f t="shared" si="71"/>
        <v>Alice-South</v>
      </c>
      <c r="T1503" s="59" t="str">
        <f>IF(ROUND(sales_data_1[[#This Row],[Profit_Margin]],2)=ROUND((sales_data_1[[#This Row],[Unit_Price]]*(1-sales_data_1[[#This Row],[Discount]]) - sales_data_1[[#This Row],[Unit_Cost]])*sales_data_1[[#This Row],[Quantity_Sold]],2), "PASS", "CHECK")</f>
        <v>PASS</v>
      </c>
    </row>
    <row r="1504" spans="1:20" x14ac:dyDescent="0.35">
      <c r="A1504" s="7">
        <v>1503</v>
      </c>
      <c r="B1504" s="9">
        <v>1100</v>
      </c>
      <c r="C1504" s="14" t="str">
        <f>IFERROR(_xlfn.TEXTJOIN("-", TRUE, _xlfn.XLOOKUP(K1504, product_category_id_lookup!$A$2:$A$5, product_category_id_lookup!$B$2:$B$5), B1504), "Unknown Category")</f>
        <v>fd-1100</v>
      </c>
      <c r="D1504" s="8">
        <v>45069</v>
      </c>
      <c r="E1504" s="14">
        <f t="shared" si="69"/>
        <v>2023</v>
      </c>
      <c r="F1504" s="29" t="str">
        <f t="shared" si="70"/>
        <v>May</v>
      </c>
      <c r="G1504" s="17" t="s">
        <v>14</v>
      </c>
      <c r="H1504" s="17" t="s">
        <v>20</v>
      </c>
      <c r="I1504" s="24">
        <v>103610.58459473557</v>
      </c>
      <c r="J1504" s="32">
        <v>29</v>
      </c>
      <c r="K1504" s="17" t="s">
        <v>24</v>
      </c>
      <c r="L1504" s="24">
        <v>3559.56</v>
      </c>
      <c r="M1504" s="24">
        <v>3607.15</v>
      </c>
      <c r="N1504" s="34">
        <f>((sales_data_1[[#This Row],[Unit_Price]]*(1-sales_data_1[[#This Row],[Discount]]))-sales_data_1[[#This Row],[Unit_Cost]])*sales_data_1[[#This Row],[Quantity_Sold]]</f>
        <v>334.0365000000038</v>
      </c>
      <c r="O1504" s="17" t="s">
        <v>17</v>
      </c>
      <c r="P1504" s="26">
        <v>0.01</v>
      </c>
      <c r="Q1504" s="17" t="s">
        <v>18</v>
      </c>
      <c r="R1504" s="17" t="s">
        <v>21</v>
      </c>
      <c r="S1504" s="50" t="str">
        <f t="shared" si="71"/>
        <v>Bob-West</v>
      </c>
      <c r="T1504" s="59" t="str">
        <f>IF(ROUND(sales_data_1[[#This Row],[Profit_Margin]],2)=ROUND((sales_data_1[[#This Row],[Unit_Price]]*(1-sales_data_1[[#This Row],[Discount]]) - sales_data_1[[#This Row],[Unit_Cost]])*sales_data_1[[#This Row],[Quantity_Sold]],2), "PASS", "CHECK")</f>
        <v>PASS</v>
      </c>
    </row>
    <row r="1505" spans="1:20" x14ac:dyDescent="0.35">
      <c r="A1505" s="7">
        <v>1504</v>
      </c>
      <c r="B1505" s="9">
        <v>1067</v>
      </c>
      <c r="C1505" s="14" t="str">
        <f>IFERROR(_xlfn.TEXTJOIN("-", TRUE, _xlfn.XLOOKUP(K1505, product_category_id_lookup!$A$2:$A$5, product_category_id_lookup!$B$2:$B$5), B1505), "Unknown Category")</f>
        <v>fnt-1067</v>
      </c>
      <c r="D1505" s="8">
        <v>45069</v>
      </c>
      <c r="E1505" s="14">
        <f t="shared" si="69"/>
        <v>2023</v>
      </c>
      <c r="F1505" s="29" t="str">
        <f t="shared" si="70"/>
        <v>May</v>
      </c>
      <c r="G1505" s="17" t="s">
        <v>14</v>
      </c>
      <c r="H1505" s="17" t="s">
        <v>15</v>
      </c>
      <c r="I1505" s="24">
        <v>129312.05822700427</v>
      </c>
      <c r="J1505" s="32">
        <v>49</v>
      </c>
      <c r="K1505" s="17" t="s">
        <v>16</v>
      </c>
      <c r="L1505" s="24">
        <v>2628.38</v>
      </c>
      <c r="M1505" s="24">
        <v>2644.54</v>
      </c>
      <c r="N1505" s="34">
        <f>((sales_data_1[[#This Row],[Unit_Price]]*(1-sales_data_1[[#This Row],[Discount]]))-sales_data_1[[#This Row],[Unit_Cost]])*sales_data_1[[#This Row],[Quantity_Sold]]</f>
        <v>791.83999999999287</v>
      </c>
      <c r="O1505" s="17" t="s">
        <v>17</v>
      </c>
      <c r="P1505" s="26">
        <v>0</v>
      </c>
      <c r="Q1505" s="17" t="s">
        <v>18</v>
      </c>
      <c r="R1505" s="17" t="s">
        <v>19</v>
      </c>
      <c r="S1505" s="50" t="str">
        <f t="shared" si="71"/>
        <v>Bob-North</v>
      </c>
      <c r="T1505" s="59" t="str">
        <f>IF(ROUND(sales_data_1[[#This Row],[Profit_Margin]],2)=ROUND((sales_data_1[[#This Row],[Unit_Price]]*(1-sales_data_1[[#This Row],[Discount]]) - sales_data_1[[#This Row],[Unit_Cost]])*sales_data_1[[#This Row],[Quantity_Sold]],2), "PASS", "CHECK")</f>
        <v>PASS</v>
      </c>
    </row>
    <row r="1506" spans="1:20" x14ac:dyDescent="0.35">
      <c r="A1506" s="7">
        <v>1505</v>
      </c>
      <c r="B1506" s="9">
        <v>1044</v>
      </c>
      <c r="C1506" s="14" t="str">
        <f>IFERROR(_xlfn.TEXTJOIN("-", TRUE, _xlfn.XLOOKUP(K1506, product_category_id_lookup!$A$2:$A$5, product_category_id_lookup!$B$2:$B$5), B1506), "Unknown Category")</f>
        <v>fd-1044</v>
      </c>
      <c r="D1506" s="8">
        <v>45069</v>
      </c>
      <c r="E1506" s="14">
        <f t="shared" si="69"/>
        <v>2023</v>
      </c>
      <c r="F1506" s="29" t="str">
        <f t="shared" si="70"/>
        <v>May</v>
      </c>
      <c r="G1506" s="17" t="s">
        <v>14</v>
      </c>
      <c r="H1506" s="17" t="s">
        <v>20</v>
      </c>
      <c r="I1506" s="24">
        <v>47100.804299999996</v>
      </c>
      <c r="J1506" s="32">
        <v>19</v>
      </c>
      <c r="K1506" s="17" t="s">
        <v>24</v>
      </c>
      <c r="L1506" s="24">
        <v>2182.75</v>
      </c>
      <c r="M1506" s="24">
        <v>2504.0299999999997</v>
      </c>
      <c r="N1506" s="34">
        <f>((sales_data_1[[#This Row],[Unit_Price]]*(1-sales_data_1[[#This Row],[Discount]]))-sales_data_1[[#This Row],[Unit_Cost]])*sales_data_1[[#This Row],[Quantity_Sold]]</f>
        <v>5628.5542999999925</v>
      </c>
      <c r="O1506" s="17" t="s">
        <v>27</v>
      </c>
      <c r="P1506" s="26">
        <v>0.01</v>
      </c>
      <c r="Q1506" s="17" t="s">
        <v>25</v>
      </c>
      <c r="R1506" s="17" t="s">
        <v>19</v>
      </c>
      <c r="S1506" s="50" t="str">
        <f t="shared" si="71"/>
        <v>Bob-West</v>
      </c>
      <c r="T1506" s="59" t="str">
        <f>IF(ROUND(sales_data_1[[#This Row],[Profit_Margin]],2)=ROUND((sales_data_1[[#This Row],[Unit_Price]]*(1-sales_data_1[[#This Row],[Discount]]) - sales_data_1[[#This Row],[Unit_Cost]])*sales_data_1[[#This Row],[Quantity_Sold]],2), "PASS", "CHECK")</f>
        <v>PASS</v>
      </c>
    </row>
    <row r="1507" spans="1:20" x14ac:dyDescent="0.35">
      <c r="A1507" s="7">
        <v>1506</v>
      </c>
      <c r="B1507" s="9">
        <v>1019</v>
      </c>
      <c r="C1507" s="14" t="str">
        <f>IFERROR(_xlfn.TEXTJOIN("-", TRUE, _xlfn.XLOOKUP(K1507, product_category_id_lookup!$A$2:$A$5, product_category_id_lookup!$B$2:$B$5), B1507), "Unknown Category")</f>
        <v>fd-1019</v>
      </c>
      <c r="D1507" s="8">
        <v>45070</v>
      </c>
      <c r="E1507" s="14">
        <f t="shared" si="69"/>
        <v>2023</v>
      </c>
      <c r="F1507" s="29" t="str">
        <f t="shared" si="70"/>
        <v>May</v>
      </c>
      <c r="G1507" s="17" t="s">
        <v>32</v>
      </c>
      <c r="H1507" s="17" t="s">
        <v>23</v>
      </c>
      <c r="I1507" s="24">
        <v>40942.780012861549</v>
      </c>
      <c r="J1507" s="32">
        <v>13</v>
      </c>
      <c r="K1507" s="17" t="s">
        <v>24</v>
      </c>
      <c r="L1507" s="24">
        <v>3102.73</v>
      </c>
      <c r="M1507" s="24">
        <v>3202.68</v>
      </c>
      <c r="N1507" s="34">
        <f>((sales_data_1[[#This Row],[Unit_Price]]*(1-sales_data_1[[#This Row],[Discount]]))-sales_data_1[[#This Row],[Unit_Cost]])*sales_data_1[[#This Row],[Quantity_Sold]]</f>
        <v>466.65319999999519</v>
      </c>
      <c r="O1507" s="17" t="s">
        <v>27</v>
      </c>
      <c r="P1507" s="26">
        <v>0.02</v>
      </c>
      <c r="Q1507" s="17" t="s">
        <v>18</v>
      </c>
      <c r="R1507" s="17" t="s">
        <v>19</v>
      </c>
      <c r="S1507" s="50" t="str">
        <f t="shared" si="71"/>
        <v>Eve-South</v>
      </c>
      <c r="T1507" s="59" t="str">
        <f>IF(ROUND(sales_data_1[[#This Row],[Profit_Margin]],2)=ROUND((sales_data_1[[#This Row],[Unit_Price]]*(1-sales_data_1[[#This Row],[Discount]]) - sales_data_1[[#This Row],[Unit_Cost]])*sales_data_1[[#This Row],[Quantity_Sold]],2), "PASS", "CHECK")</f>
        <v>PASS</v>
      </c>
    </row>
    <row r="1508" spans="1:20" x14ac:dyDescent="0.35">
      <c r="A1508" s="7">
        <v>1507</v>
      </c>
      <c r="B1508" s="9">
        <v>1005</v>
      </c>
      <c r="C1508" s="14" t="str">
        <f>IFERROR(_xlfn.TEXTJOIN("-", TRUE, _xlfn.XLOOKUP(K1508, product_category_id_lookup!$A$2:$A$5, product_category_id_lookup!$B$2:$B$5), B1508), "Unknown Category")</f>
        <v>ctg-1005</v>
      </c>
      <c r="D1508" s="8">
        <v>45071</v>
      </c>
      <c r="E1508" s="14">
        <f t="shared" si="69"/>
        <v>2023</v>
      </c>
      <c r="F1508" s="29" t="str">
        <f t="shared" si="70"/>
        <v>May</v>
      </c>
      <c r="G1508" s="17" t="s">
        <v>32</v>
      </c>
      <c r="H1508" s="17" t="s">
        <v>15</v>
      </c>
      <c r="I1508" s="24">
        <v>2839.1384000000003</v>
      </c>
      <c r="J1508" s="32">
        <v>2</v>
      </c>
      <c r="K1508" s="17" t="s">
        <v>26</v>
      </c>
      <c r="L1508" s="24">
        <v>1392.15</v>
      </c>
      <c r="M1508" s="24">
        <v>1448.5400000000002</v>
      </c>
      <c r="N1508" s="34">
        <f>((sales_data_1[[#This Row],[Unit_Price]]*(1-sales_data_1[[#This Row],[Discount]]))-sales_data_1[[#This Row],[Unit_Cost]])*sales_data_1[[#This Row],[Quantity_Sold]]</f>
        <v>54.838400000000092</v>
      </c>
      <c r="O1508" s="17" t="s">
        <v>17</v>
      </c>
      <c r="P1508" s="26">
        <v>0.02</v>
      </c>
      <c r="Q1508" s="17" t="s">
        <v>25</v>
      </c>
      <c r="R1508" s="17" t="s">
        <v>21</v>
      </c>
      <c r="S1508" s="50" t="str">
        <f t="shared" si="71"/>
        <v>Eve-North</v>
      </c>
      <c r="T1508" s="59" t="str">
        <f>IF(ROUND(sales_data_1[[#This Row],[Profit_Margin]],2)=ROUND((sales_data_1[[#This Row],[Unit_Price]]*(1-sales_data_1[[#This Row],[Discount]]) - sales_data_1[[#This Row],[Unit_Cost]])*sales_data_1[[#This Row],[Quantity_Sold]],2), "PASS", "CHECK")</f>
        <v>PASS</v>
      </c>
    </row>
    <row r="1509" spans="1:20" x14ac:dyDescent="0.35">
      <c r="A1509" s="7">
        <v>1508</v>
      </c>
      <c r="B1509" s="9">
        <v>1091</v>
      </c>
      <c r="C1509" s="14" t="str">
        <f>IFERROR(_xlfn.TEXTJOIN("-", TRUE, _xlfn.XLOOKUP(K1509, product_category_id_lookup!$A$2:$A$5, product_category_id_lookup!$B$2:$B$5), B1509), "Unknown Category")</f>
        <v>ctg-1091</v>
      </c>
      <c r="D1509" s="8">
        <v>45071</v>
      </c>
      <c r="E1509" s="14">
        <f t="shared" si="69"/>
        <v>2023</v>
      </c>
      <c r="F1509" s="29" t="str">
        <f t="shared" si="70"/>
        <v>May</v>
      </c>
      <c r="G1509" s="17" t="s">
        <v>33</v>
      </c>
      <c r="H1509" s="17" t="s">
        <v>15</v>
      </c>
      <c r="I1509" s="24">
        <v>88800.238633479137</v>
      </c>
      <c r="J1509" s="32">
        <v>24</v>
      </c>
      <c r="K1509" s="17" t="s">
        <v>26</v>
      </c>
      <c r="L1509" s="24">
        <v>3639.3</v>
      </c>
      <c r="M1509" s="24">
        <v>3750.63</v>
      </c>
      <c r="N1509" s="34">
        <f>((sales_data_1[[#This Row],[Unit_Price]]*(1-sales_data_1[[#This Row],[Discount]]))-sales_data_1[[#This Row],[Unit_Cost]])*sales_data_1[[#This Row],[Quantity_Sold]]</f>
        <v>1771.768799999998</v>
      </c>
      <c r="O1509" s="17" t="s">
        <v>27</v>
      </c>
      <c r="P1509" s="26">
        <v>0.01</v>
      </c>
      <c r="Q1509" s="17" t="s">
        <v>25</v>
      </c>
      <c r="R1509" s="17" t="s">
        <v>21</v>
      </c>
      <c r="S1509" s="50" t="str">
        <f t="shared" si="71"/>
        <v>Alice-North</v>
      </c>
      <c r="T1509" s="59" t="str">
        <f>IF(ROUND(sales_data_1[[#This Row],[Profit_Margin]],2)=ROUND((sales_data_1[[#This Row],[Unit_Price]]*(1-sales_data_1[[#This Row],[Discount]]) - sales_data_1[[#This Row],[Unit_Cost]])*sales_data_1[[#This Row],[Quantity_Sold]],2), "PASS", "CHECK")</f>
        <v>PASS</v>
      </c>
    </row>
    <row r="1510" spans="1:20" x14ac:dyDescent="0.35">
      <c r="A1510" s="7">
        <v>1509</v>
      </c>
      <c r="B1510" s="9">
        <v>1092</v>
      </c>
      <c r="C1510" s="14" t="str">
        <f>IFERROR(_xlfn.TEXTJOIN("-", TRUE, _xlfn.XLOOKUP(K1510, product_category_id_lookup!$A$2:$A$5, product_category_id_lookup!$B$2:$B$5), B1510), "Unknown Category")</f>
        <v>fd-1092</v>
      </c>
      <c r="D1510" s="8">
        <v>45071</v>
      </c>
      <c r="E1510" s="14">
        <f t="shared" si="69"/>
        <v>2023</v>
      </c>
      <c r="F1510" s="29" t="str">
        <f t="shared" si="70"/>
        <v>May</v>
      </c>
      <c r="G1510" s="17" t="s">
        <v>14</v>
      </c>
      <c r="H1510" s="17" t="s">
        <v>30</v>
      </c>
      <c r="I1510" s="24">
        <v>15707.369983524957</v>
      </c>
      <c r="J1510" s="32">
        <v>20</v>
      </c>
      <c r="K1510" s="17" t="s">
        <v>24</v>
      </c>
      <c r="L1510" s="24">
        <v>668.11</v>
      </c>
      <c r="M1510" s="24">
        <v>803.49</v>
      </c>
      <c r="N1510" s="34">
        <f>((sales_data_1[[#This Row],[Unit_Price]]*(1-sales_data_1[[#This Row],[Discount]]))-sales_data_1[[#This Row],[Unit_Cost]])*sales_data_1[[#This Row],[Quantity_Sold]]</f>
        <v>2386.2040000000002</v>
      </c>
      <c r="O1510" s="17" t="s">
        <v>27</v>
      </c>
      <c r="P1510" s="26">
        <v>0.02</v>
      </c>
      <c r="Q1510" s="17" t="s">
        <v>25</v>
      </c>
      <c r="R1510" s="17" t="s">
        <v>19</v>
      </c>
      <c r="S1510" s="50" t="str">
        <f t="shared" si="71"/>
        <v>Bob-East</v>
      </c>
      <c r="T1510" s="59" t="str">
        <f>IF(ROUND(sales_data_1[[#This Row],[Profit_Margin]],2)=ROUND((sales_data_1[[#This Row],[Unit_Price]]*(1-sales_data_1[[#This Row],[Discount]]) - sales_data_1[[#This Row],[Unit_Cost]])*sales_data_1[[#This Row],[Quantity_Sold]],2), "PASS", "CHECK")</f>
        <v>PASS</v>
      </c>
    </row>
    <row r="1511" spans="1:20" x14ac:dyDescent="0.35">
      <c r="A1511" s="7">
        <v>1510</v>
      </c>
      <c r="B1511" s="9">
        <v>1042</v>
      </c>
      <c r="C1511" s="14" t="str">
        <f>IFERROR(_xlfn.TEXTJOIN("-", TRUE, _xlfn.XLOOKUP(K1511, product_category_id_lookup!$A$2:$A$5, product_category_id_lookup!$B$2:$B$5), B1511), "Unknown Category")</f>
        <v>etc-1042</v>
      </c>
      <c r="D1511" s="8">
        <v>45072</v>
      </c>
      <c r="E1511" s="14">
        <f t="shared" si="69"/>
        <v>2023</v>
      </c>
      <c r="F1511" s="29" t="str">
        <f t="shared" si="70"/>
        <v>May</v>
      </c>
      <c r="G1511" s="17" t="s">
        <v>14</v>
      </c>
      <c r="H1511" s="17" t="s">
        <v>30</v>
      </c>
      <c r="I1511" s="24">
        <v>1412.7244000000001</v>
      </c>
      <c r="J1511" s="32">
        <v>1</v>
      </c>
      <c r="K1511" s="17" t="s">
        <v>31</v>
      </c>
      <c r="L1511" s="24">
        <v>1406.24</v>
      </c>
      <c r="M1511" s="24">
        <v>1535.57</v>
      </c>
      <c r="N1511" s="34">
        <f>((sales_data_1[[#This Row],[Unit_Price]]*(1-sales_data_1[[#This Row],[Discount]]))-sales_data_1[[#This Row],[Unit_Cost]])*sales_data_1[[#This Row],[Quantity_Sold]]</f>
        <v>6.4844000000000506</v>
      </c>
      <c r="O1511" s="17" t="s">
        <v>27</v>
      </c>
      <c r="P1511" s="26">
        <v>0.08</v>
      </c>
      <c r="Q1511" s="17" t="s">
        <v>28</v>
      </c>
      <c r="R1511" s="17" t="s">
        <v>21</v>
      </c>
      <c r="S1511" s="50" t="str">
        <f t="shared" si="71"/>
        <v>Bob-East</v>
      </c>
      <c r="T1511" s="59" t="str">
        <f>IF(ROUND(sales_data_1[[#This Row],[Profit_Margin]],2)=ROUND((sales_data_1[[#This Row],[Unit_Price]]*(1-sales_data_1[[#This Row],[Discount]]) - sales_data_1[[#This Row],[Unit_Cost]])*sales_data_1[[#This Row],[Quantity_Sold]],2), "PASS", "CHECK")</f>
        <v>PASS</v>
      </c>
    </row>
    <row r="1512" spans="1:20" x14ac:dyDescent="0.35">
      <c r="A1512" s="7">
        <v>1511</v>
      </c>
      <c r="B1512" s="9">
        <v>1082</v>
      </c>
      <c r="C1512" s="14" t="str">
        <f>IFERROR(_xlfn.TEXTJOIN("-", TRUE, _xlfn.XLOOKUP(K1512, product_category_id_lookup!$A$2:$A$5, product_category_id_lookup!$B$2:$B$5), B1512), "Unknown Category")</f>
        <v>fnt-1082</v>
      </c>
      <c r="D1512" s="8">
        <v>45072</v>
      </c>
      <c r="E1512" s="14">
        <f t="shared" si="69"/>
        <v>2023</v>
      </c>
      <c r="F1512" s="29" t="str">
        <f t="shared" si="70"/>
        <v>May</v>
      </c>
      <c r="G1512" s="17" t="s">
        <v>22</v>
      </c>
      <c r="H1512" s="17" t="s">
        <v>23</v>
      </c>
      <c r="I1512" s="24">
        <v>2774.9744000000001</v>
      </c>
      <c r="J1512" s="32">
        <v>2</v>
      </c>
      <c r="K1512" s="17" t="s">
        <v>16</v>
      </c>
      <c r="L1512" s="24">
        <v>1349.3</v>
      </c>
      <c r="M1512" s="24">
        <v>1576.69</v>
      </c>
      <c r="N1512" s="34">
        <f>((sales_data_1[[#This Row],[Unit_Price]]*(1-sales_data_1[[#This Row],[Discount]]))-sales_data_1[[#This Row],[Unit_Cost]])*sales_data_1[[#This Row],[Quantity_Sold]]</f>
        <v>76.374400000000151</v>
      </c>
      <c r="O1512" s="17" t="s">
        <v>17</v>
      </c>
      <c r="P1512" s="26">
        <v>0.12</v>
      </c>
      <c r="Q1512" s="17" t="s">
        <v>28</v>
      </c>
      <c r="R1512" s="17" t="s">
        <v>19</v>
      </c>
      <c r="S1512" s="50" t="str">
        <f t="shared" si="71"/>
        <v>David-South</v>
      </c>
      <c r="T1512" s="59" t="str">
        <f>IF(ROUND(sales_data_1[[#This Row],[Profit_Margin]],2)=ROUND((sales_data_1[[#This Row],[Unit_Price]]*(1-sales_data_1[[#This Row],[Discount]]) - sales_data_1[[#This Row],[Unit_Cost]])*sales_data_1[[#This Row],[Quantity_Sold]],2), "PASS", "CHECK")</f>
        <v>PASS</v>
      </c>
    </row>
    <row r="1513" spans="1:20" x14ac:dyDescent="0.35">
      <c r="A1513" s="7">
        <v>1512</v>
      </c>
      <c r="B1513" s="9">
        <v>1074</v>
      </c>
      <c r="C1513" s="14" t="str">
        <f>IFERROR(_xlfn.TEXTJOIN("-", TRUE, _xlfn.XLOOKUP(K1513, product_category_id_lookup!$A$2:$A$5, product_category_id_lookup!$B$2:$B$5), B1513), "Unknown Category")</f>
        <v>fd-1074</v>
      </c>
      <c r="D1513" s="8">
        <v>45073</v>
      </c>
      <c r="E1513" s="14">
        <f t="shared" si="69"/>
        <v>2023</v>
      </c>
      <c r="F1513" s="29" t="str">
        <f t="shared" si="70"/>
        <v>May</v>
      </c>
      <c r="G1513" s="17" t="s">
        <v>32</v>
      </c>
      <c r="H1513" s="17" t="s">
        <v>20</v>
      </c>
      <c r="I1513" s="24">
        <v>6928.7610554671646</v>
      </c>
      <c r="J1513" s="32">
        <v>2</v>
      </c>
      <c r="K1513" s="17" t="s">
        <v>24</v>
      </c>
      <c r="L1513" s="24">
        <v>3173.69</v>
      </c>
      <c r="M1513" s="24">
        <v>3503.11</v>
      </c>
      <c r="N1513" s="34">
        <f>((sales_data_1[[#This Row],[Unit_Price]]*(1-sales_data_1[[#This Row],[Discount]]))-sales_data_1[[#This Row],[Unit_Cost]])*sales_data_1[[#This Row],[Quantity_Sold]]</f>
        <v>588.77779999999984</v>
      </c>
      <c r="O1513" s="17" t="s">
        <v>27</v>
      </c>
      <c r="P1513" s="26">
        <v>0.01</v>
      </c>
      <c r="Q1513" s="17" t="s">
        <v>25</v>
      </c>
      <c r="R1513" s="17" t="s">
        <v>21</v>
      </c>
      <c r="S1513" s="50" t="str">
        <f t="shared" si="71"/>
        <v>Eve-West</v>
      </c>
      <c r="T1513" s="59" t="str">
        <f>IF(ROUND(sales_data_1[[#This Row],[Profit_Margin]],2)=ROUND((sales_data_1[[#This Row],[Unit_Price]]*(1-sales_data_1[[#This Row],[Discount]]) - sales_data_1[[#This Row],[Unit_Cost]])*sales_data_1[[#This Row],[Quantity_Sold]],2), "PASS", "CHECK")</f>
        <v>PASS</v>
      </c>
    </row>
    <row r="1514" spans="1:20" x14ac:dyDescent="0.35">
      <c r="A1514" s="7">
        <v>1513</v>
      </c>
      <c r="B1514" s="9">
        <v>1001</v>
      </c>
      <c r="C1514" s="14" t="str">
        <f>IFERROR(_xlfn.TEXTJOIN("-", TRUE, _xlfn.XLOOKUP(K1514, product_category_id_lookup!$A$2:$A$5, product_category_id_lookup!$B$2:$B$5), B1514), "Unknown Category")</f>
        <v>etc-1001</v>
      </c>
      <c r="D1514" s="8">
        <v>45073</v>
      </c>
      <c r="E1514" s="14">
        <f t="shared" si="69"/>
        <v>2023</v>
      </c>
      <c r="F1514" s="29" t="str">
        <f t="shared" si="70"/>
        <v>May</v>
      </c>
      <c r="G1514" s="17" t="s">
        <v>33</v>
      </c>
      <c r="H1514" s="17" t="s">
        <v>23</v>
      </c>
      <c r="I1514" s="24">
        <v>31809.603825523605</v>
      </c>
      <c r="J1514" s="32">
        <v>7</v>
      </c>
      <c r="K1514" s="17" t="s">
        <v>31</v>
      </c>
      <c r="L1514" s="24">
        <v>4094.68</v>
      </c>
      <c r="M1514" s="24">
        <v>4576.5</v>
      </c>
      <c r="N1514" s="34">
        <f>((sales_data_1[[#This Row],[Unit_Price]]*(1-sales_data_1[[#This Row],[Discount]]))-sales_data_1[[#This Row],[Unit_Cost]])*sales_data_1[[#This Row],[Quantity_Sold]]</f>
        <v>3052.3849999999989</v>
      </c>
      <c r="O1514" s="17" t="s">
        <v>27</v>
      </c>
      <c r="P1514" s="26">
        <v>0.01</v>
      </c>
      <c r="Q1514" s="17" t="s">
        <v>18</v>
      </c>
      <c r="R1514" s="17" t="s">
        <v>21</v>
      </c>
      <c r="S1514" s="50" t="str">
        <f t="shared" si="71"/>
        <v>Alice-South</v>
      </c>
      <c r="T1514" s="59" t="str">
        <f>IF(ROUND(sales_data_1[[#This Row],[Profit_Margin]],2)=ROUND((sales_data_1[[#This Row],[Unit_Price]]*(1-sales_data_1[[#This Row],[Discount]]) - sales_data_1[[#This Row],[Unit_Cost]])*sales_data_1[[#This Row],[Quantity_Sold]],2), "PASS", "CHECK")</f>
        <v>PASS</v>
      </c>
    </row>
    <row r="1515" spans="1:20" x14ac:dyDescent="0.35">
      <c r="A1515" s="7">
        <v>1514</v>
      </c>
      <c r="B1515" s="9">
        <v>1003</v>
      </c>
      <c r="C1515" s="14" t="str">
        <f>IFERROR(_xlfn.TEXTJOIN("-", TRUE, _xlfn.XLOOKUP(K1515, product_category_id_lookup!$A$2:$A$5, product_category_id_lookup!$B$2:$B$5), B1515), "Unknown Category")</f>
        <v>ctg-1003</v>
      </c>
      <c r="D1515" s="8">
        <v>45073</v>
      </c>
      <c r="E1515" s="14">
        <f t="shared" si="69"/>
        <v>2023</v>
      </c>
      <c r="F1515" s="29" t="str">
        <f t="shared" si="70"/>
        <v>May</v>
      </c>
      <c r="G1515" s="17" t="s">
        <v>32</v>
      </c>
      <c r="H1515" s="17" t="s">
        <v>30</v>
      </c>
      <c r="I1515" s="24">
        <v>17320.087199999998</v>
      </c>
      <c r="J1515" s="32">
        <v>39</v>
      </c>
      <c r="K1515" s="17" t="s">
        <v>26</v>
      </c>
      <c r="L1515" s="24">
        <v>310.95999999999998</v>
      </c>
      <c r="M1515" s="24">
        <v>457.84</v>
      </c>
      <c r="N1515" s="34">
        <f>((sales_data_1[[#This Row],[Unit_Price]]*(1-sales_data_1[[#This Row],[Discount]]))-sales_data_1[[#This Row],[Unit_Cost]])*sales_data_1[[#This Row],[Quantity_Sold]]</f>
        <v>5192.6471999999994</v>
      </c>
      <c r="O1515" s="17" t="s">
        <v>27</v>
      </c>
      <c r="P1515" s="26">
        <v>0.03</v>
      </c>
      <c r="Q1515" s="17" t="s">
        <v>28</v>
      </c>
      <c r="R1515" s="17" t="s">
        <v>19</v>
      </c>
      <c r="S1515" s="50" t="str">
        <f t="shared" si="71"/>
        <v>Eve-East</v>
      </c>
      <c r="T1515" s="59" t="str">
        <f>IF(ROUND(sales_data_1[[#This Row],[Profit_Margin]],2)=ROUND((sales_data_1[[#This Row],[Unit_Price]]*(1-sales_data_1[[#This Row],[Discount]]) - sales_data_1[[#This Row],[Unit_Cost]])*sales_data_1[[#This Row],[Quantity_Sold]],2), "PASS", "CHECK")</f>
        <v>PASS</v>
      </c>
    </row>
    <row r="1516" spans="1:20" x14ac:dyDescent="0.35">
      <c r="A1516" s="7">
        <v>1515</v>
      </c>
      <c r="B1516" s="9">
        <v>1069</v>
      </c>
      <c r="C1516" s="14" t="str">
        <f>IFERROR(_xlfn.TEXTJOIN("-", TRUE, _xlfn.XLOOKUP(K1516, product_category_id_lookup!$A$2:$A$5, product_category_id_lookup!$B$2:$B$5), B1516), "Unknown Category")</f>
        <v>etc-1069</v>
      </c>
      <c r="D1516" s="8">
        <v>45073</v>
      </c>
      <c r="E1516" s="14">
        <f t="shared" si="69"/>
        <v>2023</v>
      </c>
      <c r="F1516" s="29" t="str">
        <f t="shared" si="70"/>
        <v>May</v>
      </c>
      <c r="G1516" s="17" t="s">
        <v>29</v>
      </c>
      <c r="H1516" s="17" t="s">
        <v>20</v>
      </c>
      <c r="I1516" s="24">
        <v>59393.62</v>
      </c>
      <c r="J1516" s="32">
        <v>44</v>
      </c>
      <c r="K1516" s="17" t="s">
        <v>31</v>
      </c>
      <c r="L1516" s="24">
        <v>1084.73</v>
      </c>
      <c r="M1516" s="24">
        <v>1420.9</v>
      </c>
      <c r="N1516" s="34">
        <f>((sales_data_1[[#This Row],[Unit_Price]]*(1-sales_data_1[[#This Row],[Discount]]))-sales_data_1[[#This Row],[Unit_Cost]])*sales_data_1[[#This Row],[Quantity_Sold]]</f>
        <v>11665.5</v>
      </c>
      <c r="O1516" s="17" t="s">
        <v>17</v>
      </c>
      <c r="P1516" s="26">
        <v>0.05</v>
      </c>
      <c r="Q1516" s="17" t="s">
        <v>28</v>
      </c>
      <c r="R1516" s="17" t="s">
        <v>19</v>
      </c>
      <c r="S1516" s="50" t="str">
        <f t="shared" si="71"/>
        <v>Charlie-West</v>
      </c>
      <c r="T1516" s="59" t="str">
        <f>IF(ROUND(sales_data_1[[#This Row],[Profit_Margin]],2)=ROUND((sales_data_1[[#This Row],[Unit_Price]]*(1-sales_data_1[[#This Row],[Discount]]) - sales_data_1[[#This Row],[Unit_Cost]])*sales_data_1[[#This Row],[Quantity_Sold]],2), "PASS", "CHECK")</f>
        <v>PASS</v>
      </c>
    </row>
    <row r="1517" spans="1:20" x14ac:dyDescent="0.35">
      <c r="A1517" s="7">
        <v>1516</v>
      </c>
      <c r="B1517" s="9">
        <v>1062</v>
      </c>
      <c r="C1517" s="14" t="str">
        <f>IFERROR(_xlfn.TEXTJOIN("-", TRUE, _xlfn.XLOOKUP(K1517, product_category_id_lookup!$A$2:$A$5, product_category_id_lookup!$B$2:$B$5), B1517), "Unknown Category")</f>
        <v>etc-1062</v>
      </c>
      <c r="D1517" s="8">
        <v>45074</v>
      </c>
      <c r="E1517" s="14">
        <f t="shared" si="69"/>
        <v>2023</v>
      </c>
      <c r="F1517" s="29" t="str">
        <f t="shared" si="70"/>
        <v>May</v>
      </c>
      <c r="G1517" s="17" t="s">
        <v>14</v>
      </c>
      <c r="H1517" s="17" t="s">
        <v>23</v>
      </c>
      <c r="I1517" s="24">
        <v>26935.879553750085</v>
      </c>
      <c r="J1517" s="32">
        <v>28</v>
      </c>
      <c r="K1517" s="17" t="s">
        <v>31</v>
      </c>
      <c r="L1517" s="24">
        <v>933.16</v>
      </c>
      <c r="M1517" s="24">
        <v>1004.6999999999999</v>
      </c>
      <c r="N1517" s="34">
        <f>((sales_data_1[[#This Row],[Unit_Price]]*(1-sales_data_1[[#This Row],[Discount]]))-sales_data_1[[#This Row],[Unit_Cost]])*sales_data_1[[#This Row],[Quantity_Sold]]</f>
        <v>877.85599999999931</v>
      </c>
      <c r="O1517" s="17" t="s">
        <v>17</v>
      </c>
      <c r="P1517" s="26">
        <v>0.04</v>
      </c>
      <c r="Q1517" s="17" t="s">
        <v>25</v>
      </c>
      <c r="R1517" s="17" t="s">
        <v>19</v>
      </c>
      <c r="S1517" s="50" t="str">
        <f t="shared" si="71"/>
        <v>Bob-South</v>
      </c>
      <c r="T1517" s="59" t="str">
        <f>IF(ROUND(sales_data_1[[#This Row],[Profit_Margin]],2)=ROUND((sales_data_1[[#This Row],[Unit_Price]]*(1-sales_data_1[[#This Row],[Discount]]) - sales_data_1[[#This Row],[Unit_Cost]])*sales_data_1[[#This Row],[Quantity_Sold]],2), "PASS", "CHECK")</f>
        <v>PASS</v>
      </c>
    </row>
    <row r="1518" spans="1:20" x14ac:dyDescent="0.35">
      <c r="A1518" s="7">
        <v>1517</v>
      </c>
      <c r="B1518" s="9">
        <v>1050</v>
      </c>
      <c r="C1518" s="14" t="str">
        <f>IFERROR(_xlfn.TEXTJOIN("-", TRUE, _xlfn.XLOOKUP(K1518, product_category_id_lookup!$A$2:$A$5, product_category_id_lookup!$B$2:$B$5), B1518), "Unknown Category")</f>
        <v>fnt-1050</v>
      </c>
      <c r="D1518" s="8">
        <v>45074</v>
      </c>
      <c r="E1518" s="14">
        <f t="shared" si="69"/>
        <v>2023</v>
      </c>
      <c r="F1518" s="29" t="str">
        <f t="shared" si="70"/>
        <v>May</v>
      </c>
      <c r="G1518" s="17" t="s">
        <v>33</v>
      </c>
      <c r="H1518" s="17" t="s">
        <v>15</v>
      </c>
      <c r="I1518" s="24">
        <v>24442.459274297202</v>
      </c>
      <c r="J1518" s="32">
        <v>6</v>
      </c>
      <c r="K1518" s="17" t="s">
        <v>16</v>
      </c>
      <c r="L1518" s="24">
        <v>3763.26</v>
      </c>
      <c r="M1518" s="24">
        <v>4102.72</v>
      </c>
      <c r="N1518" s="34">
        <f>((sales_data_1[[#This Row],[Unit_Price]]*(1-sales_data_1[[#This Row],[Discount]]))-sales_data_1[[#This Row],[Unit_Cost]])*sales_data_1[[#This Row],[Quantity_Sold]]</f>
        <v>1790.5968000000003</v>
      </c>
      <c r="O1518" s="17" t="s">
        <v>27</v>
      </c>
      <c r="P1518" s="26">
        <v>0.01</v>
      </c>
      <c r="Q1518" s="17" t="s">
        <v>28</v>
      </c>
      <c r="R1518" s="17" t="s">
        <v>21</v>
      </c>
      <c r="S1518" s="50" t="str">
        <f t="shared" si="71"/>
        <v>Alice-North</v>
      </c>
      <c r="T1518" s="59" t="str">
        <f>IF(ROUND(sales_data_1[[#This Row],[Profit_Margin]],2)=ROUND((sales_data_1[[#This Row],[Unit_Price]]*(1-sales_data_1[[#This Row],[Discount]]) - sales_data_1[[#This Row],[Unit_Cost]])*sales_data_1[[#This Row],[Quantity_Sold]],2), "PASS", "CHECK")</f>
        <v>PASS</v>
      </c>
    </row>
    <row r="1519" spans="1:20" x14ac:dyDescent="0.35">
      <c r="A1519" s="7">
        <v>1518</v>
      </c>
      <c r="B1519" s="9">
        <v>1006</v>
      </c>
      <c r="C1519" s="14" t="str">
        <f>IFERROR(_xlfn.TEXTJOIN("-", TRUE, _xlfn.XLOOKUP(K1519, product_category_id_lookup!$A$2:$A$5, product_category_id_lookup!$B$2:$B$5), B1519), "Unknown Category")</f>
        <v>fd-1006</v>
      </c>
      <c r="D1519" s="8">
        <v>45074</v>
      </c>
      <c r="E1519" s="14">
        <f t="shared" si="69"/>
        <v>2023</v>
      </c>
      <c r="F1519" s="29" t="str">
        <f t="shared" si="70"/>
        <v>May</v>
      </c>
      <c r="G1519" s="17" t="s">
        <v>14</v>
      </c>
      <c r="H1519" s="17" t="s">
        <v>15</v>
      </c>
      <c r="I1519" s="24">
        <v>52473.294871666083</v>
      </c>
      <c r="J1519" s="32">
        <v>11</v>
      </c>
      <c r="K1519" s="17" t="s">
        <v>24</v>
      </c>
      <c r="L1519" s="24">
        <v>4562.58</v>
      </c>
      <c r="M1519" s="24">
        <v>4925.17</v>
      </c>
      <c r="N1519" s="34">
        <f>((sales_data_1[[#This Row],[Unit_Price]]*(1-sales_data_1[[#This Row],[Discount]]))-sales_data_1[[#This Row],[Unit_Cost]])*sales_data_1[[#This Row],[Quantity_Sold]]</f>
        <v>2363.1838999999982</v>
      </c>
      <c r="O1519" s="17" t="s">
        <v>27</v>
      </c>
      <c r="P1519" s="26">
        <v>0.03</v>
      </c>
      <c r="Q1519" s="17" t="s">
        <v>18</v>
      </c>
      <c r="R1519" s="17" t="s">
        <v>21</v>
      </c>
      <c r="S1519" s="50" t="str">
        <f t="shared" si="71"/>
        <v>Bob-North</v>
      </c>
      <c r="T1519" s="59" t="str">
        <f>IF(ROUND(sales_data_1[[#This Row],[Profit_Margin]],2)=ROUND((sales_data_1[[#This Row],[Unit_Price]]*(1-sales_data_1[[#This Row],[Discount]]) - sales_data_1[[#This Row],[Unit_Cost]])*sales_data_1[[#This Row],[Quantity_Sold]],2), "PASS", "CHECK")</f>
        <v>PASS</v>
      </c>
    </row>
    <row r="1520" spans="1:20" x14ac:dyDescent="0.35">
      <c r="A1520" s="7">
        <v>1519</v>
      </c>
      <c r="B1520" s="9">
        <v>1019</v>
      </c>
      <c r="C1520" s="14" t="str">
        <f>IFERROR(_xlfn.TEXTJOIN("-", TRUE, _xlfn.XLOOKUP(K1520, product_category_id_lookup!$A$2:$A$5, product_category_id_lookup!$B$2:$B$5), B1520), "Unknown Category")</f>
        <v>fnt-1019</v>
      </c>
      <c r="D1520" s="8">
        <v>45074</v>
      </c>
      <c r="E1520" s="14">
        <f t="shared" si="69"/>
        <v>2023</v>
      </c>
      <c r="F1520" s="29" t="str">
        <f t="shared" si="70"/>
        <v>May</v>
      </c>
      <c r="G1520" s="17" t="s">
        <v>33</v>
      </c>
      <c r="H1520" s="17" t="s">
        <v>30</v>
      </c>
      <c r="I1520" s="24">
        <v>114680.16342593326</v>
      </c>
      <c r="J1520" s="32">
        <v>28</v>
      </c>
      <c r="K1520" s="17" t="s">
        <v>16</v>
      </c>
      <c r="L1520" s="24">
        <v>3907.86</v>
      </c>
      <c r="M1520" s="24">
        <v>4205.37</v>
      </c>
      <c r="N1520" s="34">
        <f>((sales_data_1[[#This Row],[Unit_Price]]*(1-sales_data_1[[#This Row],[Discount]]))-sales_data_1[[#This Row],[Unit_Cost]])*sales_data_1[[#This Row],[Quantity_Sold]]</f>
        <v>4797.7691999999861</v>
      </c>
      <c r="O1520" s="17" t="s">
        <v>27</v>
      </c>
      <c r="P1520" s="26">
        <v>0.03</v>
      </c>
      <c r="Q1520" s="17" t="s">
        <v>28</v>
      </c>
      <c r="R1520" s="17" t="s">
        <v>19</v>
      </c>
      <c r="S1520" s="50" t="str">
        <f t="shared" si="71"/>
        <v>Alice-East</v>
      </c>
      <c r="T1520" s="59" t="str">
        <f>IF(ROUND(sales_data_1[[#This Row],[Profit_Margin]],2)=ROUND((sales_data_1[[#This Row],[Unit_Price]]*(1-sales_data_1[[#This Row],[Discount]]) - sales_data_1[[#This Row],[Unit_Cost]])*sales_data_1[[#This Row],[Quantity_Sold]],2), "PASS", "CHECK")</f>
        <v>PASS</v>
      </c>
    </row>
    <row r="1521" spans="1:20" x14ac:dyDescent="0.35">
      <c r="A1521" s="7">
        <v>1520</v>
      </c>
      <c r="B1521" s="9">
        <v>1017</v>
      </c>
      <c r="C1521" s="14" t="str">
        <f>IFERROR(_xlfn.TEXTJOIN("-", TRUE, _xlfn.XLOOKUP(K1521, product_category_id_lookup!$A$2:$A$5, product_category_id_lookup!$B$2:$B$5), B1521), "Unknown Category")</f>
        <v>etc-1017</v>
      </c>
      <c r="D1521" s="8">
        <v>45074</v>
      </c>
      <c r="E1521" s="14">
        <f t="shared" si="69"/>
        <v>2023</v>
      </c>
      <c r="F1521" s="29" t="str">
        <f t="shared" si="70"/>
        <v>May</v>
      </c>
      <c r="G1521" s="17" t="s">
        <v>22</v>
      </c>
      <c r="H1521" s="17" t="s">
        <v>30</v>
      </c>
      <c r="I1521" s="24">
        <v>180339.37019180032</v>
      </c>
      <c r="J1521" s="32">
        <v>35</v>
      </c>
      <c r="K1521" s="17" t="s">
        <v>31</v>
      </c>
      <c r="L1521" s="24">
        <v>4867.6400000000003</v>
      </c>
      <c r="M1521" s="24">
        <v>5287.05</v>
      </c>
      <c r="N1521" s="34">
        <f>((sales_data_1[[#This Row],[Unit_Price]]*(1-sales_data_1[[#This Row],[Discount]]))-sales_data_1[[#This Row],[Unit_Cost]])*sales_data_1[[#This Row],[Quantity_Sold]]</f>
        <v>9127.9474999999948</v>
      </c>
      <c r="O1521" s="17" t="s">
        <v>17</v>
      </c>
      <c r="P1521" s="26">
        <v>0.03</v>
      </c>
      <c r="Q1521" s="17" t="s">
        <v>28</v>
      </c>
      <c r="R1521" s="17" t="s">
        <v>19</v>
      </c>
      <c r="S1521" s="50" t="str">
        <f t="shared" si="71"/>
        <v>David-East</v>
      </c>
      <c r="T1521" s="59" t="str">
        <f>IF(ROUND(sales_data_1[[#This Row],[Profit_Margin]],2)=ROUND((sales_data_1[[#This Row],[Unit_Price]]*(1-sales_data_1[[#This Row],[Discount]]) - sales_data_1[[#This Row],[Unit_Cost]])*sales_data_1[[#This Row],[Quantity_Sold]],2), "PASS", "CHECK")</f>
        <v>PASS</v>
      </c>
    </row>
    <row r="1522" spans="1:20" x14ac:dyDescent="0.35">
      <c r="A1522" s="7">
        <v>1521</v>
      </c>
      <c r="B1522" s="9">
        <v>1070</v>
      </c>
      <c r="C1522" s="14" t="str">
        <f>IFERROR(_xlfn.TEXTJOIN("-", TRUE, _xlfn.XLOOKUP(K1522, product_category_id_lookup!$A$2:$A$5, product_category_id_lookup!$B$2:$B$5), B1522), "Unknown Category")</f>
        <v>fnt-1070</v>
      </c>
      <c r="D1522" s="8">
        <v>45075</v>
      </c>
      <c r="E1522" s="14">
        <f t="shared" si="69"/>
        <v>2023</v>
      </c>
      <c r="F1522" s="29" t="str">
        <f t="shared" si="70"/>
        <v>May</v>
      </c>
      <c r="G1522" s="17" t="s">
        <v>29</v>
      </c>
      <c r="H1522" s="17" t="s">
        <v>23</v>
      </c>
      <c r="I1522" s="24">
        <v>54625.926015474717</v>
      </c>
      <c r="J1522" s="32">
        <v>14</v>
      </c>
      <c r="K1522" s="17" t="s">
        <v>16</v>
      </c>
      <c r="L1522" s="24">
        <v>3796.79</v>
      </c>
      <c r="M1522" s="24">
        <v>3947.5</v>
      </c>
      <c r="N1522" s="34">
        <f>((sales_data_1[[#This Row],[Unit_Price]]*(1-sales_data_1[[#This Row],[Discount]]))-sales_data_1[[#This Row],[Unit_Cost]])*sales_data_1[[#This Row],[Quantity_Sold]]</f>
        <v>1557.2900000000018</v>
      </c>
      <c r="O1522" s="17" t="s">
        <v>17</v>
      </c>
      <c r="P1522" s="26">
        <v>0.01</v>
      </c>
      <c r="Q1522" s="17" t="s">
        <v>25</v>
      </c>
      <c r="R1522" s="17" t="s">
        <v>19</v>
      </c>
      <c r="S1522" s="50" t="str">
        <f t="shared" si="71"/>
        <v>Charlie-South</v>
      </c>
      <c r="T1522" s="59" t="str">
        <f>IF(ROUND(sales_data_1[[#This Row],[Profit_Margin]],2)=ROUND((sales_data_1[[#This Row],[Unit_Price]]*(1-sales_data_1[[#This Row],[Discount]]) - sales_data_1[[#This Row],[Unit_Cost]])*sales_data_1[[#This Row],[Quantity_Sold]],2), "PASS", "CHECK")</f>
        <v>PASS</v>
      </c>
    </row>
    <row r="1523" spans="1:20" x14ac:dyDescent="0.35">
      <c r="A1523" s="7">
        <v>1522</v>
      </c>
      <c r="B1523" s="9">
        <v>1069</v>
      </c>
      <c r="C1523" s="14" t="str">
        <f>IFERROR(_xlfn.TEXTJOIN("-", TRUE, _xlfn.XLOOKUP(K1523, product_category_id_lookup!$A$2:$A$5, product_category_id_lookup!$B$2:$B$5), B1523), "Unknown Category")</f>
        <v>etc-1069</v>
      </c>
      <c r="D1523" s="8">
        <v>45075</v>
      </c>
      <c r="E1523" s="14">
        <f t="shared" si="69"/>
        <v>2023</v>
      </c>
      <c r="F1523" s="29" t="str">
        <f t="shared" si="70"/>
        <v>May</v>
      </c>
      <c r="G1523" s="17" t="s">
        <v>33</v>
      </c>
      <c r="H1523" s="17" t="s">
        <v>15</v>
      </c>
      <c r="I1523" s="24">
        <v>12754.055999999999</v>
      </c>
      <c r="J1523" s="32">
        <v>30</v>
      </c>
      <c r="K1523" s="17" t="s">
        <v>31</v>
      </c>
      <c r="L1523" s="24">
        <v>300.01</v>
      </c>
      <c r="M1523" s="24">
        <v>477.67999999999995</v>
      </c>
      <c r="N1523" s="34">
        <f>((sales_data_1[[#This Row],[Unit_Price]]*(1-sales_data_1[[#This Row],[Discount]]))-sales_data_1[[#This Row],[Unit_Cost]])*sales_data_1[[#This Row],[Quantity_Sold]]</f>
        <v>3753.7559999999985</v>
      </c>
      <c r="O1523" s="17" t="s">
        <v>27</v>
      </c>
      <c r="P1523" s="26">
        <v>0.11</v>
      </c>
      <c r="Q1523" s="17" t="s">
        <v>25</v>
      </c>
      <c r="R1523" s="17" t="s">
        <v>21</v>
      </c>
      <c r="S1523" s="50" t="str">
        <f t="shared" si="71"/>
        <v>Alice-North</v>
      </c>
      <c r="T1523" s="59" t="str">
        <f>IF(ROUND(sales_data_1[[#This Row],[Profit_Margin]],2)=ROUND((sales_data_1[[#This Row],[Unit_Price]]*(1-sales_data_1[[#This Row],[Discount]]) - sales_data_1[[#This Row],[Unit_Cost]])*sales_data_1[[#This Row],[Quantity_Sold]],2), "PASS", "CHECK")</f>
        <v>PASS</v>
      </c>
    </row>
    <row r="1524" spans="1:20" x14ac:dyDescent="0.35">
      <c r="A1524" s="7">
        <v>1523</v>
      </c>
      <c r="B1524" s="9">
        <v>1055</v>
      </c>
      <c r="C1524" s="14" t="str">
        <f>IFERROR(_xlfn.TEXTJOIN("-", TRUE, _xlfn.XLOOKUP(K1524, product_category_id_lookup!$A$2:$A$5, product_category_id_lookup!$B$2:$B$5), B1524), "Unknown Category")</f>
        <v>fnt-1055</v>
      </c>
      <c r="D1524" s="8">
        <v>45075</v>
      </c>
      <c r="E1524" s="14">
        <f t="shared" si="69"/>
        <v>2023</v>
      </c>
      <c r="F1524" s="29" t="str">
        <f t="shared" si="70"/>
        <v>May</v>
      </c>
      <c r="G1524" s="17" t="s">
        <v>32</v>
      </c>
      <c r="H1524" s="17" t="s">
        <v>15</v>
      </c>
      <c r="I1524" s="24">
        <v>43510.522544163803</v>
      </c>
      <c r="J1524" s="32">
        <v>40</v>
      </c>
      <c r="K1524" s="17" t="s">
        <v>16</v>
      </c>
      <c r="L1524" s="24">
        <v>959.73</v>
      </c>
      <c r="M1524" s="24">
        <v>1111.4100000000001</v>
      </c>
      <c r="N1524" s="34">
        <f>((sales_data_1[[#This Row],[Unit_Price]]*(1-sales_data_1[[#This Row],[Discount]]))-sales_data_1[[#This Row],[Unit_Cost]])*sales_data_1[[#This Row],[Quantity_Sold]]</f>
        <v>5178.0720000000019</v>
      </c>
      <c r="O1524" s="17" t="s">
        <v>27</v>
      </c>
      <c r="P1524" s="26">
        <v>0.02</v>
      </c>
      <c r="Q1524" s="17" t="s">
        <v>25</v>
      </c>
      <c r="R1524" s="17" t="s">
        <v>19</v>
      </c>
      <c r="S1524" s="50" t="str">
        <f t="shared" si="71"/>
        <v>Eve-North</v>
      </c>
      <c r="T1524" s="59" t="str">
        <f>IF(ROUND(sales_data_1[[#This Row],[Profit_Margin]],2)=ROUND((sales_data_1[[#This Row],[Unit_Price]]*(1-sales_data_1[[#This Row],[Discount]]) - sales_data_1[[#This Row],[Unit_Cost]])*sales_data_1[[#This Row],[Quantity_Sold]],2), "PASS", "CHECK")</f>
        <v>PASS</v>
      </c>
    </row>
    <row r="1525" spans="1:20" x14ac:dyDescent="0.35">
      <c r="A1525" s="7">
        <v>1524</v>
      </c>
      <c r="B1525" s="9">
        <v>1040</v>
      </c>
      <c r="C1525" s="14" t="str">
        <f>IFERROR(_xlfn.TEXTJOIN("-", TRUE, _xlfn.XLOOKUP(K1525, product_category_id_lookup!$A$2:$A$5, product_category_id_lookup!$B$2:$B$5), B1525), "Unknown Category")</f>
        <v>ctg-1040</v>
      </c>
      <c r="D1525" s="8">
        <v>45076</v>
      </c>
      <c r="E1525" s="14">
        <f t="shared" si="69"/>
        <v>2023</v>
      </c>
      <c r="F1525" s="29" t="str">
        <f t="shared" si="70"/>
        <v>May</v>
      </c>
      <c r="G1525" s="17" t="s">
        <v>33</v>
      </c>
      <c r="H1525" s="17" t="s">
        <v>23</v>
      </c>
      <c r="I1525" s="24">
        <v>81095.313551960266</v>
      </c>
      <c r="J1525" s="32">
        <v>47</v>
      </c>
      <c r="K1525" s="17" t="s">
        <v>26</v>
      </c>
      <c r="L1525" s="24">
        <v>1656.82</v>
      </c>
      <c r="M1525" s="24">
        <v>1750.3799999999999</v>
      </c>
      <c r="N1525" s="34">
        <f>((sales_data_1[[#This Row],[Unit_Price]]*(1-sales_data_1[[#This Row],[Discount]]))-sales_data_1[[#This Row],[Unit_Cost]])*sales_data_1[[#This Row],[Quantity_Sold]]</f>
        <v>3574.6413999999995</v>
      </c>
      <c r="O1525" s="17" t="s">
        <v>27</v>
      </c>
      <c r="P1525" s="26">
        <v>0.01</v>
      </c>
      <c r="Q1525" s="17" t="s">
        <v>28</v>
      </c>
      <c r="R1525" s="17" t="s">
        <v>19</v>
      </c>
      <c r="S1525" s="50" t="str">
        <f t="shared" si="71"/>
        <v>Alice-South</v>
      </c>
      <c r="T1525" s="59" t="str">
        <f>IF(ROUND(sales_data_1[[#This Row],[Profit_Margin]],2)=ROUND((sales_data_1[[#This Row],[Unit_Price]]*(1-sales_data_1[[#This Row],[Discount]]) - sales_data_1[[#This Row],[Unit_Cost]])*sales_data_1[[#This Row],[Quantity_Sold]],2), "PASS", "CHECK")</f>
        <v>PASS</v>
      </c>
    </row>
    <row r="1526" spans="1:20" x14ac:dyDescent="0.35">
      <c r="A1526" s="7">
        <v>1525</v>
      </c>
      <c r="B1526" s="9">
        <v>1002</v>
      </c>
      <c r="C1526" s="14" t="str">
        <f>IFERROR(_xlfn.TEXTJOIN("-", TRUE, _xlfn.XLOOKUP(K1526, product_category_id_lookup!$A$2:$A$5, product_category_id_lookup!$B$2:$B$5), B1526), "Unknown Category")</f>
        <v>fnt-1002</v>
      </c>
      <c r="D1526" s="8">
        <v>45076</v>
      </c>
      <c r="E1526" s="14">
        <f t="shared" si="69"/>
        <v>2023</v>
      </c>
      <c r="F1526" s="29" t="str">
        <f t="shared" si="70"/>
        <v>May</v>
      </c>
      <c r="G1526" s="17" t="s">
        <v>22</v>
      </c>
      <c r="H1526" s="17" t="s">
        <v>15</v>
      </c>
      <c r="I1526" s="24">
        <v>72136.848000000013</v>
      </c>
      <c r="J1526" s="32">
        <v>17</v>
      </c>
      <c r="K1526" s="17" t="s">
        <v>16</v>
      </c>
      <c r="L1526" s="24">
        <v>4024.76</v>
      </c>
      <c r="M1526" s="24">
        <v>4420.1500000000015</v>
      </c>
      <c r="N1526" s="34">
        <f>((sales_data_1[[#This Row],[Unit_Price]]*(1-sales_data_1[[#This Row],[Discount]]))-sales_data_1[[#This Row],[Unit_Cost]])*sales_data_1[[#This Row],[Quantity_Sold]]</f>
        <v>3715.9280000000126</v>
      </c>
      <c r="O1526" s="17" t="s">
        <v>17</v>
      </c>
      <c r="P1526" s="26">
        <v>0.04</v>
      </c>
      <c r="Q1526" s="17" t="s">
        <v>18</v>
      </c>
      <c r="R1526" s="17" t="s">
        <v>19</v>
      </c>
      <c r="S1526" s="50" t="str">
        <f t="shared" si="71"/>
        <v>David-North</v>
      </c>
      <c r="T1526" s="59" t="str">
        <f>IF(ROUND(sales_data_1[[#This Row],[Profit_Margin]],2)=ROUND((sales_data_1[[#This Row],[Unit_Price]]*(1-sales_data_1[[#This Row],[Discount]]) - sales_data_1[[#This Row],[Unit_Cost]])*sales_data_1[[#This Row],[Quantity_Sold]],2), "PASS", "CHECK")</f>
        <v>PASS</v>
      </c>
    </row>
    <row r="1527" spans="1:20" x14ac:dyDescent="0.35">
      <c r="A1527" s="7">
        <v>1526</v>
      </c>
      <c r="B1527" s="9">
        <v>1002</v>
      </c>
      <c r="C1527" s="14" t="str">
        <f>IFERROR(_xlfn.TEXTJOIN("-", TRUE, _xlfn.XLOOKUP(K1527, product_category_id_lookup!$A$2:$A$5, product_category_id_lookup!$B$2:$B$5), B1527), "Unknown Category")</f>
        <v>fnt-1002</v>
      </c>
      <c r="D1527" s="8">
        <v>45076</v>
      </c>
      <c r="E1527" s="14">
        <f t="shared" si="69"/>
        <v>2023</v>
      </c>
      <c r="F1527" s="29" t="str">
        <f t="shared" si="70"/>
        <v>May</v>
      </c>
      <c r="G1527" s="17" t="s">
        <v>32</v>
      </c>
      <c r="H1527" s="17" t="s">
        <v>15</v>
      </c>
      <c r="I1527" s="24">
        <v>66538.969147356955</v>
      </c>
      <c r="J1527" s="32">
        <v>44</v>
      </c>
      <c r="K1527" s="17" t="s">
        <v>16</v>
      </c>
      <c r="L1527" s="24">
        <v>1393.58</v>
      </c>
      <c r="M1527" s="24">
        <v>1533.09</v>
      </c>
      <c r="N1527" s="34">
        <f>((sales_data_1[[#This Row],[Unit_Price]]*(1-sales_data_1[[#This Row],[Discount]]))-sales_data_1[[#This Row],[Unit_Cost]])*sales_data_1[[#This Row],[Quantity_Sold]]</f>
        <v>5463.8804000000027</v>
      </c>
      <c r="O1527" s="17" t="s">
        <v>17</v>
      </c>
      <c r="P1527" s="26">
        <v>0.01</v>
      </c>
      <c r="Q1527" s="17" t="s">
        <v>28</v>
      </c>
      <c r="R1527" s="17" t="s">
        <v>21</v>
      </c>
      <c r="S1527" s="50" t="str">
        <f t="shared" si="71"/>
        <v>Eve-North</v>
      </c>
      <c r="T1527" s="59" t="str">
        <f>IF(ROUND(sales_data_1[[#This Row],[Profit_Margin]],2)=ROUND((sales_data_1[[#This Row],[Unit_Price]]*(1-sales_data_1[[#This Row],[Discount]]) - sales_data_1[[#This Row],[Unit_Cost]])*sales_data_1[[#This Row],[Quantity_Sold]],2), "PASS", "CHECK")</f>
        <v>PASS</v>
      </c>
    </row>
    <row r="1528" spans="1:20" x14ac:dyDescent="0.35">
      <c r="A1528" s="7">
        <v>1527</v>
      </c>
      <c r="B1528" s="9">
        <v>1064</v>
      </c>
      <c r="C1528" s="14" t="str">
        <f>IFERROR(_xlfn.TEXTJOIN("-", TRUE, _xlfn.XLOOKUP(K1528, product_category_id_lookup!$A$2:$A$5, product_category_id_lookup!$B$2:$B$5), B1528), "Unknown Category")</f>
        <v>ctg-1064</v>
      </c>
      <c r="D1528" s="8">
        <v>45077</v>
      </c>
      <c r="E1528" s="14">
        <f t="shared" si="69"/>
        <v>2023</v>
      </c>
      <c r="F1528" s="29" t="str">
        <f t="shared" si="70"/>
        <v>May</v>
      </c>
      <c r="G1528" s="17" t="s">
        <v>22</v>
      </c>
      <c r="H1528" s="17" t="s">
        <v>23</v>
      </c>
      <c r="I1528" s="24">
        <v>9249.1440000000002</v>
      </c>
      <c r="J1528" s="32">
        <v>8</v>
      </c>
      <c r="K1528" s="17" t="s">
        <v>26</v>
      </c>
      <c r="L1528" s="24">
        <v>816.54</v>
      </c>
      <c r="M1528" s="24">
        <v>1191.9000000000001</v>
      </c>
      <c r="N1528" s="34">
        <f>((sales_data_1[[#This Row],[Unit_Price]]*(1-sales_data_1[[#This Row],[Discount]]))-sales_data_1[[#This Row],[Unit_Cost]])*sales_data_1[[#This Row],[Quantity_Sold]]</f>
        <v>2716.8240000000005</v>
      </c>
      <c r="O1528" s="17" t="s">
        <v>27</v>
      </c>
      <c r="P1528" s="26">
        <v>0.03</v>
      </c>
      <c r="Q1528" s="17" t="s">
        <v>18</v>
      </c>
      <c r="R1528" s="17" t="s">
        <v>21</v>
      </c>
      <c r="S1528" s="50" t="str">
        <f t="shared" si="71"/>
        <v>David-South</v>
      </c>
      <c r="T1528" s="59" t="str">
        <f>IF(ROUND(sales_data_1[[#This Row],[Profit_Margin]],2)=ROUND((sales_data_1[[#This Row],[Unit_Price]]*(1-sales_data_1[[#This Row],[Discount]]) - sales_data_1[[#This Row],[Unit_Cost]])*sales_data_1[[#This Row],[Quantity_Sold]],2), "PASS", "CHECK")</f>
        <v>PASS</v>
      </c>
    </row>
    <row r="1529" spans="1:20" x14ac:dyDescent="0.35">
      <c r="A1529" s="7">
        <v>1528</v>
      </c>
      <c r="B1529" s="9">
        <v>1099</v>
      </c>
      <c r="C1529" s="14" t="str">
        <f>IFERROR(_xlfn.TEXTJOIN("-", TRUE, _xlfn.XLOOKUP(K1529, product_category_id_lookup!$A$2:$A$5, product_category_id_lookup!$B$2:$B$5), B1529), "Unknown Category")</f>
        <v>etc-1099</v>
      </c>
      <c r="D1529" s="8">
        <v>45078</v>
      </c>
      <c r="E1529" s="14">
        <f t="shared" si="69"/>
        <v>2023</v>
      </c>
      <c r="F1529" s="29" t="str">
        <f t="shared" si="70"/>
        <v>Jun</v>
      </c>
      <c r="G1529" s="17" t="s">
        <v>33</v>
      </c>
      <c r="H1529" s="17" t="s">
        <v>23</v>
      </c>
      <c r="I1529" s="24">
        <v>4129.2777621377609</v>
      </c>
      <c r="J1529" s="32">
        <v>2</v>
      </c>
      <c r="K1529" s="17" t="s">
        <v>31</v>
      </c>
      <c r="L1529" s="24">
        <v>2038.4</v>
      </c>
      <c r="M1529" s="24">
        <v>2073.3200000000002</v>
      </c>
      <c r="N1529" s="34">
        <f>((sales_data_1[[#This Row],[Unit_Price]]*(1-sales_data_1[[#This Row],[Discount]]))-sales_data_1[[#This Row],[Unit_Cost]])*sales_data_1[[#This Row],[Quantity_Sold]]</f>
        <v>69.840000000000146</v>
      </c>
      <c r="O1529" s="17" t="s">
        <v>27</v>
      </c>
      <c r="P1529" s="26">
        <v>0</v>
      </c>
      <c r="Q1529" s="17" t="s">
        <v>18</v>
      </c>
      <c r="R1529" s="17" t="s">
        <v>21</v>
      </c>
      <c r="S1529" s="50" t="str">
        <f t="shared" si="71"/>
        <v>Alice-South</v>
      </c>
      <c r="T1529" s="59" t="str">
        <f>IF(ROUND(sales_data_1[[#This Row],[Profit_Margin]],2)=ROUND((sales_data_1[[#This Row],[Unit_Price]]*(1-sales_data_1[[#This Row],[Discount]]) - sales_data_1[[#This Row],[Unit_Cost]])*sales_data_1[[#This Row],[Quantity_Sold]],2), "PASS", "CHECK")</f>
        <v>PASS</v>
      </c>
    </row>
    <row r="1530" spans="1:20" x14ac:dyDescent="0.35">
      <c r="A1530" s="7">
        <v>1529</v>
      </c>
      <c r="B1530" s="9">
        <v>1013</v>
      </c>
      <c r="C1530" s="14" t="str">
        <f>IFERROR(_xlfn.TEXTJOIN("-", TRUE, _xlfn.XLOOKUP(K1530, product_category_id_lookup!$A$2:$A$5, product_category_id_lookup!$B$2:$B$5), B1530), "Unknown Category")</f>
        <v>fnt-1013</v>
      </c>
      <c r="D1530" s="8">
        <v>45078</v>
      </c>
      <c r="E1530" s="14">
        <f t="shared" si="69"/>
        <v>2023</v>
      </c>
      <c r="F1530" s="29" t="str">
        <f t="shared" si="70"/>
        <v>Jun</v>
      </c>
      <c r="G1530" s="17" t="s">
        <v>29</v>
      </c>
      <c r="H1530" s="17" t="s">
        <v>30</v>
      </c>
      <c r="I1530" s="24">
        <v>19933.267200000002</v>
      </c>
      <c r="J1530" s="32">
        <v>16</v>
      </c>
      <c r="K1530" s="17" t="s">
        <v>16</v>
      </c>
      <c r="L1530" s="24">
        <v>1222.1500000000001</v>
      </c>
      <c r="M1530" s="24">
        <v>1284.3600000000001</v>
      </c>
      <c r="N1530" s="34">
        <f>((sales_data_1[[#This Row],[Unit_Price]]*(1-sales_data_1[[#This Row],[Discount]]))-sales_data_1[[#This Row],[Unit_Cost]])*sales_data_1[[#This Row],[Quantity_Sold]]</f>
        <v>378.86720000000059</v>
      </c>
      <c r="O1530" s="17" t="s">
        <v>17</v>
      </c>
      <c r="P1530" s="26">
        <v>0.03</v>
      </c>
      <c r="Q1530" s="17" t="s">
        <v>28</v>
      </c>
      <c r="R1530" s="17" t="s">
        <v>21</v>
      </c>
      <c r="S1530" s="50" t="str">
        <f t="shared" si="71"/>
        <v>Charlie-East</v>
      </c>
      <c r="T1530" s="59" t="str">
        <f>IF(ROUND(sales_data_1[[#This Row],[Profit_Margin]],2)=ROUND((sales_data_1[[#This Row],[Unit_Price]]*(1-sales_data_1[[#This Row],[Discount]]) - sales_data_1[[#This Row],[Unit_Cost]])*sales_data_1[[#This Row],[Quantity_Sold]],2), "PASS", "CHECK")</f>
        <v>PASS</v>
      </c>
    </row>
    <row r="1531" spans="1:20" x14ac:dyDescent="0.35">
      <c r="A1531" s="7">
        <v>1530</v>
      </c>
      <c r="B1531" s="9">
        <v>1022</v>
      </c>
      <c r="C1531" s="14" t="str">
        <f>IFERROR(_xlfn.TEXTJOIN("-", TRUE, _xlfn.XLOOKUP(K1531, product_category_id_lookup!$A$2:$A$5, product_category_id_lookup!$B$2:$B$5), B1531), "Unknown Category")</f>
        <v>etc-1022</v>
      </c>
      <c r="D1531" s="8">
        <v>45078</v>
      </c>
      <c r="E1531" s="14">
        <f t="shared" si="69"/>
        <v>2023</v>
      </c>
      <c r="F1531" s="29" t="str">
        <f t="shared" si="70"/>
        <v>Jun</v>
      </c>
      <c r="G1531" s="17" t="s">
        <v>22</v>
      </c>
      <c r="H1531" s="17" t="s">
        <v>30</v>
      </c>
      <c r="I1531" s="24">
        <v>22339.6335</v>
      </c>
      <c r="J1531" s="32">
        <v>9</v>
      </c>
      <c r="K1531" s="17" t="s">
        <v>31</v>
      </c>
      <c r="L1531" s="24">
        <v>2263.65</v>
      </c>
      <c r="M1531" s="24">
        <v>2558.9500000000003</v>
      </c>
      <c r="N1531" s="34">
        <f>((sales_data_1[[#This Row],[Unit_Price]]*(1-sales_data_1[[#This Row],[Discount]]))-sales_data_1[[#This Row],[Unit_Cost]])*sales_data_1[[#This Row],[Quantity_Sold]]</f>
        <v>1966.7835000000005</v>
      </c>
      <c r="O1531" s="17" t="s">
        <v>27</v>
      </c>
      <c r="P1531" s="26">
        <v>0.03</v>
      </c>
      <c r="Q1531" s="17" t="s">
        <v>18</v>
      </c>
      <c r="R1531" s="17" t="s">
        <v>19</v>
      </c>
      <c r="S1531" s="50" t="str">
        <f t="shared" si="71"/>
        <v>David-East</v>
      </c>
      <c r="T1531" s="59" t="str">
        <f>IF(ROUND(sales_data_1[[#This Row],[Profit_Margin]],2)=ROUND((sales_data_1[[#This Row],[Unit_Price]]*(1-sales_data_1[[#This Row],[Discount]]) - sales_data_1[[#This Row],[Unit_Cost]])*sales_data_1[[#This Row],[Quantity_Sold]],2), "PASS", "CHECK")</f>
        <v>PASS</v>
      </c>
    </row>
    <row r="1532" spans="1:20" x14ac:dyDescent="0.35">
      <c r="A1532" s="7">
        <v>1531</v>
      </c>
      <c r="B1532" s="9">
        <v>1019</v>
      </c>
      <c r="C1532" s="14" t="str">
        <f>IFERROR(_xlfn.TEXTJOIN("-", TRUE, _xlfn.XLOOKUP(K1532, product_category_id_lookup!$A$2:$A$5, product_category_id_lookup!$B$2:$B$5), B1532), "Unknown Category")</f>
        <v>ctg-1019</v>
      </c>
      <c r="D1532" s="8">
        <v>45078</v>
      </c>
      <c r="E1532" s="14">
        <f t="shared" si="69"/>
        <v>2023</v>
      </c>
      <c r="F1532" s="29" t="str">
        <f t="shared" si="70"/>
        <v>Jun</v>
      </c>
      <c r="G1532" s="17" t="s">
        <v>14</v>
      </c>
      <c r="H1532" s="17" t="s">
        <v>30</v>
      </c>
      <c r="I1532" s="24">
        <v>141672.8768</v>
      </c>
      <c r="J1532" s="32">
        <v>38</v>
      </c>
      <c r="K1532" s="17" t="s">
        <v>26</v>
      </c>
      <c r="L1532" s="24">
        <v>3637.25</v>
      </c>
      <c r="M1532" s="24">
        <v>4096.96</v>
      </c>
      <c r="N1532" s="34">
        <f>((sales_data_1[[#This Row],[Unit_Price]]*(1-sales_data_1[[#This Row],[Discount]]))-sales_data_1[[#This Row],[Unit_Cost]])*sales_data_1[[#This Row],[Quantity_Sold]]</f>
        <v>3457.3768000000009</v>
      </c>
      <c r="O1532" s="17" t="s">
        <v>17</v>
      </c>
      <c r="P1532" s="26">
        <v>0.09</v>
      </c>
      <c r="Q1532" s="17" t="s">
        <v>25</v>
      </c>
      <c r="R1532" s="17" t="s">
        <v>19</v>
      </c>
      <c r="S1532" s="50" t="str">
        <f t="shared" si="71"/>
        <v>Bob-East</v>
      </c>
      <c r="T1532" s="59" t="str">
        <f>IF(ROUND(sales_data_1[[#This Row],[Profit_Margin]],2)=ROUND((sales_data_1[[#This Row],[Unit_Price]]*(1-sales_data_1[[#This Row],[Discount]]) - sales_data_1[[#This Row],[Unit_Cost]])*sales_data_1[[#This Row],[Quantity_Sold]],2), "PASS", "CHECK")</f>
        <v>PASS</v>
      </c>
    </row>
    <row r="1533" spans="1:20" x14ac:dyDescent="0.35">
      <c r="A1533" s="7">
        <v>1532</v>
      </c>
      <c r="B1533" s="9">
        <v>1050</v>
      </c>
      <c r="C1533" s="14" t="str">
        <f>IFERROR(_xlfn.TEXTJOIN("-", TRUE, _xlfn.XLOOKUP(K1533, product_category_id_lookup!$A$2:$A$5, product_category_id_lookup!$B$2:$B$5), B1533), "Unknown Category")</f>
        <v>fnt-1050</v>
      </c>
      <c r="D1533" s="8">
        <v>45078</v>
      </c>
      <c r="E1533" s="14">
        <f t="shared" si="69"/>
        <v>2023</v>
      </c>
      <c r="F1533" s="29" t="str">
        <f t="shared" si="70"/>
        <v>Jun</v>
      </c>
      <c r="G1533" s="17" t="s">
        <v>14</v>
      </c>
      <c r="H1533" s="17" t="s">
        <v>23</v>
      </c>
      <c r="I1533" s="24">
        <v>93966.518399999986</v>
      </c>
      <c r="J1533" s="32">
        <v>23</v>
      </c>
      <c r="K1533" s="17" t="s">
        <v>16</v>
      </c>
      <c r="L1533" s="24">
        <v>3756.06</v>
      </c>
      <c r="M1533" s="24">
        <v>4255.7299999999996</v>
      </c>
      <c r="N1533" s="34">
        <f>((sales_data_1[[#This Row],[Unit_Price]]*(1-sales_data_1[[#This Row],[Discount]]))-sales_data_1[[#This Row],[Unit_Cost]])*sales_data_1[[#This Row],[Quantity_Sold]]</f>
        <v>7577.1383999999862</v>
      </c>
      <c r="O1533" s="17" t="s">
        <v>17</v>
      </c>
      <c r="P1533" s="26">
        <v>0.04</v>
      </c>
      <c r="Q1533" s="17" t="s">
        <v>18</v>
      </c>
      <c r="R1533" s="17" t="s">
        <v>19</v>
      </c>
      <c r="S1533" s="50" t="str">
        <f t="shared" si="71"/>
        <v>Bob-South</v>
      </c>
      <c r="T1533" s="59" t="str">
        <f>IF(ROUND(sales_data_1[[#This Row],[Profit_Margin]],2)=ROUND((sales_data_1[[#This Row],[Unit_Price]]*(1-sales_data_1[[#This Row],[Discount]]) - sales_data_1[[#This Row],[Unit_Cost]])*sales_data_1[[#This Row],[Quantity_Sold]],2), "PASS", "CHECK")</f>
        <v>PASS</v>
      </c>
    </row>
    <row r="1534" spans="1:20" x14ac:dyDescent="0.35">
      <c r="A1534" s="7">
        <v>1533</v>
      </c>
      <c r="B1534" s="9">
        <v>1086</v>
      </c>
      <c r="C1534" s="14" t="str">
        <f>IFERROR(_xlfn.TEXTJOIN("-", TRUE, _xlfn.XLOOKUP(K1534, product_category_id_lookup!$A$2:$A$5, product_category_id_lookup!$B$2:$B$5), B1534), "Unknown Category")</f>
        <v>etc-1086</v>
      </c>
      <c r="D1534" s="8">
        <v>45079</v>
      </c>
      <c r="E1534" s="14">
        <f t="shared" si="69"/>
        <v>2023</v>
      </c>
      <c r="F1534" s="29" t="str">
        <f t="shared" si="70"/>
        <v>Jun</v>
      </c>
      <c r="G1534" s="17" t="s">
        <v>14</v>
      </c>
      <c r="H1534" s="17" t="s">
        <v>30</v>
      </c>
      <c r="I1534" s="24">
        <v>4868.3504969016285</v>
      </c>
      <c r="J1534" s="32">
        <v>3</v>
      </c>
      <c r="K1534" s="17" t="s">
        <v>31</v>
      </c>
      <c r="L1534" s="24">
        <v>1595.35</v>
      </c>
      <c r="M1534" s="24">
        <v>1625.7099999999998</v>
      </c>
      <c r="N1534" s="34">
        <f>((sales_data_1[[#This Row],[Unit_Price]]*(1-sales_data_1[[#This Row],[Discount]]))-sales_data_1[[#This Row],[Unit_Cost]])*sales_data_1[[#This Row],[Quantity_Sold]]</f>
        <v>91.0799999999997</v>
      </c>
      <c r="O1534" s="17" t="s">
        <v>27</v>
      </c>
      <c r="P1534" s="26">
        <v>0</v>
      </c>
      <c r="Q1534" s="17" t="s">
        <v>18</v>
      </c>
      <c r="R1534" s="17" t="s">
        <v>19</v>
      </c>
      <c r="S1534" s="50" t="str">
        <f t="shared" si="71"/>
        <v>Bob-East</v>
      </c>
      <c r="T1534" s="59" t="str">
        <f>IF(ROUND(sales_data_1[[#This Row],[Profit_Margin]],2)=ROUND((sales_data_1[[#This Row],[Unit_Price]]*(1-sales_data_1[[#This Row],[Discount]]) - sales_data_1[[#This Row],[Unit_Cost]])*sales_data_1[[#This Row],[Quantity_Sold]],2), "PASS", "CHECK")</f>
        <v>PASS</v>
      </c>
    </row>
    <row r="1535" spans="1:20" x14ac:dyDescent="0.35">
      <c r="A1535" s="7">
        <v>1534</v>
      </c>
      <c r="B1535" s="9">
        <v>1024</v>
      </c>
      <c r="C1535" s="14" t="str">
        <f>IFERROR(_xlfn.TEXTJOIN("-", TRUE, _xlfn.XLOOKUP(K1535, product_category_id_lookup!$A$2:$A$5, product_category_id_lookup!$B$2:$B$5), B1535), "Unknown Category")</f>
        <v>fnt-1024</v>
      </c>
      <c r="D1535" s="8">
        <v>45079</v>
      </c>
      <c r="E1535" s="14">
        <f t="shared" si="69"/>
        <v>2023</v>
      </c>
      <c r="F1535" s="29" t="str">
        <f t="shared" si="70"/>
        <v>Jun</v>
      </c>
      <c r="G1535" s="17" t="s">
        <v>33</v>
      </c>
      <c r="H1535" s="17" t="s">
        <v>20</v>
      </c>
      <c r="I1535" s="24">
        <v>7555.1724671485226</v>
      </c>
      <c r="J1535" s="32">
        <v>2</v>
      </c>
      <c r="K1535" s="17" t="s">
        <v>16</v>
      </c>
      <c r="L1535" s="24">
        <v>3604.93</v>
      </c>
      <c r="M1535" s="24">
        <v>3830.71</v>
      </c>
      <c r="N1535" s="34">
        <f>((sales_data_1[[#This Row],[Unit_Price]]*(1-sales_data_1[[#This Row],[Discount]]))-sales_data_1[[#This Row],[Unit_Cost]])*sales_data_1[[#This Row],[Quantity_Sold]]</f>
        <v>374.94580000000042</v>
      </c>
      <c r="O1535" s="17" t="s">
        <v>17</v>
      </c>
      <c r="P1535" s="26">
        <v>0.01</v>
      </c>
      <c r="Q1535" s="17" t="s">
        <v>28</v>
      </c>
      <c r="R1535" s="17" t="s">
        <v>19</v>
      </c>
      <c r="S1535" s="50" t="str">
        <f t="shared" si="71"/>
        <v>Alice-West</v>
      </c>
      <c r="T1535" s="59" t="str">
        <f>IF(ROUND(sales_data_1[[#This Row],[Profit_Margin]],2)=ROUND((sales_data_1[[#This Row],[Unit_Price]]*(1-sales_data_1[[#This Row],[Discount]]) - sales_data_1[[#This Row],[Unit_Cost]])*sales_data_1[[#This Row],[Quantity_Sold]],2), "PASS", "CHECK")</f>
        <v>PASS</v>
      </c>
    </row>
    <row r="1536" spans="1:20" x14ac:dyDescent="0.35">
      <c r="A1536" s="7">
        <v>1535</v>
      </c>
      <c r="B1536" s="9">
        <v>1057</v>
      </c>
      <c r="C1536" s="14" t="str">
        <f>IFERROR(_xlfn.TEXTJOIN("-", TRUE, _xlfn.XLOOKUP(K1536, product_category_id_lookup!$A$2:$A$5, product_category_id_lookup!$B$2:$B$5), B1536), "Unknown Category")</f>
        <v>fd-1057</v>
      </c>
      <c r="D1536" s="8">
        <v>45079</v>
      </c>
      <c r="E1536" s="14">
        <f t="shared" si="69"/>
        <v>2023</v>
      </c>
      <c r="F1536" s="29" t="str">
        <f t="shared" si="70"/>
        <v>Jun</v>
      </c>
      <c r="G1536" s="17" t="s">
        <v>32</v>
      </c>
      <c r="H1536" s="17" t="s">
        <v>30</v>
      </c>
      <c r="I1536" s="24">
        <v>77155.966172628672</v>
      </c>
      <c r="J1536" s="32">
        <v>22</v>
      </c>
      <c r="K1536" s="17" t="s">
        <v>24</v>
      </c>
      <c r="L1536" s="24">
        <v>3462.61</v>
      </c>
      <c r="M1536" s="24">
        <v>3672.8900000000003</v>
      </c>
      <c r="N1536" s="34">
        <f>((sales_data_1[[#This Row],[Unit_Price]]*(1-sales_data_1[[#This Row],[Discount]]))-sales_data_1[[#This Row],[Unit_Cost]])*sales_data_1[[#This Row],[Quantity_Sold]]</f>
        <v>585.98099999999704</v>
      </c>
      <c r="O1536" s="17" t="s">
        <v>17</v>
      </c>
      <c r="P1536" s="26">
        <v>0.05</v>
      </c>
      <c r="Q1536" s="17" t="s">
        <v>28</v>
      </c>
      <c r="R1536" s="17" t="s">
        <v>19</v>
      </c>
      <c r="S1536" s="50" t="str">
        <f t="shared" si="71"/>
        <v>Eve-East</v>
      </c>
      <c r="T1536" s="59" t="str">
        <f>IF(ROUND(sales_data_1[[#This Row],[Profit_Margin]],2)=ROUND((sales_data_1[[#This Row],[Unit_Price]]*(1-sales_data_1[[#This Row],[Discount]]) - sales_data_1[[#This Row],[Unit_Cost]])*sales_data_1[[#This Row],[Quantity_Sold]],2), "PASS", "CHECK")</f>
        <v>PASS</v>
      </c>
    </row>
    <row r="1537" spans="1:20" x14ac:dyDescent="0.35">
      <c r="A1537" s="7">
        <v>1536</v>
      </c>
      <c r="B1537" s="9">
        <v>1057</v>
      </c>
      <c r="C1537" s="14" t="str">
        <f>IFERROR(_xlfn.TEXTJOIN("-", TRUE, _xlfn.XLOOKUP(K1537, product_category_id_lookup!$A$2:$A$5, product_category_id_lookup!$B$2:$B$5), B1537), "Unknown Category")</f>
        <v>etc-1057</v>
      </c>
      <c r="D1537" s="8">
        <v>45079</v>
      </c>
      <c r="E1537" s="14">
        <f t="shared" si="69"/>
        <v>2023</v>
      </c>
      <c r="F1537" s="29" t="str">
        <f t="shared" si="70"/>
        <v>Jun</v>
      </c>
      <c r="G1537" s="17" t="s">
        <v>14</v>
      </c>
      <c r="H1537" s="17" t="s">
        <v>23</v>
      </c>
      <c r="I1537" s="24">
        <v>23796.929999999997</v>
      </c>
      <c r="J1537" s="32">
        <v>12</v>
      </c>
      <c r="K1537" s="17" t="s">
        <v>31</v>
      </c>
      <c r="L1537" s="24">
        <v>1878.3</v>
      </c>
      <c r="M1537" s="24">
        <v>2087.4499999999998</v>
      </c>
      <c r="N1537" s="34">
        <f>((sales_data_1[[#This Row],[Unit_Price]]*(1-sales_data_1[[#This Row],[Discount]]))-sales_data_1[[#This Row],[Unit_Cost]])*sales_data_1[[#This Row],[Quantity_Sold]]</f>
        <v>1257.3299999999963</v>
      </c>
      <c r="O1537" s="17" t="s">
        <v>27</v>
      </c>
      <c r="P1537" s="26">
        <v>0.05</v>
      </c>
      <c r="Q1537" s="17" t="s">
        <v>25</v>
      </c>
      <c r="R1537" s="17" t="s">
        <v>21</v>
      </c>
      <c r="S1537" s="50" t="str">
        <f t="shared" si="71"/>
        <v>Bob-South</v>
      </c>
      <c r="T1537" s="59" t="str">
        <f>IF(ROUND(sales_data_1[[#This Row],[Profit_Margin]],2)=ROUND((sales_data_1[[#This Row],[Unit_Price]]*(1-sales_data_1[[#This Row],[Discount]]) - sales_data_1[[#This Row],[Unit_Cost]])*sales_data_1[[#This Row],[Quantity_Sold]],2), "PASS", "CHECK")</f>
        <v>PASS</v>
      </c>
    </row>
    <row r="1538" spans="1:20" x14ac:dyDescent="0.35">
      <c r="A1538" s="7">
        <v>1537</v>
      </c>
      <c r="B1538" s="9">
        <v>1059</v>
      </c>
      <c r="C1538" s="14" t="str">
        <f>IFERROR(_xlfn.TEXTJOIN("-", TRUE, _xlfn.XLOOKUP(K1538, product_category_id_lookup!$A$2:$A$5, product_category_id_lookup!$B$2:$B$5), B1538), "Unknown Category")</f>
        <v>fnt-1059</v>
      </c>
      <c r="D1538" s="8">
        <v>45079</v>
      </c>
      <c r="E1538" s="14">
        <f t="shared" ref="E1538:E1601" si="72">YEAR(D1538)</f>
        <v>2023</v>
      </c>
      <c r="F1538" s="29" t="str">
        <f t="shared" ref="F1538:F1601" si="73">LEFT(TEXT(D1538,"mmmm"),3)</f>
        <v>Jun</v>
      </c>
      <c r="G1538" s="17" t="s">
        <v>14</v>
      </c>
      <c r="H1538" s="17" t="s">
        <v>20</v>
      </c>
      <c r="I1538" s="24">
        <v>26573.724800000004</v>
      </c>
      <c r="J1538" s="32">
        <v>47</v>
      </c>
      <c r="K1538" s="17" t="s">
        <v>16</v>
      </c>
      <c r="L1538" s="24">
        <v>287.17</v>
      </c>
      <c r="M1538" s="24">
        <v>657.44</v>
      </c>
      <c r="N1538" s="34">
        <f>((sales_data_1[[#This Row],[Unit_Price]]*(1-sales_data_1[[#This Row],[Discount]]))-sales_data_1[[#This Row],[Unit_Cost]])*sales_data_1[[#This Row],[Quantity_Sold]]</f>
        <v>13076.7348</v>
      </c>
      <c r="O1538" s="17" t="s">
        <v>17</v>
      </c>
      <c r="P1538" s="26">
        <v>0.14000000000000001</v>
      </c>
      <c r="Q1538" s="17" t="s">
        <v>28</v>
      </c>
      <c r="R1538" s="17" t="s">
        <v>21</v>
      </c>
      <c r="S1538" s="50" t="str">
        <f t="shared" ref="S1538:S1601" si="74">_xlfn.CONCAT(G1538,"-",H1538)</f>
        <v>Bob-West</v>
      </c>
      <c r="T1538" s="59" t="str">
        <f>IF(ROUND(sales_data_1[[#This Row],[Profit_Margin]],2)=ROUND((sales_data_1[[#This Row],[Unit_Price]]*(1-sales_data_1[[#This Row],[Discount]]) - sales_data_1[[#This Row],[Unit_Cost]])*sales_data_1[[#This Row],[Quantity_Sold]],2), "PASS", "CHECK")</f>
        <v>PASS</v>
      </c>
    </row>
    <row r="1539" spans="1:20" x14ac:dyDescent="0.35">
      <c r="A1539" s="7">
        <v>1538</v>
      </c>
      <c r="B1539" s="9">
        <v>1039</v>
      </c>
      <c r="C1539" s="14" t="str">
        <f>IFERROR(_xlfn.TEXTJOIN("-", TRUE, _xlfn.XLOOKUP(K1539, product_category_id_lookup!$A$2:$A$5, product_category_id_lookup!$B$2:$B$5), B1539), "Unknown Category")</f>
        <v>ctg-1039</v>
      </c>
      <c r="D1539" s="8">
        <v>45080</v>
      </c>
      <c r="E1539" s="14">
        <f t="shared" si="72"/>
        <v>2023</v>
      </c>
      <c r="F1539" s="29" t="str">
        <f t="shared" si="73"/>
        <v>Jun</v>
      </c>
      <c r="G1539" s="17" t="s">
        <v>14</v>
      </c>
      <c r="H1539" s="17" t="s">
        <v>23</v>
      </c>
      <c r="I1539" s="24">
        <v>28520.375666226977</v>
      </c>
      <c r="J1539" s="32">
        <v>8</v>
      </c>
      <c r="K1539" s="17" t="s">
        <v>26</v>
      </c>
      <c r="L1539" s="24">
        <v>3380.14</v>
      </c>
      <c r="M1539" s="24">
        <v>3609.3399999999997</v>
      </c>
      <c r="N1539" s="34">
        <f>((sales_data_1[[#This Row],[Unit_Price]]*(1-sales_data_1[[#This Row],[Discount]]))-sales_data_1[[#This Row],[Unit_Cost]])*sales_data_1[[#This Row],[Quantity_Sold]]</f>
        <v>1544.8527999999969</v>
      </c>
      <c r="O1539" s="17" t="s">
        <v>17</v>
      </c>
      <c r="P1539" s="26">
        <v>0.01</v>
      </c>
      <c r="Q1539" s="17" t="s">
        <v>28</v>
      </c>
      <c r="R1539" s="17" t="s">
        <v>19</v>
      </c>
      <c r="S1539" s="50" t="str">
        <f t="shared" si="74"/>
        <v>Bob-South</v>
      </c>
      <c r="T1539" s="59" t="str">
        <f>IF(ROUND(sales_data_1[[#This Row],[Profit_Margin]],2)=ROUND((sales_data_1[[#This Row],[Unit_Price]]*(1-sales_data_1[[#This Row],[Discount]]) - sales_data_1[[#This Row],[Unit_Cost]])*sales_data_1[[#This Row],[Quantity_Sold]],2), "PASS", "CHECK")</f>
        <v>PASS</v>
      </c>
    </row>
    <row r="1540" spans="1:20" x14ac:dyDescent="0.35">
      <c r="A1540" s="7">
        <v>1539</v>
      </c>
      <c r="B1540" s="9">
        <v>1069</v>
      </c>
      <c r="C1540" s="14" t="str">
        <f>IFERROR(_xlfn.TEXTJOIN("-", TRUE, _xlfn.XLOOKUP(K1540, product_category_id_lookup!$A$2:$A$5, product_category_id_lookup!$B$2:$B$5), B1540), "Unknown Category")</f>
        <v>ctg-1069</v>
      </c>
      <c r="D1540" s="8">
        <v>45080</v>
      </c>
      <c r="E1540" s="14">
        <f t="shared" si="72"/>
        <v>2023</v>
      </c>
      <c r="F1540" s="29" t="str">
        <f t="shared" si="73"/>
        <v>Jun</v>
      </c>
      <c r="G1540" s="17" t="s">
        <v>22</v>
      </c>
      <c r="H1540" s="17" t="s">
        <v>20</v>
      </c>
      <c r="I1540" s="24">
        <v>62020.02285178475</v>
      </c>
      <c r="J1540" s="32">
        <v>42</v>
      </c>
      <c r="K1540" s="17" t="s">
        <v>26</v>
      </c>
      <c r="L1540" s="24">
        <v>1434.2</v>
      </c>
      <c r="M1540" s="24">
        <v>1482.88</v>
      </c>
      <c r="N1540" s="34">
        <f>((sales_data_1[[#This Row],[Unit_Price]]*(1-sales_data_1[[#This Row],[Discount]]))-sales_data_1[[#This Row],[Unit_Cost]])*sales_data_1[[#This Row],[Quantity_Sold]]</f>
        <v>2044.5600000000027</v>
      </c>
      <c r="O1540" s="17" t="s">
        <v>27</v>
      </c>
      <c r="P1540" s="26">
        <v>0</v>
      </c>
      <c r="Q1540" s="17" t="s">
        <v>28</v>
      </c>
      <c r="R1540" s="17" t="s">
        <v>21</v>
      </c>
      <c r="S1540" s="50" t="str">
        <f t="shared" si="74"/>
        <v>David-West</v>
      </c>
      <c r="T1540" s="59" t="str">
        <f>IF(ROUND(sales_data_1[[#This Row],[Profit_Margin]],2)=ROUND((sales_data_1[[#This Row],[Unit_Price]]*(1-sales_data_1[[#This Row],[Discount]]) - sales_data_1[[#This Row],[Unit_Cost]])*sales_data_1[[#This Row],[Quantity_Sold]],2), "PASS", "CHECK")</f>
        <v>PASS</v>
      </c>
    </row>
    <row r="1541" spans="1:20" x14ac:dyDescent="0.35">
      <c r="A1541" s="7">
        <v>1540</v>
      </c>
      <c r="B1541" s="9">
        <v>1016</v>
      </c>
      <c r="C1541" s="14" t="str">
        <f>IFERROR(_xlfn.TEXTJOIN("-", TRUE, _xlfn.XLOOKUP(K1541, product_category_id_lookup!$A$2:$A$5, product_category_id_lookup!$B$2:$B$5), B1541), "Unknown Category")</f>
        <v>ctg-1016</v>
      </c>
      <c r="D1541" s="8">
        <v>45080</v>
      </c>
      <c r="E1541" s="14">
        <f t="shared" si="72"/>
        <v>2023</v>
      </c>
      <c r="F1541" s="29" t="str">
        <f t="shared" si="73"/>
        <v>Jun</v>
      </c>
      <c r="G1541" s="17" t="s">
        <v>22</v>
      </c>
      <c r="H1541" s="17" t="s">
        <v>20</v>
      </c>
      <c r="I1541" s="24">
        <v>51185.150796092465</v>
      </c>
      <c r="J1541" s="32">
        <v>46</v>
      </c>
      <c r="K1541" s="17" t="s">
        <v>26</v>
      </c>
      <c r="L1541" s="24">
        <v>1023.5</v>
      </c>
      <c r="M1541" s="24">
        <v>1164.4100000000001</v>
      </c>
      <c r="N1541" s="34">
        <f>((sales_data_1[[#This Row],[Unit_Price]]*(1-sales_data_1[[#This Row],[Discount]]))-sales_data_1[[#This Row],[Unit_Cost]])*sales_data_1[[#This Row],[Quantity_Sold]]</f>
        <v>4339.3455999999969</v>
      </c>
      <c r="O1541" s="17" t="s">
        <v>17</v>
      </c>
      <c r="P1541" s="26">
        <v>0.04</v>
      </c>
      <c r="Q1541" s="17" t="s">
        <v>28</v>
      </c>
      <c r="R1541" s="17" t="s">
        <v>21</v>
      </c>
      <c r="S1541" s="50" t="str">
        <f t="shared" si="74"/>
        <v>David-West</v>
      </c>
      <c r="T1541" s="59" t="str">
        <f>IF(ROUND(sales_data_1[[#This Row],[Profit_Margin]],2)=ROUND((sales_data_1[[#This Row],[Unit_Price]]*(1-sales_data_1[[#This Row],[Discount]]) - sales_data_1[[#This Row],[Unit_Cost]])*sales_data_1[[#This Row],[Quantity_Sold]],2), "PASS", "CHECK")</f>
        <v>PASS</v>
      </c>
    </row>
    <row r="1542" spans="1:20" x14ac:dyDescent="0.35">
      <c r="A1542" s="7">
        <v>1541</v>
      </c>
      <c r="B1542" s="9">
        <v>1090</v>
      </c>
      <c r="C1542" s="14" t="str">
        <f>IFERROR(_xlfn.TEXTJOIN("-", TRUE, _xlfn.XLOOKUP(K1542, product_category_id_lookup!$A$2:$A$5, product_category_id_lookup!$B$2:$B$5), B1542), "Unknown Category")</f>
        <v>fnt-1090</v>
      </c>
      <c r="D1542" s="8">
        <v>45080</v>
      </c>
      <c r="E1542" s="14">
        <f t="shared" si="72"/>
        <v>2023</v>
      </c>
      <c r="F1542" s="29" t="str">
        <f t="shared" si="73"/>
        <v>Jun</v>
      </c>
      <c r="G1542" s="17" t="s">
        <v>22</v>
      </c>
      <c r="H1542" s="17" t="s">
        <v>23</v>
      </c>
      <c r="I1542" s="24">
        <v>12200.6736</v>
      </c>
      <c r="J1542" s="32">
        <v>47</v>
      </c>
      <c r="K1542" s="17" t="s">
        <v>16</v>
      </c>
      <c r="L1542" s="24">
        <v>85.35</v>
      </c>
      <c r="M1542" s="24">
        <v>360.53999999999996</v>
      </c>
      <c r="N1542" s="34">
        <f>((sales_data_1[[#This Row],[Unit_Price]]*(1-sales_data_1[[#This Row],[Discount]]))-sales_data_1[[#This Row],[Unit_Cost]])*sales_data_1[[#This Row],[Quantity_Sold]]</f>
        <v>8189.2236000000003</v>
      </c>
      <c r="O1542" s="17" t="s">
        <v>27</v>
      </c>
      <c r="P1542" s="26">
        <v>0.28000000000000003</v>
      </c>
      <c r="Q1542" s="17" t="s">
        <v>18</v>
      </c>
      <c r="R1542" s="17" t="s">
        <v>19</v>
      </c>
      <c r="S1542" s="50" t="str">
        <f t="shared" si="74"/>
        <v>David-South</v>
      </c>
      <c r="T1542" s="59" t="str">
        <f>IF(ROUND(sales_data_1[[#This Row],[Profit_Margin]],2)=ROUND((sales_data_1[[#This Row],[Unit_Price]]*(1-sales_data_1[[#This Row],[Discount]]) - sales_data_1[[#This Row],[Unit_Cost]])*sales_data_1[[#This Row],[Quantity_Sold]],2), "PASS", "CHECK")</f>
        <v>PASS</v>
      </c>
    </row>
    <row r="1543" spans="1:20" x14ac:dyDescent="0.35">
      <c r="A1543" s="7">
        <v>1542</v>
      </c>
      <c r="B1543" s="9">
        <v>1090</v>
      </c>
      <c r="C1543" s="14" t="str">
        <f>IFERROR(_xlfn.TEXTJOIN("-", TRUE, _xlfn.XLOOKUP(K1543, product_category_id_lookup!$A$2:$A$5, product_category_id_lookup!$B$2:$B$5), B1543), "Unknown Category")</f>
        <v>fnt-1090</v>
      </c>
      <c r="D1543" s="8">
        <v>45080</v>
      </c>
      <c r="E1543" s="14">
        <f t="shared" si="72"/>
        <v>2023</v>
      </c>
      <c r="F1543" s="29" t="str">
        <f t="shared" si="73"/>
        <v>Jun</v>
      </c>
      <c r="G1543" s="17" t="s">
        <v>32</v>
      </c>
      <c r="H1543" s="17" t="s">
        <v>15</v>
      </c>
      <c r="I1543" s="24">
        <v>99151.143316466012</v>
      </c>
      <c r="J1543" s="32">
        <v>41</v>
      </c>
      <c r="K1543" s="17" t="s">
        <v>16</v>
      </c>
      <c r="L1543" s="24">
        <v>2055.4899999999998</v>
      </c>
      <c r="M1543" s="24">
        <v>2441.46</v>
      </c>
      <c r="N1543" s="34">
        <f>((sales_data_1[[#This Row],[Unit_Price]]*(1-sales_data_1[[#This Row],[Discount]]))-sales_data_1[[#This Row],[Unit_Cost]])*sales_data_1[[#This Row],[Quantity_Sold]]</f>
        <v>14823.771400000009</v>
      </c>
      <c r="O1543" s="17" t="s">
        <v>27</v>
      </c>
      <c r="P1543" s="26">
        <v>0.01</v>
      </c>
      <c r="Q1543" s="17" t="s">
        <v>28</v>
      </c>
      <c r="R1543" s="17" t="s">
        <v>19</v>
      </c>
      <c r="S1543" s="50" t="str">
        <f t="shared" si="74"/>
        <v>Eve-North</v>
      </c>
      <c r="T1543" s="59" t="str">
        <f>IF(ROUND(sales_data_1[[#This Row],[Profit_Margin]],2)=ROUND((sales_data_1[[#This Row],[Unit_Price]]*(1-sales_data_1[[#This Row],[Discount]]) - sales_data_1[[#This Row],[Unit_Cost]])*sales_data_1[[#This Row],[Quantity_Sold]],2), "PASS", "CHECK")</f>
        <v>PASS</v>
      </c>
    </row>
    <row r="1544" spans="1:20" x14ac:dyDescent="0.35">
      <c r="A1544" s="7">
        <v>1543</v>
      </c>
      <c r="B1544" s="9">
        <v>1021</v>
      </c>
      <c r="C1544" s="14" t="str">
        <f>IFERROR(_xlfn.TEXTJOIN("-", TRUE, _xlfn.XLOOKUP(K1544, product_category_id_lookup!$A$2:$A$5, product_category_id_lookup!$B$2:$B$5), B1544), "Unknown Category")</f>
        <v>etc-1021</v>
      </c>
      <c r="D1544" s="8">
        <v>45081</v>
      </c>
      <c r="E1544" s="14">
        <f t="shared" si="72"/>
        <v>2023</v>
      </c>
      <c r="F1544" s="29" t="str">
        <f t="shared" si="73"/>
        <v>Jun</v>
      </c>
      <c r="G1544" s="17" t="s">
        <v>32</v>
      </c>
      <c r="H1544" s="17" t="s">
        <v>15</v>
      </c>
      <c r="I1544" s="24">
        <v>30051.278400000003</v>
      </c>
      <c r="J1544" s="32">
        <v>22</v>
      </c>
      <c r="K1544" s="17" t="s">
        <v>31</v>
      </c>
      <c r="L1544" s="24">
        <v>1296.44</v>
      </c>
      <c r="M1544" s="24">
        <v>1751.24</v>
      </c>
      <c r="N1544" s="34">
        <f>((sales_data_1[[#This Row],[Unit_Price]]*(1-sales_data_1[[#This Row],[Discount]]))-sales_data_1[[#This Row],[Unit_Cost]])*sales_data_1[[#This Row],[Quantity_Sold]]</f>
        <v>1529.5983999999999</v>
      </c>
      <c r="O1544" s="17" t="s">
        <v>27</v>
      </c>
      <c r="P1544" s="26">
        <v>0.22</v>
      </c>
      <c r="Q1544" s="17" t="s">
        <v>18</v>
      </c>
      <c r="R1544" s="17" t="s">
        <v>19</v>
      </c>
      <c r="S1544" s="50" t="str">
        <f t="shared" si="74"/>
        <v>Eve-North</v>
      </c>
      <c r="T1544" s="59" t="str">
        <f>IF(ROUND(sales_data_1[[#This Row],[Profit_Margin]],2)=ROUND((sales_data_1[[#This Row],[Unit_Price]]*(1-sales_data_1[[#This Row],[Discount]]) - sales_data_1[[#This Row],[Unit_Cost]])*sales_data_1[[#This Row],[Quantity_Sold]],2), "PASS", "CHECK")</f>
        <v>PASS</v>
      </c>
    </row>
    <row r="1545" spans="1:20" x14ac:dyDescent="0.35">
      <c r="A1545" s="7">
        <v>1544</v>
      </c>
      <c r="B1545" s="9">
        <v>1096</v>
      </c>
      <c r="C1545" s="14" t="str">
        <f>IFERROR(_xlfn.TEXTJOIN("-", TRUE, _xlfn.XLOOKUP(K1545, product_category_id_lookup!$A$2:$A$5, product_category_id_lookup!$B$2:$B$5), B1545), "Unknown Category")</f>
        <v>fnt-1096</v>
      </c>
      <c r="D1545" s="8">
        <v>45081</v>
      </c>
      <c r="E1545" s="14">
        <f t="shared" si="72"/>
        <v>2023</v>
      </c>
      <c r="F1545" s="29" t="str">
        <f t="shared" si="73"/>
        <v>Jun</v>
      </c>
      <c r="G1545" s="17" t="s">
        <v>14</v>
      </c>
      <c r="H1545" s="17" t="s">
        <v>23</v>
      </c>
      <c r="I1545" s="24">
        <v>34953.185185859569</v>
      </c>
      <c r="J1545" s="32">
        <v>14</v>
      </c>
      <c r="K1545" s="17" t="s">
        <v>16</v>
      </c>
      <c r="L1545" s="24">
        <v>2251.9499999999998</v>
      </c>
      <c r="M1545" s="24">
        <v>2626.3199999999997</v>
      </c>
      <c r="N1545" s="34">
        <f>((sales_data_1[[#This Row],[Unit_Price]]*(1-sales_data_1[[#This Row],[Discount]]))-sales_data_1[[#This Row],[Unit_Cost]])*sales_data_1[[#This Row],[Quantity_Sold]]</f>
        <v>3402.7559999999949</v>
      </c>
      <c r="O1545" s="17" t="s">
        <v>17</v>
      </c>
      <c r="P1545" s="26">
        <v>0.05</v>
      </c>
      <c r="Q1545" s="17" t="s">
        <v>28</v>
      </c>
      <c r="R1545" s="17" t="s">
        <v>19</v>
      </c>
      <c r="S1545" s="50" t="str">
        <f t="shared" si="74"/>
        <v>Bob-South</v>
      </c>
      <c r="T1545" s="59" t="str">
        <f>IF(ROUND(sales_data_1[[#This Row],[Profit_Margin]],2)=ROUND((sales_data_1[[#This Row],[Unit_Price]]*(1-sales_data_1[[#This Row],[Discount]]) - sales_data_1[[#This Row],[Unit_Cost]])*sales_data_1[[#This Row],[Quantity_Sold]],2), "PASS", "CHECK")</f>
        <v>PASS</v>
      </c>
    </row>
    <row r="1546" spans="1:20" x14ac:dyDescent="0.35">
      <c r="A1546" s="7">
        <v>1545</v>
      </c>
      <c r="B1546" s="9">
        <v>1082</v>
      </c>
      <c r="C1546" s="14" t="str">
        <f>IFERROR(_xlfn.TEXTJOIN("-", TRUE, _xlfn.XLOOKUP(K1546, product_category_id_lookup!$A$2:$A$5, product_category_id_lookup!$B$2:$B$5), B1546), "Unknown Category")</f>
        <v>ctg-1082</v>
      </c>
      <c r="D1546" s="8">
        <v>45082</v>
      </c>
      <c r="E1546" s="14">
        <f t="shared" si="72"/>
        <v>2023</v>
      </c>
      <c r="F1546" s="29" t="str">
        <f t="shared" si="73"/>
        <v>Jun</v>
      </c>
      <c r="G1546" s="17" t="s">
        <v>29</v>
      </c>
      <c r="H1546" s="17" t="s">
        <v>30</v>
      </c>
      <c r="I1546" s="24">
        <v>26668.925083540344</v>
      </c>
      <c r="J1546" s="32">
        <v>15</v>
      </c>
      <c r="K1546" s="17" t="s">
        <v>26</v>
      </c>
      <c r="L1546" s="24">
        <v>1719.47</v>
      </c>
      <c r="M1546" s="24">
        <v>1832.6</v>
      </c>
      <c r="N1546" s="34">
        <f>((sales_data_1[[#This Row],[Unit_Price]]*(1-sales_data_1[[#This Row],[Discount]]))-sales_data_1[[#This Row],[Unit_Cost]])*sales_data_1[[#This Row],[Quantity_Sold]]</f>
        <v>872.27999999999724</v>
      </c>
      <c r="O1546" s="17" t="s">
        <v>17</v>
      </c>
      <c r="P1546" s="26">
        <v>0.03</v>
      </c>
      <c r="Q1546" s="17" t="s">
        <v>28</v>
      </c>
      <c r="R1546" s="17" t="s">
        <v>19</v>
      </c>
      <c r="S1546" s="50" t="str">
        <f t="shared" si="74"/>
        <v>Charlie-East</v>
      </c>
      <c r="T1546" s="59" t="str">
        <f>IF(ROUND(sales_data_1[[#This Row],[Profit_Margin]],2)=ROUND((sales_data_1[[#This Row],[Unit_Price]]*(1-sales_data_1[[#This Row],[Discount]]) - sales_data_1[[#This Row],[Unit_Cost]])*sales_data_1[[#This Row],[Quantity_Sold]],2), "PASS", "CHECK")</f>
        <v>PASS</v>
      </c>
    </row>
    <row r="1547" spans="1:20" x14ac:dyDescent="0.35">
      <c r="A1547" s="7">
        <v>1546</v>
      </c>
      <c r="B1547" s="9">
        <v>1006</v>
      </c>
      <c r="C1547" s="14" t="str">
        <f>IFERROR(_xlfn.TEXTJOIN("-", TRUE, _xlfn.XLOOKUP(K1547, product_category_id_lookup!$A$2:$A$5, product_category_id_lookup!$B$2:$B$5), B1547), "Unknown Category")</f>
        <v>etc-1006</v>
      </c>
      <c r="D1547" s="8">
        <v>45083</v>
      </c>
      <c r="E1547" s="14">
        <f t="shared" si="72"/>
        <v>2023</v>
      </c>
      <c r="F1547" s="29" t="str">
        <f t="shared" si="73"/>
        <v>Jun</v>
      </c>
      <c r="G1547" s="17" t="s">
        <v>14</v>
      </c>
      <c r="H1547" s="17" t="s">
        <v>30</v>
      </c>
      <c r="I1547" s="24">
        <v>35924.943599999999</v>
      </c>
      <c r="J1547" s="32">
        <v>21</v>
      </c>
      <c r="K1547" s="17" t="s">
        <v>31</v>
      </c>
      <c r="L1547" s="24">
        <v>1701.62</v>
      </c>
      <c r="M1547" s="24">
        <v>2193.2199999999998</v>
      </c>
      <c r="N1547" s="34">
        <f>((sales_data_1[[#This Row],[Unit_Price]]*(1-sales_data_1[[#This Row],[Discount]]))-sales_data_1[[#This Row],[Unit_Cost]])*sales_data_1[[#This Row],[Quantity_Sold]]</f>
        <v>190.9235999999994</v>
      </c>
      <c r="O1547" s="17" t="s">
        <v>27</v>
      </c>
      <c r="P1547" s="26">
        <v>0.22</v>
      </c>
      <c r="Q1547" s="17" t="s">
        <v>25</v>
      </c>
      <c r="R1547" s="17" t="s">
        <v>21</v>
      </c>
      <c r="S1547" s="50" t="str">
        <f t="shared" si="74"/>
        <v>Bob-East</v>
      </c>
      <c r="T1547" s="59" t="str">
        <f>IF(ROUND(sales_data_1[[#This Row],[Profit_Margin]],2)=ROUND((sales_data_1[[#This Row],[Unit_Price]]*(1-sales_data_1[[#This Row],[Discount]]) - sales_data_1[[#This Row],[Unit_Cost]])*sales_data_1[[#This Row],[Quantity_Sold]],2), "PASS", "CHECK")</f>
        <v>PASS</v>
      </c>
    </row>
    <row r="1548" spans="1:20" x14ac:dyDescent="0.35">
      <c r="A1548" s="7">
        <v>1547</v>
      </c>
      <c r="B1548" s="9">
        <v>1079</v>
      </c>
      <c r="C1548" s="14" t="str">
        <f>IFERROR(_xlfn.TEXTJOIN("-", TRUE, _xlfn.XLOOKUP(K1548, product_category_id_lookup!$A$2:$A$5, product_category_id_lookup!$B$2:$B$5), B1548), "Unknown Category")</f>
        <v>fnt-1079</v>
      </c>
      <c r="D1548" s="8">
        <v>45083</v>
      </c>
      <c r="E1548" s="14">
        <f t="shared" si="72"/>
        <v>2023</v>
      </c>
      <c r="F1548" s="29" t="str">
        <f t="shared" si="73"/>
        <v>Jun</v>
      </c>
      <c r="G1548" s="17" t="s">
        <v>22</v>
      </c>
      <c r="H1548" s="17" t="s">
        <v>23</v>
      </c>
      <c r="I1548" s="24">
        <v>67435.029484240804</v>
      </c>
      <c r="J1548" s="32">
        <v>34</v>
      </c>
      <c r="K1548" s="17" t="s">
        <v>16</v>
      </c>
      <c r="L1548" s="24">
        <v>1967.96</v>
      </c>
      <c r="M1548" s="24">
        <v>1993.4</v>
      </c>
      <c r="N1548" s="34">
        <f>((sales_data_1[[#This Row],[Unit_Price]]*(1-sales_data_1[[#This Row],[Discount]]))-sales_data_1[[#This Row],[Unit_Cost]])*sales_data_1[[#This Row],[Quantity_Sold]]</f>
        <v>187.20400000000291</v>
      </c>
      <c r="O1548" s="17" t="s">
        <v>17</v>
      </c>
      <c r="P1548" s="26">
        <v>0.01</v>
      </c>
      <c r="Q1548" s="17" t="s">
        <v>28</v>
      </c>
      <c r="R1548" s="17" t="s">
        <v>19</v>
      </c>
      <c r="S1548" s="50" t="str">
        <f t="shared" si="74"/>
        <v>David-South</v>
      </c>
      <c r="T1548" s="59" t="str">
        <f>IF(ROUND(sales_data_1[[#This Row],[Profit_Margin]],2)=ROUND((sales_data_1[[#This Row],[Unit_Price]]*(1-sales_data_1[[#This Row],[Discount]]) - sales_data_1[[#This Row],[Unit_Cost]])*sales_data_1[[#This Row],[Quantity_Sold]],2), "PASS", "CHECK")</f>
        <v>PASS</v>
      </c>
    </row>
    <row r="1549" spans="1:20" x14ac:dyDescent="0.35">
      <c r="A1549" s="7">
        <v>1548</v>
      </c>
      <c r="B1549" s="9">
        <v>1033</v>
      </c>
      <c r="C1549" s="14" t="str">
        <f>IFERROR(_xlfn.TEXTJOIN("-", TRUE, _xlfn.XLOOKUP(K1549, product_category_id_lookup!$A$2:$A$5, product_category_id_lookup!$B$2:$B$5), B1549), "Unknown Category")</f>
        <v>fd-1033</v>
      </c>
      <c r="D1549" s="8">
        <v>45083</v>
      </c>
      <c r="E1549" s="14">
        <f t="shared" si="72"/>
        <v>2023</v>
      </c>
      <c r="F1549" s="29" t="str">
        <f t="shared" si="73"/>
        <v>Jun</v>
      </c>
      <c r="G1549" s="17" t="s">
        <v>33</v>
      </c>
      <c r="H1549" s="17" t="s">
        <v>30</v>
      </c>
      <c r="I1549" s="24">
        <v>8213.3760000000002</v>
      </c>
      <c r="J1549" s="32">
        <v>32</v>
      </c>
      <c r="K1549" s="17" t="s">
        <v>24</v>
      </c>
      <c r="L1549" s="24">
        <v>108.99</v>
      </c>
      <c r="M1549" s="24">
        <v>351.6</v>
      </c>
      <c r="N1549" s="34">
        <f>((sales_data_1[[#This Row],[Unit_Price]]*(1-sales_data_1[[#This Row],[Discount]]))-sales_data_1[[#This Row],[Unit_Cost]])*sales_data_1[[#This Row],[Quantity_Sold]]</f>
        <v>4725.6959999999999</v>
      </c>
      <c r="O1549" s="17" t="s">
        <v>17</v>
      </c>
      <c r="P1549" s="26">
        <v>0.27</v>
      </c>
      <c r="Q1549" s="17" t="s">
        <v>28</v>
      </c>
      <c r="R1549" s="17" t="s">
        <v>21</v>
      </c>
      <c r="S1549" s="50" t="str">
        <f t="shared" si="74"/>
        <v>Alice-East</v>
      </c>
      <c r="T1549" s="59" t="str">
        <f>IF(ROUND(sales_data_1[[#This Row],[Profit_Margin]],2)=ROUND((sales_data_1[[#This Row],[Unit_Price]]*(1-sales_data_1[[#This Row],[Discount]]) - sales_data_1[[#This Row],[Unit_Cost]])*sales_data_1[[#This Row],[Quantity_Sold]],2), "PASS", "CHECK")</f>
        <v>PASS</v>
      </c>
    </row>
    <row r="1550" spans="1:20" x14ac:dyDescent="0.35">
      <c r="A1550" s="7">
        <v>1549</v>
      </c>
      <c r="B1550" s="9">
        <v>1042</v>
      </c>
      <c r="C1550" s="14" t="str">
        <f>IFERROR(_xlfn.TEXTJOIN("-", TRUE, _xlfn.XLOOKUP(K1550, product_category_id_lookup!$A$2:$A$5, product_category_id_lookup!$B$2:$B$5), B1550), "Unknown Category")</f>
        <v>fd-1042</v>
      </c>
      <c r="D1550" s="8">
        <v>45083</v>
      </c>
      <c r="E1550" s="14">
        <f t="shared" si="72"/>
        <v>2023</v>
      </c>
      <c r="F1550" s="29" t="str">
        <f t="shared" si="73"/>
        <v>Jun</v>
      </c>
      <c r="G1550" s="17" t="s">
        <v>14</v>
      </c>
      <c r="H1550" s="17" t="s">
        <v>15</v>
      </c>
      <c r="I1550" s="24">
        <v>68491.550391897879</v>
      </c>
      <c r="J1550" s="32">
        <v>20</v>
      </c>
      <c r="K1550" s="17" t="s">
        <v>24</v>
      </c>
      <c r="L1550" s="24">
        <v>3115.06</v>
      </c>
      <c r="M1550" s="24">
        <v>3565.58</v>
      </c>
      <c r="N1550" s="34">
        <f>((sales_data_1[[#This Row],[Unit_Price]]*(1-sales_data_1[[#This Row],[Discount]]))-sales_data_1[[#This Row],[Unit_Cost]])*sales_data_1[[#This Row],[Quantity_Sold]]</f>
        <v>6157.9359999999997</v>
      </c>
      <c r="O1550" s="17" t="s">
        <v>17</v>
      </c>
      <c r="P1550" s="26">
        <v>0.04</v>
      </c>
      <c r="Q1550" s="17" t="s">
        <v>28</v>
      </c>
      <c r="R1550" s="17" t="s">
        <v>21</v>
      </c>
      <c r="S1550" s="50" t="str">
        <f t="shared" si="74"/>
        <v>Bob-North</v>
      </c>
      <c r="T1550" s="59" t="str">
        <f>IF(ROUND(sales_data_1[[#This Row],[Profit_Margin]],2)=ROUND((sales_data_1[[#This Row],[Unit_Price]]*(1-sales_data_1[[#This Row],[Discount]]) - sales_data_1[[#This Row],[Unit_Cost]])*sales_data_1[[#This Row],[Quantity_Sold]],2), "PASS", "CHECK")</f>
        <v>PASS</v>
      </c>
    </row>
    <row r="1551" spans="1:20" x14ac:dyDescent="0.35">
      <c r="A1551" s="7">
        <v>1550</v>
      </c>
      <c r="B1551" s="9">
        <v>1045</v>
      </c>
      <c r="C1551" s="14" t="str">
        <f>IFERROR(_xlfn.TEXTJOIN("-", TRUE, _xlfn.XLOOKUP(K1551, product_category_id_lookup!$A$2:$A$5, product_category_id_lookup!$B$2:$B$5), B1551), "Unknown Category")</f>
        <v>etc-1045</v>
      </c>
      <c r="D1551" s="8">
        <v>45083</v>
      </c>
      <c r="E1551" s="14">
        <f t="shared" si="72"/>
        <v>2023</v>
      </c>
      <c r="F1551" s="29" t="str">
        <f t="shared" si="73"/>
        <v>Jun</v>
      </c>
      <c r="G1551" s="17" t="s">
        <v>14</v>
      </c>
      <c r="H1551" s="17" t="s">
        <v>23</v>
      </c>
      <c r="I1551" s="24">
        <v>11985.599999999999</v>
      </c>
      <c r="J1551" s="32">
        <v>15</v>
      </c>
      <c r="K1551" s="17" t="s">
        <v>31</v>
      </c>
      <c r="L1551" s="24">
        <v>316.22000000000003</v>
      </c>
      <c r="M1551" s="24">
        <v>799.04</v>
      </c>
      <c r="N1551" s="34">
        <f>((sales_data_1[[#This Row],[Unit_Price]]*(1-sales_data_1[[#This Row],[Discount]]))-sales_data_1[[#This Row],[Unit_Cost]])*sales_data_1[[#This Row],[Quantity_Sold]]</f>
        <v>7242.2999999999993</v>
      </c>
      <c r="O1551" s="17" t="s">
        <v>27</v>
      </c>
      <c r="P1551" s="26">
        <v>0</v>
      </c>
      <c r="Q1551" s="17" t="s">
        <v>25</v>
      </c>
      <c r="R1551" s="17" t="s">
        <v>19</v>
      </c>
      <c r="S1551" s="50" t="str">
        <f t="shared" si="74"/>
        <v>Bob-South</v>
      </c>
      <c r="T1551" s="59" t="str">
        <f>IF(ROUND(sales_data_1[[#This Row],[Profit_Margin]],2)=ROUND((sales_data_1[[#This Row],[Unit_Price]]*(1-sales_data_1[[#This Row],[Discount]]) - sales_data_1[[#This Row],[Unit_Cost]])*sales_data_1[[#This Row],[Quantity_Sold]],2), "PASS", "CHECK")</f>
        <v>PASS</v>
      </c>
    </row>
    <row r="1552" spans="1:20" x14ac:dyDescent="0.35">
      <c r="A1552" s="7">
        <v>1551</v>
      </c>
      <c r="B1552" s="9">
        <v>1014</v>
      </c>
      <c r="C1552" s="14" t="str">
        <f>IFERROR(_xlfn.TEXTJOIN("-", TRUE, _xlfn.XLOOKUP(K1552, product_category_id_lookup!$A$2:$A$5, product_category_id_lookup!$B$2:$B$5), B1552), "Unknown Category")</f>
        <v>etc-1014</v>
      </c>
      <c r="D1552" s="8">
        <v>45084</v>
      </c>
      <c r="E1552" s="14">
        <f t="shared" si="72"/>
        <v>2023</v>
      </c>
      <c r="F1552" s="29" t="str">
        <f t="shared" si="73"/>
        <v>Jun</v>
      </c>
      <c r="G1552" s="17" t="s">
        <v>33</v>
      </c>
      <c r="H1552" s="17" t="s">
        <v>15</v>
      </c>
      <c r="I1552" s="24">
        <v>7515.8388000000014</v>
      </c>
      <c r="J1552" s="32">
        <v>3</v>
      </c>
      <c r="K1552" s="17" t="s">
        <v>31</v>
      </c>
      <c r="L1552" s="24">
        <v>2468.29</v>
      </c>
      <c r="M1552" s="24">
        <v>2723.13</v>
      </c>
      <c r="N1552" s="34">
        <f>((sales_data_1[[#This Row],[Unit_Price]]*(1-sales_data_1[[#This Row],[Discount]]))-sales_data_1[[#This Row],[Unit_Cost]])*sales_data_1[[#This Row],[Quantity_Sold]]</f>
        <v>110.96880000000101</v>
      </c>
      <c r="O1552" s="17" t="s">
        <v>17</v>
      </c>
      <c r="P1552" s="26">
        <v>0.08</v>
      </c>
      <c r="Q1552" s="17" t="s">
        <v>18</v>
      </c>
      <c r="R1552" s="17" t="s">
        <v>21</v>
      </c>
      <c r="S1552" s="50" t="str">
        <f t="shared" si="74"/>
        <v>Alice-North</v>
      </c>
      <c r="T1552" s="59" t="str">
        <f>IF(ROUND(sales_data_1[[#This Row],[Profit_Margin]],2)=ROUND((sales_data_1[[#This Row],[Unit_Price]]*(1-sales_data_1[[#This Row],[Discount]]) - sales_data_1[[#This Row],[Unit_Cost]])*sales_data_1[[#This Row],[Quantity_Sold]],2), "PASS", "CHECK")</f>
        <v>PASS</v>
      </c>
    </row>
    <row r="1553" spans="1:20" x14ac:dyDescent="0.35">
      <c r="A1553" s="7">
        <v>1552</v>
      </c>
      <c r="B1553" s="9">
        <v>1037</v>
      </c>
      <c r="C1553" s="14" t="str">
        <f>IFERROR(_xlfn.TEXTJOIN("-", TRUE, _xlfn.XLOOKUP(K1553, product_category_id_lookup!$A$2:$A$5, product_category_id_lookup!$B$2:$B$5), B1553), "Unknown Category")</f>
        <v>fd-1037</v>
      </c>
      <c r="D1553" s="8">
        <v>45084</v>
      </c>
      <c r="E1553" s="14">
        <f t="shared" si="72"/>
        <v>2023</v>
      </c>
      <c r="F1553" s="29" t="str">
        <f t="shared" si="73"/>
        <v>Jun</v>
      </c>
      <c r="G1553" s="17" t="s">
        <v>33</v>
      </c>
      <c r="H1553" s="17" t="s">
        <v>23</v>
      </c>
      <c r="I1553" s="24">
        <v>19903.823601150078</v>
      </c>
      <c r="J1553" s="32">
        <v>4</v>
      </c>
      <c r="K1553" s="17" t="s">
        <v>24</v>
      </c>
      <c r="L1553" s="24">
        <v>4721.7</v>
      </c>
      <c r="M1553" s="24">
        <v>5017.58</v>
      </c>
      <c r="N1553" s="34">
        <f>((sales_data_1[[#This Row],[Unit_Price]]*(1-sales_data_1[[#This Row],[Discount]]))-sales_data_1[[#This Row],[Unit_Cost]])*sales_data_1[[#This Row],[Quantity_Sold]]</f>
        <v>982.81680000000051</v>
      </c>
      <c r="O1553" s="17" t="s">
        <v>27</v>
      </c>
      <c r="P1553" s="26">
        <v>0.01</v>
      </c>
      <c r="Q1553" s="17" t="s">
        <v>18</v>
      </c>
      <c r="R1553" s="17" t="s">
        <v>21</v>
      </c>
      <c r="S1553" s="50" t="str">
        <f t="shared" si="74"/>
        <v>Alice-South</v>
      </c>
      <c r="T1553" s="59" t="str">
        <f>IF(ROUND(sales_data_1[[#This Row],[Profit_Margin]],2)=ROUND((sales_data_1[[#This Row],[Unit_Price]]*(1-sales_data_1[[#This Row],[Discount]]) - sales_data_1[[#This Row],[Unit_Cost]])*sales_data_1[[#This Row],[Quantity_Sold]],2), "PASS", "CHECK")</f>
        <v>PASS</v>
      </c>
    </row>
    <row r="1554" spans="1:20" x14ac:dyDescent="0.35">
      <c r="A1554" s="7">
        <v>1553</v>
      </c>
      <c r="B1554" s="9">
        <v>1085</v>
      </c>
      <c r="C1554" s="14" t="str">
        <f>IFERROR(_xlfn.TEXTJOIN("-", TRUE, _xlfn.XLOOKUP(K1554, product_category_id_lookup!$A$2:$A$5, product_category_id_lookup!$B$2:$B$5), B1554), "Unknown Category")</f>
        <v>ctg-1085</v>
      </c>
      <c r="D1554" s="8">
        <v>45084</v>
      </c>
      <c r="E1554" s="14">
        <f t="shared" si="72"/>
        <v>2023</v>
      </c>
      <c r="F1554" s="29" t="str">
        <f t="shared" si="73"/>
        <v>Jun</v>
      </c>
      <c r="G1554" s="17" t="s">
        <v>29</v>
      </c>
      <c r="H1554" s="17" t="s">
        <v>30</v>
      </c>
      <c r="I1554" s="24">
        <v>99026.106983760052</v>
      </c>
      <c r="J1554" s="32">
        <v>42</v>
      </c>
      <c r="K1554" s="17" t="s">
        <v>26</v>
      </c>
      <c r="L1554" s="24">
        <v>2254.11</v>
      </c>
      <c r="M1554" s="24">
        <v>2382.23</v>
      </c>
      <c r="N1554" s="34">
        <f>((sales_data_1[[#This Row],[Unit_Price]]*(1-sales_data_1[[#This Row],[Discount]]))-sales_data_1[[#This Row],[Unit_Cost]])*sales_data_1[[#This Row],[Quantity_Sold]]</f>
        <v>4380.5034000000032</v>
      </c>
      <c r="O1554" s="17" t="s">
        <v>17</v>
      </c>
      <c r="P1554" s="26">
        <v>0.01</v>
      </c>
      <c r="Q1554" s="17" t="s">
        <v>28</v>
      </c>
      <c r="R1554" s="17" t="s">
        <v>21</v>
      </c>
      <c r="S1554" s="50" t="str">
        <f t="shared" si="74"/>
        <v>Charlie-East</v>
      </c>
      <c r="T1554" s="59" t="str">
        <f>IF(ROUND(sales_data_1[[#This Row],[Profit_Margin]],2)=ROUND((sales_data_1[[#This Row],[Unit_Price]]*(1-sales_data_1[[#This Row],[Discount]]) - sales_data_1[[#This Row],[Unit_Cost]])*sales_data_1[[#This Row],[Quantity_Sold]],2), "PASS", "CHECK")</f>
        <v>PASS</v>
      </c>
    </row>
    <row r="1555" spans="1:20" x14ac:dyDescent="0.35">
      <c r="A1555" s="7">
        <v>1554</v>
      </c>
      <c r="B1555" s="9">
        <v>1099</v>
      </c>
      <c r="C1555" s="14" t="str">
        <f>IFERROR(_xlfn.TEXTJOIN("-", TRUE, _xlfn.XLOOKUP(K1555, product_category_id_lookup!$A$2:$A$5, product_category_id_lookup!$B$2:$B$5), B1555), "Unknown Category")</f>
        <v>fd-1099</v>
      </c>
      <c r="D1555" s="8">
        <v>45084</v>
      </c>
      <c r="E1555" s="14">
        <f t="shared" si="72"/>
        <v>2023</v>
      </c>
      <c r="F1555" s="29" t="str">
        <f t="shared" si="73"/>
        <v>Jun</v>
      </c>
      <c r="G1555" s="17" t="s">
        <v>29</v>
      </c>
      <c r="H1555" s="17" t="s">
        <v>30</v>
      </c>
      <c r="I1555" s="24">
        <v>69066.237380997467</v>
      </c>
      <c r="J1555" s="32">
        <v>31</v>
      </c>
      <c r="K1555" s="17" t="s">
        <v>24</v>
      </c>
      <c r="L1555" s="24">
        <v>1974.4</v>
      </c>
      <c r="M1555" s="24">
        <v>2259.5</v>
      </c>
      <c r="N1555" s="34">
        <f>((sales_data_1[[#This Row],[Unit_Price]]*(1-sales_data_1[[#This Row],[Discount]]))-sales_data_1[[#This Row],[Unit_Cost]])*sales_data_1[[#This Row],[Quantity_Sold]]</f>
        <v>8137.6550000000034</v>
      </c>
      <c r="O1555" s="17" t="s">
        <v>27</v>
      </c>
      <c r="P1555" s="26">
        <v>0.01</v>
      </c>
      <c r="Q1555" s="17" t="s">
        <v>18</v>
      </c>
      <c r="R1555" s="17" t="s">
        <v>21</v>
      </c>
      <c r="S1555" s="50" t="str">
        <f t="shared" si="74"/>
        <v>Charlie-East</v>
      </c>
      <c r="T1555" s="59" t="str">
        <f>IF(ROUND(sales_data_1[[#This Row],[Profit_Margin]],2)=ROUND((sales_data_1[[#This Row],[Unit_Price]]*(1-sales_data_1[[#This Row],[Discount]]) - sales_data_1[[#This Row],[Unit_Cost]])*sales_data_1[[#This Row],[Quantity_Sold]],2), "PASS", "CHECK")</f>
        <v>PASS</v>
      </c>
    </row>
    <row r="1556" spans="1:20" x14ac:dyDescent="0.35">
      <c r="A1556" s="7">
        <v>1555</v>
      </c>
      <c r="B1556" s="9">
        <v>1012</v>
      </c>
      <c r="C1556" s="14" t="str">
        <f>IFERROR(_xlfn.TEXTJOIN("-", TRUE, _xlfn.XLOOKUP(K1556, product_category_id_lookup!$A$2:$A$5, product_category_id_lookup!$B$2:$B$5), B1556), "Unknown Category")</f>
        <v>fnt-1012</v>
      </c>
      <c r="D1556" s="8">
        <v>45085</v>
      </c>
      <c r="E1556" s="14">
        <f t="shared" si="72"/>
        <v>2023</v>
      </c>
      <c r="F1556" s="29" t="str">
        <f t="shared" si="73"/>
        <v>Jun</v>
      </c>
      <c r="G1556" s="17" t="s">
        <v>14</v>
      </c>
      <c r="H1556" s="17" t="s">
        <v>30</v>
      </c>
      <c r="I1556" s="24">
        <v>68173.388104942831</v>
      </c>
      <c r="J1556" s="32">
        <v>19</v>
      </c>
      <c r="K1556" s="17" t="s">
        <v>16</v>
      </c>
      <c r="L1556" s="24">
        <v>3457.28</v>
      </c>
      <c r="M1556" s="24">
        <v>3598.7200000000003</v>
      </c>
      <c r="N1556" s="34">
        <f>((sales_data_1[[#This Row],[Unit_Price]]*(1-sales_data_1[[#This Row],[Discount]]))-sales_data_1[[#This Row],[Unit_Cost]])*sales_data_1[[#This Row],[Quantity_Sold]]</f>
        <v>2687.360000000001</v>
      </c>
      <c r="O1556" s="17" t="s">
        <v>27</v>
      </c>
      <c r="P1556" s="26">
        <v>0</v>
      </c>
      <c r="Q1556" s="17" t="s">
        <v>25</v>
      </c>
      <c r="R1556" s="17" t="s">
        <v>19</v>
      </c>
      <c r="S1556" s="50" t="str">
        <f t="shared" si="74"/>
        <v>Bob-East</v>
      </c>
      <c r="T1556" s="59" t="str">
        <f>IF(ROUND(sales_data_1[[#This Row],[Profit_Margin]],2)=ROUND((sales_data_1[[#This Row],[Unit_Price]]*(1-sales_data_1[[#This Row],[Discount]]) - sales_data_1[[#This Row],[Unit_Cost]])*sales_data_1[[#This Row],[Quantity_Sold]],2), "PASS", "CHECK")</f>
        <v>PASS</v>
      </c>
    </row>
    <row r="1557" spans="1:20" x14ac:dyDescent="0.35">
      <c r="A1557" s="7">
        <v>1556</v>
      </c>
      <c r="B1557" s="9">
        <v>1032</v>
      </c>
      <c r="C1557" s="14" t="str">
        <f>IFERROR(_xlfn.TEXTJOIN("-", TRUE, _xlfn.XLOOKUP(K1557, product_category_id_lookup!$A$2:$A$5, product_category_id_lookup!$B$2:$B$5), B1557), "Unknown Category")</f>
        <v>etc-1032</v>
      </c>
      <c r="D1557" s="8">
        <v>45085</v>
      </c>
      <c r="E1557" s="14">
        <f t="shared" si="72"/>
        <v>2023</v>
      </c>
      <c r="F1557" s="29" t="str">
        <f t="shared" si="73"/>
        <v>Jun</v>
      </c>
      <c r="G1557" s="17" t="s">
        <v>32</v>
      </c>
      <c r="H1557" s="17" t="s">
        <v>20</v>
      </c>
      <c r="I1557" s="24">
        <v>239161.59432265974</v>
      </c>
      <c r="J1557" s="32">
        <v>49</v>
      </c>
      <c r="K1557" s="17" t="s">
        <v>31</v>
      </c>
      <c r="L1557" s="24">
        <v>4812.41</v>
      </c>
      <c r="M1557" s="24">
        <v>5088</v>
      </c>
      <c r="N1557" s="34">
        <f>((sales_data_1[[#This Row],[Unit_Price]]*(1-sales_data_1[[#This Row],[Discount]]))-sales_data_1[[#This Row],[Unit_Cost]])*sales_data_1[[#This Row],[Quantity_Sold]]</f>
        <v>3531.4299999999857</v>
      </c>
      <c r="O1557" s="17" t="s">
        <v>17</v>
      </c>
      <c r="P1557" s="26">
        <v>0.04</v>
      </c>
      <c r="Q1557" s="17" t="s">
        <v>28</v>
      </c>
      <c r="R1557" s="17" t="s">
        <v>19</v>
      </c>
      <c r="S1557" s="50" t="str">
        <f t="shared" si="74"/>
        <v>Eve-West</v>
      </c>
      <c r="T1557" s="59" t="str">
        <f>IF(ROUND(sales_data_1[[#This Row],[Profit_Margin]],2)=ROUND((sales_data_1[[#This Row],[Unit_Price]]*(1-sales_data_1[[#This Row],[Discount]]) - sales_data_1[[#This Row],[Unit_Cost]])*sales_data_1[[#This Row],[Quantity_Sold]],2), "PASS", "CHECK")</f>
        <v>PASS</v>
      </c>
    </row>
    <row r="1558" spans="1:20" x14ac:dyDescent="0.35">
      <c r="A1558" s="7">
        <v>1557</v>
      </c>
      <c r="B1558" s="9">
        <v>1057</v>
      </c>
      <c r="C1558" s="14" t="str">
        <f>IFERROR(_xlfn.TEXTJOIN("-", TRUE, _xlfn.XLOOKUP(K1558, product_category_id_lookup!$A$2:$A$5, product_category_id_lookup!$B$2:$B$5), B1558), "Unknown Category")</f>
        <v>fnt-1057</v>
      </c>
      <c r="D1558" s="8">
        <v>45085</v>
      </c>
      <c r="E1558" s="14">
        <f t="shared" si="72"/>
        <v>2023</v>
      </c>
      <c r="F1558" s="29" t="str">
        <f t="shared" si="73"/>
        <v>Jun</v>
      </c>
      <c r="G1558" s="17" t="s">
        <v>29</v>
      </c>
      <c r="H1558" s="17" t="s">
        <v>30</v>
      </c>
      <c r="I1558" s="24">
        <v>204698.43840000001</v>
      </c>
      <c r="J1558" s="32">
        <v>43</v>
      </c>
      <c r="K1558" s="17" t="s">
        <v>16</v>
      </c>
      <c r="L1558" s="24">
        <v>4567.3900000000003</v>
      </c>
      <c r="M1558" s="24">
        <v>4958.7800000000007</v>
      </c>
      <c r="N1558" s="34">
        <f>((sales_data_1[[#This Row],[Unit_Price]]*(1-sales_data_1[[#This Row],[Discount]]))-sales_data_1[[#This Row],[Unit_Cost]])*sales_data_1[[#This Row],[Quantity_Sold]]</f>
        <v>8300.6684000000114</v>
      </c>
      <c r="O1558" s="17" t="s">
        <v>27</v>
      </c>
      <c r="P1558" s="26">
        <v>0.04</v>
      </c>
      <c r="Q1558" s="17" t="s">
        <v>18</v>
      </c>
      <c r="R1558" s="17" t="s">
        <v>21</v>
      </c>
      <c r="S1558" s="50" t="str">
        <f t="shared" si="74"/>
        <v>Charlie-East</v>
      </c>
      <c r="T1558" s="59" t="str">
        <f>IF(ROUND(sales_data_1[[#This Row],[Profit_Margin]],2)=ROUND((sales_data_1[[#This Row],[Unit_Price]]*(1-sales_data_1[[#This Row],[Discount]]) - sales_data_1[[#This Row],[Unit_Cost]])*sales_data_1[[#This Row],[Quantity_Sold]],2), "PASS", "CHECK")</f>
        <v>PASS</v>
      </c>
    </row>
    <row r="1559" spans="1:20" x14ac:dyDescent="0.35">
      <c r="A1559" s="7">
        <v>1558</v>
      </c>
      <c r="B1559" s="9">
        <v>1047</v>
      </c>
      <c r="C1559" s="14" t="str">
        <f>IFERROR(_xlfn.TEXTJOIN("-", TRUE, _xlfn.XLOOKUP(K1559, product_category_id_lookup!$A$2:$A$5, product_category_id_lookup!$B$2:$B$5), B1559), "Unknown Category")</f>
        <v>ctg-1047</v>
      </c>
      <c r="D1559" s="8">
        <v>45086</v>
      </c>
      <c r="E1559" s="14">
        <f t="shared" si="72"/>
        <v>2023</v>
      </c>
      <c r="F1559" s="29" t="str">
        <f t="shared" si="73"/>
        <v>Jun</v>
      </c>
      <c r="G1559" s="17" t="s">
        <v>22</v>
      </c>
      <c r="H1559" s="17" t="s">
        <v>30</v>
      </c>
      <c r="I1559" s="24">
        <v>13643.8092</v>
      </c>
      <c r="J1559" s="32">
        <v>18</v>
      </c>
      <c r="K1559" s="17" t="s">
        <v>26</v>
      </c>
      <c r="L1559" s="24">
        <v>560.91999999999996</v>
      </c>
      <c r="M1559" s="24">
        <v>1024.31</v>
      </c>
      <c r="N1559" s="34">
        <f>((sales_data_1[[#This Row],[Unit_Price]]*(1-sales_data_1[[#This Row],[Discount]]))-sales_data_1[[#This Row],[Unit_Cost]])*sales_data_1[[#This Row],[Quantity_Sold]]</f>
        <v>3547.2491999999993</v>
      </c>
      <c r="O1559" s="17" t="s">
        <v>17</v>
      </c>
      <c r="P1559" s="26">
        <v>0.26</v>
      </c>
      <c r="Q1559" s="17" t="s">
        <v>18</v>
      </c>
      <c r="R1559" s="17" t="s">
        <v>19</v>
      </c>
      <c r="S1559" s="50" t="str">
        <f t="shared" si="74"/>
        <v>David-East</v>
      </c>
      <c r="T1559" s="59" t="str">
        <f>IF(ROUND(sales_data_1[[#This Row],[Profit_Margin]],2)=ROUND((sales_data_1[[#This Row],[Unit_Price]]*(1-sales_data_1[[#This Row],[Discount]]) - sales_data_1[[#This Row],[Unit_Cost]])*sales_data_1[[#This Row],[Quantity_Sold]],2), "PASS", "CHECK")</f>
        <v>PASS</v>
      </c>
    </row>
    <row r="1560" spans="1:20" x14ac:dyDescent="0.35">
      <c r="A1560" s="7">
        <v>1559</v>
      </c>
      <c r="B1560" s="9">
        <v>1017</v>
      </c>
      <c r="C1560" s="14" t="str">
        <f>IFERROR(_xlfn.TEXTJOIN("-", TRUE, _xlfn.XLOOKUP(K1560, product_category_id_lookup!$A$2:$A$5, product_category_id_lookup!$B$2:$B$5), B1560), "Unknown Category")</f>
        <v>fnt-1017</v>
      </c>
      <c r="D1560" s="8">
        <v>45086</v>
      </c>
      <c r="E1560" s="14">
        <f t="shared" si="72"/>
        <v>2023</v>
      </c>
      <c r="F1560" s="29" t="str">
        <f t="shared" si="73"/>
        <v>Jun</v>
      </c>
      <c r="G1560" s="17" t="s">
        <v>29</v>
      </c>
      <c r="H1560" s="17" t="s">
        <v>30</v>
      </c>
      <c r="I1560" s="24">
        <v>164106.43199999997</v>
      </c>
      <c r="J1560" s="32">
        <v>35</v>
      </c>
      <c r="K1560" s="17" t="s">
        <v>16</v>
      </c>
      <c r="L1560" s="24">
        <v>4480.63</v>
      </c>
      <c r="M1560" s="24">
        <v>4884.12</v>
      </c>
      <c r="N1560" s="34">
        <f>((sales_data_1[[#This Row],[Unit_Price]]*(1-sales_data_1[[#This Row],[Discount]]))-sales_data_1[[#This Row],[Unit_Cost]])*sales_data_1[[#This Row],[Quantity_Sold]]</f>
        <v>7284.3819999999823</v>
      </c>
      <c r="O1560" s="17" t="s">
        <v>27</v>
      </c>
      <c r="P1560" s="26">
        <v>0.04</v>
      </c>
      <c r="Q1560" s="17" t="s">
        <v>18</v>
      </c>
      <c r="R1560" s="17" t="s">
        <v>19</v>
      </c>
      <c r="S1560" s="50" t="str">
        <f t="shared" si="74"/>
        <v>Charlie-East</v>
      </c>
      <c r="T1560" s="59" t="str">
        <f>IF(ROUND(sales_data_1[[#This Row],[Profit_Margin]],2)=ROUND((sales_data_1[[#This Row],[Unit_Price]]*(1-sales_data_1[[#This Row],[Discount]]) - sales_data_1[[#This Row],[Unit_Cost]])*sales_data_1[[#This Row],[Quantity_Sold]],2), "PASS", "CHECK")</f>
        <v>PASS</v>
      </c>
    </row>
    <row r="1561" spans="1:20" x14ac:dyDescent="0.35">
      <c r="A1561" s="7">
        <v>1560</v>
      </c>
      <c r="B1561" s="9">
        <v>1093</v>
      </c>
      <c r="C1561" s="14" t="str">
        <f>IFERROR(_xlfn.TEXTJOIN("-", TRUE, _xlfn.XLOOKUP(K1561, product_category_id_lookup!$A$2:$A$5, product_category_id_lookup!$B$2:$B$5), B1561), "Unknown Category")</f>
        <v>fd-1093</v>
      </c>
      <c r="D1561" s="8">
        <v>45086</v>
      </c>
      <c r="E1561" s="14">
        <f t="shared" si="72"/>
        <v>2023</v>
      </c>
      <c r="F1561" s="29" t="str">
        <f t="shared" si="73"/>
        <v>Jun</v>
      </c>
      <c r="G1561" s="17" t="s">
        <v>14</v>
      </c>
      <c r="H1561" s="17" t="s">
        <v>23</v>
      </c>
      <c r="I1561" s="24">
        <v>11140.365000000002</v>
      </c>
      <c r="J1561" s="32">
        <v>38</v>
      </c>
      <c r="K1561" s="17" t="s">
        <v>24</v>
      </c>
      <c r="L1561" s="24">
        <v>86.59</v>
      </c>
      <c r="M1561" s="24">
        <v>390.89</v>
      </c>
      <c r="N1561" s="34">
        <f>((sales_data_1[[#This Row],[Unit_Price]]*(1-sales_data_1[[#This Row],[Discount]]))-sales_data_1[[#This Row],[Unit_Cost]])*sales_data_1[[#This Row],[Quantity_Sold]]</f>
        <v>7849.9450000000006</v>
      </c>
      <c r="O1561" s="17" t="s">
        <v>17</v>
      </c>
      <c r="P1561" s="26">
        <v>0.25</v>
      </c>
      <c r="Q1561" s="17" t="s">
        <v>28</v>
      </c>
      <c r="R1561" s="17" t="s">
        <v>19</v>
      </c>
      <c r="S1561" s="50" t="str">
        <f t="shared" si="74"/>
        <v>Bob-South</v>
      </c>
      <c r="T1561" s="59" t="str">
        <f>IF(ROUND(sales_data_1[[#This Row],[Profit_Margin]],2)=ROUND((sales_data_1[[#This Row],[Unit_Price]]*(1-sales_data_1[[#This Row],[Discount]]) - sales_data_1[[#This Row],[Unit_Cost]])*sales_data_1[[#This Row],[Quantity_Sold]],2), "PASS", "CHECK")</f>
        <v>PASS</v>
      </c>
    </row>
    <row r="1562" spans="1:20" x14ac:dyDescent="0.35">
      <c r="A1562" s="7">
        <v>1561</v>
      </c>
      <c r="B1562" s="9">
        <v>1028</v>
      </c>
      <c r="C1562" s="14" t="str">
        <f>IFERROR(_xlfn.TEXTJOIN("-", TRUE, _xlfn.XLOOKUP(K1562, product_category_id_lookup!$A$2:$A$5, product_category_id_lookup!$B$2:$B$5), B1562), "Unknown Category")</f>
        <v>fnt-1028</v>
      </c>
      <c r="D1562" s="8">
        <v>45087</v>
      </c>
      <c r="E1562" s="14">
        <f t="shared" si="72"/>
        <v>2023</v>
      </c>
      <c r="F1562" s="29" t="str">
        <f t="shared" si="73"/>
        <v>Jun</v>
      </c>
      <c r="G1562" s="17" t="s">
        <v>33</v>
      </c>
      <c r="H1562" s="17" t="s">
        <v>15</v>
      </c>
      <c r="I1562" s="24">
        <v>6482.8210320171856</v>
      </c>
      <c r="J1562" s="32">
        <v>2</v>
      </c>
      <c r="K1562" s="17" t="s">
        <v>16</v>
      </c>
      <c r="L1562" s="24">
        <v>3146.12</v>
      </c>
      <c r="M1562" s="24">
        <v>3255.5299999999997</v>
      </c>
      <c r="N1562" s="34">
        <f>((sales_data_1[[#This Row],[Unit_Price]]*(1-sales_data_1[[#This Row],[Discount]]))-sales_data_1[[#This Row],[Unit_Cost]])*sales_data_1[[#This Row],[Quantity_Sold]]</f>
        <v>218.81999999999971</v>
      </c>
      <c r="O1562" s="17" t="s">
        <v>17</v>
      </c>
      <c r="P1562" s="26">
        <v>0</v>
      </c>
      <c r="Q1562" s="17" t="s">
        <v>25</v>
      </c>
      <c r="R1562" s="17" t="s">
        <v>19</v>
      </c>
      <c r="S1562" s="50" t="str">
        <f t="shared" si="74"/>
        <v>Alice-North</v>
      </c>
      <c r="T1562" s="59" t="str">
        <f>IF(ROUND(sales_data_1[[#This Row],[Profit_Margin]],2)=ROUND((sales_data_1[[#This Row],[Unit_Price]]*(1-sales_data_1[[#This Row],[Discount]]) - sales_data_1[[#This Row],[Unit_Cost]])*sales_data_1[[#This Row],[Quantity_Sold]],2), "PASS", "CHECK")</f>
        <v>PASS</v>
      </c>
    </row>
    <row r="1563" spans="1:20" x14ac:dyDescent="0.35">
      <c r="A1563" s="7">
        <v>1562</v>
      </c>
      <c r="B1563" s="9">
        <v>1029</v>
      </c>
      <c r="C1563" s="14" t="str">
        <f>IFERROR(_xlfn.TEXTJOIN("-", TRUE, _xlfn.XLOOKUP(K1563, product_category_id_lookup!$A$2:$A$5, product_category_id_lookup!$B$2:$B$5), B1563), "Unknown Category")</f>
        <v>ctg-1029</v>
      </c>
      <c r="D1563" s="8">
        <v>45087</v>
      </c>
      <c r="E1563" s="14">
        <f t="shared" si="72"/>
        <v>2023</v>
      </c>
      <c r="F1563" s="29" t="str">
        <f t="shared" si="73"/>
        <v>Jun</v>
      </c>
      <c r="G1563" s="17" t="s">
        <v>32</v>
      </c>
      <c r="H1563" s="17" t="s">
        <v>30</v>
      </c>
      <c r="I1563" s="24">
        <v>8466.0360000000001</v>
      </c>
      <c r="J1563" s="32">
        <v>15</v>
      </c>
      <c r="K1563" s="17" t="s">
        <v>26</v>
      </c>
      <c r="L1563" s="24">
        <v>498.27</v>
      </c>
      <c r="M1563" s="24">
        <v>634.16</v>
      </c>
      <c r="N1563" s="34">
        <f>((sales_data_1[[#This Row],[Unit_Price]]*(1-sales_data_1[[#This Row],[Discount]]))-sales_data_1[[#This Row],[Unit_Cost]])*sales_data_1[[#This Row],[Quantity_Sold]]</f>
        <v>991.98599999999942</v>
      </c>
      <c r="O1563" s="17" t="s">
        <v>17</v>
      </c>
      <c r="P1563" s="26">
        <v>0.11</v>
      </c>
      <c r="Q1563" s="17" t="s">
        <v>28</v>
      </c>
      <c r="R1563" s="17" t="s">
        <v>21</v>
      </c>
      <c r="S1563" s="50" t="str">
        <f t="shared" si="74"/>
        <v>Eve-East</v>
      </c>
      <c r="T1563" s="59" t="str">
        <f>IF(ROUND(sales_data_1[[#This Row],[Profit_Margin]],2)=ROUND((sales_data_1[[#This Row],[Unit_Price]]*(1-sales_data_1[[#This Row],[Discount]]) - sales_data_1[[#This Row],[Unit_Cost]])*sales_data_1[[#This Row],[Quantity_Sold]],2), "PASS", "CHECK")</f>
        <v>PASS</v>
      </c>
    </row>
    <row r="1564" spans="1:20" x14ac:dyDescent="0.35">
      <c r="A1564" s="7">
        <v>1563</v>
      </c>
      <c r="B1564" s="9">
        <v>1053</v>
      </c>
      <c r="C1564" s="14" t="str">
        <f>IFERROR(_xlfn.TEXTJOIN("-", TRUE, _xlfn.XLOOKUP(K1564, product_category_id_lookup!$A$2:$A$5, product_category_id_lookup!$B$2:$B$5), B1564), "Unknown Category")</f>
        <v>fnt-1053</v>
      </c>
      <c r="D1564" s="8">
        <v>45087</v>
      </c>
      <c r="E1564" s="14">
        <f t="shared" si="72"/>
        <v>2023</v>
      </c>
      <c r="F1564" s="29" t="str">
        <f t="shared" si="73"/>
        <v>Jun</v>
      </c>
      <c r="G1564" s="17" t="s">
        <v>29</v>
      </c>
      <c r="H1564" s="17" t="s">
        <v>30</v>
      </c>
      <c r="I1564" s="24">
        <v>183044.2065955057</v>
      </c>
      <c r="J1564" s="32">
        <v>39</v>
      </c>
      <c r="K1564" s="17" t="s">
        <v>16</v>
      </c>
      <c r="L1564" s="24">
        <v>4643.67</v>
      </c>
      <c r="M1564" s="24">
        <v>4829.5200000000004</v>
      </c>
      <c r="N1564" s="34">
        <f>((sales_data_1[[#This Row],[Unit_Price]]*(1-sales_data_1[[#This Row],[Discount]]))-sales_data_1[[#This Row],[Unit_Cost]])*sales_data_1[[#This Row],[Quantity_Sold]]</f>
        <v>1597.6115999999938</v>
      </c>
      <c r="O1564" s="17" t="s">
        <v>17</v>
      </c>
      <c r="P1564" s="26">
        <v>0.03</v>
      </c>
      <c r="Q1564" s="17" t="s">
        <v>25</v>
      </c>
      <c r="R1564" s="17" t="s">
        <v>19</v>
      </c>
      <c r="S1564" s="50" t="str">
        <f t="shared" si="74"/>
        <v>Charlie-East</v>
      </c>
      <c r="T1564" s="59" t="str">
        <f>IF(ROUND(sales_data_1[[#This Row],[Profit_Margin]],2)=ROUND((sales_data_1[[#This Row],[Unit_Price]]*(1-sales_data_1[[#This Row],[Discount]]) - sales_data_1[[#This Row],[Unit_Cost]])*sales_data_1[[#This Row],[Quantity_Sold]],2), "PASS", "CHECK")</f>
        <v>PASS</v>
      </c>
    </row>
    <row r="1565" spans="1:20" x14ac:dyDescent="0.35">
      <c r="A1565" s="7">
        <v>1564</v>
      </c>
      <c r="B1565" s="9">
        <v>1096</v>
      </c>
      <c r="C1565" s="14" t="str">
        <f>IFERROR(_xlfn.TEXTJOIN("-", TRUE, _xlfn.XLOOKUP(K1565, product_category_id_lookup!$A$2:$A$5, product_category_id_lookup!$B$2:$B$5), B1565), "Unknown Category")</f>
        <v>fnt-1096</v>
      </c>
      <c r="D1565" s="8">
        <v>45087</v>
      </c>
      <c r="E1565" s="14">
        <f t="shared" si="72"/>
        <v>2023</v>
      </c>
      <c r="F1565" s="29" t="str">
        <f t="shared" si="73"/>
        <v>Jun</v>
      </c>
      <c r="G1565" s="17" t="s">
        <v>29</v>
      </c>
      <c r="H1565" s="17" t="s">
        <v>23</v>
      </c>
      <c r="I1565" s="24">
        <v>3472.56</v>
      </c>
      <c r="J1565" s="32">
        <v>6</v>
      </c>
      <c r="K1565" s="17" t="s">
        <v>16</v>
      </c>
      <c r="L1565" s="24">
        <v>252.62</v>
      </c>
      <c r="M1565" s="24">
        <v>742</v>
      </c>
      <c r="N1565" s="34">
        <f>((sales_data_1[[#This Row],[Unit_Price]]*(1-sales_data_1[[#This Row],[Discount]]))-sales_data_1[[#This Row],[Unit_Cost]])*sales_data_1[[#This Row],[Quantity_Sold]]</f>
        <v>1956.84</v>
      </c>
      <c r="O1565" s="17" t="s">
        <v>27</v>
      </c>
      <c r="P1565" s="26">
        <v>0.22</v>
      </c>
      <c r="Q1565" s="17" t="s">
        <v>28</v>
      </c>
      <c r="R1565" s="17" t="s">
        <v>21</v>
      </c>
      <c r="S1565" s="50" t="str">
        <f t="shared" si="74"/>
        <v>Charlie-South</v>
      </c>
      <c r="T1565" s="59" t="str">
        <f>IF(ROUND(sales_data_1[[#This Row],[Profit_Margin]],2)=ROUND((sales_data_1[[#This Row],[Unit_Price]]*(1-sales_data_1[[#This Row],[Discount]]) - sales_data_1[[#This Row],[Unit_Cost]])*sales_data_1[[#This Row],[Quantity_Sold]],2), "PASS", "CHECK")</f>
        <v>PASS</v>
      </c>
    </row>
    <row r="1566" spans="1:20" x14ac:dyDescent="0.35">
      <c r="A1566" s="7">
        <v>1565</v>
      </c>
      <c r="B1566" s="9">
        <v>1054</v>
      </c>
      <c r="C1566" s="14" t="str">
        <f>IFERROR(_xlfn.TEXTJOIN("-", TRUE, _xlfn.XLOOKUP(K1566, product_category_id_lookup!$A$2:$A$5, product_category_id_lookup!$B$2:$B$5), B1566), "Unknown Category")</f>
        <v>fnt-1054</v>
      </c>
      <c r="D1566" s="8">
        <v>45087</v>
      </c>
      <c r="E1566" s="14">
        <f t="shared" si="72"/>
        <v>2023</v>
      </c>
      <c r="F1566" s="29" t="str">
        <f t="shared" si="73"/>
        <v>Jun</v>
      </c>
      <c r="G1566" s="17" t="s">
        <v>14</v>
      </c>
      <c r="H1566" s="17" t="s">
        <v>23</v>
      </c>
      <c r="I1566" s="24">
        <v>100552.389</v>
      </c>
      <c r="J1566" s="32">
        <v>21</v>
      </c>
      <c r="K1566" s="17" t="s">
        <v>16</v>
      </c>
      <c r="L1566" s="24">
        <v>4668.1400000000003</v>
      </c>
      <c r="M1566" s="24">
        <v>5040.22</v>
      </c>
      <c r="N1566" s="34">
        <f>((sales_data_1[[#This Row],[Unit_Price]]*(1-sales_data_1[[#This Row],[Discount]]))-sales_data_1[[#This Row],[Unit_Cost]])*sales_data_1[[#This Row],[Quantity_Sold]]</f>
        <v>2521.4489999999896</v>
      </c>
      <c r="O1566" s="17" t="s">
        <v>27</v>
      </c>
      <c r="P1566" s="26">
        <v>0.05</v>
      </c>
      <c r="Q1566" s="17" t="s">
        <v>25</v>
      </c>
      <c r="R1566" s="17" t="s">
        <v>19</v>
      </c>
      <c r="S1566" s="50" t="str">
        <f t="shared" si="74"/>
        <v>Bob-South</v>
      </c>
      <c r="T1566" s="59" t="str">
        <f>IF(ROUND(sales_data_1[[#This Row],[Profit_Margin]],2)=ROUND((sales_data_1[[#This Row],[Unit_Price]]*(1-sales_data_1[[#This Row],[Discount]]) - sales_data_1[[#This Row],[Unit_Cost]])*sales_data_1[[#This Row],[Quantity_Sold]],2), "PASS", "CHECK")</f>
        <v>PASS</v>
      </c>
    </row>
    <row r="1567" spans="1:20" x14ac:dyDescent="0.35">
      <c r="A1567" s="7">
        <v>1566</v>
      </c>
      <c r="B1567" s="9">
        <v>1085</v>
      </c>
      <c r="C1567" s="14" t="str">
        <f>IFERROR(_xlfn.TEXTJOIN("-", TRUE, _xlfn.XLOOKUP(K1567, product_category_id_lookup!$A$2:$A$5, product_category_id_lookup!$B$2:$B$5), B1567), "Unknown Category")</f>
        <v>fd-1085</v>
      </c>
      <c r="D1567" s="8">
        <v>45088</v>
      </c>
      <c r="E1567" s="14">
        <f t="shared" si="72"/>
        <v>2023</v>
      </c>
      <c r="F1567" s="29" t="str">
        <f t="shared" si="73"/>
        <v>Jun</v>
      </c>
      <c r="G1567" s="17" t="s">
        <v>22</v>
      </c>
      <c r="H1567" s="17" t="s">
        <v>30</v>
      </c>
      <c r="I1567" s="24">
        <v>24820.670399999999</v>
      </c>
      <c r="J1567" s="32">
        <v>8</v>
      </c>
      <c r="K1567" s="17" t="s">
        <v>24</v>
      </c>
      <c r="L1567" s="24">
        <v>3048.48</v>
      </c>
      <c r="M1567" s="24">
        <v>3198.54</v>
      </c>
      <c r="N1567" s="34">
        <f>((sales_data_1[[#This Row],[Unit_Price]]*(1-sales_data_1[[#This Row],[Discount]]))-sales_data_1[[#This Row],[Unit_Cost]])*sales_data_1[[#This Row],[Quantity_Sold]]</f>
        <v>432.83039999999892</v>
      </c>
      <c r="O1567" s="17" t="s">
        <v>17</v>
      </c>
      <c r="P1567" s="26">
        <v>0.03</v>
      </c>
      <c r="Q1567" s="17" t="s">
        <v>25</v>
      </c>
      <c r="R1567" s="17" t="s">
        <v>19</v>
      </c>
      <c r="S1567" s="50" t="str">
        <f t="shared" si="74"/>
        <v>David-East</v>
      </c>
      <c r="T1567" s="59" t="str">
        <f>IF(ROUND(sales_data_1[[#This Row],[Profit_Margin]],2)=ROUND((sales_data_1[[#This Row],[Unit_Price]]*(1-sales_data_1[[#This Row],[Discount]]) - sales_data_1[[#This Row],[Unit_Cost]])*sales_data_1[[#This Row],[Quantity_Sold]],2), "PASS", "CHECK")</f>
        <v>PASS</v>
      </c>
    </row>
    <row r="1568" spans="1:20" x14ac:dyDescent="0.35">
      <c r="A1568" s="7">
        <v>1567</v>
      </c>
      <c r="B1568" s="9">
        <v>1082</v>
      </c>
      <c r="C1568" s="14" t="str">
        <f>IFERROR(_xlfn.TEXTJOIN("-", TRUE, _xlfn.XLOOKUP(K1568, product_category_id_lookup!$A$2:$A$5, product_category_id_lookup!$B$2:$B$5), B1568), "Unknown Category")</f>
        <v>fnt-1082</v>
      </c>
      <c r="D1568" s="8">
        <v>45088</v>
      </c>
      <c r="E1568" s="14">
        <f t="shared" si="72"/>
        <v>2023</v>
      </c>
      <c r="F1568" s="29" t="str">
        <f t="shared" si="73"/>
        <v>Jun</v>
      </c>
      <c r="G1568" s="17" t="s">
        <v>33</v>
      </c>
      <c r="H1568" s="17" t="s">
        <v>15</v>
      </c>
      <c r="I1568" s="24">
        <v>18521.7788</v>
      </c>
      <c r="J1568" s="32">
        <v>17</v>
      </c>
      <c r="K1568" s="17" t="s">
        <v>16</v>
      </c>
      <c r="L1568" s="24">
        <v>890.31</v>
      </c>
      <c r="M1568" s="24">
        <v>1159.06</v>
      </c>
      <c r="N1568" s="34">
        <f>((sales_data_1[[#This Row],[Unit_Price]]*(1-sales_data_1[[#This Row],[Discount]]))-sales_data_1[[#This Row],[Unit_Cost]])*sales_data_1[[#This Row],[Quantity_Sold]]</f>
        <v>3386.5088000000005</v>
      </c>
      <c r="O1568" s="17" t="s">
        <v>17</v>
      </c>
      <c r="P1568" s="26">
        <v>0.06</v>
      </c>
      <c r="Q1568" s="17" t="s">
        <v>18</v>
      </c>
      <c r="R1568" s="17" t="s">
        <v>21</v>
      </c>
      <c r="S1568" s="50" t="str">
        <f t="shared" si="74"/>
        <v>Alice-North</v>
      </c>
      <c r="T1568" s="59" t="str">
        <f>IF(ROUND(sales_data_1[[#This Row],[Profit_Margin]],2)=ROUND((sales_data_1[[#This Row],[Unit_Price]]*(1-sales_data_1[[#This Row],[Discount]]) - sales_data_1[[#This Row],[Unit_Cost]])*sales_data_1[[#This Row],[Quantity_Sold]],2), "PASS", "CHECK")</f>
        <v>PASS</v>
      </c>
    </row>
    <row r="1569" spans="1:20" x14ac:dyDescent="0.35">
      <c r="A1569" s="7">
        <v>1568</v>
      </c>
      <c r="B1569" s="9">
        <v>1078</v>
      </c>
      <c r="C1569" s="14" t="str">
        <f>IFERROR(_xlfn.TEXTJOIN("-", TRUE, _xlfn.XLOOKUP(K1569, product_category_id_lookup!$A$2:$A$5, product_category_id_lookup!$B$2:$B$5), B1569), "Unknown Category")</f>
        <v>etc-1078</v>
      </c>
      <c r="D1569" s="8">
        <v>45089</v>
      </c>
      <c r="E1569" s="14">
        <f t="shared" si="72"/>
        <v>2023</v>
      </c>
      <c r="F1569" s="29" t="str">
        <f t="shared" si="73"/>
        <v>Jun</v>
      </c>
      <c r="G1569" s="17" t="s">
        <v>29</v>
      </c>
      <c r="H1569" s="17" t="s">
        <v>23</v>
      </c>
      <c r="I1569" s="24">
        <v>92529.44256684673</v>
      </c>
      <c r="J1569" s="32">
        <v>29</v>
      </c>
      <c r="K1569" s="17" t="s">
        <v>31</v>
      </c>
      <c r="L1569" s="24">
        <v>3177.81</v>
      </c>
      <c r="M1569" s="24">
        <v>3222.65</v>
      </c>
      <c r="N1569" s="34">
        <f>((sales_data_1[[#This Row],[Unit_Price]]*(1-sales_data_1[[#This Row],[Discount]]))-sales_data_1[[#This Row],[Unit_Cost]])*sales_data_1[[#This Row],[Quantity_Sold]]</f>
        <v>365.791499999998</v>
      </c>
      <c r="O1569" s="17" t="s">
        <v>17</v>
      </c>
      <c r="P1569" s="26">
        <v>0.01</v>
      </c>
      <c r="Q1569" s="17" t="s">
        <v>28</v>
      </c>
      <c r="R1569" s="17" t="s">
        <v>21</v>
      </c>
      <c r="S1569" s="50" t="str">
        <f t="shared" si="74"/>
        <v>Charlie-South</v>
      </c>
      <c r="T1569" s="59" t="str">
        <f>IF(ROUND(sales_data_1[[#This Row],[Profit_Margin]],2)=ROUND((sales_data_1[[#This Row],[Unit_Price]]*(1-sales_data_1[[#This Row],[Discount]]) - sales_data_1[[#This Row],[Unit_Cost]])*sales_data_1[[#This Row],[Quantity_Sold]],2), "PASS", "CHECK")</f>
        <v>PASS</v>
      </c>
    </row>
    <row r="1570" spans="1:20" x14ac:dyDescent="0.35">
      <c r="A1570" s="7">
        <v>1569</v>
      </c>
      <c r="B1570" s="9">
        <v>1008</v>
      </c>
      <c r="C1570" s="14" t="str">
        <f>IFERROR(_xlfn.TEXTJOIN("-", TRUE, _xlfn.XLOOKUP(K1570, product_category_id_lookup!$A$2:$A$5, product_category_id_lookup!$B$2:$B$5), B1570), "Unknown Category")</f>
        <v>fd-1008</v>
      </c>
      <c r="D1570" s="8">
        <v>45089</v>
      </c>
      <c r="E1570" s="14">
        <f t="shared" si="72"/>
        <v>2023</v>
      </c>
      <c r="F1570" s="29" t="str">
        <f t="shared" si="73"/>
        <v>Jun</v>
      </c>
      <c r="G1570" s="17" t="s">
        <v>33</v>
      </c>
      <c r="H1570" s="17" t="s">
        <v>30</v>
      </c>
      <c r="I1570" s="24">
        <v>140035.836553748</v>
      </c>
      <c r="J1570" s="32">
        <v>32</v>
      </c>
      <c r="K1570" s="17" t="s">
        <v>24</v>
      </c>
      <c r="L1570" s="24">
        <v>4298.12</v>
      </c>
      <c r="M1570" s="24">
        <v>4446.8999999999996</v>
      </c>
      <c r="N1570" s="34">
        <f>((sales_data_1[[#This Row],[Unit_Price]]*(1-sales_data_1[[#This Row],[Discount]]))-sales_data_1[[#This Row],[Unit_Cost]])*sales_data_1[[#This Row],[Quantity_Sold]]</f>
        <v>1914.9439999999886</v>
      </c>
      <c r="O1570" s="17" t="s">
        <v>27</v>
      </c>
      <c r="P1570" s="26">
        <v>0.02</v>
      </c>
      <c r="Q1570" s="17" t="s">
        <v>25</v>
      </c>
      <c r="R1570" s="17" t="s">
        <v>19</v>
      </c>
      <c r="S1570" s="50" t="str">
        <f t="shared" si="74"/>
        <v>Alice-East</v>
      </c>
      <c r="T1570" s="59" t="str">
        <f>IF(ROUND(sales_data_1[[#This Row],[Profit_Margin]],2)=ROUND((sales_data_1[[#This Row],[Unit_Price]]*(1-sales_data_1[[#This Row],[Discount]]) - sales_data_1[[#This Row],[Unit_Cost]])*sales_data_1[[#This Row],[Quantity_Sold]],2), "PASS", "CHECK")</f>
        <v>PASS</v>
      </c>
    </row>
    <row r="1571" spans="1:20" x14ac:dyDescent="0.35">
      <c r="A1571" s="7">
        <v>1570</v>
      </c>
      <c r="B1571" s="9">
        <v>1097</v>
      </c>
      <c r="C1571" s="14" t="str">
        <f>IFERROR(_xlfn.TEXTJOIN("-", TRUE, _xlfn.XLOOKUP(K1571, product_category_id_lookup!$A$2:$A$5, product_category_id_lookup!$B$2:$B$5), B1571), "Unknown Category")</f>
        <v>fnt-1097</v>
      </c>
      <c r="D1571" s="8">
        <v>45090</v>
      </c>
      <c r="E1571" s="14">
        <f t="shared" si="72"/>
        <v>2023</v>
      </c>
      <c r="F1571" s="29" t="str">
        <f t="shared" si="73"/>
        <v>Jun</v>
      </c>
      <c r="G1571" s="17" t="s">
        <v>29</v>
      </c>
      <c r="H1571" s="17" t="s">
        <v>30</v>
      </c>
      <c r="I1571" s="24">
        <v>21661.915696316384</v>
      </c>
      <c r="J1571" s="32">
        <v>10</v>
      </c>
      <c r="K1571" s="17" t="s">
        <v>16</v>
      </c>
      <c r="L1571" s="24">
        <v>2162.9499999999998</v>
      </c>
      <c r="M1571" s="24">
        <v>2191.1899999999996</v>
      </c>
      <c r="N1571" s="34">
        <f>((sales_data_1[[#This Row],[Unit_Price]]*(1-sales_data_1[[#This Row],[Discount]]))-sales_data_1[[#This Row],[Unit_Cost]])*sales_data_1[[#This Row],[Quantity_Sold]]</f>
        <v>63.280999999997221</v>
      </c>
      <c r="O1571" s="17" t="s">
        <v>17</v>
      </c>
      <c r="P1571" s="26">
        <v>0.01</v>
      </c>
      <c r="Q1571" s="17" t="s">
        <v>28</v>
      </c>
      <c r="R1571" s="17" t="s">
        <v>19</v>
      </c>
      <c r="S1571" s="50" t="str">
        <f t="shared" si="74"/>
        <v>Charlie-East</v>
      </c>
      <c r="T1571" s="59" t="str">
        <f>IF(ROUND(sales_data_1[[#This Row],[Profit_Margin]],2)=ROUND((sales_data_1[[#This Row],[Unit_Price]]*(1-sales_data_1[[#This Row],[Discount]]) - sales_data_1[[#This Row],[Unit_Cost]])*sales_data_1[[#This Row],[Quantity_Sold]],2), "PASS", "CHECK")</f>
        <v>PASS</v>
      </c>
    </row>
    <row r="1572" spans="1:20" x14ac:dyDescent="0.35">
      <c r="A1572" s="7">
        <v>1571</v>
      </c>
      <c r="B1572" s="9">
        <v>1030</v>
      </c>
      <c r="C1572" s="14" t="str">
        <f>IFERROR(_xlfn.TEXTJOIN("-", TRUE, _xlfn.XLOOKUP(K1572, product_category_id_lookup!$A$2:$A$5, product_category_id_lookup!$B$2:$B$5), B1572), "Unknown Category")</f>
        <v>ctg-1030</v>
      </c>
      <c r="D1572" s="8">
        <v>45090</v>
      </c>
      <c r="E1572" s="14">
        <f t="shared" si="72"/>
        <v>2023</v>
      </c>
      <c r="F1572" s="29" t="str">
        <f t="shared" si="73"/>
        <v>Jun</v>
      </c>
      <c r="G1572" s="17" t="s">
        <v>29</v>
      </c>
      <c r="H1572" s="17" t="s">
        <v>20</v>
      </c>
      <c r="I1572" s="24">
        <v>20241.324487129685</v>
      </c>
      <c r="J1572" s="32">
        <v>5</v>
      </c>
      <c r="K1572" s="17" t="s">
        <v>26</v>
      </c>
      <c r="L1572" s="24">
        <v>3932.14</v>
      </c>
      <c r="M1572" s="24">
        <v>4082.7599999999998</v>
      </c>
      <c r="N1572" s="34">
        <f>((sales_data_1[[#This Row],[Unit_Price]]*(1-sales_data_1[[#This Row],[Discount]]))-sales_data_1[[#This Row],[Unit_Cost]])*sales_data_1[[#This Row],[Quantity_Sold]]</f>
        <v>548.96199999999908</v>
      </c>
      <c r="O1572" s="17" t="s">
        <v>27</v>
      </c>
      <c r="P1572" s="26">
        <v>0.01</v>
      </c>
      <c r="Q1572" s="17" t="s">
        <v>28</v>
      </c>
      <c r="R1572" s="17" t="s">
        <v>19</v>
      </c>
      <c r="S1572" s="50" t="str">
        <f t="shared" si="74"/>
        <v>Charlie-West</v>
      </c>
      <c r="T1572" s="59" t="str">
        <f>IF(ROUND(sales_data_1[[#This Row],[Profit_Margin]],2)=ROUND((sales_data_1[[#This Row],[Unit_Price]]*(1-sales_data_1[[#This Row],[Discount]]) - sales_data_1[[#This Row],[Unit_Cost]])*sales_data_1[[#This Row],[Quantity_Sold]],2), "PASS", "CHECK")</f>
        <v>PASS</v>
      </c>
    </row>
    <row r="1573" spans="1:20" x14ac:dyDescent="0.35">
      <c r="A1573" s="7">
        <v>1572</v>
      </c>
      <c r="B1573" s="9">
        <v>1007</v>
      </c>
      <c r="C1573" s="14" t="str">
        <f>IFERROR(_xlfn.TEXTJOIN("-", TRUE, _xlfn.XLOOKUP(K1573, product_category_id_lookup!$A$2:$A$5, product_category_id_lookup!$B$2:$B$5), B1573), "Unknown Category")</f>
        <v>ctg-1007</v>
      </c>
      <c r="D1573" s="8">
        <v>45091</v>
      </c>
      <c r="E1573" s="14">
        <f t="shared" si="72"/>
        <v>2023</v>
      </c>
      <c r="F1573" s="29" t="str">
        <f t="shared" si="73"/>
        <v>Jun</v>
      </c>
      <c r="G1573" s="17" t="s">
        <v>33</v>
      </c>
      <c r="H1573" s="17" t="s">
        <v>15</v>
      </c>
      <c r="I1573" s="24">
        <v>14329.94242489695</v>
      </c>
      <c r="J1573" s="32">
        <v>9</v>
      </c>
      <c r="K1573" s="17" t="s">
        <v>26</v>
      </c>
      <c r="L1573" s="24">
        <v>1481.76</v>
      </c>
      <c r="M1573" s="24">
        <v>1668.95</v>
      </c>
      <c r="N1573" s="34">
        <f>((sales_data_1[[#This Row],[Unit_Price]]*(1-sales_data_1[[#This Row],[Discount]]))-sales_data_1[[#This Row],[Unit_Cost]])*sales_data_1[[#This Row],[Quantity_Sold]]</f>
        <v>933.68250000000057</v>
      </c>
      <c r="O1573" s="17" t="s">
        <v>17</v>
      </c>
      <c r="P1573" s="26">
        <v>0.05</v>
      </c>
      <c r="Q1573" s="17" t="s">
        <v>28</v>
      </c>
      <c r="R1573" s="17" t="s">
        <v>21</v>
      </c>
      <c r="S1573" s="50" t="str">
        <f t="shared" si="74"/>
        <v>Alice-North</v>
      </c>
      <c r="T1573" s="59" t="str">
        <f>IF(ROUND(sales_data_1[[#This Row],[Profit_Margin]],2)=ROUND((sales_data_1[[#This Row],[Unit_Price]]*(1-sales_data_1[[#This Row],[Discount]]) - sales_data_1[[#This Row],[Unit_Cost]])*sales_data_1[[#This Row],[Quantity_Sold]],2), "PASS", "CHECK")</f>
        <v>PASS</v>
      </c>
    </row>
    <row r="1574" spans="1:20" x14ac:dyDescent="0.35">
      <c r="A1574" s="7">
        <v>1573</v>
      </c>
      <c r="B1574" s="9">
        <v>1011</v>
      </c>
      <c r="C1574" s="14" t="str">
        <f>IFERROR(_xlfn.TEXTJOIN("-", TRUE, _xlfn.XLOOKUP(K1574, product_category_id_lookup!$A$2:$A$5, product_category_id_lookup!$B$2:$B$5), B1574), "Unknown Category")</f>
        <v>fnt-1011</v>
      </c>
      <c r="D1574" s="8">
        <v>45091</v>
      </c>
      <c r="E1574" s="14">
        <f t="shared" si="72"/>
        <v>2023</v>
      </c>
      <c r="F1574" s="29" t="str">
        <f t="shared" si="73"/>
        <v>Jun</v>
      </c>
      <c r="G1574" s="17" t="s">
        <v>33</v>
      </c>
      <c r="H1574" s="17" t="s">
        <v>23</v>
      </c>
      <c r="I1574" s="24">
        <v>171635.75996996131</v>
      </c>
      <c r="J1574" s="32">
        <v>38</v>
      </c>
      <c r="K1574" s="17" t="s">
        <v>16</v>
      </c>
      <c r="L1574" s="24">
        <v>4456.67</v>
      </c>
      <c r="M1574" s="24">
        <v>4642.46</v>
      </c>
      <c r="N1574" s="34">
        <f>((sales_data_1[[#This Row],[Unit_Price]]*(1-sales_data_1[[#This Row],[Discount]]))-sales_data_1[[#This Row],[Unit_Cost]])*sales_data_1[[#This Row],[Quantity_Sold]]</f>
        <v>1767.615600000001</v>
      </c>
      <c r="O1574" s="17" t="s">
        <v>27</v>
      </c>
      <c r="P1574" s="26">
        <v>0.03</v>
      </c>
      <c r="Q1574" s="17" t="s">
        <v>25</v>
      </c>
      <c r="R1574" s="17" t="s">
        <v>19</v>
      </c>
      <c r="S1574" s="50" t="str">
        <f t="shared" si="74"/>
        <v>Alice-South</v>
      </c>
      <c r="T1574" s="59" t="str">
        <f>IF(ROUND(sales_data_1[[#This Row],[Profit_Margin]],2)=ROUND((sales_data_1[[#This Row],[Unit_Price]]*(1-sales_data_1[[#This Row],[Discount]]) - sales_data_1[[#This Row],[Unit_Cost]])*sales_data_1[[#This Row],[Quantity_Sold]],2), "PASS", "CHECK")</f>
        <v>PASS</v>
      </c>
    </row>
    <row r="1575" spans="1:20" x14ac:dyDescent="0.35">
      <c r="A1575" s="7">
        <v>1574</v>
      </c>
      <c r="B1575" s="9">
        <v>1008</v>
      </c>
      <c r="C1575" s="14" t="str">
        <f>IFERROR(_xlfn.TEXTJOIN("-", TRUE, _xlfn.XLOOKUP(K1575, product_category_id_lookup!$A$2:$A$5, product_category_id_lookup!$B$2:$B$5), B1575), "Unknown Category")</f>
        <v>ctg-1008</v>
      </c>
      <c r="D1575" s="8">
        <v>45091</v>
      </c>
      <c r="E1575" s="14">
        <f t="shared" si="72"/>
        <v>2023</v>
      </c>
      <c r="F1575" s="29" t="str">
        <f t="shared" si="73"/>
        <v>Jun</v>
      </c>
      <c r="G1575" s="17" t="s">
        <v>32</v>
      </c>
      <c r="H1575" s="17" t="s">
        <v>15</v>
      </c>
      <c r="I1575" s="24">
        <v>35853.739199999996</v>
      </c>
      <c r="J1575" s="32">
        <v>24</v>
      </c>
      <c r="K1575" s="17" t="s">
        <v>26</v>
      </c>
      <c r="L1575" s="24">
        <v>1394.17</v>
      </c>
      <c r="M1575" s="24">
        <v>1891.02</v>
      </c>
      <c r="N1575" s="34">
        <f>((sales_data_1[[#This Row],[Unit_Price]]*(1-sales_data_1[[#This Row],[Discount]]))-sales_data_1[[#This Row],[Unit_Cost]])*sales_data_1[[#This Row],[Quantity_Sold]]</f>
        <v>2393.6591999999982</v>
      </c>
      <c r="O1575" s="17" t="s">
        <v>27</v>
      </c>
      <c r="P1575" s="26">
        <v>0.21</v>
      </c>
      <c r="Q1575" s="17" t="s">
        <v>28</v>
      </c>
      <c r="R1575" s="17" t="s">
        <v>19</v>
      </c>
      <c r="S1575" s="50" t="str">
        <f t="shared" si="74"/>
        <v>Eve-North</v>
      </c>
      <c r="T1575" s="59" t="str">
        <f>IF(ROUND(sales_data_1[[#This Row],[Profit_Margin]],2)=ROUND((sales_data_1[[#This Row],[Unit_Price]]*(1-sales_data_1[[#This Row],[Discount]]) - sales_data_1[[#This Row],[Unit_Cost]])*sales_data_1[[#This Row],[Quantity_Sold]],2), "PASS", "CHECK")</f>
        <v>PASS</v>
      </c>
    </row>
    <row r="1576" spans="1:20" x14ac:dyDescent="0.35">
      <c r="A1576" s="7">
        <v>1575</v>
      </c>
      <c r="B1576" s="9">
        <v>1004</v>
      </c>
      <c r="C1576" s="14" t="str">
        <f>IFERROR(_xlfn.TEXTJOIN("-", TRUE, _xlfn.XLOOKUP(K1576, product_category_id_lookup!$A$2:$A$5, product_category_id_lookup!$B$2:$B$5), B1576), "Unknown Category")</f>
        <v>fnt-1004</v>
      </c>
      <c r="D1576" s="8">
        <v>45092</v>
      </c>
      <c r="E1576" s="14">
        <f t="shared" si="72"/>
        <v>2023</v>
      </c>
      <c r="F1576" s="29" t="str">
        <f t="shared" si="73"/>
        <v>Jun</v>
      </c>
      <c r="G1576" s="17" t="s">
        <v>33</v>
      </c>
      <c r="H1576" s="17" t="s">
        <v>30</v>
      </c>
      <c r="I1576" s="24">
        <v>41659.292497914052</v>
      </c>
      <c r="J1576" s="32">
        <v>13</v>
      </c>
      <c r="K1576" s="17" t="s">
        <v>16</v>
      </c>
      <c r="L1576" s="24">
        <v>3087.73</v>
      </c>
      <c r="M1576" s="24">
        <v>3263.96</v>
      </c>
      <c r="N1576" s="34">
        <f>((sales_data_1[[#This Row],[Unit_Price]]*(1-sales_data_1[[#This Row],[Discount]]))-sales_data_1[[#This Row],[Unit_Cost]])*sales_data_1[[#This Row],[Quantity_Sold]]</f>
        <v>1442.3604000000009</v>
      </c>
      <c r="O1576" s="17" t="s">
        <v>27</v>
      </c>
      <c r="P1576" s="26">
        <v>0.02</v>
      </c>
      <c r="Q1576" s="17" t="s">
        <v>18</v>
      </c>
      <c r="R1576" s="17" t="s">
        <v>21</v>
      </c>
      <c r="S1576" s="50" t="str">
        <f t="shared" si="74"/>
        <v>Alice-East</v>
      </c>
      <c r="T1576" s="59" t="str">
        <f>IF(ROUND(sales_data_1[[#This Row],[Profit_Margin]],2)=ROUND((sales_data_1[[#This Row],[Unit_Price]]*(1-sales_data_1[[#This Row],[Discount]]) - sales_data_1[[#This Row],[Unit_Cost]])*sales_data_1[[#This Row],[Quantity_Sold]],2), "PASS", "CHECK")</f>
        <v>PASS</v>
      </c>
    </row>
    <row r="1577" spans="1:20" x14ac:dyDescent="0.35">
      <c r="A1577" s="7">
        <v>1576</v>
      </c>
      <c r="B1577" s="9">
        <v>1075</v>
      </c>
      <c r="C1577" s="14" t="str">
        <f>IFERROR(_xlfn.TEXTJOIN("-", TRUE, _xlfn.XLOOKUP(K1577, product_category_id_lookup!$A$2:$A$5, product_category_id_lookup!$B$2:$B$5), B1577), "Unknown Category")</f>
        <v>fnt-1075</v>
      </c>
      <c r="D1577" s="8">
        <v>45092</v>
      </c>
      <c r="E1577" s="14">
        <f t="shared" si="72"/>
        <v>2023</v>
      </c>
      <c r="F1577" s="29" t="str">
        <f t="shared" si="73"/>
        <v>Jun</v>
      </c>
      <c r="G1577" s="17" t="s">
        <v>32</v>
      </c>
      <c r="H1577" s="17" t="s">
        <v>15</v>
      </c>
      <c r="I1577" s="24">
        <v>48468.246097690469</v>
      </c>
      <c r="J1577" s="32">
        <v>26</v>
      </c>
      <c r="K1577" s="17" t="s">
        <v>16</v>
      </c>
      <c r="L1577" s="24">
        <v>1749.34</v>
      </c>
      <c r="M1577" s="24">
        <v>1935.25</v>
      </c>
      <c r="N1577" s="34">
        <f>((sales_data_1[[#This Row],[Unit_Price]]*(1-sales_data_1[[#This Row],[Discount]]))-sales_data_1[[#This Row],[Unit_Cost]])*sales_data_1[[#This Row],[Quantity_Sold]]</f>
        <v>2821</v>
      </c>
      <c r="O1577" s="17" t="s">
        <v>27</v>
      </c>
      <c r="P1577" s="26">
        <v>0.04</v>
      </c>
      <c r="Q1577" s="17" t="s">
        <v>28</v>
      </c>
      <c r="R1577" s="17" t="s">
        <v>19</v>
      </c>
      <c r="S1577" s="50" t="str">
        <f t="shared" si="74"/>
        <v>Eve-North</v>
      </c>
      <c r="T1577" s="59" t="str">
        <f>IF(ROUND(sales_data_1[[#This Row],[Profit_Margin]],2)=ROUND((sales_data_1[[#This Row],[Unit_Price]]*(1-sales_data_1[[#This Row],[Discount]]) - sales_data_1[[#This Row],[Unit_Cost]])*sales_data_1[[#This Row],[Quantity_Sold]],2), "PASS", "CHECK")</f>
        <v>PASS</v>
      </c>
    </row>
    <row r="1578" spans="1:20" x14ac:dyDescent="0.35">
      <c r="A1578" s="7">
        <v>1577</v>
      </c>
      <c r="B1578" s="9">
        <v>1072</v>
      </c>
      <c r="C1578" s="14" t="str">
        <f>IFERROR(_xlfn.TEXTJOIN("-", TRUE, _xlfn.XLOOKUP(K1578, product_category_id_lookup!$A$2:$A$5, product_category_id_lookup!$B$2:$B$5), B1578), "Unknown Category")</f>
        <v>etc-1072</v>
      </c>
      <c r="D1578" s="8">
        <v>45092</v>
      </c>
      <c r="E1578" s="14">
        <f t="shared" si="72"/>
        <v>2023</v>
      </c>
      <c r="F1578" s="29" t="str">
        <f t="shared" si="73"/>
        <v>Jun</v>
      </c>
      <c r="G1578" s="17" t="s">
        <v>22</v>
      </c>
      <c r="H1578" s="17" t="s">
        <v>15</v>
      </c>
      <c r="I1578" s="24">
        <v>158515.53615324933</v>
      </c>
      <c r="J1578" s="32">
        <v>35</v>
      </c>
      <c r="K1578" s="17" t="s">
        <v>31</v>
      </c>
      <c r="L1578" s="24">
        <v>4349.3599999999997</v>
      </c>
      <c r="M1578" s="24">
        <v>4645.17</v>
      </c>
      <c r="N1578" s="34">
        <f>((sales_data_1[[#This Row],[Unit_Price]]*(1-sales_data_1[[#This Row],[Discount]]))-sales_data_1[[#This Row],[Unit_Cost]])*sales_data_1[[#This Row],[Quantity_Sold]]</f>
        <v>5475.9215000000222</v>
      </c>
      <c r="O1578" s="17" t="s">
        <v>17</v>
      </c>
      <c r="P1578" s="26">
        <v>0.03</v>
      </c>
      <c r="Q1578" s="17" t="s">
        <v>28</v>
      </c>
      <c r="R1578" s="17" t="s">
        <v>21</v>
      </c>
      <c r="S1578" s="50" t="str">
        <f t="shared" si="74"/>
        <v>David-North</v>
      </c>
      <c r="T1578" s="59" t="str">
        <f>IF(ROUND(sales_data_1[[#This Row],[Profit_Margin]],2)=ROUND((sales_data_1[[#This Row],[Unit_Price]]*(1-sales_data_1[[#This Row],[Discount]]) - sales_data_1[[#This Row],[Unit_Cost]])*sales_data_1[[#This Row],[Quantity_Sold]],2), "PASS", "CHECK")</f>
        <v>PASS</v>
      </c>
    </row>
    <row r="1579" spans="1:20" x14ac:dyDescent="0.35">
      <c r="A1579" s="7">
        <v>1578</v>
      </c>
      <c r="B1579" s="9">
        <v>1038</v>
      </c>
      <c r="C1579" s="14" t="str">
        <f>IFERROR(_xlfn.TEXTJOIN("-", TRUE, _xlfn.XLOOKUP(K1579, product_category_id_lookup!$A$2:$A$5, product_category_id_lookup!$B$2:$B$5), B1579), "Unknown Category")</f>
        <v>fd-1038</v>
      </c>
      <c r="D1579" s="8">
        <v>45092</v>
      </c>
      <c r="E1579" s="14">
        <f t="shared" si="72"/>
        <v>2023</v>
      </c>
      <c r="F1579" s="29" t="str">
        <f t="shared" si="73"/>
        <v>Jun</v>
      </c>
      <c r="G1579" s="17" t="s">
        <v>33</v>
      </c>
      <c r="H1579" s="17" t="s">
        <v>20</v>
      </c>
      <c r="I1579" s="24">
        <v>53512.771199999996</v>
      </c>
      <c r="J1579" s="32">
        <v>42</v>
      </c>
      <c r="K1579" s="17" t="s">
        <v>24</v>
      </c>
      <c r="L1579" s="24">
        <v>1089.0899999999999</v>
      </c>
      <c r="M1579" s="24">
        <v>1355.44</v>
      </c>
      <c r="N1579" s="34">
        <f>((sales_data_1[[#This Row],[Unit_Price]]*(1-sales_data_1[[#This Row],[Discount]]))-sales_data_1[[#This Row],[Unit_Cost]])*sales_data_1[[#This Row],[Quantity_Sold]]</f>
        <v>7770.9911999999995</v>
      </c>
      <c r="O1579" s="17" t="s">
        <v>27</v>
      </c>
      <c r="P1579" s="26">
        <v>0.06</v>
      </c>
      <c r="Q1579" s="17" t="s">
        <v>18</v>
      </c>
      <c r="R1579" s="17" t="s">
        <v>21</v>
      </c>
      <c r="S1579" s="50" t="str">
        <f t="shared" si="74"/>
        <v>Alice-West</v>
      </c>
      <c r="T1579" s="59" t="str">
        <f>IF(ROUND(sales_data_1[[#This Row],[Profit_Margin]],2)=ROUND((sales_data_1[[#This Row],[Unit_Price]]*(1-sales_data_1[[#This Row],[Discount]]) - sales_data_1[[#This Row],[Unit_Cost]])*sales_data_1[[#This Row],[Quantity_Sold]],2), "PASS", "CHECK")</f>
        <v>PASS</v>
      </c>
    </row>
    <row r="1580" spans="1:20" x14ac:dyDescent="0.35">
      <c r="A1580" s="7">
        <v>1579</v>
      </c>
      <c r="B1580" s="9">
        <v>1044</v>
      </c>
      <c r="C1580" s="14" t="str">
        <f>IFERROR(_xlfn.TEXTJOIN("-", TRUE, _xlfn.XLOOKUP(K1580, product_category_id_lookup!$A$2:$A$5, product_category_id_lookup!$B$2:$B$5), B1580), "Unknown Category")</f>
        <v>fnt-1044</v>
      </c>
      <c r="D1580" s="8">
        <v>45094</v>
      </c>
      <c r="E1580" s="14">
        <f t="shared" si="72"/>
        <v>2023</v>
      </c>
      <c r="F1580" s="29" t="str">
        <f t="shared" si="73"/>
        <v>Jun</v>
      </c>
      <c r="G1580" s="17" t="s">
        <v>29</v>
      </c>
      <c r="H1580" s="17" t="s">
        <v>15</v>
      </c>
      <c r="I1580" s="24">
        <v>15710.270970993795</v>
      </c>
      <c r="J1580" s="32">
        <v>6</v>
      </c>
      <c r="K1580" s="17" t="s">
        <v>16</v>
      </c>
      <c r="L1580" s="24">
        <v>2388.9499999999998</v>
      </c>
      <c r="M1580" s="24">
        <v>2742.97</v>
      </c>
      <c r="N1580" s="34">
        <f>((sales_data_1[[#This Row],[Unit_Price]]*(1-sales_data_1[[#This Row],[Discount]]))-sales_data_1[[#This Row],[Unit_Cost]])*sales_data_1[[#This Row],[Quantity_Sold]]</f>
        <v>1301.2289999999985</v>
      </c>
      <c r="O1580" s="17" t="s">
        <v>17</v>
      </c>
      <c r="P1580" s="26">
        <v>0.05</v>
      </c>
      <c r="Q1580" s="17" t="s">
        <v>28</v>
      </c>
      <c r="R1580" s="17" t="s">
        <v>21</v>
      </c>
      <c r="S1580" s="50" t="str">
        <f t="shared" si="74"/>
        <v>Charlie-North</v>
      </c>
      <c r="T1580" s="59" t="str">
        <f>IF(ROUND(sales_data_1[[#This Row],[Profit_Margin]],2)=ROUND((sales_data_1[[#This Row],[Unit_Price]]*(1-sales_data_1[[#This Row],[Discount]]) - sales_data_1[[#This Row],[Unit_Cost]])*sales_data_1[[#This Row],[Quantity_Sold]],2), "PASS", "CHECK")</f>
        <v>PASS</v>
      </c>
    </row>
    <row r="1581" spans="1:20" x14ac:dyDescent="0.35">
      <c r="A1581" s="7">
        <v>1580</v>
      </c>
      <c r="B1581" s="9">
        <v>1092</v>
      </c>
      <c r="C1581" s="14" t="str">
        <f>IFERROR(_xlfn.TEXTJOIN("-", TRUE, _xlfn.XLOOKUP(K1581, product_category_id_lookup!$A$2:$A$5, product_category_id_lookup!$B$2:$B$5), B1581), "Unknown Category")</f>
        <v>fnt-1092</v>
      </c>
      <c r="D1581" s="8">
        <v>45094</v>
      </c>
      <c r="E1581" s="14">
        <f t="shared" si="72"/>
        <v>2023</v>
      </c>
      <c r="F1581" s="29" t="str">
        <f t="shared" si="73"/>
        <v>Jun</v>
      </c>
      <c r="G1581" s="17" t="s">
        <v>33</v>
      </c>
      <c r="H1581" s="17" t="s">
        <v>30</v>
      </c>
      <c r="I1581" s="24">
        <v>70436.907200000001</v>
      </c>
      <c r="J1581" s="32">
        <v>47</v>
      </c>
      <c r="K1581" s="17" t="s">
        <v>16</v>
      </c>
      <c r="L1581" s="24">
        <v>1447.45</v>
      </c>
      <c r="M1581" s="24">
        <v>1703.02</v>
      </c>
      <c r="N1581" s="34">
        <f>((sales_data_1[[#This Row],[Unit_Price]]*(1-sales_data_1[[#This Row],[Discount]]))-sales_data_1[[#This Row],[Unit_Cost]])*sales_data_1[[#This Row],[Quantity_Sold]]</f>
        <v>2406.7571999999982</v>
      </c>
      <c r="O1581" s="17" t="s">
        <v>17</v>
      </c>
      <c r="P1581" s="26">
        <v>0.12</v>
      </c>
      <c r="Q1581" s="17" t="s">
        <v>25</v>
      </c>
      <c r="R1581" s="17" t="s">
        <v>21</v>
      </c>
      <c r="S1581" s="50" t="str">
        <f t="shared" si="74"/>
        <v>Alice-East</v>
      </c>
      <c r="T1581" s="59" t="str">
        <f>IF(ROUND(sales_data_1[[#This Row],[Profit_Margin]],2)=ROUND((sales_data_1[[#This Row],[Unit_Price]]*(1-sales_data_1[[#This Row],[Discount]]) - sales_data_1[[#This Row],[Unit_Cost]])*sales_data_1[[#This Row],[Quantity_Sold]],2), "PASS", "CHECK")</f>
        <v>PASS</v>
      </c>
    </row>
    <row r="1582" spans="1:20" x14ac:dyDescent="0.35">
      <c r="A1582" s="7">
        <v>1581</v>
      </c>
      <c r="B1582" s="9">
        <v>1092</v>
      </c>
      <c r="C1582" s="14" t="str">
        <f>IFERROR(_xlfn.TEXTJOIN("-", TRUE, _xlfn.XLOOKUP(K1582, product_category_id_lookup!$A$2:$A$5, product_category_id_lookup!$B$2:$B$5), B1582), "Unknown Category")</f>
        <v>ctg-1092</v>
      </c>
      <c r="D1582" s="8">
        <v>45094</v>
      </c>
      <c r="E1582" s="14">
        <f t="shared" si="72"/>
        <v>2023</v>
      </c>
      <c r="F1582" s="29" t="str">
        <f t="shared" si="73"/>
        <v>Jun</v>
      </c>
      <c r="G1582" s="17" t="s">
        <v>22</v>
      </c>
      <c r="H1582" s="17" t="s">
        <v>30</v>
      </c>
      <c r="I1582" s="24">
        <v>66978.638999999996</v>
      </c>
      <c r="J1582" s="32">
        <v>21</v>
      </c>
      <c r="K1582" s="17" t="s">
        <v>26</v>
      </c>
      <c r="L1582" s="24">
        <v>2792.2</v>
      </c>
      <c r="M1582" s="24">
        <v>3254.5499999999997</v>
      </c>
      <c r="N1582" s="34">
        <f>((sales_data_1[[#This Row],[Unit_Price]]*(1-sales_data_1[[#This Row],[Discount]]))-sales_data_1[[#This Row],[Unit_Cost]])*sales_data_1[[#This Row],[Quantity_Sold]]</f>
        <v>8342.4390000000003</v>
      </c>
      <c r="O1582" s="17" t="s">
        <v>27</v>
      </c>
      <c r="P1582" s="26">
        <v>0.02</v>
      </c>
      <c r="Q1582" s="17" t="s">
        <v>28</v>
      </c>
      <c r="R1582" s="17" t="s">
        <v>21</v>
      </c>
      <c r="S1582" s="50" t="str">
        <f t="shared" si="74"/>
        <v>David-East</v>
      </c>
      <c r="T1582" s="59" t="str">
        <f>IF(ROUND(sales_data_1[[#This Row],[Profit_Margin]],2)=ROUND((sales_data_1[[#This Row],[Unit_Price]]*(1-sales_data_1[[#This Row],[Discount]]) - sales_data_1[[#This Row],[Unit_Cost]])*sales_data_1[[#This Row],[Quantity_Sold]],2), "PASS", "CHECK")</f>
        <v>PASS</v>
      </c>
    </row>
    <row r="1583" spans="1:20" x14ac:dyDescent="0.35">
      <c r="A1583" s="7">
        <v>1582</v>
      </c>
      <c r="B1583" s="9">
        <v>1038</v>
      </c>
      <c r="C1583" s="14" t="str">
        <f>IFERROR(_xlfn.TEXTJOIN("-", TRUE, _xlfn.XLOOKUP(K1583, product_category_id_lookup!$A$2:$A$5, product_category_id_lookup!$B$2:$B$5), B1583), "Unknown Category")</f>
        <v>ctg-1038</v>
      </c>
      <c r="D1583" s="8">
        <v>45095</v>
      </c>
      <c r="E1583" s="14">
        <f t="shared" si="72"/>
        <v>2023</v>
      </c>
      <c r="F1583" s="29" t="str">
        <f t="shared" si="73"/>
        <v>Jun</v>
      </c>
      <c r="G1583" s="17" t="s">
        <v>32</v>
      </c>
      <c r="H1583" s="17" t="s">
        <v>20</v>
      </c>
      <c r="I1583" s="24">
        <v>40685.299200000001</v>
      </c>
      <c r="J1583" s="32">
        <v>24</v>
      </c>
      <c r="K1583" s="17" t="s">
        <v>26</v>
      </c>
      <c r="L1583" s="24">
        <v>1543.91</v>
      </c>
      <c r="M1583" s="24">
        <v>1862.88</v>
      </c>
      <c r="N1583" s="34">
        <f>((sales_data_1[[#This Row],[Unit_Price]]*(1-sales_data_1[[#This Row],[Discount]]))-sales_data_1[[#This Row],[Unit_Cost]])*sales_data_1[[#This Row],[Quantity_Sold]]</f>
        <v>3631.4591999999993</v>
      </c>
      <c r="O1583" s="17" t="s">
        <v>27</v>
      </c>
      <c r="P1583" s="26">
        <v>0.09</v>
      </c>
      <c r="Q1583" s="17" t="s">
        <v>25</v>
      </c>
      <c r="R1583" s="17" t="s">
        <v>19</v>
      </c>
      <c r="S1583" s="50" t="str">
        <f t="shared" si="74"/>
        <v>Eve-West</v>
      </c>
      <c r="T1583" s="59" t="str">
        <f>IF(ROUND(sales_data_1[[#This Row],[Profit_Margin]],2)=ROUND((sales_data_1[[#This Row],[Unit_Price]]*(1-sales_data_1[[#This Row],[Discount]]) - sales_data_1[[#This Row],[Unit_Cost]])*sales_data_1[[#This Row],[Quantity_Sold]],2), "PASS", "CHECK")</f>
        <v>PASS</v>
      </c>
    </row>
    <row r="1584" spans="1:20" x14ac:dyDescent="0.35">
      <c r="A1584" s="7">
        <v>1583</v>
      </c>
      <c r="B1584" s="9">
        <v>1002</v>
      </c>
      <c r="C1584" s="14" t="str">
        <f>IFERROR(_xlfn.TEXTJOIN("-", TRUE, _xlfn.XLOOKUP(K1584, product_category_id_lookup!$A$2:$A$5, product_category_id_lookup!$B$2:$B$5), B1584), "Unknown Category")</f>
        <v>fd-1002</v>
      </c>
      <c r="D1584" s="8">
        <v>45096</v>
      </c>
      <c r="E1584" s="14">
        <f t="shared" si="72"/>
        <v>2023</v>
      </c>
      <c r="F1584" s="29" t="str">
        <f t="shared" si="73"/>
        <v>Jun</v>
      </c>
      <c r="G1584" s="17" t="s">
        <v>32</v>
      </c>
      <c r="H1584" s="17" t="s">
        <v>20</v>
      </c>
      <c r="I1584" s="24">
        <v>8508.2544000000016</v>
      </c>
      <c r="J1584" s="32">
        <v>18</v>
      </c>
      <c r="K1584" s="17" t="s">
        <v>24</v>
      </c>
      <c r="L1584" s="24">
        <v>117.63</v>
      </c>
      <c r="M1584" s="24">
        <v>576.44000000000005</v>
      </c>
      <c r="N1584" s="34">
        <f>((sales_data_1[[#This Row],[Unit_Price]]*(1-sales_data_1[[#This Row],[Discount]]))-sales_data_1[[#This Row],[Unit_Cost]])*sales_data_1[[#This Row],[Quantity_Sold]]</f>
        <v>6390.9144000000015</v>
      </c>
      <c r="O1584" s="17" t="s">
        <v>27</v>
      </c>
      <c r="P1584" s="26">
        <v>0.18</v>
      </c>
      <c r="Q1584" s="17" t="s">
        <v>28</v>
      </c>
      <c r="R1584" s="17" t="s">
        <v>21</v>
      </c>
      <c r="S1584" s="50" t="str">
        <f t="shared" si="74"/>
        <v>Eve-West</v>
      </c>
      <c r="T1584" s="59" t="str">
        <f>IF(ROUND(sales_data_1[[#This Row],[Profit_Margin]],2)=ROUND((sales_data_1[[#This Row],[Unit_Price]]*(1-sales_data_1[[#This Row],[Discount]]) - sales_data_1[[#This Row],[Unit_Cost]])*sales_data_1[[#This Row],[Quantity_Sold]],2), "PASS", "CHECK")</f>
        <v>PASS</v>
      </c>
    </row>
    <row r="1585" spans="1:20" x14ac:dyDescent="0.35">
      <c r="A1585" s="7">
        <v>1584</v>
      </c>
      <c r="B1585" s="9">
        <v>1045</v>
      </c>
      <c r="C1585" s="14" t="str">
        <f>IFERROR(_xlfn.TEXTJOIN("-", TRUE, _xlfn.XLOOKUP(K1585, product_category_id_lookup!$A$2:$A$5, product_category_id_lookup!$B$2:$B$5), B1585), "Unknown Category")</f>
        <v>etc-1045</v>
      </c>
      <c r="D1585" s="8">
        <v>45096</v>
      </c>
      <c r="E1585" s="14">
        <f t="shared" si="72"/>
        <v>2023</v>
      </c>
      <c r="F1585" s="29" t="str">
        <f t="shared" si="73"/>
        <v>Jun</v>
      </c>
      <c r="G1585" s="17" t="s">
        <v>22</v>
      </c>
      <c r="H1585" s="17" t="s">
        <v>15</v>
      </c>
      <c r="I1585" s="24">
        <v>144742.18238985966</v>
      </c>
      <c r="J1585" s="32">
        <v>36</v>
      </c>
      <c r="K1585" s="17" t="s">
        <v>31</v>
      </c>
      <c r="L1585" s="24">
        <v>3835.64</v>
      </c>
      <c r="M1585" s="24">
        <v>4076.77</v>
      </c>
      <c r="N1585" s="34">
        <f>((sales_data_1[[#This Row],[Unit_Price]]*(1-sales_data_1[[#This Row],[Discount]]))-sales_data_1[[#This Row],[Unit_Cost]])*sales_data_1[[#This Row],[Quantity_Sold]]</f>
        <v>7213.0428000000084</v>
      </c>
      <c r="O1585" s="17" t="s">
        <v>17</v>
      </c>
      <c r="P1585" s="26">
        <v>0.01</v>
      </c>
      <c r="Q1585" s="17" t="s">
        <v>28</v>
      </c>
      <c r="R1585" s="17" t="s">
        <v>21</v>
      </c>
      <c r="S1585" s="50" t="str">
        <f t="shared" si="74"/>
        <v>David-North</v>
      </c>
      <c r="T1585" s="59" t="str">
        <f>IF(ROUND(sales_data_1[[#This Row],[Profit_Margin]],2)=ROUND((sales_data_1[[#This Row],[Unit_Price]]*(1-sales_data_1[[#This Row],[Discount]]) - sales_data_1[[#This Row],[Unit_Cost]])*sales_data_1[[#This Row],[Quantity_Sold]],2), "PASS", "CHECK")</f>
        <v>PASS</v>
      </c>
    </row>
    <row r="1586" spans="1:20" x14ac:dyDescent="0.35">
      <c r="A1586" s="7">
        <v>1585</v>
      </c>
      <c r="B1586" s="9">
        <v>1029</v>
      </c>
      <c r="C1586" s="14" t="str">
        <f>IFERROR(_xlfn.TEXTJOIN("-", TRUE, _xlfn.XLOOKUP(K1586, product_category_id_lookup!$A$2:$A$5, product_category_id_lookup!$B$2:$B$5), B1586), "Unknown Category")</f>
        <v>fd-1029</v>
      </c>
      <c r="D1586" s="8">
        <v>45096</v>
      </c>
      <c r="E1586" s="14">
        <f t="shared" si="72"/>
        <v>2023</v>
      </c>
      <c r="F1586" s="29" t="str">
        <f t="shared" si="73"/>
        <v>Jun</v>
      </c>
      <c r="G1586" s="17" t="s">
        <v>32</v>
      </c>
      <c r="H1586" s="17" t="s">
        <v>23</v>
      </c>
      <c r="I1586" s="24">
        <v>96138.1872</v>
      </c>
      <c r="J1586" s="32">
        <v>27</v>
      </c>
      <c r="K1586" s="17" t="s">
        <v>24</v>
      </c>
      <c r="L1586" s="24">
        <v>3196.38</v>
      </c>
      <c r="M1586" s="24">
        <v>3596.6400000000003</v>
      </c>
      <c r="N1586" s="34">
        <f>((sales_data_1[[#This Row],[Unit_Price]]*(1-sales_data_1[[#This Row],[Discount]]))-sales_data_1[[#This Row],[Unit_Cost]])*sales_data_1[[#This Row],[Quantity_Sold]]</f>
        <v>9835.9271999999983</v>
      </c>
      <c r="O1586" s="17" t="s">
        <v>27</v>
      </c>
      <c r="P1586" s="26">
        <v>0.01</v>
      </c>
      <c r="Q1586" s="17" t="s">
        <v>18</v>
      </c>
      <c r="R1586" s="17" t="s">
        <v>21</v>
      </c>
      <c r="S1586" s="50" t="str">
        <f t="shared" si="74"/>
        <v>Eve-South</v>
      </c>
      <c r="T1586" s="59" t="str">
        <f>IF(ROUND(sales_data_1[[#This Row],[Profit_Margin]],2)=ROUND((sales_data_1[[#This Row],[Unit_Price]]*(1-sales_data_1[[#This Row],[Discount]]) - sales_data_1[[#This Row],[Unit_Cost]])*sales_data_1[[#This Row],[Quantity_Sold]],2), "PASS", "CHECK")</f>
        <v>PASS</v>
      </c>
    </row>
    <row r="1587" spans="1:20" x14ac:dyDescent="0.35">
      <c r="A1587" s="7">
        <v>1586</v>
      </c>
      <c r="B1587" s="9">
        <v>1058</v>
      </c>
      <c r="C1587" s="14" t="str">
        <f>IFERROR(_xlfn.TEXTJOIN("-", TRUE, _xlfn.XLOOKUP(K1587, product_category_id_lookup!$A$2:$A$5, product_category_id_lookup!$B$2:$B$5), B1587), "Unknown Category")</f>
        <v>ctg-1058</v>
      </c>
      <c r="D1587" s="8">
        <v>45097</v>
      </c>
      <c r="E1587" s="14">
        <f t="shared" si="72"/>
        <v>2023</v>
      </c>
      <c r="F1587" s="29" t="str">
        <f t="shared" si="73"/>
        <v>Jun</v>
      </c>
      <c r="G1587" s="17" t="s">
        <v>32</v>
      </c>
      <c r="H1587" s="17" t="s">
        <v>20</v>
      </c>
      <c r="I1587" s="24">
        <v>131718.52799999999</v>
      </c>
      <c r="J1587" s="32">
        <v>48</v>
      </c>
      <c r="K1587" s="17" t="s">
        <v>26</v>
      </c>
      <c r="L1587" s="24">
        <v>2614.48</v>
      </c>
      <c r="M1587" s="24">
        <v>3049.04</v>
      </c>
      <c r="N1587" s="34">
        <f>((sales_data_1[[#This Row],[Unit_Price]]*(1-sales_data_1[[#This Row],[Discount]]))-sales_data_1[[#This Row],[Unit_Cost]])*sales_data_1[[#This Row],[Quantity_Sold]]</f>
        <v>6223.4879999999976</v>
      </c>
      <c r="O1587" s="17" t="s">
        <v>27</v>
      </c>
      <c r="P1587" s="26">
        <v>0.1</v>
      </c>
      <c r="Q1587" s="17" t="s">
        <v>28</v>
      </c>
      <c r="R1587" s="17" t="s">
        <v>21</v>
      </c>
      <c r="S1587" s="50" t="str">
        <f t="shared" si="74"/>
        <v>Eve-West</v>
      </c>
      <c r="T1587" s="59" t="str">
        <f>IF(ROUND(sales_data_1[[#This Row],[Profit_Margin]],2)=ROUND((sales_data_1[[#This Row],[Unit_Price]]*(1-sales_data_1[[#This Row],[Discount]]) - sales_data_1[[#This Row],[Unit_Cost]])*sales_data_1[[#This Row],[Quantity_Sold]],2), "PASS", "CHECK")</f>
        <v>PASS</v>
      </c>
    </row>
    <row r="1588" spans="1:20" x14ac:dyDescent="0.35">
      <c r="A1588" s="7">
        <v>1587</v>
      </c>
      <c r="B1588" s="9">
        <v>1012</v>
      </c>
      <c r="C1588" s="14" t="str">
        <f>IFERROR(_xlfn.TEXTJOIN("-", TRUE, _xlfn.XLOOKUP(K1588, product_category_id_lookup!$A$2:$A$5, product_category_id_lookup!$B$2:$B$5), B1588), "Unknown Category")</f>
        <v>ctg-1012</v>
      </c>
      <c r="D1588" s="8">
        <v>45097</v>
      </c>
      <c r="E1588" s="14">
        <f t="shared" si="72"/>
        <v>2023</v>
      </c>
      <c r="F1588" s="29" t="str">
        <f t="shared" si="73"/>
        <v>Jun</v>
      </c>
      <c r="G1588" s="17" t="s">
        <v>33</v>
      </c>
      <c r="H1588" s="17" t="s">
        <v>23</v>
      </c>
      <c r="I1588" s="24">
        <v>33241.445599999999</v>
      </c>
      <c r="J1588" s="32">
        <v>47</v>
      </c>
      <c r="K1588" s="17" t="s">
        <v>26</v>
      </c>
      <c r="L1588" s="24">
        <v>325.75</v>
      </c>
      <c r="M1588" s="24">
        <v>803.71</v>
      </c>
      <c r="N1588" s="34">
        <f>((sales_data_1[[#This Row],[Unit_Price]]*(1-sales_data_1[[#This Row],[Discount]]))-sales_data_1[[#This Row],[Unit_Cost]])*sales_data_1[[#This Row],[Quantity_Sold]]</f>
        <v>17931.195600000003</v>
      </c>
      <c r="O1588" s="17" t="s">
        <v>27</v>
      </c>
      <c r="P1588" s="26">
        <v>0.12</v>
      </c>
      <c r="Q1588" s="17" t="s">
        <v>25</v>
      </c>
      <c r="R1588" s="17" t="s">
        <v>21</v>
      </c>
      <c r="S1588" s="50" t="str">
        <f t="shared" si="74"/>
        <v>Alice-South</v>
      </c>
      <c r="T1588" s="59" t="str">
        <f>IF(ROUND(sales_data_1[[#This Row],[Profit_Margin]],2)=ROUND((sales_data_1[[#This Row],[Unit_Price]]*(1-sales_data_1[[#This Row],[Discount]]) - sales_data_1[[#This Row],[Unit_Cost]])*sales_data_1[[#This Row],[Quantity_Sold]],2), "PASS", "CHECK")</f>
        <v>PASS</v>
      </c>
    </row>
    <row r="1589" spans="1:20" x14ac:dyDescent="0.35">
      <c r="A1589" s="7">
        <v>1588</v>
      </c>
      <c r="B1589" s="9">
        <v>1018</v>
      </c>
      <c r="C1589" s="14" t="str">
        <f>IFERROR(_xlfn.TEXTJOIN("-", TRUE, _xlfn.XLOOKUP(K1589, product_category_id_lookup!$A$2:$A$5, product_category_id_lookup!$B$2:$B$5), B1589), "Unknown Category")</f>
        <v>ctg-1018</v>
      </c>
      <c r="D1589" s="8">
        <v>45098</v>
      </c>
      <c r="E1589" s="14">
        <f t="shared" si="72"/>
        <v>2023</v>
      </c>
      <c r="F1589" s="29" t="str">
        <f t="shared" si="73"/>
        <v>Jun</v>
      </c>
      <c r="G1589" s="17" t="s">
        <v>32</v>
      </c>
      <c r="H1589" s="17" t="s">
        <v>15</v>
      </c>
      <c r="I1589" s="24">
        <v>28970.989065164798</v>
      </c>
      <c r="J1589" s="32">
        <v>28</v>
      </c>
      <c r="K1589" s="17" t="s">
        <v>26</v>
      </c>
      <c r="L1589" s="24">
        <v>1006.14</v>
      </c>
      <c r="M1589" s="24">
        <v>1043.45</v>
      </c>
      <c r="N1589" s="34">
        <f>((sales_data_1[[#This Row],[Unit_Price]]*(1-sales_data_1[[#This Row],[Discount]]))-sales_data_1[[#This Row],[Unit_Cost]])*sales_data_1[[#This Row],[Quantity_Sold]]</f>
        <v>752.51399999999967</v>
      </c>
      <c r="O1589" s="17" t="s">
        <v>27</v>
      </c>
      <c r="P1589" s="26">
        <v>0.01</v>
      </c>
      <c r="Q1589" s="17" t="s">
        <v>25</v>
      </c>
      <c r="R1589" s="17" t="s">
        <v>21</v>
      </c>
      <c r="S1589" s="50" t="str">
        <f t="shared" si="74"/>
        <v>Eve-North</v>
      </c>
      <c r="T1589" s="59" t="str">
        <f>IF(ROUND(sales_data_1[[#This Row],[Profit_Margin]],2)=ROUND((sales_data_1[[#This Row],[Unit_Price]]*(1-sales_data_1[[#This Row],[Discount]]) - sales_data_1[[#This Row],[Unit_Cost]])*sales_data_1[[#This Row],[Quantity_Sold]],2), "PASS", "CHECK")</f>
        <v>PASS</v>
      </c>
    </row>
    <row r="1590" spans="1:20" x14ac:dyDescent="0.35">
      <c r="A1590" s="7">
        <v>1589</v>
      </c>
      <c r="B1590" s="9">
        <v>1064</v>
      </c>
      <c r="C1590" s="14" t="str">
        <f>IFERROR(_xlfn.TEXTJOIN("-", TRUE, _xlfn.XLOOKUP(K1590, product_category_id_lookup!$A$2:$A$5, product_category_id_lookup!$B$2:$B$5), B1590), "Unknown Category")</f>
        <v>etc-1064</v>
      </c>
      <c r="D1590" s="8">
        <v>45098</v>
      </c>
      <c r="E1590" s="14">
        <f t="shared" si="72"/>
        <v>2023</v>
      </c>
      <c r="F1590" s="29" t="str">
        <f t="shared" si="73"/>
        <v>Jun</v>
      </c>
      <c r="G1590" s="17" t="s">
        <v>14</v>
      </c>
      <c r="H1590" s="17" t="s">
        <v>20</v>
      </c>
      <c r="I1590" s="24">
        <v>50275.718399999998</v>
      </c>
      <c r="J1590" s="32">
        <v>46</v>
      </c>
      <c r="K1590" s="17" t="s">
        <v>31</v>
      </c>
      <c r="L1590" s="24">
        <v>984.53</v>
      </c>
      <c r="M1590" s="24">
        <v>1138.49</v>
      </c>
      <c r="N1590" s="34">
        <f>((sales_data_1[[#This Row],[Unit_Price]]*(1-sales_data_1[[#This Row],[Discount]]))-sales_data_1[[#This Row],[Unit_Cost]])*sales_data_1[[#This Row],[Quantity_Sold]]</f>
        <v>4987.3383999999987</v>
      </c>
      <c r="O1590" s="17" t="s">
        <v>27</v>
      </c>
      <c r="P1590" s="26">
        <v>0.04</v>
      </c>
      <c r="Q1590" s="17" t="s">
        <v>25</v>
      </c>
      <c r="R1590" s="17" t="s">
        <v>19</v>
      </c>
      <c r="S1590" s="50" t="str">
        <f t="shared" si="74"/>
        <v>Bob-West</v>
      </c>
      <c r="T1590" s="59" t="str">
        <f>IF(ROUND(sales_data_1[[#This Row],[Profit_Margin]],2)=ROUND((sales_data_1[[#This Row],[Unit_Price]]*(1-sales_data_1[[#This Row],[Discount]]) - sales_data_1[[#This Row],[Unit_Cost]])*sales_data_1[[#This Row],[Quantity_Sold]],2), "PASS", "CHECK")</f>
        <v>PASS</v>
      </c>
    </row>
    <row r="1591" spans="1:20" x14ac:dyDescent="0.35">
      <c r="A1591" s="7">
        <v>1590</v>
      </c>
      <c r="B1591" s="9">
        <v>1063</v>
      </c>
      <c r="C1591" s="14" t="str">
        <f>IFERROR(_xlfn.TEXTJOIN("-", TRUE, _xlfn.XLOOKUP(K1591, product_category_id_lookup!$A$2:$A$5, product_category_id_lookup!$B$2:$B$5), B1591), "Unknown Category")</f>
        <v>etc-1063</v>
      </c>
      <c r="D1591" s="8">
        <v>45099</v>
      </c>
      <c r="E1591" s="14">
        <f t="shared" si="72"/>
        <v>2023</v>
      </c>
      <c r="F1591" s="29" t="str">
        <f t="shared" si="73"/>
        <v>Jun</v>
      </c>
      <c r="G1591" s="17" t="s">
        <v>14</v>
      </c>
      <c r="H1591" s="17" t="s">
        <v>23</v>
      </c>
      <c r="I1591" s="24">
        <v>104570.18088482266</v>
      </c>
      <c r="J1591" s="32">
        <v>25</v>
      </c>
      <c r="K1591" s="17" t="s">
        <v>31</v>
      </c>
      <c r="L1591" s="24">
        <v>3997.1</v>
      </c>
      <c r="M1591" s="24">
        <v>4212.6499999999996</v>
      </c>
      <c r="N1591" s="34">
        <f>((sales_data_1[[#This Row],[Unit_Price]]*(1-sales_data_1[[#This Row],[Discount]]))-sales_data_1[[#This Row],[Unit_Cost]])*sales_data_1[[#This Row],[Quantity_Sold]]</f>
        <v>4335.5874999999851</v>
      </c>
      <c r="O1591" s="17" t="s">
        <v>27</v>
      </c>
      <c r="P1591" s="26">
        <v>0.01</v>
      </c>
      <c r="Q1591" s="17" t="s">
        <v>18</v>
      </c>
      <c r="R1591" s="17" t="s">
        <v>19</v>
      </c>
      <c r="S1591" s="50" t="str">
        <f t="shared" si="74"/>
        <v>Bob-South</v>
      </c>
      <c r="T1591" s="59" t="str">
        <f>IF(ROUND(sales_data_1[[#This Row],[Profit_Margin]],2)=ROUND((sales_data_1[[#This Row],[Unit_Price]]*(1-sales_data_1[[#This Row],[Discount]]) - sales_data_1[[#This Row],[Unit_Cost]])*sales_data_1[[#This Row],[Quantity_Sold]],2), "PASS", "CHECK")</f>
        <v>PASS</v>
      </c>
    </row>
    <row r="1592" spans="1:20" x14ac:dyDescent="0.35">
      <c r="A1592" s="7">
        <v>1591</v>
      </c>
      <c r="B1592" s="9">
        <v>1079</v>
      </c>
      <c r="C1592" s="14" t="str">
        <f>IFERROR(_xlfn.TEXTJOIN("-", TRUE, _xlfn.XLOOKUP(K1592, product_category_id_lookup!$A$2:$A$5, product_category_id_lookup!$B$2:$B$5), B1592), "Unknown Category")</f>
        <v>ctg-1079</v>
      </c>
      <c r="D1592" s="8">
        <v>45099</v>
      </c>
      <c r="E1592" s="14">
        <f t="shared" si="72"/>
        <v>2023</v>
      </c>
      <c r="F1592" s="29" t="str">
        <f t="shared" si="73"/>
        <v>Jun</v>
      </c>
      <c r="G1592" s="17" t="s">
        <v>32</v>
      </c>
      <c r="H1592" s="17" t="s">
        <v>30</v>
      </c>
      <c r="I1592" s="24">
        <v>29791.313999999998</v>
      </c>
      <c r="J1592" s="32">
        <v>49</v>
      </c>
      <c r="K1592" s="17" t="s">
        <v>26</v>
      </c>
      <c r="L1592" s="24">
        <v>437.59</v>
      </c>
      <c r="M1592" s="24">
        <v>675.54</v>
      </c>
      <c r="N1592" s="34">
        <f>((sales_data_1[[#This Row],[Unit_Price]]*(1-sales_data_1[[#This Row],[Discount]]))-sales_data_1[[#This Row],[Unit_Cost]])*sales_data_1[[#This Row],[Quantity_Sold]]</f>
        <v>8349.4040000000005</v>
      </c>
      <c r="O1592" s="17" t="s">
        <v>17</v>
      </c>
      <c r="P1592" s="26">
        <v>0.1</v>
      </c>
      <c r="Q1592" s="17" t="s">
        <v>18</v>
      </c>
      <c r="R1592" s="17" t="s">
        <v>19</v>
      </c>
      <c r="S1592" s="50" t="str">
        <f t="shared" si="74"/>
        <v>Eve-East</v>
      </c>
      <c r="T1592" s="59" t="str">
        <f>IF(ROUND(sales_data_1[[#This Row],[Profit_Margin]],2)=ROUND((sales_data_1[[#This Row],[Unit_Price]]*(1-sales_data_1[[#This Row],[Discount]]) - sales_data_1[[#This Row],[Unit_Cost]])*sales_data_1[[#This Row],[Quantity_Sold]],2), "PASS", "CHECK")</f>
        <v>PASS</v>
      </c>
    </row>
    <row r="1593" spans="1:20" x14ac:dyDescent="0.35">
      <c r="A1593" s="7">
        <v>1592</v>
      </c>
      <c r="B1593" s="9">
        <v>1004</v>
      </c>
      <c r="C1593" s="14" t="str">
        <f>IFERROR(_xlfn.TEXTJOIN("-", TRUE, _xlfn.XLOOKUP(K1593, product_category_id_lookup!$A$2:$A$5, product_category_id_lookup!$B$2:$B$5), B1593), "Unknown Category")</f>
        <v>etc-1004</v>
      </c>
      <c r="D1593" s="8">
        <v>45099</v>
      </c>
      <c r="E1593" s="14">
        <f t="shared" si="72"/>
        <v>2023</v>
      </c>
      <c r="F1593" s="29" t="str">
        <f t="shared" si="73"/>
        <v>Jun</v>
      </c>
      <c r="G1593" s="17" t="s">
        <v>32</v>
      </c>
      <c r="H1593" s="17" t="s">
        <v>23</v>
      </c>
      <c r="I1593" s="24">
        <v>102939.71999999999</v>
      </c>
      <c r="J1593" s="32">
        <v>39</v>
      </c>
      <c r="K1593" s="17" t="s">
        <v>31</v>
      </c>
      <c r="L1593" s="24">
        <v>2416.89</v>
      </c>
      <c r="M1593" s="24">
        <v>2778.3999999999996</v>
      </c>
      <c r="N1593" s="34">
        <f>((sales_data_1[[#This Row],[Unit_Price]]*(1-sales_data_1[[#This Row],[Discount]]))-sales_data_1[[#This Row],[Unit_Cost]])*sales_data_1[[#This Row],[Quantity_Sold]]</f>
        <v>8681.0099999999875</v>
      </c>
      <c r="O1593" s="17" t="s">
        <v>17</v>
      </c>
      <c r="P1593" s="26">
        <v>0.05</v>
      </c>
      <c r="Q1593" s="17" t="s">
        <v>18</v>
      </c>
      <c r="R1593" s="17" t="s">
        <v>19</v>
      </c>
      <c r="S1593" s="50" t="str">
        <f t="shared" si="74"/>
        <v>Eve-South</v>
      </c>
      <c r="T1593" s="59" t="str">
        <f>IF(ROUND(sales_data_1[[#This Row],[Profit_Margin]],2)=ROUND((sales_data_1[[#This Row],[Unit_Price]]*(1-sales_data_1[[#This Row],[Discount]]) - sales_data_1[[#This Row],[Unit_Cost]])*sales_data_1[[#This Row],[Quantity_Sold]],2), "PASS", "CHECK")</f>
        <v>PASS</v>
      </c>
    </row>
    <row r="1594" spans="1:20" x14ac:dyDescent="0.35">
      <c r="A1594" s="7">
        <v>1593</v>
      </c>
      <c r="B1594" s="9">
        <v>1084</v>
      </c>
      <c r="C1594" s="14" t="str">
        <f>IFERROR(_xlfn.TEXTJOIN("-", TRUE, _xlfn.XLOOKUP(K1594, product_category_id_lookup!$A$2:$A$5, product_category_id_lookup!$B$2:$B$5), B1594), "Unknown Category")</f>
        <v>fnt-1084</v>
      </c>
      <c r="D1594" s="8">
        <v>45099</v>
      </c>
      <c r="E1594" s="14">
        <f t="shared" si="72"/>
        <v>2023</v>
      </c>
      <c r="F1594" s="29" t="str">
        <f t="shared" si="73"/>
        <v>Jun</v>
      </c>
      <c r="G1594" s="17" t="s">
        <v>32</v>
      </c>
      <c r="H1594" s="17" t="s">
        <v>15</v>
      </c>
      <c r="I1594" s="24">
        <v>223101.02852834261</v>
      </c>
      <c r="J1594" s="32">
        <v>49</v>
      </c>
      <c r="K1594" s="17" t="s">
        <v>16</v>
      </c>
      <c r="L1594" s="24">
        <v>4291.97</v>
      </c>
      <c r="M1594" s="24">
        <v>4645.6400000000003</v>
      </c>
      <c r="N1594" s="34">
        <f>((sales_data_1[[#This Row],[Unit_Price]]*(1-sales_data_1[[#This Row],[Discount]]))-sales_data_1[[#This Row],[Unit_Cost]])*sales_data_1[[#This Row],[Quantity_Sold]]</f>
        <v>12777.102800000001</v>
      </c>
      <c r="O1594" s="17" t="s">
        <v>17</v>
      </c>
      <c r="P1594" s="26">
        <v>0.02</v>
      </c>
      <c r="Q1594" s="17" t="s">
        <v>28</v>
      </c>
      <c r="R1594" s="17" t="s">
        <v>19</v>
      </c>
      <c r="S1594" s="50" t="str">
        <f t="shared" si="74"/>
        <v>Eve-North</v>
      </c>
      <c r="T1594" s="59" t="str">
        <f>IF(ROUND(sales_data_1[[#This Row],[Profit_Margin]],2)=ROUND((sales_data_1[[#This Row],[Unit_Price]]*(1-sales_data_1[[#This Row],[Discount]]) - sales_data_1[[#This Row],[Unit_Cost]])*sales_data_1[[#This Row],[Quantity_Sold]],2), "PASS", "CHECK")</f>
        <v>PASS</v>
      </c>
    </row>
    <row r="1595" spans="1:20" x14ac:dyDescent="0.35">
      <c r="A1595" s="7">
        <v>1594</v>
      </c>
      <c r="B1595" s="9">
        <v>1054</v>
      </c>
      <c r="C1595" s="14" t="str">
        <f>IFERROR(_xlfn.TEXTJOIN("-", TRUE, _xlfn.XLOOKUP(K1595, product_category_id_lookup!$A$2:$A$5, product_category_id_lookup!$B$2:$B$5), B1595), "Unknown Category")</f>
        <v>etc-1054</v>
      </c>
      <c r="D1595" s="8">
        <v>45100</v>
      </c>
      <c r="E1595" s="14">
        <f t="shared" si="72"/>
        <v>2023</v>
      </c>
      <c r="F1595" s="29" t="str">
        <f t="shared" si="73"/>
        <v>Jun</v>
      </c>
      <c r="G1595" s="17" t="s">
        <v>22</v>
      </c>
      <c r="H1595" s="17" t="s">
        <v>20</v>
      </c>
      <c r="I1595" s="24">
        <v>39405.020307288432</v>
      </c>
      <c r="J1595" s="32">
        <v>27</v>
      </c>
      <c r="K1595" s="17" t="s">
        <v>31</v>
      </c>
      <c r="L1595" s="24">
        <v>1456.09</v>
      </c>
      <c r="M1595" s="24">
        <v>1510.4299999999998</v>
      </c>
      <c r="N1595" s="34">
        <f>((sales_data_1[[#This Row],[Unit_Price]]*(1-sales_data_1[[#This Row],[Discount]]))-sales_data_1[[#This Row],[Unit_Cost]])*sales_data_1[[#This Row],[Quantity_Sold]]</f>
        <v>243.73169999999436</v>
      </c>
      <c r="O1595" s="17" t="s">
        <v>17</v>
      </c>
      <c r="P1595" s="26">
        <v>0.03</v>
      </c>
      <c r="Q1595" s="17" t="s">
        <v>18</v>
      </c>
      <c r="R1595" s="17" t="s">
        <v>21</v>
      </c>
      <c r="S1595" s="50" t="str">
        <f t="shared" si="74"/>
        <v>David-West</v>
      </c>
      <c r="T1595" s="59" t="str">
        <f>IF(ROUND(sales_data_1[[#This Row],[Profit_Margin]],2)=ROUND((sales_data_1[[#This Row],[Unit_Price]]*(1-sales_data_1[[#This Row],[Discount]]) - sales_data_1[[#This Row],[Unit_Cost]])*sales_data_1[[#This Row],[Quantity_Sold]],2), "PASS", "CHECK")</f>
        <v>PASS</v>
      </c>
    </row>
    <row r="1596" spans="1:20" x14ac:dyDescent="0.35">
      <c r="A1596" s="7">
        <v>1595</v>
      </c>
      <c r="B1596" s="9">
        <v>1067</v>
      </c>
      <c r="C1596" s="14" t="str">
        <f>IFERROR(_xlfn.TEXTJOIN("-", TRUE, _xlfn.XLOOKUP(K1596, product_category_id_lookup!$A$2:$A$5, product_category_id_lookup!$B$2:$B$5), B1596), "Unknown Category")</f>
        <v>fnt-1067</v>
      </c>
      <c r="D1596" s="8">
        <v>45100</v>
      </c>
      <c r="E1596" s="14">
        <f t="shared" si="72"/>
        <v>2023</v>
      </c>
      <c r="F1596" s="29" t="str">
        <f t="shared" si="73"/>
        <v>Jun</v>
      </c>
      <c r="G1596" s="17" t="s">
        <v>14</v>
      </c>
      <c r="H1596" s="17" t="s">
        <v>15</v>
      </c>
      <c r="I1596" s="24">
        <v>38641.630956880312</v>
      </c>
      <c r="J1596" s="32">
        <v>11</v>
      </c>
      <c r="K1596" s="17" t="s">
        <v>16</v>
      </c>
      <c r="L1596" s="24">
        <v>3435.68</v>
      </c>
      <c r="M1596" s="24">
        <v>3552.6299999999997</v>
      </c>
      <c r="N1596" s="34">
        <f>((sales_data_1[[#This Row],[Unit_Price]]*(1-sales_data_1[[#This Row],[Discount]]))-sales_data_1[[#This Row],[Unit_Cost]])*sales_data_1[[#This Row],[Quantity_Sold]]</f>
        <v>895.66069999999809</v>
      </c>
      <c r="O1596" s="17" t="s">
        <v>27</v>
      </c>
      <c r="P1596" s="26">
        <v>0.01</v>
      </c>
      <c r="Q1596" s="17" t="s">
        <v>18</v>
      </c>
      <c r="R1596" s="17" t="s">
        <v>21</v>
      </c>
      <c r="S1596" s="50" t="str">
        <f t="shared" si="74"/>
        <v>Bob-North</v>
      </c>
      <c r="T1596" s="59" t="str">
        <f>IF(ROUND(sales_data_1[[#This Row],[Profit_Margin]],2)=ROUND((sales_data_1[[#This Row],[Unit_Price]]*(1-sales_data_1[[#This Row],[Discount]]) - sales_data_1[[#This Row],[Unit_Cost]])*sales_data_1[[#This Row],[Quantity_Sold]],2), "PASS", "CHECK")</f>
        <v>PASS</v>
      </c>
    </row>
    <row r="1597" spans="1:20" x14ac:dyDescent="0.35">
      <c r="A1597" s="7">
        <v>1596</v>
      </c>
      <c r="B1597" s="9">
        <v>1066</v>
      </c>
      <c r="C1597" s="14" t="str">
        <f>IFERROR(_xlfn.TEXTJOIN("-", TRUE, _xlfn.XLOOKUP(K1597, product_category_id_lookup!$A$2:$A$5, product_category_id_lookup!$B$2:$B$5), B1597), "Unknown Category")</f>
        <v>fnt-1066</v>
      </c>
      <c r="D1597" s="8">
        <v>45101</v>
      </c>
      <c r="E1597" s="14">
        <f t="shared" si="72"/>
        <v>2023</v>
      </c>
      <c r="F1597" s="29" t="str">
        <f t="shared" si="73"/>
        <v>Jun</v>
      </c>
      <c r="G1597" s="17" t="s">
        <v>14</v>
      </c>
      <c r="H1597" s="17" t="s">
        <v>20</v>
      </c>
      <c r="I1597" s="24">
        <v>54434.891735674122</v>
      </c>
      <c r="J1597" s="32">
        <v>13</v>
      </c>
      <c r="K1597" s="17" t="s">
        <v>16</v>
      </c>
      <c r="L1597" s="24">
        <v>4133.92</v>
      </c>
      <c r="M1597" s="24">
        <v>4358.37</v>
      </c>
      <c r="N1597" s="34">
        <f>((sales_data_1[[#This Row],[Unit_Price]]*(1-sales_data_1[[#This Row],[Discount]]))-sales_data_1[[#This Row],[Unit_Cost]])*sales_data_1[[#This Row],[Quantity_Sold]]</f>
        <v>651.4975999999906</v>
      </c>
      <c r="O1597" s="17" t="s">
        <v>27</v>
      </c>
      <c r="P1597" s="26">
        <v>0.04</v>
      </c>
      <c r="Q1597" s="17" t="s">
        <v>18</v>
      </c>
      <c r="R1597" s="17" t="s">
        <v>21</v>
      </c>
      <c r="S1597" s="50" t="str">
        <f t="shared" si="74"/>
        <v>Bob-West</v>
      </c>
      <c r="T1597" s="59" t="str">
        <f>IF(ROUND(sales_data_1[[#This Row],[Profit_Margin]],2)=ROUND((sales_data_1[[#This Row],[Unit_Price]]*(1-sales_data_1[[#This Row],[Discount]]) - sales_data_1[[#This Row],[Unit_Cost]])*sales_data_1[[#This Row],[Quantity_Sold]],2), "PASS", "CHECK")</f>
        <v>PASS</v>
      </c>
    </row>
    <row r="1598" spans="1:20" x14ac:dyDescent="0.35">
      <c r="A1598" s="7">
        <v>1597</v>
      </c>
      <c r="B1598" s="9">
        <v>1021</v>
      </c>
      <c r="C1598" s="14" t="str">
        <f>IFERROR(_xlfn.TEXTJOIN("-", TRUE, _xlfn.XLOOKUP(K1598, product_category_id_lookup!$A$2:$A$5, product_category_id_lookup!$B$2:$B$5), B1598), "Unknown Category")</f>
        <v>etc-1021</v>
      </c>
      <c r="D1598" s="8">
        <v>45101</v>
      </c>
      <c r="E1598" s="14">
        <f t="shared" si="72"/>
        <v>2023</v>
      </c>
      <c r="F1598" s="29" t="str">
        <f t="shared" si="73"/>
        <v>Jun</v>
      </c>
      <c r="G1598" s="17" t="s">
        <v>33</v>
      </c>
      <c r="H1598" s="17" t="s">
        <v>20</v>
      </c>
      <c r="I1598" s="24">
        <v>121862.10406513128</v>
      </c>
      <c r="J1598" s="32">
        <v>24</v>
      </c>
      <c r="K1598" s="17" t="s">
        <v>31</v>
      </c>
      <c r="L1598" s="24">
        <v>4916.17</v>
      </c>
      <c r="M1598" s="24">
        <v>5309.32</v>
      </c>
      <c r="N1598" s="34">
        <f>((sales_data_1[[#This Row],[Unit_Price]]*(1-sales_data_1[[#This Row],[Discount]]))-sales_data_1[[#This Row],[Unit_Cost]])*sales_data_1[[#This Row],[Quantity_Sold]]</f>
        <v>4338.6527999999889</v>
      </c>
      <c r="O1598" s="17" t="s">
        <v>17</v>
      </c>
      <c r="P1598" s="26">
        <v>0.04</v>
      </c>
      <c r="Q1598" s="17" t="s">
        <v>28</v>
      </c>
      <c r="R1598" s="17" t="s">
        <v>19</v>
      </c>
      <c r="S1598" s="50" t="str">
        <f t="shared" si="74"/>
        <v>Alice-West</v>
      </c>
      <c r="T1598" s="59" t="str">
        <f>IF(ROUND(sales_data_1[[#This Row],[Profit_Margin]],2)=ROUND((sales_data_1[[#This Row],[Unit_Price]]*(1-sales_data_1[[#This Row],[Discount]]) - sales_data_1[[#This Row],[Unit_Cost]])*sales_data_1[[#This Row],[Quantity_Sold]],2), "PASS", "CHECK")</f>
        <v>PASS</v>
      </c>
    </row>
    <row r="1599" spans="1:20" x14ac:dyDescent="0.35">
      <c r="A1599" s="7">
        <v>1598</v>
      </c>
      <c r="B1599" s="9">
        <v>1024</v>
      </c>
      <c r="C1599" s="14" t="str">
        <f>IFERROR(_xlfn.TEXTJOIN("-", TRUE, _xlfn.XLOOKUP(K1599, product_category_id_lookup!$A$2:$A$5, product_category_id_lookup!$B$2:$B$5), B1599), "Unknown Category")</f>
        <v>ctg-1024</v>
      </c>
      <c r="D1599" s="8">
        <v>45101</v>
      </c>
      <c r="E1599" s="14">
        <f t="shared" si="72"/>
        <v>2023</v>
      </c>
      <c r="F1599" s="29" t="str">
        <f t="shared" si="73"/>
        <v>Jun</v>
      </c>
      <c r="G1599" s="17" t="s">
        <v>33</v>
      </c>
      <c r="H1599" s="17" t="s">
        <v>15</v>
      </c>
      <c r="I1599" s="24">
        <v>139368.82130865881</v>
      </c>
      <c r="J1599" s="32">
        <v>43</v>
      </c>
      <c r="K1599" s="17" t="s">
        <v>26</v>
      </c>
      <c r="L1599" s="24">
        <v>3105.24</v>
      </c>
      <c r="M1599" s="24">
        <v>3246.33</v>
      </c>
      <c r="N1599" s="34">
        <f>((sales_data_1[[#This Row],[Unit_Price]]*(1-sales_data_1[[#This Row],[Discount]]))-sales_data_1[[#This Row],[Unit_Cost]])*sales_data_1[[#This Row],[Quantity_Sold]]</f>
        <v>6066.8700000000063</v>
      </c>
      <c r="O1599" s="17" t="s">
        <v>27</v>
      </c>
      <c r="P1599" s="26">
        <v>0</v>
      </c>
      <c r="Q1599" s="17" t="s">
        <v>18</v>
      </c>
      <c r="R1599" s="17" t="s">
        <v>19</v>
      </c>
      <c r="S1599" s="50" t="str">
        <f t="shared" si="74"/>
        <v>Alice-North</v>
      </c>
      <c r="T1599" s="59" t="str">
        <f>IF(ROUND(sales_data_1[[#This Row],[Profit_Margin]],2)=ROUND((sales_data_1[[#This Row],[Unit_Price]]*(1-sales_data_1[[#This Row],[Discount]]) - sales_data_1[[#This Row],[Unit_Cost]])*sales_data_1[[#This Row],[Quantity_Sold]],2), "PASS", "CHECK")</f>
        <v>PASS</v>
      </c>
    </row>
    <row r="1600" spans="1:20" x14ac:dyDescent="0.35">
      <c r="A1600" s="7">
        <v>1599</v>
      </c>
      <c r="B1600" s="9">
        <v>1045</v>
      </c>
      <c r="C1600" s="14" t="str">
        <f>IFERROR(_xlfn.TEXTJOIN("-", TRUE, _xlfn.XLOOKUP(K1600, product_category_id_lookup!$A$2:$A$5, product_category_id_lookup!$B$2:$B$5), B1600), "Unknown Category")</f>
        <v>ctg-1045</v>
      </c>
      <c r="D1600" s="8">
        <v>45102</v>
      </c>
      <c r="E1600" s="14">
        <f t="shared" si="72"/>
        <v>2023</v>
      </c>
      <c r="F1600" s="29" t="str">
        <f t="shared" si="73"/>
        <v>Jun</v>
      </c>
      <c r="G1600" s="17" t="s">
        <v>32</v>
      </c>
      <c r="H1600" s="17" t="s">
        <v>23</v>
      </c>
      <c r="I1600" s="24">
        <v>44529.232698480904</v>
      </c>
      <c r="J1600" s="32">
        <v>9</v>
      </c>
      <c r="K1600" s="17" t="s">
        <v>26</v>
      </c>
      <c r="L1600" s="24">
        <v>4920.34</v>
      </c>
      <c r="M1600" s="24">
        <v>5129.1900000000005</v>
      </c>
      <c r="N1600" s="34">
        <f>((sales_data_1[[#This Row],[Unit_Price]]*(1-sales_data_1[[#This Row],[Discount]]))-sales_data_1[[#This Row],[Unit_Cost]])*sales_data_1[[#This Row],[Quantity_Sold]]</f>
        <v>33.141600000005383</v>
      </c>
      <c r="O1600" s="17" t="s">
        <v>17</v>
      </c>
      <c r="P1600" s="26">
        <v>0.04</v>
      </c>
      <c r="Q1600" s="17" t="s">
        <v>28</v>
      </c>
      <c r="R1600" s="17" t="s">
        <v>19</v>
      </c>
      <c r="S1600" s="50" t="str">
        <f t="shared" si="74"/>
        <v>Eve-South</v>
      </c>
      <c r="T1600" s="59" t="str">
        <f>IF(ROUND(sales_data_1[[#This Row],[Profit_Margin]],2)=ROUND((sales_data_1[[#This Row],[Unit_Price]]*(1-sales_data_1[[#This Row],[Discount]]) - sales_data_1[[#This Row],[Unit_Cost]])*sales_data_1[[#This Row],[Quantity_Sold]],2), "PASS", "CHECK")</f>
        <v>PASS</v>
      </c>
    </row>
    <row r="1601" spans="1:20" x14ac:dyDescent="0.35">
      <c r="A1601" s="7">
        <v>1600</v>
      </c>
      <c r="B1601" s="9">
        <v>1016</v>
      </c>
      <c r="C1601" s="14" t="str">
        <f>IFERROR(_xlfn.TEXTJOIN("-", TRUE, _xlfn.XLOOKUP(K1601, product_category_id_lookup!$A$2:$A$5, product_category_id_lookup!$B$2:$B$5), B1601), "Unknown Category")</f>
        <v>etc-1016</v>
      </c>
      <c r="D1601" s="8">
        <v>45102</v>
      </c>
      <c r="E1601" s="14">
        <f t="shared" si="72"/>
        <v>2023</v>
      </c>
      <c r="F1601" s="29" t="str">
        <f t="shared" si="73"/>
        <v>Jun</v>
      </c>
      <c r="G1601" s="17" t="s">
        <v>33</v>
      </c>
      <c r="H1601" s="17" t="s">
        <v>20</v>
      </c>
      <c r="I1601" s="24">
        <v>6707.802853352111</v>
      </c>
      <c r="J1601" s="32">
        <v>2</v>
      </c>
      <c r="K1601" s="17" t="s">
        <v>31</v>
      </c>
      <c r="L1601" s="24">
        <v>3144.82</v>
      </c>
      <c r="M1601" s="24">
        <v>3480.58</v>
      </c>
      <c r="N1601" s="34">
        <f>((sales_data_1[[#This Row],[Unit_Price]]*(1-sales_data_1[[#This Row],[Discount]]))-sales_data_1[[#This Row],[Unit_Cost]])*sales_data_1[[#This Row],[Quantity_Sold]]</f>
        <v>393.07359999999971</v>
      </c>
      <c r="O1601" s="17" t="s">
        <v>17</v>
      </c>
      <c r="P1601" s="26">
        <v>0.04</v>
      </c>
      <c r="Q1601" s="17" t="s">
        <v>18</v>
      </c>
      <c r="R1601" s="17" t="s">
        <v>21</v>
      </c>
      <c r="S1601" s="50" t="str">
        <f t="shared" si="74"/>
        <v>Alice-West</v>
      </c>
      <c r="T1601" s="59" t="str">
        <f>IF(ROUND(sales_data_1[[#This Row],[Profit_Margin]],2)=ROUND((sales_data_1[[#This Row],[Unit_Price]]*(1-sales_data_1[[#This Row],[Discount]]) - sales_data_1[[#This Row],[Unit_Cost]])*sales_data_1[[#This Row],[Quantity_Sold]],2), "PASS", "CHECK")</f>
        <v>PASS</v>
      </c>
    </row>
    <row r="1602" spans="1:20" x14ac:dyDescent="0.35">
      <c r="A1602" s="7">
        <v>1601</v>
      </c>
      <c r="B1602" s="9">
        <v>1031</v>
      </c>
      <c r="C1602" s="14" t="str">
        <f>IFERROR(_xlfn.TEXTJOIN("-", TRUE, _xlfn.XLOOKUP(K1602, product_category_id_lookup!$A$2:$A$5, product_category_id_lookup!$B$2:$B$5), B1602), "Unknown Category")</f>
        <v>etc-1031</v>
      </c>
      <c r="D1602" s="8">
        <v>45102</v>
      </c>
      <c r="E1602" s="14">
        <f t="shared" ref="E1602:E1665" si="75">YEAR(D1602)</f>
        <v>2023</v>
      </c>
      <c r="F1602" s="29" t="str">
        <f t="shared" ref="F1602:F1665" si="76">LEFT(TEXT(D1602,"mmmm"),3)</f>
        <v>Jun</v>
      </c>
      <c r="G1602" s="17" t="s">
        <v>33</v>
      </c>
      <c r="H1602" s="17" t="s">
        <v>20</v>
      </c>
      <c r="I1602" s="24">
        <v>6136.05</v>
      </c>
      <c r="J1602" s="32">
        <v>10</v>
      </c>
      <c r="K1602" s="17" t="s">
        <v>31</v>
      </c>
      <c r="L1602" s="24">
        <v>566.86</v>
      </c>
      <c r="M1602" s="24">
        <v>818.14</v>
      </c>
      <c r="N1602" s="34">
        <f>((sales_data_1[[#This Row],[Unit_Price]]*(1-sales_data_1[[#This Row],[Discount]]))-sales_data_1[[#This Row],[Unit_Cost]])*sales_data_1[[#This Row],[Quantity_Sold]]</f>
        <v>467.45000000000005</v>
      </c>
      <c r="O1602" s="17" t="s">
        <v>17</v>
      </c>
      <c r="P1602" s="26">
        <v>0.25</v>
      </c>
      <c r="Q1602" s="17" t="s">
        <v>28</v>
      </c>
      <c r="R1602" s="17" t="s">
        <v>21</v>
      </c>
      <c r="S1602" s="50" t="str">
        <f t="shared" ref="S1602:S1665" si="77">_xlfn.CONCAT(G1602,"-",H1602)</f>
        <v>Alice-West</v>
      </c>
      <c r="T1602" s="59" t="str">
        <f>IF(ROUND(sales_data_1[[#This Row],[Profit_Margin]],2)=ROUND((sales_data_1[[#This Row],[Unit_Price]]*(1-sales_data_1[[#This Row],[Discount]]) - sales_data_1[[#This Row],[Unit_Cost]])*sales_data_1[[#This Row],[Quantity_Sold]],2), "PASS", "CHECK")</f>
        <v>PASS</v>
      </c>
    </row>
    <row r="1603" spans="1:20" x14ac:dyDescent="0.35">
      <c r="A1603" s="7">
        <v>1602</v>
      </c>
      <c r="B1603" s="9">
        <v>1016</v>
      </c>
      <c r="C1603" s="14" t="str">
        <f>IFERROR(_xlfn.TEXTJOIN("-", TRUE, _xlfn.XLOOKUP(K1603, product_category_id_lookup!$A$2:$A$5, product_category_id_lookup!$B$2:$B$5), B1603), "Unknown Category")</f>
        <v>etc-1016</v>
      </c>
      <c r="D1603" s="8">
        <v>45103</v>
      </c>
      <c r="E1603" s="14">
        <f t="shared" si="75"/>
        <v>2023</v>
      </c>
      <c r="F1603" s="29" t="str">
        <f t="shared" si="76"/>
        <v>Jun</v>
      </c>
      <c r="G1603" s="17" t="s">
        <v>29</v>
      </c>
      <c r="H1603" s="17" t="s">
        <v>15</v>
      </c>
      <c r="I1603" s="24">
        <v>10529.0622</v>
      </c>
      <c r="J1603" s="32">
        <v>3</v>
      </c>
      <c r="K1603" s="17" t="s">
        <v>31</v>
      </c>
      <c r="L1603" s="24">
        <v>3401.87</v>
      </c>
      <c r="M1603" s="24">
        <v>3733.71</v>
      </c>
      <c r="N1603" s="34">
        <f>((sales_data_1[[#This Row],[Unit_Price]]*(1-sales_data_1[[#This Row],[Discount]]))-sales_data_1[[#This Row],[Unit_Cost]])*sales_data_1[[#This Row],[Quantity_Sold]]</f>
        <v>323.45219999999972</v>
      </c>
      <c r="O1603" s="17" t="s">
        <v>17</v>
      </c>
      <c r="P1603" s="26">
        <v>0.06</v>
      </c>
      <c r="Q1603" s="17" t="s">
        <v>25</v>
      </c>
      <c r="R1603" s="17" t="s">
        <v>21</v>
      </c>
      <c r="S1603" s="50" t="str">
        <f t="shared" si="77"/>
        <v>Charlie-North</v>
      </c>
      <c r="T1603" s="59" t="str">
        <f>IF(ROUND(sales_data_1[[#This Row],[Profit_Margin]],2)=ROUND((sales_data_1[[#This Row],[Unit_Price]]*(1-sales_data_1[[#This Row],[Discount]]) - sales_data_1[[#This Row],[Unit_Cost]])*sales_data_1[[#This Row],[Quantity_Sold]],2), "PASS", "CHECK")</f>
        <v>PASS</v>
      </c>
    </row>
    <row r="1604" spans="1:20" x14ac:dyDescent="0.35">
      <c r="A1604" s="7">
        <v>1603</v>
      </c>
      <c r="B1604" s="9">
        <v>1089</v>
      </c>
      <c r="C1604" s="14" t="str">
        <f>IFERROR(_xlfn.TEXTJOIN("-", TRUE, _xlfn.XLOOKUP(K1604, product_category_id_lookup!$A$2:$A$5, product_category_id_lookup!$B$2:$B$5), B1604), "Unknown Category")</f>
        <v>fnt-1089</v>
      </c>
      <c r="D1604" s="8">
        <v>45103</v>
      </c>
      <c r="E1604" s="14">
        <f t="shared" si="75"/>
        <v>2023</v>
      </c>
      <c r="F1604" s="29" t="str">
        <f t="shared" si="76"/>
        <v>Jun</v>
      </c>
      <c r="G1604" s="17" t="s">
        <v>32</v>
      </c>
      <c r="H1604" s="17" t="s">
        <v>15</v>
      </c>
      <c r="I1604" s="24">
        <v>141571.57821563724</v>
      </c>
      <c r="J1604" s="32">
        <v>35</v>
      </c>
      <c r="K1604" s="17" t="s">
        <v>16</v>
      </c>
      <c r="L1604" s="24">
        <v>3925.85</v>
      </c>
      <c r="M1604" s="24">
        <v>4082.1099999999997</v>
      </c>
      <c r="N1604" s="34">
        <f>((sales_data_1[[#This Row],[Unit_Price]]*(1-sales_data_1[[#This Row],[Discount]]))-sales_data_1[[#This Row],[Unit_Cost]])*sales_data_1[[#This Row],[Quantity_Sold]]</f>
        <v>4040.3614999999877</v>
      </c>
      <c r="O1604" s="17" t="s">
        <v>27</v>
      </c>
      <c r="P1604" s="26">
        <v>0.01</v>
      </c>
      <c r="Q1604" s="17" t="s">
        <v>18</v>
      </c>
      <c r="R1604" s="17" t="s">
        <v>19</v>
      </c>
      <c r="S1604" s="50" t="str">
        <f t="shared" si="77"/>
        <v>Eve-North</v>
      </c>
      <c r="T1604" s="59" t="str">
        <f>IF(ROUND(sales_data_1[[#This Row],[Profit_Margin]],2)=ROUND((sales_data_1[[#This Row],[Unit_Price]]*(1-sales_data_1[[#This Row],[Discount]]) - sales_data_1[[#This Row],[Unit_Cost]])*sales_data_1[[#This Row],[Quantity_Sold]],2), "PASS", "CHECK")</f>
        <v>PASS</v>
      </c>
    </row>
    <row r="1605" spans="1:20" x14ac:dyDescent="0.35">
      <c r="A1605" s="7">
        <v>1604</v>
      </c>
      <c r="B1605" s="9">
        <v>1064</v>
      </c>
      <c r="C1605" s="14" t="str">
        <f>IFERROR(_xlfn.TEXTJOIN("-", TRUE, _xlfn.XLOOKUP(K1605, product_category_id_lookup!$A$2:$A$5, product_category_id_lookup!$B$2:$B$5), B1605), "Unknown Category")</f>
        <v>ctg-1064</v>
      </c>
      <c r="D1605" s="8">
        <v>45103</v>
      </c>
      <c r="E1605" s="14">
        <f t="shared" si="75"/>
        <v>2023</v>
      </c>
      <c r="F1605" s="29" t="str">
        <f t="shared" si="76"/>
        <v>Jun</v>
      </c>
      <c r="G1605" s="17" t="s">
        <v>33</v>
      </c>
      <c r="H1605" s="17" t="s">
        <v>15</v>
      </c>
      <c r="I1605" s="24">
        <v>53478.776400000002</v>
      </c>
      <c r="J1605" s="32">
        <v>21</v>
      </c>
      <c r="K1605" s="17" t="s">
        <v>26</v>
      </c>
      <c r="L1605" s="24">
        <v>2278.04</v>
      </c>
      <c r="M1605" s="24">
        <v>2598.58</v>
      </c>
      <c r="N1605" s="34">
        <f>((sales_data_1[[#This Row],[Unit_Price]]*(1-sales_data_1[[#This Row],[Discount]]))-sales_data_1[[#This Row],[Unit_Cost]])*sales_data_1[[#This Row],[Quantity_Sold]]</f>
        <v>5639.9364000000023</v>
      </c>
      <c r="O1605" s="17" t="s">
        <v>17</v>
      </c>
      <c r="P1605" s="26">
        <v>0.02</v>
      </c>
      <c r="Q1605" s="17" t="s">
        <v>28</v>
      </c>
      <c r="R1605" s="17" t="s">
        <v>21</v>
      </c>
      <c r="S1605" s="50" t="str">
        <f t="shared" si="77"/>
        <v>Alice-North</v>
      </c>
      <c r="T1605" s="59" t="str">
        <f>IF(ROUND(sales_data_1[[#This Row],[Profit_Margin]],2)=ROUND((sales_data_1[[#This Row],[Unit_Price]]*(1-sales_data_1[[#This Row],[Discount]]) - sales_data_1[[#This Row],[Unit_Cost]])*sales_data_1[[#This Row],[Quantity_Sold]],2), "PASS", "CHECK")</f>
        <v>PASS</v>
      </c>
    </row>
    <row r="1606" spans="1:20" x14ac:dyDescent="0.35">
      <c r="A1606" s="7">
        <v>1605</v>
      </c>
      <c r="B1606" s="9">
        <v>1025</v>
      </c>
      <c r="C1606" s="14" t="str">
        <f>IFERROR(_xlfn.TEXTJOIN("-", TRUE, _xlfn.XLOOKUP(K1606, product_category_id_lookup!$A$2:$A$5, product_category_id_lookup!$B$2:$B$5), B1606), "Unknown Category")</f>
        <v>fnt-1025</v>
      </c>
      <c r="D1606" s="8">
        <v>45103</v>
      </c>
      <c r="E1606" s="14">
        <f t="shared" si="75"/>
        <v>2023</v>
      </c>
      <c r="F1606" s="29" t="str">
        <f t="shared" si="76"/>
        <v>Jun</v>
      </c>
      <c r="G1606" s="17" t="s">
        <v>22</v>
      </c>
      <c r="H1606" s="17" t="s">
        <v>15</v>
      </c>
      <c r="I1606" s="24">
        <v>187683.04049269223</v>
      </c>
      <c r="J1606" s="32">
        <v>47</v>
      </c>
      <c r="K1606" s="17" t="s">
        <v>16</v>
      </c>
      <c r="L1606" s="24">
        <v>3861.61</v>
      </c>
      <c r="M1606" s="24">
        <v>3998.9100000000003</v>
      </c>
      <c r="N1606" s="34">
        <f>((sales_data_1[[#This Row],[Unit_Price]]*(1-sales_data_1[[#This Row],[Discount]]))-sales_data_1[[#This Row],[Unit_Cost]])*sales_data_1[[#This Row],[Quantity_Sold]]</f>
        <v>6453.1000000000085</v>
      </c>
      <c r="O1606" s="17" t="s">
        <v>27</v>
      </c>
      <c r="P1606" s="26">
        <v>0</v>
      </c>
      <c r="Q1606" s="17" t="s">
        <v>28</v>
      </c>
      <c r="R1606" s="17" t="s">
        <v>19</v>
      </c>
      <c r="S1606" s="50" t="str">
        <f t="shared" si="77"/>
        <v>David-North</v>
      </c>
      <c r="T1606" s="59" t="str">
        <f>IF(ROUND(sales_data_1[[#This Row],[Profit_Margin]],2)=ROUND((sales_data_1[[#This Row],[Unit_Price]]*(1-sales_data_1[[#This Row],[Discount]]) - sales_data_1[[#This Row],[Unit_Cost]])*sales_data_1[[#This Row],[Quantity_Sold]],2), "PASS", "CHECK")</f>
        <v>PASS</v>
      </c>
    </row>
    <row r="1607" spans="1:20" x14ac:dyDescent="0.35">
      <c r="A1607" s="7">
        <v>1606</v>
      </c>
      <c r="B1607" s="9">
        <v>1071</v>
      </c>
      <c r="C1607" s="14" t="str">
        <f>IFERROR(_xlfn.TEXTJOIN("-", TRUE, _xlfn.XLOOKUP(K1607, product_category_id_lookup!$A$2:$A$5, product_category_id_lookup!$B$2:$B$5), B1607), "Unknown Category")</f>
        <v>ctg-1071</v>
      </c>
      <c r="D1607" s="8">
        <v>45103</v>
      </c>
      <c r="E1607" s="14">
        <f t="shared" si="75"/>
        <v>2023</v>
      </c>
      <c r="F1607" s="29" t="str">
        <f t="shared" si="76"/>
        <v>Jun</v>
      </c>
      <c r="G1607" s="17" t="s">
        <v>22</v>
      </c>
      <c r="H1607" s="17" t="s">
        <v>15</v>
      </c>
      <c r="I1607" s="24">
        <v>23244.5465</v>
      </c>
      <c r="J1607" s="32">
        <v>35</v>
      </c>
      <c r="K1607" s="17" t="s">
        <v>26</v>
      </c>
      <c r="L1607" s="24">
        <v>295.82</v>
      </c>
      <c r="M1607" s="24">
        <v>684.67000000000007</v>
      </c>
      <c r="N1607" s="34">
        <f>((sales_data_1[[#This Row],[Unit_Price]]*(1-sales_data_1[[#This Row],[Discount]]))-sales_data_1[[#This Row],[Unit_Cost]])*sales_data_1[[#This Row],[Quantity_Sold]]</f>
        <v>12890.846500000001</v>
      </c>
      <c r="O1607" s="17" t="s">
        <v>27</v>
      </c>
      <c r="P1607" s="26">
        <v>0.03</v>
      </c>
      <c r="Q1607" s="17" t="s">
        <v>28</v>
      </c>
      <c r="R1607" s="17" t="s">
        <v>19</v>
      </c>
      <c r="S1607" s="50" t="str">
        <f t="shared" si="77"/>
        <v>David-North</v>
      </c>
      <c r="T1607" s="59" t="str">
        <f>IF(ROUND(sales_data_1[[#This Row],[Profit_Margin]],2)=ROUND((sales_data_1[[#This Row],[Unit_Price]]*(1-sales_data_1[[#This Row],[Discount]]) - sales_data_1[[#This Row],[Unit_Cost]])*sales_data_1[[#This Row],[Quantity_Sold]],2), "PASS", "CHECK")</f>
        <v>PASS</v>
      </c>
    </row>
    <row r="1608" spans="1:20" x14ac:dyDescent="0.35">
      <c r="A1608" s="7">
        <v>1607</v>
      </c>
      <c r="B1608" s="9">
        <v>1004</v>
      </c>
      <c r="C1608" s="14" t="str">
        <f>IFERROR(_xlfn.TEXTJOIN("-", TRUE, _xlfn.XLOOKUP(K1608, product_category_id_lookup!$A$2:$A$5, product_category_id_lookup!$B$2:$B$5), B1608), "Unknown Category")</f>
        <v>etc-1004</v>
      </c>
      <c r="D1608" s="8">
        <v>45104</v>
      </c>
      <c r="E1608" s="14">
        <f t="shared" si="75"/>
        <v>2023</v>
      </c>
      <c r="F1608" s="29" t="str">
        <f t="shared" si="76"/>
        <v>Jun</v>
      </c>
      <c r="G1608" s="17" t="s">
        <v>33</v>
      </c>
      <c r="H1608" s="17" t="s">
        <v>20</v>
      </c>
      <c r="I1608" s="24">
        <v>5955.04</v>
      </c>
      <c r="J1608" s="32">
        <v>2</v>
      </c>
      <c r="K1608" s="17" t="s">
        <v>31</v>
      </c>
      <c r="L1608" s="24">
        <v>2953.23</v>
      </c>
      <c r="M1608" s="24">
        <v>2977.52</v>
      </c>
      <c r="N1608" s="34">
        <f>((sales_data_1[[#This Row],[Unit_Price]]*(1-sales_data_1[[#This Row],[Discount]]))-sales_data_1[[#This Row],[Unit_Cost]])*sales_data_1[[#This Row],[Quantity_Sold]]</f>
        <v>48.579999999999927</v>
      </c>
      <c r="O1608" s="17" t="s">
        <v>17</v>
      </c>
      <c r="P1608" s="26">
        <v>0</v>
      </c>
      <c r="Q1608" s="17" t="s">
        <v>28</v>
      </c>
      <c r="R1608" s="17" t="s">
        <v>21</v>
      </c>
      <c r="S1608" s="50" t="str">
        <f t="shared" si="77"/>
        <v>Alice-West</v>
      </c>
      <c r="T1608" s="59" t="str">
        <f>IF(ROUND(sales_data_1[[#This Row],[Profit_Margin]],2)=ROUND((sales_data_1[[#This Row],[Unit_Price]]*(1-sales_data_1[[#This Row],[Discount]]) - sales_data_1[[#This Row],[Unit_Cost]])*sales_data_1[[#This Row],[Quantity_Sold]],2), "PASS", "CHECK")</f>
        <v>PASS</v>
      </c>
    </row>
    <row r="1609" spans="1:20" x14ac:dyDescent="0.35">
      <c r="A1609" s="7">
        <v>1608</v>
      </c>
      <c r="B1609" s="9">
        <v>1039</v>
      </c>
      <c r="C1609" s="14" t="str">
        <f>IFERROR(_xlfn.TEXTJOIN("-", TRUE, _xlfn.XLOOKUP(K1609, product_category_id_lookup!$A$2:$A$5, product_category_id_lookup!$B$2:$B$5), B1609), "Unknown Category")</f>
        <v>etc-1039</v>
      </c>
      <c r="D1609" s="8">
        <v>45104</v>
      </c>
      <c r="E1609" s="14">
        <f t="shared" si="75"/>
        <v>2023</v>
      </c>
      <c r="F1609" s="29" t="str">
        <f t="shared" si="76"/>
        <v>Jun</v>
      </c>
      <c r="G1609" s="17" t="s">
        <v>14</v>
      </c>
      <c r="H1609" s="17" t="s">
        <v>30</v>
      </c>
      <c r="I1609" s="24">
        <v>8983.4770250469955</v>
      </c>
      <c r="J1609" s="32">
        <v>2</v>
      </c>
      <c r="K1609" s="17" t="s">
        <v>31</v>
      </c>
      <c r="L1609" s="24">
        <v>4394.58</v>
      </c>
      <c r="M1609" s="24">
        <v>4545.78</v>
      </c>
      <c r="N1609" s="34">
        <f>((sales_data_1[[#This Row],[Unit_Price]]*(1-sales_data_1[[#This Row],[Discount]]))-sales_data_1[[#This Row],[Unit_Cost]])*sales_data_1[[#This Row],[Quantity_Sold]]</f>
        <v>211.48439999999937</v>
      </c>
      <c r="O1609" s="17" t="s">
        <v>17</v>
      </c>
      <c r="P1609" s="26">
        <v>0.01</v>
      </c>
      <c r="Q1609" s="17" t="s">
        <v>28</v>
      </c>
      <c r="R1609" s="17" t="s">
        <v>21</v>
      </c>
      <c r="S1609" s="50" t="str">
        <f t="shared" si="77"/>
        <v>Bob-East</v>
      </c>
      <c r="T1609" s="59" t="str">
        <f>IF(ROUND(sales_data_1[[#This Row],[Profit_Margin]],2)=ROUND((sales_data_1[[#This Row],[Unit_Price]]*(1-sales_data_1[[#This Row],[Discount]]) - sales_data_1[[#This Row],[Unit_Cost]])*sales_data_1[[#This Row],[Quantity_Sold]],2), "PASS", "CHECK")</f>
        <v>PASS</v>
      </c>
    </row>
    <row r="1610" spans="1:20" x14ac:dyDescent="0.35">
      <c r="A1610" s="7">
        <v>1609</v>
      </c>
      <c r="B1610" s="9">
        <v>1021</v>
      </c>
      <c r="C1610" s="14" t="str">
        <f>IFERROR(_xlfn.TEXTJOIN("-", TRUE, _xlfn.XLOOKUP(K1610, product_category_id_lookup!$A$2:$A$5, product_category_id_lookup!$B$2:$B$5), B1610), "Unknown Category")</f>
        <v>etc-1021</v>
      </c>
      <c r="D1610" s="8">
        <v>45104</v>
      </c>
      <c r="E1610" s="14">
        <f t="shared" si="75"/>
        <v>2023</v>
      </c>
      <c r="F1610" s="29" t="str">
        <f t="shared" si="76"/>
        <v>Jun</v>
      </c>
      <c r="G1610" s="17" t="s">
        <v>29</v>
      </c>
      <c r="H1610" s="17" t="s">
        <v>15</v>
      </c>
      <c r="I1610" s="24">
        <v>27829.49</v>
      </c>
      <c r="J1610" s="32">
        <v>19</v>
      </c>
      <c r="K1610" s="17" t="s">
        <v>31</v>
      </c>
      <c r="L1610" s="24">
        <v>1222.4000000000001</v>
      </c>
      <c r="M1610" s="24">
        <v>1464.71</v>
      </c>
      <c r="N1610" s="34">
        <f>((sales_data_1[[#This Row],[Unit_Price]]*(1-sales_data_1[[#This Row],[Discount]]))-sales_data_1[[#This Row],[Unit_Cost]])*sales_data_1[[#This Row],[Quantity_Sold]]</f>
        <v>4603.8899999999994</v>
      </c>
      <c r="O1610" s="17" t="s">
        <v>27</v>
      </c>
      <c r="P1610" s="26">
        <v>0</v>
      </c>
      <c r="Q1610" s="17" t="s">
        <v>28</v>
      </c>
      <c r="R1610" s="17" t="s">
        <v>21</v>
      </c>
      <c r="S1610" s="50" t="str">
        <f t="shared" si="77"/>
        <v>Charlie-North</v>
      </c>
      <c r="T1610" s="59" t="str">
        <f>IF(ROUND(sales_data_1[[#This Row],[Profit_Margin]],2)=ROUND((sales_data_1[[#This Row],[Unit_Price]]*(1-sales_data_1[[#This Row],[Discount]]) - sales_data_1[[#This Row],[Unit_Cost]])*sales_data_1[[#This Row],[Quantity_Sold]],2), "PASS", "CHECK")</f>
        <v>PASS</v>
      </c>
    </row>
    <row r="1611" spans="1:20" x14ac:dyDescent="0.35">
      <c r="A1611" s="7">
        <v>1610</v>
      </c>
      <c r="B1611" s="9">
        <v>1080</v>
      </c>
      <c r="C1611" s="14" t="str">
        <f>IFERROR(_xlfn.TEXTJOIN("-", TRUE, _xlfn.XLOOKUP(K1611, product_category_id_lookup!$A$2:$A$5, product_category_id_lookup!$B$2:$B$5), B1611), "Unknown Category")</f>
        <v>fnt-1080</v>
      </c>
      <c r="D1611" s="8">
        <v>45104</v>
      </c>
      <c r="E1611" s="14">
        <f t="shared" si="75"/>
        <v>2023</v>
      </c>
      <c r="F1611" s="29" t="str">
        <f t="shared" si="76"/>
        <v>Jun</v>
      </c>
      <c r="G1611" s="17" t="s">
        <v>32</v>
      </c>
      <c r="H1611" s="17" t="s">
        <v>20</v>
      </c>
      <c r="I1611" s="24">
        <v>41617.170000000006</v>
      </c>
      <c r="J1611" s="32">
        <v>35</v>
      </c>
      <c r="K1611" s="17" t="s">
        <v>16</v>
      </c>
      <c r="L1611" s="24">
        <v>900.97</v>
      </c>
      <c r="M1611" s="24">
        <v>1321.18</v>
      </c>
      <c r="N1611" s="34">
        <f>((sales_data_1[[#This Row],[Unit_Price]]*(1-sales_data_1[[#This Row],[Discount]]))-sales_data_1[[#This Row],[Unit_Cost]])*sales_data_1[[#This Row],[Quantity_Sold]]</f>
        <v>10083.220000000003</v>
      </c>
      <c r="O1611" s="17" t="s">
        <v>17</v>
      </c>
      <c r="P1611" s="26">
        <v>0.1</v>
      </c>
      <c r="Q1611" s="17" t="s">
        <v>18</v>
      </c>
      <c r="R1611" s="17" t="s">
        <v>19</v>
      </c>
      <c r="S1611" s="50" t="str">
        <f t="shared" si="77"/>
        <v>Eve-West</v>
      </c>
      <c r="T1611" s="59" t="str">
        <f>IF(ROUND(sales_data_1[[#This Row],[Profit_Margin]],2)=ROUND((sales_data_1[[#This Row],[Unit_Price]]*(1-sales_data_1[[#This Row],[Discount]]) - sales_data_1[[#This Row],[Unit_Cost]])*sales_data_1[[#This Row],[Quantity_Sold]],2), "PASS", "CHECK")</f>
        <v>PASS</v>
      </c>
    </row>
    <row r="1612" spans="1:20" x14ac:dyDescent="0.35">
      <c r="A1612" s="7">
        <v>1611</v>
      </c>
      <c r="B1612" s="9">
        <v>1059</v>
      </c>
      <c r="C1612" s="14" t="str">
        <f>IFERROR(_xlfn.TEXTJOIN("-", TRUE, _xlfn.XLOOKUP(K1612, product_category_id_lookup!$A$2:$A$5, product_category_id_lookup!$B$2:$B$5), B1612), "Unknown Category")</f>
        <v>etc-1059</v>
      </c>
      <c r="D1612" s="8">
        <v>45105</v>
      </c>
      <c r="E1612" s="14">
        <f t="shared" si="75"/>
        <v>2023</v>
      </c>
      <c r="F1612" s="29" t="str">
        <f t="shared" si="76"/>
        <v>Jun</v>
      </c>
      <c r="G1612" s="17" t="s">
        <v>14</v>
      </c>
      <c r="H1612" s="17" t="s">
        <v>15</v>
      </c>
      <c r="I1612" s="24">
        <v>25668.981</v>
      </c>
      <c r="J1612" s="32">
        <v>13</v>
      </c>
      <c r="K1612" s="17" t="s">
        <v>31</v>
      </c>
      <c r="L1612" s="24">
        <v>1969.78</v>
      </c>
      <c r="M1612" s="24">
        <v>2437.6999999999998</v>
      </c>
      <c r="N1612" s="34">
        <f>((sales_data_1[[#This Row],[Unit_Price]]*(1-sales_data_1[[#This Row],[Discount]]))-sales_data_1[[#This Row],[Unit_Cost]])*sales_data_1[[#This Row],[Quantity_Sold]]</f>
        <v>61.841000000000804</v>
      </c>
      <c r="O1612" s="17" t="s">
        <v>27</v>
      </c>
      <c r="P1612" s="26">
        <v>0.19</v>
      </c>
      <c r="Q1612" s="17" t="s">
        <v>28</v>
      </c>
      <c r="R1612" s="17" t="s">
        <v>21</v>
      </c>
      <c r="S1612" s="50" t="str">
        <f t="shared" si="77"/>
        <v>Bob-North</v>
      </c>
      <c r="T1612" s="59" t="str">
        <f>IF(ROUND(sales_data_1[[#This Row],[Profit_Margin]],2)=ROUND((sales_data_1[[#This Row],[Unit_Price]]*(1-sales_data_1[[#This Row],[Discount]]) - sales_data_1[[#This Row],[Unit_Cost]])*sales_data_1[[#This Row],[Quantity_Sold]],2), "PASS", "CHECK")</f>
        <v>PASS</v>
      </c>
    </row>
    <row r="1613" spans="1:20" x14ac:dyDescent="0.35">
      <c r="A1613" s="7">
        <v>1612</v>
      </c>
      <c r="B1613" s="9">
        <v>1023</v>
      </c>
      <c r="C1613" s="14" t="str">
        <f>IFERROR(_xlfn.TEXTJOIN("-", TRUE, _xlfn.XLOOKUP(K1613, product_category_id_lookup!$A$2:$A$5, product_category_id_lookup!$B$2:$B$5), B1613), "Unknown Category")</f>
        <v>ctg-1023</v>
      </c>
      <c r="D1613" s="8">
        <v>45105</v>
      </c>
      <c r="E1613" s="14">
        <f t="shared" si="75"/>
        <v>2023</v>
      </c>
      <c r="F1613" s="29" t="str">
        <f t="shared" si="76"/>
        <v>Jun</v>
      </c>
      <c r="G1613" s="17" t="s">
        <v>32</v>
      </c>
      <c r="H1613" s="17" t="s">
        <v>30</v>
      </c>
      <c r="I1613" s="24">
        <v>38207.908761321181</v>
      </c>
      <c r="J1613" s="32">
        <v>9</v>
      </c>
      <c r="K1613" s="17" t="s">
        <v>26</v>
      </c>
      <c r="L1613" s="24">
        <v>4155.46</v>
      </c>
      <c r="M1613" s="24">
        <v>4273.6000000000004</v>
      </c>
      <c r="N1613" s="34">
        <f>((sales_data_1[[#This Row],[Unit_Price]]*(1-sales_data_1[[#This Row],[Discount]]))-sales_data_1[[#This Row],[Unit_Cost]])*sales_data_1[[#This Row],[Quantity_Sold]]</f>
        <v>678.63600000000406</v>
      </c>
      <c r="O1613" s="17" t="s">
        <v>17</v>
      </c>
      <c r="P1613" s="26">
        <v>0.01</v>
      </c>
      <c r="Q1613" s="17" t="s">
        <v>18</v>
      </c>
      <c r="R1613" s="17" t="s">
        <v>21</v>
      </c>
      <c r="S1613" s="50" t="str">
        <f t="shared" si="77"/>
        <v>Eve-East</v>
      </c>
      <c r="T1613" s="59" t="str">
        <f>IF(ROUND(sales_data_1[[#This Row],[Profit_Margin]],2)=ROUND((sales_data_1[[#This Row],[Unit_Price]]*(1-sales_data_1[[#This Row],[Discount]]) - sales_data_1[[#This Row],[Unit_Cost]])*sales_data_1[[#This Row],[Quantity_Sold]],2), "PASS", "CHECK")</f>
        <v>PASS</v>
      </c>
    </row>
    <row r="1614" spans="1:20" x14ac:dyDescent="0.35">
      <c r="A1614" s="7">
        <v>1613</v>
      </c>
      <c r="B1614" s="9">
        <v>1090</v>
      </c>
      <c r="C1614" s="14" t="str">
        <f>IFERROR(_xlfn.TEXTJOIN("-", TRUE, _xlfn.XLOOKUP(K1614, product_category_id_lookup!$A$2:$A$5, product_category_id_lookup!$B$2:$B$5), B1614), "Unknown Category")</f>
        <v>ctg-1090</v>
      </c>
      <c r="D1614" s="8">
        <v>45105</v>
      </c>
      <c r="E1614" s="14">
        <f t="shared" si="75"/>
        <v>2023</v>
      </c>
      <c r="F1614" s="29" t="str">
        <f t="shared" si="76"/>
        <v>Jun</v>
      </c>
      <c r="G1614" s="17" t="s">
        <v>29</v>
      </c>
      <c r="H1614" s="17" t="s">
        <v>15</v>
      </c>
      <c r="I1614" s="24">
        <v>160606.85860349779</v>
      </c>
      <c r="J1614" s="32">
        <v>41</v>
      </c>
      <c r="K1614" s="17" t="s">
        <v>26</v>
      </c>
      <c r="L1614" s="24">
        <v>3736.88</v>
      </c>
      <c r="M1614" s="24">
        <v>3946.77</v>
      </c>
      <c r="N1614" s="34">
        <f>((sales_data_1[[#This Row],[Unit_Price]]*(1-sales_data_1[[#This Row],[Discount]]))-sales_data_1[[#This Row],[Unit_Cost]])*sales_data_1[[#This Row],[Quantity_Sold]]</f>
        <v>6987.3142999999891</v>
      </c>
      <c r="O1614" s="17" t="s">
        <v>17</v>
      </c>
      <c r="P1614" s="26">
        <v>0.01</v>
      </c>
      <c r="Q1614" s="17" t="s">
        <v>28</v>
      </c>
      <c r="R1614" s="17" t="s">
        <v>19</v>
      </c>
      <c r="S1614" s="50" t="str">
        <f t="shared" si="77"/>
        <v>Charlie-North</v>
      </c>
      <c r="T1614" s="59" t="str">
        <f>IF(ROUND(sales_data_1[[#This Row],[Profit_Margin]],2)=ROUND((sales_data_1[[#This Row],[Unit_Price]]*(1-sales_data_1[[#This Row],[Discount]]) - sales_data_1[[#This Row],[Unit_Cost]])*sales_data_1[[#This Row],[Quantity_Sold]],2), "PASS", "CHECK")</f>
        <v>PASS</v>
      </c>
    </row>
    <row r="1615" spans="1:20" x14ac:dyDescent="0.35">
      <c r="A1615" s="7">
        <v>1614</v>
      </c>
      <c r="B1615" s="9">
        <v>1004</v>
      </c>
      <c r="C1615" s="14" t="str">
        <f>IFERROR(_xlfn.TEXTJOIN("-", TRUE, _xlfn.XLOOKUP(K1615, product_category_id_lookup!$A$2:$A$5, product_category_id_lookup!$B$2:$B$5), B1615), "Unknown Category")</f>
        <v>fnt-1004</v>
      </c>
      <c r="D1615" s="8">
        <v>45105</v>
      </c>
      <c r="E1615" s="14">
        <f t="shared" si="75"/>
        <v>2023</v>
      </c>
      <c r="F1615" s="29" t="str">
        <f t="shared" si="76"/>
        <v>Jun</v>
      </c>
      <c r="G1615" s="17" t="s">
        <v>14</v>
      </c>
      <c r="H1615" s="17" t="s">
        <v>20</v>
      </c>
      <c r="I1615" s="24">
        <v>193091.15102638118</v>
      </c>
      <c r="J1615" s="32">
        <v>38</v>
      </c>
      <c r="K1615" s="17" t="s">
        <v>16</v>
      </c>
      <c r="L1615" s="24">
        <v>4881.63</v>
      </c>
      <c r="M1615" s="24">
        <v>5088.0600000000004</v>
      </c>
      <c r="N1615" s="34">
        <f>((sales_data_1[[#This Row],[Unit_Price]]*(1-sales_data_1[[#This Row],[Discount]]))-sales_data_1[[#This Row],[Unit_Cost]])*sales_data_1[[#This Row],[Quantity_Sold]]</f>
        <v>7844.3400000000111</v>
      </c>
      <c r="O1615" s="17" t="s">
        <v>17</v>
      </c>
      <c r="P1615" s="26">
        <v>0</v>
      </c>
      <c r="Q1615" s="17" t="s">
        <v>28</v>
      </c>
      <c r="R1615" s="17" t="s">
        <v>21</v>
      </c>
      <c r="S1615" s="50" t="str">
        <f t="shared" si="77"/>
        <v>Bob-West</v>
      </c>
      <c r="T1615" s="59" t="str">
        <f>IF(ROUND(sales_data_1[[#This Row],[Profit_Margin]],2)=ROUND((sales_data_1[[#This Row],[Unit_Price]]*(1-sales_data_1[[#This Row],[Discount]]) - sales_data_1[[#This Row],[Unit_Cost]])*sales_data_1[[#This Row],[Quantity_Sold]],2), "PASS", "CHECK")</f>
        <v>PASS</v>
      </c>
    </row>
    <row r="1616" spans="1:20" x14ac:dyDescent="0.35">
      <c r="A1616" s="7">
        <v>1615</v>
      </c>
      <c r="B1616" s="9">
        <v>1075</v>
      </c>
      <c r="C1616" s="14" t="str">
        <f>IFERROR(_xlfn.TEXTJOIN("-", TRUE, _xlfn.XLOOKUP(K1616, product_category_id_lookup!$A$2:$A$5, product_category_id_lookup!$B$2:$B$5), B1616), "Unknown Category")</f>
        <v>fnt-1075</v>
      </c>
      <c r="D1616" s="8">
        <v>45106</v>
      </c>
      <c r="E1616" s="14">
        <f t="shared" si="75"/>
        <v>2023</v>
      </c>
      <c r="F1616" s="29" t="str">
        <f t="shared" si="76"/>
        <v>Jun</v>
      </c>
      <c r="G1616" s="17" t="s">
        <v>22</v>
      </c>
      <c r="H1616" s="17" t="s">
        <v>23</v>
      </c>
      <c r="I1616" s="24">
        <v>31220.324999999993</v>
      </c>
      <c r="J1616" s="32">
        <v>30</v>
      </c>
      <c r="K1616" s="17" t="s">
        <v>16</v>
      </c>
      <c r="L1616" s="24">
        <v>738.06</v>
      </c>
      <c r="M1616" s="24">
        <v>1095.4499999999998</v>
      </c>
      <c r="N1616" s="34">
        <f>((sales_data_1[[#This Row],[Unit_Price]]*(1-sales_data_1[[#This Row],[Discount]]))-sales_data_1[[#This Row],[Unit_Cost]])*sales_data_1[[#This Row],[Quantity_Sold]]</f>
        <v>9078.5249999999942</v>
      </c>
      <c r="O1616" s="17" t="s">
        <v>27</v>
      </c>
      <c r="P1616" s="26">
        <v>0.05</v>
      </c>
      <c r="Q1616" s="17" t="s">
        <v>25</v>
      </c>
      <c r="R1616" s="17" t="s">
        <v>19</v>
      </c>
      <c r="S1616" s="50" t="str">
        <f t="shared" si="77"/>
        <v>David-South</v>
      </c>
      <c r="T1616" s="59" t="str">
        <f>IF(ROUND(sales_data_1[[#This Row],[Profit_Margin]],2)=ROUND((sales_data_1[[#This Row],[Unit_Price]]*(1-sales_data_1[[#This Row],[Discount]]) - sales_data_1[[#This Row],[Unit_Cost]])*sales_data_1[[#This Row],[Quantity_Sold]],2), "PASS", "CHECK")</f>
        <v>PASS</v>
      </c>
    </row>
    <row r="1617" spans="1:20" x14ac:dyDescent="0.35">
      <c r="A1617" s="7">
        <v>1616</v>
      </c>
      <c r="B1617" s="9">
        <v>1067</v>
      </c>
      <c r="C1617" s="14" t="str">
        <f>IFERROR(_xlfn.TEXTJOIN("-", TRUE, _xlfn.XLOOKUP(K1617, product_category_id_lookup!$A$2:$A$5, product_category_id_lookup!$B$2:$B$5), B1617), "Unknown Category")</f>
        <v>fd-1067</v>
      </c>
      <c r="D1617" s="8">
        <v>45106</v>
      </c>
      <c r="E1617" s="14">
        <f t="shared" si="75"/>
        <v>2023</v>
      </c>
      <c r="F1617" s="29" t="str">
        <f t="shared" si="76"/>
        <v>Jun</v>
      </c>
      <c r="G1617" s="17" t="s">
        <v>32</v>
      </c>
      <c r="H1617" s="17" t="s">
        <v>23</v>
      </c>
      <c r="I1617" s="24">
        <v>220632.9723996871</v>
      </c>
      <c r="J1617" s="32">
        <v>48</v>
      </c>
      <c r="K1617" s="17" t="s">
        <v>24</v>
      </c>
      <c r="L1617" s="24">
        <v>4319.32</v>
      </c>
      <c r="M1617" s="24">
        <v>4625.5599999999995</v>
      </c>
      <c r="N1617" s="34">
        <f>((sales_data_1[[#This Row],[Unit_Price]]*(1-sales_data_1[[#This Row],[Discount]]))-sales_data_1[[#This Row],[Unit_Cost]])*sales_data_1[[#This Row],[Quantity_Sold]]</f>
        <v>12479.25119999997</v>
      </c>
      <c r="O1617" s="17" t="s">
        <v>17</v>
      </c>
      <c r="P1617" s="26">
        <v>0.01</v>
      </c>
      <c r="Q1617" s="17" t="s">
        <v>25</v>
      </c>
      <c r="R1617" s="17" t="s">
        <v>19</v>
      </c>
      <c r="S1617" s="50" t="str">
        <f t="shared" si="77"/>
        <v>Eve-South</v>
      </c>
      <c r="T1617" s="59" t="str">
        <f>IF(ROUND(sales_data_1[[#This Row],[Profit_Margin]],2)=ROUND((sales_data_1[[#This Row],[Unit_Price]]*(1-sales_data_1[[#This Row],[Discount]]) - sales_data_1[[#This Row],[Unit_Cost]])*sales_data_1[[#This Row],[Quantity_Sold]],2), "PASS", "CHECK")</f>
        <v>PASS</v>
      </c>
    </row>
    <row r="1618" spans="1:20" x14ac:dyDescent="0.35">
      <c r="A1618" s="7">
        <v>1617</v>
      </c>
      <c r="B1618" s="9">
        <v>1086</v>
      </c>
      <c r="C1618" s="14" t="str">
        <f>IFERROR(_xlfn.TEXTJOIN("-", TRUE, _xlfn.XLOOKUP(K1618, product_category_id_lookup!$A$2:$A$5, product_category_id_lookup!$B$2:$B$5), B1618), "Unknown Category")</f>
        <v>ctg-1086</v>
      </c>
      <c r="D1618" s="8">
        <v>45107</v>
      </c>
      <c r="E1618" s="14">
        <f t="shared" si="75"/>
        <v>2023</v>
      </c>
      <c r="F1618" s="29" t="str">
        <f t="shared" si="76"/>
        <v>Jun</v>
      </c>
      <c r="G1618" s="17" t="s">
        <v>14</v>
      </c>
      <c r="H1618" s="17" t="s">
        <v>15</v>
      </c>
      <c r="I1618" s="24">
        <v>103997.26</v>
      </c>
      <c r="J1618" s="32">
        <v>46</v>
      </c>
      <c r="K1618" s="17" t="s">
        <v>26</v>
      </c>
      <c r="L1618" s="24">
        <v>2245.64</v>
      </c>
      <c r="M1618" s="24">
        <v>2260.81</v>
      </c>
      <c r="N1618" s="34">
        <f>((sales_data_1[[#This Row],[Unit_Price]]*(1-sales_data_1[[#This Row],[Discount]]))-sales_data_1[[#This Row],[Unit_Cost]])*sales_data_1[[#This Row],[Quantity_Sold]]</f>
        <v>697.82000000000335</v>
      </c>
      <c r="O1618" s="17" t="s">
        <v>27</v>
      </c>
      <c r="P1618" s="26">
        <v>0</v>
      </c>
      <c r="Q1618" s="17" t="s">
        <v>18</v>
      </c>
      <c r="R1618" s="17" t="s">
        <v>21</v>
      </c>
      <c r="S1618" s="50" t="str">
        <f t="shared" si="77"/>
        <v>Bob-North</v>
      </c>
      <c r="T1618" s="59" t="str">
        <f>IF(ROUND(sales_data_1[[#This Row],[Profit_Margin]],2)=ROUND((sales_data_1[[#This Row],[Unit_Price]]*(1-sales_data_1[[#This Row],[Discount]]) - sales_data_1[[#This Row],[Unit_Cost]])*sales_data_1[[#This Row],[Quantity_Sold]],2), "PASS", "CHECK")</f>
        <v>PASS</v>
      </c>
    </row>
    <row r="1619" spans="1:20" x14ac:dyDescent="0.35">
      <c r="A1619" s="7">
        <v>1618</v>
      </c>
      <c r="B1619" s="9">
        <v>1032</v>
      </c>
      <c r="C1619" s="14" t="str">
        <f>IFERROR(_xlfn.TEXTJOIN("-", TRUE, _xlfn.XLOOKUP(K1619, product_category_id_lookup!$A$2:$A$5, product_category_id_lookup!$B$2:$B$5), B1619), "Unknown Category")</f>
        <v>ctg-1032</v>
      </c>
      <c r="D1619" s="8">
        <v>45107</v>
      </c>
      <c r="E1619" s="14">
        <f t="shared" si="75"/>
        <v>2023</v>
      </c>
      <c r="F1619" s="29" t="str">
        <f t="shared" si="76"/>
        <v>Jun</v>
      </c>
      <c r="G1619" s="17" t="s">
        <v>32</v>
      </c>
      <c r="H1619" s="17" t="s">
        <v>15</v>
      </c>
      <c r="I1619" s="24">
        <v>15847.981200000002</v>
      </c>
      <c r="J1619" s="32">
        <v>6</v>
      </c>
      <c r="K1619" s="17" t="s">
        <v>26</v>
      </c>
      <c r="L1619" s="24">
        <v>2522.7600000000002</v>
      </c>
      <c r="M1619" s="24">
        <v>2840.1400000000003</v>
      </c>
      <c r="N1619" s="34">
        <f>((sales_data_1[[#This Row],[Unit_Price]]*(1-sales_data_1[[#This Row],[Discount]]))-sales_data_1[[#This Row],[Unit_Cost]])*sales_data_1[[#This Row],[Quantity_Sold]]</f>
        <v>711.42120000000068</v>
      </c>
      <c r="O1619" s="17" t="s">
        <v>17</v>
      </c>
      <c r="P1619" s="26">
        <v>7.0000000000000007E-2</v>
      </c>
      <c r="Q1619" s="17" t="s">
        <v>28</v>
      </c>
      <c r="R1619" s="17" t="s">
        <v>21</v>
      </c>
      <c r="S1619" s="50" t="str">
        <f t="shared" si="77"/>
        <v>Eve-North</v>
      </c>
      <c r="T1619" s="59" t="str">
        <f>IF(ROUND(sales_data_1[[#This Row],[Profit_Margin]],2)=ROUND((sales_data_1[[#This Row],[Unit_Price]]*(1-sales_data_1[[#This Row],[Discount]]) - sales_data_1[[#This Row],[Unit_Cost]])*sales_data_1[[#This Row],[Quantity_Sold]],2), "PASS", "CHECK")</f>
        <v>PASS</v>
      </c>
    </row>
    <row r="1620" spans="1:20" x14ac:dyDescent="0.35">
      <c r="A1620" s="7">
        <v>1619</v>
      </c>
      <c r="B1620" s="9">
        <v>1065</v>
      </c>
      <c r="C1620" s="14" t="str">
        <f>IFERROR(_xlfn.TEXTJOIN("-", TRUE, _xlfn.XLOOKUP(K1620, product_category_id_lookup!$A$2:$A$5, product_category_id_lookup!$B$2:$B$5), B1620), "Unknown Category")</f>
        <v>fnt-1065</v>
      </c>
      <c r="D1620" s="8">
        <v>45107</v>
      </c>
      <c r="E1620" s="14">
        <f t="shared" si="75"/>
        <v>2023</v>
      </c>
      <c r="F1620" s="29" t="str">
        <f t="shared" si="76"/>
        <v>Jun</v>
      </c>
      <c r="G1620" s="17" t="s">
        <v>32</v>
      </c>
      <c r="H1620" s="17" t="s">
        <v>23</v>
      </c>
      <c r="I1620" s="24">
        <v>18728.438531299893</v>
      </c>
      <c r="J1620" s="32">
        <v>13</v>
      </c>
      <c r="K1620" s="17" t="s">
        <v>16</v>
      </c>
      <c r="L1620" s="24">
        <v>1339</v>
      </c>
      <c r="M1620" s="24">
        <v>1441.88</v>
      </c>
      <c r="N1620" s="34">
        <f>((sales_data_1[[#This Row],[Unit_Price]]*(1-sales_data_1[[#This Row],[Discount]]))-sales_data_1[[#This Row],[Unit_Cost]])*sales_data_1[[#This Row],[Quantity_Sold]]</f>
        <v>1337.4400000000014</v>
      </c>
      <c r="O1620" s="17" t="s">
        <v>17</v>
      </c>
      <c r="P1620" s="26">
        <v>0</v>
      </c>
      <c r="Q1620" s="17" t="s">
        <v>28</v>
      </c>
      <c r="R1620" s="17" t="s">
        <v>21</v>
      </c>
      <c r="S1620" s="50" t="str">
        <f t="shared" si="77"/>
        <v>Eve-South</v>
      </c>
      <c r="T1620" s="59" t="str">
        <f>IF(ROUND(sales_data_1[[#This Row],[Profit_Margin]],2)=ROUND((sales_data_1[[#This Row],[Unit_Price]]*(1-sales_data_1[[#This Row],[Discount]]) - sales_data_1[[#This Row],[Unit_Cost]])*sales_data_1[[#This Row],[Quantity_Sold]],2), "PASS", "CHECK")</f>
        <v>PASS</v>
      </c>
    </row>
    <row r="1621" spans="1:20" x14ac:dyDescent="0.35">
      <c r="A1621" s="7">
        <v>1620</v>
      </c>
      <c r="B1621" s="9">
        <v>1027</v>
      </c>
      <c r="C1621" s="14" t="str">
        <f>IFERROR(_xlfn.TEXTJOIN("-", TRUE, _xlfn.XLOOKUP(K1621, product_category_id_lookup!$A$2:$A$5, product_category_id_lookup!$B$2:$B$5), B1621), "Unknown Category")</f>
        <v>ctg-1027</v>
      </c>
      <c r="D1621" s="8">
        <v>45108</v>
      </c>
      <c r="E1621" s="14">
        <f t="shared" si="75"/>
        <v>2023</v>
      </c>
      <c r="F1621" s="29" t="str">
        <f t="shared" si="76"/>
        <v>Jul</v>
      </c>
      <c r="G1621" s="17" t="s">
        <v>32</v>
      </c>
      <c r="H1621" s="17" t="s">
        <v>15</v>
      </c>
      <c r="I1621" s="24">
        <v>25106.600160732611</v>
      </c>
      <c r="J1621" s="32">
        <v>15</v>
      </c>
      <c r="K1621" s="17" t="s">
        <v>26</v>
      </c>
      <c r="L1621" s="24">
        <v>1615.26</v>
      </c>
      <c r="M1621" s="24">
        <v>1710.95</v>
      </c>
      <c r="N1621" s="34">
        <f>((sales_data_1[[#This Row],[Unit_Price]]*(1-sales_data_1[[#This Row],[Discount]]))-sales_data_1[[#This Row],[Unit_Cost]])*sales_data_1[[#This Row],[Quantity_Sold]]</f>
        <v>922.06500000000005</v>
      </c>
      <c r="O1621" s="17" t="s">
        <v>27</v>
      </c>
      <c r="P1621" s="26">
        <v>0.02</v>
      </c>
      <c r="Q1621" s="17" t="s">
        <v>28</v>
      </c>
      <c r="R1621" s="17" t="s">
        <v>21</v>
      </c>
      <c r="S1621" s="50" t="str">
        <f t="shared" si="77"/>
        <v>Eve-North</v>
      </c>
      <c r="T1621" s="59" t="str">
        <f>IF(ROUND(sales_data_1[[#This Row],[Profit_Margin]],2)=ROUND((sales_data_1[[#This Row],[Unit_Price]]*(1-sales_data_1[[#This Row],[Discount]]) - sales_data_1[[#This Row],[Unit_Cost]])*sales_data_1[[#This Row],[Quantity_Sold]],2), "PASS", "CHECK")</f>
        <v>PASS</v>
      </c>
    </row>
    <row r="1622" spans="1:20" x14ac:dyDescent="0.35">
      <c r="A1622" s="7">
        <v>1621</v>
      </c>
      <c r="B1622" s="9">
        <v>1090</v>
      </c>
      <c r="C1622" s="14" t="str">
        <f>IFERROR(_xlfn.TEXTJOIN("-", TRUE, _xlfn.XLOOKUP(K1622, product_category_id_lookup!$A$2:$A$5, product_category_id_lookup!$B$2:$B$5), B1622), "Unknown Category")</f>
        <v>fnt-1090</v>
      </c>
      <c r="D1622" s="8">
        <v>45108</v>
      </c>
      <c r="E1622" s="14">
        <f t="shared" si="75"/>
        <v>2023</v>
      </c>
      <c r="F1622" s="29" t="str">
        <f t="shared" si="76"/>
        <v>Jul</v>
      </c>
      <c r="G1622" s="17" t="s">
        <v>22</v>
      </c>
      <c r="H1622" s="17" t="s">
        <v>15</v>
      </c>
      <c r="I1622" s="24">
        <v>142226.51199999999</v>
      </c>
      <c r="J1622" s="32">
        <v>31</v>
      </c>
      <c r="K1622" s="17" t="s">
        <v>16</v>
      </c>
      <c r="L1622" s="24">
        <v>4496.8599999999997</v>
      </c>
      <c r="M1622" s="24">
        <v>4880.7999999999993</v>
      </c>
      <c r="N1622" s="34">
        <f>((sales_data_1[[#This Row],[Unit_Price]]*(1-sales_data_1[[#This Row],[Discount]]))-sales_data_1[[#This Row],[Unit_Cost]])*sales_data_1[[#This Row],[Quantity_Sold]]</f>
        <v>2823.8519999999889</v>
      </c>
      <c r="O1622" s="17" t="s">
        <v>27</v>
      </c>
      <c r="P1622" s="26">
        <v>0.06</v>
      </c>
      <c r="Q1622" s="17" t="s">
        <v>18</v>
      </c>
      <c r="R1622" s="17" t="s">
        <v>21</v>
      </c>
      <c r="S1622" s="50" t="str">
        <f t="shared" si="77"/>
        <v>David-North</v>
      </c>
      <c r="T1622" s="59" t="str">
        <f>IF(ROUND(sales_data_1[[#This Row],[Profit_Margin]],2)=ROUND((sales_data_1[[#This Row],[Unit_Price]]*(1-sales_data_1[[#This Row],[Discount]]) - sales_data_1[[#This Row],[Unit_Cost]])*sales_data_1[[#This Row],[Quantity_Sold]],2), "PASS", "CHECK")</f>
        <v>PASS</v>
      </c>
    </row>
    <row r="1623" spans="1:20" x14ac:dyDescent="0.35">
      <c r="A1623" s="7">
        <v>1622</v>
      </c>
      <c r="B1623" s="9">
        <v>1036</v>
      </c>
      <c r="C1623" s="14" t="str">
        <f>IFERROR(_xlfn.TEXTJOIN("-", TRUE, _xlfn.XLOOKUP(K1623, product_category_id_lookup!$A$2:$A$5, product_category_id_lookup!$B$2:$B$5), B1623), "Unknown Category")</f>
        <v>fnt-1036</v>
      </c>
      <c r="D1623" s="8">
        <v>45108</v>
      </c>
      <c r="E1623" s="14">
        <f t="shared" si="75"/>
        <v>2023</v>
      </c>
      <c r="F1623" s="29" t="str">
        <f t="shared" si="76"/>
        <v>Jul</v>
      </c>
      <c r="G1623" s="17" t="s">
        <v>33</v>
      </c>
      <c r="H1623" s="17" t="s">
        <v>20</v>
      </c>
      <c r="I1623" s="24">
        <v>28163.780999999999</v>
      </c>
      <c r="J1623" s="32">
        <v>17</v>
      </c>
      <c r="K1623" s="17" t="s">
        <v>16</v>
      </c>
      <c r="L1623" s="24">
        <v>1475</v>
      </c>
      <c r="M1623" s="24">
        <v>1840.77</v>
      </c>
      <c r="N1623" s="34">
        <f>((sales_data_1[[#This Row],[Unit_Price]]*(1-sales_data_1[[#This Row],[Discount]]))-sales_data_1[[#This Row],[Unit_Cost]])*sales_data_1[[#This Row],[Quantity_Sold]]</f>
        <v>3088.7809999999999</v>
      </c>
      <c r="O1623" s="17" t="s">
        <v>17</v>
      </c>
      <c r="P1623" s="26">
        <v>0.1</v>
      </c>
      <c r="Q1623" s="17" t="s">
        <v>28</v>
      </c>
      <c r="R1623" s="17" t="s">
        <v>19</v>
      </c>
      <c r="S1623" s="50" t="str">
        <f t="shared" si="77"/>
        <v>Alice-West</v>
      </c>
      <c r="T1623" s="59" t="str">
        <f>IF(ROUND(sales_data_1[[#This Row],[Profit_Margin]],2)=ROUND((sales_data_1[[#This Row],[Unit_Price]]*(1-sales_data_1[[#This Row],[Discount]]) - sales_data_1[[#This Row],[Unit_Cost]])*sales_data_1[[#This Row],[Quantity_Sold]],2), "PASS", "CHECK")</f>
        <v>PASS</v>
      </c>
    </row>
    <row r="1624" spans="1:20" x14ac:dyDescent="0.35">
      <c r="A1624" s="7">
        <v>1623</v>
      </c>
      <c r="B1624" s="9">
        <v>1014</v>
      </c>
      <c r="C1624" s="14" t="str">
        <f>IFERROR(_xlfn.TEXTJOIN("-", TRUE, _xlfn.XLOOKUP(K1624, product_category_id_lookup!$A$2:$A$5, product_category_id_lookup!$B$2:$B$5), B1624), "Unknown Category")</f>
        <v>ctg-1014</v>
      </c>
      <c r="D1624" s="8">
        <v>45109</v>
      </c>
      <c r="E1624" s="14">
        <f t="shared" si="75"/>
        <v>2023</v>
      </c>
      <c r="F1624" s="29" t="str">
        <f t="shared" si="76"/>
        <v>Jul</v>
      </c>
      <c r="G1624" s="17" t="s">
        <v>22</v>
      </c>
      <c r="H1624" s="17" t="s">
        <v>30</v>
      </c>
      <c r="I1624" s="24">
        <v>33212.614294245417</v>
      </c>
      <c r="J1624" s="32">
        <v>7</v>
      </c>
      <c r="K1624" s="17" t="s">
        <v>26</v>
      </c>
      <c r="L1624" s="24">
        <v>4705.46</v>
      </c>
      <c r="M1624" s="24">
        <v>4747.07</v>
      </c>
      <c r="N1624" s="34">
        <f>((sales_data_1[[#This Row],[Unit_Price]]*(1-sales_data_1[[#This Row],[Discount]]))-sales_data_1[[#This Row],[Unit_Cost]])*sales_data_1[[#This Row],[Quantity_Sold]]</f>
        <v>291.26999999999771</v>
      </c>
      <c r="O1624" s="17" t="s">
        <v>27</v>
      </c>
      <c r="P1624" s="26">
        <v>0</v>
      </c>
      <c r="Q1624" s="17" t="s">
        <v>25</v>
      </c>
      <c r="R1624" s="17" t="s">
        <v>21</v>
      </c>
      <c r="S1624" s="50" t="str">
        <f t="shared" si="77"/>
        <v>David-East</v>
      </c>
      <c r="T1624" s="59" t="str">
        <f>IF(ROUND(sales_data_1[[#This Row],[Profit_Margin]],2)=ROUND((sales_data_1[[#This Row],[Unit_Price]]*(1-sales_data_1[[#This Row],[Discount]]) - sales_data_1[[#This Row],[Unit_Cost]])*sales_data_1[[#This Row],[Quantity_Sold]],2), "PASS", "CHECK")</f>
        <v>PASS</v>
      </c>
    </row>
    <row r="1625" spans="1:20" x14ac:dyDescent="0.35">
      <c r="A1625" s="7">
        <v>1624</v>
      </c>
      <c r="B1625" s="9">
        <v>1067</v>
      </c>
      <c r="C1625" s="14" t="str">
        <f>IFERROR(_xlfn.TEXTJOIN("-", TRUE, _xlfn.XLOOKUP(K1625, product_category_id_lookup!$A$2:$A$5, product_category_id_lookup!$B$2:$B$5), B1625), "Unknown Category")</f>
        <v>etc-1067</v>
      </c>
      <c r="D1625" s="8">
        <v>45109</v>
      </c>
      <c r="E1625" s="14">
        <f t="shared" si="75"/>
        <v>2023</v>
      </c>
      <c r="F1625" s="29" t="str">
        <f t="shared" si="76"/>
        <v>Jul</v>
      </c>
      <c r="G1625" s="17" t="s">
        <v>33</v>
      </c>
      <c r="H1625" s="17" t="s">
        <v>15</v>
      </c>
      <c r="I1625" s="24">
        <v>33128.063999999998</v>
      </c>
      <c r="J1625" s="32">
        <v>36</v>
      </c>
      <c r="K1625" s="17" t="s">
        <v>31</v>
      </c>
      <c r="L1625" s="24">
        <v>689.66</v>
      </c>
      <c r="M1625" s="24">
        <v>1150.28</v>
      </c>
      <c r="N1625" s="34">
        <f>((sales_data_1[[#This Row],[Unit_Price]]*(1-sales_data_1[[#This Row],[Discount]]))-sales_data_1[[#This Row],[Unit_Cost]])*sales_data_1[[#This Row],[Quantity_Sold]]</f>
        <v>8300.3040000000037</v>
      </c>
      <c r="O1625" s="17" t="s">
        <v>27</v>
      </c>
      <c r="P1625" s="26">
        <v>0.2</v>
      </c>
      <c r="Q1625" s="17" t="s">
        <v>25</v>
      </c>
      <c r="R1625" s="17" t="s">
        <v>19</v>
      </c>
      <c r="S1625" s="50" t="str">
        <f t="shared" si="77"/>
        <v>Alice-North</v>
      </c>
      <c r="T1625" s="59" t="str">
        <f>IF(ROUND(sales_data_1[[#This Row],[Profit_Margin]],2)=ROUND((sales_data_1[[#This Row],[Unit_Price]]*(1-sales_data_1[[#This Row],[Discount]]) - sales_data_1[[#This Row],[Unit_Cost]])*sales_data_1[[#This Row],[Quantity_Sold]],2), "PASS", "CHECK")</f>
        <v>PASS</v>
      </c>
    </row>
    <row r="1626" spans="1:20" x14ac:dyDescent="0.35">
      <c r="A1626" s="7">
        <v>1625</v>
      </c>
      <c r="B1626" s="9">
        <v>1066</v>
      </c>
      <c r="C1626" s="14" t="str">
        <f>IFERROR(_xlfn.TEXTJOIN("-", TRUE, _xlfn.XLOOKUP(K1626, product_category_id_lookup!$A$2:$A$5, product_category_id_lookup!$B$2:$B$5), B1626), "Unknown Category")</f>
        <v>fnt-1066</v>
      </c>
      <c r="D1626" s="8">
        <v>45110</v>
      </c>
      <c r="E1626" s="14">
        <f t="shared" si="75"/>
        <v>2023</v>
      </c>
      <c r="F1626" s="29" t="str">
        <f t="shared" si="76"/>
        <v>Jul</v>
      </c>
      <c r="G1626" s="17" t="s">
        <v>29</v>
      </c>
      <c r="H1626" s="17" t="s">
        <v>15</v>
      </c>
      <c r="I1626" s="24">
        <v>41289.983999999997</v>
      </c>
      <c r="J1626" s="32">
        <v>15</v>
      </c>
      <c r="K1626" s="17" t="s">
        <v>16</v>
      </c>
      <c r="L1626" s="24">
        <v>2579.31</v>
      </c>
      <c r="M1626" s="24">
        <v>2867.36</v>
      </c>
      <c r="N1626" s="34">
        <f>((sales_data_1[[#This Row],[Unit_Price]]*(1-sales_data_1[[#This Row],[Discount]]))-sales_data_1[[#This Row],[Unit_Cost]])*sales_data_1[[#This Row],[Quantity_Sold]]</f>
        <v>2600.333999999998</v>
      </c>
      <c r="O1626" s="17" t="s">
        <v>17</v>
      </c>
      <c r="P1626" s="26">
        <v>0.04</v>
      </c>
      <c r="Q1626" s="17" t="s">
        <v>25</v>
      </c>
      <c r="R1626" s="17" t="s">
        <v>21</v>
      </c>
      <c r="S1626" s="50" t="str">
        <f t="shared" si="77"/>
        <v>Charlie-North</v>
      </c>
      <c r="T1626" s="59" t="str">
        <f>IF(ROUND(sales_data_1[[#This Row],[Profit_Margin]],2)=ROUND((sales_data_1[[#This Row],[Unit_Price]]*(1-sales_data_1[[#This Row],[Discount]]) - sales_data_1[[#This Row],[Unit_Cost]])*sales_data_1[[#This Row],[Quantity_Sold]],2), "PASS", "CHECK")</f>
        <v>PASS</v>
      </c>
    </row>
    <row r="1627" spans="1:20" x14ac:dyDescent="0.35">
      <c r="A1627" s="7">
        <v>1626</v>
      </c>
      <c r="B1627" s="9">
        <v>1029</v>
      </c>
      <c r="C1627" s="14" t="str">
        <f>IFERROR(_xlfn.TEXTJOIN("-", TRUE, _xlfn.XLOOKUP(K1627, product_category_id_lookup!$A$2:$A$5, product_category_id_lookup!$B$2:$B$5), B1627), "Unknown Category")</f>
        <v>fnt-1029</v>
      </c>
      <c r="D1627" s="8">
        <v>45111</v>
      </c>
      <c r="E1627" s="14">
        <f t="shared" si="75"/>
        <v>2023</v>
      </c>
      <c r="F1627" s="29" t="str">
        <f t="shared" si="76"/>
        <v>Jul</v>
      </c>
      <c r="G1627" s="17" t="s">
        <v>29</v>
      </c>
      <c r="H1627" s="17" t="s">
        <v>15</v>
      </c>
      <c r="I1627" s="24">
        <v>34790.432000000008</v>
      </c>
      <c r="J1627" s="32">
        <v>31</v>
      </c>
      <c r="K1627" s="17" t="s">
        <v>16</v>
      </c>
      <c r="L1627" s="24">
        <v>951.21</v>
      </c>
      <c r="M1627" s="24">
        <v>1320.3200000000002</v>
      </c>
      <c r="N1627" s="34">
        <f>((sales_data_1[[#This Row],[Unit_Price]]*(1-sales_data_1[[#This Row],[Discount]]))-sales_data_1[[#This Row],[Unit_Cost]])*sales_data_1[[#This Row],[Quantity_Sold]]</f>
        <v>5302.9220000000041</v>
      </c>
      <c r="O1627" s="17" t="s">
        <v>27</v>
      </c>
      <c r="P1627" s="26">
        <v>0.15</v>
      </c>
      <c r="Q1627" s="17" t="s">
        <v>18</v>
      </c>
      <c r="R1627" s="17" t="s">
        <v>19</v>
      </c>
      <c r="S1627" s="50" t="str">
        <f t="shared" si="77"/>
        <v>Charlie-North</v>
      </c>
      <c r="T1627" s="59" t="str">
        <f>IF(ROUND(sales_data_1[[#This Row],[Profit_Margin]],2)=ROUND((sales_data_1[[#This Row],[Unit_Price]]*(1-sales_data_1[[#This Row],[Discount]]) - sales_data_1[[#This Row],[Unit_Cost]])*sales_data_1[[#This Row],[Quantity_Sold]],2), "PASS", "CHECK")</f>
        <v>PASS</v>
      </c>
    </row>
    <row r="1628" spans="1:20" x14ac:dyDescent="0.35">
      <c r="A1628" s="7">
        <v>1627</v>
      </c>
      <c r="B1628" s="9">
        <v>1067</v>
      </c>
      <c r="C1628" s="14" t="str">
        <f>IFERROR(_xlfn.TEXTJOIN("-", TRUE, _xlfn.XLOOKUP(K1628, product_category_id_lookup!$A$2:$A$5, product_category_id_lookup!$B$2:$B$5), B1628), "Unknown Category")</f>
        <v>fnt-1067</v>
      </c>
      <c r="D1628" s="8">
        <v>45112</v>
      </c>
      <c r="E1628" s="14">
        <f t="shared" si="75"/>
        <v>2023</v>
      </c>
      <c r="F1628" s="29" t="str">
        <f t="shared" si="76"/>
        <v>Jul</v>
      </c>
      <c r="G1628" s="17" t="s">
        <v>33</v>
      </c>
      <c r="H1628" s="17" t="s">
        <v>20</v>
      </c>
      <c r="I1628" s="24">
        <v>102593.19362477488</v>
      </c>
      <c r="J1628" s="32">
        <v>27</v>
      </c>
      <c r="K1628" s="17" t="s">
        <v>16</v>
      </c>
      <c r="L1628" s="24">
        <v>3624.97</v>
      </c>
      <c r="M1628" s="24">
        <v>3836.52</v>
      </c>
      <c r="N1628" s="34">
        <f>((sales_data_1[[#This Row],[Unit_Price]]*(1-sales_data_1[[#This Row],[Discount]]))-sales_data_1[[#This Row],[Unit_Cost]])*sales_data_1[[#This Row],[Quantity_Sold]]</f>
        <v>4675.9895999999999</v>
      </c>
      <c r="O1628" s="17" t="s">
        <v>27</v>
      </c>
      <c r="P1628" s="26">
        <v>0.01</v>
      </c>
      <c r="Q1628" s="17" t="s">
        <v>18</v>
      </c>
      <c r="R1628" s="17" t="s">
        <v>19</v>
      </c>
      <c r="S1628" s="50" t="str">
        <f t="shared" si="77"/>
        <v>Alice-West</v>
      </c>
      <c r="T1628" s="59" t="str">
        <f>IF(ROUND(sales_data_1[[#This Row],[Profit_Margin]],2)=ROUND((sales_data_1[[#This Row],[Unit_Price]]*(1-sales_data_1[[#This Row],[Discount]]) - sales_data_1[[#This Row],[Unit_Cost]])*sales_data_1[[#This Row],[Quantity_Sold]],2), "PASS", "CHECK")</f>
        <v>PASS</v>
      </c>
    </row>
    <row r="1629" spans="1:20" x14ac:dyDescent="0.35">
      <c r="A1629" s="7">
        <v>1628</v>
      </c>
      <c r="B1629" s="9">
        <v>1055</v>
      </c>
      <c r="C1629" s="14" t="str">
        <f>IFERROR(_xlfn.TEXTJOIN("-", TRUE, _xlfn.XLOOKUP(K1629, product_category_id_lookup!$A$2:$A$5, product_category_id_lookup!$B$2:$B$5), B1629), "Unknown Category")</f>
        <v>ctg-1055</v>
      </c>
      <c r="D1629" s="8">
        <v>45113</v>
      </c>
      <c r="E1629" s="14">
        <f t="shared" si="75"/>
        <v>2023</v>
      </c>
      <c r="F1629" s="29" t="str">
        <f t="shared" si="76"/>
        <v>Jul</v>
      </c>
      <c r="G1629" s="17" t="s">
        <v>32</v>
      </c>
      <c r="H1629" s="17" t="s">
        <v>23</v>
      </c>
      <c r="I1629" s="24">
        <v>68181.419649919364</v>
      </c>
      <c r="J1629" s="32">
        <v>16</v>
      </c>
      <c r="K1629" s="17" t="s">
        <v>26</v>
      </c>
      <c r="L1629" s="24">
        <v>4195.38</v>
      </c>
      <c r="M1629" s="24">
        <v>4461.51</v>
      </c>
      <c r="N1629" s="34">
        <f>((sales_data_1[[#This Row],[Unit_Price]]*(1-sales_data_1[[#This Row],[Discount]]))-sales_data_1[[#This Row],[Unit_Cost]])*sales_data_1[[#This Row],[Quantity_Sold]]</f>
        <v>1402.7136000000028</v>
      </c>
      <c r="O1629" s="17" t="s">
        <v>17</v>
      </c>
      <c r="P1629" s="26">
        <v>0.04</v>
      </c>
      <c r="Q1629" s="17" t="s">
        <v>25</v>
      </c>
      <c r="R1629" s="17" t="s">
        <v>19</v>
      </c>
      <c r="S1629" s="50" t="str">
        <f t="shared" si="77"/>
        <v>Eve-South</v>
      </c>
      <c r="T1629" s="59" t="str">
        <f>IF(ROUND(sales_data_1[[#This Row],[Profit_Margin]],2)=ROUND((sales_data_1[[#This Row],[Unit_Price]]*(1-sales_data_1[[#This Row],[Discount]]) - sales_data_1[[#This Row],[Unit_Cost]])*sales_data_1[[#This Row],[Quantity_Sold]],2), "PASS", "CHECK")</f>
        <v>PASS</v>
      </c>
    </row>
    <row r="1630" spans="1:20" x14ac:dyDescent="0.35">
      <c r="A1630" s="7">
        <v>1629</v>
      </c>
      <c r="B1630" s="9">
        <v>1053</v>
      </c>
      <c r="C1630" s="14" t="str">
        <f>IFERROR(_xlfn.TEXTJOIN("-", TRUE, _xlfn.XLOOKUP(K1630, product_category_id_lookup!$A$2:$A$5, product_category_id_lookup!$B$2:$B$5), B1630), "Unknown Category")</f>
        <v>etc-1053</v>
      </c>
      <c r="D1630" s="8">
        <v>45113</v>
      </c>
      <c r="E1630" s="14">
        <f t="shared" si="75"/>
        <v>2023</v>
      </c>
      <c r="F1630" s="29" t="str">
        <f t="shared" si="76"/>
        <v>Jul</v>
      </c>
      <c r="G1630" s="17" t="s">
        <v>29</v>
      </c>
      <c r="H1630" s="17" t="s">
        <v>30</v>
      </c>
      <c r="I1630" s="24">
        <v>4874.2276000000002</v>
      </c>
      <c r="J1630" s="32">
        <v>11</v>
      </c>
      <c r="K1630" s="17" t="s">
        <v>31</v>
      </c>
      <c r="L1630" s="24">
        <v>200.56</v>
      </c>
      <c r="M1630" s="24">
        <v>540.38</v>
      </c>
      <c r="N1630" s="34">
        <f>((sales_data_1[[#This Row],[Unit_Price]]*(1-sales_data_1[[#This Row],[Discount]]))-sales_data_1[[#This Row],[Unit_Cost]])*sales_data_1[[#This Row],[Quantity_Sold]]</f>
        <v>2668.0676000000003</v>
      </c>
      <c r="O1630" s="17" t="s">
        <v>27</v>
      </c>
      <c r="P1630" s="26">
        <v>0.18</v>
      </c>
      <c r="Q1630" s="17" t="s">
        <v>25</v>
      </c>
      <c r="R1630" s="17" t="s">
        <v>19</v>
      </c>
      <c r="S1630" s="50" t="str">
        <f t="shared" si="77"/>
        <v>Charlie-East</v>
      </c>
      <c r="T1630" s="59" t="str">
        <f>IF(ROUND(sales_data_1[[#This Row],[Profit_Margin]],2)=ROUND((sales_data_1[[#This Row],[Unit_Price]]*(1-sales_data_1[[#This Row],[Discount]]) - sales_data_1[[#This Row],[Unit_Cost]])*sales_data_1[[#This Row],[Quantity_Sold]],2), "PASS", "CHECK")</f>
        <v>PASS</v>
      </c>
    </row>
    <row r="1631" spans="1:20" x14ac:dyDescent="0.35">
      <c r="A1631" s="7">
        <v>1630</v>
      </c>
      <c r="B1631" s="9">
        <v>1033</v>
      </c>
      <c r="C1631" s="14" t="str">
        <f>IFERROR(_xlfn.TEXTJOIN("-", TRUE, _xlfn.XLOOKUP(K1631, product_category_id_lookup!$A$2:$A$5, product_category_id_lookup!$B$2:$B$5), B1631), "Unknown Category")</f>
        <v>fd-1033</v>
      </c>
      <c r="D1631" s="8">
        <v>45114</v>
      </c>
      <c r="E1631" s="14">
        <f t="shared" si="75"/>
        <v>2023</v>
      </c>
      <c r="F1631" s="29" t="str">
        <f t="shared" si="76"/>
        <v>Jul</v>
      </c>
      <c r="G1631" s="17" t="s">
        <v>32</v>
      </c>
      <c r="H1631" s="17" t="s">
        <v>30</v>
      </c>
      <c r="I1631" s="24">
        <v>56647.369999999995</v>
      </c>
      <c r="J1631" s="32">
        <v>13</v>
      </c>
      <c r="K1631" s="17" t="s">
        <v>24</v>
      </c>
      <c r="L1631" s="24">
        <v>4342.53</v>
      </c>
      <c r="M1631" s="24">
        <v>4357.49</v>
      </c>
      <c r="N1631" s="34">
        <f>((sales_data_1[[#This Row],[Unit_Price]]*(1-sales_data_1[[#This Row],[Discount]]))-sales_data_1[[#This Row],[Unit_Cost]])*sales_data_1[[#This Row],[Quantity_Sold]]</f>
        <v>194.48000000000047</v>
      </c>
      <c r="O1631" s="17" t="s">
        <v>27</v>
      </c>
      <c r="P1631" s="26">
        <v>0</v>
      </c>
      <c r="Q1631" s="17" t="s">
        <v>25</v>
      </c>
      <c r="R1631" s="17" t="s">
        <v>19</v>
      </c>
      <c r="S1631" s="50" t="str">
        <f t="shared" si="77"/>
        <v>Eve-East</v>
      </c>
      <c r="T1631" s="59" t="str">
        <f>IF(ROUND(sales_data_1[[#This Row],[Profit_Margin]],2)=ROUND((sales_data_1[[#This Row],[Unit_Price]]*(1-sales_data_1[[#This Row],[Discount]]) - sales_data_1[[#This Row],[Unit_Cost]])*sales_data_1[[#This Row],[Quantity_Sold]],2), "PASS", "CHECK")</f>
        <v>PASS</v>
      </c>
    </row>
    <row r="1632" spans="1:20" x14ac:dyDescent="0.35">
      <c r="A1632" s="7">
        <v>1631</v>
      </c>
      <c r="B1632" s="9">
        <v>1092</v>
      </c>
      <c r="C1632" s="14" t="str">
        <f>IFERROR(_xlfn.TEXTJOIN("-", TRUE, _xlfn.XLOOKUP(K1632, product_category_id_lookup!$A$2:$A$5, product_category_id_lookup!$B$2:$B$5), B1632), "Unknown Category")</f>
        <v>fnt-1092</v>
      </c>
      <c r="D1632" s="8">
        <v>45114</v>
      </c>
      <c r="E1632" s="14">
        <f t="shared" si="75"/>
        <v>2023</v>
      </c>
      <c r="F1632" s="29" t="str">
        <f t="shared" si="76"/>
        <v>Jul</v>
      </c>
      <c r="G1632" s="17" t="s">
        <v>33</v>
      </c>
      <c r="H1632" s="17" t="s">
        <v>23</v>
      </c>
      <c r="I1632" s="24">
        <v>36365.144868872339</v>
      </c>
      <c r="J1632" s="32">
        <v>14</v>
      </c>
      <c r="K1632" s="17" t="s">
        <v>16</v>
      </c>
      <c r="L1632" s="24">
        <v>2559.65</v>
      </c>
      <c r="M1632" s="24">
        <v>2709.4</v>
      </c>
      <c r="N1632" s="34">
        <f>((sales_data_1[[#This Row],[Unit_Price]]*(1-sales_data_1[[#This Row],[Discount]]))-sales_data_1[[#This Row],[Unit_Cost]])*sales_data_1[[#This Row],[Quantity_Sold]]</f>
        <v>579.23599999999715</v>
      </c>
      <c r="O1632" s="17" t="s">
        <v>17</v>
      </c>
      <c r="P1632" s="26">
        <v>0.04</v>
      </c>
      <c r="Q1632" s="17" t="s">
        <v>28</v>
      </c>
      <c r="R1632" s="17" t="s">
        <v>21</v>
      </c>
      <c r="S1632" s="50" t="str">
        <f t="shared" si="77"/>
        <v>Alice-South</v>
      </c>
      <c r="T1632" s="59" t="str">
        <f>IF(ROUND(sales_data_1[[#This Row],[Profit_Margin]],2)=ROUND((sales_data_1[[#This Row],[Unit_Price]]*(1-sales_data_1[[#This Row],[Discount]]) - sales_data_1[[#This Row],[Unit_Cost]])*sales_data_1[[#This Row],[Quantity_Sold]],2), "PASS", "CHECK")</f>
        <v>PASS</v>
      </c>
    </row>
    <row r="1633" spans="1:20" x14ac:dyDescent="0.35">
      <c r="A1633" s="7">
        <v>1632</v>
      </c>
      <c r="B1633" s="9">
        <v>1080</v>
      </c>
      <c r="C1633" s="14" t="str">
        <f>IFERROR(_xlfn.TEXTJOIN("-", TRUE, _xlfn.XLOOKUP(K1633, product_category_id_lookup!$A$2:$A$5, product_category_id_lookup!$B$2:$B$5), B1633), "Unknown Category")</f>
        <v>fd-1080</v>
      </c>
      <c r="D1633" s="8">
        <v>45114</v>
      </c>
      <c r="E1633" s="14">
        <f t="shared" si="75"/>
        <v>2023</v>
      </c>
      <c r="F1633" s="29" t="str">
        <f t="shared" si="76"/>
        <v>Jul</v>
      </c>
      <c r="G1633" s="17" t="s">
        <v>29</v>
      </c>
      <c r="H1633" s="17" t="s">
        <v>20</v>
      </c>
      <c r="I1633" s="24">
        <v>59155.910799999998</v>
      </c>
      <c r="J1633" s="32">
        <v>14</v>
      </c>
      <c r="K1633" s="17" t="s">
        <v>24</v>
      </c>
      <c r="L1633" s="24">
        <v>4127.54</v>
      </c>
      <c r="M1633" s="24">
        <v>4495.13</v>
      </c>
      <c r="N1633" s="34">
        <f>((sales_data_1[[#This Row],[Unit_Price]]*(1-sales_data_1[[#This Row],[Discount]]))-sales_data_1[[#This Row],[Unit_Cost]])*sales_data_1[[#This Row],[Quantity_Sold]]</f>
        <v>1370.3508000000002</v>
      </c>
      <c r="O1633" s="17" t="s">
        <v>27</v>
      </c>
      <c r="P1633" s="26">
        <v>0.06</v>
      </c>
      <c r="Q1633" s="17" t="s">
        <v>25</v>
      </c>
      <c r="R1633" s="17" t="s">
        <v>21</v>
      </c>
      <c r="S1633" s="50" t="str">
        <f t="shared" si="77"/>
        <v>Charlie-West</v>
      </c>
      <c r="T1633" s="59" t="str">
        <f>IF(ROUND(sales_data_1[[#This Row],[Profit_Margin]],2)=ROUND((sales_data_1[[#This Row],[Unit_Price]]*(1-sales_data_1[[#This Row],[Discount]]) - sales_data_1[[#This Row],[Unit_Cost]])*sales_data_1[[#This Row],[Quantity_Sold]],2), "PASS", "CHECK")</f>
        <v>PASS</v>
      </c>
    </row>
    <row r="1634" spans="1:20" x14ac:dyDescent="0.35">
      <c r="A1634" s="7">
        <v>1633</v>
      </c>
      <c r="B1634" s="9">
        <v>1047</v>
      </c>
      <c r="C1634" s="14" t="str">
        <f>IFERROR(_xlfn.TEXTJOIN("-", TRUE, _xlfn.XLOOKUP(K1634, product_category_id_lookup!$A$2:$A$5, product_category_id_lookup!$B$2:$B$5), B1634), "Unknown Category")</f>
        <v>ctg-1047</v>
      </c>
      <c r="D1634" s="8">
        <v>45114</v>
      </c>
      <c r="E1634" s="14">
        <f t="shared" si="75"/>
        <v>2023</v>
      </c>
      <c r="F1634" s="29" t="str">
        <f t="shared" si="76"/>
        <v>Jul</v>
      </c>
      <c r="G1634" s="17" t="s">
        <v>22</v>
      </c>
      <c r="H1634" s="17" t="s">
        <v>23</v>
      </c>
      <c r="I1634" s="24">
        <v>15751.731000000002</v>
      </c>
      <c r="J1634" s="32">
        <v>15</v>
      </c>
      <c r="K1634" s="17" t="s">
        <v>26</v>
      </c>
      <c r="L1634" s="24">
        <v>957.95</v>
      </c>
      <c r="M1634" s="24">
        <v>1329.26</v>
      </c>
      <c r="N1634" s="34">
        <f>((sales_data_1[[#This Row],[Unit_Price]]*(1-sales_data_1[[#This Row],[Discount]]))-sales_data_1[[#This Row],[Unit_Cost]])*sales_data_1[[#This Row],[Quantity_Sold]]</f>
        <v>1382.4810000000014</v>
      </c>
      <c r="O1634" s="17" t="s">
        <v>27</v>
      </c>
      <c r="P1634" s="26">
        <v>0.21</v>
      </c>
      <c r="Q1634" s="17" t="s">
        <v>18</v>
      </c>
      <c r="R1634" s="17" t="s">
        <v>19</v>
      </c>
      <c r="S1634" s="50" t="str">
        <f t="shared" si="77"/>
        <v>David-South</v>
      </c>
      <c r="T1634" s="59" t="str">
        <f>IF(ROUND(sales_data_1[[#This Row],[Profit_Margin]],2)=ROUND((sales_data_1[[#This Row],[Unit_Price]]*(1-sales_data_1[[#This Row],[Discount]]) - sales_data_1[[#This Row],[Unit_Cost]])*sales_data_1[[#This Row],[Quantity_Sold]],2), "PASS", "CHECK")</f>
        <v>PASS</v>
      </c>
    </row>
    <row r="1635" spans="1:20" x14ac:dyDescent="0.35">
      <c r="A1635" s="7">
        <v>1634</v>
      </c>
      <c r="B1635" s="9">
        <v>1004</v>
      </c>
      <c r="C1635" s="14" t="str">
        <f>IFERROR(_xlfn.TEXTJOIN("-", TRUE, _xlfn.XLOOKUP(K1635, product_category_id_lookup!$A$2:$A$5, product_category_id_lookup!$B$2:$B$5), B1635), "Unknown Category")</f>
        <v>ctg-1004</v>
      </c>
      <c r="D1635" s="8">
        <v>45114</v>
      </c>
      <c r="E1635" s="14">
        <f t="shared" si="75"/>
        <v>2023</v>
      </c>
      <c r="F1635" s="29" t="str">
        <f t="shared" si="76"/>
        <v>Jul</v>
      </c>
      <c r="G1635" s="17" t="s">
        <v>32</v>
      </c>
      <c r="H1635" s="17" t="s">
        <v>15</v>
      </c>
      <c r="I1635" s="24">
        <v>84291.980499999991</v>
      </c>
      <c r="J1635" s="32">
        <v>35</v>
      </c>
      <c r="K1635" s="17" t="s">
        <v>26</v>
      </c>
      <c r="L1635" s="24">
        <v>2278.87</v>
      </c>
      <c r="M1635" s="24">
        <v>2646.5299999999997</v>
      </c>
      <c r="N1635" s="34">
        <f>((sales_data_1[[#This Row],[Unit_Price]]*(1-sales_data_1[[#This Row],[Discount]]))-sales_data_1[[#This Row],[Unit_Cost]])*sales_data_1[[#This Row],[Quantity_Sold]]</f>
        <v>4531.5304999999971</v>
      </c>
      <c r="O1635" s="17" t="s">
        <v>17</v>
      </c>
      <c r="P1635" s="26">
        <v>0.09</v>
      </c>
      <c r="Q1635" s="17" t="s">
        <v>25</v>
      </c>
      <c r="R1635" s="17" t="s">
        <v>19</v>
      </c>
      <c r="S1635" s="50" t="str">
        <f t="shared" si="77"/>
        <v>Eve-North</v>
      </c>
      <c r="T1635" s="59" t="str">
        <f>IF(ROUND(sales_data_1[[#This Row],[Profit_Margin]],2)=ROUND((sales_data_1[[#This Row],[Unit_Price]]*(1-sales_data_1[[#This Row],[Discount]]) - sales_data_1[[#This Row],[Unit_Cost]])*sales_data_1[[#This Row],[Quantity_Sold]],2), "PASS", "CHECK")</f>
        <v>PASS</v>
      </c>
    </row>
    <row r="1636" spans="1:20" x14ac:dyDescent="0.35">
      <c r="A1636" s="7">
        <v>1635</v>
      </c>
      <c r="B1636" s="9">
        <v>1042</v>
      </c>
      <c r="C1636" s="14" t="str">
        <f>IFERROR(_xlfn.TEXTJOIN("-", TRUE, _xlfn.XLOOKUP(K1636, product_category_id_lookup!$A$2:$A$5, product_category_id_lookup!$B$2:$B$5), B1636), "Unknown Category")</f>
        <v>etc-1042</v>
      </c>
      <c r="D1636" s="8">
        <v>45115</v>
      </c>
      <c r="E1636" s="14">
        <f t="shared" si="75"/>
        <v>2023</v>
      </c>
      <c r="F1636" s="29" t="str">
        <f t="shared" si="76"/>
        <v>Jul</v>
      </c>
      <c r="G1636" s="17" t="s">
        <v>33</v>
      </c>
      <c r="H1636" s="17" t="s">
        <v>30</v>
      </c>
      <c r="I1636" s="24">
        <v>30650.098999999995</v>
      </c>
      <c r="J1636" s="32">
        <v>23</v>
      </c>
      <c r="K1636" s="17" t="s">
        <v>31</v>
      </c>
      <c r="L1636" s="24">
        <v>1314</v>
      </c>
      <c r="M1636" s="24">
        <v>1567.78</v>
      </c>
      <c r="N1636" s="34">
        <f>((sales_data_1[[#This Row],[Unit_Price]]*(1-sales_data_1[[#This Row],[Discount]]))-sales_data_1[[#This Row],[Unit_Cost]])*sales_data_1[[#This Row],[Quantity_Sold]]</f>
        <v>428.09899999999607</v>
      </c>
      <c r="O1636" s="17" t="s">
        <v>17</v>
      </c>
      <c r="P1636" s="26">
        <v>0.15</v>
      </c>
      <c r="Q1636" s="17" t="s">
        <v>28</v>
      </c>
      <c r="R1636" s="17" t="s">
        <v>21</v>
      </c>
      <c r="S1636" s="50" t="str">
        <f t="shared" si="77"/>
        <v>Alice-East</v>
      </c>
      <c r="T1636" s="59" t="str">
        <f>IF(ROUND(sales_data_1[[#This Row],[Profit_Margin]],2)=ROUND((sales_data_1[[#This Row],[Unit_Price]]*(1-sales_data_1[[#This Row],[Discount]]) - sales_data_1[[#This Row],[Unit_Cost]])*sales_data_1[[#This Row],[Quantity_Sold]],2), "PASS", "CHECK")</f>
        <v>PASS</v>
      </c>
    </row>
    <row r="1637" spans="1:20" x14ac:dyDescent="0.35">
      <c r="A1637" s="7">
        <v>1636</v>
      </c>
      <c r="B1637" s="9">
        <v>1086</v>
      </c>
      <c r="C1637" s="14" t="str">
        <f>IFERROR(_xlfn.TEXTJOIN("-", TRUE, _xlfn.XLOOKUP(K1637, product_category_id_lookup!$A$2:$A$5, product_category_id_lookup!$B$2:$B$5), B1637), "Unknown Category")</f>
        <v>fd-1086</v>
      </c>
      <c r="D1637" s="8">
        <v>45116</v>
      </c>
      <c r="E1637" s="14">
        <f t="shared" si="75"/>
        <v>2023</v>
      </c>
      <c r="F1637" s="29" t="str">
        <f t="shared" si="76"/>
        <v>Jul</v>
      </c>
      <c r="G1637" s="17" t="s">
        <v>22</v>
      </c>
      <c r="H1637" s="17" t="s">
        <v>15</v>
      </c>
      <c r="I1637" s="24">
        <v>75034.293362400655</v>
      </c>
      <c r="J1637" s="32">
        <v>28</v>
      </c>
      <c r="K1637" s="17" t="s">
        <v>24</v>
      </c>
      <c r="L1637" s="24">
        <v>2564.35</v>
      </c>
      <c r="M1637" s="24">
        <v>2765.79</v>
      </c>
      <c r="N1637" s="34">
        <f>((sales_data_1[[#This Row],[Unit_Price]]*(1-sales_data_1[[#This Row],[Discount]]))-sales_data_1[[#This Row],[Unit_Cost]])*sales_data_1[[#This Row],[Quantity_Sold]]</f>
        <v>3317.0564000000013</v>
      </c>
      <c r="O1637" s="17" t="s">
        <v>17</v>
      </c>
      <c r="P1637" s="26">
        <v>0.03</v>
      </c>
      <c r="Q1637" s="17" t="s">
        <v>28</v>
      </c>
      <c r="R1637" s="17" t="s">
        <v>19</v>
      </c>
      <c r="S1637" s="50" t="str">
        <f t="shared" si="77"/>
        <v>David-North</v>
      </c>
      <c r="T1637" s="59" t="str">
        <f>IF(ROUND(sales_data_1[[#This Row],[Profit_Margin]],2)=ROUND((sales_data_1[[#This Row],[Unit_Price]]*(1-sales_data_1[[#This Row],[Discount]]) - sales_data_1[[#This Row],[Unit_Cost]])*sales_data_1[[#This Row],[Quantity_Sold]],2), "PASS", "CHECK")</f>
        <v>PASS</v>
      </c>
    </row>
    <row r="1638" spans="1:20" x14ac:dyDescent="0.35">
      <c r="A1638" s="7">
        <v>1637</v>
      </c>
      <c r="B1638" s="9">
        <v>1047</v>
      </c>
      <c r="C1638" s="14" t="str">
        <f>IFERROR(_xlfn.TEXTJOIN("-", TRUE, _xlfn.XLOOKUP(K1638, product_category_id_lookup!$A$2:$A$5, product_category_id_lookup!$B$2:$B$5), B1638), "Unknown Category")</f>
        <v>fd-1047</v>
      </c>
      <c r="D1638" s="8">
        <v>45117</v>
      </c>
      <c r="E1638" s="14">
        <f t="shared" si="75"/>
        <v>2023</v>
      </c>
      <c r="F1638" s="29" t="str">
        <f t="shared" si="76"/>
        <v>Jul</v>
      </c>
      <c r="G1638" s="17" t="s">
        <v>22</v>
      </c>
      <c r="H1638" s="17" t="s">
        <v>15</v>
      </c>
      <c r="I1638" s="24">
        <v>151666.82932079103</v>
      </c>
      <c r="J1638" s="32">
        <v>36</v>
      </c>
      <c r="K1638" s="17" t="s">
        <v>24</v>
      </c>
      <c r="L1638" s="24">
        <v>4043.53</v>
      </c>
      <c r="M1638" s="24">
        <v>4384.8500000000004</v>
      </c>
      <c r="N1638" s="34">
        <f>((sales_data_1[[#This Row],[Unit_Price]]*(1-sales_data_1[[#This Row],[Discount]]))-sales_data_1[[#This Row],[Unit_Cost]])*sales_data_1[[#This Row],[Quantity_Sold]]</f>
        <v>5973.3359999999975</v>
      </c>
      <c r="O1638" s="17" t="s">
        <v>27</v>
      </c>
      <c r="P1638" s="26">
        <v>0.04</v>
      </c>
      <c r="Q1638" s="17" t="s">
        <v>18</v>
      </c>
      <c r="R1638" s="17" t="s">
        <v>19</v>
      </c>
      <c r="S1638" s="50" t="str">
        <f t="shared" si="77"/>
        <v>David-North</v>
      </c>
      <c r="T1638" s="59" t="str">
        <f>IF(ROUND(sales_data_1[[#This Row],[Profit_Margin]],2)=ROUND((sales_data_1[[#This Row],[Unit_Price]]*(1-sales_data_1[[#This Row],[Discount]]) - sales_data_1[[#This Row],[Unit_Cost]])*sales_data_1[[#This Row],[Quantity_Sold]],2), "PASS", "CHECK")</f>
        <v>PASS</v>
      </c>
    </row>
    <row r="1639" spans="1:20" x14ac:dyDescent="0.35">
      <c r="A1639" s="7">
        <v>1638</v>
      </c>
      <c r="B1639" s="9">
        <v>1092</v>
      </c>
      <c r="C1639" s="14" t="str">
        <f>IFERROR(_xlfn.TEXTJOIN("-", TRUE, _xlfn.XLOOKUP(K1639, product_category_id_lookup!$A$2:$A$5, product_category_id_lookup!$B$2:$B$5), B1639), "Unknown Category")</f>
        <v>etc-1092</v>
      </c>
      <c r="D1639" s="8">
        <v>45118</v>
      </c>
      <c r="E1639" s="14">
        <f t="shared" si="75"/>
        <v>2023</v>
      </c>
      <c r="F1639" s="29" t="str">
        <f t="shared" si="76"/>
        <v>Jul</v>
      </c>
      <c r="G1639" s="17" t="s">
        <v>32</v>
      </c>
      <c r="H1639" s="17" t="s">
        <v>30</v>
      </c>
      <c r="I1639" s="24">
        <v>93601.7016</v>
      </c>
      <c r="J1639" s="32">
        <v>33</v>
      </c>
      <c r="K1639" s="17" t="s">
        <v>31</v>
      </c>
      <c r="L1639" s="24">
        <v>2595.42</v>
      </c>
      <c r="M1639" s="24">
        <v>3083.06</v>
      </c>
      <c r="N1639" s="34">
        <f>((sales_data_1[[#This Row],[Unit_Price]]*(1-sales_data_1[[#This Row],[Discount]]))-sales_data_1[[#This Row],[Unit_Cost]])*sales_data_1[[#This Row],[Quantity_Sold]]</f>
        <v>7952.8415999999943</v>
      </c>
      <c r="O1639" s="17" t="s">
        <v>27</v>
      </c>
      <c r="P1639" s="26">
        <v>0.08</v>
      </c>
      <c r="Q1639" s="17" t="s">
        <v>28</v>
      </c>
      <c r="R1639" s="17" t="s">
        <v>19</v>
      </c>
      <c r="S1639" s="50" t="str">
        <f t="shared" si="77"/>
        <v>Eve-East</v>
      </c>
      <c r="T1639" s="59" t="str">
        <f>IF(ROUND(sales_data_1[[#This Row],[Profit_Margin]],2)=ROUND((sales_data_1[[#This Row],[Unit_Price]]*(1-sales_data_1[[#This Row],[Discount]]) - sales_data_1[[#This Row],[Unit_Cost]])*sales_data_1[[#This Row],[Quantity_Sold]],2), "PASS", "CHECK")</f>
        <v>PASS</v>
      </c>
    </row>
    <row r="1640" spans="1:20" x14ac:dyDescent="0.35">
      <c r="A1640" s="7">
        <v>1639</v>
      </c>
      <c r="B1640" s="9">
        <v>1025</v>
      </c>
      <c r="C1640" s="14" t="str">
        <f>IFERROR(_xlfn.TEXTJOIN("-", TRUE, _xlfn.XLOOKUP(K1640, product_category_id_lookup!$A$2:$A$5, product_category_id_lookup!$B$2:$B$5), B1640), "Unknown Category")</f>
        <v>etc-1025</v>
      </c>
      <c r="D1640" s="8">
        <v>45118</v>
      </c>
      <c r="E1640" s="14">
        <f t="shared" si="75"/>
        <v>2023</v>
      </c>
      <c r="F1640" s="29" t="str">
        <f t="shared" si="76"/>
        <v>Jul</v>
      </c>
      <c r="G1640" s="17" t="s">
        <v>29</v>
      </c>
      <c r="H1640" s="17" t="s">
        <v>20</v>
      </c>
      <c r="I1640" s="24">
        <v>129388.54128580555</v>
      </c>
      <c r="J1640" s="32">
        <v>40</v>
      </c>
      <c r="K1640" s="17" t="s">
        <v>31</v>
      </c>
      <c r="L1640" s="24">
        <v>2983.85</v>
      </c>
      <c r="M1640" s="24">
        <v>3239.74</v>
      </c>
      <c r="N1640" s="34">
        <f>((sales_data_1[[#This Row],[Unit_Price]]*(1-sales_data_1[[#This Row],[Discount]]))-sales_data_1[[#This Row],[Unit_Cost]])*sales_data_1[[#This Row],[Quantity_Sold]]</f>
        <v>10235.599999999995</v>
      </c>
      <c r="O1640" s="17" t="s">
        <v>27</v>
      </c>
      <c r="P1640" s="26">
        <v>0</v>
      </c>
      <c r="Q1640" s="17" t="s">
        <v>28</v>
      </c>
      <c r="R1640" s="17" t="s">
        <v>19</v>
      </c>
      <c r="S1640" s="50" t="str">
        <f t="shared" si="77"/>
        <v>Charlie-West</v>
      </c>
      <c r="T1640" s="59" t="str">
        <f>IF(ROUND(sales_data_1[[#This Row],[Profit_Margin]],2)=ROUND((sales_data_1[[#This Row],[Unit_Price]]*(1-sales_data_1[[#This Row],[Discount]]) - sales_data_1[[#This Row],[Unit_Cost]])*sales_data_1[[#This Row],[Quantity_Sold]],2), "PASS", "CHECK")</f>
        <v>PASS</v>
      </c>
    </row>
    <row r="1641" spans="1:20" x14ac:dyDescent="0.35">
      <c r="A1641" s="7">
        <v>1640</v>
      </c>
      <c r="B1641" s="9">
        <v>1023</v>
      </c>
      <c r="C1641" s="14" t="str">
        <f>IFERROR(_xlfn.TEXTJOIN("-", TRUE, _xlfn.XLOOKUP(K1641, product_category_id_lookup!$A$2:$A$5, product_category_id_lookup!$B$2:$B$5), B1641), "Unknown Category")</f>
        <v>fd-1023</v>
      </c>
      <c r="D1641" s="8">
        <v>45119</v>
      </c>
      <c r="E1641" s="14">
        <f t="shared" si="75"/>
        <v>2023</v>
      </c>
      <c r="F1641" s="29" t="str">
        <f t="shared" si="76"/>
        <v>Jul</v>
      </c>
      <c r="G1641" s="17" t="s">
        <v>33</v>
      </c>
      <c r="H1641" s="17" t="s">
        <v>15</v>
      </c>
      <c r="I1641" s="24">
        <v>1700.6220000000001</v>
      </c>
      <c r="J1641" s="32">
        <v>2</v>
      </c>
      <c r="K1641" s="17" t="s">
        <v>24</v>
      </c>
      <c r="L1641" s="24">
        <v>665.89</v>
      </c>
      <c r="M1641" s="24">
        <v>944.79</v>
      </c>
      <c r="N1641" s="34">
        <f>((sales_data_1[[#This Row],[Unit_Price]]*(1-sales_data_1[[#This Row],[Discount]]))-sales_data_1[[#This Row],[Unit_Cost]])*sales_data_1[[#This Row],[Quantity_Sold]]</f>
        <v>368.8420000000001</v>
      </c>
      <c r="O1641" s="17" t="s">
        <v>27</v>
      </c>
      <c r="P1641" s="26">
        <v>0.1</v>
      </c>
      <c r="Q1641" s="17" t="s">
        <v>28</v>
      </c>
      <c r="R1641" s="17" t="s">
        <v>21</v>
      </c>
      <c r="S1641" s="50" t="str">
        <f t="shared" si="77"/>
        <v>Alice-North</v>
      </c>
      <c r="T1641" s="59" t="str">
        <f>IF(ROUND(sales_data_1[[#This Row],[Profit_Margin]],2)=ROUND((sales_data_1[[#This Row],[Unit_Price]]*(1-sales_data_1[[#This Row],[Discount]]) - sales_data_1[[#This Row],[Unit_Cost]])*sales_data_1[[#This Row],[Quantity_Sold]],2), "PASS", "CHECK")</f>
        <v>PASS</v>
      </c>
    </row>
    <row r="1642" spans="1:20" x14ac:dyDescent="0.35">
      <c r="A1642" s="7">
        <v>1641</v>
      </c>
      <c r="B1642" s="9">
        <v>1046</v>
      </c>
      <c r="C1642" s="14" t="str">
        <f>IFERROR(_xlfn.TEXTJOIN("-", TRUE, _xlfn.XLOOKUP(K1642, product_category_id_lookup!$A$2:$A$5, product_category_id_lookup!$B$2:$B$5), B1642), "Unknown Category")</f>
        <v>fnt-1046</v>
      </c>
      <c r="D1642" s="8">
        <v>45119</v>
      </c>
      <c r="E1642" s="14">
        <f t="shared" si="75"/>
        <v>2023</v>
      </c>
      <c r="F1642" s="29" t="str">
        <f t="shared" si="76"/>
        <v>Jul</v>
      </c>
      <c r="G1642" s="17" t="s">
        <v>32</v>
      </c>
      <c r="H1642" s="17" t="s">
        <v>15</v>
      </c>
      <c r="I1642" s="24">
        <v>66426.699211146828</v>
      </c>
      <c r="J1642" s="32">
        <v>17</v>
      </c>
      <c r="K1642" s="17" t="s">
        <v>16</v>
      </c>
      <c r="L1642" s="24">
        <v>3850.99</v>
      </c>
      <c r="M1642" s="24">
        <v>4045.3399999999997</v>
      </c>
      <c r="N1642" s="34">
        <f>((sales_data_1[[#This Row],[Unit_Price]]*(1-sales_data_1[[#This Row],[Discount]]))-sales_data_1[[#This Row],[Unit_Cost]])*sales_data_1[[#This Row],[Quantity_Sold]]</f>
        <v>1240.8265999999971</v>
      </c>
      <c r="O1642" s="17" t="s">
        <v>17</v>
      </c>
      <c r="P1642" s="26">
        <v>0.03</v>
      </c>
      <c r="Q1642" s="17" t="s">
        <v>28</v>
      </c>
      <c r="R1642" s="17" t="s">
        <v>19</v>
      </c>
      <c r="S1642" s="50" t="str">
        <f t="shared" si="77"/>
        <v>Eve-North</v>
      </c>
      <c r="T1642" s="59" t="str">
        <f>IF(ROUND(sales_data_1[[#This Row],[Profit_Margin]],2)=ROUND((sales_data_1[[#This Row],[Unit_Price]]*(1-sales_data_1[[#This Row],[Discount]]) - sales_data_1[[#This Row],[Unit_Cost]])*sales_data_1[[#This Row],[Quantity_Sold]],2), "PASS", "CHECK")</f>
        <v>PASS</v>
      </c>
    </row>
    <row r="1643" spans="1:20" x14ac:dyDescent="0.35">
      <c r="A1643" s="7">
        <v>1642</v>
      </c>
      <c r="B1643" s="9">
        <v>1058</v>
      </c>
      <c r="C1643" s="14" t="str">
        <f>IFERROR(_xlfn.TEXTJOIN("-", TRUE, _xlfn.XLOOKUP(K1643, product_category_id_lookup!$A$2:$A$5, product_category_id_lookup!$B$2:$B$5), B1643), "Unknown Category")</f>
        <v>etc-1058</v>
      </c>
      <c r="D1643" s="8">
        <v>45119</v>
      </c>
      <c r="E1643" s="14">
        <f t="shared" si="75"/>
        <v>2023</v>
      </c>
      <c r="F1643" s="29" t="str">
        <f t="shared" si="76"/>
        <v>Jul</v>
      </c>
      <c r="G1643" s="17" t="s">
        <v>32</v>
      </c>
      <c r="H1643" s="17" t="s">
        <v>30</v>
      </c>
      <c r="I1643" s="24">
        <v>39055.476263396828</v>
      </c>
      <c r="J1643" s="32">
        <v>14</v>
      </c>
      <c r="K1643" s="17" t="s">
        <v>31</v>
      </c>
      <c r="L1643" s="24">
        <v>2703.97</v>
      </c>
      <c r="M1643" s="24">
        <v>2796.8799999999997</v>
      </c>
      <c r="N1643" s="34">
        <f>((sales_data_1[[#This Row],[Unit_Price]]*(1-sales_data_1[[#This Row],[Discount]]))-sales_data_1[[#This Row],[Unit_Cost]])*sales_data_1[[#This Row],[Quantity_Sold]]</f>
        <v>1300.739999999998</v>
      </c>
      <c r="O1643" s="17" t="s">
        <v>27</v>
      </c>
      <c r="P1643" s="26">
        <v>0</v>
      </c>
      <c r="Q1643" s="17" t="s">
        <v>25</v>
      </c>
      <c r="R1643" s="17" t="s">
        <v>19</v>
      </c>
      <c r="S1643" s="50" t="str">
        <f t="shared" si="77"/>
        <v>Eve-East</v>
      </c>
      <c r="T1643" s="59" t="str">
        <f>IF(ROUND(sales_data_1[[#This Row],[Profit_Margin]],2)=ROUND((sales_data_1[[#This Row],[Unit_Price]]*(1-sales_data_1[[#This Row],[Discount]]) - sales_data_1[[#This Row],[Unit_Cost]])*sales_data_1[[#This Row],[Quantity_Sold]],2), "PASS", "CHECK")</f>
        <v>PASS</v>
      </c>
    </row>
    <row r="1644" spans="1:20" x14ac:dyDescent="0.35">
      <c r="A1644" s="7">
        <v>1643</v>
      </c>
      <c r="B1644" s="9">
        <v>1004</v>
      </c>
      <c r="C1644" s="14" t="str">
        <f>IFERROR(_xlfn.TEXTJOIN("-", TRUE, _xlfn.XLOOKUP(K1644, product_category_id_lookup!$A$2:$A$5, product_category_id_lookup!$B$2:$B$5), B1644), "Unknown Category")</f>
        <v>ctg-1004</v>
      </c>
      <c r="D1644" s="8">
        <v>45120</v>
      </c>
      <c r="E1644" s="14">
        <f t="shared" si="75"/>
        <v>2023</v>
      </c>
      <c r="F1644" s="29" t="str">
        <f t="shared" si="76"/>
        <v>Jul</v>
      </c>
      <c r="G1644" s="17" t="s">
        <v>32</v>
      </c>
      <c r="H1644" s="17" t="s">
        <v>30</v>
      </c>
      <c r="I1644" s="24">
        <v>18897.6592415919</v>
      </c>
      <c r="J1644" s="32">
        <v>16</v>
      </c>
      <c r="K1644" s="17" t="s">
        <v>26</v>
      </c>
      <c r="L1644" s="24">
        <v>1067.83</v>
      </c>
      <c r="M1644" s="24">
        <v>1189.22</v>
      </c>
      <c r="N1644" s="34">
        <f>((sales_data_1[[#This Row],[Unit_Price]]*(1-sales_data_1[[#This Row],[Discount]]))-sales_data_1[[#This Row],[Unit_Cost]])*sales_data_1[[#This Row],[Quantity_Sold]]</f>
        <v>1751.9648000000016</v>
      </c>
      <c r="O1644" s="17" t="s">
        <v>17</v>
      </c>
      <c r="P1644" s="26">
        <v>0.01</v>
      </c>
      <c r="Q1644" s="17" t="s">
        <v>28</v>
      </c>
      <c r="R1644" s="17" t="s">
        <v>21</v>
      </c>
      <c r="S1644" s="50" t="str">
        <f t="shared" si="77"/>
        <v>Eve-East</v>
      </c>
      <c r="T1644" s="59" t="str">
        <f>IF(ROUND(sales_data_1[[#This Row],[Profit_Margin]],2)=ROUND((sales_data_1[[#This Row],[Unit_Price]]*(1-sales_data_1[[#This Row],[Discount]]) - sales_data_1[[#This Row],[Unit_Cost]])*sales_data_1[[#This Row],[Quantity_Sold]],2), "PASS", "CHECK")</f>
        <v>PASS</v>
      </c>
    </row>
    <row r="1645" spans="1:20" x14ac:dyDescent="0.35">
      <c r="A1645" s="7">
        <v>1644</v>
      </c>
      <c r="B1645" s="9">
        <v>1054</v>
      </c>
      <c r="C1645" s="14" t="str">
        <f>IFERROR(_xlfn.TEXTJOIN("-", TRUE, _xlfn.XLOOKUP(K1645, product_category_id_lookup!$A$2:$A$5, product_category_id_lookup!$B$2:$B$5), B1645), "Unknown Category")</f>
        <v>fd-1054</v>
      </c>
      <c r="D1645" s="8">
        <v>45120</v>
      </c>
      <c r="E1645" s="14">
        <f t="shared" si="75"/>
        <v>2023</v>
      </c>
      <c r="F1645" s="29" t="str">
        <f t="shared" si="76"/>
        <v>Jul</v>
      </c>
      <c r="G1645" s="17" t="s">
        <v>33</v>
      </c>
      <c r="H1645" s="17" t="s">
        <v>23</v>
      </c>
      <c r="I1645" s="24">
        <v>211649.22897833533</v>
      </c>
      <c r="J1645" s="32">
        <v>47</v>
      </c>
      <c r="K1645" s="17" t="s">
        <v>24</v>
      </c>
      <c r="L1645" s="24">
        <v>4429.8</v>
      </c>
      <c r="M1645" s="24">
        <v>4694.21</v>
      </c>
      <c r="N1645" s="34">
        <f>((sales_data_1[[#This Row],[Unit_Price]]*(1-sales_data_1[[#This Row],[Discount]]))-sales_data_1[[#This Row],[Unit_Cost]])*sales_data_1[[#This Row],[Quantity_Sold]]</f>
        <v>3602.1551999999965</v>
      </c>
      <c r="O1645" s="17" t="s">
        <v>27</v>
      </c>
      <c r="P1645" s="26">
        <v>0.04</v>
      </c>
      <c r="Q1645" s="17" t="s">
        <v>25</v>
      </c>
      <c r="R1645" s="17" t="s">
        <v>19</v>
      </c>
      <c r="S1645" s="50" t="str">
        <f t="shared" si="77"/>
        <v>Alice-South</v>
      </c>
      <c r="T1645" s="59" t="str">
        <f>IF(ROUND(sales_data_1[[#This Row],[Profit_Margin]],2)=ROUND((sales_data_1[[#This Row],[Unit_Price]]*(1-sales_data_1[[#This Row],[Discount]]) - sales_data_1[[#This Row],[Unit_Cost]])*sales_data_1[[#This Row],[Quantity_Sold]],2), "PASS", "CHECK")</f>
        <v>PASS</v>
      </c>
    </row>
    <row r="1646" spans="1:20" x14ac:dyDescent="0.35">
      <c r="A1646" s="7">
        <v>1645</v>
      </c>
      <c r="B1646" s="9">
        <v>1021</v>
      </c>
      <c r="C1646" s="14" t="str">
        <f>IFERROR(_xlfn.TEXTJOIN("-", TRUE, _xlfn.XLOOKUP(K1646, product_category_id_lookup!$A$2:$A$5, product_category_id_lookup!$B$2:$B$5), B1646), "Unknown Category")</f>
        <v>fnt-1021</v>
      </c>
      <c r="D1646" s="8">
        <v>45120</v>
      </c>
      <c r="E1646" s="14">
        <f t="shared" si="75"/>
        <v>2023</v>
      </c>
      <c r="F1646" s="29" t="str">
        <f t="shared" si="76"/>
        <v>Jul</v>
      </c>
      <c r="G1646" s="17" t="s">
        <v>14</v>
      </c>
      <c r="H1646" s="17" t="s">
        <v>20</v>
      </c>
      <c r="I1646" s="24">
        <v>187725.48322376815</v>
      </c>
      <c r="J1646" s="32">
        <v>43</v>
      </c>
      <c r="K1646" s="17" t="s">
        <v>16</v>
      </c>
      <c r="L1646" s="24">
        <v>4154.3</v>
      </c>
      <c r="M1646" s="24">
        <v>4469.07</v>
      </c>
      <c r="N1646" s="34">
        <f>((sales_data_1[[#This Row],[Unit_Price]]*(1-sales_data_1[[#This Row],[Discount]]))-sales_data_1[[#This Row],[Unit_Cost]])*sales_data_1[[#This Row],[Quantity_Sold]]</f>
        <v>9691.7097999999714</v>
      </c>
      <c r="O1646" s="17" t="s">
        <v>17</v>
      </c>
      <c r="P1646" s="26">
        <v>0.02</v>
      </c>
      <c r="Q1646" s="17" t="s">
        <v>18</v>
      </c>
      <c r="R1646" s="17" t="s">
        <v>21</v>
      </c>
      <c r="S1646" s="50" t="str">
        <f t="shared" si="77"/>
        <v>Bob-West</v>
      </c>
      <c r="T1646" s="59" t="str">
        <f>IF(ROUND(sales_data_1[[#This Row],[Profit_Margin]],2)=ROUND((sales_data_1[[#This Row],[Unit_Price]]*(1-sales_data_1[[#This Row],[Discount]]) - sales_data_1[[#This Row],[Unit_Cost]])*sales_data_1[[#This Row],[Quantity_Sold]],2), "PASS", "CHECK")</f>
        <v>PASS</v>
      </c>
    </row>
    <row r="1647" spans="1:20" x14ac:dyDescent="0.35">
      <c r="A1647" s="7">
        <v>1646</v>
      </c>
      <c r="B1647" s="9">
        <v>1081</v>
      </c>
      <c r="C1647" s="14" t="str">
        <f>IFERROR(_xlfn.TEXTJOIN("-", TRUE, _xlfn.XLOOKUP(K1647, product_category_id_lookup!$A$2:$A$5, product_category_id_lookup!$B$2:$B$5), B1647), "Unknown Category")</f>
        <v>ctg-1081</v>
      </c>
      <c r="D1647" s="8">
        <v>45121</v>
      </c>
      <c r="E1647" s="14">
        <f t="shared" si="75"/>
        <v>2023</v>
      </c>
      <c r="F1647" s="29" t="str">
        <f t="shared" si="76"/>
        <v>Jul</v>
      </c>
      <c r="G1647" s="17" t="s">
        <v>32</v>
      </c>
      <c r="H1647" s="17" t="s">
        <v>15</v>
      </c>
      <c r="I1647" s="24">
        <v>40679.179199999999</v>
      </c>
      <c r="J1647" s="32">
        <v>16</v>
      </c>
      <c r="K1647" s="17" t="s">
        <v>26</v>
      </c>
      <c r="L1647" s="24">
        <v>2530.15</v>
      </c>
      <c r="M1647" s="24">
        <v>2568.13</v>
      </c>
      <c r="N1647" s="34">
        <f>((sales_data_1[[#This Row],[Unit_Price]]*(1-sales_data_1[[#This Row],[Discount]]))-sales_data_1[[#This Row],[Unit_Cost]])*sales_data_1[[#This Row],[Quantity_Sold]]</f>
        <v>196.77919999999722</v>
      </c>
      <c r="O1647" s="17" t="s">
        <v>27</v>
      </c>
      <c r="P1647" s="26">
        <v>0.01</v>
      </c>
      <c r="Q1647" s="17" t="s">
        <v>28</v>
      </c>
      <c r="R1647" s="17" t="s">
        <v>19</v>
      </c>
      <c r="S1647" s="50" t="str">
        <f t="shared" si="77"/>
        <v>Eve-North</v>
      </c>
      <c r="T1647" s="59" t="str">
        <f>IF(ROUND(sales_data_1[[#This Row],[Profit_Margin]],2)=ROUND((sales_data_1[[#This Row],[Unit_Price]]*(1-sales_data_1[[#This Row],[Discount]]) - sales_data_1[[#This Row],[Unit_Cost]])*sales_data_1[[#This Row],[Quantity_Sold]],2), "PASS", "CHECK")</f>
        <v>PASS</v>
      </c>
    </row>
    <row r="1648" spans="1:20" x14ac:dyDescent="0.35">
      <c r="A1648" s="7">
        <v>1647</v>
      </c>
      <c r="B1648" s="9">
        <v>1027</v>
      </c>
      <c r="C1648" s="14" t="str">
        <f>IFERROR(_xlfn.TEXTJOIN("-", TRUE, _xlfn.XLOOKUP(K1648, product_category_id_lookup!$A$2:$A$5, product_category_id_lookup!$B$2:$B$5), B1648), "Unknown Category")</f>
        <v>fd-1027</v>
      </c>
      <c r="D1648" s="8">
        <v>45121</v>
      </c>
      <c r="E1648" s="14">
        <f t="shared" si="75"/>
        <v>2023</v>
      </c>
      <c r="F1648" s="29" t="str">
        <f t="shared" si="76"/>
        <v>Jul</v>
      </c>
      <c r="G1648" s="17" t="s">
        <v>14</v>
      </c>
      <c r="H1648" s="17" t="s">
        <v>23</v>
      </c>
      <c r="I1648" s="24">
        <v>73780.601399999985</v>
      </c>
      <c r="J1648" s="32">
        <v>22</v>
      </c>
      <c r="K1648" s="17" t="s">
        <v>24</v>
      </c>
      <c r="L1648" s="24">
        <v>3240.2</v>
      </c>
      <c r="M1648" s="24">
        <v>3606.0899999999997</v>
      </c>
      <c r="N1648" s="34">
        <f>((sales_data_1[[#This Row],[Unit_Price]]*(1-sales_data_1[[#This Row],[Discount]]))-sales_data_1[[#This Row],[Unit_Cost]])*sales_data_1[[#This Row],[Quantity_Sold]]</f>
        <v>2496.2013999999954</v>
      </c>
      <c r="O1648" s="17" t="s">
        <v>27</v>
      </c>
      <c r="P1648" s="26">
        <v>7.0000000000000007E-2</v>
      </c>
      <c r="Q1648" s="17" t="s">
        <v>18</v>
      </c>
      <c r="R1648" s="17" t="s">
        <v>19</v>
      </c>
      <c r="S1648" s="50" t="str">
        <f t="shared" si="77"/>
        <v>Bob-South</v>
      </c>
      <c r="T1648" s="59" t="str">
        <f>IF(ROUND(sales_data_1[[#This Row],[Profit_Margin]],2)=ROUND((sales_data_1[[#This Row],[Unit_Price]]*(1-sales_data_1[[#This Row],[Discount]]) - sales_data_1[[#This Row],[Unit_Cost]])*sales_data_1[[#This Row],[Quantity_Sold]],2), "PASS", "CHECK")</f>
        <v>PASS</v>
      </c>
    </row>
    <row r="1649" spans="1:20" x14ac:dyDescent="0.35">
      <c r="A1649" s="7">
        <v>1648</v>
      </c>
      <c r="B1649" s="9">
        <v>1030</v>
      </c>
      <c r="C1649" s="14" t="str">
        <f>IFERROR(_xlfn.TEXTJOIN("-", TRUE, _xlfn.XLOOKUP(K1649, product_category_id_lookup!$A$2:$A$5, product_category_id_lookup!$B$2:$B$5), B1649), "Unknown Category")</f>
        <v>ctg-1030</v>
      </c>
      <c r="D1649" s="8">
        <v>45121</v>
      </c>
      <c r="E1649" s="14">
        <f t="shared" si="75"/>
        <v>2023</v>
      </c>
      <c r="F1649" s="29" t="str">
        <f t="shared" si="76"/>
        <v>Jul</v>
      </c>
      <c r="G1649" s="17" t="s">
        <v>14</v>
      </c>
      <c r="H1649" s="17" t="s">
        <v>30</v>
      </c>
      <c r="I1649" s="24">
        <v>196463.50759233345</v>
      </c>
      <c r="J1649" s="32">
        <v>39</v>
      </c>
      <c r="K1649" s="17" t="s">
        <v>26</v>
      </c>
      <c r="L1649" s="24">
        <v>4929.7299999999996</v>
      </c>
      <c r="M1649" s="24">
        <v>5088.0199999999995</v>
      </c>
      <c r="N1649" s="34">
        <f>((sales_data_1[[#This Row],[Unit_Price]]*(1-sales_data_1[[#This Row],[Discount]]))-sales_data_1[[#This Row],[Unit_Cost]])*sales_data_1[[#This Row],[Quantity_Sold]]</f>
        <v>4188.982200000014</v>
      </c>
      <c r="O1649" s="17" t="s">
        <v>27</v>
      </c>
      <c r="P1649" s="26">
        <v>0.01</v>
      </c>
      <c r="Q1649" s="17" t="s">
        <v>25</v>
      </c>
      <c r="R1649" s="17" t="s">
        <v>21</v>
      </c>
      <c r="S1649" s="50" t="str">
        <f t="shared" si="77"/>
        <v>Bob-East</v>
      </c>
      <c r="T1649" s="59" t="str">
        <f>IF(ROUND(sales_data_1[[#This Row],[Profit_Margin]],2)=ROUND((sales_data_1[[#This Row],[Unit_Price]]*(1-sales_data_1[[#This Row],[Discount]]) - sales_data_1[[#This Row],[Unit_Cost]])*sales_data_1[[#This Row],[Quantity_Sold]],2), "PASS", "CHECK")</f>
        <v>PASS</v>
      </c>
    </row>
    <row r="1650" spans="1:20" x14ac:dyDescent="0.35">
      <c r="A1650" s="7">
        <v>1649</v>
      </c>
      <c r="B1650" s="9">
        <v>1052</v>
      </c>
      <c r="C1650" s="14" t="str">
        <f>IFERROR(_xlfn.TEXTJOIN("-", TRUE, _xlfn.XLOOKUP(K1650, product_category_id_lookup!$A$2:$A$5, product_category_id_lookup!$B$2:$B$5), B1650), "Unknown Category")</f>
        <v>fd-1052</v>
      </c>
      <c r="D1650" s="8">
        <v>45122</v>
      </c>
      <c r="E1650" s="14">
        <f t="shared" si="75"/>
        <v>2023</v>
      </c>
      <c r="F1650" s="29" t="str">
        <f t="shared" si="76"/>
        <v>Jul</v>
      </c>
      <c r="G1650" s="17" t="s">
        <v>29</v>
      </c>
      <c r="H1650" s="17" t="s">
        <v>30</v>
      </c>
      <c r="I1650" s="24">
        <v>147221.81935999793</v>
      </c>
      <c r="J1650" s="32">
        <v>48</v>
      </c>
      <c r="K1650" s="17" t="s">
        <v>24</v>
      </c>
      <c r="L1650" s="24">
        <v>3002.35</v>
      </c>
      <c r="M1650" s="24">
        <v>3080.61</v>
      </c>
      <c r="N1650" s="34">
        <f>((sales_data_1[[#This Row],[Unit_Price]]*(1-sales_data_1[[#This Row],[Discount]]))-sales_data_1[[#This Row],[Unit_Cost]])*sales_data_1[[#This Row],[Quantity_Sold]]</f>
        <v>3756.4800000000105</v>
      </c>
      <c r="O1650" s="17" t="s">
        <v>17</v>
      </c>
      <c r="P1650" s="26">
        <v>0</v>
      </c>
      <c r="Q1650" s="17" t="s">
        <v>25</v>
      </c>
      <c r="R1650" s="17" t="s">
        <v>21</v>
      </c>
      <c r="S1650" s="50" t="str">
        <f t="shared" si="77"/>
        <v>Charlie-East</v>
      </c>
      <c r="T1650" s="59" t="str">
        <f>IF(ROUND(sales_data_1[[#This Row],[Profit_Margin]],2)=ROUND((sales_data_1[[#This Row],[Unit_Price]]*(1-sales_data_1[[#This Row],[Discount]]) - sales_data_1[[#This Row],[Unit_Cost]])*sales_data_1[[#This Row],[Quantity_Sold]],2), "PASS", "CHECK")</f>
        <v>PASS</v>
      </c>
    </row>
    <row r="1651" spans="1:20" x14ac:dyDescent="0.35">
      <c r="A1651" s="7">
        <v>1650</v>
      </c>
      <c r="B1651" s="9">
        <v>1017</v>
      </c>
      <c r="C1651" s="14" t="str">
        <f>IFERROR(_xlfn.TEXTJOIN("-", TRUE, _xlfn.XLOOKUP(K1651, product_category_id_lookup!$A$2:$A$5, product_category_id_lookup!$B$2:$B$5), B1651), "Unknown Category")</f>
        <v>etc-1017</v>
      </c>
      <c r="D1651" s="8">
        <v>45122</v>
      </c>
      <c r="E1651" s="14">
        <f t="shared" si="75"/>
        <v>2023</v>
      </c>
      <c r="F1651" s="29" t="str">
        <f t="shared" si="76"/>
        <v>Jul</v>
      </c>
      <c r="G1651" s="17" t="s">
        <v>22</v>
      </c>
      <c r="H1651" s="17" t="s">
        <v>15</v>
      </c>
      <c r="I1651" s="24">
        <v>45941.441999999995</v>
      </c>
      <c r="J1651" s="32">
        <v>23</v>
      </c>
      <c r="K1651" s="17" t="s">
        <v>31</v>
      </c>
      <c r="L1651" s="24">
        <v>1771.52</v>
      </c>
      <c r="M1651" s="24">
        <v>2147.8000000000002</v>
      </c>
      <c r="N1651" s="34">
        <f>((sales_data_1[[#This Row],[Unit_Price]]*(1-sales_data_1[[#This Row],[Discount]]))-sales_data_1[[#This Row],[Unit_Cost]])*sales_data_1[[#This Row],[Quantity_Sold]]</f>
        <v>5196.4819999999991</v>
      </c>
      <c r="O1651" s="17" t="s">
        <v>27</v>
      </c>
      <c r="P1651" s="26">
        <v>7.0000000000000007E-2</v>
      </c>
      <c r="Q1651" s="17" t="s">
        <v>25</v>
      </c>
      <c r="R1651" s="17" t="s">
        <v>19</v>
      </c>
      <c r="S1651" s="50" t="str">
        <f t="shared" si="77"/>
        <v>David-North</v>
      </c>
      <c r="T1651" s="59" t="str">
        <f>IF(ROUND(sales_data_1[[#This Row],[Profit_Margin]],2)=ROUND((sales_data_1[[#This Row],[Unit_Price]]*(1-sales_data_1[[#This Row],[Discount]]) - sales_data_1[[#This Row],[Unit_Cost]])*sales_data_1[[#This Row],[Quantity_Sold]],2), "PASS", "CHECK")</f>
        <v>PASS</v>
      </c>
    </row>
    <row r="1652" spans="1:20" x14ac:dyDescent="0.35">
      <c r="A1652" s="7">
        <v>1651</v>
      </c>
      <c r="B1652" s="9">
        <v>1017</v>
      </c>
      <c r="C1652" s="14" t="str">
        <f>IFERROR(_xlfn.TEXTJOIN("-", TRUE, _xlfn.XLOOKUP(K1652, product_category_id_lookup!$A$2:$A$5, product_category_id_lookup!$B$2:$B$5), B1652), "Unknown Category")</f>
        <v>fnt-1017</v>
      </c>
      <c r="D1652" s="8">
        <v>45123</v>
      </c>
      <c r="E1652" s="14">
        <f t="shared" si="75"/>
        <v>2023</v>
      </c>
      <c r="F1652" s="29" t="str">
        <f t="shared" si="76"/>
        <v>Jul</v>
      </c>
      <c r="G1652" s="17" t="s">
        <v>33</v>
      </c>
      <c r="H1652" s="17" t="s">
        <v>23</v>
      </c>
      <c r="I1652" s="24">
        <v>20409.175966052117</v>
      </c>
      <c r="J1652" s="32">
        <v>18</v>
      </c>
      <c r="K1652" s="17" t="s">
        <v>16</v>
      </c>
      <c r="L1652" s="24">
        <v>1069.73</v>
      </c>
      <c r="M1652" s="24">
        <v>1180.04</v>
      </c>
      <c r="N1652" s="34">
        <f>((sales_data_1[[#This Row],[Unit_Price]]*(1-sales_data_1[[#This Row],[Discount]]))-sales_data_1[[#This Row],[Unit_Cost]])*sales_data_1[[#This Row],[Quantity_Sold]]</f>
        <v>1135.9511999999972</v>
      </c>
      <c r="O1652" s="17" t="s">
        <v>17</v>
      </c>
      <c r="P1652" s="26">
        <v>0.04</v>
      </c>
      <c r="Q1652" s="17" t="s">
        <v>25</v>
      </c>
      <c r="R1652" s="17" t="s">
        <v>19</v>
      </c>
      <c r="S1652" s="50" t="str">
        <f t="shared" si="77"/>
        <v>Alice-South</v>
      </c>
      <c r="T1652" s="59" t="str">
        <f>IF(ROUND(sales_data_1[[#This Row],[Profit_Margin]],2)=ROUND((sales_data_1[[#This Row],[Unit_Price]]*(1-sales_data_1[[#This Row],[Discount]]) - sales_data_1[[#This Row],[Unit_Cost]])*sales_data_1[[#This Row],[Quantity_Sold]],2), "PASS", "CHECK")</f>
        <v>PASS</v>
      </c>
    </row>
    <row r="1653" spans="1:20" x14ac:dyDescent="0.35">
      <c r="A1653" s="7">
        <v>1652</v>
      </c>
      <c r="B1653" s="9">
        <v>1030</v>
      </c>
      <c r="C1653" s="14" t="str">
        <f>IFERROR(_xlfn.TEXTJOIN("-", TRUE, _xlfn.XLOOKUP(K1653, product_category_id_lookup!$A$2:$A$5, product_category_id_lookup!$B$2:$B$5), B1653), "Unknown Category")</f>
        <v>ctg-1030</v>
      </c>
      <c r="D1653" s="8">
        <v>45124</v>
      </c>
      <c r="E1653" s="14">
        <f t="shared" si="75"/>
        <v>2023</v>
      </c>
      <c r="F1653" s="29" t="str">
        <f t="shared" si="76"/>
        <v>Jul</v>
      </c>
      <c r="G1653" s="17" t="s">
        <v>22</v>
      </c>
      <c r="H1653" s="17" t="s">
        <v>20</v>
      </c>
      <c r="I1653" s="24">
        <v>58743.796253990928</v>
      </c>
      <c r="J1653" s="32">
        <v>19</v>
      </c>
      <c r="K1653" s="17" t="s">
        <v>26</v>
      </c>
      <c r="L1653" s="24">
        <v>3049.33</v>
      </c>
      <c r="M1653" s="24">
        <v>3209.22</v>
      </c>
      <c r="N1653" s="34">
        <f>((sales_data_1[[#This Row],[Unit_Price]]*(1-sales_data_1[[#This Row],[Discount]]))-sales_data_1[[#This Row],[Unit_Cost]])*sales_data_1[[#This Row],[Quantity_Sold]]</f>
        <v>598.90279999999393</v>
      </c>
      <c r="O1653" s="17" t="s">
        <v>17</v>
      </c>
      <c r="P1653" s="26">
        <v>0.04</v>
      </c>
      <c r="Q1653" s="17" t="s">
        <v>18</v>
      </c>
      <c r="R1653" s="17" t="s">
        <v>19</v>
      </c>
      <c r="S1653" s="50" t="str">
        <f t="shared" si="77"/>
        <v>David-West</v>
      </c>
      <c r="T1653" s="59" t="str">
        <f>IF(ROUND(sales_data_1[[#This Row],[Profit_Margin]],2)=ROUND((sales_data_1[[#This Row],[Unit_Price]]*(1-sales_data_1[[#This Row],[Discount]]) - sales_data_1[[#This Row],[Unit_Cost]])*sales_data_1[[#This Row],[Quantity_Sold]],2), "PASS", "CHECK")</f>
        <v>PASS</v>
      </c>
    </row>
    <row r="1654" spans="1:20" x14ac:dyDescent="0.35">
      <c r="A1654" s="7">
        <v>1653</v>
      </c>
      <c r="B1654" s="9">
        <v>1003</v>
      </c>
      <c r="C1654" s="14" t="str">
        <f>IFERROR(_xlfn.TEXTJOIN("-", TRUE, _xlfn.XLOOKUP(K1654, product_category_id_lookup!$A$2:$A$5, product_category_id_lookup!$B$2:$B$5), B1654), "Unknown Category")</f>
        <v>etc-1003</v>
      </c>
      <c r="D1654" s="8">
        <v>45124</v>
      </c>
      <c r="E1654" s="14">
        <f t="shared" si="75"/>
        <v>2023</v>
      </c>
      <c r="F1654" s="29" t="str">
        <f t="shared" si="76"/>
        <v>Jul</v>
      </c>
      <c r="G1654" s="17" t="s">
        <v>32</v>
      </c>
      <c r="H1654" s="17" t="s">
        <v>20</v>
      </c>
      <c r="I1654" s="24">
        <v>26807.183088416237</v>
      </c>
      <c r="J1654" s="32">
        <v>15</v>
      </c>
      <c r="K1654" s="17" t="s">
        <v>31</v>
      </c>
      <c r="L1654" s="24">
        <v>1729.14</v>
      </c>
      <c r="M1654" s="24">
        <v>1870.88</v>
      </c>
      <c r="N1654" s="34">
        <f>((sales_data_1[[#This Row],[Unit_Price]]*(1-sales_data_1[[#This Row],[Discount]]))-sales_data_1[[#This Row],[Unit_Cost]])*sales_data_1[[#This Row],[Quantity_Sold]]</f>
        <v>1003.5720000000003</v>
      </c>
      <c r="O1654" s="17" t="s">
        <v>17</v>
      </c>
      <c r="P1654" s="26">
        <v>0.04</v>
      </c>
      <c r="Q1654" s="17" t="s">
        <v>18</v>
      </c>
      <c r="R1654" s="17" t="s">
        <v>19</v>
      </c>
      <c r="S1654" s="50" t="str">
        <f t="shared" si="77"/>
        <v>Eve-West</v>
      </c>
      <c r="T1654" s="59" t="str">
        <f>IF(ROUND(sales_data_1[[#This Row],[Profit_Margin]],2)=ROUND((sales_data_1[[#This Row],[Unit_Price]]*(1-sales_data_1[[#This Row],[Discount]]) - sales_data_1[[#This Row],[Unit_Cost]])*sales_data_1[[#This Row],[Quantity_Sold]],2), "PASS", "CHECK")</f>
        <v>PASS</v>
      </c>
    </row>
    <row r="1655" spans="1:20" x14ac:dyDescent="0.35">
      <c r="A1655" s="7">
        <v>1654</v>
      </c>
      <c r="B1655" s="9">
        <v>1090</v>
      </c>
      <c r="C1655" s="14" t="str">
        <f>IFERROR(_xlfn.TEXTJOIN("-", TRUE, _xlfn.XLOOKUP(K1655, product_category_id_lookup!$A$2:$A$5, product_category_id_lookup!$B$2:$B$5), B1655), "Unknown Category")</f>
        <v>etc-1090</v>
      </c>
      <c r="D1655" s="8">
        <v>45124</v>
      </c>
      <c r="E1655" s="14">
        <f t="shared" si="75"/>
        <v>2023</v>
      </c>
      <c r="F1655" s="29" t="str">
        <f t="shared" si="76"/>
        <v>Jul</v>
      </c>
      <c r="G1655" s="17" t="s">
        <v>22</v>
      </c>
      <c r="H1655" s="17" t="s">
        <v>15</v>
      </c>
      <c r="I1655" s="24">
        <v>20644.927238993794</v>
      </c>
      <c r="J1655" s="32">
        <v>14</v>
      </c>
      <c r="K1655" s="17" t="s">
        <v>31</v>
      </c>
      <c r="L1655" s="24">
        <v>1350.47</v>
      </c>
      <c r="M1655" s="24">
        <v>1514.6100000000001</v>
      </c>
      <c r="N1655" s="34">
        <f>((sales_data_1[[#This Row],[Unit_Price]]*(1-sales_data_1[[#This Row],[Discount]]))-sales_data_1[[#This Row],[Unit_Cost]])*sales_data_1[[#This Row],[Quantity_Sold]]</f>
        <v>1661.823800000001</v>
      </c>
      <c r="O1655" s="17" t="s">
        <v>27</v>
      </c>
      <c r="P1655" s="26">
        <v>0.03</v>
      </c>
      <c r="Q1655" s="17" t="s">
        <v>28</v>
      </c>
      <c r="R1655" s="17" t="s">
        <v>21</v>
      </c>
      <c r="S1655" s="50" t="str">
        <f t="shared" si="77"/>
        <v>David-North</v>
      </c>
      <c r="T1655" s="59" t="str">
        <f>IF(ROUND(sales_data_1[[#This Row],[Profit_Margin]],2)=ROUND((sales_data_1[[#This Row],[Unit_Price]]*(1-sales_data_1[[#This Row],[Discount]]) - sales_data_1[[#This Row],[Unit_Cost]])*sales_data_1[[#This Row],[Quantity_Sold]],2), "PASS", "CHECK")</f>
        <v>PASS</v>
      </c>
    </row>
    <row r="1656" spans="1:20" x14ac:dyDescent="0.35">
      <c r="A1656" s="7">
        <v>1655</v>
      </c>
      <c r="B1656" s="9">
        <v>1019</v>
      </c>
      <c r="C1656" s="14" t="str">
        <f>IFERROR(_xlfn.TEXTJOIN("-", TRUE, _xlfn.XLOOKUP(K1656, product_category_id_lookup!$A$2:$A$5, product_category_id_lookup!$B$2:$B$5), B1656), "Unknown Category")</f>
        <v>ctg-1019</v>
      </c>
      <c r="D1656" s="8">
        <v>45124</v>
      </c>
      <c r="E1656" s="14">
        <f t="shared" si="75"/>
        <v>2023</v>
      </c>
      <c r="F1656" s="29" t="str">
        <f t="shared" si="76"/>
        <v>Jul</v>
      </c>
      <c r="G1656" s="17" t="s">
        <v>22</v>
      </c>
      <c r="H1656" s="17" t="s">
        <v>23</v>
      </c>
      <c r="I1656" s="24">
        <v>25383.546054980376</v>
      </c>
      <c r="J1656" s="32">
        <v>14</v>
      </c>
      <c r="K1656" s="17" t="s">
        <v>26</v>
      </c>
      <c r="L1656" s="24">
        <v>1614.19</v>
      </c>
      <c r="M1656" s="24">
        <v>1882.79</v>
      </c>
      <c r="N1656" s="34">
        <f>((sales_data_1[[#This Row],[Unit_Price]]*(1-sales_data_1[[#This Row],[Discount]]))-sales_data_1[[#This Row],[Unit_Cost]])*sales_data_1[[#This Row],[Quantity_Sold]]</f>
        <v>2706.0375999999987</v>
      </c>
      <c r="O1656" s="17" t="s">
        <v>27</v>
      </c>
      <c r="P1656" s="26">
        <v>0.04</v>
      </c>
      <c r="Q1656" s="17" t="s">
        <v>28</v>
      </c>
      <c r="R1656" s="17" t="s">
        <v>21</v>
      </c>
      <c r="S1656" s="50" t="str">
        <f t="shared" si="77"/>
        <v>David-South</v>
      </c>
      <c r="T1656" s="59" t="str">
        <f>IF(ROUND(sales_data_1[[#This Row],[Profit_Margin]],2)=ROUND((sales_data_1[[#This Row],[Unit_Price]]*(1-sales_data_1[[#This Row],[Discount]]) - sales_data_1[[#This Row],[Unit_Cost]])*sales_data_1[[#This Row],[Quantity_Sold]],2), "PASS", "CHECK")</f>
        <v>PASS</v>
      </c>
    </row>
    <row r="1657" spans="1:20" x14ac:dyDescent="0.35">
      <c r="A1657" s="7">
        <v>1656</v>
      </c>
      <c r="B1657" s="9">
        <v>1089</v>
      </c>
      <c r="C1657" s="14" t="str">
        <f>IFERROR(_xlfn.TEXTJOIN("-", TRUE, _xlfn.XLOOKUP(K1657, product_category_id_lookup!$A$2:$A$5, product_category_id_lookup!$B$2:$B$5), B1657), "Unknown Category")</f>
        <v>ctg-1089</v>
      </c>
      <c r="D1657" s="8">
        <v>45124</v>
      </c>
      <c r="E1657" s="14">
        <f t="shared" si="75"/>
        <v>2023</v>
      </c>
      <c r="F1657" s="29" t="str">
        <f t="shared" si="76"/>
        <v>Jul</v>
      </c>
      <c r="G1657" s="17" t="s">
        <v>29</v>
      </c>
      <c r="H1657" s="17" t="s">
        <v>15</v>
      </c>
      <c r="I1657" s="24">
        <v>30123.223900000001</v>
      </c>
      <c r="J1657" s="32">
        <v>31</v>
      </c>
      <c r="K1657" s="17" t="s">
        <v>26</v>
      </c>
      <c r="L1657" s="24">
        <v>845.14</v>
      </c>
      <c r="M1657" s="24">
        <v>1001.77</v>
      </c>
      <c r="N1657" s="34">
        <f>((sales_data_1[[#This Row],[Unit_Price]]*(1-sales_data_1[[#This Row],[Discount]]))-sales_data_1[[#This Row],[Unit_Cost]])*sales_data_1[[#This Row],[Quantity_Sold]]</f>
        <v>3923.8839000000007</v>
      </c>
      <c r="O1657" s="17" t="s">
        <v>27</v>
      </c>
      <c r="P1657" s="26">
        <v>0.03</v>
      </c>
      <c r="Q1657" s="17" t="s">
        <v>18</v>
      </c>
      <c r="R1657" s="17" t="s">
        <v>19</v>
      </c>
      <c r="S1657" s="50" t="str">
        <f t="shared" si="77"/>
        <v>Charlie-North</v>
      </c>
      <c r="T1657" s="59" t="str">
        <f>IF(ROUND(sales_data_1[[#This Row],[Profit_Margin]],2)=ROUND((sales_data_1[[#This Row],[Unit_Price]]*(1-sales_data_1[[#This Row],[Discount]]) - sales_data_1[[#This Row],[Unit_Cost]])*sales_data_1[[#This Row],[Quantity_Sold]],2), "PASS", "CHECK")</f>
        <v>PASS</v>
      </c>
    </row>
    <row r="1658" spans="1:20" x14ac:dyDescent="0.35">
      <c r="A1658" s="7">
        <v>1657</v>
      </c>
      <c r="B1658" s="9">
        <v>1050</v>
      </c>
      <c r="C1658" s="14" t="str">
        <f>IFERROR(_xlfn.TEXTJOIN("-", TRUE, _xlfn.XLOOKUP(K1658, product_category_id_lookup!$A$2:$A$5, product_category_id_lookup!$B$2:$B$5), B1658), "Unknown Category")</f>
        <v>fnt-1050</v>
      </c>
      <c r="D1658" s="8">
        <v>45125</v>
      </c>
      <c r="E1658" s="14">
        <f t="shared" si="75"/>
        <v>2023</v>
      </c>
      <c r="F1658" s="29" t="str">
        <f t="shared" si="76"/>
        <v>Jul</v>
      </c>
      <c r="G1658" s="17" t="s">
        <v>32</v>
      </c>
      <c r="H1658" s="17" t="s">
        <v>23</v>
      </c>
      <c r="I1658" s="24">
        <v>210526.78270531463</v>
      </c>
      <c r="J1658" s="32">
        <v>43</v>
      </c>
      <c r="K1658" s="17" t="s">
        <v>16</v>
      </c>
      <c r="L1658" s="24">
        <v>4834.47</v>
      </c>
      <c r="M1658" s="24">
        <v>4973.38</v>
      </c>
      <c r="N1658" s="34">
        <f>((sales_data_1[[#This Row],[Unit_Price]]*(1-sales_data_1[[#This Row],[Discount]]))-sales_data_1[[#This Row],[Unit_Cost]])*sales_data_1[[#This Row],[Quantity_Sold]]</f>
        <v>1696.023199999996</v>
      </c>
      <c r="O1658" s="17" t="s">
        <v>17</v>
      </c>
      <c r="P1658" s="26">
        <v>0.02</v>
      </c>
      <c r="Q1658" s="17" t="s">
        <v>25</v>
      </c>
      <c r="R1658" s="17" t="s">
        <v>19</v>
      </c>
      <c r="S1658" s="50" t="str">
        <f t="shared" si="77"/>
        <v>Eve-South</v>
      </c>
      <c r="T1658" s="59" t="str">
        <f>IF(ROUND(sales_data_1[[#This Row],[Profit_Margin]],2)=ROUND((sales_data_1[[#This Row],[Unit_Price]]*(1-sales_data_1[[#This Row],[Discount]]) - sales_data_1[[#This Row],[Unit_Cost]])*sales_data_1[[#This Row],[Quantity_Sold]],2), "PASS", "CHECK")</f>
        <v>PASS</v>
      </c>
    </row>
    <row r="1659" spans="1:20" x14ac:dyDescent="0.35">
      <c r="A1659" s="7">
        <v>1658</v>
      </c>
      <c r="B1659" s="9">
        <v>1019</v>
      </c>
      <c r="C1659" s="14" t="str">
        <f>IFERROR(_xlfn.TEXTJOIN("-", TRUE, _xlfn.XLOOKUP(K1659, product_category_id_lookup!$A$2:$A$5, product_category_id_lookup!$B$2:$B$5), B1659), "Unknown Category")</f>
        <v>ctg-1019</v>
      </c>
      <c r="D1659" s="8">
        <v>45125</v>
      </c>
      <c r="E1659" s="14">
        <f t="shared" si="75"/>
        <v>2023</v>
      </c>
      <c r="F1659" s="29" t="str">
        <f t="shared" si="76"/>
        <v>Jul</v>
      </c>
      <c r="G1659" s="17" t="s">
        <v>33</v>
      </c>
      <c r="H1659" s="17" t="s">
        <v>15</v>
      </c>
      <c r="I1659" s="24">
        <v>59969.423895917251</v>
      </c>
      <c r="J1659" s="32">
        <v>12</v>
      </c>
      <c r="K1659" s="17" t="s">
        <v>26</v>
      </c>
      <c r="L1659" s="24">
        <v>4745.18</v>
      </c>
      <c r="M1659" s="24">
        <v>5145.88</v>
      </c>
      <c r="N1659" s="34">
        <f>((sales_data_1[[#This Row],[Unit_Price]]*(1-sales_data_1[[#This Row],[Discount]]))-sales_data_1[[#This Row],[Unit_Cost]])*sales_data_1[[#This Row],[Quantity_Sold]]</f>
        <v>2955.8831999999966</v>
      </c>
      <c r="O1659" s="17" t="s">
        <v>17</v>
      </c>
      <c r="P1659" s="26">
        <v>0.03</v>
      </c>
      <c r="Q1659" s="17" t="s">
        <v>28</v>
      </c>
      <c r="R1659" s="17" t="s">
        <v>19</v>
      </c>
      <c r="S1659" s="50" t="str">
        <f t="shared" si="77"/>
        <v>Alice-North</v>
      </c>
      <c r="T1659" s="59" t="str">
        <f>IF(ROUND(sales_data_1[[#This Row],[Profit_Margin]],2)=ROUND((sales_data_1[[#This Row],[Unit_Price]]*(1-sales_data_1[[#This Row],[Discount]]) - sales_data_1[[#This Row],[Unit_Cost]])*sales_data_1[[#This Row],[Quantity_Sold]],2), "PASS", "CHECK")</f>
        <v>PASS</v>
      </c>
    </row>
    <row r="1660" spans="1:20" x14ac:dyDescent="0.35">
      <c r="A1660" s="7">
        <v>1659</v>
      </c>
      <c r="B1660" s="9">
        <v>1052</v>
      </c>
      <c r="C1660" s="14" t="str">
        <f>IFERROR(_xlfn.TEXTJOIN("-", TRUE, _xlfn.XLOOKUP(K1660, product_category_id_lookup!$A$2:$A$5, product_category_id_lookup!$B$2:$B$5), B1660), "Unknown Category")</f>
        <v>etc-1052</v>
      </c>
      <c r="D1660" s="8">
        <v>45125</v>
      </c>
      <c r="E1660" s="14">
        <f t="shared" si="75"/>
        <v>2023</v>
      </c>
      <c r="F1660" s="29" t="str">
        <f t="shared" si="76"/>
        <v>Jul</v>
      </c>
      <c r="G1660" s="17" t="s">
        <v>32</v>
      </c>
      <c r="H1660" s="17" t="s">
        <v>23</v>
      </c>
      <c r="I1660" s="24">
        <v>36595.641600000003</v>
      </c>
      <c r="J1660" s="32">
        <v>42</v>
      </c>
      <c r="K1660" s="17" t="s">
        <v>31</v>
      </c>
      <c r="L1660" s="24">
        <v>417.96</v>
      </c>
      <c r="M1660" s="24">
        <v>907.63</v>
      </c>
      <c r="N1660" s="34">
        <f>((sales_data_1[[#This Row],[Unit_Price]]*(1-sales_data_1[[#This Row],[Discount]]))-sales_data_1[[#This Row],[Unit_Cost]])*sales_data_1[[#This Row],[Quantity_Sold]]</f>
        <v>19041.321599999999</v>
      </c>
      <c r="O1660" s="17" t="s">
        <v>27</v>
      </c>
      <c r="P1660" s="26">
        <v>0.04</v>
      </c>
      <c r="Q1660" s="17" t="s">
        <v>18</v>
      </c>
      <c r="R1660" s="17" t="s">
        <v>21</v>
      </c>
      <c r="S1660" s="50" t="str">
        <f t="shared" si="77"/>
        <v>Eve-South</v>
      </c>
      <c r="T1660" s="59" t="str">
        <f>IF(ROUND(sales_data_1[[#This Row],[Profit_Margin]],2)=ROUND((sales_data_1[[#This Row],[Unit_Price]]*(1-sales_data_1[[#This Row],[Discount]]) - sales_data_1[[#This Row],[Unit_Cost]])*sales_data_1[[#This Row],[Quantity_Sold]],2), "PASS", "CHECK")</f>
        <v>PASS</v>
      </c>
    </row>
    <row r="1661" spans="1:20" x14ac:dyDescent="0.35">
      <c r="A1661" s="7">
        <v>1660</v>
      </c>
      <c r="B1661" s="9">
        <v>1090</v>
      </c>
      <c r="C1661" s="14" t="str">
        <f>IFERROR(_xlfn.TEXTJOIN("-", TRUE, _xlfn.XLOOKUP(K1661, product_category_id_lookup!$A$2:$A$5, product_category_id_lookup!$B$2:$B$5), B1661), "Unknown Category")</f>
        <v>fnt-1090</v>
      </c>
      <c r="D1661" s="8">
        <v>45126</v>
      </c>
      <c r="E1661" s="14">
        <f t="shared" si="75"/>
        <v>2023</v>
      </c>
      <c r="F1661" s="29" t="str">
        <f t="shared" si="76"/>
        <v>Jul</v>
      </c>
      <c r="G1661" s="17" t="s">
        <v>29</v>
      </c>
      <c r="H1661" s="17" t="s">
        <v>20</v>
      </c>
      <c r="I1661" s="24">
        <v>23901.906000000003</v>
      </c>
      <c r="J1661" s="32">
        <v>10</v>
      </c>
      <c r="K1661" s="17" t="s">
        <v>16</v>
      </c>
      <c r="L1661" s="24">
        <v>2387.63</v>
      </c>
      <c r="M1661" s="24">
        <v>2438.9700000000003</v>
      </c>
      <c r="N1661" s="34">
        <f>((sales_data_1[[#This Row],[Unit_Price]]*(1-sales_data_1[[#This Row],[Discount]]))-sales_data_1[[#This Row],[Unit_Cost]])*sales_data_1[[#This Row],[Quantity_Sold]]</f>
        <v>25.606000000002496</v>
      </c>
      <c r="O1661" s="17" t="s">
        <v>17</v>
      </c>
      <c r="P1661" s="26">
        <v>0.02</v>
      </c>
      <c r="Q1661" s="17" t="s">
        <v>25</v>
      </c>
      <c r="R1661" s="17" t="s">
        <v>21</v>
      </c>
      <c r="S1661" s="50" t="str">
        <f t="shared" si="77"/>
        <v>Charlie-West</v>
      </c>
      <c r="T1661" s="59" t="str">
        <f>IF(ROUND(sales_data_1[[#This Row],[Profit_Margin]],2)=ROUND((sales_data_1[[#This Row],[Unit_Price]]*(1-sales_data_1[[#This Row],[Discount]]) - sales_data_1[[#This Row],[Unit_Cost]])*sales_data_1[[#This Row],[Quantity_Sold]],2), "PASS", "CHECK")</f>
        <v>PASS</v>
      </c>
    </row>
    <row r="1662" spans="1:20" x14ac:dyDescent="0.35">
      <c r="A1662" s="7">
        <v>1661</v>
      </c>
      <c r="B1662" s="9">
        <v>1062</v>
      </c>
      <c r="C1662" s="14" t="str">
        <f>IFERROR(_xlfn.TEXTJOIN("-", TRUE, _xlfn.XLOOKUP(K1662, product_category_id_lookup!$A$2:$A$5, product_category_id_lookup!$B$2:$B$5), B1662), "Unknown Category")</f>
        <v>etc-1062</v>
      </c>
      <c r="D1662" s="8">
        <v>45126</v>
      </c>
      <c r="E1662" s="14">
        <f t="shared" si="75"/>
        <v>2023</v>
      </c>
      <c r="F1662" s="29" t="str">
        <f t="shared" si="76"/>
        <v>Jul</v>
      </c>
      <c r="G1662" s="17" t="s">
        <v>29</v>
      </c>
      <c r="H1662" s="17" t="s">
        <v>15</v>
      </c>
      <c r="I1662" s="24">
        <v>29524.677085930685</v>
      </c>
      <c r="J1662" s="32">
        <v>10</v>
      </c>
      <c r="K1662" s="17" t="s">
        <v>31</v>
      </c>
      <c r="L1662" s="24">
        <v>2940.4</v>
      </c>
      <c r="M1662" s="24">
        <v>3054.79</v>
      </c>
      <c r="N1662" s="34">
        <f>((sales_data_1[[#This Row],[Unit_Price]]*(1-sales_data_1[[#This Row],[Discount]]))-sales_data_1[[#This Row],[Unit_Cost]])*sales_data_1[[#This Row],[Quantity_Sold]]</f>
        <v>227.46299999999792</v>
      </c>
      <c r="O1662" s="17" t="s">
        <v>17</v>
      </c>
      <c r="P1662" s="26">
        <v>0.03</v>
      </c>
      <c r="Q1662" s="17" t="s">
        <v>28</v>
      </c>
      <c r="R1662" s="17" t="s">
        <v>19</v>
      </c>
      <c r="S1662" s="50" t="str">
        <f t="shared" si="77"/>
        <v>Charlie-North</v>
      </c>
      <c r="T1662" s="59" t="str">
        <f>IF(ROUND(sales_data_1[[#This Row],[Profit_Margin]],2)=ROUND((sales_data_1[[#This Row],[Unit_Price]]*(1-sales_data_1[[#This Row],[Discount]]) - sales_data_1[[#This Row],[Unit_Cost]])*sales_data_1[[#This Row],[Quantity_Sold]],2), "PASS", "CHECK")</f>
        <v>PASS</v>
      </c>
    </row>
    <row r="1663" spans="1:20" x14ac:dyDescent="0.35">
      <c r="A1663" s="7">
        <v>1662</v>
      </c>
      <c r="B1663" s="9">
        <v>1086</v>
      </c>
      <c r="C1663" s="14" t="str">
        <f>IFERROR(_xlfn.TEXTJOIN("-", TRUE, _xlfn.XLOOKUP(K1663, product_category_id_lookup!$A$2:$A$5, product_category_id_lookup!$B$2:$B$5), B1663), "Unknown Category")</f>
        <v>fd-1086</v>
      </c>
      <c r="D1663" s="8">
        <v>45127</v>
      </c>
      <c r="E1663" s="14">
        <f t="shared" si="75"/>
        <v>2023</v>
      </c>
      <c r="F1663" s="29" t="str">
        <f t="shared" si="76"/>
        <v>Jul</v>
      </c>
      <c r="G1663" s="17" t="s">
        <v>14</v>
      </c>
      <c r="H1663" s="17" t="s">
        <v>15</v>
      </c>
      <c r="I1663" s="24">
        <v>18353.706599999998</v>
      </c>
      <c r="J1663" s="32">
        <v>17</v>
      </c>
      <c r="K1663" s="17" t="s">
        <v>24</v>
      </c>
      <c r="L1663" s="24">
        <v>1057.27</v>
      </c>
      <c r="M1663" s="24">
        <v>1366.62</v>
      </c>
      <c r="N1663" s="34">
        <f>((sales_data_1[[#This Row],[Unit_Price]]*(1-sales_data_1[[#This Row],[Discount]]))-sales_data_1[[#This Row],[Unit_Cost]])*sales_data_1[[#This Row],[Quantity_Sold]]</f>
        <v>380.11659999999915</v>
      </c>
      <c r="O1663" s="17" t="s">
        <v>27</v>
      </c>
      <c r="P1663" s="26">
        <v>0.21</v>
      </c>
      <c r="Q1663" s="17" t="s">
        <v>28</v>
      </c>
      <c r="R1663" s="17" t="s">
        <v>21</v>
      </c>
      <c r="S1663" s="50" t="str">
        <f t="shared" si="77"/>
        <v>Bob-North</v>
      </c>
      <c r="T1663" s="59" t="str">
        <f>IF(ROUND(sales_data_1[[#This Row],[Profit_Margin]],2)=ROUND((sales_data_1[[#This Row],[Unit_Price]]*(1-sales_data_1[[#This Row],[Discount]]) - sales_data_1[[#This Row],[Unit_Cost]])*sales_data_1[[#This Row],[Quantity_Sold]],2), "PASS", "CHECK")</f>
        <v>PASS</v>
      </c>
    </row>
    <row r="1664" spans="1:20" x14ac:dyDescent="0.35">
      <c r="A1664" s="7">
        <v>1663</v>
      </c>
      <c r="B1664" s="9">
        <v>1062</v>
      </c>
      <c r="C1664" s="14" t="str">
        <f>IFERROR(_xlfn.TEXTJOIN("-", TRUE, _xlfn.XLOOKUP(K1664, product_category_id_lookup!$A$2:$A$5, product_category_id_lookup!$B$2:$B$5), B1664), "Unknown Category")</f>
        <v>etc-1062</v>
      </c>
      <c r="D1664" s="8">
        <v>45127</v>
      </c>
      <c r="E1664" s="14">
        <f t="shared" si="75"/>
        <v>2023</v>
      </c>
      <c r="F1664" s="29" t="str">
        <f t="shared" si="76"/>
        <v>Jul</v>
      </c>
      <c r="G1664" s="17" t="s">
        <v>32</v>
      </c>
      <c r="H1664" s="17" t="s">
        <v>15</v>
      </c>
      <c r="I1664" s="24">
        <v>84697.267200000002</v>
      </c>
      <c r="J1664" s="32">
        <v>48</v>
      </c>
      <c r="K1664" s="17" t="s">
        <v>31</v>
      </c>
      <c r="L1664" s="24">
        <v>1679.69</v>
      </c>
      <c r="M1664" s="24">
        <v>1939.04</v>
      </c>
      <c r="N1664" s="34">
        <f>((sales_data_1[[#This Row],[Unit_Price]]*(1-sales_data_1[[#This Row],[Discount]]))-sales_data_1[[#This Row],[Unit_Cost]])*sales_data_1[[#This Row],[Quantity_Sold]]</f>
        <v>4072.1471999999958</v>
      </c>
      <c r="O1664" s="17" t="s">
        <v>27</v>
      </c>
      <c r="P1664" s="26">
        <v>0.09</v>
      </c>
      <c r="Q1664" s="17" t="s">
        <v>28</v>
      </c>
      <c r="R1664" s="17" t="s">
        <v>19</v>
      </c>
      <c r="S1664" s="50" t="str">
        <f t="shared" si="77"/>
        <v>Eve-North</v>
      </c>
      <c r="T1664" s="59" t="str">
        <f>IF(ROUND(sales_data_1[[#This Row],[Profit_Margin]],2)=ROUND((sales_data_1[[#This Row],[Unit_Price]]*(1-sales_data_1[[#This Row],[Discount]]) - sales_data_1[[#This Row],[Unit_Cost]])*sales_data_1[[#This Row],[Quantity_Sold]],2), "PASS", "CHECK")</f>
        <v>PASS</v>
      </c>
    </row>
    <row r="1665" spans="1:20" x14ac:dyDescent="0.35">
      <c r="A1665" s="7">
        <v>1664</v>
      </c>
      <c r="B1665" s="9">
        <v>1055</v>
      </c>
      <c r="C1665" s="14" t="str">
        <f>IFERROR(_xlfn.TEXTJOIN("-", TRUE, _xlfn.XLOOKUP(K1665, product_category_id_lookup!$A$2:$A$5, product_category_id_lookup!$B$2:$B$5), B1665), "Unknown Category")</f>
        <v>fnt-1055</v>
      </c>
      <c r="D1665" s="8">
        <v>45127</v>
      </c>
      <c r="E1665" s="14">
        <f t="shared" si="75"/>
        <v>2023</v>
      </c>
      <c r="F1665" s="29" t="str">
        <f t="shared" si="76"/>
        <v>Jul</v>
      </c>
      <c r="G1665" s="17" t="s">
        <v>32</v>
      </c>
      <c r="H1665" s="17" t="s">
        <v>20</v>
      </c>
      <c r="I1665" s="24">
        <v>192144.88650253916</v>
      </c>
      <c r="J1665" s="32">
        <v>43</v>
      </c>
      <c r="K1665" s="17" t="s">
        <v>16</v>
      </c>
      <c r="L1665" s="24">
        <v>4111.7</v>
      </c>
      <c r="M1665" s="24">
        <v>4537.9399999999996</v>
      </c>
      <c r="N1665" s="34">
        <f>((sales_data_1[[#This Row],[Unit_Price]]*(1-sales_data_1[[#This Row],[Discount]]))-sales_data_1[[#This Row],[Unit_Cost]])*sales_data_1[[#This Row],[Quantity_Sold]]</f>
        <v>14425.691599999969</v>
      </c>
      <c r="O1665" s="17" t="s">
        <v>17</v>
      </c>
      <c r="P1665" s="26">
        <v>0.02</v>
      </c>
      <c r="Q1665" s="17" t="s">
        <v>25</v>
      </c>
      <c r="R1665" s="17" t="s">
        <v>19</v>
      </c>
      <c r="S1665" s="50" t="str">
        <f t="shared" si="77"/>
        <v>Eve-West</v>
      </c>
      <c r="T1665" s="59" t="str">
        <f>IF(ROUND(sales_data_1[[#This Row],[Profit_Margin]],2)=ROUND((sales_data_1[[#This Row],[Unit_Price]]*(1-sales_data_1[[#This Row],[Discount]]) - sales_data_1[[#This Row],[Unit_Cost]])*sales_data_1[[#This Row],[Quantity_Sold]],2), "PASS", "CHECK")</f>
        <v>PASS</v>
      </c>
    </row>
    <row r="1666" spans="1:20" x14ac:dyDescent="0.35">
      <c r="A1666" s="7">
        <v>1665</v>
      </c>
      <c r="B1666" s="9">
        <v>1023</v>
      </c>
      <c r="C1666" s="14" t="str">
        <f>IFERROR(_xlfn.TEXTJOIN("-", TRUE, _xlfn.XLOOKUP(K1666, product_category_id_lookup!$A$2:$A$5, product_category_id_lookup!$B$2:$B$5), B1666), "Unknown Category")</f>
        <v>ctg-1023</v>
      </c>
      <c r="D1666" s="8">
        <v>45128</v>
      </c>
      <c r="E1666" s="14">
        <f t="shared" ref="E1666:E1729" si="78">YEAR(D1666)</f>
        <v>2023</v>
      </c>
      <c r="F1666" s="29" t="str">
        <f t="shared" ref="F1666:F1729" si="79">LEFT(TEXT(D1666,"mmmm"),3)</f>
        <v>Jul</v>
      </c>
      <c r="G1666" s="17" t="s">
        <v>32</v>
      </c>
      <c r="H1666" s="17" t="s">
        <v>15</v>
      </c>
      <c r="I1666" s="24">
        <v>6154.8220000000001</v>
      </c>
      <c r="J1666" s="32">
        <v>4</v>
      </c>
      <c r="K1666" s="17" t="s">
        <v>26</v>
      </c>
      <c r="L1666" s="24">
        <v>1532.8</v>
      </c>
      <c r="M1666" s="24">
        <v>1619.69</v>
      </c>
      <c r="N1666" s="34">
        <f>((sales_data_1[[#This Row],[Unit_Price]]*(1-sales_data_1[[#This Row],[Discount]]))-sales_data_1[[#This Row],[Unit_Cost]])*sales_data_1[[#This Row],[Quantity_Sold]]</f>
        <v>23.622000000000298</v>
      </c>
      <c r="O1666" s="17" t="s">
        <v>17</v>
      </c>
      <c r="P1666" s="26">
        <v>0.05</v>
      </c>
      <c r="Q1666" s="17" t="s">
        <v>25</v>
      </c>
      <c r="R1666" s="17" t="s">
        <v>21</v>
      </c>
      <c r="S1666" s="50" t="str">
        <f t="shared" ref="S1666:S1729" si="80">_xlfn.CONCAT(G1666,"-",H1666)</f>
        <v>Eve-North</v>
      </c>
      <c r="T1666" s="59" t="str">
        <f>IF(ROUND(sales_data_1[[#This Row],[Profit_Margin]],2)=ROUND((sales_data_1[[#This Row],[Unit_Price]]*(1-sales_data_1[[#This Row],[Discount]]) - sales_data_1[[#This Row],[Unit_Cost]])*sales_data_1[[#This Row],[Quantity_Sold]],2), "PASS", "CHECK")</f>
        <v>PASS</v>
      </c>
    </row>
    <row r="1667" spans="1:20" x14ac:dyDescent="0.35">
      <c r="A1667" s="7">
        <v>1666</v>
      </c>
      <c r="B1667" s="9">
        <v>1017</v>
      </c>
      <c r="C1667" s="14" t="str">
        <f>IFERROR(_xlfn.TEXTJOIN("-", TRUE, _xlfn.XLOOKUP(K1667, product_category_id_lookup!$A$2:$A$5, product_category_id_lookup!$B$2:$B$5), B1667), "Unknown Category")</f>
        <v>fd-1017</v>
      </c>
      <c r="D1667" s="8">
        <v>45128</v>
      </c>
      <c r="E1667" s="14">
        <f t="shared" si="78"/>
        <v>2023</v>
      </c>
      <c r="F1667" s="29" t="str">
        <f t="shared" si="79"/>
        <v>Jul</v>
      </c>
      <c r="G1667" s="17" t="s">
        <v>22</v>
      </c>
      <c r="H1667" s="17" t="s">
        <v>30</v>
      </c>
      <c r="I1667" s="24">
        <v>287.32990000000001</v>
      </c>
      <c r="J1667" s="32">
        <v>1</v>
      </c>
      <c r="K1667" s="17" t="s">
        <v>24</v>
      </c>
      <c r="L1667" s="24">
        <v>172.59</v>
      </c>
      <c r="M1667" s="24">
        <v>404.69</v>
      </c>
      <c r="N1667" s="34">
        <f>((sales_data_1[[#This Row],[Unit_Price]]*(1-sales_data_1[[#This Row],[Discount]]))-sales_data_1[[#This Row],[Unit_Cost]])*sales_data_1[[#This Row],[Quantity_Sold]]</f>
        <v>114.73990000000001</v>
      </c>
      <c r="O1667" s="17" t="s">
        <v>17</v>
      </c>
      <c r="P1667" s="26">
        <v>0.28999999999999998</v>
      </c>
      <c r="Q1667" s="17" t="s">
        <v>25</v>
      </c>
      <c r="R1667" s="17" t="s">
        <v>19</v>
      </c>
      <c r="S1667" s="50" t="str">
        <f t="shared" si="80"/>
        <v>David-East</v>
      </c>
      <c r="T1667" s="59" t="str">
        <f>IF(ROUND(sales_data_1[[#This Row],[Profit_Margin]],2)=ROUND((sales_data_1[[#This Row],[Unit_Price]]*(1-sales_data_1[[#This Row],[Discount]]) - sales_data_1[[#This Row],[Unit_Cost]])*sales_data_1[[#This Row],[Quantity_Sold]],2), "PASS", "CHECK")</f>
        <v>PASS</v>
      </c>
    </row>
    <row r="1668" spans="1:20" x14ac:dyDescent="0.35">
      <c r="A1668" s="7">
        <v>1667</v>
      </c>
      <c r="B1668" s="9">
        <v>1066</v>
      </c>
      <c r="C1668" s="14" t="str">
        <f>IFERROR(_xlfn.TEXTJOIN("-", TRUE, _xlfn.XLOOKUP(K1668, product_category_id_lookup!$A$2:$A$5, product_category_id_lookup!$B$2:$B$5), B1668), "Unknown Category")</f>
        <v>fnt-1066</v>
      </c>
      <c r="D1668" s="8">
        <v>45128</v>
      </c>
      <c r="E1668" s="14">
        <f t="shared" si="78"/>
        <v>2023</v>
      </c>
      <c r="F1668" s="29" t="str">
        <f t="shared" si="79"/>
        <v>Jul</v>
      </c>
      <c r="G1668" s="17" t="s">
        <v>29</v>
      </c>
      <c r="H1668" s="17" t="s">
        <v>30</v>
      </c>
      <c r="I1668" s="24">
        <v>3721.69</v>
      </c>
      <c r="J1668" s="32">
        <v>4</v>
      </c>
      <c r="K1668" s="17" t="s">
        <v>16</v>
      </c>
      <c r="L1668" s="24">
        <v>868.83</v>
      </c>
      <c r="M1668" s="24">
        <v>1177.75</v>
      </c>
      <c r="N1668" s="34">
        <f>((sales_data_1[[#This Row],[Unit_Price]]*(1-sales_data_1[[#This Row],[Discount]]))-sales_data_1[[#This Row],[Unit_Cost]])*sales_data_1[[#This Row],[Quantity_Sold]]</f>
        <v>246.36999999999989</v>
      </c>
      <c r="O1668" s="17" t="s">
        <v>17</v>
      </c>
      <c r="P1668" s="26">
        <v>0.21</v>
      </c>
      <c r="Q1668" s="17" t="s">
        <v>28</v>
      </c>
      <c r="R1668" s="17" t="s">
        <v>21</v>
      </c>
      <c r="S1668" s="50" t="str">
        <f t="shared" si="80"/>
        <v>Charlie-East</v>
      </c>
      <c r="T1668" s="59" t="str">
        <f>IF(ROUND(sales_data_1[[#This Row],[Profit_Margin]],2)=ROUND((sales_data_1[[#This Row],[Unit_Price]]*(1-sales_data_1[[#This Row],[Discount]]) - sales_data_1[[#This Row],[Unit_Cost]])*sales_data_1[[#This Row],[Quantity_Sold]],2), "PASS", "CHECK")</f>
        <v>PASS</v>
      </c>
    </row>
    <row r="1669" spans="1:20" x14ac:dyDescent="0.35">
      <c r="A1669" s="7">
        <v>1668</v>
      </c>
      <c r="B1669" s="9">
        <v>1063</v>
      </c>
      <c r="C1669" s="14" t="str">
        <f>IFERROR(_xlfn.TEXTJOIN("-", TRUE, _xlfn.XLOOKUP(K1669, product_category_id_lookup!$A$2:$A$5, product_category_id_lookup!$B$2:$B$5), B1669), "Unknown Category")</f>
        <v>etc-1063</v>
      </c>
      <c r="D1669" s="8">
        <v>45128</v>
      </c>
      <c r="E1669" s="14">
        <f t="shared" si="78"/>
        <v>2023</v>
      </c>
      <c r="F1669" s="29" t="str">
        <f t="shared" si="79"/>
        <v>Jul</v>
      </c>
      <c r="G1669" s="17" t="s">
        <v>14</v>
      </c>
      <c r="H1669" s="17" t="s">
        <v>30</v>
      </c>
      <c r="I1669" s="24">
        <v>37569.625092483824</v>
      </c>
      <c r="J1669" s="32">
        <v>32</v>
      </c>
      <c r="K1669" s="17" t="s">
        <v>31</v>
      </c>
      <c r="L1669" s="24">
        <v>975.31</v>
      </c>
      <c r="M1669" s="24">
        <v>1176.17</v>
      </c>
      <c r="N1669" s="34">
        <f>((sales_data_1[[#This Row],[Unit_Price]]*(1-sales_data_1[[#This Row],[Discount]]))-sales_data_1[[#This Row],[Unit_Cost]])*sales_data_1[[#This Row],[Quantity_Sold]]</f>
        <v>6427.5200000000041</v>
      </c>
      <c r="O1669" s="17" t="s">
        <v>27</v>
      </c>
      <c r="P1669" s="26">
        <v>0</v>
      </c>
      <c r="Q1669" s="17" t="s">
        <v>25</v>
      </c>
      <c r="R1669" s="17" t="s">
        <v>21</v>
      </c>
      <c r="S1669" s="50" t="str">
        <f t="shared" si="80"/>
        <v>Bob-East</v>
      </c>
      <c r="T1669" s="59" t="str">
        <f>IF(ROUND(sales_data_1[[#This Row],[Profit_Margin]],2)=ROUND((sales_data_1[[#This Row],[Unit_Price]]*(1-sales_data_1[[#This Row],[Discount]]) - sales_data_1[[#This Row],[Unit_Cost]])*sales_data_1[[#This Row],[Quantity_Sold]],2), "PASS", "CHECK")</f>
        <v>PASS</v>
      </c>
    </row>
    <row r="1670" spans="1:20" x14ac:dyDescent="0.35">
      <c r="A1670" s="7">
        <v>1669</v>
      </c>
      <c r="B1670" s="9">
        <v>1039</v>
      </c>
      <c r="C1670" s="14" t="str">
        <f>IFERROR(_xlfn.TEXTJOIN("-", TRUE, _xlfn.XLOOKUP(K1670, product_category_id_lookup!$A$2:$A$5, product_category_id_lookup!$B$2:$B$5), B1670), "Unknown Category")</f>
        <v>ctg-1039</v>
      </c>
      <c r="D1670" s="8">
        <v>45129</v>
      </c>
      <c r="E1670" s="14">
        <f t="shared" si="78"/>
        <v>2023</v>
      </c>
      <c r="F1670" s="29" t="str">
        <f t="shared" si="79"/>
        <v>Jul</v>
      </c>
      <c r="G1670" s="17" t="s">
        <v>33</v>
      </c>
      <c r="H1670" s="17" t="s">
        <v>30</v>
      </c>
      <c r="I1670" s="24">
        <v>149591.14404016995</v>
      </c>
      <c r="J1670" s="32">
        <v>42</v>
      </c>
      <c r="K1670" s="17" t="s">
        <v>26</v>
      </c>
      <c r="L1670" s="24">
        <v>3120.19</v>
      </c>
      <c r="M1670" s="24">
        <v>3600.14</v>
      </c>
      <c r="N1670" s="34">
        <f>((sales_data_1[[#This Row],[Unit_Price]]*(1-sales_data_1[[#This Row],[Discount]]))-sales_data_1[[#This Row],[Unit_Cost]])*sales_data_1[[#This Row],[Quantity_Sold]]</f>
        <v>18645.841199999988</v>
      </c>
      <c r="O1670" s="17" t="s">
        <v>17</v>
      </c>
      <c r="P1670" s="26">
        <v>0.01</v>
      </c>
      <c r="Q1670" s="17" t="s">
        <v>28</v>
      </c>
      <c r="R1670" s="17" t="s">
        <v>21</v>
      </c>
      <c r="S1670" s="50" t="str">
        <f t="shared" si="80"/>
        <v>Alice-East</v>
      </c>
      <c r="T1670" s="59" t="str">
        <f>IF(ROUND(sales_data_1[[#This Row],[Profit_Margin]],2)=ROUND((sales_data_1[[#This Row],[Unit_Price]]*(1-sales_data_1[[#This Row],[Discount]]) - sales_data_1[[#This Row],[Unit_Cost]])*sales_data_1[[#This Row],[Quantity_Sold]],2), "PASS", "CHECK")</f>
        <v>PASS</v>
      </c>
    </row>
    <row r="1671" spans="1:20" x14ac:dyDescent="0.35">
      <c r="A1671" s="7">
        <v>1670</v>
      </c>
      <c r="B1671" s="9">
        <v>1042</v>
      </c>
      <c r="C1671" s="14" t="str">
        <f>IFERROR(_xlfn.TEXTJOIN("-", TRUE, _xlfn.XLOOKUP(K1671, product_category_id_lookup!$A$2:$A$5, product_category_id_lookup!$B$2:$B$5), B1671), "Unknown Category")</f>
        <v>etc-1042</v>
      </c>
      <c r="D1671" s="8">
        <v>45130</v>
      </c>
      <c r="E1671" s="14">
        <f t="shared" si="78"/>
        <v>2023</v>
      </c>
      <c r="F1671" s="29" t="str">
        <f t="shared" si="79"/>
        <v>Jul</v>
      </c>
      <c r="G1671" s="17" t="s">
        <v>29</v>
      </c>
      <c r="H1671" s="17" t="s">
        <v>20</v>
      </c>
      <c r="I1671" s="24">
        <v>109890.56000000001</v>
      </c>
      <c r="J1671" s="32">
        <v>26</v>
      </c>
      <c r="K1671" s="17" t="s">
        <v>31</v>
      </c>
      <c r="L1671" s="24">
        <v>4208.09</v>
      </c>
      <c r="M1671" s="24">
        <v>4226.5600000000004</v>
      </c>
      <c r="N1671" s="34">
        <f>((sales_data_1[[#This Row],[Unit_Price]]*(1-sales_data_1[[#This Row],[Discount]]))-sales_data_1[[#This Row],[Unit_Cost]])*sales_data_1[[#This Row],[Quantity_Sold]]</f>
        <v>480.22000000000662</v>
      </c>
      <c r="O1671" s="17" t="s">
        <v>17</v>
      </c>
      <c r="P1671" s="26">
        <v>0</v>
      </c>
      <c r="Q1671" s="17" t="s">
        <v>18</v>
      </c>
      <c r="R1671" s="17" t="s">
        <v>21</v>
      </c>
      <c r="S1671" s="50" t="str">
        <f t="shared" si="80"/>
        <v>Charlie-West</v>
      </c>
      <c r="T1671" s="59" t="str">
        <f>IF(ROUND(sales_data_1[[#This Row],[Profit_Margin]],2)=ROUND((sales_data_1[[#This Row],[Unit_Price]]*(1-sales_data_1[[#This Row],[Discount]]) - sales_data_1[[#This Row],[Unit_Cost]])*sales_data_1[[#This Row],[Quantity_Sold]],2), "PASS", "CHECK")</f>
        <v>PASS</v>
      </c>
    </row>
    <row r="1672" spans="1:20" x14ac:dyDescent="0.35">
      <c r="A1672" s="7">
        <v>1671</v>
      </c>
      <c r="B1672" s="9">
        <v>1056</v>
      </c>
      <c r="C1672" s="14" t="str">
        <f>IFERROR(_xlfn.TEXTJOIN("-", TRUE, _xlfn.XLOOKUP(K1672, product_category_id_lookup!$A$2:$A$5, product_category_id_lookup!$B$2:$B$5), B1672), "Unknown Category")</f>
        <v>fnt-1056</v>
      </c>
      <c r="D1672" s="8">
        <v>45130</v>
      </c>
      <c r="E1672" s="14">
        <f t="shared" si="78"/>
        <v>2023</v>
      </c>
      <c r="F1672" s="29" t="str">
        <f t="shared" si="79"/>
        <v>Jul</v>
      </c>
      <c r="G1672" s="17" t="s">
        <v>14</v>
      </c>
      <c r="H1672" s="17" t="s">
        <v>20</v>
      </c>
      <c r="I1672" s="24">
        <v>83383.3</v>
      </c>
      <c r="J1672" s="32">
        <v>35</v>
      </c>
      <c r="K1672" s="17" t="s">
        <v>16</v>
      </c>
      <c r="L1672" s="24">
        <v>2344.9299999999998</v>
      </c>
      <c r="M1672" s="24">
        <v>2707.25</v>
      </c>
      <c r="N1672" s="34">
        <f>((sales_data_1[[#This Row],[Unit_Price]]*(1-sales_data_1[[#This Row],[Discount]]))-sales_data_1[[#This Row],[Unit_Cost]])*sales_data_1[[#This Row],[Quantity_Sold]]</f>
        <v>1310.7500000000095</v>
      </c>
      <c r="O1672" s="17" t="s">
        <v>27</v>
      </c>
      <c r="P1672" s="26">
        <v>0.12</v>
      </c>
      <c r="Q1672" s="17" t="s">
        <v>28</v>
      </c>
      <c r="R1672" s="17" t="s">
        <v>21</v>
      </c>
      <c r="S1672" s="50" t="str">
        <f t="shared" si="80"/>
        <v>Bob-West</v>
      </c>
      <c r="T1672" s="59" t="str">
        <f>IF(ROUND(sales_data_1[[#This Row],[Profit_Margin]],2)=ROUND((sales_data_1[[#This Row],[Unit_Price]]*(1-sales_data_1[[#This Row],[Discount]]) - sales_data_1[[#This Row],[Unit_Cost]])*sales_data_1[[#This Row],[Quantity_Sold]],2), "PASS", "CHECK")</f>
        <v>PASS</v>
      </c>
    </row>
    <row r="1673" spans="1:20" x14ac:dyDescent="0.35">
      <c r="A1673" s="7">
        <v>1672</v>
      </c>
      <c r="B1673" s="9">
        <v>1098</v>
      </c>
      <c r="C1673" s="14" t="str">
        <f>IFERROR(_xlfn.TEXTJOIN("-", TRUE, _xlfn.XLOOKUP(K1673, product_category_id_lookup!$A$2:$A$5, product_category_id_lookup!$B$2:$B$5), B1673), "Unknown Category")</f>
        <v>etc-1098</v>
      </c>
      <c r="D1673" s="8">
        <v>45131</v>
      </c>
      <c r="E1673" s="14">
        <f t="shared" si="78"/>
        <v>2023</v>
      </c>
      <c r="F1673" s="29" t="str">
        <f t="shared" si="79"/>
        <v>Jul</v>
      </c>
      <c r="G1673" s="17" t="s">
        <v>33</v>
      </c>
      <c r="H1673" s="17" t="s">
        <v>23</v>
      </c>
      <c r="I1673" s="24">
        <v>78490.421200000012</v>
      </c>
      <c r="J1673" s="32">
        <v>19</v>
      </c>
      <c r="K1673" s="17" t="s">
        <v>31</v>
      </c>
      <c r="L1673" s="24">
        <v>4055.51</v>
      </c>
      <c r="M1673" s="24">
        <v>4258.84</v>
      </c>
      <c r="N1673" s="34">
        <f>((sales_data_1[[#This Row],[Unit_Price]]*(1-sales_data_1[[#This Row],[Discount]]))-sales_data_1[[#This Row],[Unit_Cost]])*sales_data_1[[#This Row],[Quantity_Sold]]</f>
        <v>1435.731200000002</v>
      </c>
      <c r="O1673" s="17" t="s">
        <v>17</v>
      </c>
      <c r="P1673" s="26">
        <v>0.03</v>
      </c>
      <c r="Q1673" s="17" t="s">
        <v>28</v>
      </c>
      <c r="R1673" s="17" t="s">
        <v>19</v>
      </c>
      <c r="S1673" s="50" t="str">
        <f t="shared" si="80"/>
        <v>Alice-South</v>
      </c>
      <c r="T1673" s="59" t="str">
        <f>IF(ROUND(sales_data_1[[#This Row],[Profit_Margin]],2)=ROUND((sales_data_1[[#This Row],[Unit_Price]]*(1-sales_data_1[[#This Row],[Discount]]) - sales_data_1[[#This Row],[Unit_Cost]])*sales_data_1[[#This Row],[Quantity_Sold]],2), "PASS", "CHECK")</f>
        <v>PASS</v>
      </c>
    </row>
    <row r="1674" spans="1:20" x14ac:dyDescent="0.35">
      <c r="A1674" s="7">
        <v>1673</v>
      </c>
      <c r="B1674" s="9">
        <v>1003</v>
      </c>
      <c r="C1674" s="14" t="str">
        <f>IFERROR(_xlfn.TEXTJOIN("-", TRUE, _xlfn.XLOOKUP(K1674, product_category_id_lookup!$A$2:$A$5, product_category_id_lookup!$B$2:$B$5), B1674), "Unknown Category")</f>
        <v>fd-1003</v>
      </c>
      <c r="D1674" s="8">
        <v>45132</v>
      </c>
      <c r="E1674" s="14">
        <f t="shared" si="78"/>
        <v>2023</v>
      </c>
      <c r="F1674" s="29" t="str">
        <f t="shared" si="79"/>
        <v>Jul</v>
      </c>
      <c r="G1674" s="17" t="s">
        <v>32</v>
      </c>
      <c r="H1674" s="17" t="s">
        <v>20</v>
      </c>
      <c r="I1674" s="24">
        <v>12072.933444999595</v>
      </c>
      <c r="J1674" s="32">
        <v>5</v>
      </c>
      <c r="K1674" s="17" t="s">
        <v>24</v>
      </c>
      <c r="L1674" s="24">
        <v>2206.58</v>
      </c>
      <c r="M1674" s="24">
        <v>2490.4699999999998</v>
      </c>
      <c r="N1674" s="34">
        <f>((sales_data_1[[#This Row],[Unit_Price]]*(1-sales_data_1[[#This Row],[Discount]]))-sales_data_1[[#This Row],[Unit_Cost]])*sales_data_1[[#This Row],[Quantity_Sold]]</f>
        <v>1045.8794999999986</v>
      </c>
      <c r="O1674" s="17" t="s">
        <v>27</v>
      </c>
      <c r="P1674" s="26">
        <v>0.03</v>
      </c>
      <c r="Q1674" s="17" t="s">
        <v>18</v>
      </c>
      <c r="R1674" s="17" t="s">
        <v>19</v>
      </c>
      <c r="S1674" s="50" t="str">
        <f t="shared" si="80"/>
        <v>Eve-West</v>
      </c>
      <c r="T1674" s="59" t="str">
        <f>IF(ROUND(sales_data_1[[#This Row],[Profit_Margin]],2)=ROUND((sales_data_1[[#This Row],[Unit_Price]]*(1-sales_data_1[[#This Row],[Discount]]) - sales_data_1[[#This Row],[Unit_Cost]])*sales_data_1[[#This Row],[Quantity_Sold]],2), "PASS", "CHECK")</f>
        <v>PASS</v>
      </c>
    </row>
    <row r="1675" spans="1:20" x14ac:dyDescent="0.35">
      <c r="A1675" s="7">
        <v>1674</v>
      </c>
      <c r="B1675" s="9">
        <v>1047</v>
      </c>
      <c r="C1675" s="14" t="str">
        <f>IFERROR(_xlfn.TEXTJOIN("-", TRUE, _xlfn.XLOOKUP(K1675, product_category_id_lookup!$A$2:$A$5, product_category_id_lookup!$B$2:$B$5), B1675), "Unknown Category")</f>
        <v>fnt-1047</v>
      </c>
      <c r="D1675" s="8">
        <v>45132</v>
      </c>
      <c r="E1675" s="14">
        <f t="shared" si="78"/>
        <v>2023</v>
      </c>
      <c r="F1675" s="29" t="str">
        <f t="shared" si="79"/>
        <v>Jul</v>
      </c>
      <c r="G1675" s="17" t="s">
        <v>29</v>
      </c>
      <c r="H1675" s="17" t="s">
        <v>30</v>
      </c>
      <c r="I1675" s="24">
        <v>70773.296082378729</v>
      </c>
      <c r="J1675" s="32">
        <v>19</v>
      </c>
      <c r="K1675" s="17" t="s">
        <v>16</v>
      </c>
      <c r="L1675" s="24">
        <v>3484.62</v>
      </c>
      <c r="M1675" s="24">
        <v>3781.5499999999997</v>
      </c>
      <c r="N1675" s="34">
        <f>((sales_data_1[[#This Row],[Unit_Price]]*(1-sales_data_1[[#This Row],[Discount]]))-sales_data_1[[#This Row],[Unit_Cost]])*sales_data_1[[#This Row],[Quantity_Sold]]</f>
        <v>4923.1754999999939</v>
      </c>
      <c r="O1675" s="17" t="s">
        <v>17</v>
      </c>
      <c r="P1675" s="26">
        <v>0.01</v>
      </c>
      <c r="Q1675" s="17" t="s">
        <v>28</v>
      </c>
      <c r="R1675" s="17" t="s">
        <v>21</v>
      </c>
      <c r="S1675" s="50" t="str">
        <f t="shared" si="80"/>
        <v>Charlie-East</v>
      </c>
      <c r="T1675" s="59" t="str">
        <f>IF(ROUND(sales_data_1[[#This Row],[Profit_Margin]],2)=ROUND((sales_data_1[[#This Row],[Unit_Price]]*(1-sales_data_1[[#This Row],[Discount]]) - sales_data_1[[#This Row],[Unit_Cost]])*sales_data_1[[#This Row],[Quantity_Sold]],2), "PASS", "CHECK")</f>
        <v>PASS</v>
      </c>
    </row>
    <row r="1676" spans="1:20" x14ac:dyDescent="0.35">
      <c r="A1676" s="7">
        <v>1675</v>
      </c>
      <c r="B1676" s="9">
        <v>1015</v>
      </c>
      <c r="C1676" s="14" t="str">
        <f>IFERROR(_xlfn.TEXTJOIN("-", TRUE, _xlfn.XLOOKUP(K1676, product_category_id_lookup!$A$2:$A$5, product_category_id_lookup!$B$2:$B$5), B1676), "Unknown Category")</f>
        <v>etc-1015</v>
      </c>
      <c r="D1676" s="8">
        <v>45133</v>
      </c>
      <c r="E1676" s="14">
        <f t="shared" si="78"/>
        <v>2023</v>
      </c>
      <c r="F1676" s="29" t="str">
        <f t="shared" si="79"/>
        <v>Jul</v>
      </c>
      <c r="G1676" s="17" t="s">
        <v>22</v>
      </c>
      <c r="H1676" s="17" t="s">
        <v>15</v>
      </c>
      <c r="I1676" s="24">
        <v>42151.033243359365</v>
      </c>
      <c r="J1676" s="32">
        <v>9</v>
      </c>
      <c r="K1676" s="17" t="s">
        <v>31</v>
      </c>
      <c r="L1676" s="24">
        <v>4680.3500000000004</v>
      </c>
      <c r="M1676" s="24">
        <v>4758.1100000000006</v>
      </c>
      <c r="N1676" s="34">
        <f>((sales_data_1[[#This Row],[Unit_Price]]*(1-sales_data_1[[#This Row],[Discount]]))-sales_data_1[[#This Row],[Unit_Cost]])*sales_data_1[[#This Row],[Quantity_Sold]]</f>
        <v>-156.61979999999585</v>
      </c>
      <c r="O1676" s="17" t="s">
        <v>17</v>
      </c>
      <c r="P1676" s="26">
        <v>0.02</v>
      </c>
      <c r="Q1676" s="17" t="s">
        <v>25</v>
      </c>
      <c r="R1676" s="17" t="s">
        <v>19</v>
      </c>
      <c r="S1676" s="50" t="str">
        <f t="shared" si="80"/>
        <v>David-North</v>
      </c>
      <c r="T1676" s="59" t="str">
        <f>IF(ROUND(sales_data_1[[#This Row],[Profit_Margin]],2)=ROUND((sales_data_1[[#This Row],[Unit_Price]]*(1-sales_data_1[[#This Row],[Discount]]) - sales_data_1[[#This Row],[Unit_Cost]])*sales_data_1[[#This Row],[Quantity_Sold]],2), "PASS", "CHECK")</f>
        <v>PASS</v>
      </c>
    </row>
    <row r="1677" spans="1:20" x14ac:dyDescent="0.35">
      <c r="A1677" s="7">
        <v>1676</v>
      </c>
      <c r="B1677" s="9">
        <v>1078</v>
      </c>
      <c r="C1677" s="14" t="str">
        <f>IFERROR(_xlfn.TEXTJOIN("-", TRUE, _xlfn.XLOOKUP(K1677, product_category_id_lookup!$A$2:$A$5, product_category_id_lookup!$B$2:$B$5), B1677), "Unknown Category")</f>
        <v>ctg-1078</v>
      </c>
      <c r="D1677" s="8">
        <v>45134</v>
      </c>
      <c r="E1677" s="14">
        <f t="shared" si="78"/>
        <v>2023</v>
      </c>
      <c r="F1677" s="29" t="str">
        <f t="shared" si="79"/>
        <v>Jul</v>
      </c>
      <c r="G1677" s="17" t="s">
        <v>32</v>
      </c>
      <c r="H1677" s="17" t="s">
        <v>15</v>
      </c>
      <c r="I1677" s="24">
        <v>3352.8627000000006</v>
      </c>
      <c r="J1677" s="32">
        <v>3</v>
      </c>
      <c r="K1677" s="17" t="s">
        <v>26</v>
      </c>
      <c r="L1677" s="24">
        <v>902.38</v>
      </c>
      <c r="M1677" s="24">
        <v>1128.9100000000001</v>
      </c>
      <c r="N1677" s="34">
        <f>((sales_data_1[[#This Row],[Unit_Price]]*(1-sales_data_1[[#This Row],[Discount]]))-sales_data_1[[#This Row],[Unit_Cost]])*sales_data_1[[#This Row],[Quantity_Sold]]</f>
        <v>645.72270000000037</v>
      </c>
      <c r="O1677" s="17" t="s">
        <v>27</v>
      </c>
      <c r="P1677" s="26">
        <v>0.01</v>
      </c>
      <c r="Q1677" s="17" t="s">
        <v>25</v>
      </c>
      <c r="R1677" s="17" t="s">
        <v>21</v>
      </c>
      <c r="S1677" s="50" t="str">
        <f t="shared" si="80"/>
        <v>Eve-North</v>
      </c>
      <c r="T1677" s="59" t="str">
        <f>IF(ROUND(sales_data_1[[#This Row],[Profit_Margin]],2)=ROUND((sales_data_1[[#This Row],[Unit_Price]]*(1-sales_data_1[[#This Row],[Discount]]) - sales_data_1[[#This Row],[Unit_Cost]])*sales_data_1[[#This Row],[Quantity_Sold]],2), "PASS", "CHECK")</f>
        <v>PASS</v>
      </c>
    </row>
    <row r="1678" spans="1:20" x14ac:dyDescent="0.35">
      <c r="A1678" s="7">
        <v>1677</v>
      </c>
      <c r="B1678" s="9">
        <v>1062</v>
      </c>
      <c r="C1678" s="14" t="str">
        <f>IFERROR(_xlfn.TEXTJOIN("-", TRUE, _xlfn.XLOOKUP(K1678, product_category_id_lookup!$A$2:$A$5, product_category_id_lookup!$B$2:$B$5), B1678), "Unknown Category")</f>
        <v>etc-1062</v>
      </c>
      <c r="D1678" s="8">
        <v>45134</v>
      </c>
      <c r="E1678" s="14">
        <f t="shared" si="78"/>
        <v>2023</v>
      </c>
      <c r="F1678" s="29" t="str">
        <f t="shared" si="79"/>
        <v>Jul</v>
      </c>
      <c r="G1678" s="17" t="s">
        <v>22</v>
      </c>
      <c r="H1678" s="17" t="s">
        <v>23</v>
      </c>
      <c r="I1678" s="24">
        <v>48895.633600000001</v>
      </c>
      <c r="J1678" s="32">
        <v>44</v>
      </c>
      <c r="K1678" s="17" t="s">
        <v>31</v>
      </c>
      <c r="L1678" s="24">
        <v>987.74</v>
      </c>
      <c r="M1678" s="24">
        <v>1462.19</v>
      </c>
      <c r="N1678" s="34">
        <f>((sales_data_1[[#This Row],[Unit_Price]]*(1-sales_data_1[[#This Row],[Discount]]))-sales_data_1[[#This Row],[Unit_Cost]])*sales_data_1[[#This Row],[Quantity_Sold]]</f>
        <v>5435.0736000000006</v>
      </c>
      <c r="O1678" s="17" t="s">
        <v>27</v>
      </c>
      <c r="P1678" s="26">
        <v>0.24</v>
      </c>
      <c r="Q1678" s="17" t="s">
        <v>25</v>
      </c>
      <c r="R1678" s="17" t="s">
        <v>19</v>
      </c>
      <c r="S1678" s="50" t="str">
        <f t="shared" si="80"/>
        <v>David-South</v>
      </c>
      <c r="T1678" s="59" t="str">
        <f>IF(ROUND(sales_data_1[[#This Row],[Profit_Margin]],2)=ROUND((sales_data_1[[#This Row],[Unit_Price]]*(1-sales_data_1[[#This Row],[Discount]]) - sales_data_1[[#This Row],[Unit_Cost]])*sales_data_1[[#This Row],[Quantity_Sold]],2), "PASS", "CHECK")</f>
        <v>PASS</v>
      </c>
    </row>
    <row r="1679" spans="1:20" x14ac:dyDescent="0.35">
      <c r="A1679" s="7">
        <v>1678</v>
      </c>
      <c r="B1679" s="9">
        <v>1025</v>
      </c>
      <c r="C1679" s="14" t="str">
        <f>IFERROR(_xlfn.TEXTJOIN("-", TRUE, _xlfn.XLOOKUP(K1679, product_category_id_lookup!$A$2:$A$5, product_category_id_lookup!$B$2:$B$5), B1679), "Unknown Category")</f>
        <v>etc-1025</v>
      </c>
      <c r="D1679" s="8">
        <v>45135</v>
      </c>
      <c r="E1679" s="14">
        <f t="shared" si="78"/>
        <v>2023</v>
      </c>
      <c r="F1679" s="29" t="str">
        <f t="shared" si="79"/>
        <v>Jul</v>
      </c>
      <c r="G1679" s="17" t="s">
        <v>22</v>
      </c>
      <c r="H1679" s="17" t="s">
        <v>20</v>
      </c>
      <c r="I1679" s="24">
        <v>41785.760809799802</v>
      </c>
      <c r="J1679" s="32">
        <v>37</v>
      </c>
      <c r="K1679" s="17" t="s">
        <v>31</v>
      </c>
      <c r="L1679" s="24">
        <v>1115.02</v>
      </c>
      <c r="M1679" s="24">
        <v>1174.48</v>
      </c>
      <c r="N1679" s="34">
        <f>((sales_data_1[[#This Row],[Unit_Price]]*(1-sales_data_1[[#This Row],[Discount]]))-sales_data_1[[#This Row],[Unit_Cost]])*sales_data_1[[#This Row],[Quantity_Sold]]</f>
        <v>461.78960000000166</v>
      </c>
      <c r="O1679" s="17" t="s">
        <v>27</v>
      </c>
      <c r="P1679" s="26">
        <v>0.04</v>
      </c>
      <c r="Q1679" s="17" t="s">
        <v>28</v>
      </c>
      <c r="R1679" s="17" t="s">
        <v>19</v>
      </c>
      <c r="S1679" s="50" t="str">
        <f t="shared" si="80"/>
        <v>David-West</v>
      </c>
      <c r="T1679" s="59" t="str">
        <f>IF(ROUND(sales_data_1[[#This Row],[Profit_Margin]],2)=ROUND((sales_data_1[[#This Row],[Unit_Price]]*(1-sales_data_1[[#This Row],[Discount]]) - sales_data_1[[#This Row],[Unit_Cost]])*sales_data_1[[#This Row],[Quantity_Sold]],2), "PASS", "CHECK")</f>
        <v>PASS</v>
      </c>
    </row>
    <row r="1680" spans="1:20" x14ac:dyDescent="0.35">
      <c r="A1680" s="7">
        <v>1679</v>
      </c>
      <c r="B1680" s="9">
        <v>1054</v>
      </c>
      <c r="C1680" s="14" t="str">
        <f>IFERROR(_xlfn.TEXTJOIN("-", TRUE, _xlfn.XLOOKUP(K1680, product_category_id_lookup!$A$2:$A$5, product_category_id_lookup!$B$2:$B$5), B1680), "Unknown Category")</f>
        <v>ctg-1054</v>
      </c>
      <c r="D1680" s="8">
        <v>45135</v>
      </c>
      <c r="E1680" s="14">
        <f t="shared" si="78"/>
        <v>2023</v>
      </c>
      <c r="F1680" s="29" t="str">
        <f t="shared" si="79"/>
        <v>Jul</v>
      </c>
      <c r="G1680" s="17" t="s">
        <v>22</v>
      </c>
      <c r="H1680" s="17" t="s">
        <v>30</v>
      </c>
      <c r="I1680" s="24">
        <v>99178.269356876554</v>
      </c>
      <c r="J1680" s="32">
        <v>20</v>
      </c>
      <c r="K1680" s="17" t="s">
        <v>26</v>
      </c>
      <c r="L1680" s="24">
        <v>4622.1400000000003</v>
      </c>
      <c r="M1680" s="24">
        <v>5122.0700000000006</v>
      </c>
      <c r="N1680" s="34">
        <f>((sales_data_1[[#This Row],[Unit_Price]]*(1-sales_data_1[[#This Row],[Discount]]))-sales_data_1[[#This Row],[Unit_Cost]])*sales_data_1[[#This Row],[Quantity_Sold]]</f>
        <v>6925.3579999999965</v>
      </c>
      <c r="O1680" s="17" t="s">
        <v>27</v>
      </c>
      <c r="P1680" s="26">
        <v>0.03</v>
      </c>
      <c r="Q1680" s="17" t="s">
        <v>18</v>
      </c>
      <c r="R1680" s="17" t="s">
        <v>21</v>
      </c>
      <c r="S1680" s="50" t="str">
        <f t="shared" si="80"/>
        <v>David-East</v>
      </c>
      <c r="T1680" s="59" t="str">
        <f>IF(ROUND(sales_data_1[[#This Row],[Profit_Margin]],2)=ROUND((sales_data_1[[#This Row],[Unit_Price]]*(1-sales_data_1[[#This Row],[Discount]]) - sales_data_1[[#This Row],[Unit_Cost]])*sales_data_1[[#This Row],[Quantity_Sold]],2), "PASS", "CHECK")</f>
        <v>PASS</v>
      </c>
    </row>
    <row r="1681" spans="1:20" x14ac:dyDescent="0.35">
      <c r="A1681" s="7">
        <v>1680</v>
      </c>
      <c r="B1681" s="9">
        <v>1082</v>
      </c>
      <c r="C1681" s="14" t="str">
        <f>IFERROR(_xlfn.TEXTJOIN("-", TRUE, _xlfn.XLOOKUP(K1681, product_category_id_lookup!$A$2:$A$5, product_category_id_lookup!$B$2:$B$5), B1681), "Unknown Category")</f>
        <v>fd-1082</v>
      </c>
      <c r="D1681" s="8">
        <v>45135</v>
      </c>
      <c r="E1681" s="14">
        <f t="shared" si="78"/>
        <v>2023</v>
      </c>
      <c r="F1681" s="29" t="str">
        <f t="shared" si="79"/>
        <v>Jul</v>
      </c>
      <c r="G1681" s="17" t="s">
        <v>33</v>
      </c>
      <c r="H1681" s="17" t="s">
        <v>30</v>
      </c>
      <c r="I1681" s="24">
        <v>176812.05700502638</v>
      </c>
      <c r="J1681" s="32">
        <v>48</v>
      </c>
      <c r="K1681" s="17" t="s">
        <v>24</v>
      </c>
      <c r="L1681" s="24">
        <v>3380.52</v>
      </c>
      <c r="M1681" s="24">
        <v>3778.94</v>
      </c>
      <c r="N1681" s="34">
        <f>((sales_data_1[[#This Row],[Unit_Price]]*(1-sales_data_1[[#This Row],[Discount]]))-sales_data_1[[#This Row],[Unit_Cost]])*sales_data_1[[#This Row],[Quantity_Sold]]</f>
        <v>13682.486400000009</v>
      </c>
      <c r="O1681" s="17" t="s">
        <v>17</v>
      </c>
      <c r="P1681" s="26">
        <v>0.03</v>
      </c>
      <c r="Q1681" s="17" t="s">
        <v>25</v>
      </c>
      <c r="R1681" s="17" t="s">
        <v>19</v>
      </c>
      <c r="S1681" s="50" t="str">
        <f t="shared" si="80"/>
        <v>Alice-East</v>
      </c>
      <c r="T1681" s="59" t="str">
        <f>IF(ROUND(sales_data_1[[#This Row],[Profit_Margin]],2)=ROUND((sales_data_1[[#This Row],[Unit_Price]]*(1-sales_data_1[[#This Row],[Discount]]) - sales_data_1[[#This Row],[Unit_Cost]])*sales_data_1[[#This Row],[Quantity_Sold]],2), "PASS", "CHECK")</f>
        <v>PASS</v>
      </c>
    </row>
    <row r="1682" spans="1:20" x14ac:dyDescent="0.35">
      <c r="A1682" s="7">
        <v>1681</v>
      </c>
      <c r="B1682" s="9">
        <v>1059</v>
      </c>
      <c r="C1682" s="14" t="str">
        <f>IFERROR(_xlfn.TEXTJOIN("-", TRUE, _xlfn.XLOOKUP(K1682, product_category_id_lookup!$A$2:$A$5, product_category_id_lookup!$B$2:$B$5), B1682), "Unknown Category")</f>
        <v>fnt-1059</v>
      </c>
      <c r="D1682" s="8">
        <v>45136</v>
      </c>
      <c r="E1682" s="14">
        <f t="shared" si="78"/>
        <v>2023</v>
      </c>
      <c r="F1682" s="29" t="str">
        <f t="shared" si="79"/>
        <v>Jul</v>
      </c>
      <c r="G1682" s="17" t="s">
        <v>14</v>
      </c>
      <c r="H1682" s="17" t="s">
        <v>23</v>
      </c>
      <c r="I1682" s="24">
        <v>70011.745786690793</v>
      </c>
      <c r="J1682" s="32">
        <v>16</v>
      </c>
      <c r="K1682" s="17" t="s">
        <v>16</v>
      </c>
      <c r="L1682" s="24">
        <v>4287.21</v>
      </c>
      <c r="M1682" s="24">
        <v>4464.28</v>
      </c>
      <c r="N1682" s="34">
        <f>((sales_data_1[[#This Row],[Unit_Price]]*(1-sales_data_1[[#This Row],[Discount]]))-sales_data_1[[#This Row],[Unit_Cost]])*sales_data_1[[#This Row],[Quantity_Sold]]</f>
        <v>1404.5503999999928</v>
      </c>
      <c r="O1682" s="17" t="s">
        <v>17</v>
      </c>
      <c r="P1682" s="26">
        <v>0.02</v>
      </c>
      <c r="Q1682" s="17" t="s">
        <v>28</v>
      </c>
      <c r="R1682" s="17" t="s">
        <v>21</v>
      </c>
      <c r="S1682" s="50" t="str">
        <f t="shared" si="80"/>
        <v>Bob-South</v>
      </c>
      <c r="T1682" s="59" t="str">
        <f>IF(ROUND(sales_data_1[[#This Row],[Profit_Margin]],2)=ROUND((sales_data_1[[#This Row],[Unit_Price]]*(1-sales_data_1[[#This Row],[Discount]]) - sales_data_1[[#This Row],[Unit_Cost]])*sales_data_1[[#This Row],[Quantity_Sold]],2), "PASS", "CHECK")</f>
        <v>PASS</v>
      </c>
    </row>
    <row r="1683" spans="1:20" x14ac:dyDescent="0.35">
      <c r="A1683" s="7">
        <v>1682</v>
      </c>
      <c r="B1683" s="9">
        <v>1044</v>
      </c>
      <c r="C1683" s="14" t="str">
        <f>IFERROR(_xlfn.TEXTJOIN("-", TRUE, _xlfn.XLOOKUP(K1683, product_category_id_lookup!$A$2:$A$5, product_category_id_lookup!$B$2:$B$5), B1683), "Unknown Category")</f>
        <v>etc-1044</v>
      </c>
      <c r="D1683" s="8">
        <v>45136</v>
      </c>
      <c r="E1683" s="14">
        <f t="shared" si="78"/>
        <v>2023</v>
      </c>
      <c r="F1683" s="29" t="str">
        <f t="shared" si="79"/>
        <v>Jul</v>
      </c>
      <c r="G1683" s="17" t="s">
        <v>33</v>
      </c>
      <c r="H1683" s="17" t="s">
        <v>15</v>
      </c>
      <c r="I1683" s="24">
        <v>75720.233600000007</v>
      </c>
      <c r="J1683" s="32">
        <v>47</v>
      </c>
      <c r="K1683" s="17" t="s">
        <v>31</v>
      </c>
      <c r="L1683" s="24">
        <v>1512.34</v>
      </c>
      <c r="M1683" s="24">
        <v>1830.76</v>
      </c>
      <c r="N1683" s="34">
        <f>((sales_data_1[[#This Row],[Unit_Price]]*(1-sales_data_1[[#This Row],[Discount]]))-sales_data_1[[#This Row],[Unit_Cost]])*sales_data_1[[#This Row],[Quantity_Sold]]</f>
        <v>4640.2536000000046</v>
      </c>
      <c r="O1683" s="17" t="s">
        <v>27</v>
      </c>
      <c r="P1683" s="26">
        <v>0.12</v>
      </c>
      <c r="Q1683" s="17" t="s">
        <v>25</v>
      </c>
      <c r="R1683" s="17" t="s">
        <v>19</v>
      </c>
      <c r="S1683" s="50" t="str">
        <f t="shared" si="80"/>
        <v>Alice-North</v>
      </c>
      <c r="T1683" s="59" t="str">
        <f>IF(ROUND(sales_data_1[[#This Row],[Profit_Margin]],2)=ROUND((sales_data_1[[#This Row],[Unit_Price]]*(1-sales_data_1[[#This Row],[Discount]]) - sales_data_1[[#This Row],[Unit_Cost]])*sales_data_1[[#This Row],[Quantity_Sold]],2), "PASS", "CHECK")</f>
        <v>PASS</v>
      </c>
    </row>
    <row r="1684" spans="1:20" x14ac:dyDescent="0.35">
      <c r="A1684" s="7">
        <v>1683</v>
      </c>
      <c r="B1684" s="9">
        <v>1096</v>
      </c>
      <c r="C1684" s="14" t="str">
        <f>IFERROR(_xlfn.TEXTJOIN("-", TRUE, _xlfn.XLOOKUP(K1684, product_category_id_lookup!$A$2:$A$5, product_category_id_lookup!$B$2:$B$5), B1684), "Unknown Category")</f>
        <v>etc-1096</v>
      </c>
      <c r="D1684" s="8">
        <v>45136</v>
      </c>
      <c r="E1684" s="14">
        <f t="shared" si="78"/>
        <v>2023</v>
      </c>
      <c r="F1684" s="29" t="str">
        <f t="shared" si="79"/>
        <v>Jul</v>
      </c>
      <c r="G1684" s="17" t="s">
        <v>29</v>
      </c>
      <c r="H1684" s="17" t="s">
        <v>20</v>
      </c>
      <c r="I1684" s="24">
        <v>156442.46079239491</v>
      </c>
      <c r="J1684" s="32">
        <v>38</v>
      </c>
      <c r="K1684" s="17" t="s">
        <v>31</v>
      </c>
      <c r="L1684" s="24">
        <v>3955.66</v>
      </c>
      <c r="M1684" s="24">
        <v>4270.59</v>
      </c>
      <c r="N1684" s="34">
        <f>((sales_data_1[[#This Row],[Unit_Price]]*(1-sales_data_1[[#This Row],[Discount]]))-sales_data_1[[#This Row],[Unit_Cost]])*sales_data_1[[#This Row],[Quantity_Sold]]</f>
        <v>5476.0432000000219</v>
      </c>
      <c r="O1684" s="17" t="s">
        <v>17</v>
      </c>
      <c r="P1684" s="26">
        <v>0.04</v>
      </c>
      <c r="Q1684" s="17" t="s">
        <v>28</v>
      </c>
      <c r="R1684" s="17" t="s">
        <v>19</v>
      </c>
      <c r="S1684" s="50" t="str">
        <f t="shared" si="80"/>
        <v>Charlie-West</v>
      </c>
      <c r="T1684" s="59" t="str">
        <f>IF(ROUND(sales_data_1[[#This Row],[Profit_Margin]],2)=ROUND((sales_data_1[[#This Row],[Unit_Price]]*(1-sales_data_1[[#This Row],[Discount]]) - sales_data_1[[#This Row],[Unit_Cost]])*sales_data_1[[#This Row],[Quantity_Sold]],2), "PASS", "CHECK")</f>
        <v>PASS</v>
      </c>
    </row>
    <row r="1685" spans="1:20" x14ac:dyDescent="0.35">
      <c r="A1685" s="7">
        <v>1684</v>
      </c>
      <c r="B1685" s="9">
        <v>1082</v>
      </c>
      <c r="C1685" s="14" t="str">
        <f>IFERROR(_xlfn.TEXTJOIN("-", TRUE, _xlfn.XLOOKUP(K1685, product_category_id_lookup!$A$2:$A$5, product_category_id_lookup!$B$2:$B$5), B1685), "Unknown Category")</f>
        <v>fd-1082</v>
      </c>
      <c r="D1685" s="8">
        <v>45136</v>
      </c>
      <c r="E1685" s="14">
        <f t="shared" si="78"/>
        <v>2023</v>
      </c>
      <c r="F1685" s="29" t="str">
        <f t="shared" si="79"/>
        <v>Jul</v>
      </c>
      <c r="G1685" s="17" t="s">
        <v>32</v>
      </c>
      <c r="H1685" s="17" t="s">
        <v>30</v>
      </c>
      <c r="I1685" s="24">
        <v>58835.692800000004</v>
      </c>
      <c r="J1685" s="32">
        <v>46</v>
      </c>
      <c r="K1685" s="17" t="s">
        <v>24</v>
      </c>
      <c r="L1685" s="24">
        <v>1102.69</v>
      </c>
      <c r="M1685" s="24">
        <v>1437.1200000000001</v>
      </c>
      <c r="N1685" s="34">
        <f>((sales_data_1[[#This Row],[Unit_Price]]*(1-sales_data_1[[#This Row],[Discount]]))-sales_data_1[[#This Row],[Unit_Cost]])*sales_data_1[[#This Row],[Quantity_Sold]]</f>
        <v>8111.9528000000009</v>
      </c>
      <c r="O1685" s="17" t="s">
        <v>27</v>
      </c>
      <c r="P1685" s="26">
        <v>0.11</v>
      </c>
      <c r="Q1685" s="17" t="s">
        <v>28</v>
      </c>
      <c r="R1685" s="17" t="s">
        <v>19</v>
      </c>
      <c r="S1685" s="50" t="str">
        <f t="shared" si="80"/>
        <v>Eve-East</v>
      </c>
      <c r="T1685" s="59" t="str">
        <f>IF(ROUND(sales_data_1[[#This Row],[Profit_Margin]],2)=ROUND((sales_data_1[[#This Row],[Unit_Price]]*(1-sales_data_1[[#This Row],[Discount]]) - sales_data_1[[#This Row],[Unit_Cost]])*sales_data_1[[#This Row],[Quantity_Sold]],2), "PASS", "CHECK")</f>
        <v>PASS</v>
      </c>
    </row>
    <row r="1686" spans="1:20" x14ac:dyDescent="0.35">
      <c r="A1686" s="7">
        <v>1685</v>
      </c>
      <c r="B1686" s="9">
        <v>1088</v>
      </c>
      <c r="C1686" s="14" t="str">
        <f>IFERROR(_xlfn.TEXTJOIN("-", TRUE, _xlfn.XLOOKUP(K1686, product_category_id_lookup!$A$2:$A$5, product_category_id_lookup!$B$2:$B$5), B1686), "Unknown Category")</f>
        <v>fnt-1088</v>
      </c>
      <c r="D1686" s="8">
        <v>45137</v>
      </c>
      <c r="E1686" s="14">
        <f t="shared" si="78"/>
        <v>2023</v>
      </c>
      <c r="F1686" s="29" t="str">
        <f t="shared" si="79"/>
        <v>Jul</v>
      </c>
      <c r="G1686" s="17" t="s">
        <v>32</v>
      </c>
      <c r="H1686" s="17" t="s">
        <v>30</v>
      </c>
      <c r="I1686" s="24">
        <v>4597.73593994371</v>
      </c>
      <c r="J1686" s="32">
        <v>1</v>
      </c>
      <c r="K1686" s="17" t="s">
        <v>16</v>
      </c>
      <c r="L1686" s="24">
        <v>4384.6400000000003</v>
      </c>
      <c r="M1686" s="24">
        <v>4693.9000000000005</v>
      </c>
      <c r="N1686" s="34">
        <f>((sales_data_1[[#This Row],[Unit_Price]]*(1-sales_data_1[[#This Row],[Discount]]))-sales_data_1[[#This Row],[Unit_Cost]])*sales_data_1[[#This Row],[Quantity_Sold]]</f>
        <v>215.38200000000052</v>
      </c>
      <c r="O1686" s="17" t="s">
        <v>27</v>
      </c>
      <c r="P1686" s="26">
        <v>0.02</v>
      </c>
      <c r="Q1686" s="17" t="s">
        <v>18</v>
      </c>
      <c r="R1686" s="17" t="s">
        <v>21</v>
      </c>
      <c r="S1686" s="50" t="str">
        <f t="shared" si="80"/>
        <v>Eve-East</v>
      </c>
      <c r="T1686" s="59" t="str">
        <f>IF(ROUND(sales_data_1[[#This Row],[Profit_Margin]],2)=ROUND((sales_data_1[[#This Row],[Unit_Price]]*(1-sales_data_1[[#This Row],[Discount]]) - sales_data_1[[#This Row],[Unit_Cost]])*sales_data_1[[#This Row],[Quantity_Sold]],2), "PASS", "CHECK")</f>
        <v>PASS</v>
      </c>
    </row>
    <row r="1687" spans="1:20" x14ac:dyDescent="0.35">
      <c r="A1687" s="7">
        <v>1686</v>
      </c>
      <c r="B1687" s="9">
        <v>1048</v>
      </c>
      <c r="C1687" s="14" t="str">
        <f>IFERROR(_xlfn.TEXTJOIN("-", TRUE, _xlfn.XLOOKUP(K1687, product_category_id_lookup!$A$2:$A$5, product_category_id_lookup!$B$2:$B$5), B1687), "Unknown Category")</f>
        <v>fnt-1048</v>
      </c>
      <c r="D1687" s="8">
        <v>45137</v>
      </c>
      <c r="E1687" s="14">
        <f t="shared" si="78"/>
        <v>2023</v>
      </c>
      <c r="F1687" s="29" t="str">
        <f t="shared" si="79"/>
        <v>Jul</v>
      </c>
      <c r="G1687" s="17" t="s">
        <v>33</v>
      </c>
      <c r="H1687" s="17" t="s">
        <v>15</v>
      </c>
      <c r="I1687" s="24">
        <v>13428.784140472917</v>
      </c>
      <c r="J1687" s="32">
        <v>6</v>
      </c>
      <c r="K1687" s="17" t="s">
        <v>16</v>
      </c>
      <c r="L1687" s="24">
        <v>1945.27</v>
      </c>
      <c r="M1687" s="24">
        <v>2309.4299999999998</v>
      </c>
      <c r="N1687" s="34">
        <f>((sales_data_1[[#This Row],[Unit_Price]]*(1-sales_data_1[[#This Row],[Discount]]))-sales_data_1[[#This Row],[Unit_Cost]])*sales_data_1[[#This Row],[Quantity_Sold]]</f>
        <v>1769.2625999999982</v>
      </c>
      <c r="O1687" s="17" t="s">
        <v>27</v>
      </c>
      <c r="P1687" s="26">
        <v>0.03</v>
      </c>
      <c r="Q1687" s="17" t="s">
        <v>28</v>
      </c>
      <c r="R1687" s="17" t="s">
        <v>19</v>
      </c>
      <c r="S1687" s="50" t="str">
        <f t="shared" si="80"/>
        <v>Alice-North</v>
      </c>
      <c r="T1687" s="59" t="str">
        <f>IF(ROUND(sales_data_1[[#This Row],[Profit_Margin]],2)=ROUND((sales_data_1[[#This Row],[Unit_Price]]*(1-sales_data_1[[#This Row],[Discount]]) - sales_data_1[[#This Row],[Unit_Cost]])*sales_data_1[[#This Row],[Quantity_Sold]],2), "PASS", "CHECK")</f>
        <v>PASS</v>
      </c>
    </row>
    <row r="1688" spans="1:20" x14ac:dyDescent="0.35">
      <c r="A1688" s="7">
        <v>1687</v>
      </c>
      <c r="B1688" s="9">
        <v>1002</v>
      </c>
      <c r="C1688" s="14" t="str">
        <f>IFERROR(_xlfn.TEXTJOIN("-", TRUE, _xlfn.XLOOKUP(K1688, product_category_id_lookup!$A$2:$A$5, product_category_id_lookup!$B$2:$B$5), B1688), "Unknown Category")</f>
        <v>ctg-1002</v>
      </c>
      <c r="D1688" s="8">
        <v>45138</v>
      </c>
      <c r="E1688" s="14">
        <f t="shared" si="78"/>
        <v>2023</v>
      </c>
      <c r="F1688" s="29" t="str">
        <f t="shared" si="79"/>
        <v>Jul</v>
      </c>
      <c r="G1688" s="17" t="s">
        <v>22</v>
      </c>
      <c r="H1688" s="17" t="s">
        <v>30</v>
      </c>
      <c r="I1688" s="24">
        <v>88203.426286226022</v>
      </c>
      <c r="J1688" s="32">
        <v>21</v>
      </c>
      <c r="K1688" s="17" t="s">
        <v>26</v>
      </c>
      <c r="L1688" s="24">
        <v>4138.41</v>
      </c>
      <c r="M1688" s="24">
        <v>4361.7</v>
      </c>
      <c r="N1688" s="34">
        <f>((sales_data_1[[#This Row],[Unit_Price]]*(1-sales_data_1[[#This Row],[Discount]]))-sales_data_1[[#This Row],[Unit_Cost]])*sales_data_1[[#This Row],[Quantity_Sold]]</f>
        <v>1025.2620000000024</v>
      </c>
      <c r="O1688" s="17" t="s">
        <v>17</v>
      </c>
      <c r="P1688" s="26">
        <v>0.04</v>
      </c>
      <c r="Q1688" s="17" t="s">
        <v>28</v>
      </c>
      <c r="R1688" s="17" t="s">
        <v>21</v>
      </c>
      <c r="S1688" s="50" t="str">
        <f t="shared" si="80"/>
        <v>David-East</v>
      </c>
      <c r="T1688" s="59" t="str">
        <f>IF(ROUND(sales_data_1[[#This Row],[Profit_Margin]],2)=ROUND((sales_data_1[[#This Row],[Unit_Price]]*(1-sales_data_1[[#This Row],[Discount]]) - sales_data_1[[#This Row],[Unit_Cost]])*sales_data_1[[#This Row],[Quantity_Sold]],2), "PASS", "CHECK")</f>
        <v>PASS</v>
      </c>
    </row>
    <row r="1689" spans="1:20" x14ac:dyDescent="0.35">
      <c r="A1689" s="7">
        <v>1688</v>
      </c>
      <c r="B1689" s="9">
        <v>1063</v>
      </c>
      <c r="C1689" s="14" t="str">
        <f>IFERROR(_xlfn.TEXTJOIN("-", TRUE, _xlfn.XLOOKUP(K1689, product_category_id_lookup!$A$2:$A$5, product_category_id_lookup!$B$2:$B$5), B1689), "Unknown Category")</f>
        <v>etc-1063</v>
      </c>
      <c r="D1689" s="8">
        <v>45139</v>
      </c>
      <c r="E1689" s="14">
        <f t="shared" si="78"/>
        <v>2023</v>
      </c>
      <c r="F1689" s="29" t="str">
        <f t="shared" si="79"/>
        <v>Aug</v>
      </c>
      <c r="G1689" s="17" t="s">
        <v>14</v>
      </c>
      <c r="H1689" s="17" t="s">
        <v>23</v>
      </c>
      <c r="I1689" s="24">
        <v>5370.0555999999997</v>
      </c>
      <c r="J1689" s="32">
        <v>4</v>
      </c>
      <c r="K1689" s="17" t="s">
        <v>31</v>
      </c>
      <c r="L1689" s="24">
        <v>1046.26</v>
      </c>
      <c r="M1689" s="24">
        <v>1475.29</v>
      </c>
      <c r="N1689" s="34">
        <f>((sales_data_1[[#This Row],[Unit_Price]]*(1-sales_data_1[[#This Row],[Discount]]))-sales_data_1[[#This Row],[Unit_Cost]])*sales_data_1[[#This Row],[Quantity_Sold]]</f>
        <v>1185.0155999999997</v>
      </c>
      <c r="O1689" s="17" t="s">
        <v>17</v>
      </c>
      <c r="P1689" s="26">
        <v>0.09</v>
      </c>
      <c r="Q1689" s="17" t="s">
        <v>25</v>
      </c>
      <c r="R1689" s="17" t="s">
        <v>21</v>
      </c>
      <c r="S1689" s="50" t="str">
        <f t="shared" si="80"/>
        <v>Bob-South</v>
      </c>
      <c r="T1689" s="59" t="str">
        <f>IF(ROUND(sales_data_1[[#This Row],[Profit_Margin]],2)=ROUND((sales_data_1[[#This Row],[Unit_Price]]*(1-sales_data_1[[#This Row],[Discount]]) - sales_data_1[[#This Row],[Unit_Cost]])*sales_data_1[[#This Row],[Quantity_Sold]],2), "PASS", "CHECK")</f>
        <v>PASS</v>
      </c>
    </row>
    <row r="1690" spans="1:20" x14ac:dyDescent="0.35">
      <c r="A1690" s="7">
        <v>1689</v>
      </c>
      <c r="B1690" s="9">
        <v>1039</v>
      </c>
      <c r="C1690" s="14" t="str">
        <f>IFERROR(_xlfn.TEXTJOIN("-", TRUE, _xlfn.XLOOKUP(K1690, product_category_id_lookup!$A$2:$A$5, product_category_id_lookup!$B$2:$B$5), B1690), "Unknown Category")</f>
        <v>ctg-1039</v>
      </c>
      <c r="D1690" s="8">
        <v>45139</v>
      </c>
      <c r="E1690" s="14">
        <f t="shared" si="78"/>
        <v>2023</v>
      </c>
      <c r="F1690" s="29" t="str">
        <f t="shared" si="79"/>
        <v>Aug</v>
      </c>
      <c r="G1690" s="17" t="s">
        <v>32</v>
      </c>
      <c r="H1690" s="17" t="s">
        <v>20</v>
      </c>
      <c r="I1690" s="24">
        <v>107464.90399528839</v>
      </c>
      <c r="J1690" s="32">
        <v>36</v>
      </c>
      <c r="K1690" s="17" t="s">
        <v>26</v>
      </c>
      <c r="L1690" s="24">
        <v>2919</v>
      </c>
      <c r="M1690" s="24">
        <v>3125.01</v>
      </c>
      <c r="N1690" s="34">
        <f>((sales_data_1[[#This Row],[Unit_Price]]*(1-sales_data_1[[#This Row],[Discount]]))-sales_data_1[[#This Row],[Unit_Cost]])*sales_data_1[[#This Row],[Quantity_Sold]]</f>
        <v>2916.3456000000115</v>
      </c>
      <c r="O1690" s="17" t="s">
        <v>27</v>
      </c>
      <c r="P1690" s="26">
        <v>0.04</v>
      </c>
      <c r="Q1690" s="17" t="s">
        <v>18</v>
      </c>
      <c r="R1690" s="17" t="s">
        <v>19</v>
      </c>
      <c r="S1690" s="50" t="str">
        <f t="shared" si="80"/>
        <v>Eve-West</v>
      </c>
      <c r="T1690" s="59" t="str">
        <f>IF(ROUND(sales_data_1[[#This Row],[Profit_Margin]],2)=ROUND((sales_data_1[[#This Row],[Unit_Price]]*(1-sales_data_1[[#This Row],[Discount]]) - sales_data_1[[#This Row],[Unit_Cost]])*sales_data_1[[#This Row],[Quantity_Sold]],2), "PASS", "CHECK")</f>
        <v>PASS</v>
      </c>
    </row>
    <row r="1691" spans="1:20" x14ac:dyDescent="0.35">
      <c r="A1691" s="7">
        <v>1690</v>
      </c>
      <c r="B1691" s="9">
        <v>1038</v>
      </c>
      <c r="C1691" s="14" t="str">
        <f>IFERROR(_xlfn.TEXTJOIN("-", TRUE, _xlfn.XLOOKUP(K1691, product_category_id_lookup!$A$2:$A$5, product_category_id_lookup!$B$2:$B$5), B1691), "Unknown Category")</f>
        <v>fnt-1038</v>
      </c>
      <c r="D1691" s="8">
        <v>45140</v>
      </c>
      <c r="E1691" s="14">
        <f t="shared" si="78"/>
        <v>2023</v>
      </c>
      <c r="F1691" s="29" t="str">
        <f t="shared" si="79"/>
        <v>Aug</v>
      </c>
      <c r="G1691" s="17" t="s">
        <v>33</v>
      </c>
      <c r="H1691" s="17" t="s">
        <v>30</v>
      </c>
      <c r="I1691" s="24">
        <v>133195.90584447069</v>
      </c>
      <c r="J1691" s="32">
        <v>43</v>
      </c>
      <c r="K1691" s="17" t="s">
        <v>16</v>
      </c>
      <c r="L1691" s="24">
        <v>3031.17</v>
      </c>
      <c r="M1691" s="24">
        <v>3231.32</v>
      </c>
      <c r="N1691" s="34">
        <f>((sales_data_1[[#This Row],[Unit_Price]]*(1-sales_data_1[[#This Row],[Discount]]))-sales_data_1[[#This Row],[Unit_Cost]])*sales_data_1[[#This Row],[Quantity_Sold]]</f>
        <v>3048.579599999995</v>
      </c>
      <c r="O1691" s="17" t="s">
        <v>17</v>
      </c>
      <c r="P1691" s="26">
        <v>0.04</v>
      </c>
      <c r="Q1691" s="17" t="s">
        <v>18</v>
      </c>
      <c r="R1691" s="17" t="s">
        <v>21</v>
      </c>
      <c r="S1691" s="50" t="str">
        <f t="shared" si="80"/>
        <v>Alice-East</v>
      </c>
      <c r="T1691" s="59" t="str">
        <f>IF(ROUND(sales_data_1[[#This Row],[Profit_Margin]],2)=ROUND((sales_data_1[[#This Row],[Unit_Price]]*(1-sales_data_1[[#This Row],[Discount]]) - sales_data_1[[#This Row],[Unit_Cost]])*sales_data_1[[#This Row],[Quantity_Sold]],2), "PASS", "CHECK")</f>
        <v>PASS</v>
      </c>
    </row>
    <row r="1692" spans="1:20" x14ac:dyDescent="0.35">
      <c r="A1692" s="7">
        <v>1691</v>
      </c>
      <c r="B1692" s="9">
        <v>1096</v>
      </c>
      <c r="C1692" s="14" t="str">
        <f>IFERROR(_xlfn.TEXTJOIN("-", TRUE, _xlfn.XLOOKUP(K1692, product_category_id_lookup!$A$2:$A$5, product_category_id_lookup!$B$2:$B$5), B1692), "Unknown Category")</f>
        <v>etc-1096</v>
      </c>
      <c r="D1692" s="8">
        <v>45140</v>
      </c>
      <c r="E1692" s="14">
        <f t="shared" si="78"/>
        <v>2023</v>
      </c>
      <c r="F1692" s="29" t="str">
        <f t="shared" si="79"/>
        <v>Aug</v>
      </c>
      <c r="G1692" s="17" t="s">
        <v>14</v>
      </c>
      <c r="H1692" s="17" t="s">
        <v>15</v>
      </c>
      <c r="I1692" s="24">
        <v>123007.26156588827</v>
      </c>
      <c r="J1692" s="32">
        <v>30</v>
      </c>
      <c r="K1692" s="17" t="s">
        <v>31</v>
      </c>
      <c r="L1692" s="24">
        <v>3969.86</v>
      </c>
      <c r="M1692" s="24">
        <v>4281.79</v>
      </c>
      <c r="N1692" s="34">
        <f>((sales_data_1[[#This Row],[Unit_Price]]*(1-sales_data_1[[#This Row],[Discount]]))-sales_data_1[[#This Row],[Unit_Cost]])*sales_data_1[[#This Row],[Quantity_Sold]]</f>
        <v>4219.751999999994</v>
      </c>
      <c r="O1692" s="17" t="s">
        <v>17</v>
      </c>
      <c r="P1692" s="26">
        <v>0.04</v>
      </c>
      <c r="Q1692" s="17" t="s">
        <v>25</v>
      </c>
      <c r="R1692" s="17" t="s">
        <v>21</v>
      </c>
      <c r="S1692" s="50" t="str">
        <f t="shared" si="80"/>
        <v>Bob-North</v>
      </c>
      <c r="T1692" s="59" t="str">
        <f>IF(ROUND(sales_data_1[[#This Row],[Profit_Margin]],2)=ROUND((sales_data_1[[#This Row],[Unit_Price]]*(1-sales_data_1[[#This Row],[Discount]]) - sales_data_1[[#This Row],[Unit_Cost]])*sales_data_1[[#This Row],[Quantity_Sold]],2), "PASS", "CHECK")</f>
        <v>PASS</v>
      </c>
    </row>
    <row r="1693" spans="1:20" x14ac:dyDescent="0.35">
      <c r="A1693" s="7">
        <v>1692</v>
      </c>
      <c r="B1693" s="9">
        <v>1029</v>
      </c>
      <c r="C1693" s="14" t="str">
        <f>IFERROR(_xlfn.TEXTJOIN("-", TRUE, _xlfn.XLOOKUP(K1693, product_category_id_lookup!$A$2:$A$5, product_category_id_lookup!$B$2:$B$5), B1693), "Unknown Category")</f>
        <v>fnt-1029</v>
      </c>
      <c r="D1693" s="8">
        <v>45140</v>
      </c>
      <c r="E1693" s="14">
        <f t="shared" si="78"/>
        <v>2023</v>
      </c>
      <c r="F1693" s="29" t="str">
        <f t="shared" si="79"/>
        <v>Aug</v>
      </c>
      <c r="G1693" s="17" t="s">
        <v>32</v>
      </c>
      <c r="H1693" s="17" t="s">
        <v>23</v>
      </c>
      <c r="I1693" s="24">
        <v>219347.47754406097</v>
      </c>
      <c r="J1693" s="32">
        <v>46</v>
      </c>
      <c r="K1693" s="17" t="s">
        <v>16</v>
      </c>
      <c r="L1693" s="24">
        <v>4609.66</v>
      </c>
      <c r="M1693" s="24">
        <v>4879.1499999999996</v>
      </c>
      <c r="N1693" s="34">
        <f>((sales_data_1[[#This Row],[Unit_Price]]*(1-sales_data_1[[#This Row],[Discount]]))-sales_data_1[[#This Row],[Unit_Cost]])*sales_data_1[[#This Row],[Quantity_Sold]]</f>
        <v>7907.722000000007</v>
      </c>
      <c r="O1693" s="17" t="s">
        <v>17</v>
      </c>
      <c r="P1693" s="26">
        <v>0.02</v>
      </c>
      <c r="Q1693" s="17" t="s">
        <v>18</v>
      </c>
      <c r="R1693" s="17" t="s">
        <v>21</v>
      </c>
      <c r="S1693" s="50" t="str">
        <f t="shared" si="80"/>
        <v>Eve-South</v>
      </c>
      <c r="T1693" s="59" t="str">
        <f>IF(ROUND(sales_data_1[[#This Row],[Profit_Margin]],2)=ROUND((sales_data_1[[#This Row],[Unit_Price]]*(1-sales_data_1[[#This Row],[Discount]]) - sales_data_1[[#This Row],[Unit_Cost]])*sales_data_1[[#This Row],[Quantity_Sold]],2), "PASS", "CHECK")</f>
        <v>PASS</v>
      </c>
    </row>
    <row r="1694" spans="1:20" x14ac:dyDescent="0.35">
      <c r="A1694" s="7">
        <v>1693</v>
      </c>
      <c r="B1694" s="9">
        <v>1023</v>
      </c>
      <c r="C1694" s="14" t="str">
        <f>IFERROR(_xlfn.TEXTJOIN("-", TRUE, _xlfn.XLOOKUP(K1694, product_category_id_lookup!$A$2:$A$5, product_category_id_lookup!$B$2:$B$5), B1694), "Unknown Category")</f>
        <v>fd-1023</v>
      </c>
      <c r="D1694" s="8">
        <v>45141</v>
      </c>
      <c r="E1694" s="14">
        <f t="shared" si="78"/>
        <v>2023</v>
      </c>
      <c r="F1694" s="29" t="str">
        <f t="shared" si="79"/>
        <v>Aug</v>
      </c>
      <c r="G1694" s="17" t="s">
        <v>22</v>
      </c>
      <c r="H1694" s="17" t="s">
        <v>20</v>
      </c>
      <c r="I1694" s="24">
        <v>212257.76694882958</v>
      </c>
      <c r="J1694" s="32">
        <v>45</v>
      </c>
      <c r="K1694" s="17" t="s">
        <v>24</v>
      </c>
      <c r="L1694" s="24">
        <v>4692.24</v>
      </c>
      <c r="M1694" s="24">
        <v>4825.92</v>
      </c>
      <c r="N1694" s="34">
        <f>((sales_data_1[[#This Row],[Unit_Price]]*(1-sales_data_1[[#This Row],[Discount]]))-sales_data_1[[#This Row],[Unit_Cost]])*sales_data_1[[#This Row],[Quantity_Sold]]</f>
        <v>1672.2720000000163</v>
      </c>
      <c r="O1694" s="17" t="s">
        <v>17</v>
      </c>
      <c r="P1694" s="26">
        <v>0.02</v>
      </c>
      <c r="Q1694" s="17" t="s">
        <v>25</v>
      </c>
      <c r="R1694" s="17" t="s">
        <v>21</v>
      </c>
      <c r="S1694" s="50" t="str">
        <f t="shared" si="80"/>
        <v>David-West</v>
      </c>
      <c r="T1694" s="59" t="str">
        <f>IF(ROUND(sales_data_1[[#This Row],[Profit_Margin]],2)=ROUND((sales_data_1[[#This Row],[Unit_Price]]*(1-sales_data_1[[#This Row],[Discount]]) - sales_data_1[[#This Row],[Unit_Cost]])*sales_data_1[[#This Row],[Quantity_Sold]],2), "PASS", "CHECK")</f>
        <v>PASS</v>
      </c>
    </row>
    <row r="1695" spans="1:20" x14ac:dyDescent="0.35">
      <c r="A1695" s="7">
        <v>1694</v>
      </c>
      <c r="B1695" s="9">
        <v>1016</v>
      </c>
      <c r="C1695" s="14" t="str">
        <f>IFERROR(_xlfn.TEXTJOIN("-", TRUE, _xlfn.XLOOKUP(K1695, product_category_id_lookup!$A$2:$A$5, product_category_id_lookup!$B$2:$B$5), B1695), "Unknown Category")</f>
        <v>fnt-1016</v>
      </c>
      <c r="D1695" s="8">
        <v>45141</v>
      </c>
      <c r="E1695" s="14">
        <f t="shared" si="78"/>
        <v>2023</v>
      </c>
      <c r="F1695" s="29" t="str">
        <f t="shared" si="79"/>
        <v>Aug</v>
      </c>
      <c r="G1695" s="17" t="s">
        <v>33</v>
      </c>
      <c r="H1695" s="17" t="s">
        <v>20</v>
      </c>
      <c r="I1695" s="24">
        <v>72921.265121031654</v>
      </c>
      <c r="J1695" s="32">
        <v>16</v>
      </c>
      <c r="K1695" s="17" t="s">
        <v>16</v>
      </c>
      <c r="L1695" s="24">
        <v>4457.68</v>
      </c>
      <c r="M1695" s="24">
        <v>4743.0300000000007</v>
      </c>
      <c r="N1695" s="34">
        <f>((sales_data_1[[#This Row],[Unit_Price]]*(1-sales_data_1[[#This Row],[Discount]]))-sales_data_1[[#This Row],[Unit_Cost]])*sales_data_1[[#This Row],[Quantity_Sold]]</f>
        <v>1530.0608000000066</v>
      </c>
      <c r="O1695" s="17" t="s">
        <v>17</v>
      </c>
      <c r="P1695" s="26">
        <v>0.04</v>
      </c>
      <c r="Q1695" s="17" t="s">
        <v>18</v>
      </c>
      <c r="R1695" s="17" t="s">
        <v>19</v>
      </c>
      <c r="S1695" s="50" t="str">
        <f t="shared" si="80"/>
        <v>Alice-West</v>
      </c>
      <c r="T1695" s="59" t="str">
        <f>IF(ROUND(sales_data_1[[#This Row],[Profit_Margin]],2)=ROUND((sales_data_1[[#This Row],[Unit_Price]]*(1-sales_data_1[[#This Row],[Discount]]) - sales_data_1[[#This Row],[Unit_Cost]])*sales_data_1[[#This Row],[Quantity_Sold]],2), "PASS", "CHECK")</f>
        <v>PASS</v>
      </c>
    </row>
    <row r="1696" spans="1:20" x14ac:dyDescent="0.35">
      <c r="A1696" s="7">
        <v>1695</v>
      </c>
      <c r="B1696" s="9">
        <v>1033</v>
      </c>
      <c r="C1696" s="14" t="str">
        <f>IFERROR(_xlfn.TEXTJOIN("-", TRUE, _xlfn.XLOOKUP(K1696, product_category_id_lookup!$A$2:$A$5, product_category_id_lookup!$B$2:$B$5), B1696), "Unknown Category")</f>
        <v>fd-1033</v>
      </c>
      <c r="D1696" s="8">
        <v>45141</v>
      </c>
      <c r="E1696" s="14">
        <f t="shared" si="78"/>
        <v>2023</v>
      </c>
      <c r="F1696" s="29" t="str">
        <f t="shared" si="79"/>
        <v>Aug</v>
      </c>
      <c r="G1696" s="17" t="s">
        <v>33</v>
      </c>
      <c r="H1696" s="17" t="s">
        <v>20</v>
      </c>
      <c r="I1696" s="24">
        <v>23410.914926292302</v>
      </c>
      <c r="J1696" s="32">
        <v>40</v>
      </c>
      <c r="K1696" s="17" t="s">
        <v>24</v>
      </c>
      <c r="L1696" s="24">
        <v>541.19000000000005</v>
      </c>
      <c r="M1696" s="24">
        <v>595.20000000000005</v>
      </c>
      <c r="N1696" s="34">
        <f>((sales_data_1[[#This Row],[Unit_Price]]*(1-sales_data_1[[#This Row],[Discount]]))-sales_data_1[[#This Row],[Unit_Cost]])*sales_data_1[[#This Row],[Quantity_Sold]]</f>
        <v>1684.2399999999998</v>
      </c>
      <c r="O1696" s="17" t="s">
        <v>17</v>
      </c>
      <c r="P1696" s="26">
        <v>0.02</v>
      </c>
      <c r="Q1696" s="17" t="s">
        <v>28</v>
      </c>
      <c r="R1696" s="17" t="s">
        <v>19</v>
      </c>
      <c r="S1696" s="50" t="str">
        <f t="shared" si="80"/>
        <v>Alice-West</v>
      </c>
      <c r="T1696" s="59" t="str">
        <f>IF(ROUND(sales_data_1[[#This Row],[Profit_Margin]],2)=ROUND((sales_data_1[[#This Row],[Unit_Price]]*(1-sales_data_1[[#This Row],[Discount]]) - sales_data_1[[#This Row],[Unit_Cost]])*sales_data_1[[#This Row],[Quantity_Sold]],2), "PASS", "CHECK")</f>
        <v>PASS</v>
      </c>
    </row>
    <row r="1697" spans="1:20" x14ac:dyDescent="0.35">
      <c r="A1697" s="7">
        <v>1696</v>
      </c>
      <c r="B1697" s="9">
        <v>1001</v>
      </c>
      <c r="C1697" s="14" t="str">
        <f>IFERROR(_xlfn.TEXTJOIN("-", TRUE, _xlfn.XLOOKUP(K1697, product_category_id_lookup!$A$2:$A$5, product_category_id_lookup!$B$2:$B$5), B1697), "Unknown Category")</f>
        <v>fd-1001</v>
      </c>
      <c r="D1697" s="8">
        <v>45141</v>
      </c>
      <c r="E1697" s="14">
        <f t="shared" si="78"/>
        <v>2023</v>
      </c>
      <c r="F1697" s="29" t="str">
        <f t="shared" si="79"/>
        <v>Aug</v>
      </c>
      <c r="G1697" s="17" t="s">
        <v>14</v>
      </c>
      <c r="H1697" s="17" t="s">
        <v>20</v>
      </c>
      <c r="I1697" s="24">
        <v>45613.26</v>
      </c>
      <c r="J1697" s="32">
        <v>20</v>
      </c>
      <c r="K1697" s="17" t="s">
        <v>24</v>
      </c>
      <c r="L1697" s="24">
        <v>2153.52</v>
      </c>
      <c r="M1697" s="24">
        <v>2303.6999999999998</v>
      </c>
      <c r="N1697" s="34">
        <f>((sales_data_1[[#This Row],[Unit_Price]]*(1-sales_data_1[[#This Row],[Discount]]))-sales_data_1[[#This Row],[Unit_Cost]])*sales_data_1[[#This Row],[Quantity_Sold]]</f>
        <v>2542.8600000000006</v>
      </c>
      <c r="O1697" s="17" t="s">
        <v>17</v>
      </c>
      <c r="P1697" s="26">
        <v>0.01</v>
      </c>
      <c r="Q1697" s="17" t="s">
        <v>18</v>
      </c>
      <c r="R1697" s="17" t="s">
        <v>21</v>
      </c>
      <c r="S1697" s="50" t="str">
        <f t="shared" si="80"/>
        <v>Bob-West</v>
      </c>
      <c r="T1697" s="59" t="str">
        <f>IF(ROUND(sales_data_1[[#This Row],[Profit_Margin]],2)=ROUND((sales_data_1[[#This Row],[Unit_Price]]*(1-sales_data_1[[#This Row],[Discount]]) - sales_data_1[[#This Row],[Unit_Cost]])*sales_data_1[[#This Row],[Quantity_Sold]],2), "PASS", "CHECK")</f>
        <v>PASS</v>
      </c>
    </row>
    <row r="1698" spans="1:20" x14ac:dyDescent="0.35">
      <c r="A1698" s="7">
        <v>1697</v>
      </c>
      <c r="B1698" s="9">
        <v>1002</v>
      </c>
      <c r="C1698" s="14" t="str">
        <f>IFERROR(_xlfn.TEXTJOIN("-", TRUE, _xlfn.XLOOKUP(K1698, product_category_id_lookup!$A$2:$A$5, product_category_id_lookup!$B$2:$B$5), B1698), "Unknown Category")</f>
        <v>fnt-1002</v>
      </c>
      <c r="D1698" s="8">
        <v>45141</v>
      </c>
      <c r="E1698" s="14">
        <f t="shared" si="78"/>
        <v>2023</v>
      </c>
      <c r="F1698" s="29" t="str">
        <f t="shared" si="79"/>
        <v>Aug</v>
      </c>
      <c r="G1698" s="17" t="s">
        <v>33</v>
      </c>
      <c r="H1698" s="17" t="s">
        <v>23</v>
      </c>
      <c r="I1698" s="24">
        <v>49056.153600000005</v>
      </c>
      <c r="J1698" s="32">
        <v>16</v>
      </c>
      <c r="K1698" s="17" t="s">
        <v>16</v>
      </c>
      <c r="L1698" s="24">
        <v>2872.4</v>
      </c>
      <c r="M1698" s="24">
        <v>3193.76</v>
      </c>
      <c r="N1698" s="34">
        <f>((sales_data_1[[#This Row],[Unit_Price]]*(1-sales_data_1[[#This Row],[Discount]]))-sales_data_1[[#This Row],[Unit_Cost]])*sales_data_1[[#This Row],[Quantity_Sold]]</f>
        <v>3097.7536000000036</v>
      </c>
      <c r="O1698" s="17" t="s">
        <v>17</v>
      </c>
      <c r="P1698" s="26">
        <v>0.04</v>
      </c>
      <c r="Q1698" s="17" t="s">
        <v>28</v>
      </c>
      <c r="R1698" s="17" t="s">
        <v>19</v>
      </c>
      <c r="S1698" s="50" t="str">
        <f t="shared" si="80"/>
        <v>Alice-South</v>
      </c>
      <c r="T1698" s="59" t="str">
        <f>IF(ROUND(sales_data_1[[#This Row],[Profit_Margin]],2)=ROUND((sales_data_1[[#This Row],[Unit_Price]]*(1-sales_data_1[[#This Row],[Discount]]) - sales_data_1[[#This Row],[Unit_Cost]])*sales_data_1[[#This Row],[Quantity_Sold]],2), "PASS", "CHECK")</f>
        <v>PASS</v>
      </c>
    </row>
    <row r="1699" spans="1:20" x14ac:dyDescent="0.35">
      <c r="A1699" s="7">
        <v>1698</v>
      </c>
      <c r="B1699" s="9">
        <v>1043</v>
      </c>
      <c r="C1699" s="14" t="str">
        <f>IFERROR(_xlfn.TEXTJOIN("-", TRUE, _xlfn.XLOOKUP(K1699, product_category_id_lookup!$A$2:$A$5, product_category_id_lookup!$B$2:$B$5), B1699), "Unknown Category")</f>
        <v>etc-1043</v>
      </c>
      <c r="D1699" s="8">
        <v>45141</v>
      </c>
      <c r="E1699" s="14">
        <f t="shared" si="78"/>
        <v>2023</v>
      </c>
      <c r="F1699" s="29" t="str">
        <f t="shared" si="79"/>
        <v>Aug</v>
      </c>
      <c r="G1699" s="17" t="s">
        <v>22</v>
      </c>
      <c r="H1699" s="17" t="s">
        <v>30</v>
      </c>
      <c r="I1699" s="24">
        <v>102444.76</v>
      </c>
      <c r="J1699" s="32">
        <v>22</v>
      </c>
      <c r="K1699" s="17" t="s">
        <v>31</v>
      </c>
      <c r="L1699" s="24">
        <v>4260</v>
      </c>
      <c r="M1699" s="24">
        <v>4656.58</v>
      </c>
      <c r="N1699" s="34">
        <f>((sales_data_1[[#This Row],[Unit_Price]]*(1-sales_data_1[[#This Row],[Discount]]))-sales_data_1[[#This Row],[Unit_Cost]])*sales_data_1[[#This Row],[Quantity_Sold]]</f>
        <v>8724.7599999999984</v>
      </c>
      <c r="O1699" s="17" t="s">
        <v>27</v>
      </c>
      <c r="P1699" s="26">
        <v>0</v>
      </c>
      <c r="Q1699" s="17" t="s">
        <v>25</v>
      </c>
      <c r="R1699" s="17" t="s">
        <v>19</v>
      </c>
      <c r="S1699" s="50" t="str">
        <f t="shared" si="80"/>
        <v>David-East</v>
      </c>
      <c r="T1699" s="59" t="str">
        <f>IF(ROUND(sales_data_1[[#This Row],[Profit_Margin]],2)=ROUND((sales_data_1[[#This Row],[Unit_Price]]*(1-sales_data_1[[#This Row],[Discount]]) - sales_data_1[[#This Row],[Unit_Cost]])*sales_data_1[[#This Row],[Quantity_Sold]],2), "PASS", "CHECK")</f>
        <v>PASS</v>
      </c>
    </row>
    <row r="1700" spans="1:20" x14ac:dyDescent="0.35">
      <c r="A1700" s="7">
        <v>1699</v>
      </c>
      <c r="B1700" s="9">
        <v>1035</v>
      </c>
      <c r="C1700" s="14" t="str">
        <f>IFERROR(_xlfn.TEXTJOIN("-", TRUE, _xlfn.XLOOKUP(K1700, product_category_id_lookup!$A$2:$A$5, product_category_id_lookup!$B$2:$B$5), B1700), "Unknown Category")</f>
        <v>etc-1035</v>
      </c>
      <c r="D1700" s="8">
        <v>45142</v>
      </c>
      <c r="E1700" s="14">
        <f t="shared" si="78"/>
        <v>2023</v>
      </c>
      <c r="F1700" s="29" t="str">
        <f t="shared" si="79"/>
        <v>Aug</v>
      </c>
      <c r="G1700" s="17" t="s">
        <v>22</v>
      </c>
      <c r="H1700" s="17" t="s">
        <v>23</v>
      </c>
      <c r="I1700" s="24">
        <v>114778.96688686697</v>
      </c>
      <c r="J1700" s="32">
        <v>30</v>
      </c>
      <c r="K1700" s="17" t="s">
        <v>31</v>
      </c>
      <c r="L1700" s="24">
        <v>3813.62</v>
      </c>
      <c r="M1700" s="24">
        <v>3839.72</v>
      </c>
      <c r="N1700" s="34">
        <f>((sales_data_1[[#This Row],[Unit_Price]]*(1-sales_data_1[[#This Row],[Discount]]))-sales_data_1[[#This Row],[Unit_Cost]])*sales_data_1[[#This Row],[Quantity_Sold]]</f>
        <v>782.99999999999727</v>
      </c>
      <c r="O1700" s="17" t="s">
        <v>27</v>
      </c>
      <c r="P1700" s="26">
        <v>0</v>
      </c>
      <c r="Q1700" s="17" t="s">
        <v>28</v>
      </c>
      <c r="R1700" s="17" t="s">
        <v>19</v>
      </c>
      <c r="S1700" s="50" t="str">
        <f t="shared" si="80"/>
        <v>David-South</v>
      </c>
      <c r="T1700" s="59" t="str">
        <f>IF(ROUND(sales_data_1[[#This Row],[Profit_Margin]],2)=ROUND((sales_data_1[[#This Row],[Unit_Price]]*(1-sales_data_1[[#This Row],[Discount]]) - sales_data_1[[#This Row],[Unit_Cost]])*sales_data_1[[#This Row],[Quantity_Sold]],2), "PASS", "CHECK")</f>
        <v>PASS</v>
      </c>
    </row>
    <row r="1701" spans="1:20" x14ac:dyDescent="0.35">
      <c r="A1701" s="7">
        <v>1700</v>
      </c>
      <c r="B1701" s="9">
        <v>1028</v>
      </c>
      <c r="C1701" s="14" t="str">
        <f>IFERROR(_xlfn.TEXTJOIN("-", TRUE, _xlfn.XLOOKUP(K1701, product_category_id_lookup!$A$2:$A$5, product_category_id_lookup!$B$2:$B$5), B1701), "Unknown Category")</f>
        <v>ctg-1028</v>
      </c>
      <c r="D1701" s="8">
        <v>45142</v>
      </c>
      <c r="E1701" s="14">
        <f t="shared" si="78"/>
        <v>2023</v>
      </c>
      <c r="F1701" s="29" t="str">
        <f t="shared" si="79"/>
        <v>Aug</v>
      </c>
      <c r="G1701" s="17" t="s">
        <v>33</v>
      </c>
      <c r="H1701" s="17" t="s">
        <v>15</v>
      </c>
      <c r="I1701" s="24">
        <v>130260.65744426571</v>
      </c>
      <c r="J1701" s="32">
        <v>38</v>
      </c>
      <c r="K1701" s="17" t="s">
        <v>26</v>
      </c>
      <c r="L1701" s="24">
        <v>3350.32</v>
      </c>
      <c r="M1701" s="24">
        <v>3449.94</v>
      </c>
      <c r="N1701" s="34">
        <f>((sales_data_1[[#This Row],[Unit_Price]]*(1-sales_data_1[[#This Row],[Discount]]))-sales_data_1[[#This Row],[Unit_Cost]])*sales_data_1[[#This Row],[Quantity_Sold]]</f>
        <v>2474.5827999999901</v>
      </c>
      <c r="O1701" s="17" t="s">
        <v>27</v>
      </c>
      <c r="P1701" s="26">
        <v>0.01</v>
      </c>
      <c r="Q1701" s="17" t="s">
        <v>18</v>
      </c>
      <c r="R1701" s="17" t="s">
        <v>19</v>
      </c>
      <c r="S1701" s="50" t="str">
        <f t="shared" si="80"/>
        <v>Alice-North</v>
      </c>
      <c r="T1701" s="59" t="str">
        <f>IF(ROUND(sales_data_1[[#This Row],[Profit_Margin]],2)=ROUND((sales_data_1[[#This Row],[Unit_Price]]*(1-sales_data_1[[#This Row],[Discount]]) - sales_data_1[[#This Row],[Unit_Cost]])*sales_data_1[[#This Row],[Quantity_Sold]],2), "PASS", "CHECK")</f>
        <v>PASS</v>
      </c>
    </row>
    <row r="1702" spans="1:20" x14ac:dyDescent="0.35">
      <c r="A1702" s="7">
        <v>1701</v>
      </c>
      <c r="B1702" s="9">
        <v>1047</v>
      </c>
      <c r="C1702" s="14" t="str">
        <f>IFERROR(_xlfn.TEXTJOIN("-", TRUE, _xlfn.XLOOKUP(K1702, product_category_id_lookup!$A$2:$A$5, product_category_id_lookup!$B$2:$B$5), B1702), "Unknown Category")</f>
        <v>ctg-1047</v>
      </c>
      <c r="D1702" s="8">
        <v>45142</v>
      </c>
      <c r="E1702" s="14">
        <f t="shared" si="78"/>
        <v>2023</v>
      </c>
      <c r="F1702" s="29" t="str">
        <f t="shared" si="79"/>
        <v>Aug</v>
      </c>
      <c r="G1702" s="17" t="s">
        <v>32</v>
      </c>
      <c r="H1702" s="17" t="s">
        <v>23</v>
      </c>
      <c r="I1702" s="24">
        <v>225957.19122404358</v>
      </c>
      <c r="J1702" s="32">
        <v>47</v>
      </c>
      <c r="K1702" s="17" t="s">
        <v>26</v>
      </c>
      <c r="L1702" s="24">
        <v>4729.59</v>
      </c>
      <c r="M1702" s="24">
        <v>4976.68</v>
      </c>
      <c r="N1702" s="34">
        <f>((sales_data_1[[#This Row],[Unit_Price]]*(1-sales_data_1[[#This Row],[Discount]]))-sales_data_1[[#This Row],[Unit_Cost]])*sales_data_1[[#This Row],[Quantity_Sold]]</f>
        <v>4596.111200000003</v>
      </c>
      <c r="O1702" s="17" t="s">
        <v>17</v>
      </c>
      <c r="P1702" s="26">
        <v>0.03</v>
      </c>
      <c r="Q1702" s="17" t="s">
        <v>28</v>
      </c>
      <c r="R1702" s="17" t="s">
        <v>21</v>
      </c>
      <c r="S1702" s="50" t="str">
        <f t="shared" si="80"/>
        <v>Eve-South</v>
      </c>
      <c r="T1702" s="59" t="str">
        <f>IF(ROUND(sales_data_1[[#This Row],[Profit_Margin]],2)=ROUND((sales_data_1[[#This Row],[Unit_Price]]*(1-sales_data_1[[#This Row],[Discount]]) - sales_data_1[[#This Row],[Unit_Cost]])*sales_data_1[[#This Row],[Quantity_Sold]],2), "PASS", "CHECK")</f>
        <v>PASS</v>
      </c>
    </row>
    <row r="1703" spans="1:20" x14ac:dyDescent="0.35">
      <c r="A1703" s="7">
        <v>1702</v>
      </c>
      <c r="B1703" s="9">
        <v>1001</v>
      </c>
      <c r="C1703" s="14" t="str">
        <f>IFERROR(_xlfn.TEXTJOIN("-", TRUE, _xlfn.XLOOKUP(K1703, product_category_id_lookup!$A$2:$A$5, product_category_id_lookup!$B$2:$B$5), B1703), "Unknown Category")</f>
        <v>fd-1001</v>
      </c>
      <c r="D1703" s="8">
        <v>45142</v>
      </c>
      <c r="E1703" s="14">
        <f t="shared" si="78"/>
        <v>2023</v>
      </c>
      <c r="F1703" s="29" t="str">
        <f t="shared" si="79"/>
        <v>Aug</v>
      </c>
      <c r="G1703" s="17" t="s">
        <v>22</v>
      </c>
      <c r="H1703" s="17" t="s">
        <v>20</v>
      </c>
      <c r="I1703" s="24">
        <v>70513.812816687772</v>
      </c>
      <c r="J1703" s="32">
        <v>20</v>
      </c>
      <c r="K1703" s="17" t="s">
        <v>24</v>
      </c>
      <c r="L1703" s="24">
        <v>3279.76</v>
      </c>
      <c r="M1703" s="24">
        <v>3563.9700000000003</v>
      </c>
      <c r="N1703" s="34">
        <f>((sales_data_1[[#This Row],[Unit_Price]]*(1-sales_data_1[[#This Row],[Discount]]))-sales_data_1[[#This Row],[Unit_Cost]])*sales_data_1[[#This Row],[Quantity_Sold]]</f>
        <v>4971.4059999999972</v>
      </c>
      <c r="O1703" s="17" t="s">
        <v>17</v>
      </c>
      <c r="P1703" s="26">
        <v>0.01</v>
      </c>
      <c r="Q1703" s="17" t="s">
        <v>18</v>
      </c>
      <c r="R1703" s="17" t="s">
        <v>21</v>
      </c>
      <c r="S1703" s="50" t="str">
        <f t="shared" si="80"/>
        <v>David-West</v>
      </c>
      <c r="T1703" s="59" t="str">
        <f>IF(ROUND(sales_data_1[[#This Row],[Profit_Margin]],2)=ROUND((sales_data_1[[#This Row],[Unit_Price]]*(1-sales_data_1[[#This Row],[Discount]]) - sales_data_1[[#This Row],[Unit_Cost]])*sales_data_1[[#This Row],[Quantity_Sold]],2), "PASS", "CHECK")</f>
        <v>PASS</v>
      </c>
    </row>
    <row r="1704" spans="1:20" x14ac:dyDescent="0.35">
      <c r="A1704" s="7">
        <v>1703</v>
      </c>
      <c r="B1704" s="9">
        <v>1001</v>
      </c>
      <c r="C1704" s="14" t="str">
        <f>IFERROR(_xlfn.TEXTJOIN("-", TRUE, _xlfn.XLOOKUP(K1704, product_category_id_lookup!$A$2:$A$5, product_category_id_lookup!$B$2:$B$5), B1704), "Unknown Category")</f>
        <v>fd-1001</v>
      </c>
      <c r="D1704" s="8">
        <v>45143</v>
      </c>
      <c r="E1704" s="14">
        <f t="shared" si="78"/>
        <v>2023</v>
      </c>
      <c r="F1704" s="29" t="str">
        <f t="shared" si="79"/>
        <v>Aug</v>
      </c>
      <c r="G1704" s="17" t="s">
        <v>14</v>
      </c>
      <c r="H1704" s="17" t="s">
        <v>15</v>
      </c>
      <c r="I1704" s="24">
        <v>7452.8068507073613</v>
      </c>
      <c r="J1704" s="32">
        <v>4</v>
      </c>
      <c r="K1704" s="17" t="s">
        <v>24</v>
      </c>
      <c r="L1704" s="24">
        <v>1791.83</v>
      </c>
      <c r="M1704" s="24">
        <v>1871.22</v>
      </c>
      <c r="N1704" s="34">
        <f>((sales_data_1[[#This Row],[Unit_Price]]*(1-sales_data_1[[#This Row],[Discount]]))-sales_data_1[[#This Row],[Unit_Cost]])*sales_data_1[[#This Row],[Quantity_Sold]]</f>
        <v>317.5600000000004</v>
      </c>
      <c r="O1704" s="17" t="s">
        <v>17</v>
      </c>
      <c r="P1704" s="26">
        <v>0</v>
      </c>
      <c r="Q1704" s="17" t="s">
        <v>25</v>
      </c>
      <c r="R1704" s="17" t="s">
        <v>19</v>
      </c>
      <c r="S1704" s="50" t="str">
        <f t="shared" si="80"/>
        <v>Bob-North</v>
      </c>
      <c r="T1704" s="59" t="str">
        <f>IF(ROUND(sales_data_1[[#This Row],[Profit_Margin]],2)=ROUND((sales_data_1[[#This Row],[Unit_Price]]*(1-sales_data_1[[#This Row],[Discount]]) - sales_data_1[[#This Row],[Unit_Cost]])*sales_data_1[[#This Row],[Quantity_Sold]],2), "PASS", "CHECK")</f>
        <v>PASS</v>
      </c>
    </row>
    <row r="1705" spans="1:20" x14ac:dyDescent="0.35">
      <c r="A1705" s="7">
        <v>1704</v>
      </c>
      <c r="B1705" s="9">
        <v>1030</v>
      </c>
      <c r="C1705" s="14" t="str">
        <f>IFERROR(_xlfn.TEXTJOIN("-", TRUE, _xlfn.XLOOKUP(K1705, product_category_id_lookup!$A$2:$A$5, product_category_id_lookup!$B$2:$B$5), B1705), "Unknown Category")</f>
        <v>etc-1030</v>
      </c>
      <c r="D1705" s="8">
        <v>45143</v>
      </c>
      <c r="E1705" s="14">
        <f t="shared" si="78"/>
        <v>2023</v>
      </c>
      <c r="F1705" s="29" t="str">
        <f t="shared" si="79"/>
        <v>Aug</v>
      </c>
      <c r="G1705" s="17" t="s">
        <v>14</v>
      </c>
      <c r="H1705" s="17" t="s">
        <v>20</v>
      </c>
      <c r="I1705" s="24">
        <v>110276.03860000001</v>
      </c>
      <c r="J1705" s="32">
        <v>34</v>
      </c>
      <c r="K1705" s="17" t="s">
        <v>31</v>
      </c>
      <c r="L1705" s="24">
        <v>3125.07</v>
      </c>
      <c r="M1705" s="24">
        <v>3564.19</v>
      </c>
      <c r="N1705" s="34">
        <f>((sales_data_1[[#This Row],[Unit_Price]]*(1-sales_data_1[[#This Row],[Discount]]))-sales_data_1[[#This Row],[Unit_Cost]])*sales_data_1[[#This Row],[Quantity_Sold]]</f>
        <v>4023.6586000000034</v>
      </c>
      <c r="O1705" s="17" t="s">
        <v>17</v>
      </c>
      <c r="P1705" s="26">
        <v>0.09</v>
      </c>
      <c r="Q1705" s="17" t="s">
        <v>18</v>
      </c>
      <c r="R1705" s="17" t="s">
        <v>19</v>
      </c>
      <c r="S1705" s="50" t="str">
        <f t="shared" si="80"/>
        <v>Bob-West</v>
      </c>
      <c r="T1705" s="59" t="str">
        <f>IF(ROUND(sales_data_1[[#This Row],[Profit_Margin]],2)=ROUND((sales_data_1[[#This Row],[Unit_Price]]*(1-sales_data_1[[#This Row],[Discount]]) - sales_data_1[[#This Row],[Unit_Cost]])*sales_data_1[[#This Row],[Quantity_Sold]],2), "PASS", "CHECK")</f>
        <v>PASS</v>
      </c>
    </row>
    <row r="1706" spans="1:20" x14ac:dyDescent="0.35">
      <c r="A1706" s="7">
        <v>1705</v>
      </c>
      <c r="B1706" s="9">
        <v>1069</v>
      </c>
      <c r="C1706" s="14" t="str">
        <f>IFERROR(_xlfn.TEXTJOIN("-", TRUE, _xlfn.XLOOKUP(K1706, product_category_id_lookup!$A$2:$A$5, product_category_id_lookup!$B$2:$B$5), B1706), "Unknown Category")</f>
        <v>etc-1069</v>
      </c>
      <c r="D1706" s="8">
        <v>45144</v>
      </c>
      <c r="E1706" s="14">
        <f t="shared" si="78"/>
        <v>2023</v>
      </c>
      <c r="F1706" s="29" t="str">
        <f t="shared" si="79"/>
        <v>Aug</v>
      </c>
      <c r="G1706" s="17" t="s">
        <v>14</v>
      </c>
      <c r="H1706" s="17" t="s">
        <v>15</v>
      </c>
      <c r="I1706" s="24">
        <v>10030.165200000001</v>
      </c>
      <c r="J1706" s="32">
        <v>4</v>
      </c>
      <c r="K1706" s="17" t="s">
        <v>31</v>
      </c>
      <c r="L1706" s="24">
        <v>2485.86</v>
      </c>
      <c r="M1706" s="24">
        <v>2532.8700000000003</v>
      </c>
      <c r="N1706" s="34">
        <f>((sales_data_1[[#This Row],[Unit_Price]]*(1-sales_data_1[[#This Row],[Discount]]))-sales_data_1[[#This Row],[Unit_Cost]])*sales_data_1[[#This Row],[Quantity_Sold]]</f>
        <v>86.725200000000768</v>
      </c>
      <c r="O1706" s="17" t="s">
        <v>27</v>
      </c>
      <c r="P1706" s="26">
        <v>0.01</v>
      </c>
      <c r="Q1706" s="17" t="s">
        <v>28</v>
      </c>
      <c r="R1706" s="17" t="s">
        <v>19</v>
      </c>
      <c r="S1706" s="50" t="str">
        <f t="shared" si="80"/>
        <v>Bob-North</v>
      </c>
      <c r="T1706" s="59" t="str">
        <f>IF(ROUND(sales_data_1[[#This Row],[Profit_Margin]],2)=ROUND((sales_data_1[[#This Row],[Unit_Price]]*(1-sales_data_1[[#This Row],[Discount]]) - sales_data_1[[#This Row],[Unit_Cost]])*sales_data_1[[#This Row],[Quantity_Sold]],2), "PASS", "CHECK")</f>
        <v>PASS</v>
      </c>
    </row>
    <row r="1707" spans="1:20" x14ac:dyDescent="0.35">
      <c r="A1707" s="7">
        <v>1706</v>
      </c>
      <c r="B1707" s="9">
        <v>1079</v>
      </c>
      <c r="C1707" s="14" t="str">
        <f>IFERROR(_xlfn.TEXTJOIN("-", TRUE, _xlfn.XLOOKUP(K1707, product_category_id_lookup!$A$2:$A$5, product_category_id_lookup!$B$2:$B$5), B1707), "Unknown Category")</f>
        <v>ctg-1079</v>
      </c>
      <c r="D1707" s="8">
        <v>45144</v>
      </c>
      <c r="E1707" s="14">
        <f t="shared" si="78"/>
        <v>2023</v>
      </c>
      <c r="F1707" s="29" t="str">
        <f t="shared" si="79"/>
        <v>Aug</v>
      </c>
      <c r="G1707" s="17" t="s">
        <v>22</v>
      </c>
      <c r="H1707" s="17" t="s">
        <v>15</v>
      </c>
      <c r="I1707" s="24">
        <v>66979.407507799086</v>
      </c>
      <c r="J1707" s="32">
        <v>45</v>
      </c>
      <c r="K1707" s="17" t="s">
        <v>26</v>
      </c>
      <c r="L1707" s="24">
        <v>1406.9</v>
      </c>
      <c r="M1707" s="24">
        <v>1547.3500000000001</v>
      </c>
      <c r="N1707" s="34">
        <f>((sales_data_1[[#This Row],[Unit_Price]]*(1-sales_data_1[[#This Row],[Discount]]))-sales_data_1[[#This Row],[Unit_Cost]])*sales_data_1[[#This Row],[Quantity_Sold]]</f>
        <v>3535.0200000000018</v>
      </c>
      <c r="O1707" s="17" t="s">
        <v>27</v>
      </c>
      <c r="P1707" s="26">
        <v>0.04</v>
      </c>
      <c r="Q1707" s="17" t="s">
        <v>18</v>
      </c>
      <c r="R1707" s="17" t="s">
        <v>21</v>
      </c>
      <c r="S1707" s="50" t="str">
        <f t="shared" si="80"/>
        <v>David-North</v>
      </c>
      <c r="T1707" s="59" t="str">
        <f>IF(ROUND(sales_data_1[[#This Row],[Profit_Margin]],2)=ROUND((sales_data_1[[#This Row],[Unit_Price]]*(1-sales_data_1[[#This Row],[Discount]]) - sales_data_1[[#This Row],[Unit_Cost]])*sales_data_1[[#This Row],[Quantity_Sold]],2), "PASS", "CHECK")</f>
        <v>PASS</v>
      </c>
    </row>
    <row r="1708" spans="1:20" x14ac:dyDescent="0.35">
      <c r="A1708" s="7">
        <v>1707</v>
      </c>
      <c r="B1708" s="9">
        <v>1015</v>
      </c>
      <c r="C1708" s="14" t="str">
        <f>IFERROR(_xlfn.TEXTJOIN("-", TRUE, _xlfn.XLOOKUP(K1708, product_category_id_lookup!$A$2:$A$5, product_category_id_lookup!$B$2:$B$5), B1708), "Unknown Category")</f>
        <v>ctg-1015</v>
      </c>
      <c r="D1708" s="8">
        <v>45145</v>
      </c>
      <c r="E1708" s="14">
        <f t="shared" si="78"/>
        <v>2023</v>
      </c>
      <c r="F1708" s="29" t="str">
        <f t="shared" si="79"/>
        <v>Aug</v>
      </c>
      <c r="G1708" s="17" t="s">
        <v>33</v>
      </c>
      <c r="H1708" s="17" t="s">
        <v>30</v>
      </c>
      <c r="I1708" s="24">
        <v>8446.1528721664417</v>
      </c>
      <c r="J1708" s="32">
        <v>19</v>
      </c>
      <c r="K1708" s="17" t="s">
        <v>26</v>
      </c>
      <c r="L1708" s="24">
        <v>433.54</v>
      </c>
      <c r="M1708" s="24">
        <v>445.48</v>
      </c>
      <c r="N1708" s="34">
        <f>((sales_data_1[[#This Row],[Unit_Price]]*(1-sales_data_1[[#This Row],[Discount]]))-sales_data_1[[#This Row],[Unit_Cost]])*sales_data_1[[#This Row],[Quantity_Sold]]</f>
        <v>226.85999999999996</v>
      </c>
      <c r="O1708" s="17" t="s">
        <v>27</v>
      </c>
      <c r="P1708" s="26">
        <v>0</v>
      </c>
      <c r="Q1708" s="17" t="s">
        <v>25</v>
      </c>
      <c r="R1708" s="17" t="s">
        <v>21</v>
      </c>
      <c r="S1708" s="50" t="str">
        <f t="shared" si="80"/>
        <v>Alice-East</v>
      </c>
      <c r="T1708" s="59" t="str">
        <f>IF(ROUND(sales_data_1[[#This Row],[Profit_Margin]],2)=ROUND((sales_data_1[[#This Row],[Unit_Price]]*(1-sales_data_1[[#This Row],[Discount]]) - sales_data_1[[#This Row],[Unit_Cost]])*sales_data_1[[#This Row],[Quantity_Sold]],2), "PASS", "CHECK")</f>
        <v>PASS</v>
      </c>
    </row>
    <row r="1709" spans="1:20" x14ac:dyDescent="0.35">
      <c r="A1709" s="7">
        <v>1708</v>
      </c>
      <c r="B1709" s="9">
        <v>1077</v>
      </c>
      <c r="C1709" s="14" t="str">
        <f>IFERROR(_xlfn.TEXTJOIN("-", TRUE, _xlfn.XLOOKUP(K1709, product_category_id_lookup!$A$2:$A$5, product_category_id_lookup!$B$2:$B$5), B1709), "Unknown Category")</f>
        <v>fd-1077</v>
      </c>
      <c r="D1709" s="8">
        <v>45145</v>
      </c>
      <c r="E1709" s="14">
        <f t="shared" si="78"/>
        <v>2023</v>
      </c>
      <c r="F1709" s="29" t="str">
        <f t="shared" si="79"/>
        <v>Aug</v>
      </c>
      <c r="G1709" s="17" t="s">
        <v>29</v>
      </c>
      <c r="H1709" s="17" t="s">
        <v>30</v>
      </c>
      <c r="I1709" s="24">
        <v>195974.87904059197</v>
      </c>
      <c r="J1709" s="32">
        <v>43</v>
      </c>
      <c r="K1709" s="17" t="s">
        <v>24</v>
      </c>
      <c r="L1709" s="24">
        <v>4402.66</v>
      </c>
      <c r="M1709" s="24">
        <v>4724.7</v>
      </c>
      <c r="N1709" s="34">
        <f>((sales_data_1[[#This Row],[Unit_Price]]*(1-sales_data_1[[#This Row],[Discount]]))-sales_data_1[[#This Row],[Unit_Cost]])*sales_data_1[[#This Row],[Quantity_Sold]]</f>
        <v>5721.2359999999862</v>
      </c>
      <c r="O1709" s="17" t="s">
        <v>27</v>
      </c>
      <c r="P1709" s="26">
        <v>0.04</v>
      </c>
      <c r="Q1709" s="17" t="s">
        <v>25</v>
      </c>
      <c r="R1709" s="17" t="s">
        <v>21</v>
      </c>
      <c r="S1709" s="50" t="str">
        <f t="shared" si="80"/>
        <v>Charlie-East</v>
      </c>
      <c r="T1709" s="59" t="str">
        <f>IF(ROUND(sales_data_1[[#This Row],[Profit_Margin]],2)=ROUND((sales_data_1[[#This Row],[Unit_Price]]*(1-sales_data_1[[#This Row],[Discount]]) - sales_data_1[[#This Row],[Unit_Cost]])*sales_data_1[[#This Row],[Quantity_Sold]],2), "PASS", "CHECK")</f>
        <v>PASS</v>
      </c>
    </row>
    <row r="1710" spans="1:20" x14ac:dyDescent="0.35">
      <c r="A1710" s="7">
        <v>1709</v>
      </c>
      <c r="B1710" s="9">
        <v>1044</v>
      </c>
      <c r="C1710" s="14" t="str">
        <f>IFERROR(_xlfn.TEXTJOIN("-", TRUE, _xlfn.XLOOKUP(K1710, product_category_id_lookup!$A$2:$A$5, product_category_id_lookup!$B$2:$B$5), B1710), "Unknown Category")</f>
        <v>ctg-1044</v>
      </c>
      <c r="D1710" s="8">
        <v>45146</v>
      </c>
      <c r="E1710" s="14">
        <f t="shared" si="78"/>
        <v>2023</v>
      </c>
      <c r="F1710" s="29" t="str">
        <f t="shared" si="79"/>
        <v>Aug</v>
      </c>
      <c r="G1710" s="17" t="s">
        <v>33</v>
      </c>
      <c r="H1710" s="17" t="s">
        <v>15</v>
      </c>
      <c r="I1710" s="24">
        <v>10040.8788</v>
      </c>
      <c r="J1710" s="32">
        <v>18</v>
      </c>
      <c r="K1710" s="17" t="s">
        <v>26</v>
      </c>
      <c r="L1710" s="24">
        <v>430.14</v>
      </c>
      <c r="M1710" s="24">
        <v>641.17999999999995</v>
      </c>
      <c r="N1710" s="34">
        <f>((sales_data_1[[#This Row],[Unit_Price]]*(1-sales_data_1[[#This Row],[Discount]]))-sales_data_1[[#This Row],[Unit_Cost]])*sales_data_1[[#This Row],[Quantity_Sold]]</f>
        <v>2298.3588</v>
      </c>
      <c r="O1710" s="17" t="s">
        <v>27</v>
      </c>
      <c r="P1710" s="26">
        <v>0.13</v>
      </c>
      <c r="Q1710" s="17" t="s">
        <v>18</v>
      </c>
      <c r="R1710" s="17" t="s">
        <v>19</v>
      </c>
      <c r="S1710" s="50" t="str">
        <f t="shared" si="80"/>
        <v>Alice-North</v>
      </c>
      <c r="T1710" s="59" t="str">
        <f>IF(ROUND(sales_data_1[[#This Row],[Profit_Margin]],2)=ROUND((sales_data_1[[#This Row],[Unit_Price]]*(1-sales_data_1[[#This Row],[Discount]]) - sales_data_1[[#This Row],[Unit_Cost]])*sales_data_1[[#This Row],[Quantity_Sold]],2), "PASS", "CHECK")</f>
        <v>PASS</v>
      </c>
    </row>
    <row r="1711" spans="1:20" x14ac:dyDescent="0.35">
      <c r="A1711" s="7">
        <v>1710</v>
      </c>
      <c r="B1711" s="9">
        <v>1047</v>
      </c>
      <c r="C1711" s="14" t="str">
        <f>IFERROR(_xlfn.TEXTJOIN("-", TRUE, _xlfn.XLOOKUP(K1711, product_category_id_lookup!$A$2:$A$5, product_category_id_lookup!$B$2:$B$5), B1711), "Unknown Category")</f>
        <v>etc-1047</v>
      </c>
      <c r="D1711" s="8">
        <v>45146</v>
      </c>
      <c r="E1711" s="14">
        <f t="shared" si="78"/>
        <v>2023</v>
      </c>
      <c r="F1711" s="29" t="str">
        <f t="shared" si="79"/>
        <v>Aug</v>
      </c>
      <c r="G1711" s="17" t="s">
        <v>22</v>
      </c>
      <c r="H1711" s="17" t="s">
        <v>15</v>
      </c>
      <c r="I1711" s="24">
        <v>47040.83772512131</v>
      </c>
      <c r="J1711" s="32">
        <v>33</v>
      </c>
      <c r="K1711" s="17" t="s">
        <v>31</v>
      </c>
      <c r="L1711" s="24">
        <v>1341.55</v>
      </c>
      <c r="M1711" s="24">
        <v>1427.21</v>
      </c>
      <c r="N1711" s="34">
        <f>((sales_data_1[[#This Row],[Unit_Price]]*(1-sales_data_1[[#This Row],[Discount]]))-sales_data_1[[#This Row],[Unit_Cost]])*sales_data_1[[#This Row],[Quantity_Sold]]</f>
        <v>2826.7800000000025</v>
      </c>
      <c r="O1711" s="17" t="s">
        <v>17</v>
      </c>
      <c r="P1711" s="26">
        <v>0</v>
      </c>
      <c r="Q1711" s="17" t="s">
        <v>28</v>
      </c>
      <c r="R1711" s="17" t="s">
        <v>19</v>
      </c>
      <c r="S1711" s="50" t="str">
        <f t="shared" si="80"/>
        <v>David-North</v>
      </c>
      <c r="T1711" s="59" t="str">
        <f>IF(ROUND(sales_data_1[[#This Row],[Profit_Margin]],2)=ROUND((sales_data_1[[#This Row],[Unit_Price]]*(1-sales_data_1[[#This Row],[Discount]]) - sales_data_1[[#This Row],[Unit_Cost]])*sales_data_1[[#This Row],[Quantity_Sold]],2), "PASS", "CHECK")</f>
        <v>PASS</v>
      </c>
    </row>
    <row r="1712" spans="1:20" x14ac:dyDescent="0.35">
      <c r="A1712" s="7">
        <v>1711</v>
      </c>
      <c r="B1712" s="9">
        <v>1047</v>
      </c>
      <c r="C1712" s="14" t="str">
        <f>IFERROR(_xlfn.TEXTJOIN("-", TRUE, _xlfn.XLOOKUP(K1712, product_category_id_lookup!$A$2:$A$5, product_category_id_lookup!$B$2:$B$5), B1712), "Unknown Category")</f>
        <v>ctg-1047</v>
      </c>
      <c r="D1712" s="8">
        <v>45147</v>
      </c>
      <c r="E1712" s="14">
        <f t="shared" si="78"/>
        <v>2023</v>
      </c>
      <c r="F1712" s="29" t="str">
        <f t="shared" si="79"/>
        <v>Aug</v>
      </c>
      <c r="G1712" s="17" t="s">
        <v>22</v>
      </c>
      <c r="H1712" s="17" t="s">
        <v>15</v>
      </c>
      <c r="I1712" s="24">
        <v>119532.1355163906</v>
      </c>
      <c r="J1712" s="32">
        <v>41</v>
      </c>
      <c r="K1712" s="17" t="s">
        <v>26</v>
      </c>
      <c r="L1712" s="24">
        <v>2888.49</v>
      </c>
      <c r="M1712" s="24">
        <v>2929.45</v>
      </c>
      <c r="N1712" s="34">
        <f>((sales_data_1[[#This Row],[Unit_Price]]*(1-sales_data_1[[#This Row],[Discount]]))-sales_data_1[[#This Row],[Unit_Cost]])*sales_data_1[[#This Row],[Quantity_Sold]]</f>
        <v>1679.3600000000015</v>
      </c>
      <c r="O1712" s="17" t="s">
        <v>27</v>
      </c>
      <c r="P1712" s="26">
        <v>0</v>
      </c>
      <c r="Q1712" s="17" t="s">
        <v>18</v>
      </c>
      <c r="R1712" s="17" t="s">
        <v>21</v>
      </c>
      <c r="S1712" s="50" t="str">
        <f t="shared" si="80"/>
        <v>David-North</v>
      </c>
      <c r="T1712" s="59" t="str">
        <f>IF(ROUND(sales_data_1[[#This Row],[Profit_Margin]],2)=ROUND((sales_data_1[[#This Row],[Unit_Price]]*(1-sales_data_1[[#This Row],[Discount]]) - sales_data_1[[#This Row],[Unit_Cost]])*sales_data_1[[#This Row],[Quantity_Sold]],2), "PASS", "CHECK")</f>
        <v>PASS</v>
      </c>
    </row>
    <row r="1713" spans="1:20" x14ac:dyDescent="0.35">
      <c r="A1713" s="7">
        <v>1712</v>
      </c>
      <c r="B1713" s="9">
        <v>1064</v>
      </c>
      <c r="C1713" s="14" t="str">
        <f>IFERROR(_xlfn.TEXTJOIN("-", TRUE, _xlfn.XLOOKUP(K1713, product_category_id_lookup!$A$2:$A$5, product_category_id_lookup!$B$2:$B$5), B1713), "Unknown Category")</f>
        <v>fd-1064</v>
      </c>
      <c r="D1713" s="8">
        <v>45148</v>
      </c>
      <c r="E1713" s="14">
        <f t="shared" si="78"/>
        <v>2023</v>
      </c>
      <c r="F1713" s="29" t="str">
        <f t="shared" si="79"/>
        <v>Aug</v>
      </c>
      <c r="G1713" s="17" t="s">
        <v>14</v>
      </c>
      <c r="H1713" s="17" t="s">
        <v>23</v>
      </c>
      <c r="I1713" s="24">
        <v>2270.2694999999999</v>
      </c>
      <c r="J1713" s="32">
        <v>5</v>
      </c>
      <c r="K1713" s="17" t="s">
        <v>24</v>
      </c>
      <c r="L1713" s="24">
        <v>421.05</v>
      </c>
      <c r="M1713" s="24">
        <v>488.23</v>
      </c>
      <c r="N1713" s="34">
        <f>((sales_data_1[[#This Row],[Unit_Price]]*(1-sales_data_1[[#This Row],[Discount]]))-sales_data_1[[#This Row],[Unit_Cost]])*sales_data_1[[#This Row],[Quantity_Sold]]</f>
        <v>165.01949999999994</v>
      </c>
      <c r="O1713" s="17" t="s">
        <v>17</v>
      </c>
      <c r="P1713" s="26">
        <v>7.0000000000000007E-2</v>
      </c>
      <c r="Q1713" s="17" t="s">
        <v>28</v>
      </c>
      <c r="R1713" s="17" t="s">
        <v>21</v>
      </c>
      <c r="S1713" s="50" t="str">
        <f t="shared" si="80"/>
        <v>Bob-South</v>
      </c>
      <c r="T1713" s="59" t="str">
        <f>IF(ROUND(sales_data_1[[#This Row],[Profit_Margin]],2)=ROUND((sales_data_1[[#This Row],[Unit_Price]]*(1-sales_data_1[[#This Row],[Discount]]) - sales_data_1[[#This Row],[Unit_Cost]])*sales_data_1[[#This Row],[Quantity_Sold]],2), "PASS", "CHECK")</f>
        <v>PASS</v>
      </c>
    </row>
    <row r="1714" spans="1:20" x14ac:dyDescent="0.35">
      <c r="A1714" s="7">
        <v>1713</v>
      </c>
      <c r="B1714" s="9">
        <v>1024</v>
      </c>
      <c r="C1714" s="14" t="str">
        <f>IFERROR(_xlfn.TEXTJOIN("-", TRUE, _xlfn.XLOOKUP(K1714, product_category_id_lookup!$A$2:$A$5, product_category_id_lookup!$B$2:$B$5), B1714), "Unknown Category")</f>
        <v>fd-1024</v>
      </c>
      <c r="D1714" s="8">
        <v>45148</v>
      </c>
      <c r="E1714" s="14">
        <f t="shared" si="78"/>
        <v>2023</v>
      </c>
      <c r="F1714" s="29" t="str">
        <f t="shared" si="79"/>
        <v>Aug</v>
      </c>
      <c r="G1714" s="17" t="s">
        <v>32</v>
      </c>
      <c r="H1714" s="17" t="s">
        <v>23</v>
      </c>
      <c r="I1714" s="24">
        <v>46535.222669400042</v>
      </c>
      <c r="J1714" s="32">
        <v>30</v>
      </c>
      <c r="K1714" s="17" t="s">
        <v>24</v>
      </c>
      <c r="L1714" s="24">
        <v>1543.96</v>
      </c>
      <c r="M1714" s="24">
        <v>1558.8700000000001</v>
      </c>
      <c r="N1714" s="34">
        <f>((sales_data_1[[#This Row],[Unit_Price]]*(1-sales_data_1[[#This Row],[Discount]]))-sales_data_1[[#This Row],[Unit_Cost]])*sales_data_1[[#This Row],[Quantity_Sold]]</f>
        <v>447.30000000000246</v>
      </c>
      <c r="O1714" s="17" t="s">
        <v>17</v>
      </c>
      <c r="P1714" s="26">
        <v>0</v>
      </c>
      <c r="Q1714" s="17" t="s">
        <v>28</v>
      </c>
      <c r="R1714" s="17" t="s">
        <v>19</v>
      </c>
      <c r="S1714" s="50" t="str">
        <f t="shared" si="80"/>
        <v>Eve-South</v>
      </c>
      <c r="T1714" s="59" t="str">
        <f>IF(ROUND(sales_data_1[[#This Row],[Profit_Margin]],2)=ROUND((sales_data_1[[#This Row],[Unit_Price]]*(1-sales_data_1[[#This Row],[Discount]]) - sales_data_1[[#This Row],[Unit_Cost]])*sales_data_1[[#This Row],[Quantity_Sold]],2), "PASS", "CHECK")</f>
        <v>PASS</v>
      </c>
    </row>
    <row r="1715" spans="1:20" x14ac:dyDescent="0.35">
      <c r="A1715" s="7">
        <v>1714</v>
      </c>
      <c r="B1715" s="9">
        <v>1075</v>
      </c>
      <c r="C1715" s="14" t="str">
        <f>IFERROR(_xlfn.TEXTJOIN("-", TRUE, _xlfn.XLOOKUP(K1715, product_category_id_lookup!$A$2:$A$5, product_category_id_lookup!$B$2:$B$5), B1715), "Unknown Category")</f>
        <v>etc-1075</v>
      </c>
      <c r="D1715" s="8">
        <v>45148</v>
      </c>
      <c r="E1715" s="14">
        <f t="shared" si="78"/>
        <v>2023</v>
      </c>
      <c r="F1715" s="29" t="str">
        <f t="shared" si="79"/>
        <v>Aug</v>
      </c>
      <c r="G1715" s="17" t="s">
        <v>29</v>
      </c>
      <c r="H1715" s="17" t="s">
        <v>15</v>
      </c>
      <c r="I1715" s="24">
        <v>84790.826830278602</v>
      </c>
      <c r="J1715" s="32">
        <v>17</v>
      </c>
      <c r="K1715" s="17" t="s">
        <v>31</v>
      </c>
      <c r="L1715" s="24">
        <v>4966.66</v>
      </c>
      <c r="M1715" s="24">
        <v>5037.2699999999995</v>
      </c>
      <c r="N1715" s="34">
        <f>((sales_data_1[[#This Row],[Unit_Price]]*(1-sales_data_1[[#This Row],[Discount]]))-sales_data_1[[#This Row],[Unit_Cost]])*sales_data_1[[#This Row],[Quantity_Sold]]</f>
        <v>344.03409999999622</v>
      </c>
      <c r="O1715" s="17" t="s">
        <v>17</v>
      </c>
      <c r="P1715" s="26">
        <v>0.01</v>
      </c>
      <c r="Q1715" s="17" t="s">
        <v>25</v>
      </c>
      <c r="R1715" s="17" t="s">
        <v>21</v>
      </c>
      <c r="S1715" s="50" t="str">
        <f t="shared" si="80"/>
        <v>Charlie-North</v>
      </c>
      <c r="T1715" s="59" t="str">
        <f>IF(ROUND(sales_data_1[[#This Row],[Profit_Margin]],2)=ROUND((sales_data_1[[#This Row],[Unit_Price]]*(1-sales_data_1[[#This Row],[Discount]]) - sales_data_1[[#This Row],[Unit_Cost]])*sales_data_1[[#This Row],[Quantity_Sold]],2), "PASS", "CHECK")</f>
        <v>PASS</v>
      </c>
    </row>
    <row r="1716" spans="1:20" x14ac:dyDescent="0.35">
      <c r="A1716" s="7">
        <v>1715</v>
      </c>
      <c r="B1716" s="9">
        <v>1017</v>
      </c>
      <c r="C1716" s="14" t="str">
        <f>IFERROR(_xlfn.TEXTJOIN("-", TRUE, _xlfn.XLOOKUP(K1716, product_category_id_lookup!$A$2:$A$5, product_category_id_lookup!$B$2:$B$5), B1716), "Unknown Category")</f>
        <v>fnt-1017</v>
      </c>
      <c r="D1716" s="8">
        <v>45148</v>
      </c>
      <c r="E1716" s="14">
        <f t="shared" si="78"/>
        <v>2023</v>
      </c>
      <c r="F1716" s="29" t="str">
        <f t="shared" si="79"/>
        <v>Aug</v>
      </c>
      <c r="G1716" s="17" t="s">
        <v>33</v>
      </c>
      <c r="H1716" s="17" t="s">
        <v>15</v>
      </c>
      <c r="I1716" s="24">
        <v>69862.998699999996</v>
      </c>
      <c r="J1716" s="32">
        <v>43</v>
      </c>
      <c r="K1716" s="17" t="s">
        <v>16</v>
      </c>
      <c r="L1716" s="24">
        <v>1454.8</v>
      </c>
      <c r="M1716" s="24">
        <v>1674.97</v>
      </c>
      <c r="N1716" s="34">
        <f>((sales_data_1[[#This Row],[Unit_Price]]*(1-sales_data_1[[#This Row],[Discount]]))-sales_data_1[[#This Row],[Unit_Cost]])*sales_data_1[[#This Row],[Quantity_Sold]]</f>
        <v>7306.5987000000032</v>
      </c>
      <c r="O1716" s="17" t="s">
        <v>27</v>
      </c>
      <c r="P1716" s="26">
        <v>0.03</v>
      </c>
      <c r="Q1716" s="17" t="s">
        <v>28</v>
      </c>
      <c r="R1716" s="17" t="s">
        <v>19</v>
      </c>
      <c r="S1716" s="50" t="str">
        <f t="shared" si="80"/>
        <v>Alice-North</v>
      </c>
      <c r="T1716" s="59" t="str">
        <f>IF(ROUND(sales_data_1[[#This Row],[Profit_Margin]],2)=ROUND((sales_data_1[[#This Row],[Unit_Price]]*(1-sales_data_1[[#This Row],[Discount]]) - sales_data_1[[#This Row],[Unit_Cost]])*sales_data_1[[#This Row],[Quantity_Sold]],2), "PASS", "CHECK")</f>
        <v>PASS</v>
      </c>
    </row>
    <row r="1717" spans="1:20" x14ac:dyDescent="0.35">
      <c r="A1717" s="7">
        <v>1716</v>
      </c>
      <c r="B1717" s="9">
        <v>1032</v>
      </c>
      <c r="C1717" s="14" t="str">
        <f>IFERROR(_xlfn.TEXTJOIN("-", TRUE, _xlfn.XLOOKUP(K1717, product_category_id_lookup!$A$2:$A$5, product_category_id_lookup!$B$2:$B$5), B1717), "Unknown Category")</f>
        <v>fd-1032</v>
      </c>
      <c r="D1717" s="8">
        <v>45149</v>
      </c>
      <c r="E1717" s="14">
        <f t="shared" si="78"/>
        <v>2023</v>
      </c>
      <c r="F1717" s="29" t="str">
        <f t="shared" si="79"/>
        <v>Aug</v>
      </c>
      <c r="G1717" s="17" t="s">
        <v>22</v>
      </c>
      <c r="H1717" s="17" t="s">
        <v>30</v>
      </c>
      <c r="I1717" s="24">
        <v>24912.144931063318</v>
      </c>
      <c r="J1717" s="32">
        <v>5</v>
      </c>
      <c r="K1717" s="17" t="s">
        <v>24</v>
      </c>
      <c r="L1717" s="24">
        <v>4714.74</v>
      </c>
      <c r="M1717" s="24">
        <v>5129.1099999999997</v>
      </c>
      <c r="N1717" s="34">
        <f>((sales_data_1[[#This Row],[Unit_Price]]*(1-sales_data_1[[#This Row],[Discount]]))-sales_data_1[[#This Row],[Unit_Cost]])*sales_data_1[[#This Row],[Quantity_Sold]]</f>
        <v>1302.4834999999985</v>
      </c>
      <c r="O1717" s="17" t="s">
        <v>27</v>
      </c>
      <c r="P1717" s="26">
        <v>0.03</v>
      </c>
      <c r="Q1717" s="17" t="s">
        <v>25</v>
      </c>
      <c r="R1717" s="17" t="s">
        <v>19</v>
      </c>
      <c r="S1717" s="50" t="str">
        <f t="shared" si="80"/>
        <v>David-East</v>
      </c>
      <c r="T1717" s="59" t="str">
        <f>IF(ROUND(sales_data_1[[#This Row],[Profit_Margin]],2)=ROUND((sales_data_1[[#This Row],[Unit_Price]]*(1-sales_data_1[[#This Row],[Discount]]) - sales_data_1[[#This Row],[Unit_Cost]])*sales_data_1[[#This Row],[Quantity_Sold]],2), "PASS", "CHECK")</f>
        <v>PASS</v>
      </c>
    </row>
    <row r="1718" spans="1:20" x14ac:dyDescent="0.35">
      <c r="A1718" s="7">
        <v>1717</v>
      </c>
      <c r="B1718" s="9">
        <v>1028</v>
      </c>
      <c r="C1718" s="14" t="str">
        <f>IFERROR(_xlfn.TEXTJOIN("-", TRUE, _xlfn.XLOOKUP(K1718, product_category_id_lookup!$A$2:$A$5, product_category_id_lookup!$B$2:$B$5), B1718), "Unknown Category")</f>
        <v>ctg-1028</v>
      </c>
      <c r="D1718" s="8">
        <v>45149</v>
      </c>
      <c r="E1718" s="14">
        <f t="shared" si="78"/>
        <v>2023</v>
      </c>
      <c r="F1718" s="29" t="str">
        <f t="shared" si="79"/>
        <v>Aug</v>
      </c>
      <c r="G1718" s="17" t="s">
        <v>29</v>
      </c>
      <c r="H1718" s="17" t="s">
        <v>20</v>
      </c>
      <c r="I1718" s="24">
        <v>220216.00941914317</v>
      </c>
      <c r="J1718" s="32">
        <v>45</v>
      </c>
      <c r="K1718" s="17" t="s">
        <v>26</v>
      </c>
      <c r="L1718" s="24">
        <v>4848.9799999999996</v>
      </c>
      <c r="M1718" s="24">
        <v>4985.75</v>
      </c>
      <c r="N1718" s="34">
        <f>((sales_data_1[[#This Row],[Unit_Price]]*(1-sales_data_1[[#This Row],[Discount]]))-sales_data_1[[#This Row],[Unit_Cost]])*sales_data_1[[#This Row],[Quantity_Sold]]</f>
        <v>1667.4750000000131</v>
      </c>
      <c r="O1718" s="17" t="s">
        <v>17</v>
      </c>
      <c r="P1718" s="26">
        <v>0.02</v>
      </c>
      <c r="Q1718" s="17" t="s">
        <v>25</v>
      </c>
      <c r="R1718" s="17" t="s">
        <v>19</v>
      </c>
      <c r="S1718" s="50" t="str">
        <f t="shared" si="80"/>
        <v>Charlie-West</v>
      </c>
      <c r="T1718" s="59" t="str">
        <f>IF(ROUND(sales_data_1[[#This Row],[Profit_Margin]],2)=ROUND((sales_data_1[[#This Row],[Unit_Price]]*(1-sales_data_1[[#This Row],[Discount]]) - sales_data_1[[#This Row],[Unit_Cost]])*sales_data_1[[#This Row],[Quantity_Sold]],2), "PASS", "CHECK")</f>
        <v>PASS</v>
      </c>
    </row>
    <row r="1719" spans="1:20" x14ac:dyDescent="0.35">
      <c r="A1719" s="7">
        <v>1718</v>
      </c>
      <c r="B1719" s="9">
        <v>1082</v>
      </c>
      <c r="C1719" s="14" t="str">
        <f>IFERROR(_xlfn.TEXTJOIN("-", TRUE, _xlfn.XLOOKUP(K1719, product_category_id_lookup!$A$2:$A$5, product_category_id_lookup!$B$2:$B$5), B1719), "Unknown Category")</f>
        <v>fnt-1082</v>
      </c>
      <c r="D1719" s="8">
        <v>45149</v>
      </c>
      <c r="E1719" s="14">
        <f t="shared" si="78"/>
        <v>2023</v>
      </c>
      <c r="F1719" s="29" t="str">
        <f t="shared" si="79"/>
        <v>Aug</v>
      </c>
      <c r="G1719" s="17" t="s">
        <v>29</v>
      </c>
      <c r="H1719" s="17" t="s">
        <v>15</v>
      </c>
      <c r="I1719" s="24">
        <v>105433.84999999999</v>
      </c>
      <c r="J1719" s="32">
        <v>43</v>
      </c>
      <c r="K1719" s="17" t="s">
        <v>16</v>
      </c>
      <c r="L1719" s="24">
        <v>2289.2199999999998</v>
      </c>
      <c r="M1719" s="24">
        <v>2581</v>
      </c>
      <c r="N1719" s="34">
        <f>((sales_data_1[[#This Row],[Unit_Price]]*(1-sales_data_1[[#This Row],[Discount]]))-sales_data_1[[#This Row],[Unit_Cost]])*sales_data_1[[#This Row],[Quantity_Sold]]</f>
        <v>6997.3900000000012</v>
      </c>
      <c r="O1719" s="17" t="s">
        <v>27</v>
      </c>
      <c r="P1719" s="26">
        <v>0.05</v>
      </c>
      <c r="Q1719" s="17" t="s">
        <v>25</v>
      </c>
      <c r="R1719" s="17" t="s">
        <v>19</v>
      </c>
      <c r="S1719" s="50" t="str">
        <f t="shared" si="80"/>
        <v>Charlie-North</v>
      </c>
      <c r="T1719" s="59" t="str">
        <f>IF(ROUND(sales_data_1[[#This Row],[Profit_Margin]],2)=ROUND((sales_data_1[[#This Row],[Unit_Price]]*(1-sales_data_1[[#This Row],[Discount]]) - sales_data_1[[#This Row],[Unit_Cost]])*sales_data_1[[#This Row],[Quantity_Sold]],2), "PASS", "CHECK")</f>
        <v>PASS</v>
      </c>
    </row>
    <row r="1720" spans="1:20" x14ac:dyDescent="0.35">
      <c r="A1720" s="7">
        <v>1719</v>
      </c>
      <c r="B1720" s="9">
        <v>1015</v>
      </c>
      <c r="C1720" s="14" t="str">
        <f>IFERROR(_xlfn.TEXTJOIN("-", TRUE, _xlfn.XLOOKUP(K1720, product_category_id_lookup!$A$2:$A$5, product_category_id_lookup!$B$2:$B$5), B1720), "Unknown Category")</f>
        <v>fnt-1015</v>
      </c>
      <c r="D1720" s="8">
        <v>45149</v>
      </c>
      <c r="E1720" s="14">
        <f t="shared" si="78"/>
        <v>2023</v>
      </c>
      <c r="F1720" s="29" t="str">
        <f t="shared" si="79"/>
        <v>Aug</v>
      </c>
      <c r="G1720" s="17" t="s">
        <v>32</v>
      </c>
      <c r="H1720" s="17" t="s">
        <v>30</v>
      </c>
      <c r="I1720" s="24">
        <v>40031.667199999996</v>
      </c>
      <c r="J1720" s="32">
        <v>32</v>
      </c>
      <c r="K1720" s="17" t="s">
        <v>16</v>
      </c>
      <c r="L1720" s="24">
        <v>970.51</v>
      </c>
      <c r="M1720" s="24">
        <v>1330.84</v>
      </c>
      <c r="N1720" s="34">
        <f>((sales_data_1[[#This Row],[Unit_Price]]*(1-sales_data_1[[#This Row],[Discount]]))-sales_data_1[[#This Row],[Unit_Cost]])*sales_data_1[[#This Row],[Quantity_Sold]]</f>
        <v>8975.3471999999965</v>
      </c>
      <c r="O1720" s="17" t="s">
        <v>17</v>
      </c>
      <c r="P1720" s="26">
        <v>0.06</v>
      </c>
      <c r="Q1720" s="17" t="s">
        <v>18</v>
      </c>
      <c r="R1720" s="17" t="s">
        <v>21</v>
      </c>
      <c r="S1720" s="50" t="str">
        <f t="shared" si="80"/>
        <v>Eve-East</v>
      </c>
      <c r="T1720" s="59" t="str">
        <f>IF(ROUND(sales_data_1[[#This Row],[Profit_Margin]],2)=ROUND((sales_data_1[[#This Row],[Unit_Price]]*(1-sales_data_1[[#This Row],[Discount]]) - sales_data_1[[#This Row],[Unit_Cost]])*sales_data_1[[#This Row],[Quantity_Sold]],2), "PASS", "CHECK")</f>
        <v>PASS</v>
      </c>
    </row>
    <row r="1721" spans="1:20" x14ac:dyDescent="0.35">
      <c r="A1721" s="7">
        <v>1720</v>
      </c>
      <c r="B1721" s="9">
        <v>1027</v>
      </c>
      <c r="C1721" s="14" t="str">
        <f>IFERROR(_xlfn.TEXTJOIN("-", TRUE, _xlfn.XLOOKUP(K1721, product_category_id_lookup!$A$2:$A$5, product_category_id_lookup!$B$2:$B$5), B1721), "Unknown Category")</f>
        <v>ctg-1027</v>
      </c>
      <c r="D1721" s="8">
        <v>45149</v>
      </c>
      <c r="E1721" s="14">
        <f t="shared" si="78"/>
        <v>2023</v>
      </c>
      <c r="F1721" s="29" t="str">
        <f t="shared" si="79"/>
        <v>Aug</v>
      </c>
      <c r="G1721" s="17" t="s">
        <v>32</v>
      </c>
      <c r="H1721" s="17" t="s">
        <v>15</v>
      </c>
      <c r="I1721" s="24">
        <v>194638.9797</v>
      </c>
      <c r="J1721" s="32">
        <v>43</v>
      </c>
      <c r="K1721" s="17" t="s">
        <v>26</v>
      </c>
      <c r="L1721" s="24">
        <v>4232.6099999999997</v>
      </c>
      <c r="M1721" s="24">
        <v>4572.21</v>
      </c>
      <c r="N1721" s="34">
        <f>((sales_data_1[[#This Row],[Unit_Price]]*(1-sales_data_1[[#This Row],[Discount]]))-sales_data_1[[#This Row],[Unit_Cost]])*sales_data_1[[#This Row],[Quantity_Sold]]</f>
        <v>12636.749700000018</v>
      </c>
      <c r="O1721" s="17" t="s">
        <v>27</v>
      </c>
      <c r="P1721" s="26">
        <v>0.01</v>
      </c>
      <c r="Q1721" s="17" t="s">
        <v>18</v>
      </c>
      <c r="R1721" s="17" t="s">
        <v>21</v>
      </c>
      <c r="S1721" s="50" t="str">
        <f t="shared" si="80"/>
        <v>Eve-North</v>
      </c>
      <c r="T1721" s="59" t="str">
        <f>IF(ROUND(sales_data_1[[#This Row],[Profit_Margin]],2)=ROUND((sales_data_1[[#This Row],[Unit_Price]]*(1-sales_data_1[[#This Row],[Discount]]) - sales_data_1[[#This Row],[Unit_Cost]])*sales_data_1[[#This Row],[Quantity_Sold]],2), "PASS", "CHECK")</f>
        <v>PASS</v>
      </c>
    </row>
    <row r="1722" spans="1:20" x14ac:dyDescent="0.35">
      <c r="A1722" s="7">
        <v>1721</v>
      </c>
      <c r="B1722" s="9">
        <v>1074</v>
      </c>
      <c r="C1722" s="14" t="str">
        <f>IFERROR(_xlfn.TEXTJOIN("-", TRUE, _xlfn.XLOOKUP(K1722, product_category_id_lookup!$A$2:$A$5, product_category_id_lookup!$B$2:$B$5), B1722), "Unknown Category")</f>
        <v>fd-1074</v>
      </c>
      <c r="D1722" s="8">
        <v>45150</v>
      </c>
      <c r="E1722" s="14">
        <f t="shared" si="78"/>
        <v>2023</v>
      </c>
      <c r="F1722" s="29" t="str">
        <f t="shared" si="79"/>
        <v>Aug</v>
      </c>
      <c r="G1722" s="17" t="s">
        <v>14</v>
      </c>
      <c r="H1722" s="17" t="s">
        <v>30</v>
      </c>
      <c r="I1722" s="24">
        <v>5912.6628522934034</v>
      </c>
      <c r="J1722" s="32">
        <v>2</v>
      </c>
      <c r="K1722" s="17" t="s">
        <v>24</v>
      </c>
      <c r="L1722" s="24">
        <v>2868.02</v>
      </c>
      <c r="M1722" s="24">
        <v>2994.74</v>
      </c>
      <c r="N1722" s="34">
        <f>((sales_data_1[[#This Row],[Unit_Price]]*(1-sales_data_1[[#This Row],[Discount]]))-sales_data_1[[#This Row],[Unit_Cost]])*sales_data_1[[#This Row],[Quantity_Sold]]</f>
        <v>193.54519999999957</v>
      </c>
      <c r="O1722" s="17" t="s">
        <v>17</v>
      </c>
      <c r="P1722" s="26">
        <v>0.01</v>
      </c>
      <c r="Q1722" s="17" t="s">
        <v>25</v>
      </c>
      <c r="R1722" s="17" t="s">
        <v>19</v>
      </c>
      <c r="S1722" s="50" t="str">
        <f t="shared" si="80"/>
        <v>Bob-East</v>
      </c>
      <c r="T1722" s="59" t="str">
        <f>IF(ROUND(sales_data_1[[#This Row],[Profit_Margin]],2)=ROUND((sales_data_1[[#This Row],[Unit_Price]]*(1-sales_data_1[[#This Row],[Discount]]) - sales_data_1[[#This Row],[Unit_Cost]])*sales_data_1[[#This Row],[Quantity_Sold]],2), "PASS", "CHECK")</f>
        <v>PASS</v>
      </c>
    </row>
    <row r="1723" spans="1:20" x14ac:dyDescent="0.35">
      <c r="A1723" s="7">
        <v>1722</v>
      </c>
      <c r="B1723" s="9">
        <v>1018</v>
      </c>
      <c r="C1723" s="14" t="str">
        <f>IFERROR(_xlfn.TEXTJOIN("-", TRUE, _xlfn.XLOOKUP(K1723, product_category_id_lookup!$A$2:$A$5, product_category_id_lookup!$B$2:$B$5), B1723), "Unknown Category")</f>
        <v>etc-1018</v>
      </c>
      <c r="D1723" s="8">
        <v>45150</v>
      </c>
      <c r="E1723" s="14">
        <f t="shared" si="78"/>
        <v>2023</v>
      </c>
      <c r="F1723" s="29" t="str">
        <f t="shared" si="79"/>
        <v>Aug</v>
      </c>
      <c r="G1723" s="17" t="s">
        <v>29</v>
      </c>
      <c r="H1723" s="17" t="s">
        <v>15</v>
      </c>
      <c r="I1723" s="24">
        <v>28813.080886335989</v>
      </c>
      <c r="J1723" s="32">
        <v>9</v>
      </c>
      <c r="K1723" s="17" t="s">
        <v>31</v>
      </c>
      <c r="L1723" s="24">
        <v>3161.09</v>
      </c>
      <c r="M1723" s="24">
        <v>3216.42</v>
      </c>
      <c r="N1723" s="34">
        <f>((sales_data_1[[#This Row],[Unit_Price]]*(1-sales_data_1[[#This Row],[Discount]]))-sales_data_1[[#This Row],[Unit_Cost]])*sales_data_1[[#This Row],[Quantity_Sold]]</f>
        <v>497.96999999999935</v>
      </c>
      <c r="O1723" s="17" t="s">
        <v>27</v>
      </c>
      <c r="P1723" s="26">
        <v>0</v>
      </c>
      <c r="Q1723" s="17" t="s">
        <v>25</v>
      </c>
      <c r="R1723" s="17" t="s">
        <v>19</v>
      </c>
      <c r="S1723" s="50" t="str">
        <f t="shared" si="80"/>
        <v>Charlie-North</v>
      </c>
      <c r="T1723" s="59" t="str">
        <f>IF(ROUND(sales_data_1[[#This Row],[Profit_Margin]],2)=ROUND((sales_data_1[[#This Row],[Unit_Price]]*(1-sales_data_1[[#This Row],[Discount]]) - sales_data_1[[#This Row],[Unit_Cost]])*sales_data_1[[#This Row],[Quantity_Sold]],2), "PASS", "CHECK")</f>
        <v>PASS</v>
      </c>
    </row>
    <row r="1724" spans="1:20" x14ac:dyDescent="0.35">
      <c r="A1724" s="7">
        <v>1723</v>
      </c>
      <c r="B1724" s="9">
        <v>1060</v>
      </c>
      <c r="C1724" s="14" t="str">
        <f>IFERROR(_xlfn.TEXTJOIN("-", TRUE, _xlfn.XLOOKUP(K1724, product_category_id_lookup!$A$2:$A$5, product_category_id_lookup!$B$2:$B$5), B1724), "Unknown Category")</f>
        <v>fnt-1060</v>
      </c>
      <c r="D1724" s="8">
        <v>45150</v>
      </c>
      <c r="E1724" s="14">
        <f t="shared" si="78"/>
        <v>2023</v>
      </c>
      <c r="F1724" s="29" t="str">
        <f t="shared" si="79"/>
        <v>Aug</v>
      </c>
      <c r="G1724" s="17" t="s">
        <v>22</v>
      </c>
      <c r="H1724" s="17" t="s">
        <v>15</v>
      </c>
      <c r="I1724" s="24">
        <v>20386.676927807737</v>
      </c>
      <c r="J1724" s="32">
        <v>5</v>
      </c>
      <c r="K1724" s="17" t="s">
        <v>16</v>
      </c>
      <c r="L1724" s="24">
        <v>3970.08</v>
      </c>
      <c r="M1724" s="24">
        <v>4096.4799999999996</v>
      </c>
      <c r="N1724" s="34">
        <f>((sales_data_1[[#This Row],[Unit_Price]]*(1-sales_data_1[[#This Row],[Discount]]))-sales_data_1[[#This Row],[Unit_Cost]])*sales_data_1[[#This Row],[Quantity_Sold]]</f>
        <v>631.99999999999818</v>
      </c>
      <c r="O1724" s="17" t="s">
        <v>17</v>
      </c>
      <c r="P1724" s="26">
        <v>0</v>
      </c>
      <c r="Q1724" s="17" t="s">
        <v>18</v>
      </c>
      <c r="R1724" s="17" t="s">
        <v>21</v>
      </c>
      <c r="S1724" s="50" t="str">
        <f t="shared" si="80"/>
        <v>David-North</v>
      </c>
      <c r="T1724" s="59" t="str">
        <f>IF(ROUND(sales_data_1[[#This Row],[Profit_Margin]],2)=ROUND((sales_data_1[[#This Row],[Unit_Price]]*(1-sales_data_1[[#This Row],[Discount]]) - sales_data_1[[#This Row],[Unit_Cost]])*sales_data_1[[#This Row],[Quantity_Sold]],2), "PASS", "CHECK")</f>
        <v>PASS</v>
      </c>
    </row>
    <row r="1725" spans="1:20" x14ac:dyDescent="0.35">
      <c r="A1725" s="7">
        <v>1724</v>
      </c>
      <c r="B1725" s="9">
        <v>1028</v>
      </c>
      <c r="C1725" s="14" t="str">
        <f>IFERROR(_xlfn.TEXTJOIN("-", TRUE, _xlfn.XLOOKUP(K1725, product_category_id_lookup!$A$2:$A$5, product_category_id_lookup!$B$2:$B$5), B1725), "Unknown Category")</f>
        <v>ctg-1028</v>
      </c>
      <c r="D1725" s="8">
        <v>45150</v>
      </c>
      <c r="E1725" s="14">
        <f t="shared" si="78"/>
        <v>2023</v>
      </c>
      <c r="F1725" s="29" t="str">
        <f t="shared" si="79"/>
        <v>Aug</v>
      </c>
      <c r="G1725" s="17" t="s">
        <v>29</v>
      </c>
      <c r="H1725" s="17" t="s">
        <v>23</v>
      </c>
      <c r="I1725" s="24">
        <v>165721.88769697302</v>
      </c>
      <c r="J1725" s="32">
        <v>41</v>
      </c>
      <c r="K1725" s="17" t="s">
        <v>26</v>
      </c>
      <c r="L1725" s="24">
        <v>3956.03</v>
      </c>
      <c r="M1725" s="24">
        <v>4163.68</v>
      </c>
      <c r="N1725" s="34">
        <f>((sales_data_1[[#This Row],[Unit_Price]]*(1-sales_data_1[[#This Row],[Discount]]))-sales_data_1[[#This Row],[Unit_Cost]])*sales_data_1[[#This Row],[Quantity_Sold]]</f>
        <v>3392.3235999999952</v>
      </c>
      <c r="O1725" s="17" t="s">
        <v>27</v>
      </c>
      <c r="P1725" s="26">
        <v>0.03</v>
      </c>
      <c r="Q1725" s="17" t="s">
        <v>25</v>
      </c>
      <c r="R1725" s="17" t="s">
        <v>21</v>
      </c>
      <c r="S1725" s="50" t="str">
        <f t="shared" si="80"/>
        <v>Charlie-South</v>
      </c>
      <c r="T1725" s="59" t="str">
        <f>IF(ROUND(sales_data_1[[#This Row],[Profit_Margin]],2)=ROUND((sales_data_1[[#This Row],[Unit_Price]]*(1-sales_data_1[[#This Row],[Discount]]) - sales_data_1[[#This Row],[Unit_Cost]])*sales_data_1[[#This Row],[Quantity_Sold]],2), "PASS", "CHECK")</f>
        <v>PASS</v>
      </c>
    </row>
    <row r="1726" spans="1:20" x14ac:dyDescent="0.35">
      <c r="A1726" s="7">
        <v>1725</v>
      </c>
      <c r="B1726" s="9">
        <v>1075</v>
      </c>
      <c r="C1726" s="14" t="str">
        <f>IFERROR(_xlfn.TEXTJOIN("-", TRUE, _xlfn.XLOOKUP(K1726, product_category_id_lookup!$A$2:$A$5, product_category_id_lookup!$B$2:$B$5), B1726), "Unknown Category")</f>
        <v>fnt-1075</v>
      </c>
      <c r="D1726" s="8">
        <v>45150</v>
      </c>
      <c r="E1726" s="14">
        <f t="shared" si="78"/>
        <v>2023</v>
      </c>
      <c r="F1726" s="29" t="str">
        <f t="shared" si="79"/>
        <v>Aug</v>
      </c>
      <c r="G1726" s="17" t="s">
        <v>22</v>
      </c>
      <c r="H1726" s="17" t="s">
        <v>30</v>
      </c>
      <c r="I1726" s="24">
        <v>26183.231917923338</v>
      </c>
      <c r="J1726" s="32">
        <v>14</v>
      </c>
      <c r="K1726" s="17" t="s">
        <v>16</v>
      </c>
      <c r="L1726" s="24">
        <v>1612.93</v>
      </c>
      <c r="M1726" s="24">
        <v>1964.15</v>
      </c>
      <c r="N1726" s="34">
        <f>((sales_data_1[[#This Row],[Unit_Price]]*(1-sales_data_1[[#This Row],[Discount]]))-sales_data_1[[#This Row],[Unit_Cost]])*sales_data_1[[#This Row],[Quantity_Sold]]</f>
        <v>3542.1750000000006</v>
      </c>
      <c r="O1726" s="17" t="s">
        <v>17</v>
      </c>
      <c r="P1726" s="26">
        <v>0.05</v>
      </c>
      <c r="Q1726" s="17" t="s">
        <v>25</v>
      </c>
      <c r="R1726" s="17" t="s">
        <v>21</v>
      </c>
      <c r="S1726" s="50" t="str">
        <f t="shared" si="80"/>
        <v>David-East</v>
      </c>
      <c r="T1726" s="59" t="str">
        <f>IF(ROUND(sales_data_1[[#This Row],[Profit_Margin]],2)=ROUND((sales_data_1[[#This Row],[Unit_Price]]*(1-sales_data_1[[#This Row],[Discount]]) - sales_data_1[[#This Row],[Unit_Cost]])*sales_data_1[[#This Row],[Quantity_Sold]],2), "PASS", "CHECK")</f>
        <v>PASS</v>
      </c>
    </row>
    <row r="1727" spans="1:20" x14ac:dyDescent="0.35">
      <c r="A1727" s="7">
        <v>1726</v>
      </c>
      <c r="B1727" s="9">
        <v>1023</v>
      </c>
      <c r="C1727" s="14" t="str">
        <f>IFERROR(_xlfn.TEXTJOIN("-", TRUE, _xlfn.XLOOKUP(K1727, product_category_id_lookup!$A$2:$A$5, product_category_id_lookup!$B$2:$B$5), B1727), "Unknown Category")</f>
        <v>ctg-1023</v>
      </c>
      <c r="D1727" s="8">
        <v>45151</v>
      </c>
      <c r="E1727" s="14">
        <f t="shared" si="78"/>
        <v>2023</v>
      </c>
      <c r="F1727" s="29" t="str">
        <f t="shared" si="79"/>
        <v>Aug</v>
      </c>
      <c r="G1727" s="17" t="s">
        <v>14</v>
      </c>
      <c r="H1727" s="17" t="s">
        <v>30</v>
      </c>
      <c r="I1727" s="24">
        <v>12712.616320648203</v>
      </c>
      <c r="J1727" s="32">
        <v>38</v>
      </c>
      <c r="K1727" s="17" t="s">
        <v>26</v>
      </c>
      <c r="L1727" s="24">
        <v>324.45</v>
      </c>
      <c r="M1727" s="24">
        <v>336.37</v>
      </c>
      <c r="N1727" s="34">
        <f>((sales_data_1[[#This Row],[Unit_Price]]*(1-sales_data_1[[#This Row],[Discount]]))-sales_data_1[[#This Row],[Unit_Cost]])*sales_data_1[[#This Row],[Quantity_Sold]]</f>
        <v>325.13940000000082</v>
      </c>
      <c r="O1727" s="17" t="s">
        <v>27</v>
      </c>
      <c r="P1727" s="26">
        <v>0.01</v>
      </c>
      <c r="Q1727" s="17" t="s">
        <v>28</v>
      </c>
      <c r="R1727" s="17" t="s">
        <v>21</v>
      </c>
      <c r="S1727" s="50" t="str">
        <f t="shared" si="80"/>
        <v>Bob-East</v>
      </c>
      <c r="T1727" s="59" t="str">
        <f>IF(ROUND(sales_data_1[[#This Row],[Profit_Margin]],2)=ROUND((sales_data_1[[#This Row],[Unit_Price]]*(1-sales_data_1[[#This Row],[Discount]]) - sales_data_1[[#This Row],[Unit_Cost]])*sales_data_1[[#This Row],[Quantity_Sold]],2), "PASS", "CHECK")</f>
        <v>PASS</v>
      </c>
    </row>
    <row r="1728" spans="1:20" x14ac:dyDescent="0.35">
      <c r="A1728" s="7">
        <v>1727</v>
      </c>
      <c r="B1728" s="9">
        <v>1035</v>
      </c>
      <c r="C1728" s="14" t="str">
        <f>IFERROR(_xlfn.TEXTJOIN("-", TRUE, _xlfn.XLOOKUP(K1728, product_category_id_lookup!$A$2:$A$5, product_category_id_lookup!$B$2:$B$5), B1728), "Unknown Category")</f>
        <v>ctg-1035</v>
      </c>
      <c r="D1728" s="8">
        <v>45151</v>
      </c>
      <c r="E1728" s="14">
        <f t="shared" si="78"/>
        <v>2023</v>
      </c>
      <c r="F1728" s="29" t="str">
        <f t="shared" si="79"/>
        <v>Aug</v>
      </c>
      <c r="G1728" s="17" t="s">
        <v>33</v>
      </c>
      <c r="H1728" s="17" t="s">
        <v>20</v>
      </c>
      <c r="I1728" s="24">
        <v>21227.08140252365</v>
      </c>
      <c r="J1728" s="32">
        <v>5</v>
      </c>
      <c r="K1728" s="17" t="s">
        <v>26</v>
      </c>
      <c r="L1728" s="24">
        <v>3991.69</v>
      </c>
      <c r="M1728" s="24">
        <v>4454.97</v>
      </c>
      <c r="N1728" s="34">
        <f>((sales_data_1[[#This Row],[Unit_Price]]*(1-sales_data_1[[#This Row],[Discount]]))-sales_data_1[[#This Row],[Unit_Cost]])*sales_data_1[[#This Row],[Quantity_Sold]]</f>
        <v>1202.657499999998</v>
      </c>
      <c r="O1728" s="17" t="s">
        <v>27</v>
      </c>
      <c r="P1728" s="26">
        <v>0.05</v>
      </c>
      <c r="Q1728" s="17" t="s">
        <v>28</v>
      </c>
      <c r="R1728" s="17" t="s">
        <v>21</v>
      </c>
      <c r="S1728" s="50" t="str">
        <f t="shared" si="80"/>
        <v>Alice-West</v>
      </c>
      <c r="T1728" s="59" t="str">
        <f>IF(ROUND(sales_data_1[[#This Row],[Profit_Margin]],2)=ROUND((sales_data_1[[#This Row],[Unit_Price]]*(1-sales_data_1[[#This Row],[Discount]]) - sales_data_1[[#This Row],[Unit_Cost]])*sales_data_1[[#This Row],[Quantity_Sold]],2), "PASS", "CHECK")</f>
        <v>PASS</v>
      </c>
    </row>
    <row r="1729" spans="1:20" x14ac:dyDescent="0.35">
      <c r="A1729" s="7">
        <v>1728</v>
      </c>
      <c r="B1729" s="9">
        <v>1084</v>
      </c>
      <c r="C1729" s="14" t="str">
        <f>IFERROR(_xlfn.TEXTJOIN("-", TRUE, _xlfn.XLOOKUP(K1729, product_category_id_lookup!$A$2:$A$5, product_category_id_lookup!$B$2:$B$5), B1729), "Unknown Category")</f>
        <v>fnt-1084</v>
      </c>
      <c r="D1729" s="8">
        <v>45151</v>
      </c>
      <c r="E1729" s="14">
        <f t="shared" si="78"/>
        <v>2023</v>
      </c>
      <c r="F1729" s="29" t="str">
        <f t="shared" si="79"/>
        <v>Aug</v>
      </c>
      <c r="G1729" s="17" t="s">
        <v>33</v>
      </c>
      <c r="H1729" s="17" t="s">
        <v>20</v>
      </c>
      <c r="I1729" s="24">
        <v>76265.74900986116</v>
      </c>
      <c r="J1729" s="32">
        <v>21</v>
      </c>
      <c r="K1729" s="17" t="s">
        <v>16</v>
      </c>
      <c r="L1729" s="24">
        <v>3497.98</v>
      </c>
      <c r="M1729" s="24">
        <v>3765.31</v>
      </c>
      <c r="N1729" s="34">
        <f>((sales_data_1[[#This Row],[Unit_Price]]*(1-sales_data_1[[#This Row],[Discount]]))-sales_data_1[[#This Row],[Unit_Cost]])*sales_data_1[[#This Row],[Quantity_Sold]]</f>
        <v>2451.0695999999989</v>
      </c>
      <c r="O1729" s="17" t="s">
        <v>27</v>
      </c>
      <c r="P1729" s="26">
        <v>0.04</v>
      </c>
      <c r="Q1729" s="17" t="s">
        <v>18</v>
      </c>
      <c r="R1729" s="17" t="s">
        <v>19</v>
      </c>
      <c r="S1729" s="50" t="str">
        <f t="shared" si="80"/>
        <v>Alice-West</v>
      </c>
      <c r="T1729" s="59" t="str">
        <f>IF(ROUND(sales_data_1[[#This Row],[Profit_Margin]],2)=ROUND((sales_data_1[[#This Row],[Unit_Price]]*(1-sales_data_1[[#This Row],[Discount]]) - sales_data_1[[#This Row],[Unit_Cost]])*sales_data_1[[#This Row],[Quantity_Sold]],2), "PASS", "CHECK")</f>
        <v>PASS</v>
      </c>
    </row>
    <row r="1730" spans="1:20" x14ac:dyDescent="0.35">
      <c r="A1730" s="7">
        <v>1729</v>
      </c>
      <c r="B1730" s="9">
        <v>1100</v>
      </c>
      <c r="C1730" s="14" t="str">
        <f>IFERROR(_xlfn.TEXTJOIN("-", TRUE, _xlfn.XLOOKUP(K1730, product_category_id_lookup!$A$2:$A$5, product_category_id_lookup!$B$2:$B$5), B1730), "Unknown Category")</f>
        <v>fd-1100</v>
      </c>
      <c r="D1730" s="8">
        <v>45152</v>
      </c>
      <c r="E1730" s="14">
        <f t="shared" ref="E1730:E1793" si="81">YEAR(D1730)</f>
        <v>2023</v>
      </c>
      <c r="F1730" s="29" t="str">
        <f t="shared" ref="F1730:F1793" si="82">LEFT(TEXT(D1730,"mmmm"),3)</f>
        <v>Aug</v>
      </c>
      <c r="G1730" s="17" t="s">
        <v>14</v>
      </c>
      <c r="H1730" s="17" t="s">
        <v>20</v>
      </c>
      <c r="I1730" s="24">
        <v>48223.680490769439</v>
      </c>
      <c r="J1730" s="32">
        <v>43</v>
      </c>
      <c r="K1730" s="17" t="s">
        <v>24</v>
      </c>
      <c r="L1730" s="24">
        <v>1100.81</v>
      </c>
      <c r="M1730" s="24">
        <v>1137.44</v>
      </c>
      <c r="N1730" s="34">
        <f>((sales_data_1[[#This Row],[Unit_Price]]*(1-sales_data_1[[#This Row],[Discount]]))-sales_data_1[[#This Row],[Unit_Cost]])*sales_data_1[[#This Row],[Quantity_Sold]]</f>
        <v>1085.990800000008</v>
      </c>
      <c r="O1730" s="17" t="s">
        <v>17</v>
      </c>
      <c r="P1730" s="26">
        <v>0.01</v>
      </c>
      <c r="Q1730" s="17" t="s">
        <v>25</v>
      </c>
      <c r="R1730" s="17" t="s">
        <v>19</v>
      </c>
      <c r="S1730" s="50" t="str">
        <f t="shared" ref="S1730:S1793" si="83">_xlfn.CONCAT(G1730,"-",H1730)</f>
        <v>Bob-West</v>
      </c>
      <c r="T1730" s="59" t="str">
        <f>IF(ROUND(sales_data_1[[#This Row],[Profit_Margin]],2)=ROUND((sales_data_1[[#This Row],[Unit_Price]]*(1-sales_data_1[[#This Row],[Discount]]) - sales_data_1[[#This Row],[Unit_Cost]])*sales_data_1[[#This Row],[Quantity_Sold]],2), "PASS", "CHECK")</f>
        <v>PASS</v>
      </c>
    </row>
    <row r="1731" spans="1:20" x14ac:dyDescent="0.35">
      <c r="A1731" s="7">
        <v>1730</v>
      </c>
      <c r="B1731" s="9">
        <v>1066</v>
      </c>
      <c r="C1731" s="14" t="str">
        <f>IFERROR(_xlfn.TEXTJOIN("-", TRUE, _xlfn.XLOOKUP(K1731, product_category_id_lookup!$A$2:$A$5, product_category_id_lookup!$B$2:$B$5), B1731), "Unknown Category")</f>
        <v>etc-1066</v>
      </c>
      <c r="D1731" s="8">
        <v>45152</v>
      </c>
      <c r="E1731" s="14">
        <f t="shared" si="81"/>
        <v>2023</v>
      </c>
      <c r="F1731" s="29" t="str">
        <f t="shared" si="82"/>
        <v>Aug</v>
      </c>
      <c r="G1731" s="17" t="s">
        <v>33</v>
      </c>
      <c r="H1731" s="17" t="s">
        <v>23</v>
      </c>
      <c r="I1731" s="24">
        <v>20812.707999999999</v>
      </c>
      <c r="J1731" s="32">
        <v>20</v>
      </c>
      <c r="K1731" s="17" t="s">
        <v>31</v>
      </c>
      <c r="L1731" s="24">
        <v>955.18</v>
      </c>
      <c r="M1731" s="24">
        <v>1072.82</v>
      </c>
      <c r="N1731" s="34">
        <f>((sales_data_1[[#This Row],[Unit_Price]]*(1-sales_data_1[[#This Row],[Discount]]))-sales_data_1[[#This Row],[Unit_Cost]])*sales_data_1[[#This Row],[Quantity_Sold]]</f>
        <v>1709.1079999999988</v>
      </c>
      <c r="O1731" s="17" t="s">
        <v>27</v>
      </c>
      <c r="P1731" s="26">
        <v>0.03</v>
      </c>
      <c r="Q1731" s="17" t="s">
        <v>25</v>
      </c>
      <c r="R1731" s="17" t="s">
        <v>21</v>
      </c>
      <c r="S1731" s="50" t="str">
        <f t="shared" si="83"/>
        <v>Alice-South</v>
      </c>
      <c r="T1731" s="59" t="str">
        <f>IF(ROUND(sales_data_1[[#This Row],[Profit_Margin]],2)=ROUND((sales_data_1[[#This Row],[Unit_Price]]*(1-sales_data_1[[#This Row],[Discount]]) - sales_data_1[[#This Row],[Unit_Cost]])*sales_data_1[[#This Row],[Quantity_Sold]],2), "PASS", "CHECK")</f>
        <v>PASS</v>
      </c>
    </row>
    <row r="1732" spans="1:20" x14ac:dyDescent="0.35">
      <c r="A1732" s="7">
        <v>1731</v>
      </c>
      <c r="B1732" s="9">
        <v>1093</v>
      </c>
      <c r="C1732" s="14" t="str">
        <f>IFERROR(_xlfn.TEXTJOIN("-", TRUE, _xlfn.XLOOKUP(K1732, product_category_id_lookup!$A$2:$A$5, product_category_id_lookup!$B$2:$B$5), B1732), "Unknown Category")</f>
        <v>fd-1093</v>
      </c>
      <c r="D1732" s="8">
        <v>45152</v>
      </c>
      <c r="E1732" s="14">
        <f t="shared" si="81"/>
        <v>2023</v>
      </c>
      <c r="F1732" s="29" t="str">
        <f t="shared" si="82"/>
        <v>Aug</v>
      </c>
      <c r="G1732" s="17" t="s">
        <v>22</v>
      </c>
      <c r="H1732" s="17" t="s">
        <v>20</v>
      </c>
      <c r="I1732" s="24">
        <v>3414.6000000000004</v>
      </c>
      <c r="J1732" s="32">
        <v>6</v>
      </c>
      <c r="K1732" s="17" t="s">
        <v>24</v>
      </c>
      <c r="L1732" s="24">
        <v>235.12</v>
      </c>
      <c r="M1732" s="24">
        <v>677.5</v>
      </c>
      <c r="N1732" s="34">
        <f>((sales_data_1[[#This Row],[Unit_Price]]*(1-sales_data_1[[#This Row],[Discount]]))-sales_data_1[[#This Row],[Unit_Cost]])*sales_data_1[[#This Row],[Quantity_Sold]]</f>
        <v>2003.88</v>
      </c>
      <c r="O1732" s="17" t="s">
        <v>17</v>
      </c>
      <c r="P1732" s="26">
        <v>0.16</v>
      </c>
      <c r="Q1732" s="17" t="s">
        <v>28</v>
      </c>
      <c r="R1732" s="17" t="s">
        <v>19</v>
      </c>
      <c r="S1732" s="50" t="str">
        <f t="shared" si="83"/>
        <v>David-West</v>
      </c>
      <c r="T1732" s="59" t="str">
        <f>IF(ROUND(sales_data_1[[#This Row],[Profit_Margin]],2)=ROUND((sales_data_1[[#This Row],[Unit_Price]]*(1-sales_data_1[[#This Row],[Discount]]) - sales_data_1[[#This Row],[Unit_Cost]])*sales_data_1[[#This Row],[Quantity_Sold]],2), "PASS", "CHECK")</f>
        <v>PASS</v>
      </c>
    </row>
    <row r="1733" spans="1:20" x14ac:dyDescent="0.35">
      <c r="A1733" s="7">
        <v>1732</v>
      </c>
      <c r="B1733" s="9">
        <v>1083</v>
      </c>
      <c r="C1733" s="14" t="str">
        <f>IFERROR(_xlfn.TEXTJOIN("-", TRUE, _xlfn.XLOOKUP(K1733, product_category_id_lookup!$A$2:$A$5, product_category_id_lookup!$B$2:$B$5), B1733), "Unknown Category")</f>
        <v>ctg-1083</v>
      </c>
      <c r="D1733" s="8">
        <v>45152</v>
      </c>
      <c r="E1733" s="14">
        <f t="shared" si="81"/>
        <v>2023</v>
      </c>
      <c r="F1733" s="29" t="str">
        <f t="shared" si="82"/>
        <v>Aug</v>
      </c>
      <c r="G1733" s="17" t="s">
        <v>32</v>
      </c>
      <c r="H1733" s="17" t="s">
        <v>20</v>
      </c>
      <c r="I1733" s="24">
        <v>109754.02299872777</v>
      </c>
      <c r="J1733" s="32">
        <v>42</v>
      </c>
      <c r="K1733" s="17" t="s">
        <v>26</v>
      </c>
      <c r="L1733" s="24">
        <v>2505.41</v>
      </c>
      <c r="M1733" s="24">
        <v>2638.96</v>
      </c>
      <c r="N1733" s="34">
        <f>((sales_data_1[[#This Row],[Unit_Price]]*(1-sales_data_1[[#This Row],[Discount]]))-sales_data_1[[#This Row],[Unit_Cost]])*sales_data_1[[#This Row],[Quantity_Sold]]</f>
        <v>4500.7368000000088</v>
      </c>
      <c r="O1733" s="17" t="s">
        <v>27</v>
      </c>
      <c r="P1733" s="26">
        <v>0.01</v>
      </c>
      <c r="Q1733" s="17" t="s">
        <v>25</v>
      </c>
      <c r="R1733" s="17" t="s">
        <v>19</v>
      </c>
      <c r="S1733" s="50" t="str">
        <f t="shared" si="83"/>
        <v>Eve-West</v>
      </c>
      <c r="T1733" s="59" t="str">
        <f>IF(ROUND(sales_data_1[[#This Row],[Profit_Margin]],2)=ROUND((sales_data_1[[#This Row],[Unit_Price]]*(1-sales_data_1[[#This Row],[Discount]]) - sales_data_1[[#This Row],[Unit_Cost]])*sales_data_1[[#This Row],[Quantity_Sold]],2), "PASS", "CHECK")</f>
        <v>PASS</v>
      </c>
    </row>
    <row r="1734" spans="1:20" x14ac:dyDescent="0.35">
      <c r="A1734" s="7">
        <v>1733</v>
      </c>
      <c r="B1734" s="9">
        <v>1013</v>
      </c>
      <c r="C1734" s="14" t="str">
        <f>IFERROR(_xlfn.TEXTJOIN("-", TRUE, _xlfn.XLOOKUP(K1734, product_category_id_lookup!$A$2:$A$5, product_category_id_lookup!$B$2:$B$5), B1734), "Unknown Category")</f>
        <v>ctg-1013</v>
      </c>
      <c r="D1734" s="8">
        <v>45152</v>
      </c>
      <c r="E1734" s="14">
        <f t="shared" si="81"/>
        <v>2023</v>
      </c>
      <c r="F1734" s="29" t="str">
        <f t="shared" si="82"/>
        <v>Aug</v>
      </c>
      <c r="G1734" s="17" t="s">
        <v>33</v>
      </c>
      <c r="H1734" s="17" t="s">
        <v>30</v>
      </c>
      <c r="I1734" s="24">
        <v>103143.39045793985</v>
      </c>
      <c r="J1734" s="32">
        <v>26</v>
      </c>
      <c r="K1734" s="17" t="s">
        <v>26</v>
      </c>
      <c r="L1734" s="24">
        <v>3749.12</v>
      </c>
      <c r="M1734" s="24">
        <v>4138.83</v>
      </c>
      <c r="N1734" s="34">
        <f>((sales_data_1[[#This Row],[Unit_Price]]*(1-sales_data_1[[#This Row],[Discount]]))-sales_data_1[[#This Row],[Unit_Cost]])*sales_data_1[[#This Row],[Quantity_Sold]]</f>
        <v>5828.0767999999935</v>
      </c>
      <c r="O1734" s="17" t="s">
        <v>27</v>
      </c>
      <c r="P1734" s="26">
        <v>0.04</v>
      </c>
      <c r="Q1734" s="17" t="s">
        <v>28</v>
      </c>
      <c r="R1734" s="17" t="s">
        <v>19</v>
      </c>
      <c r="S1734" s="50" t="str">
        <f t="shared" si="83"/>
        <v>Alice-East</v>
      </c>
      <c r="T1734" s="59" t="str">
        <f>IF(ROUND(sales_data_1[[#This Row],[Profit_Margin]],2)=ROUND((sales_data_1[[#This Row],[Unit_Price]]*(1-sales_data_1[[#This Row],[Discount]]) - sales_data_1[[#This Row],[Unit_Cost]])*sales_data_1[[#This Row],[Quantity_Sold]],2), "PASS", "CHECK")</f>
        <v>PASS</v>
      </c>
    </row>
    <row r="1735" spans="1:20" x14ac:dyDescent="0.35">
      <c r="A1735" s="7">
        <v>1734</v>
      </c>
      <c r="B1735" s="9">
        <v>1065</v>
      </c>
      <c r="C1735" s="14" t="str">
        <f>IFERROR(_xlfn.TEXTJOIN("-", TRUE, _xlfn.XLOOKUP(K1735, product_category_id_lookup!$A$2:$A$5, product_category_id_lookup!$B$2:$B$5), B1735), "Unknown Category")</f>
        <v>ctg-1065</v>
      </c>
      <c r="D1735" s="8">
        <v>45152</v>
      </c>
      <c r="E1735" s="14">
        <f t="shared" si="81"/>
        <v>2023</v>
      </c>
      <c r="F1735" s="29" t="str">
        <f t="shared" si="82"/>
        <v>Aug</v>
      </c>
      <c r="G1735" s="17" t="s">
        <v>14</v>
      </c>
      <c r="H1735" s="17" t="s">
        <v>20</v>
      </c>
      <c r="I1735" s="24">
        <v>118725.49260000003</v>
      </c>
      <c r="J1735" s="32">
        <v>26</v>
      </c>
      <c r="K1735" s="17" t="s">
        <v>26</v>
      </c>
      <c r="L1735" s="24">
        <v>4337.8500000000004</v>
      </c>
      <c r="M1735" s="24">
        <v>4612.4900000000007</v>
      </c>
      <c r="N1735" s="34">
        <f>((sales_data_1[[#This Row],[Unit_Price]]*(1-sales_data_1[[#This Row],[Discount]]))-sales_data_1[[#This Row],[Unit_Cost]])*sales_data_1[[#This Row],[Quantity_Sold]]</f>
        <v>5941.3926000000138</v>
      </c>
      <c r="O1735" s="17" t="s">
        <v>17</v>
      </c>
      <c r="P1735" s="26">
        <v>0.01</v>
      </c>
      <c r="Q1735" s="17" t="s">
        <v>18</v>
      </c>
      <c r="R1735" s="17" t="s">
        <v>21</v>
      </c>
      <c r="S1735" s="50" t="str">
        <f t="shared" si="83"/>
        <v>Bob-West</v>
      </c>
      <c r="T1735" s="59" t="str">
        <f>IF(ROUND(sales_data_1[[#This Row],[Profit_Margin]],2)=ROUND((sales_data_1[[#This Row],[Unit_Price]]*(1-sales_data_1[[#This Row],[Discount]]) - sales_data_1[[#This Row],[Unit_Cost]])*sales_data_1[[#This Row],[Quantity_Sold]],2), "PASS", "CHECK")</f>
        <v>PASS</v>
      </c>
    </row>
    <row r="1736" spans="1:20" x14ac:dyDescent="0.35">
      <c r="A1736" s="7">
        <v>1735</v>
      </c>
      <c r="B1736" s="9">
        <v>1063</v>
      </c>
      <c r="C1736" s="14" t="str">
        <f>IFERROR(_xlfn.TEXTJOIN("-", TRUE, _xlfn.XLOOKUP(K1736, product_category_id_lookup!$A$2:$A$5, product_category_id_lookup!$B$2:$B$5), B1736), "Unknown Category")</f>
        <v>ctg-1063</v>
      </c>
      <c r="D1736" s="8">
        <v>45152</v>
      </c>
      <c r="E1736" s="14">
        <f t="shared" si="81"/>
        <v>2023</v>
      </c>
      <c r="F1736" s="29" t="str">
        <f t="shared" si="82"/>
        <v>Aug</v>
      </c>
      <c r="G1736" s="17" t="s">
        <v>14</v>
      </c>
      <c r="H1736" s="17" t="s">
        <v>15</v>
      </c>
      <c r="I1736" s="24">
        <v>109704.26176122387</v>
      </c>
      <c r="J1736" s="32">
        <v>27</v>
      </c>
      <c r="K1736" s="17" t="s">
        <v>26</v>
      </c>
      <c r="L1736" s="24">
        <v>3760.25</v>
      </c>
      <c r="M1736" s="24">
        <v>4147.1099999999997</v>
      </c>
      <c r="N1736" s="34">
        <f>((sales_data_1[[#This Row],[Unit_Price]]*(1-sales_data_1[[#This Row],[Discount]]))-sales_data_1[[#This Row],[Unit_Cost]])*sales_data_1[[#This Row],[Quantity_Sold]]</f>
        <v>8205.7805999999928</v>
      </c>
      <c r="O1736" s="17" t="s">
        <v>27</v>
      </c>
      <c r="P1736" s="26">
        <v>0.02</v>
      </c>
      <c r="Q1736" s="17" t="s">
        <v>18</v>
      </c>
      <c r="R1736" s="17" t="s">
        <v>19</v>
      </c>
      <c r="S1736" s="50" t="str">
        <f t="shared" si="83"/>
        <v>Bob-North</v>
      </c>
      <c r="T1736" s="59" t="str">
        <f>IF(ROUND(sales_data_1[[#This Row],[Profit_Margin]],2)=ROUND((sales_data_1[[#This Row],[Unit_Price]]*(1-sales_data_1[[#This Row],[Discount]]) - sales_data_1[[#This Row],[Unit_Cost]])*sales_data_1[[#This Row],[Quantity_Sold]],2), "PASS", "CHECK")</f>
        <v>PASS</v>
      </c>
    </row>
    <row r="1737" spans="1:20" x14ac:dyDescent="0.35">
      <c r="A1737" s="7">
        <v>1736</v>
      </c>
      <c r="B1737" s="9">
        <v>1046</v>
      </c>
      <c r="C1737" s="14" t="str">
        <f>IFERROR(_xlfn.TEXTJOIN("-", TRUE, _xlfn.XLOOKUP(K1737, product_category_id_lookup!$A$2:$A$5, product_category_id_lookup!$B$2:$B$5), B1737), "Unknown Category")</f>
        <v>fnt-1046</v>
      </c>
      <c r="D1737" s="8">
        <v>45153</v>
      </c>
      <c r="E1737" s="14">
        <f t="shared" si="81"/>
        <v>2023</v>
      </c>
      <c r="F1737" s="29" t="str">
        <f t="shared" si="82"/>
        <v>Aug</v>
      </c>
      <c r="G1737" s="17" t="s">
        <v>33</v>
      </c>
      <c r="H1737" s="17" t="s">
        <v>23</v>
      </c>
      <c r="I1737" s="24">
        <v>16498.461866629423</v>
      </c>
      <c r="J1737" s="32">
        <v>4</v>
      </c>
      <c r="K1737" s="17" t="s">
        <v>16</v>
      </c>
      <c r="L1737" s="24">
        <v>4095.1</v>
      </c>
      <c r="M1737" s="24">
        <v>4134.55</v>
      </c>
      <c r="N1737" s="34">
        <f>((sales_data_1[[#This Row],[Unit_Price]]*(1-sales_data_1[[#This Row],[Discount]]))-sales_data_1[[#This Row],[Unit_Cost]])*sales_data_1[[#This Row],[Quantity_Sold]]</f>
        <v>157.80000000000109</v>
      </c>
      <c r="O1737" s="17" t="s">
        <v>17</v>
      </c>
      <c r="P1737" s="26">
        <v>0</v>
      </c>
      <c r="Q1737" s="17" t="s">
        <v>25</v>
      </c>
      <c r="R1737" s="17" t="s">
        <v>21</v>
      </c>
      <c r="S1737" s="50" t="str">
        <f t="shared" si="83"/>
        <v>Alice-South</v>
      </c>
      <c r="T1737" s="59" t="str">
        <f>IF(ROUND(sales_data_1[[#This Row],[Profit_Margin]],2)=ROUND((sales_data_1[[#This Row],[Unit_Price]]*(1-sales_data_1[[#This Row],[Discount]]) - sales_data_1[[#This Row],[Unit_Cost]])*sales_data_1[[#This Row],[Quantity_Sold]],2), "PASS", "CHECK")</f>
        <v>PASS</v>
      </c>
    </row>
    <row r="1738" spans="1:20" x14ac:dyDescent="0.35">
      <c r="A1738" s="7">
        <v>1737</v>
      </c>
      <c r="B1738" s="9">
        <v>1075</v>
      </c>
      <c r="C1738" s="14" t="str">
        <f>IFERROR(_xlfn.TEXTJOIN("-", TRUE, _xlfn.XLOOKUP(K1738, product_category_id_lookup!$A$2:$A$5, product_category_id_lookup!$B$2:$B$5), B1738), "Unknown Category")</f>
        <v>ctg-1075</v>
      </c>
      <c r="D1738" s="8">
        <v>45153</v>
      </c>
      <c r="E1738" s="14">
        <f t="shared" si="81"/>
        <v>2023</v>
      </c>
      <c r="F1738" s="29" t="str">
        <f t="shared" si="82"/>
        <v>Aug</v>
      </c>
      <c r="G1738" s="17" t="s">
        <v>29</v>
      </c>
      <c r="H1738" s="17" t="s">
        <v>15</v>
      </c>
      <c r="I1738" s="24">
        <v>73063.373114765403</v>
      </c>
      <c r="J1738" s="32">
        <v>28</v>
      </c>
      <c r="K1738" s="17" t="s">
        <v>26</v>
      </c>
      <c r="L1738" s="24">
        <v>2570.2199999999998</v>
      </c>
      <c r="M1738" s="24">
        <v>2610.8399999999997</v>
      </c>
      <c r="N1738" s="34">
        <f>((sales_data_1[[#This Row],[Unit_Price]]*(1-sales_data_1[[#This Row],[Discount]]))-sales_data_1[[#This Row],[Unit_Cost]])*sales_data_1[[#This Row],[Quantity_Sold]]</f>
        <v>1137.3599999999969</v>
      </c>
      <c r="O1738" s="17" t="s">
        <v>17</v>
      </c>
      <c r="P1738" s="26">
        <v>0</v>
      </c>
      <c r="Q1738" s="17" t="s">
        <v>25</v>
      </c>
      <c r="R1738" s="17" t="s">
        <v>21</v>
      </c>
      <c r="S1738" s="50" t="str">
        <f t="shared" si="83"/>
        <v>Charlie-North</v>
      </c>
      <c r="T1738" s="59" t="str">
        <f>IF(ROUND(sales_data_1[[#This Row],[Profit_Margin]],2)=ROUND((sales_data_1[[#This Row],[Unit_Price]]*(1-sales_data_1[[#This Row],[Discount]]) - sales_data_1[[#This Row],[Unit_Cost]])*sales_data_1[[#This Row],[Quantity_Sold]],2), "PASS", "CHECK")</f>
        <v>PASS</v>
      </c>
    </row>
    <row r="1739" spans="1:20" x14ac:dyDescent="0.35">
      <c r="A1739" s="7">
        <v>1738</v>
      </c>
      <c r="B1739" s="9">
        <v>1033</v>
      </c>
      <c r="C1739" s="14" t="str">
        <f>IFERROR(_xlfn.TEXTJOIN("-", TRUE, _xlfn.XLOOKUP(K1739, product_category_id_lookup!$A$2:$A$5, product_category_id_lookup!$B$2:$B$5), B1739), "Unknown Category")</f>
        <v>ctg-1033</v>
      </c>
      <c r="D1739" s="8">
        <v>45153</v>
      </c>
      <c r="E1739" s="14">
        <f t="shared" si="81"/>
        <v>2023</v>
      </c>
      <c r="F1739" s="29" t="str">
        <f t="shared" si="82"/>
        <v>Aug</v>
      </c>
      <c r="G1739" s="17" t="s">
        <v>32</v>
      </c>
      <c r="H1739" s="17" t="s">
        <v>30</v>
      </c>
      <c r="I1739" s="24">
        <v>43061.650499999989</v>
      </c>
      <c r="J1739" s="32">
        <v>29</v>
      </c>
      <c r="K1739" s="17" t="s">
        <v>26</v>
      </c>
      <c r="L1739" s="24">
        <v>1412.09</v>
      </c>
      <c r="M1739" s="24">
        <v>1596.6499999999999</v>
      </c>
      <c r="N1739" s="34">
        <f>((sales_data_1[[#This Row],[Unit_Price]]*(1-sales_data_1[[#This Row],[Discount]]))-sales_data_1[[#This Row],[Unit_Cost]])*sales_data_1[[#This Row],[Quantity_Sold]]</f>
        <v>2111.0404999999928</v>
      </c>
      <c r="O1739" s="17" t="s">
        <v>17</v>
      </c>
      <c r="P1739" s="26">
        <v>7.0000000000000007E-2</v>
      </c>
      <c r="Q1739" s="17" t="s">
        <v>18</v>
      </c>
      <c r="R1739" s="17" t="s">
        <v>19</v>
      </c>
      <c r="S1739" s="50" t="str">
        <f t="shared" si="83"/>
        <v>Eve-East</v>
      </c>
      <c r="T1739" s="59" t="str">
        <f>IF(ROUND(sales_data_1[[#This Row],[Profit_Margin]],2)=ROUND((sales_data_1[[#This Row],[Unit_Price]]*(1-sales_data_1[[#This Row],[Discount]]) - sales_data_1[[#This Row],[Unit_Cost]])*sales_data_1[[#This Row],[Quantity_Sold]],2), "PASS", "CHECK")</f>
        <v>PASS</v>
      </c>
    </row>
    <row r="1740" spans="1:20" x14ac:dyDescent="0.35">
      <c r="A1740" s="7">
        <v>1739</v>
      </c>
      <c r="B1740" s="9">
        <v>1068</v>
      </c>
      <c r="C1740" s="14" t="str">
        <f>IFERROR(_xlfn.TEXTJOIN("-", TRUE, _xlfn.XLOOKUP(K1740, product_category_id_lookup!$A$2:$A$5, product_category_id_lookup!$B$2:$B$5), B1740), "Unknown Category")</f>
        <v>fd-1068</v>
      </c>
      <c r="D1740" s="8">
        <v>45153</v>
      </c>
      <c r="E1740" s="14">
        <f t="shared" si="81"/>
        <v>2023</v>
      </c>
      <c r="F1740" s="29" t="str">
        <f t="shared" si="82"/>
        <v>Aug</v>
      </c>
      <c r="G1740" s="17" t="s">
        <v>33</v>
      </c>
      <c r="H1740" s="17" t="s">
        <v>23</v>
      </c>
      <c r="I1740" s="24">
        <v>28488.894</v>
      </c>
      <c r="J1740" s="32">
        <v>21</v>
      </c>
      <c r="K1740" s="17" t="s">
        <v>24</v>
      </c>
      <c r="L1740" s="24">
        <v>1142.53</v>
      </c>
      <c r="M1740" s="24">
        <v>1384.3</v>
      </c>
      <c r="N1740" s="34">
        <f>((sales_data_1[[#This Row],[Unit_Price]]*(1-sales_data_1[[#This Row],[Discount]]))-sales_data_1[[#This Row],[Unit_Cost]])*sales_data_1[[#This Row],[Quantity_Sold]]</f>
        <v>4495.764000000001</v>
      </c>
      <c r="O1740" s="17" t="s">
        <v>17</v>
      </c>
      <c r="P1740" s="26">
        <v>0.02</v>
      </c>
      <c r="Q1740" s="17" t="s">
        <v>28</v>
      </c>
      <c r="R1740" s="17" t="s">
        <v>21</v>
      </c>
      <c r="S1740" s="50" t="str">
        <f t="shared" si="83"/>
        <v>Alice-South</v>
      </c>
      <c r="T1740" s="59" t="str">
        <f>IF(ROUND(sales_data_1[[#This Row],[Profit_Margin]],2)=ROUND((sales_data_1[[#This Row],[Unit_Price]]*(1-sales_data_1[[#This Row],[Discount]]) - sales_data_1[[#This Row],[Unit_Cost]])*sales_data_1[[#This Row],[Quantity_Sold]],2), "PASS", "CHECK")</f>
        <v>PASS</v>
      </c>
    </row>
    <row r="1741" spans="1:20" x14ac:dyDescent="0.35">
      <c r="A1741" s="7">
        <v>1740</v>
      </c>
      <c r="B1741" s="9">
        <v>1074</v>
      </c>
      <c r="C1741" s="14" t="str">
        <f>IFERROR(_xlfn.TEXTJOIN("-", TRUE, _xlfn.XLOOKUP(K1741, product_category_id_lookup!$A$2:$A$5, product_category_id_lookup!$B$2:$B$5), B1741), "Unknown Category")</f>
        <v>fnt-1074</v>
      </c>
      <c r="D1741" s="8">
        <v>45153</v>
      </c>
      <c r="E1741" s="14">
        <f t="shared" si="81"/>
        <v>2023</v>
      </c>
      <c r="F1741" s="29" t="str">
        <f t="shared" si="82"/>
        <v>Aug</v>
      </c>
      <c r="G1741" s="17" t="s">
        <v>22</v>
      </c>
      <c r="H1741" s="17" t="s">
        <v>20</v>
      </c>
      <c r="I1741" s="24">
        <v>59264.417399999998</v>
      </c>
      <c r="J1741" s="32">
        <v>29</v>
      </c>
      <c r="K1741" s="17" t="s">
        <v>16</v>
      </c>
      <c r="L1741" s="24">
        <v>1723.01</v>
      </c>
      <c r="M1741" s="24">
        <v>2197.42</v>
      </c>
      <c r="N1741" s="34">
        <f>((sales_data_1[[#This Row],[Unit_Price]]*(1-sales_data_1[[#This Row],[Discount]]))-sales_data_1[[#This Row],[Unit_Cost]])*sales_data_1[[#This Row],[Quantity_Sold]]</f>
        <v>9297.1273999999994</v>
      </c>
      <c r="O1741" s="17" t="s">
        <v>27</v>
      </c>
      <c r="P1741" s="26">
        <v>7.0000000000000007E-2</v>
      </c>
      <c r="Q1741" s="17" t="s">
        <v>25</v>
      </c>
      <c r="R1741" s="17" t="s">
        <v>21</v>
      </c>
      <c r="S1741" s="50" t="str">
        <f t="shared" si="83"/>
        <v>David-West</v>
      </c>
      <c r="T1741" s="59" t="str">
        <f>IF(ROUND(sales_data_1[[#This Row],[Profit_Margin]],2)=ROUND((sales_data_1[[#This Row],[Unit_Price]]*(1-sales_data_1[[#This Row],[Discount]]) - sales_data_1[[#This Row],[Unit_Cost]])*sales_data_1[[#This Row],[Quantity_Sold]],2), "PASS", "CHECK")</f>
        <v>PASS</v>
      </c>
    </row>
    <row r="1742" spans="1:20" x14ac:dyDescent="0.35">
      <c r="A1742" s="7">
        <v>1741</v>
      </c>
      <c r="B1742" s="9">
        <v>1063</v>
      </c>
      <c r="C1742" s="14" t="str">
        <f>IFERROR(_xlfn.TEXTJOIN("-", TRUE, _xlfn.XLOOKUP(K1742, product_category_id_lookup!$A$2:$A$5, product_category_id_lookup!$B$2:$B$5), B1742), "Unknown Category")</f>
        <v>fd-1063</v>
      </c>
      <c r="D1742" s="8">
        <v>45153</v>
      </c>
      <c r="E1742" s="14">
        <f t="shared" si="81"/>
        <v>2023</v>
      </c>
      <c r="F1742" s="29" t="str">
        <f t="shared" si="82"/>
        <v>Aug</v>
      </c>
      <c r="G1742" s="17" t="s">
        <v>33</v>
      </c>
      <c r="H1742" s="17" t="s">
        <v>30</v>
      </c>
      <c r="I1742" s="24">
        <v>36950.667000000001</v>
      </c>
      <c r="J1742" s="32">
        <v>26</v>
      </c>
      <c r="K1742" s="17" t="s">
        <v>24</v>
      </c>
      <c r="L1742" s="24">
        <v>1046.96</v>
      </c>
      <c r="M1742" s="24">
        <v>1528.15</v>
      </c>
      <c r="N1742" s="34">
        <f>((sales_data_1[[#This Row],[Unit_Price]]*(1-sales_data_1[[#This Row],[Discount]]))-sales_data_1[[#This Row],[Unit_Cost]])*sales_data_1[[#This Row],[Quantity_Sold]]</f>
        <v>9729.7069999999985</v>
      </c>
      <c r="O1742" s="17" t="s">
        <v>27</v>
      </c>
      <c r="P1742" s="26">
        <v>7.0000000000000007E-2</v>
      </c>
      <c r="Q1742" s="17" t="s">
        <v>28</v>
      </c>
      <c r="R1742" s="17" t="s">
        <v>21</v>
      </c>
      <c r="S1742" s="50" t="str">
        <f t="shared" si="83"/>
        <v>Alice-East</v>
      </c>
      <c r="T1742" s="59" t="str">
        <f>IF(ROUND(sales_data_1[[#This Row],[Profit_Margin]],2)=ROUND((sales_data_1[[#This Row],[Unit_Price]]*(1-sales_data_1[[#This Row],[Discount]]) - sales_data_1[[#This Row],[Unit_Cost]])*sales_data_1[[#This Row],[Quantity_Sold]],2), "PASS", "CHECK")</f>
        <v>PASS</v>
      </c>
    </row>
    <row r="1743" spans="1:20" x14ac:dyDescent="0.35">
      <c r="A1743" s="7">
        <v>1742</v>
      </c>
      <c r="B1743" s="9">
        <v>1059</v>
      </c>
      <c r="C1743" s="14" t="str">
        <f>IFERROR(_xlfn.TEXTJOIN("-", TRUE, _xlfn.XLOOKUP(K1743, product_category_id_lookup!$A$2:$A$5, product_category_id_lookup!$B$2:$B$5), B1743), "Unknown Category")</f>
        <v>ctg-1059</v>
      </c>
      <c r="D1743" s="8">
        <v>45154</v>
      </c>
      <c r="E1743" s="14">
        <f t="shared" si="81"/>
        <v>2023</v>
      </c>
      <c r="F1743" s="29" t="str">
        <f t="shared" si="82"/>
        <v>Aug</v>
      </c>
      <c r="G1743" s="17" t="s">
        <v>33</v>
      </c>
      <c r="H1743" s="17" t="s">
        <v>20</v>
      </c>
      <c r="I1743" s="24">
        <v>66919.640241919609</v>
      </c>
      <c r="J1743" s="32">
        <v>21</v>
      </c>
      <c r="K1743" s="17" t="s">
        <v>26</v>
      </c>
      <c r="L1743" s="24">
        <v>3110.54</v>
      </c>
      <c r="M1743" s="24">
        <v>3192.99</v>
      </c>
      <c r="N1743" s="34">
        <f>((sales_data_1[[#This Row],[Unit_Price]]*(1-sales_data_1[[#This Row],[Discount]]))-sales_data_1[[#This Row],[Unit_Cost]])*sales_data_1[[#This Row],[Quantity_Sold]]</f>
        <v>1731.4499999999962</v>
      </c>
      <c r="O1743" s="17" t="s">
        <v>27</v>
      </c>
      <c r="P1743" s="26">
        <v>0</v>
      </c>
      <c r="Q1743" s="17" t="s">
        <v>28</v>
      </c>
      <c r="R1743" s="17" t="s">
        <v>19</v>
      </c>
      <c r="S1743" s="50" t="str">
        <f t="shared" si="83"/>
        <v>Alice-West</v>
      </c>
      <c r="T1743" s="59" t="str">
        <f>IF(ROUND(sales_data_1[[#This Row],[Profit_Margin]],2)=ROUND((sales_data_1[[#This Row],[Unit_Price]]*(1-sales_data_1[[#This Row],[Discount]]) - sales_data_1[[#This Row],[Unit_Cost]])*sales_data_1[[#This Row],[Quantity_Sold]],2), "PASS", "CHECK")</f>
        <v>PASS</v>
      </c>
    </row>
    <row r="1744" spans="1:20" x14ac:dyDescent="0.35">
      <c r="A1744" s="7">
        <v>1743</v>
      </c>
      <c r="B1744" s="9">
        <v>1014</v>
      </c>
      <c r="C1744" s="14" t="str">
        <f>IFERROR(_xlfn.TEXTJOIN("-", TRUE, _xlfn.XLOOKUP(K1744, product_category_id_lookup!$A$2:$A$5, product_category_id_lookup!$B$2:$B$5), B1744), "Unknown Category")</f>
        <v>fnt-1014</v>
      </c>
      <c r="D1744" s="8">
        <v>45154</v>
      </c>
      <c r="E1744" s="14">
        <f t="shared" si="81"/>
        <v>2023</v>
      </c>
      <c r="F1744" s="29" t="str">
        <f t="shared" si="82"/>
        <v>Aug</v>
      </c>
      <c r="G1744" s="17" t="s">
        <v>22</v>
      </c>
      <c r="H1744" s="17" t="s">
        <v>23</v>
      </c>
      <c r="I1744" s="24">
        <v>16652.48</v>
      </c>
      <c r="J1744" s="32">
        <v>26</v>
      </c>
      <c r="K1744" s="17" t="s">
        <v>16</v>
      </c>
      <c r="L1744" s="24">
        <v>433.19</v>
      </c>
      <c r="M1744" s="24">
        <v>800.6</v>
      </c>
      <c r="N1744" s="34">
        <f>((sales_data_1[[#This Row],[Unit_Price]]*(1-sales_data_1[[#This Row],[Discount]]))-sales_data_1[[#This Row],[Unit_Cost]])*sales_data_1[[#This Row],[Quantity_Sold]]</f>
        <v>5389.5400000000009</v>
      </c>
      <c r="O1744" s="17" t="s">
        <v>17</v>
      </c>
      <c r="P1744" s="26">
        <v>0.2</v>
      </c>
      <c r="Q1744" s="17" t="s">
        <v>18</v>
      </c>
      <c r="R1744" s="17" t="s">
        <v>19</v>
      </c>
      <c r="S1744" s="50" t="str">
        <f t="shared" si="83"/>
        <v>David-South</v>
      </c>
      <c r="T1744" s="59" t="str">
        <f>IF(ROUND(sales_data_1[[#This Row],[Profit_Margin]],2)=ROUND((sales_data_1[[#This Row],[Unit_Price]]*(1-sales_data_1[[#This Row],[Discount]]) - sales_data_1[[#This Row],[Unit_Cost]])*sales_data_1[[#This Row],[Quantity_Sold]],2), "PASS", "CHECK")</f>
        <v>PASS</v>
      </c>
    </row>
    <row r="1745" spans="1:20" x14ac:dyDescent="0.35">
      <c r="A1745" s="7">
        <v>1744</v>
      </c>
      <c r="B1745" s="9">
        <v>1086</v>
      </c>
      <c r="C1745" s="14" t="str">
        <f>IFERROR(_xlfn.TEXTJOIN("-", TRUE, _xlfn.XLOOKUP(K1745, product_category_id_lookup!$A$2:$A$5, product_category_id_lookup!$B$2:$B$5), B1745), "Unknown Category")</f>
        <v>fd-1086</v>
      </c>
      <c r="D1745" s="8">
        <v>45154</v>
      </c>
      <c r="E1745" s="14">
        <f t="shared" si="81"/>
        <v>2023</v>
      </c>
      <c r="F1745" s="29" t="str">
        <f t="shared" si="82"/>
        <v>Aug</v>
      </c>
      <c r="G1745" s="17" t="s">
        <v>33</v>
      </c>
      <c r="H1745" s="17" t="s">
        <v>30</v>
      </c>
      <c r="I1745" s="24">
        <v>133926.08383249506</v>
      </c>
      <c r="J1745" s="32">
        <v>48</v>
      </c>
      <c r="K1745" s="17" t="s">
        <v>24</v>
      </c>
      <c r="L1745" s="24">
        <v>2632.58</v>
      </c>
      <c r="M1745" s="24">
        <v>2926.68</v>
      </c>
      <c r="N1745" s="34">
        <f>((sales_data_1[[#This Row],[Unit_Price]]*(1-sales_data_1[[#This Row],[Discount]]))-sales_data_1[[#This Row],[Unit_Cost]])*sales_data_1[[#This Row],[Quantity_Sold]]</f>
        <v>7092.7679999999818</v>
      </c>
      <c r="O1745" s="17" t="s">
        <v>17</v>
      </c>
      <c r="P1745" s="26">
        <v>0.05</v>
      </c>
      <c r="Q1745" s="17" t="s">
        <v>18</v>
      </c>
      <c r="R1745" s="17" t="s">
        <v>19</v>
      </c>
      <c r="S1745" s="50" t="str">
        <f t="shared" si="83"/>
        <v>Alice-East</v>
      </c>
      <c r="T1745" s="59" t="str">
        <f>IF(ROUND(sales_data_1[[#This Row],[Profit_Margin]],2)=ROUND((sales_data_1[[#This Row],[Unit_Price]]*(1-sales_data_1[[#This Row],[Discount]]) - sales_data_1[[#This Row],[Unit_Cost]])*sales_data_1[[#This Row],[Quantity_Sold]],2), "PASS", "CHECK")</f>
        <v>PASS</v>
      </c>
    </row>
    <row r="1746" spans="1:20" x14ac:dyDescent="0.35">
      <c r="A1746" s="7">
        <v>1745</v>
      </c>
      <c r="B1746" s="9">
        <v>1016</v>
      </c>
      <c r="C1746" s="14" t="str">
        <f>IFERROR(_xlfn.TEXTJOIN("-", TRUE, _xlfn.XLOOKUP(K1746, product_category_id_lookup!$A$2:$A$5, product_category_id_lookup!$B$2:$B$5), B1746), "Unknown Category")</f>
        <v>fd-1016</v>
      </c>
      <c r="D1746" s="8">
        <v>45155</v>
      </c>
      <c r="E1746" s="14">
        <f t="shared" si="81"/>
        <v>2023</v>
      </c>
      <c r="F1746" s="29" t="str">
        <f t="shared" si="82"/>
        <v>Aug</v>
      </c>
      <c r="G1746" s="17" t="s">
        <v>32</v>
      </c>
      <c r="H1746" s="17" t="s">
        <v>20</v>
      </c>
      <c r="I1746" s="24">
        <v>3927.8231999999994</v>
      </c>
      <c r="J1746" s="32">
        <v>7</v>
      </c>
      <c r="K1746" s="17" t="s">
        <v>24</v>
      </c>
      <c r="L1746" s="24">
        <v>282.94</v>
      </c>
      <c r="M1746" s="24">
        <v>779.32999999999993</v>
      </c>
      <c r="N1746" s="34">
        <f>((sales_data_1[[#This Row],[Unit_Price]]*(1-sales_data_1[[#This Row],[Discount]]))-sales_data_1[[#This Row],[Unit_Cost]])*sales_data_1[[#This Row],[Quantity_Sold]]</f>
        <v>1947.2431999999994</v>
      </c>
      <c r="O1746" s="17" t="s">
        <v>17</v>
      </c>
      <c r="P1746" s="26">
        <v>0.28000000000000003</v>
      </c>
      <c r="Q1746" s="17" t="s">
        <v>28</v>
      </c>
      <c r="R1746" s="17" t="s">
        <v>19</v>
      </c>
      <c r="S1746" s="50" t="str">
        <f t="shared" si="83"/>
        <v>Eve-West</v>
      </c>
      <c r="T1746" s="59" t="str">
        <f>IF(ROUND(sales_data_1[[#This Row],[Profit_Margin]],2)=ROUND((sales_data_1[[#This Row],[Unit_Price]]*(1-sales_data_1[[#This Row],[Discount]]) - sales_data_1[[#This Row],[Unit_Cost]])*sales_data_1[[#This Row],[Quantity_Sold]],2), "PASS", "CHECK")</f>
        <v>PASS</v>
      </c>
    </row>
    <row r="1747" spans="1:20" x14ac:dyDescent="0.35">
      <c r="A1747" s="7">
        <v>1746</v>
      </c>
      <c r="B1747" s="9">
        <v>1007</v>
      </c>
      <c r="C1747" s="14" t="str">
        <f>IFERROR(_xlfn.TEXTJOIN("-", TRUE, _xlfn.XLOOKUP(K1747, product_category_id_lookup!$A$2:$A$5, product_category_id_lookup!$B$2:$B$5), B1747), "Unknown Category")</f>
        <v>fnt-1007</v>
      </c>
      <c r="D1747" s="8">
        <v>45155</v>
      </c>
      <c r="E1747" s="14">
        <f t="shared" si="81"/>
        <v>2023</v>
      </c>
      <c r="F1747" s="29" t="str">
        <f t="shared" si="82"/>
        <v>Aug</v>
      </c>
      <c r="G1747" s="17" t="s">
        <v>32</v>
      </c>
      <c r="H1747" s="17" t="s">
        <v>30</v>
      </c>
      <c r="I1747" s="24">
        <v>72555.154000669965</v>
      </c>
      <c r="J1747" s="32">
        <v>16</v>
      </c>
      <c r="K1747" s="17" t="s">
        <v>16</v>
      </c>
      <c r="L1747" s="24">
        <v>4310.3100000000004</v>
      </c>
      <c r="M1747" s="24">
        <v>4633.1000000000004</v>
      </c>
      <c r="N1747" s="34">
        <f>((sales_data_1[[#This Row],[Unit_Price]]*(1-sales_data_1[[#This Row],[Discount]]))-sales_data_1[[#This Row],[Unit_Cost]])*sales_data_1[[#This Row],[Quantity_Sold]]</f>
        <v>3682.0479999999952</v>
      </c>
      <c r="O1747" s="17" t="s">
        <v>27</v>
      </c>
      <c r="P1747" s="26">
        <v>0.02</v>
      </c>
      <c r="Q1747" s="17" t="s">
        <v>28</v>
      </c>
      <c r="R1747" s="17" t="s">
        <v>21</v>
      </c>
      <c r="S1747" s="50" t="str">
        <f t="shared" si="83"/>
        <v>Eve-East</v>
      </c>
      <c r="T1747" s="59" t="str">
        <f>IF(ROUND(sales_data_1[[#This Row],[Profit_Margin]],2)=ROUND((sales_data_1[[#This Row],[Unit_Price]]*(1-sales_data_1[[#This Row],[Discount]]) - sales_data_1[[#This Row],[Unit_Cost]])*sales_data_1[[#This Row],[Quantity_Sold]],2), "PASS", "CHECK")</f>
        <v>PASS</v>
      </c>
    </row>
    <row r="1748" spans="1:20" x14ac:dyDescent="0.35">
      <c r="A1748" s="7">
        <v>1747</v>
      </c>
      <c r="B1748" s="9">
        <v>1060</v>
      </c>
      <c r="C1748" s="14" t="str">
        <f>IFERROR(_xlfn.TEXTJOIN("-", TRUE, _xlfn.XLOOKUP(K1748, product_category_id_lookup!$A$2:$A$5, product_category_id_lookup!$B$2:$B$5), B1748), "Unknown Category")</f>
        <v>ctg-1060</v>
      </c>
      <c r="D1748" s="8">
        <v>45155</v>
      </c>
      <c r="E1748" s="14">
        <f t="shared" si="81"/>
        <v>2023</v>
      </c>
      <c r="F1748" s="29" t="str">
        <f t="shared" si="82"/>
        <v>Aug</v>
      </c>
      <c r="G1748" s="17" t="s">
        <v>14</v>
      </c>
      <c r="H1748" s="17" t="s">
        <v>30</v>
      </c>
      <c r="I1748" s="24">
        <v>68334.719582288322</v>
      </c>
      <c r="J1748" s="32">
        <v>16</v>
      </c>
      <c r="K1748" s="17" t="s">
        <v>26</v>
      </c>
      <c r="L1748" s="24">
        <v>3975.99</v>
      </c>
      <c r="M1748" s="24">
        <v>4422.59</v>
      </c>
      <c r="N1748" s="34">
        <f>((sales_data_1[[#This Row],[Unit_Price]]*(1-sales_data_1[[#This Row],[Discount]]))-sales_data_1[[#This Row],[Unit_Cost]])*sales_data_1[[#This Row],[Quantity_Sold]]</f>
        <v>5022.7568000000028</v>
      </c>
      <c r="O1748" s="17" t="s">
        <v>27</v>
      </c>
      <c r="P1748" s="26">
        <v>0.03</v>
      </c>
      <c r="Q1748" s="17" t="s">
        <v>18</v>
      </c>
      <c r="R1748" s="17" t="s">
        <v>19</v>
      </c>
      <c r="S1748" s="50" t="str">
        <f t="shared" si="83"/>
        <v>Bob-East</v>
      </c>
      <c r="T1748" s="59" t="str">
        <f>IF(ROUND(sales_data_1[[#This Row],[Profit_Margin]],2)=ROUND((sales_data_1[[#This Row],[Unit_Price]]*(1-sales_data_1[[#This Row],[Discount]]) - sales_data_1[[#This Row],[Unit_Cost]])*sales_data_1[[#This Row],[Quantity_Sold]],2), "PASS", "CHECK")</f>
        <v>PASS</v>
      </c>
    </row>
    <row r="1749" spans="1:20" x14ac:dyDescent="0.35">
      <c r="A1749" s="7">
        <v>1748</v>
      </c>
      <c r="B1749" s="9">
        <v>1022</v>
      </c>
      <c r="C1749" s="14" t="str">
        <f>IFERROR(_xlfn.TEXTJOIN("-", TRUE, _xlfn.XLOOKUP(K1749, product_category_id_lookup!$A$2:$A$5, product_category_id_lookup!$B$2:$B$5), B1749), "Unknown Category")</f>
        <v>fd-1022</v>
      </c>
      <c r="D1749" s="8">
        <v>45155</v>
      </c>
      <c r="E1749" s="14">
        <f t="shared" si="81"/>
        <v>2023</v>
      </c>
      <c r="F1749" s="29" t="str">
        <f t="shared" si="82"/>
        <v>Aug</v>
      </c>
      <c r="G1749" s="17" t="s">
        <v>29</v>
      </c>
      <c r="H1749" s="17" t="s">
        <v>23</v>
      </c>
      <c r="I1749" s="24">
        <v>59413.889579657698</v>
      </c>
      <c r="J1749" s="32">
        <v>21</v>
      </c>
      <c r="K1749" s="17" t="s">
        <v>24</v>
      </c>
      <c r="L1749" s="24">
        <v>2537.1999999999998</v>
      </c>
      <c r="M1749" s="24">
        <v>2869.6</v>
      </c>
      <c r="N1749" s="34">
        <f>((sales_data_1[[#This Row],[Unit_Price]]*(1-sales_data_1[[#This Row],[Discount]]))-sales_data_1[[#This Row],[Unit_Cost]])*sales_data_1[[#This Row],[Quantity_Sold]]</f>
        <v>6377.7840000000033</v>
      </c>
      <c r="O1749" s="17" t="s">
        <v>27</v>
      </c>
      <c r="P1749" s="26">
        <v>0.01</v>
      </c>
      <c r="Q1749" s="17" t="s">
        <v>25</v>
      </c>
      <c r="R1749" s="17" t="s">
        <v>21</v>
      </c>
      <c r="S1749" s="50" t="str">
        <f t="shared" si="83"/>
        <v>Charlie-South</v>
      </c>
      <c r="T1749" s="59" t="str">
        <f>IF(ROUND(sales_data_1[[#This Row],[Profit_Margin]],2)=ROUND((sales_data_1[[#This Row],[Unit_Price]]*(1-sales_data_1[[#This Row],[Discount]]) - sales_data_1[[#This Row],[Unit_Cost]])*sales_data_1[[#This Row],[Quantity_Sold]],2), "PASS", "CHECK")</f>
        <v>PASS</v>
      </c>
    </row>
    <row r="1750" spans="1:20" x14ac:dyDescent="0.35">
      <c r="A1750" s="7">
        <v>1749</v>
      </c>
      <c r="B1750" s="9">
        <v>1009</v>
      </c>
      <c r="C1750" s="14" t="str">
        <f>IFERROR(_xlfn.TEXTJOIN("-", TRUE, _xlfn.XLOOKUP(K1750, product_category_id_lookup!$A$2:$A$5, product_category_id_lookup!$B$2:$B$5), B1750), "Unknown Category")</f>
        <v>ctg-1009</v>
      </c>
      <c r="D1750" s="8">
        <v>45155</v>
      </c>
      <c r="E1750" s="14">
        <f t="shared" si="81"/>
        <v>2023</v>
      </c>
      <c r="F1750" s="29" t="str">
        <f t="shared" si="82"/>
        <v>Aug</v>
      </c>
      <c r="G1750" s="17" t="s">
        <v>14</v>
      </c>
      <c r="H1750" s="17" t="s">
        <v>20</v>
      </c>
      <c r="I1750" s="24">
        <v>26966.652900000005</v>
      </c>
      <c r="J1750" s="32">
        <v>33</v>
      </c>
      <c r="K1750" s="17" t="s">
        <v>26</v>
      </c>
      <c r="L1750" s="24">
        <v>450.72</v>
      </c>
      <c r="M1750" s="24">
        <v>918.17000000000007</v>
      </c>
      <c r="N1750" s="34">
        <f>((sales_data_1[[#This Row],[Unit_Price]]*(1-sales_data_1[[#This Row],[Discount]]))-sales_data_1[[#This Row],[Unit_Cost]])*sales_data_1[[#This Row],[Quantity_Sold]]</f>
        <v>12092.892900000003</v>
      </c>
      <c r="O1750" s="17" t="s">
        <v>17</v>
      </c>
      <c r="P1750" s="26">
        <v>0.11</v>
      </c>
      <c r="Q1750" s="17" t="s">
        <v>18</v>
      </c>
      <c r="R1750" s="17" t="s">
        <v>19</v>
      </c>
      <c r="S1750" s="50" t="str">
        <f t="shared" si="83"/>
        <v>Bob-West</v>
      </c>
      <c r="T1750" s="59" t="str">
        <f>IF(ROUND(sales_data_1[[#This Row],[Profit_Margin]],2)=ROUND((sales_data_1[[#This Row],[Unit_Price]]*(1-sales_data_1[[#This Row],[Discount]]) - sales_data_1[[#This Row],[Unit_Cost]])*sales_data_1[[#This Row],[Quantity_Sold]],2), "PASS", "CHECK")</f>
        <v>PASS</v>
      </c>
    </row>
    <row r="1751" spans="1:20" x14ac:dyDescent="0.35">
      <c r="A1751" s="7">
        <v>1750</v>
      </c>
      <c r="B1751" s="9">
        <v>1090</v>
      </c>
      <c r="C1751" s="14" t="str">
        <f>IFERROR(_xlfn.TEXTJOIN("-", TRUE, _xlfn.XLOOKUP(K1751, product_category_id_lookup!$A$2:$A$5, product_category_id_lookup!$B$2:$B$5), B1751), "Unknown Category")</f>
        <v>ctg-1090</v>
      </c>
      <c r="D1751" s="8">
        <v>45157</v>
      </c>
      <c r="E1751" s="14">
        <f t="shared" si="81"/>
        <v>2023</v>
      </c>
      <c r="F1751" s="29" t="str">
        <f t="shared" si="82"/>
        <v>Aug</v>
      </c>
      <c r="G1751" s="17" t="s">
        <v>14</v>
      </c>
      <c r="H1751" s="17" t="s">
        <v>20</v>
      </c>
      <c r="I1751" s="24">
        <v>75264.844200000007</v>
      </c>
      <c r="J1751" s="32">
        <v>31</v>
      </c>
      <c r="K1751" s="17" t="s">
        <v>26</v>
      </c>
      <c r="L1751" s="24">
        <v>2347.81</v>
      </c>
      <c r="M1751" s="24">
        <v>2668.02</v>
      </c>
      <c r="N1751" s="34">
        <f>((sales_data_1[[#This Row],[Unit_Price]]*(1-sales_data_1[[#This Row],[Discount]]))-sales_data_1[[#This Row],[Unit_Cost]])*sales_data_1[[#This Row],[Quantity_Sold]]</f>
        <v>2482.7342000000044</v>
      </c>
      <c r="O1751" s="17" t="s">
        <v>17</v>
      </c>
      <c r="P1751" s="26">
        <v>0.09</v>
      </c>
      <c r="Q1751" s="17" t="s">
        <v>25</v>
      </c>
      <c r="R1751" s="17" t="s">
        <v>21</v>
      </c>
      <c r="S1751" s="50" t="str">
        <f t="shared" si="83"/>
        <v>Bob-West</v>
      </c>
      <c r="T1751" s="59" t="str">
        <f>IF(ROUND(sales_data_1[[#This Row],[Profit_Margin]],2)=ROUND((sales_data_1[[#This Row],[Unit_Price]]*(1-sales_data_1[[#This Row],[Discount]]) - sales_data_1[[#This Row],[Unit_Cost]])*sales_data_1[[#This Row],[Quantity_Sold]],2), "PASS", "CHECK")</f>
        <v>PASS</v>
      </c>
    </row>
    <row r="1752" spans="1:20" x14ac:dyDescent="0.35">
      <c r="A1752" s="7">
        <v>1751</v>
      </c>
      <c r="B1752" s="9">
        <v>1005</v>
      </c>
      <c r="C1752" s="14" t="str">
        <f>IFERROR(_xlfn.TEXTJOIN("-", TRUE, _xlfn.XLOOKUP(K1752, product_category_id_lookup!$A$2:$A$5, product_category_id_lookup!$B$2:$B$5), B1752), "Unknown Category")</f>
        <v>fd-1005</v>
      </c>
      <c r="D1752" s="8">
        <v>45158</v>
      </c>
      <c r="E1752" s="14">
        <f t="shared" si="81"/>
        <v>2023</v>
      </c>
      <c r="F1752" s="29" t="str">
        <f t="shared" si="82"/>
        <v>Aug</v>
      </c>
      <c r="G1752" s="17" t="s">
        <v>14</v>
      </c>
      <c r="H1752" s="17" t="s">
        <v>15</v>
      </c>
      <c r="I1752" s="24">
        <v>101197.95</v>
      </c>
      <c r="J1752" s="32">
        <v>21</v>
      </c>
      <c r="K1752" s="17" t="s">
        <v>24</v>
      </c>
      <c r="L1752" s="24">
        <v>4376.37</v>
      </c>
      <c r="M1752" s="24">
        <v>4818.95</v>
      </c>
      <c r="N1752" s="34">
        <f>((sales_data_1[[#This Row],[Unit_Price]]*(1-sales_data_1[[#This Row],[Discount]]))-sales_data_1[[#This Row],[Unit_Cost]])*sales_data_1[[#This Row],[Quantity_Sold]]</f>
        <v>9294.1799999999985</v>
      </c>
      <c r="O1752" s="17" t="s">
        <v>27</v>
      </c>
      <c r="P1752" s="26">
        <v>0</v>
      </c>
      <c r="Q1752" s="17" t="s">
        <v>28</v>
      </c>
      <c r="R1752" s="17" t="s">
        <v>21</v>
      </c>
      <c r="S1752" s="50" t="str">
        <f t="shared" si="83"/>
        <v>Bob-North</v>
      </c>
      <c r="T1752" s="59" t="str">
        <f>IF(ROUND(sales_data_1[[#This Row],[Profit_Margin]],2)=ROUND((sales_data_1[[#This Row],[Unit_Price]]*(1-sales_data_1[[#This Row],[Discount]]) - sales_data_1[[#This Row],[Unit_Cost]])*sales_data_1[[#This Row],[Quantity_Sold]],2), "PASS", "CHECK")</f>
        <v>PASS</v>
      </c>
    </row>
    <row r="1753" spans="1:20" x14ac:dyDescent="0.35">
      <c r="A1753" s="7">
        <v>1752</v>
      </c>
      <c r="B1753" s="9">
        <v>1072</v>
      </c>
      <c r="C1753" s="14" t="str">
        <f>IFERROR(_xlfn.TEXTJOIN("-", TRUE, _xlfn.XLOOKUP(K1753, product_category_id_lookup!$A$2:$A$5, product_category_id_lookup!$B$2:$B$5), B1753), "Unknown Category")</f>
        <v>ctg-1072</v>
      </c>
      <c r="D1753" s="8">
        <v>45159</v>
      </c>
      <c r="E1753" s="14">
        <f t="shared" si="81"/>
        <v>2023</v>
      </c>
      <c r="F1753" s="29" t="str">
        <f t="shared" si="82"/>
        <v>Aug</v>
      </c>
      <c r="G1753" s="17" t="s">
        <v>33</v>
      </c>
      <c r="H1753" s="17" t="s">
        <v>20</v>
      </c>
      <c r="I1753" s="24">
        <v>10201.9944</v>
      </c>
      <c r="J1753" s="32">
        <v>12</v>
      </c>
      <c r="K1753" s="17" t="s">
        <v>26</v>
      </c>
      <c r="L1753" s="24">
        <v>710.99</v>
      </c>
      <c r="M1753" s="24">
        <v>876.46</v>
      </c>
      <c r="N1753" s="34">
        <f>((sales_data_1[[#This Row],[Unit_Price]]*(1-sales_data_1[[#This Row],[Discount]]))-sales_data_1[[#This Row],[Unit_Cost]])*sales_data_1[[#This Row],[Quantity_Sold]]</f>
        <v>1670.1143999999999</v>
      </c>
      <c r="O1753" s="17" t="s">
        <v>17</v>
      </c>
      <c r="P1753" s="26">
        <v>0.03</v>
      </c>
      <c r="Q1753" s="17" t="s">
        <v>28</v>
      </c>
      <c r="R1753" s="17" t="s">
        <v>19</v>
      </c>
      <c r="S1753" s="50" t="str">
        <f t="shared" si="83"/>
        <v>Alice-West</v>
      </c>
      <c r="T1753" s="59" t="str">
        <f>IF(ROUND(sales_data_1[[#This Row],[Profit_Margin]],2)=ROUND((sales_data_1[[#This Row],[Unit_Price]]*(1-sales_data_1[[#This Row],[Discount]]) - sales_data_1[[#This Row],[Unit_Cost]])*sales_data_1[[#This Row],[Quantity_Sold]],2), "PASS", "CHECK")</f>
        <v>PASS</v>
      </c>
    </row>
    <row r="1754" spans="1:20" x14ac:dyDescent="0.35">
      <c r="A1754" s="7">
        <v>1753</v>
      </c>
      <c r="B1754" s="9">
        <v>1080</v>
      </c>
      <c r="C1754" s="14" t="str">
        <f>IFERROR(_xlfn.TEXTJOIN("-", TRUE, _xlfn.XLOOKUP(K1754, product_category_id_lookup!$A$2:$A$5, product_category_id_lookup!$B$2:$B$5), B1754), "Unknown Category")</f>
        <v>etc-1080</v>
      </c>
      <c r="D1754" s="8">
        <v>45159</v>
      </c>
      <c r="E1754" s="14">
        <f t="shared" si="81"/>
        <v>2023</v>
      </c>
      <c r="F1754" s="29" t="str">
        <f t="shared" si="82"/>
        <v>Aug</v>
      </c>
      <c r="G1754" s="17" t="s">
        <v>22</v>
      </c>
      <c r="H1754" s="17" t="s">
        <v>23</v>
      </c>
      <c r="I1754" s="24">
        <v>30111.26356607546</v>
      </c>
      <c r="J1754" s="32">
        <v>12</v>
      </c>
      <c r="K1754" s="17" t="s">
        <v>31</v>
      </c>
      <c r="L1754" s="24">
        <v>2316.13</v>
      </c>
      <c r="M1754" s="24">
        <v>2525.27</v>
      </c>
      <c r="N1754" s="34">
        <f>((sales_data_1[[#This Row],[Unit_Price]]*(1-sales_data_1[[#This Row],[Discount]]))-sales_data_1[[#This Row],[Unit_Cost]])*sales_data_1[[#This Row],[Quantity_Sold]]</f>
        <v>2206.6475999999984</v>
      </c>
      <c r="O1754" s="17" t="s">
        <v>17</v>
      </c>
      <c r="P1754" s="26">
        <v>0.01</v>
      </c>
      <c r="Q1754" s="17" t="s">
        <v>28</v>
      </c>
      <c r="R1754" s="17" t="s">
        <v>21</v>
      </c>
      <c r="S1754" s="50" t="str">
        <f t="shared" si="83"/>
        <v>David-South</v>
      </c>
      <c r="T1754" s="59" t="str">
        <f>IF(ROUND(sales_data_1[[#This Row],[Profit_Margin]],2)=ROUND((sales_data_1[[#This Row],[Unit_Price]]*(1-sales_data_1[[#This Row],[Discount]]) - sales_data_1[[#This Row],[Unit_Cost]])*sales_data_1[[#This Row],[Quantity_Sold]],2), "PASS", "CHECK")</f>
        <v>PASS</v>
      </c>
    </row>
    <row r="1755" spans="1:20" x14ac:dyDescent="0.35">
      <c r="A1755" s="7">
        <v>1754</v>
      </c>
      <c r="B1755" s="9">
        <v>1050</v>
      </c>
      <c r="C1755" s="14" t="str">
        <f>IFERROR(_xlfn.TEXTJOIN("-", TRUE, _xlfn.XLOOKUP(K1755, product_category_id_lookup!$A$2:$A$5, product_category_id_lookup!$B$2:$B$5), B1755), "Unknown Category")</f>
        <v>fnt-1050</v>
      </c>
      <c r="D1755" s="8">
        <v>45159</v>
      </c>
      <c r="E1755" s="14">
        <f t="shared" si="81"/>
        <v>2023</v>
      </c>
      <c r="F1755" s="29" t="str">
        <f t="shared" si="82"/>
        <v>Aug</v>
      </c>
      <c r="G1755" s="17" t="s">
        <v>22</v>
      </c>
      <c r="H1755" s="17" t="s">
        <v>15</v>
      </c>
      <c r="I1755" s="24">
        <v>44251.92240192389</v>
      </c>
      <c r="J1755" s="32">
        <v>17</v>
      </c>
      <c r="K1755" s="17" t="s">
        <v>16</v>
      </c>
      <c r="L1755" s="24">
        <v>2346.8000000000002</v>
      </c>
      <c r="M1755" s="24">
        <v>2654.65</v>
      </c>
      <c r="N1755" s="34">
        <f>((sales_data_1[[#This Row],[Unit_Price]]*(1-sales_data_1[[#This Row],[Discount]]))-sales_data_1[[#This Row],[Unit_Cost]])*sales_data_1[[#This Row],[Quantity_Sold]]</f>
        <v>4330.8690000000006</v>
      </c>
      <c r="O1755" s="17" t="s">
        <v>27</v>
      </c>
      <c r="P1755" s="26">
        <v>0.02</v>
      </c>
      <c r="Q1755" s="17" t="s">
        <v>18</v>
      </c>
      <c r="R1755" s="17" t="s">
        <v>21</v>
      </c>
      <c r="S1755" s="50" t="str">
        <f t="shared" si="83"/>
        <v>David-North</v>
      </c>
      <c r="T1755" s="59" t="str">
        <f>IF(ROUND(sales_data_1[[#This Row],[Profit_Margin]],2)=ROUND((sales_data_1[[#This Row],[Unit_Price]]*(1-sales_data_1[[#This Row],[Discount]]) - sales_data_1[[#This Row],[Unit_Cost]])*sales_data_1[[#This Row],[Quantity_Sold]],2), "PASS", "CHECK")</f>
        <v>PASS</v>
      </c>
    </row>
    <row r="1756" spans="1:20" x14ac:dyDescent="0.35">
      <c r="A1756" s="7">
        <v>1755</v>
      </c>
      <c r="B1756" s="9">
        <v>1092</v>
      </c>
      <c r="C1756" s="14" t="str">
        <f>IFERROR(_xlfn.TEXTJOIN("-", TRUE, _xlfn.XLOOKUP(K1756, product_category_id_lookup!$A$2:$A$5, product_category_id_lookup!$B$2:$B$5), B1756), "Unknown Category")</f>
        <v>ctg-1092</v>
      </c>
      <c r="D1756" s="8">
        <v>45160</v>
      </c>
      <c r="E1756" s="14">
        <f t="shared" si="81"/>
        <v>2023</v>
      </c>
      <c r="F1756" s="29" t="str">
        <f t="shared" si="82"/>
        <v>Aug</v>
      </c>
      <c r="G1756" s="17" t="s">
        <v>22</v>
      </c>
      <c r="H1756" s="17" t="s">
        <v>30</v>
      </c>
      <c r="I1756" s="24">
        <v>52839.670400000003</v>
      </c>
      <c r="J1756" s="32">
        <v>29</v>
      </c>
      <c r="K1756" s="17" t="s">
        <v>26</v>
      </c>
      <c r="L1756" s="24">
        <v>1742.24</v>
      </c>
      <c r="M1756" s="24">
        <v>2070.52</v>
      </c>
      <c r="N1756" s="34">
        <f>((sales_data_1[[#This Row],[Unit_Price]]*(1-sales_data_1[[#This Row],[Discount]]))-sales_data_1[[#This Row],[Unit_Cost]])*sales_data_1[[#This Row],[Quantity_Sold]]</f>
        <v>2314.7104000000027</v>
      </c>
      <c r="O1756" s="17" t="s">
        <v>27</v>
      </c>
      <c r="P1756" s="26">
        <v>0.12</v>
      </c>
      <c r="Q1756" s="17" t="s">
        <v>18</v>
      </c>
      <c r="R1756" s="17" t="s">
        <v>19</v>
      </c>
      <c r="S1756" s="50" t="str">
        <f t="shared" si="83"/>
        <v>David-East</v>
      </c>
      <c r="T1756" s="59" t="str">
        <f>IF(ROUND(sales_data_1[[#This Row],[Profit_Margin]],2)=ROUND((sales_data_1[[#This Row],[Unit_Price]]*(1-sales_data_1[[#This Row],[Discount]]) - sales_data_1[[#This Row],[Unit_Cost]])*sales_data_1[[#This Row],[Quantity_Sold]],2), "PASS", "CHECK")</f>
        <v>PASS</v>
      </c>
    </row>
    <row r="1757" spans="1:20" x14ac:dyDescent="0.35">
      <c r="A1757" s="7">
        <v>1756</v>
      </c>
      <c r="B1757" s="9">
        <v>1027</v>
      </c>
      <c r="C1757" s="14" t="str">
        <f>IFERROR(_xlfn.TEXTJOIN("-", TRUE, _xlfn.XLOOKUP(K1757, product_category_id_lookup!$A$2:$A$5, product_category_id_lookup!$B$2:$B$5), B1757), "Unknown Category")</f>
        <v>etc-1027</v>
      </c>
      <c r="D1757" s="8">
        <v>45161</v>
      </c>
      <c r="E1757" s="14">
        <f t="shared" si="81"/>
        <v>2023</v>
      </c>
      <c r="F1757" s="29" t="str">
        <f t="shared" si="82"/>
        <v>Aug</v>
      </c>
      <c r="G1757" s="17" t="s">
        <v>14</v>
      </c>
      <c r="H1757" s="17" t="s">
        <v>30</v>
      </c>
      <c r="I1757" s="24">
        <v>1820.1899999999998</v>
      </c>
      <c r="J1757" s="32">
        <v>4</v>
      </c>
      <c r="K1757" s="17" t="s">
        <v>31</v>
      </c>
      <c r="L1757" s="24">
        <v>282.61</v>
      </c>
      <c r="M1757" s="24">
        <v>548.25</v>
      </c>
      <c r="N1757" s="34">
        <f>((sales_data_1[[#This Row],[Unit_Price]]*(1-sales_data_1[[#This Row],[Discount]]))-sales_data_1[[#This Row],[Unit_Cost]])*sales_data_1[[#This Row],[Quantity_Sold]]</f>
        <v>689.74999999999977</v>
      </c>
      <c r="O1757" s="17" t="s">
        <v>27</v>
      </c>
      <c r="P1757" s="26">
        <v>0.17</v>
      </c>
      <c r="Q1757" s="17" t="s">
        <v>28</v>
      </c>
      <c r="R1757" s="17" t="s">
        <v>19</v>
      </c>
      <c r="S1757" s="50" t="str">
        <f t="shared" si="83"/>
        <v>Bob-East</v>
      </c>
      <c r="T1757" s="59" t="str">
        <f>IF(ROUND(sales_data_1[[#This Row],[Profit_Margin]],2)=ROUND((sales_data_1[[#This Row],[Unit_Price]]*(1-sales_data_1[[#This Row],[Discount]]) - sales_data_1[[#This Row],[Unit_Cost]])*sales_data_1[[#This Row],[Quantity_Sold]],2), "PASS", "CHECK")</f>
        <v>PASS</v>
      </c>
    </row>
    <row r="1758" spans="1:20" x14ac:dyDescent="0.35">
      <c r="A1758" s="7">
        <v>1757</v>
      </c>
      <c r="B1758" s="9">
        <v>1036</v>
      </c>
      <c r="C1758" s="14" t="str">
        <f>IFERROR(_xlfn.TEXTJOIN("-", TRUE, _xlfn.XLOOKUP(K1758, product_category_id_lookup!$A$2:$A$5, product_category_id_lookup!$B$2:$B$5), B1758), "Unknown Category")</f>
        <v>fd-1036</v>
      </c>
      <c r="D1758" s="8">
        <v>45161</v>
      </c>
      <c r="E1758" s="14">
        <f t="shared" si="81"/>
        <v>2023</v>
      </c>
      <c r="F1758" s="29" t="str">
        <f t="shared" si="82"/>
        <v>Aug</v>
      </c>
      <c r="G1758" s="17" t="s">
        <v>22</v>
      </c>
      <c r="H1758" s="17" t="s">
        <v>30</v>
      </c>
      <c r="I1758" s="24">
        <v>65887.124229703477</v>
      </c>
      <c r="J1758" s="32">
        <v>25</v>
      </c>
      <c r="K1758" s="17" t="s">
        <v>24</v>
      </c>
      <c r="L1758" s="24">
        <v>2520.9699999999998</v>
      </c>
      <c r="M1758" s="24">
        <v>2707.1099999999997</v>
      </c>
      <c r="N1758" s="34">
        <f>((sales_data_1[[#This Row],[Unit_Price]]*(1-sales_data_1[[#This Row],[Discount]]))-sales_data_1[[#This Row],[Unit_Cost]])*sales_data_1[[#This Row],[Quantity_Sold]]</f>
        <v>2623.1674999999996</v>
      </c>
      <c r="O1758" s="17" t="s">
        <v>27</v>
      </c>
      <c r="P1758" s="26">
        <v>0.03</v>
      </c>
      <c r="Q1758" s="17" t="s">
        <v>18</v>
      </c>
      <c r="R1758" s="17" t="s">
        <v>21</v>
      </c>
      <c r="S1758" s="50" t="str">
        <f t="shared" si="83"/>
        <v>David-East</v>
      </c>
      <c r="T1758" s="59" t="str">
        <f>IF(ROUND(sales_data_1[[#This Row],[Profit_Margin]],2)=ROUND((sales_data_1[[#This Row],[Unit_Price]]*(1-sales_data_1[[#This Row],[Discount]]) - sales_data_1[[#This Row],[Unit_Cost]])*sales_data_1[[#This Row],[Quantity_Sold]],2), "PASS", "CHECK")</f>
        <v>PASS</v>
      </c>
    </row>
    <row r="1759" spans="1:20" x14ac:dyDescent="0.35">
      <c r="A1759" s="7">
        <v>1758</v>
      </c>
      <c r="B1759" s="9">
        <v>1079</v>
      </c>
      <c r="C1759" s="14" t="str">
        <f>IFERROR(_xlfn.TEXTJOIN("-", TRUE, _xlfn.XLOOKUP(K1759, product_category_id_lookup!$A$2:$A$5, product_category_id_lookup!$B$2:$B$5), B1759), "Unknown Category")</f>
        <v>ctg-1079</v>
      </c>
      <c r="D1759" s="8">
        <v>45162</v>
      </c>
      <c r="E1759" s="14">
        <f t="shared" si="81"/>
        <v>2023</v>
      </c>
      <c r="F1759" s="29" t="str">
        <f t="shared" si="82"/>
        <v>Aug</v>
      </c>
      <c r="G1759" s="17" t="s">
        <v>33</v>
      </c>
      <c r="H1759" s="17" t="s">
        <v>15</v>
      </c>
      <c r="I1759" s="24">
        <v>31041.445660764155</v>
      </c>
      <c r="J1759" s="32">
        <v>8</v>
      </c>
      <c r="K1759" s="17" t="s">
        <v>26</v>
      </c>
      <c r="L1759" s="24">
        <v>3808.23</v>
      </c>
      <c r="M1759" s="24">
        <v>3891.62</v>
      </c>
      <c r="N1759" s="34">
        <f>((sales_data_1[[#This Row],[Unit_Price]]*(1-sales_data_1[[#This Row],[Discount]]))-sales_data_1[[#This Row],[Unit_Cost]])*sales_data_1[[#This Row],[Quantity_Sold]]</f>
        <v>667.11999999999898</v>
      </c>
      <c r="O1759" s="17" t="s">
        <v>17</v>
      </c>
      <c r="P1759" s="26">
        <v>0</v>
      </c>
      <c r="Q1759" s="17" t="s">
        <v>25</v>
      </c>
      <c r="R1759" s="17" t="s">
        <v>19</v>
      </c>
      <c r="S1759" s="50" t="str">
        <f t="shared" si="83"/>
        <v>Alice-North</v>
      </c>
      <c r="T1759" s="59" t="str">
        <f>IF(ROUND(sales_data_1[[#This Row],[Profit_Margin]],2)=ROUND((sales_data_1[[#This Row],[Unit_Price]]*(1-sales_data_1[[#This Row],[Discount]]) - sales_data_1[[#This Row],[Unit_Cost]])*sales_data_1[[#This Row],[Quantity_Sold]],2), "PASS", "CHECK")</f>
        <v>PASS</v>
      </c>
    </row>
    <row r="1760" spans="1:20" x14ac:dyDescent="0.35">
      <c r="A1760" s="7">
        <v>1759</v>
      </c>
      <c r="B1760" s="9">
        <v>1089</v>
      </c>
      <c r="C1760" s="14" t="str">
        <f>IFERROR(_xlfn.TEXTJOIN("-", TRUE, _xlfn.XLOOKUP(K1760, product_category_id_lookup!$A$2:$A$5, product_category_id_lookup!$B$2:$B$5), B1760), "Unknown Category")</f>
        <v>fnt-1089</v>
      </c>
      <c r="D1760" s="8">
        <v>45162</v>
      </c>
      <c r="E1760" s="14">
        <f t="shared" si="81"/>
        <v>2023</v>
      </c>
      <c r="F1760" s="29" t="str">
        <f t="shared" si="82"/>
        <v>Aug</v>
      </c>
      <c r="G1760" s="17" t="s">
        <v>32</v>
      </c>
      <c r="H1760" s="17" t="s">
        <v>15</v>
      </c>
      <c r="I1760" s="24">
        <v>18209.811048497315</v>
      </c>
      <c r="J1760" s="32">
        <v>4</v>
      </c>
      <c r="K1760" s="17" t="s">
        <v>16</v>
      </c>
      <c r="L1760" s="24">
        <v>4231.75</v>
      </c>
      <c r="M1760" s="24">
        <v>4727.75</v>
      </c>
      <c r="N1760" s="34">
        <f>((sales_data_1[[#This Row],[Unit_Price]]*(1-sales_data_1[[#This Row],[Discount]]))-sales_data_1[[#This Row],[Unit_Cost]])*sales_data_1[[#This Row],[Quantity_Sold]]</f>
        <v>1227.5599999999977</v>
      </c>
      <c r="O1760" s="17" t="s">
        <v>17</v>
      </c>
      <c r="P1760" s="26">
        <v>0.04</v>
      </c>
      <c r="Q1760" s="17" t="s">
        <v>28</v>
      </c>
      <c r="R1760" s="17" t="s">
        <v>21</v>
      </c>
      <c r="S1760" s="50" t="str">
        <f t="shared" si="83"/>
        <v>Eve-North</v>
      </c>
      <c r="T1760" s="59" t="str">
        <f>IF(ROUND(sales_data_1[[#This Row],[Profit_Margin]],2)=ROUND((sales_data_1[[#This Row],[Unit_Price]]*(1-sales_data_1[[#This Row],[Discount]]) - sales_data_1[[#This Row],[Unit_Cost]])*sales_data_1[[#This Row],[Quantity_Sold]],2), "PASS", "CHECK")</f>
        <v>PASS</v>
      </c>
    </row>
    <row r="1761" spans="1:20" x14ac:dyDescent="0.35">
      <c r="A1761" s="7">
        <v>1760</v>
      </c>
      <c r="B1761" s="9">
        <v>1072</v>
      </c>
      <c r="C1761" s="14" t="str">
        <f>IFERROR(_xlfn.TEXTJOIN("-", TRUE, _xlfn.XLOOKUP(K1761, product_category_id_lookup!$A$2:$A$5, product_category_id_lookup!$B$2:$B$5), B1761), "Unknown Category")</f>
        <v>ctg-1072</v>
      </c>
      <c r="D1761" s="8">
        <v>45162</v>
      </c>
      <c r="E1761" s="14">
        <f t="shared" si="81"/>
        <v>2023</v>
      </c>
      <c r="F1761" s="29" t="str">
        <f t="shared" si="82"/>
        <v>Aug</v>
      </c>
      <c r="G1761" s="17" t="s">
        <v>14</v>
      </c>
      <c r="H1761" s="17" t="s">
        <v>23</v>
      </c>
      <c r="I1761" s="24">
        <v>170757.40499999997</v>
      </c>
      <c r="J1761" s="32">
        <v>39</v>
      </c>
      <c r="K1761" s="17" t="s">
        <v>26</v>
      </c>
      <c r="L1761" s="24">
        <v>4330.03</v>
      </c>
      <c r="M1761" s="24">
        <v>4467.75</v>
      </c>
      <c r="N1761" s="34">
        <f>((sales_data_1[[#This Row],[Unit_Price]]*(1-sales_data_1[[#This Row],[Discount]]))-sales_data_1[[#This Row],[Unit_Cost]])*sales_data_1[[#This Row],[Quantity_Sold]]</f>
        <v>1886.2349999999915</v>
      </c>
      <c r="O1761" s="17" t="s">
        <v>27</v>
      </c>
      <c r="P1761" s="26">
        <v>0.02</v>
      </c>
      <c r="Q1761" s="17" t="s">
        <v>28</v>
      </c>
      <c r="R1761" s="17" t="s">
        <v>21</v>
      </c>
      <c r="S1761" s="50" t="str">
        <f t="shared" si="83"/>
        <v>Bob-South</v>
      </c>
      <c r="T1761" s="59" t="str">
        <f>IF(ROUND(sales_data_1[[#This Row],[Profit_Margin]],2)=ROUND((sales_data_1[[#This Row],[Unit_Price]]*(1-sales_data_1[[#This Row],[Discount]]) - sales_data_1[[#This Row],[Unit_Cost]])*sales_data_1[[#This Row],[Quantity_Sold]],2), "PASS", "CHECK")</f>
        <v>PASS</v>
      </c>
    </row>
    <row r="1762" spans="1:20" x14ac:dyDescent="0.35">
      <c r="A1762" s="7">
        <v>1761</v>
      </c>
      <c r="B1762" s="9">
        <v>1095</v>
      </c>
      <c r="C1762" s="14" t="str">
        <f>IFERROR(_xlfn.TEXTJOIN("-", TRUE, _xlfn.XLOOKUP(K1762, product_category_id_lookup!$A$2:$A$5, product_category_id_lookup!$B$2:$B$5), B1762), "Unknown Category")</f>
        <v>fd-1095</v>
      </c>
      <c r="D1762" s="8">
        <v>45162</v>
      </c>
      <c r="E1762" s="14">
        <f t="shared" si="81"/>
        <v>2023</v>
      </c>
      <c r="F1762" s="29" t="str">
        <f t="shared" si="82"/>
        <v>Aug</v>
      </c>
      <c r="G1762" s="17" t="s">
        <v>14</v>
      </c>
      <c r="H1762" s="17" t="s">
        <v>20</v>
      </c>
      <c r="I1762" s="24">
        <v>17985.240000000002</v>
      </c>
      <c r="J1762" s="32">
        <v>20</v>
      </c>
      <c r="K1762" s="17" t="s">
        <v>24</v>
      </c>
      <c r="L1762" s="24">
        <v>729.27</v>
      </c>
      <c r="M1762" s="24">
        <v>999.18000000000006</v>
      </c>
      <c r="N1762" s="34">
        <f>((sales_data_1[[#This Row],[Unit_Price]]*(1-sales_data_1[[#This Row],[Discount]]))-sales_data_1[[#This Row],[Unit_Cost]])*sales_data_1[[#This Row],[Quantity_Sold]]</f>
        <v>3399.8400000000015</v>
      </c>
      <c r="O1762" s="17" t="s">
        <v>27</v>
      </c>
      <c r="P1762" s="26">
        <v>0.1</v>
      </c>
      <c r="Q1762" s="17" t="s">
        <v>25</v>
      </c>
      <c r="R1762" s="17" t="s">
        <v>19</v>
      </c>
      <c r="S1762" s="50" t="str">
        <f t="shared" si="83"/>
        <v>Bob-West</v>
      </c>
      <c r="T1762" s="59" t="str">
        <f>IF(ROUND(sales_data_1[[#This Row],[Profit_Margin]],2)=ROUND((sales_data_1[[#This Row],[Unit_Price]]*(1-sales_data_1[[#This Row],[Discount]]) - sales_data_1[[#This Row],[Unit_Cost]])*sales_data_1[[#This Row],[Quantity_Sold]],2), "PASS", "CHECK")</f>
        <v>PASS</v>
      </c>
    </row>
    <row r="1763" spans="1:20" x14ac:dyDescent="0.35">
      <c r="A1763" s="7">
        <v>1762</v>
      </c>
      <c r="B1763" s="9">
        <v>1080</v>
      </c>
      <c r="C1763" s="14" t="str">
        <f>IFERROR(_xlfn.TEXTJOIN("-", TRUE, _xlfn.XLOOKUP(K1763, product_category_id_lookup!$A$2:$A$5, product_category_id_lookup!$B$2:$B$5), B1763), "Unknown Category")</f>
        <v>fnt-1080</v>
      </c>
      <c r="D1763" s="8">
        <v>45162</v>
      </c>
      <c r="E1763" s="14">
        <f t="shared" si="81"/>
        <v>2023</v>
      </c>
      <c r="F1763" s="29" t="str">
        <f t="shared" si="82"/>
        <v>Aug</v>
      </c>
      <c r="G1763" s="17" t="s">
        <v>14</v>
      </c>
      <c r="H1763" s="17" t="s">
        <v>20</v>
      </c>
      <c r="I1763" s="24">
        <v>50147.341199999995</v>
      </c>
      <c r="J1763" s="32">
        <v>17</v>
      </c>
      <c r="K1763" s="17" t="s">
        <v>16</v>
      </c>
      <c r="L1763" s="24">
        <v>2742.67</v>
      </c>
      <c r="M1763" s="24">
        <v>2979.64</v>
      </c>
      <c r="N1763" s="34">
        <f>((sales_data_1[[#This Row],[Unit_Price]]*(1-sales_data_1[[#This Row],[Discount]]))-sales_data_1[[#This Row],[Unit_Cost]])*sales_data_1[[#This Row],[Quantity_Sold]]</f>
        <v>3521.9511999999936</v>
      </c>
      <c r="O1763" s="17" t="s">
        <v>17</v>
      </c>
      <c r="P1763" s="26">
        <v>0.01</v>
      </c>
      <c r="Q1763" s="17" t="s">
        <v>18</v>
      </c>
      <c r="R1763" s="17" t="s">
        <v>21</v>
      </c>
      <c r="S1763" s="50" t="str">
        <f t="shared" si="83"/>
        <v>Bob-West</v>
      </c>
      <c r="T1763" s="59" t="str">
        <f>IF(ROUND(sales_data_1[[#This Row],[Profit_Margin]],2)=ROUND((sales_data_1[[#This Row],[Unit_Price]]*(1-sales_data_1[[#This Row],[Discount]]) - sales_data_1[[#This Row],[Unit_Cost]])*sales_data_1[[#This Row],[Quantity_Sold]],2), "PASS", "CHECK")</f>
        <v>PASS</v>
      </c>
    </row>
    <row r="1764" spans="1:20" x14ac:dyDescent="0.35">
      <c r="A1764" s="7">
        <v>1763</v>
      </c>
      <c r="B1764" s="9">
        <v>1075</v>
      </c>
      <c r="C1764" s="14" t="str">
        <f>IFERROR(_xlfn.TEXTJOIN("-", TRUE, _xlfn.XLOOKUP(K1764, product_category_id_lookup!$A$2:$A$5, product_category_id_lookup!$B$2:$B$5), B1764), "Unknown Category")</f>
        <v>ctg-1075</v>
      </c>
      <c r="D1764" s="8">
        <v>45162</v>
      </c>
      <c r="E1764" s="14">
        <f t="shared" si="81"/>
        <v>2023</v>
      </c>
      <c r="F1764" s="29" t="str">
        <f t="shared" si="82"/>
        <v>Aug</v>
      </c>
      <c r="G1764" s="17" t="s">
        <v>29</v>
      </c>
      <c r="H1764" s="17" t="s">
        <v>20</v>
      </c>
      <c r="I1764" s="24">
        <v>49322.716800000002</v>
      </c>
      <c r="J1764" s="32">
        <v>42</v>
      </c>
      <c r="K1764" s="17" t="s">
        <v>26</v>
      </c>
      <c r="L1764" s="24">
        <v>967.77</v>
      </c>
      <c r="M1764" s="24">
        <v>1414.88</v>
      </c>
      <c r="N1764" s="34">
        <f>((sales_data_1[[#This Row],[Unit_Price]]*(1-sales_data_1[[#This Row],[Discount]]))-sales_data_1[[#This Row],[Unit_Cost]])*sales_data_1[[#This Row],[Quantity_Sold]]</f>
        <v>8676.3768000000018</v>
      </c>
      <c r="O1764" s="17" t="s">
        <v>27</v>
      </c>
      <c r="P1764" s="26">
        <v>0.17</v>
      </c>
      <c r="Q1764" s="17" t="s">
        <v>25</v>
      </c>
      <c r="R1764" s="17" t="s">
        <v>19</v>
      </c>
      <c r="S1764" s="50" t="str">
        <f t="shared" si="83"/>
        <v>Charlie-West</v>
      </c>
      <c r="T1764" s="59" t="str">
        <f>IF(ROUND(sales_data_1[[#This Row],[Profit_Margin]],2)=ROUND((sales_data_1[[#This Row],[Unit_Price]]*(1-sales_data_1[[#This Row],[Discount]]) - sales_data_1[[#This Row],[Unit_Cost]])*sales_data_1[[#This Row],[Quantity_Sold]],2), "PASS", "CHECK")</f>
        <v>PASS</v>
      </c>
    </row>
    <row r="1765" spans="1:20" x14ac:dyDescent="0.35">
      <c r="A1765" s="7">
        <v>1764</v>
      </c>
      <c r="B1765" s="9">
        <v>1072</v>
      </c>
      <c r="C1765" s="14" t="str">
        <f>IFERROR(_xlfn.TEXTJOIN("-", TRUE, _xlfn.XLOOKUP(K1765, product_category_id_lookup!$A$2:$A$5, product_category_id_lookup!$B$2:$B$5), B1765), "Unknown Category")</f>
        <v>fd-1072</v>
      </c>
      <c r="D1765" s="8">
        <v>45163</v>
      </c>
      <c r="E1765" s="14">
        <f t="shared" si="81"/>
        <v>2023</v>
      </c>
      <c r="F1765" s="29" t="str">
        <f t="shared" si="82"/>
        <v>Aug</v>
      </c>
      <c r="G1765" s="17" t="s">
        <v>29</v>
      </c>
      <c r="H1765" s="17" t="s">
        <v>23</v>
      </c>
      <c r="I1765" s="24">
        <v>18435.168958577542</v>
      </c>
      <c r="J1765" s="32">
        <v>12</v>
      </c>
      <c r="K1765" s="17" t="s">
        <v>24</v>
      </c>
      <c r="L1765" s="24">
        <v>1517.4</v>
      </c>
      <c r="M1765" s="24">
        <v>1545.02</v>
      </c>
      <c r="N1765" s="34">
        <f>((sales_data_1[[#This Row],[Unit_Price]]*(1-sales_data_1[[#This Row],[Discount]]))-sales_data_1[[#This Row],[Unit_Cost]])*sales_data_1[[#This Row],[Quantity_Sold]]</f>
        <v>146.03759999999875</v>
      </c>
      <c r="O1765" s="17" t="s">
        <v>27</v>
      </c>
      <c r="P1765" s="26">
        <v>0.01</v>
      </c>
      <c r="Q1765" s="17" t="s">
        <v>25</v>
      </c>
      <c r="R1765" s="17" t="s">
        <v>21</v>
      </c>
      <c r="S1765" s="50" t="str">
        <f t="shared" si="83"/>
        <v>Charlie-South</v>
      </c>
      <c r="T1765" s="59" t="str">
        <f>IF(ROUND(sales_data_1[[#This Row],[Profit_Margin]],2)=ROUND((sales_data_1[[#This Row],[Unit_Price]]*(1-sales_data_1[[#This Row],[Discount]]) - sales_data_1[[#This Row],[Unit_Cost]])*sales_data_1[[#This Row],[Quantity_Sold]],2), "PASS", "CHECK")</f>
        <v>PASS</v>
      </c>
    </row>
    <row r="1766" spans="1:20" x14ac:dyDescent="0.35">
      <c r="A1766" s="7">
        <v>1765</v>
      </c>
      <c r="B1766" s="9">
        <v>1032</v>
      </c>
      <c r="C1766" s="14" t="str">
        <f>IFERROR(_xlfn.TEXTJOIN("-", TRUE, _xlfn.XLOOKUP(K1766, product_category_id_lookup!$A$2:$A$5, product_category_id_lookup!$B$2:$B$5), B1766), "Unknown Category")</f>
        <v>etc-1032</v>
      </c>
      <c r="D1766" s="8">
        <v>45163</v>
      </c>
      <c r="E1766" s="14">
        <f t="shared" si="81"/>
        <v>2023</v>
      </c>
      <c r="F1766" s="29" t="str">
        <f t="shared" si="82"/>
        <v>Aug</v>
      </c>
      <c r="G1766" s="17" t="s">
        <v>14</v>
      </c>
      <c r="H1766" s="17" t="s">
        <v>15</v>
      </c>
      <c r="I1766" s="24">
        <v>107874.75401422144</v>
      </c>
      <c r="J1766" s="32">
        <v>23</v>
      </c>
      <c r="K1766" s="17" t="s">
        <v>31</v>
      </c>
      <c r="L1766" s="24">
        <v>4673.1899999999996</v>
      </c>
      <c r="M1766" s="24">
        <v>4761.1799999999994</v>
      </c>
      <c r="N1766" s="34">
        <f>((sales_data_1[[#This Row],[Unit_Price]]*(1-sales_data_1[[#This Row],[Discount]]))-sales_data_1[[#This Row],[Unit_Cost]])*sales_data_1[[#This Row],[Quantity_Sold]]</f>
        <v>928.69860000000244</v>
      </c>
      <c r="O1766" s="17" t="s">
        <v>17</v>
      </c>
      <c r="P1766" s="26">
        <v>0.01</v>
      </c>
      <c r="Q1766" s="17" t="s">
        <v>28</v>
      </c>
      <c r="R1766" s="17" t="s">
        <v>21</v>
      </c>
      <c r="S1766" s="50" t="str">
        <f t="shared" si="83"/>
        <v>Bob-North</v>
      </c>
      <c r="T1766" s="59" t="str">
        <f>IF(ROUND(sales_data_1[[#This Row],[Profit_Margin]],2)=ROUND((sales_data_1[[#This Row],[Unit_Price]]*(1-sales_data_1[[#This Row],[Discount]]) - sales_data_1[[#This Row],[Unit_Cost]])*sales_data_1[[#This Row],[Quantity_Sold]],2), "PASS", "CHECK")</f>
        <v>PASS</v>
      </c>
    </row>
    <row r="1767" spans="1:20" x14ac:dyDescent="0.35">
      <c r="A1767" s="7">
        <v>1766</v>
      </c>
      <c r="B1767" s="9">
        <v>1041</v>
      </c>
      <c r="C1767" s="14" t="str">
        <f>IFERROR(_xlfn.TEXTJOIN("-", TRUE, _xlfn.XLOOKUP(K1767, product_category_id_lookup!$A$2:$A$5, product_category_id_lookup!$B$2:$B$5), B1767), "Unknown Category")</f>
        <v>fd-1041</v>
      </c>
      <c r="D1767" s="8">
        <v>45163</v>
      </c>
      <c r="E1767" s="14">
        <f t="shared" si="81"/>
        <v>2023</v>
      </c>
      <c r="F1767" s="29" t="str">
        <f t="shared" si="82"/>
        <v>Aug</v>
      </c>
      <c r="G1767" s="17" t="s">
        <v>14</v>
      </c>
      <c r="H1767" s="17" t="s">
        <v>23</v>
      </c>
      <c r="I1767" s="24">
        <v>52319.353256430957</v>
      </c>
      <c r="J1767" s="32">
        <v>31</v>
      </c>
      <c r="K1767" s="17" t="s">
        <v>24</v>
      </c>
      <c r="L1767" s="24">
        <v>1604.52</v>
      </c>
      <c r="M1767" s="24">
        <v>1756.34</v>
      </c>
      <c r="N1767" s="34">
        <f>((sales_data_1[[#This Row],[Unit_Price]]*(1-sales_data_1[[#This Row],[Discount]]))-sales_data_1[[#This Row],[Unit_Cost]])*sales_data_1[[#This Row],[Quantity_Sold]]</f>
        <v>2528.5583999999981</v>
      </c>
      <c r="O1767" s="17" t="s">
        <v>17</v>
      </c>
      <c r="P1767" s="26">
        <v>0.04</v>
      </c>
      <c r="Q1767" s="17" t="s">
        <v>18</v>
      </c>
      <c r="R1767" s="17" t="s">
        <v>21</v>
      </c>
      <c r="S1767" s="50" t="str">
        <f t="shared" si="83"/>
        <v>Bob-South</v>
      </c>
      <c r="T1767" s="59" t="str">
        <f>IF(ROUND(sales_data_1[[#This Row],[Profit_Margin]],2)=ROUND((sales_data_1[[#This Row],[Unit_Price]]*(1-sales_data_1[[#This Row],[Discount]]) - sales_data_1[[#This Row],[Unit_Cost]])*sales_data_1[[#This Row],[Quantity_Sold]],2), "PASS", "CHECK")</f>
        <v>PASS</v>
      </c>
    </row>
    <row r="1768" spans="1:20" x14ac:dyDescent="0.35">
      <c r="A1768" s="7">
        <v>1767</v>
      </c>
      <c r="B1768" s="9">
        <v>1024</v>
      </c>
      <c r="C1768" s="14" t="str">
        <f>IFERROR(_xlfn.TEXTJOIN("-", TRUE, _xlfn.XLOOKUP(K1768, product_category_id_lookup!$A$2:$A$5, product_category_id_lookup!$B$2:$B$5), B1768), "Unknown Category")</f>
        <v>etc-1024</v>
      </c>
      <c r="D1768" s="8">
        <v>45163</v>
      </c>
      <c r="E1768" s="14">
        <f t="shared" si="81"/>
        <v>2023</v>
      </c>
      <c r="F1768" s="29" t="str">
        <f t="shared" si="82"/>
        <v>Aug</v>
      </c>
      <c r="G1768" s="17" t="s">
        <v>22</v>
      </c>
      <c r="H1768" s="17" t="s">
        <v>23</v>
      </c>
      <c r="I1768" s="24">
        <v>82340.795877829296</v>
      </c>
      <c r="J1768" s="32">
        <v>42</v>
      </c>
      <c r="K1768" s="17" t="s">
        <v>31</v>
      </c>
      <c r="L1768" s="24">
        <v>1586.02</v>
      </c>
      <c r="M1768" s="24">
        <v>2047.13</v>
      </c>
      <c r="N1768" s="34">
        <f>((sales_data_1[[#This Row],[Unit_Price]]*(1-sales_data_1[[#This Row],[Discount]]))-sales_data_1[[#This Row],[Unit_Cost]])*sales_data_1[[#This Row],[Quantity_Sold]]</f>
        <v>15927.441599999998</v>
      </c>
      <c r="O1768" s="17" t="s">
        <v>27</v>
      </c>
      <c r="P1768" s="26">
        <v>0.04</v>
      </c>
      <c r="Q1768" s="17" t="s">
        <v>18</v>
      </c>
      <c r="R1768" s="17" t="s">
        <v>21</v>
      </c>
      <c r="S1768" s="50" t="str">
        <f t="shared" si="83"/>
        <v>David-South</v>
      </c>
      <c r="T1768" s="59" t="str">
        <f>IF(ROUND(sales_data_1[[#This Row],[Profit_Margin]],2)=ROUND((sales_data_1[[#This Row],[Unit_Price]]*(1-sales_data_1[[#This Row],[Discount]]) - sales_data_1[[#This Row],[Unit_Cost]])*sales_data_1[[#This Row],[Quantity_Sold]],2), "PASS", "CHECK")</f>
        <v>PASS</v>
      </c>
    </row>
    <row r="1769" spans="1:20" x14ac:dyDescent="0.35">
      <c r="A1769" s="7">
        <v>1768</v>
      </c>
      <c r="B1769" s="9">
        <v>1099</v>
      </c>
      <c r="C1769" s="14" t="str">
        <f>IFERROR(_xlfn.TEXTJOIN("-", TRUE, _xlfn.XLOOKUP(K1769, product_category_id_lookup!$A$2:$A$5, product_category_id_lookup!$B$2:$B$5), B1769), "Unknown Category")</f>
        <v>fd-1099</v>
      </c>
      <c r="D1769" s="8">
        <v>45164</v>
      </c>
      <c r="E1769" s="14">
        <f t="shared" si="81"/>
        <v>2023</v>
      </c>
      <c r="F1769" s="29" t="str">
        <f t="shared" si="82"/>
        <v>Aug</v>
      </c>
      <c r="G1769" s="17" t="s">
        <v>22</v>
      </c>
      <c r="H1769" s="17" t="s">
        <v>20</v>
      </c>
      <c r="I1769" s="24">
        <v>42206.919606150834</v>
      </c>
      <c r="J1769" s="32">
        <v>17</v>
      </c>
      <c r="K1769" s="17" t="s">
        <v>24</v>
      </c>
      <c r="L1769" s="24">
        <v>2471.73</v>
      </c>
      <c r="M1769" s="24">
        <v>2568.73</v>
      </c>
      <c r="N1769" s="34">
        <f>((sales_data_1[[#This Row],[Unit_Price]]*(1-sales_data_1[[#This Row],[Discount]]))-sales_data_1[[#This Row],[Unit_Cost]])*sales_data_1[[#This Row],[Quantity_Sold]]</f>
        <v>338.94769999999744</v>
      </c>
      <c r="O1769" s="17" t="s">
        <v>27</v>
      </c>
      <c r="P1769" s="26">
        <v>0.03</v>
      </c>
      <c r="Q1769" s="17" t="s">
        <v>18</v>
      </c>
      <c r="R1769" s="17" t="s">
        <v>21</v>
      </c>
      <c r="S1769" s="50" t="str">
        <f t="shared" si="83"/>
        <v>David-West</v>
      </c>
      <c r="T1769" s="59" t="str">
        <f>IF(ROUND(sales_data_1[[#This Row],[Profit_Margin]],2)=ROUND((sales_data_1[[#This Row],[Unit_Price]]*(1-sales_data_1[[#This Row],[Discount]]) - sales_data_1[[#This Row],[Unit_Cost]])*sales_data_1[[#This Row],[Quantity_Sold]],2), "PASS", "CHECK")</f>
        <v>PASS</v>
      </c>
    </row>
    <row r="1770" spans="1:20" x14ac:dyDescent="0.35">
      <c r="A1770" s="7">
        <v>1769</v>
      </c>
      <c r="B1770" s="9">
        <v>1021</v>
      </c>
      <c r="C1770" s="14" t="str">
        <f>IFERROR(_xlfn.TEXTJOIN("-", TRUE, _xlfn.XLOOKUP(K1770, product_category_id_lookup!$A$2:$A$5, product_category_id_lookup!$B$2:$B$5), B1770), "Unknown Category")</f>
        <v>ctg-1021</v>
      </c>
      <c r="D1770" s="8">
        <v>45165</v>
      </c>
      <c r="E1770" s="14">
        <f t="shared" si="81"/>
        <v>2023</v>
      </c>
      <c r="F1770" s="29" t="str">
        <f t="shared" si="82"/>
        <v>Aug</v>
      </c>
      <c r="G1770" s="17" t="s">
        <v>32</v>
      </c>
      <c r="H1770" s="17" t="s">
        <v>15</v>
      </c>
      <c r="I1770" s="24">
        <v>10831.2871458476</v>
      </c>
      <c r="J1770" s="32">
        <v>19</v>
      </c>
      <c r="K1770" s="17" t="s">
        <v>26</v>
      </c>
      <c r="L1770" s="24">
        <v>444.05</v>
      </c>
      <c r="M1770" s="24">
        <v>584.44000000000005</v>
      </c>
      <c r="N1770" s="34">
        <f>((sales_data_1[[#This Row],[Unit_Price]]*(1-sales_data_1[[#This Row],[Discount]]))-sales_data_1[[#This Row],[Unit_Cost]])*sales_data_1[[#This Row],[Quantity_Sold]]</f>
        <v>2445.3228000000004</v>
      </c>
      <c r="O1770" s="17" t="s">
        <v>17</v>
      </c>
      <c r="P1770" s="26">
        <v>0.02</v>
      </c>
      <c r="Q1770" s="17" t="s">
        <v>18</v>
      </c>
      <c r="R1770" s="17" t="s">
        <v>21</v>
      </c>
      <c r="S1770" s="50" t="str">
        <f t="shared" si="83"/>
        <v>Eve-North</v>
      </c>
      <c r="T1770" s="59" t="str">
        <f>IF(ROUND(sales_data_1[[#This Row],[Profit_Margin]],2)=ROUND((sales_data_1[[#This Row],[Unit_Price]]*(1-sales_data_1[[#This Row],[Discount]]) - sales_data_1[[#This Row],[Unit_Cost]])*sales_data_1[[#This Row],[Quantity_Sold]],2), "PASS", "CHECK")</f>
        <v>PASS</v>
      </c>
    </row>
    <row r="1771" spans="1:20" x14ac:dyDescent="0.35">
      <c r="A1771" s="7">
        <v>1770</v>
      </c>
      <c r="B1771" s="9">
        <v>1019</v>
      </c>
      <c r="C1771" s="14" t="str">
        <f>IFERROR(_xlfn.TEXTJOIN("-", TRUE, _xlfn.XLOOKUP(K1771, product_category_id_lookup!$A$2:$A$5, product_category_id_lookup!$B$2:$B$5), B1771), "Unknown Category")</f>
        <v>fd-1019</v>
      </c>
      <c r="D1771" s="8">
        <v>45165</v>
      </c>
      <c r="E1771" s="14">
        <f t="shared" si="81"/>
        <v>2023</v>
      </c>
      <c r="F1771" s="29" t="str">
        <f t="shared" si="82"/>
        <v>Aug</v>
      </c>
      <c r="G1771" s="17" t="s">
        <v>29</v>
      </c>
      <c r="H1771" s="17" t="s">
        <v>15</v>
      </c>
      <c r="I1771" s="24">
        <v>68329.509669545703</v>
      </c>
      <c r="J1771" s="32">
        <v>18</v>
      </c>
      <c r="K1771" s="17" t="s">
        <v>24</v>
      </c>
      <c r="L1771" s="24">
        <v>3591.14</v>
      </c>
      <c r="M1771" s="24">
        <v>3822.99</v>
      </c>
      <c r="N1771" s="34">
        <f>((sales_data_1[[#This Row],[Unit_Price]]*(1-sales_data_1[[#This Row],[Discount]]))-sales_data_1[[#This Row],[Unit_Cost]])*sales_data_1[[#This Row],[Quantity_Sold]]</f>
        <v>3485.1618000000017</v>
      </c>
      <c r="O1771" s="17" t="s">
        <v>17</v>
      </c>
      <c r="P1771" s="26">
        <v>0.01</v>
      </c>
      <c r="Q1771" s="17" t="s">
        <v>28</v>
      </c>
      <c r="R1771" s="17" t="s">
        <v>19</v>
      </c>
      <c r="S1771" s="50" t="str">
        <f t="shared" si="83"/>
        <v>Charlie-North</v>
      </c>
      <c r="T1771" s="59" t="str">
        <f>IF(ROUND(sales_data_1[[#This Row],[Profit_Margin]],2)=ROUND((sales_data_1[[#This Row],[Unit_Price]]*(1-sales_data_1[[#This Row],[Discount]]) - sales_data_1[[#This Row],[Unit_Cost]])*sales_data_1[[#This Row],[Quantity_Sold]],2), "PASS", "CHECK")</f>
        <v>PASS</v>
      </c>
    </row>
    <row r="1772" spans="1:20" x14ac:dyDescent="0.35">
      <c r="A1772" s="7">
        <v>1771</v>
      </c>
      <c r="B1772" s="9">
        <v>1008</v>
      </c>
      <c r="C1772" s="14" t="str">
        <f>IFERROR(_xlfn.TEXTJOIN("-", TRUE, _xlfn.XLOOKUP(K1772, product_category_id_lookup!$A$2:$A$5, product_category_id_lookup!$B$2:$B$5), B1772), "Unknown Category")</f>
        <v>ctg-1008</v>
      </c>
      <c r="D1772" s="8">
        <v>45165</v>
      </c>
      <c r="E1772" s="14">
        <f t="shared" si="81"/>
        <v>2023</v>
      </c>
      <c r="F1772" s="29" t="str">
        <f t="shared" si="82"/>
        <v>Aug</v>
      </c>
      <c r="G1772" s="17" t="s">
        <v>22</v>
      </c>
      <c r="H1772" s="17" t="s">
        <v>23</v>
      </c>
      <c r="I1772" s="24">
        <v>117628.67311629378</v>
      </c>
      <c r="J1772" s="32">
        <v>40</v>
      </c>
      <c r="K1772" s="17" t="s">
        <v>26</v>
      </c>
      <c r="L1772" s="24">
        <v>2687.49</v>
      </c>
      <c r="M1772" s="24">
        <v>3001.56</v>
      </c>
      <c r="N1772" s="34">
        <f>((sales_data_1[[#This Row],[Unit_Price]]*(1-sales_data_1[[#This Row],[Discount]]))-sales_data_1[[#This Row],[Unit_Cost]])*sales_data_1[[#This Row],[Quantity_Sold]]</f>
        <v>10161.552000000011</v>
      </c>
      <c r="O1772" s="17" t="s">
        <v>17</v>
      </c>
      <c r="P1772" s="26">
        <v>0.02</v>
      </c>
      <c r="Q1772" s="17" t="s">
        <v>25</v>
      </c>
      <c r="R1772" s="17" t="s">
        <v>19</v>
      </c>
      <c r="S1772" s="50" t="str">
        <f t="shared" si="83"/>
        <v>David-South</v>
      </c>
      <c r="T1772" s="59" t="str">
        <f>IF(ROUND(sales_data_1[[#This Row],[Profit_Margin]],2)=ROUND((sales_data_1[[#This Row],[Unit_Price]]*(1-sales_data_1[[#This Row],[Discount]]) - sales_data_1[[#This Row],[Unit_Cost]])*sales_data_1[[#This Row],[Quantity_Sold]],2), "PASS", "CHECK")</f>
        <v>PASS</v>
      </c>
    </row>
    <row r="1773" spans="1:20" x14ac:dyDescent="0.35">
      <c r="A1773" s="7">
        <v>1772</v>
      </c>
      <c r="B1773" s="9">
        <v>1099</v>
      </c>
      <c r="C1773" s="14" t="str">
        <f>IFERROR(_xlfn.TEXTJOIN("-", TRUE, _xlfn.XLOOKUP(K1773, product_category_id_lookup!$A$2:$A$5, product_category_id_lookup!$B$2:$B$5), B1773), "Unknown Category")</f>
        <v>ctg-1099</v>
      </c>
      <c r="D1773" s="8">
        <v>45167</v>
      </c>
      <c r="E1773" s="14">
        <f t="shared" si="81"/>
        <v>2023</v>
      </c>
      <c r="F1773" s="29" t="str">
        <f t="shared" si="82"/>
        <v>Aug</v>
      </c>
      <c r="G1773" s="17" t="s">
        <v>33</v>
      </c>
      <c r="H1773" s="17" t="s">
        <v>20</v>
      </c>
      <c r="I1773" s="24">
        <v>220426.97000228212</v>
      </c>
      <c r="J1773" s="32">
        <v>44</v>
      </c>
      <c r="K1773" s="17" t="s">
        <v>26</v>
      </c>
      <c r="L1773" s="24">
        <v>4933.1099999999997</v>
      </c>
      <c r="M1773" s="24">
        <v>5245.86</v>
      </c>
      <c r="N1773" s="34">
        <f>((sales_data_1[[#This Row],[Unit_Price]]*(1-sales_data_1[[#This Row],[Discount]]))-sales_data_1[[#This Row],[Unit_Cost]])*sales_data_1[[#This Row],[Quantity_Sold]]</f>
        <v>2220.1079999999747</v>
      </c>
      <c r="O1773" s="17" t="s">
        <v>17</v>
      </c>
      <c r="P1773" s="26">
        <v>0.05</v>
      </c>
      <c r="Q1773" s="17" t="s">
        <v>25</v>
      </c>
      <c r="R1773" s="17" t="s">
        <v>21</v>
      </c>
      <c r="S1773" s="50" t="str">
        <f t="shared" si="83"/>
        <v>Alice-West</v>
      </c>
      <c r="T1773" s="59" t="str">
        <f>IF(ROUND(sales_data_1[[#This Row],[Profit_Margin]],2)=ROUND((sales_data_1[[#This Row],[Unit_Price]]*(1-sales_data_1[[#This Row],[Discount]]) - sales_data_1[[#This Row],[Unit_Cost]])*sales_data_1[[#This Row],[Quantity_Sold]],2), "PASS", "CHECK")</f>
        <v>PASS</v>
      </c>
    </row>
    <row r="1774" spans="1:20" x14ac:dyDescent="0.35">
      <c r="A1774" s="7">
        <v>1773</v>
      </c>
      <c r="B1774" s="9">
        <v>1042</v>
      </c>
      <c r="C1774" s="14" t="str">
        <f>IFERROR(_xlfn.TEXTJOIN("-", TRUE, _xlfn.XLOOKUP(K1774, product_category_id_lookup!$A$2:$A$5, product_category_id_lookup!$B$2:$B$5), B1774), "Unknown Category")</f>
        <v>ctg-1042</v>
      </c>
      <c r="D1774" s="8">
        <v>45167</v>
      </c>
      <c r="E1774" s="14">
        <f t="shared" si="81"/>
        <v>2023</v>
      </c>
      <c r="F1774" s="29" t="str">
        <f t="shared" si="82"/>
        <v>Aug</v>
      </c>
      <c r="G1774" s="17" t="s">
        <v>32</v>
      </c>
      <c r="H1774" s="17" t="s">
        <v>23</v>
      </c>
      <c r="I1774" s="24">
        <v>37840.9375313934</v>
      </c>
      <c r="J1774" s="32">
        <v>27</v>
      </c>
      <c r="K1774" s="17" t="s">
        <v>26</v>
      </c>
      <c r="L1774" s="24">
        <v>1139.45</v>
      </c>
      <c r="M1774" s="24">
        <v>1454.41</v>
      </c>
      <c r="N1774" s="34">
        <f>((sales_data_1[[#This Row],[Unit_Price]]*(1-sales_data_1[[#This Row],[Discount]]))-sales_data_1[[#This Row],[Unit_Cost]])*sales_data_1[[#This Row],[Quantity_Sold]]</f>
        <v>6933.1571999999996</v>
      </c>
      <c r="O1774" s="17" t="s">
        <v>17</v>
      </c>
      <c r="P1774" s="26">
        <v>0.04</v>
      </c>
      <c r="Q1774" s="17" t="s">
        <v>25</v>
      </c>
      <c r="R1774" s="17" t="s">
        <v>19</v>
      </c>
      <c r="S1774" s="50" t="str">
        <f t="shared" si="83"/>
        <v>Eve-South</v>
      </c>
      <c r="T1774" s="59" t="str">
        <f>IF(ROUND(sales_data_1[[#This Row],[Profit_Margin]],2)=ROUND((sales_data_1[[#This Row],[Unit_Price]]*(1-sales_data_1[[#This Row],[Discount]]) - sales_data_1[[#This Row],[Unit_Cost]])*sales_data_1[[#This Row],[Quantity_Sold]],2), "PASS", "CHECK")</f>
        <v>PASS</v>
      </c>
    </row>
    <row r="1775" spans="1:20" x14ac:dyDescent="0.35">
      <c r="A1775" s="7">
        <v>1774</v>
      </c>
      <c r="B1775" s="9">
        <v>1033</v>
      </c>
      <c r="C1775" s="14" t="str">
        <f>IFERROR(_xlfn.TEXTJOIN("-", TRUE, _xlfn.XLOOKUP(K1775, product_category_id_lookup!$A$2:$A$5, product_category_id_lookup!$B$2:$B$5), B1775), "Unknown Category")</f>
        <v>fd-1033</v>
      </c>
      <c r="D1775" s="8">
        <v>45168</v>
      </c>
      <c r="E1775" s="14">
        <f t="shared" si="81"/>
        <v>2023</v>
      </c>
      <c r="F1775" s="29" t="str">
        <f t="shared" si="82"/>
        <v>Aug</v>
      </c>
      <c r="G1775" s="17" t="s">
        <v>14</v>
      </c>
      <c r="H1775" s="17" t="s">
        <v>30</v>
      </c>
      <c r="I1775" s="24">
        <v>8139.6070000000009</v>
      </c>
      <c r="J1775" s="32">
        <v>14</v>
      </c>
      <c r="K1775" s="17" t="s">
        <v>24</v>
      </c>
      <c r="L1775" s="24">
        <v>504.3</v>
      </c>
      <c r="M1775" s="24">
        <v>735.95</v>
      </c>
      <c r="N1775" s="34">
        <f>((sales_data_1[[#This Row],[Unit_Price]]*(1-sales_data_1[[#This Row],[Discount]]))-sales_data_1[[#This Row],[Unit_Cost]])*sales_data_1[[#This Row],[Quantity_Sold]]</f>
        <v>1079.4070000000011</v>
      </c>
      <c r="O1775" s="17" t="s">
        <v>17</v>
      </c>
      <c r="P1775" s="26">
        <v>0.21</v>
      </c>
      <c r="Q1775" s="17" t="s">
        <v>18</v>
      </c>
      <c r="R1775" s="17" t="s">
        <v>21</v>
      </c>
      <c r="S1775" s="50" t="str">
        <f t="shared" si="83"/>
        <v>Bob-East</v>
      </c>
      <c r="T1775" s="59" t="str">
        <f>IF(ROUND(sales_data_1[[#This Row],[Profit_Margin]],2)=ROUND((sales_data_1[[#This Row],[Unit_Price]]*(1-sales_data_1[[#This Row],[Discount]]) - sales_data_1[[#This Row],[Unit_Cost]])*sales_data_1[[#This Row],[Quantity_Sold]],2), "PASS", "CHECK")</f>
        <v>PASS</v>
      </c>
    </row>
    <row r="1776" spans="1:20" x14ac:dyDescent="0.35">
      <c r="A1776" s="7">
        <v>1775</v>
      </c>
      <c r="B1776" s="9">
        <v>1077</v>
      </c>
      <c r="C1776" s="14" t="str">
        <f>IFERROR(_xlfn.TEXTJOIN("-", TRUE, _xlfn.XLOOKUP(K1776, product_category_id_lookup!$A$2:$A$5, product_category_id_lookup!$B$2:$B$5), B1776), "Unknown Category")</f>
        <v>etc-1077</v>
      </c>
      <c r="D1776" s="8">
        <v>45168</v>
      </c>
      <c r="E1776" s="14">
        <f t="shared" si="81"/>
        <v>2023</v>
      </c>
      <c r="F1776" s="29" t="str">
        <f t="shared" si="82"/>
        <v>Aug</v>
      </c>
      <c r="G1776" s="17" t="s">
        <v>33</v>
      </c>
      <c r="H1776" s="17" t="s">
        <v>20</v>
      </c>
      <c r="I1776" s="24">
        <v>5372.5899999999992</v>
      </c>
      <c r="J1776" s="32">
        <v>25</v>
      </c>
      <c r="K1776" s="17" t="s">
        <v>31</v>
      </c>
      <c r="L1776" s="24">
        <v>61.5</v>
      </c>
      <c r="M1776" s="24">
        <v>258.91999999999996</v>
      </c>
      <c r="N1776" s="34">
        <f>((sales_data_1[[#This Row],[Unit_Price]]*(1-sales_data_1[[#This Row],[Discount]]))-sales_data_1[[#This Row],[Unit_Cost]])*sales_data_1[[#This Row],[Quantity_Sold]]</f>
        <v>3835.0899999999988</v>
      </c>
      <c r="O1776" s="17" t="s">
        <v>27</v>
      </c>
      <c r="P1776" s="26">
        <v>0.17</v>
      </c>
      <c r="Q1776" s="17" t="s">
        <v>28</v>
      </c>
      <c r="R1776" s="17" t="s">
        <v>19</v>
      </c>
      <c r="S1776" s="50" t="str">
        <f t="shared" si="83"/>
        <v>Alice-West</v>
      </c>
      <c r="T1776" s="59" t="str">
        <f>IF(ROUND(sales_data_1[[#This Row],[Profit_Margin]],2)=ROUND((sales_data_1[[#This Row],[Unit_Price]]*(1-sales_data_1[[#This Row],[Discount]]) - sales_data_1[[#This Row],[Unit_Cost]])*sales_data_1[[#This Row],[Quantity_Sold]],2), "PASS", "CHECK")</f>
        <v>PASS</v>
      </c>
    </row>
    <row r="1777" spans="1:20" x14ac:dyDescent="0.35">
      <c r="A1777" s="7">
        <v>1776</v>
      </c>
      <c r="B1777" s="9">
        <v>1018</v>
      </c>
      <c r="C1777" s="14" t="str">
        <f>IFERROR(_xlfn.TEXTJOIN("-", TRUE, _xlfn.XLOOKUP(K1777, product_category_id_lookup!$A$2:$A$5, product_category_id_lookup!$B$2:$B$5), B1777), "Unknown Category")</f>
        <v>etc-1018</v>
      </c>
      <c r="D1777" s="8">
        <v>45169</v>
      </c>
      <c r="E1777" s="14">
        <f t="shared" si="81"/>
        <v>2023</v>
      </c>
      <c r="F1777" s="29" t="str">
        <f t="shared" si="82"/>
        <v>Aug</v>
      </c>
      <c r="G1777" s="17" t="s">
        <v>33</v>
      </c>
      <c r="H1777" s="17" t="s">
        <v>30</v>
      </c>
      <c r="I1777" s="24">
        <v>2333.0278661066859</v>
      </c>
      <c r="J1777" s="32">
        <v>1</v>
      </c>
      <c r="K1777" s="17" t="s">
        <v>31</v>
      </c>
      <c r="L1777" s="24">
        <v>2315.83</v>
      </c>
      <c r="M1777" s="24">
        <v>2333.19</v>
      </c>
      <c r="N1777" s="34">
        <f>((sales_data_1[[#This Row],[Unit_Price]]*(1-sales_data_1[[#This Row],[Discount]]))-sales_data_1[[#This Row],[Unit_Cost]])*sales_data_1[[#This Row],[Quantity_Sold]]</f>
        <v>17.360000000000127</v>
      </c>
      <c r="O1777" s="17" t="s">
        <v>27</v>
      </c>
      <c r="P1777" s="26">
        <v>0</v>
      </c>
      <c r="Q1777" s="17" t="s">
        <v>18</v>
      </c>
      <c r="R1777" s="17" t="s">
        <v>21</v>
      </c>
      <c r="S1777" s="50" t="str">
        <f t="shared" si="83"/>
        <v>Alice-East</v>
      </c>
      <c r="T1777" s="59" t="str">
        <f>IF(ROUND(sales_data_1[[#This Row],[Profit_Margin]],2)=ROUND((sales_data_1[[#This Row],[Unit_Price]]*(1-sales_data_1[[#This Row],[Discount]]) - sales_data_1[[#This Row],[Unit_Cost]])*sales_data_1[[#This Row],[Quantity_Sold]],2), "PASS", "CHECK")</f>
        <v>PASS</v>
      </c>
    </row>
    <row r="1778" spans="1:20" x14ac:dyDescent="0.35">
      <c r="A1778" s="7">
        <v>1777</v>
      </c>
      <c r="B1778" s="9">
        <v>1026</v>
      </c>
      <c r="C1778" s="14" t="str">
        <f>IFERROR(_xlfn.TEXTJOIN("-", TRUE, _xlfn.XLOOKUP(K1778, product_category_id_lookup!$A$2:$A$5, product_category_id_lookup!$B$2:$B$5), B1778), "Unknown Category")</f>
        <v>etc-1026</v>
      </c>
      <c r="D1778" s="8">
        <v>45169</v>
      </c>
      <c r="E1778" s="14">
        <f t="shared" si="81"/>
        <v>2023</v>
      </c>
      <c r="F1778" s="29" t="str">
        <f t="shared" si="82"/>
        <v>Aug</v>
      </c>
      <c r="G1778" s="17" t="s">
        <v>33</v>
      </c>
      <c r="H1778" s="17" t="s">
        <v>30</v>
      </c>
      <c r="I1778" s="24">
        <v>34184.980000000003</v>
      </c>
      <c r="J1778" s="32">
        <v>25</v>
      </c>
      <c r="K1778" s="17" t="s">
        <v>31</v>
      </c>
      <c r="L1778" s="24">
        <v>1156.8800000000001</v>
      </c>
      <c r="M1778" s="24">
        <v>1454.68</v>
      </c>
      <c r="N1778" s="34">
        <f>((sales_data_1[[#This Row],[Unit_Price]]*(1-sales_data_1[[#This Row],[Discount]]))-sales_data_1[[#This Row],[Unit_Cost]])*sales_data_1[[#This Row],[Quantity_Sold]]</f>
        <v>5262.9799999999987</v>
      </c>
      <c r="O1778" s="17" t="s">
        <v>17</v>
      </c>
      <c r="P1778" s="26">
        <v>0.06</v>
      </c>
      <c r="Q1778" s="17" t="s">
        <v>28</v>
      </c>
      <c r="R1778" s="17" t="s">
        <v>19</v>
      </c>
      <c r="S1778" s="50" t="str">
        <f t="shared" si="83"/>
        <v>Alice-East</v>
      </c>
      <c r="T1778" s="59" t="str">
        <f>IF(ROUND(sales_data_1[[#This Row],[Profit_Margin]],2)=ROUND((sales_data_1[[#This Row],[Unit_Price]]*(1-sales_data_1[[#This Row],[Discount]]) - sales_data_1[[#This Row],[Unit_Cost]])*sales_data_1[[#This Row],[Quantity_Sold]],2), "PASS", "CHECK")</f>
        <v>PASS</v>
      </c>
    </row>
    <row r="1779" spans="1:20" x14ac:dyDescent="0.35">
      <c r="A1779" s="7">
        <v>1778</v>
      </c>
      <c r="B1779" s="9">
        <v>1092</v>
      </c>
      <c r="C1779" s="14" t="str">
        <f>IFERROR(_xlfn.TEXTJOIN("-", TRUE, _xlfn.XLOOKUP(K1779, product_category_id_lookup!$A$2:$A$5, product_category_id_lookup!$B$2:$B$5), B1779), "Unknown Category")</f>
        <v>fd-1092</v>
      </c>
      <c r="D1779" s="8">
        <v>45169</v>
      </c>
      <c r="E1779" s="14">
        <f t="shared" si="81"/>
        <v>2023</v>
      </c>
      <c r="F1779" s="29" t="str">
        <f t="shared" si="82"/>
        <v>Aug</v>
      </c>
      <c r="G1779" s="17" t="s">
        <v>32</v>
      </c>
      <c r="H1779" s="17" t="s">
        <v>23</v>
      </c>
      <c r="I1779" s="24">
        <v>209420.73164298874</v>
      </c>
      <c r="J1779" s="32">
        <v>47</v>
      </c>
      <c r="K1779" s="17" t="s">
        <v>24</v>
      </c>
      <c r="L1779" s="24">
        <v>4284.9799999999996</v>
      </c>
      <c r="M1779" s="24">
        <v>4462.3999999999996</v>
      </c>
      <c r="N1779" s="34">
        <f>((sales_data_1[[#This Row],[Unit_Price]]*(1-sales_data_1[[#This Row],[Discount]]))-sales_data_1[[#This Row],[Unit_Cost]])*sales_data_1[[#This Row],[Quantity_Sold]]</f>
        <v>8338.7400000000034</v>
      </c>
      <c r="O1779" s="17" t="s">
        <v>27</v>
      </c>
      <c r="P1779" s="26">
        <v>0</v>
      </c>
      <c r="Q1779" s="17" t="s">
        <v>28</v>
      </c>
      <c r="R1779" s="17" t="s">
        <v>21</v>
      </c>
      <c r="S1779" s="50" t="str">
        <f t="shared" si="83"/>
        <v>Eve-South</v>
      </c>
      <c r="T1779" s="59" t="str">
        <f>IF(ROUND(sales_data_1[[#This Row],[Profit_Margin]],2)=ROUND((sales_data_1[[#This Row],[Unit_Price]]*(1-sales_data_1[[#This Row],[Discount]]) - sales_data_1[[#This Row],[Unit_Cost]])*sales_data_1[[#This Row],[Quantity_Sold]],2), "PASS", "CHECK")</f>
        <v>PASS</v>
      </c>
    </row>
    <row r="1780" spans="1:20" x14ac:dyDescent="0.35">
      <c r="A1780" s="7">
        <v>1779</v>
      </c>
      <c r="B1780" s="9">
        <v>1028</v>
      </c>
      <c r="C1780" s="14" t="str">
        <f>IFERROR(_xlfn.TEXTJOIN("-", TRUE, _xlfn.XLOOKUP(K1780, product_category_id_lookup!$A$2:$A$5, product_category_id_lookup!$B$2:$B$5), B1780), "Unknown Category")</f>
        <v>fnt-1028</v>
      </c>
      <c r="D1780" s="8">
        <v>45169</v>
      </c>
      <c r="E1780" s="14">
        <f t="shared" si="81"/>
        <v>2023</v>
      </c>
      <c r="F1780" s="29" t="str">
        <f t="shared" si="82"/>
        <v>Aug</v>
      </c>
      <c r="G1780" s="17" t="s">
        <v>32</v>
      </c>
      <c r="H1780" s="17" t="s">
        <v>15</v>
      </c>
      <c r="I1780" s="24">
        <v>66928.481892538868</v>
      </c>
      <c r="J1780" s="32">
        <v>28</v>
      </c>
      <c r="K1780" s="17" t="s">
        <v>16</v>
      </c>
      <c r="L1780" s="24">
        <v>2055.2800000000002</v>
      </c>
      <c r="M1780" s="24">
        <v>2449.6400000000003</v>
      </c>
      <c r="N1780" s="34">
        <f>((sales_data_1[[#This Row],[Unit_Price]]*(1-sales_data_1[[#This Row],[Discount]]))-sales_data_1[[#This Row],[Unit_Cost]])*sales_data_1[[#This Row],[Quantity_Sold]]</f>
        <v>9670.2816000000039</v>
      </c>
      <c r="O1780" s="17" t="s">
        <v>27</v>
      </c>
      <c r="P1780" s="26">
        <v>0.02</v>
      </c>
      <c r="Q1780" s="17" t="s">
        <v>28</v>
      </c>
      <c r="R1780" s="17" t="s">
        <v>19</v>
      </c>
      <c r="S1780" s="50" t="str">
        <f t="shared" si="83"/>
        <v>Eve-North</v>
      </c>
      <c r="T1780" s="59" t="str">
        <f>IF(ROUND(sales_data_1[[#This Row],[Profit_Margin]],2)=ROUND((sales_data_1[[#This Row],[Unit_Price]]*(1-sales_data_1[[#This Row],[Discount]]) - sales_data_1[[#This Row],[Unit_Cost]])*sales_data_1[[#This Row],[Quantity_Sold]],2), "PASS", "CHECK")</f>
        <v>PASS</v>
      </c>
    </row>
    <row r="1781" spans="1:20" x14ac:dyDescent="0.35">
      <c r="A1781" s="7">
        <v>1780</v>
      </c>
      <c r="B1781" s="9">
        <v>1059</v>
      </c>
      <c r="C1781" s="14" t="str">
        <f>IFERROR(_xlfn.TEXTJOIN("-", TRUE, _xlfn.XLOOKUP(K1781, product_category_id_lookup!$A$2:$A$5, product_category_id_lookup!$B$2:$B$5), B1781), "Unknown Category")</f>
        <v>fd-1059</v>
      </c>
      <c r="D1781" s="8">
        <v>45169</v>
      </c>
      <c r="E1781" s="14">
        <f t="shared" si="81"/>
        <v>2023</v>
      </c>
      <c r="F1781" s="29" t="str">
        <f t="shared" si="82"/>
        <v>Aug</v>
      </c>
      <c r="G1781" s="17" t="s">
        <v>33</v>
      </c>
      <c r="H1781" s="17" t="s">
        <v>15</v>
      </c>
      <c r="I1781" s="24">
        <v>129123.03600000001</v>
      </c>
      <c r="J1781" s="32">
        <v>35</v>
      </c>
      <c r="K1781" s="17" t="s">
        <v>24</v>
      </c>
      <c r="L1781" s="24">
        <v>3333.64</v>
      </c>
      <c r="M1781" s="24">
        <v>3764.52</v>
      </c>
      <c r="N1781" s="34">
        <f>((sales_data_1[[#This Row],[Unit_Price]]*(1-sales_data_1[[#This Row],[Discount]]))-sales_data_1[[#This Row],[Unit_Cost]])*sales_data_1[[#This Row],[Quantity_Sold]]</f>
        <v>12445.63600000001</v>
      </c>
      <c r="O1781" s="17" t="s">
        <v>17</v>
      </c>
      <c r="P1781" s="26">
        <v>0.02</v>
      </c>
      <c r="Q1781" s="17" t="s">
        <v>28</v>
      </c>
      <c r="R1781" s="17" t="s">
        <v>19</v>
      </c>
      <c r="S1781" s="50" t="str">
        <f t="shared" si="83"/>
        <v>Alice-North</v>
      </c>
      <c r="T1781" s="59" t="str">
        <f>IF(ROUND(sales_data_1[[#This Row],[Profit_Margin]],2)=ROUND((sales_data_1[[#This Row],[Unit_Price]]*(1-sales_data_1[[#This Row],[Discount]]) - sales_data_1[[#This Row],[Unit_Cost]])*sales_data_1[[#This Row],[Quantity_Sold]],2), "PASS", "CHECK")</f>
        <v>PASS</v>
      </c>
    </row>
    <row r="1782" spans="1:20" x14ac:dyDescent="0.35">
      <c r="A1782" s="7">
        <v>1781</v>
      </c>
      <c r="B1782" s="9">
        <v>1086</v>
      </c>
      <c r="C1782" s="14" t="str">
        <f>IFERROR(_xlfn.TEXTJOIN("-", TRUE, _xlfn.XLOOKUP(K1782, product_category_id_lookup!$A$2:$A$5, product_category_id_lookup!$B$2:$B$5), B1782), "Unknown Category")</f>
        <v>etc-1086</v>
      </c>
      <c r="D1782" s="8">
        <v>45170</v>
      </c>
      <c r="E1782" s="14">
        <f t="shared" si="81"/>
        <v>2023</v>
      </c>
      <c r="F1782" s="29" t="str">
        <f t="shared" si="82"/>
        <v>Sep</v>
      </c>
      <c r="G1782" s="17" t="s">
        <v>29</v>
      </c>
      <c r="H1782" s="17" t="s">
        <v>20</v>
      </c>
      <c r="I1782" s="24">
        <v>70208.036012416705</v>
      </c>
      <c r="J1782" s="32">
        <v>17</v>
      </c>
      <c r="K1782" s="17" t="s">
        <v>31</v>
      </c>
      <c r="L1782" s="24">
        <v>4075.08</v>
      </c>
      <c r="M1782" s="24">
        <v>4262.21</v>
      </c>
      <c r="N1782" s="34">
        <f>((sales_data_1[[#This Row],[Unit_Price]]*(1-sales_data_1[[#This Row],[Discount]]))-sales_data_1[[#This Row],[Unit_Cost]])*sales_data_1[[#This Row],[Quantity_Sold]]</f>
        <v>1007.4829000000072</v>
      </c>
      <c r="O1782" s="17" t="s">
        <v>27</v>
      </c>
      <c r="P1782" s="26">
        <v>0.03</v>
      </c>
      <c r="Q1782" s="17" t="s">
        <v>18</v>
      </c>
      <c r="R1782" s="17" t="s">
        <v>19</v>
      </c>
      <c r="S1782" s="50" t="str">
        <f t="shared" si="83"/>
        <v>Charlie-West</v>
      </c>
      <c r="T1782" s="59" t="str">
        <f>IF(ROUND(sales_data_1[[#This Row],[Profit_Margin]],2)=ROUND((sales_data_1[[#This Row],[Unit_Price]]*(1-sales_data_1[[#This Row],[Discount]]) - sales_data_1[[#This Row],[Unit_Cost]])*sales_data_1[[#This Row],[Quantity_Sold]],2), "PASS", "CHECK")</f>
        <v>PASS</v>
      </c>
    </row>
    <row r="1783" spans="1:20" x14ac:dyDescent="0.35">
      <c r="A1783" s="7">
        <v>1782</v>
      </c>
      <c r="B1783" s="9">
        <v>1019</v>
      </c>
      <c r="C1783" s="14" t="str">
        <f>IFERROR(_xlfn.TEXTJOIN("-", TRUE, _xlfn.XLOOKUP(K1783, product_category_id_lookup!$A$2:$A$5, product_category_id_lookup!$B$2:$B$5), B1783), "Unknown Category")</f>
        <v>ctg-1019</v>
      </c>
      <c r="D1783" s="8">
        <v>45170</v>
      </c>
      <c r="E1783" s="14">
        <f t="shared" si="81"/>
        <v>2023</v>
      </c>
      <c r="F1783" s="29" t="str">
        <f t="shared" si="82"/>
        <v>Sep</v>
      </c>
      <c r="G1783" s="17" t="s">
        <v>22</v>
      </c>
      <c r="H1783" s="17" t="s">
        <v>20</v>
      </c>
      <c r="I1783" s="24">
        <v>6078.1344000000008</v>
      </c>
      <c r="J1783" s="32">
        <v>16</v>
      </c>
      <c r="K1783" s="17" t="s">
        <v>26</v>
      </c>
      <c r="L1783" s="24">
        <v>97.24</v>
      </c>
      <c r="M1783" s="24">
        <v>487.03000000000003</v>
      </c>
      <c r="N1783" s="34">
        <f>((sales_data_1[[#This Row],[Unit_Price]]*(1-sales_data_1[[#This Row],[Discount]]))-sales_data_1[[#This Row],[Unit_Cost]])*sales_data_1[[#This Row],[Quantity_Sold]]</f>
        <v>4522.2944000000007</v>
      </c>
      <c r="O1783" s="17" t="s">
        <v>27</v>
      </c>
      <c r="P1783" s="26">
        <v>0.22</v>
      </c>
      <c r="Q1783" s="17" t="s">
        <v>25</v>
      </c>
      <c r="R1783" s="17" t="s">
        <v>21</v>
      </c>
      <c r="S1783" s="50" t="str">
        <f t="shared" si="83"/>
        <v>David-West</v>
      </c>
      <c r="T1783" s="59" t="str">
        <f>IF(ROUND(sales_data_1[[#This Row],[Profit_Margin]],2)=ROUND((sales_data_1[[#This Row],[Unit_Price]]*(1-sales_data_1[[#This Row],[Discount]]) - sales_data_1[[#This Row],[Unit_Cost]])*sales_data_1[[#This Row],[Quantity_Sold]],2), "PASS", "CHECK")</f>
        <v>PASS</v>
      </c>
    </row>
    <row r="1784" spans="1:20" x14ac:dyDescent="0.35">
      <c r="A1784" s="7">
        <v>1783</v>
      </c>
      <c r="B1784" s="9">
        <v>1058</v>
      </c>
      <c r="C1784" s="14" t="str">
        <f>IFERROR(_xlfn.TEXTJOIN("-", TRUE, _xlfn.XLOOKUP(K1784, product_category_id_lookup!$A$2:$A$5, product_category_id_lookup!$B$2:$B$5), B1784), "Unknown Category")</f>
        <v>fnt-1058</v>
      </c>
      <c r="D1784" s="8">
        <v>45171</v>
      </c>
      <c r="E1784" s="14">
        <f t="shared" si="81"/>
        <v>2023</v>
      </c>
      <c r="F1784" s="29" t="str">
        <f t="shared" si="82"/>
        <v>Sep</v>
      </c>
      <c r="G1784" s="17" t="s">
        <v>22</v>
      </c>
      <c r="H1784" s="17" t="s">
        <v>23</v>
      </c>
      <c r="I1784" s="24">
        <v>8314.7084999999988</v>
      </c>
      <c r="J1784" s="32">
        <v>9</v>
      </c>
      <c r="K1784" s="17" t="s">
        <v>16</v>
      </c>
      <c r="L1784" s="24">
        <v>760.55</v>
      </c>
      <c r="M1784" s="24">
        <v>1086.8899999999999</v>
      </c>
      <c r="N1784" s="34">
        <f>((sales_data_1[[#This Row],[Unit_Price]]*(1-sales_data_1[[#This Row],[Discount]]))-sales_data_1[[#This Row],[Unit_Cost]])*sales_data_1[[#This Row],[Quantity_Sold]]</f>
        <v>1469.7584999999992</v>
      </c>
      <c r="O1784" s="17" t="s">
        <v>17</v>
      </c>
      <c r="P1784" s="26">
        <v>0.15</v>
      </c>
      <c r="Q1784" s="17" t="s">
        <v>18</v>
      </c>
      <c r="R1784" s="17" t="s">
        <v>21</v>
      </c>
      <c r="S1784" s="50" t="str">
        <f t="shared" si="83"/>
        <v>David-South</v>
      </c>
      <c r="T1784" s="59" t="str">
        <f>IF(ROUND(sales_data_1[[#This Row],[Profit_Margin]],2)=ROUND((sales_data_1[[#This Row],[Unit_Price]]*(1-sales_data_1[[#This Row],[Discount]]) - sales_data_1[[#This Row],[Unit_Cost]])*sales_data_1[[#This Row],[Quantity_Sold]],2), "PASS", "CHECK")</f>
        <v>PASS</v>
      </c>
    </row>
    <row r="1785" spans="1:20" x14ac:dyDescent="0.35">
      <c r="A1785" s="7">
        <v>1784</v>
      </c>
      <c r="B1785" s="9">
        <v>1023</v>
      </c>
      <c r="C1785" s="14" t="str">
        <f>IFERROR(_xlfn.TEXTJOIN("-", TRUE, _xlfn.XLOOKUP(K1785, product_category_id_lookup!$A$2:$A$5, product_category_id_lookup!$B$2:$B$5), B1785), "Unknown Category")</f>
        <v>etc-1023</v>
      </c>
      <c r="D1785" s="8">
        <v>45172</v>
      </c>
      <c r="E1785" s="14">
        <f t="shared" si="81"/>
        <v>2023</v>
      </c>
      <c r="F1785" s="29" t="str">
        <f t="shared" si="82"/>
        <v>Sep</v>
      </c>
      <c r="G1785" s="17" t="s">
        <v>22</v>
      </c>
      <c r="H1785" s="17" t="s">
        <v>23</v>
      </c>
      <c r="I1785" s="24">
        <v>153141.12</v>
      </c>
      <c r="J1785" s="32">
        <v>32</v>
      </c>
      <c r="K1785" s="17" t="s">
        <v>31</v>
      </c>
      <c r="L1785" s="24">
        <v>4775.04</v>
      </c>
      <c r="M1785" s="24">
        <v>4785.66</v>
      </c>
      <c r="N1785" s="34">
        <f>((sales_data_1[[#This Row],[Unit_Price]]*(1-sales_data_1[[#This Row],[Discount]]))-sales_data_1[[#This Row],[Unit_Cost]])*sales_data_1[[#This Row],[Quantity_Sold]]</f>
        <v>339.83999999999651</v>
      </c>
      <c r="O1785" s="17" t="s">
        <v>27</v>
      </c>
      <c r="P1785" s="26">
        <v>0</v>
      </c>
      <c r="Q1785" s="17" t="s">
        <v>18</v>
      </c>
      <c r="R1785" s="17" t="s">
        <v>19</v>
      </c>
      <c r="S1785" s="50" t="str">
        <f t="shared" si="83"/>
        <v>David-South</v>
      </c>
      <c r="T1785" s="59" t="str">
        <f>IF(ROUND(sales_data_1[[#This Row],[Profit_Margin]],2)=ROUND((sales_data_1[[#This Row],[Unit_Price]]*(1-sales_data_1[[#This Row],[Discount]]) - sales_data_1[[#This Row],[Unit_Cost]])*sales_data_1[[#This Row],[Quantity_Sold]],2), "PASS", "CHECK")</f>
        <v>PASS</v>
      </c>
    </row>
    <row r="1786" spans="1:20" x14ac:dyDescent="0.35">
      <c r="A1786" s="7">
        <v>1785</v>
      </c>
      <c r="B1786" s="9">
        <v>1055</v>
      </c>
      <c r="C1786" s="14" t="str">
        <f>IFERROR(_xlfn.TEXTJOIN("-", TRUE, _xlfn.XLOOKUP(K1786, product_category_id_lookup!$A$2:$A$5, product_category_id_lookup!$B$2:$B$5), B1786), "Unknown Category")</f>
        <v>etc-1055</v>
      </c>
      <c r="D1786" s="8">
        <v>45172</v>
      </c>
      <c r="E1786" s="14">
        <f t="shared" si="81"/>
        <v>2023</v>
      </c>
      <c r="F1786" s="29" t="str">
        <f t="shared" si="82"/>
        <v>Sep</v>
      </c>
      <c r="G1786" s="17" t="s">
        <v>29</v>
      </c>
      <c r="H1786" s="17" t="s">
        <v>20</v>
      </c>
      <c r="I1786" s="24">
        <v>34297.662058414993</v>
      </c>
      <c r="J1786" s="32">
        <v>12</v>
      </c>
      <c r="K1786" s="17" t="s">
        <v>31</v>
      </c>
      <c r="L1786" s="24">
        <v>2538.61</v>
      </c>
      <c r="M1786" s="24">
        <v>2971.75</v>
      </c>
      <c r="N1786" s="34">
        <f>((sales_data_1[[#This Row],[Unit_Price]]*(1-sales_data_1[[#This Row],[Discount]]))-sales_data_1[[#This Row],[Unit_Cost]])*sales_data_1[[#This Row],[Quantity_Sold]]</f>
        <v>3771.24</v>
      </c>
      <c r="O1786" s="17" t="s">
        <v>17</v>
      </c>
      <c r="P1786" s="26">
        <v>0.04</v>
      </c>
      <c r="Q1786" s="17" t="s">
        <v>18</v>
      </c>
      <c r="R1786" s="17" t="s">
        <v>19</v>
      </c>
      <c r="S1786" s="50" t="str">
        <f t="shared" si="83"/>
        <v>Charlie-West</v>
      </c>
      <c r="T1786" s="59" t="str">
        <f>IF(ROUND(sales_data_1[[#This Row],[Profit_Margin]],2)=ROUND((sales_data_1[[#This Row],[Unit_Price]]*(1-sales_data_1[[#This Row],[Discount]]) - sales_data_1[[#This Row],[Unit_Cost]])*sales_data_1[[#This Row],[Quantity_Sold]],2), "PASS", "CHECK")</f>
        <v>PASS</v>
      </c>
    </row>
    <row r="1787" spans="1:20" x14ac:dyDescent="0.35">
      <c r="A1787" s="7">
        <v>1786</v>
      </c>
      <c r="B1787" s="9">
        <v>1081</v>
      </c>
      <c r="C1787" s="14" t="str">
        <f>IFERROR(_xlfn.TEXTJOIN("-", TRUE, _xlfn.XLOOKUP(K1787, product_category_id_lookup!$A$2:$A$5, product_category_id_lookup!$B$2:$B$5), B1787), "Unknown Category")</f>
        <v>etc-1081</v>
      </c>
      <c r="D1787" s="8">
        <v>45173</v>
      </c>
      <c r="E1787" s="14">
        <f t="shared" si="81"/>
        <v>2023</v>
      </c>
      <c r="F1787" s="29" t="str">
        <f t="shared" si="82"/>
        <v>Sep</v>
      </c>
      <c r="G1787" s="17" t="s">
        <v>33</v>
      </c>
      <c r="H1787" s="17" t="s">
        <v>15</v>
      </c>
      <c r="I1787" s="24">
        <v>31947.966000000004</v>
      </c>
      <c r="J1787" s="32">
        <v>23</v>
      </c>
      <c r="K1787" s="17" t="s">
        <v>31</v>
      </c>
      <c r="L1787" s="24">
        <v>1236.25</v>
      </c>
      <c r="M1787" s="24">
        <v>1543.38</v>
      </c>
      <c r="N1787" s="34">
        <f>((sales_data_1[[#This Row],[Unit_Price]]*(1-sales_data_1[[#This Row],[Discount]]))-sales_data_1[[#This Row],[Unit_Cost]])*sales_data_1[[#This Row],[Quantity_Sold]]</f>
        <v>3514.2160000000031</v>
      </c>
      <c r="O1787" s="17" t="s">
        <v>27</v>
      </c>
      <c r="P1787" s="26">
        <v>0.1</v>
      </c>
      <c r="Q1787" s="17" t="s">
        <v>25</v>
      </c>
      <c r="R1787" s="17" t="s">
        <v>19</v>
      </c>
      <c r="S1787" s="50" t="str">
        <f t="shared" si="83"/>
        <v>Alice-North</v>
      </c>
      <c r="T1787" s="59" t="str">
        <f>IF(ROUND(sales_data_1[[#This Row],[Profit_Margin]],2)=ROUND((sales_data_1[[#This Row],[Unit_Price]]*(1-sales_data_1[[#This Row],[Discount]]) - sales_data_1[[#This Row],[Unit_Cost]])*sales_data_1[[#This Row],[Quantity_Sold]],2), "PASS", "CHECK")</f>
        <v>PASS</v>
      </c>
    </row>
    <row r="1788" spans="1:20" x14ac:dyDescent="0.35">
      <c r="A1788" s="7">
        <v>1787</v>
      </c>
      <c r="B1788" s="9">
        <v>1068</v>
      </c>
      <c r="C1788" s="14" t="str">
        <f>IFERROR(_xlfn.TEXTJOIN("-", TRUE, _xlfn.XLOOKUP(K1788, product_category_id_lookup!$A$2:$A$5, product_category_id_lookup!$B$2:$B$5), B1788), "Unknown Category")</f>
        <v>fd-1068</v>
      </c>
      <c r="D1788" s="8">
        <v>45173</v>
      </c>
      <c r="E1788" s="14">
        <f t="shared" si="81"/>
        <v>2023</v>
      </c>
      <c r="F1788" s="29" t="str">
        <f t="shared" si="82"/>
        <v>Sep</v>
      </c>
      <c r="G1788" s="17" t="s">
        <v>32</v>
      </c>
      <c r="H1788" s="17" t="s">
        <v>30</v>
      </c>
      <c r="I1788" s="24">
        <v>19538.360799999999</v>
      </c>
      <c r="J1788" s="32">
        <v>14</v>
      </c>
      <c r="K1788" s="17" t="s">
        <v>24</v>
      </c>
      <c r="L1788" s="24">
        <v>1140.58</v>
      </c>
      <c r="M1788" s="24">
        <v>1438.76</v>
      </c>
      <c r="N1788" s="34">
        <f>((sales_data_1[[#This Row],[Unit_Price]]*(1-sales_data_1[[#This Row],[Discount]]))-sales_data_1[[#This Row],[Unit_Cost]])*sales_data_1[[#This Row],[Quantity_Sold]]</f>
        <v>3570.2408</v>
      </c>
      <c r="O1788" s="17" t="s">
        <v>17</v>
      </c>
      <c r="P1788" s="26">
        <v>0.03</v>
      </c>
      <c r="Q1788" s="17" t="s">
        <v>25</v>
      </c>
      <c r="R1788" s="17" t="s">
        <v>19</v>
      </c>
      <c r="S1788" s="50" t="str">
        <f t="shared" si="83"/>
        <v>Eve-East</v>
      </c>
      <c r="T1788" s="59" t="str">
        <f>IF(ROUND(sales_data_1[[#This Row],[Profit_Margin]],2)=ROUND((sales_data_1[[#This Row],[Unit_Price]]*(1-sales_data_1[[#This Row],[Discount]]) - sales_data_1[[#This Row],[Unit_Cost]])*sales_data_1[[#This Row],[Quantity_Sold]],2), "PASS", "CHECK")</f>
        <v>PASS</v>
      </c>
    </row>
    <row r="1789" spans="1:20" x14ac:dyDescent="0.35">
      <c r="A1789" s="7">
        <v>1788</v>
      </c>
      <c r="B1789" s="9">
        <v>1091</v>
      </c>
      <c r="C1789" s="14" t="str">
        <f>IFERROR(_xlfn.TEXTJOIN("-", TRUE, _xlfn.XLOOKUP(K1789, product_category_id_lookup!$A$2:$A$5, product_category_id_lookup!$B$2:$B$5), B1789), "Unknown Category")</f>
        <v>fd-1091</v>
      </c>
      <c r="D1789" s="8">
        <v>45173</v>
      </c>
      <c r="E1789" s="14">
        <f t="shared" si="81"/>
        <v>2023</v>
      </c>
      <c r="F1789" s="29" t="str">
        <f t="shared" si="82"/>
        <v>Sep</v>
      </c>
      <c r="G1789" s="17" t="s">
        <v>29</v>
      </c>
      <c r="H1789" s="17" t="s">
        <v>23</v>
      </c>
      <c r="I1789" s="24">
        <v>99536.148799999995</v>
      </c>
      <c r="J1789" s="32">
        <v>44</v>
      </c>
      <c r="K1789" s="17" t="s">
        <v>24</v>
      </c>
      <c r="L1789" s="24">
        <v>2085.46</v>
      </c>
      <c r="M1789" s="24">
        <v>2406.58</v>
      </c>
      <c r="N1789" s="34">
        <f>((sales_data_1[[#This Row],[Unit_Price]]*(1-sales_data_1[[#This Row],[Discount]]))-sales_data_1[[#This Row],[Unit_Cost]])*sales_data_1[[#This Row],[Quantity_Sold]]</f>
        <v>7775.9087999999938</v>
      </c>
      <c r="O1789" s="17" t="s">
        <v>17</v>
      </c>
      <c r="P1789" s="26">
        <v>0.06</v>
      </c>
      <c r="Q1789" s="17" t="s">
        <v>25</v>
      </c>
      <c r="R1789" s="17" t="s">
        <v>21</v>
      </c>
      <c r="S1789" s="50" t="str">
        <f t="shared" si="83"/>
        <v>Charlie-South</v>
      </c>
      <c r="T1789" s="59" t="str">
        <f>IF(ROUND(sales_data_1[[#This Row],[Profit_Margin]],2)=ROUND((sales_data_1[[#This Row],[Unit_Price]]*(1-sales_data_1[[#This Row],[Discount]]) - sales_data_1[[#This Row],[Unit_Cost]])*sales_data_1[[#This Row],[Quantity_Sold]],2), "PASS", "CHECK")</f>
        <v>PASS</v>
      </c>
    </row>
    <row r="1790" spans="1:20" x14ac:dyDescent="0.35">
      <c r="A1790" s="7">
        <v>1789</v>
      </c>
      <c r="B1790" s="9">
        <v>1020</v>
      </c>
      <c r="C1790" s="14" t="str">
        <f>IFERROR(_xlfn.TEXTJOIN("-", TRUE, _xlfn.XLOOKUP(K1790, product_category_id_lookup!$A$2:$A$5, product_category_id_lookup!$B$2:$B$5), B1790), "Unknown Category")</f>
        <v>ctg-1020</v>
      </c>
      <c r="D1790" s="8">
        <v>45175</v>
      </c>
      <c r="E1790" s="14">
        <f t="shared" si="81"/>
        <v>2023</v>
      </c>
      <c r="F1790" s="29" t="str">
        <f t="shared" si="82"/>
        <v>Sep</v>
      </c>
      <c r="G1790" s="17" t="s">
        <v>29</v>
      </c>
      <c r="H1790" s="17" t="s">
        <v>30</v>
      </c>
      <c r="I1790" s="24">
        <v>14981.428148372093</v>
      </c>
      <c r="J1790" s="32">
        <v>4</v>
      </c>
      <c r="K1790" s="17" t="s">
        <v>26</v>
      </c>
      <c r="L1790" s="24">
        <v>3730</v>
      </c>
      <c r="M1790" s="24">
        <v>3893.6</v>
      </c>
      <c r="N1790" s="34">
        <f>((sales_data_1[[#This Row],[Unit_Price]]*(1-sales_data_1[[#This Row],[Discount]]))-sales_data_1[[#This Row],[Unit_Cost]])*sales_data_1[[#This Row],[Quantity_Sold]]</f>
        <v>31.423999999999069</v>
      </c>
      <c r="O1790" s="17" t="s">
        <v>27</v>
      </c>
      <c r="P1790" s="26">
        <v>0.04</v>
      </c>
      <c r="Q1790" s="17" t="s">
        <v>25</v>
      </c>
      <c r="R1790" s="17" t="s">
        <v>21</v>
      </c>
      <c r="S1790" s="50" t="str">
        <f t="shared" si="83"/>
        <v>Charlie-East</v>
      </c>
      <c r="T1790" s="59" t="str">
        <f>IF(ROUND(sales_data_1[[#This Row],[Profit_Margin]],2)=ROUND((sales_data_1[[#This Row],[Unit_Price]]*(1-sales_data_1[[#This Row],[Discount]]) - sales_data_1[[#This Row],[Unit_Cost]])*sales_data_1[[#This Row],[Quantity_Sold]],2), "PASS", "CHECK")</f>
        <v>PASS</v>
      </c>
    </row>
    <row r="1791" spans="1:20" x14ac:dyDescent="0.35">
      <c r="A1791" s="7">
        <v>1790</v>
      </c>
      <c r="B1791" s="9">
        <v>1020</v>
      </c>
      <c r="C1791" s="14" t="str">
        <f>IFERROR(_xlfn.TEXTJOIN("-", TRUE, _xlfn.XLOOKUP(K1791, product_category_id_lookup!$A$2:$A$5, product_category_id_lookup!$B$2:$B$5), B1791), "Unknown Category")</f>
        <v>ctg-1020</v>
      </c>
      <c r="D1791" s="8">
        <v>45175</v>
      </c>
      <c r="E1791" s="14">
        <f t="shared" si="81"/>
        <v>2023</v>
      </c>
      <c r="F1791" s="29" t="str">
        <f t="shared" si="82"/>
        <v>Sep</v>
      </c>
      <c r="G1791" s="17" t="s">
        <v>14</v>
      </c>
      <c r="H1791" s="17" t="s">
        <v>30</v>
      </c>
      <c r="I1791" s="24">
        <v>99536.934044170586</v>
      </c>
      <c r="J1791" s="32">
        <v>45</v>
      </c>
      <c r="K1791" s="17" t="s">
        <v>26</v>
      </c>
      <c r="L1791" s="24">
        <v>2188.4499999999998</v>
      </c>
      <c r="M1791" s="24">
        <v>2255.0499999999997</v>
      </c>
      <c r="N1791" s="34">
        <f>((sales_data_1[[#This Row],[Unit_Price]]*(1-sales_data_1[[#This Row],[Discount]]))-sales_data_1[[#This Row],[Unit_Cost]])*sales_data_1[[#This Row],[Quantity_Sold]]</f>
        <v>967.45499999999083</v>
      </c>
      <c r="O1791" s="17" t="s">
        <v>27</v>
      </c>
      <c r="P1791" s="26">
        <v>0.02</v>
      </c>
      <c r="Q1791" s="17" t="s">
        <v>25</v>
      </c>
      <c r="R1791" s="17" t="s">
        <v>21</v>
      </c>
      <c r="S1791" s="50" t="str">
        <f t="shared" si="83"/>
        <v>Bob-East</v>
      </c>
      <c r="T1791" s="59" t="str">
        <f>IF(ROUND(sales_data_1[[#This Row],[Profit_Margin]],2)=ROUND((sales_data_1[[#This Row],[Unit_Price]]*(1-sales_data_1[[#This Row],[Discount]]) - sales_data_1[[#This Row],[Unit_Cost]])*sales_data_1[[#This Row],[Quantity_Sold]],2), "PASS", "CHECK")</f>
        <v>PASS</v>
      </c>
    </row>
    <row r="1792" spans="1:20" x14ac:dyDescent="0.35">
      <c r="A1792" s="7">
        <v>1791</v>
      </c>
      <c r="B1792" s="9">
        <v>1067</v>
      </c>
      <c r="C1792" s="14" t="str">
        <f>IFERROR(_xlfn.TEXTJOIN("-", TRUE, _xlfn.XLOOKUP(K1792, product_category_id_lookup!$A$2:$A$5, product_category_id_lookup!$B$2:$B$5), B1792), "Unknown Category")</f>
        <v>ctg-1067</v>
      </c>
      <c r="D1792" s="8">
        <v>45176</v>
      </c>
      <c r="E1792" s="14">
        <f t="shared" si="81"/>
        <v>2023</v>
      </c>
      <c r="F1792" s="29" t="str">
        <f t="shared" si="82"/>
        <v>Sep</v>
      </c>
      <c r="G1792" s="17" t="s">
        <v>14</v>
      </c>
      <c r="H1792" s="17" t="s">
        <v>15</v>
      </c>
      <c r="I1792" s="24">
        <v>65570.17224152296</v>
      </c>
      <c r="J1792" s="32">
        <v>37</v>
      </c>
      <c r="K1792" s="17" t="s">
        <v>26</v>
      </c>
      <c r="L1792" s="24">
        <v>1754.32</v>
      </c>
      <c r="M1792" s="24">
        <v>1856.3999999999999</v>
      </c>
      <c r="N1792" s="34">
        <f>((sales_data_1[[#This Row],[Unit_Price]]*(1-sales_data_1[[#This Row],[Discount]]))-sales_data_1[[#This Row],[Unit_Cost]])*sales_data_1[[#This Row],[Quantity_Sold]]</f>
        <v>342.61999999999125</v>
      </c>
      <c r="O1792" s="17" t="s">
        <v>27</v>
      </c>
      <c r="P1792" s="26">
        <v>0.05</v>
      </c>
      <c r="Q1792" s="17" t="s">
        <v>25</v>
      </c>
      <c r="R1792" s="17" t="s">
        <v>21</v>
      </c>
      <c r="S1792" s="50" t="str">
        <f t="shared" si="83"/>
        <v>Bob-North</v>
      </c>
      <c r="T1792" s="59" t="str">
        <f>IF(ROUND(sales_data_1[[#This Row],[Profit_Margin]],2)=ROUND((sales_data_1[[#This Row],[Unit_Price]]*(1-sales_data_1[[#This Row],[Discount]]) - sales_data_1[[#This Row],[Unit_Cost]])*sales_data_1[[#This Row],[Quantity_Sold]],2), "PASS", "CHECK")</f>
        <v>PASS</v>
      </c>
    </row>
    <row r="1793" spans="1:20" x14ac:dyDescent="0.35">
      <c r="A1793" s="7">
        <v>1792</v>
      </c>
      <c r="B1793" s="9">
        <v>1013</v>
      </c>
      <c r="C1793" s="14" t="str">
        <f>IFERROR(_xlfn.TEXTJOIN("-", TRUE, _xlfn.XLOOKUP(K1793, product_category_id_lookup!$A$2:$A$5, product_category_id_lookup!$B$2:$B$5), B1793), "Unknown Category")</f>
        <v>fnt-1013</v>
      </c>
      <c r="D1793" s="8">
        <v>45176</v>
      </c>
      <c r="E1793" s="14">
        <f t="shared" si="81"/>
        <v>2023</v>
      </c>
      <c r="F1793" s="29" t="str">
        <f t="shared" si="82"/>
        <v>Sep</v>
      </c>
      <c r="G1793" s="17" t="s">
        <v>33</v>
      </c>
      <c r="H1793" s="17" t="s">
        <v>20</v>
      </c>
      <c r="I1793" s="24">
        <v>17314.208000000002</v>
      </c>
      <c r="J1793" s="32">
        <v>16</v>
      </c>
      <c r="K1793" s="17" t="s">
        <v>16</v>
      </c>
      <c r="L1793" s="24">
        <v>919.58</v>
      </c>
      <c r="M1793" s="24">
        <v>1258.3000000000002</v>
      </c>
      <c r="N1793" s="34">
        <f>((sales_data_1[[#This Row],[Unit_Price]]*(1-sales_data_1[[#This Row],[Discount]]))-sales_data_1[[#This Row],[Unit_Cost]])*sales_data_1[[#This Row],[Quantity_Sold]]</f>
        <v>2600.9280000000017</v>
      </c>
      <c r="O1793" s="17" t="s">
        <v>17</v>
      </c>
      <c r="P1793" s="26">
        <v>0.14000000000000001</v>
      </c>
      <c r="Q1793" s="17" t="s">
        <v>25</v>
      </c>
      <c r="R1793" s="17" t="s">
        <v>19</v>
      </c>
      <c r="S1793" s="50" t="str">
        <f t="shared" si="83"/>
        <v>Alice-West</v>
      </c>
      <c r="T1793" s="59" t="str">
        <f>IF(ROUND(sales_data_1[[#This Row],[Profit_Margin]],2)=ROUND((sales_data_1[[#This Row],[Unit_Price]]*(1-sales_data_1[[#This Row],[Discount]]) - sales_data_1[[#This Row],[Unit_Cost]])*sales_data_1[[#This Row],[Quantity_Sold]],2), "PASS", "CHECK")</f>
        <v>PASS</v>
      </c>
    </row>
    <row r="1794" spans="1:20" x14ac:dyDescent="0.35">
      <c r="A1794" s="7">
        <v>1793</v>
      </c>
      <c r="B1794" s="9">
        <v>1019</v>
      </c>
      <c r="C1794" s="14" t="str">
        <f>IFERROR(_xlfn.TEXTJOIN("-", TRUE, _xlfn.XLOOKUP(K1794, product_category_id_lookup!$A$2:$A$5, product_category_id_lookup!$B$2:$B$5), B1794), "Unknown Category")</f>
        <v>etc-1019</v>
      </c>
      <c r="D1794" s="8">
        <v>45176</v>
      </c>
      <c r="E1794" s="14">
        <f t="shared" ref="E1794:E1857" si="84">YEAR(D1794)</f>
        <v>2023</v>
      </c>
      <c r="F1794" s="29" t="str">
        <f t="shared" ref="F1794:F1857" si="85">LEFT(TEXT(D1794,"mmmm"),3)</f>
        <v>Sep</v>
      </c>
      <c r="G1794" s="17" t="s">
        <v>14</v>
      </c>
      <c r="H1794" s="17" t="s">
        <v>20</v>
      </c>
      <c r="I1794" s="24">
        <v>68372.878705571842</v>
      </c>
      <c r="J1794" s="32">
        <v>27</v>
      </c>
      <c r="K1794" s="17" t="s">
        <v>31</v>
      </c>
      <c r="L1794" s="24">
        <v>2387.52</v>
      </c>
      <c r="M1794" s="24">
        <v>2604.06</v>
      </c>
      <c r="N1794" s="34">
        <f>((sales_data_1[[#This Row],[Unit_Price]]*(1-sales_data_1[[#This Row],[Discount]]))-sales_data_1[[#This Row],[Unit_Cost]])*sales_data_1[[#This Row],[Quantity_Sold]]</f>
        <v>3737.2914000000019</v>
      </c>
      <c r="O1794" s="17" t="s">
        <v>17</v>
      </c>
      <c r="P1794" s="26">
        <v>0.03</v>
      </c>
      <c r="Q1794" s="17" t="s">
        <v>18</v>
      </c>
      <c r="R1794" s="17" t="s">
        <v>19</v>
      </c>
      <c r="S1794" s="50" t="str">
        <f t="shared" ref="S1794:S1857" si="86">_xlfn.CONCAT(G1794,"-",H1794)</f>
        <v>Bob-West</v>
      </c>
      <c r="T1794" s="59" t="str">
        <f>IF(ROUND(sales_data_1[[#This Row],[Profit_Margin]],2)=ROUND((sales_data_1[[#This Row],[Unit_Price]]*(1-sales_data_1[[#This Row],[Discount]]) - sales_data_1[[#This Row],[Unit_Cost]])*sales_data_1[[#This Row],[Quantity_Sold]],2), "PASS", "CHECK")</f>
        <v>PASS</v>
      </c>
    </row>
    <row r="1795" spans="1:20" x14ac:dyDescent="0.35">
      <c r="A1795" s="7">
        <v>1794</v>
      </c>
      <c r="B1795" s="9">
        <v>1087</v>
      </c>
      <c r="C1795" s="14" t="str">
        <f>IFERROR(_xlfn.TEXTJOIN("-", TRUE, _xlfn.XLOOKUP(K1795, product_category_id_lookup!$A$2:$A$5, product_category_id_lookup!$B$2:$B$5), B1795), "Unknown Category")</f>
        <v>ctg-1087</v>
      </c>
      <c r="D1795" s="8">
        <v>45177</v>
      </c>
      <c r="E1795" s="14">
        <f t="shared" si="84"/>
        <v>2023</v>
      </c>
      <c r="F1795" s="29" t="str">
        <f t="shared" si="85"/>
        <v>Sep</v>
      </c>
      <c r="G1795" s="17" t="s">
        <v>29</v>
      </c>
      <c r="H1795" s="17" t="s">
        <v>15</v>
      </c>
      <c r="I1795" s="24">
        <v>4643.9639999999999</v>
      </c>
      <c r="J1795" s="32">
        <v>20</v>
      </c>
      <c r="K1795" s="17" t="s">
        <v>26</v>
      </c>
      <c r="L1795" s="24">
        <v>193.27</v>
      </c>
      <c r="M1795" s="24">
        <v>297.69</v>
      </c>
      <c r="N1795" s="34">
        <f>((sales_data_1[[#This Row],[Unit_Price]]*(1-sales_data_1[[#This Row],[Discount]]))-sales_data_1[[#This Row],[Unit_Cost]])*sales_data_1[[#This Row],[Quantity_Sold]]</f>
        <v>778.56400000000008</v>
      </c>
      <c r="O1795" s="17" t="s">
        <v>27</v>
      </c>
      <c r="P1795" s="26">
        <v>0.22</v>
      </c>
      <c r="Q1795" s="17" t="s">
        <v>18</v>
      </c>
      <c r="R1795" s="17" t="s">
        <v>19</v>
      </c>
      <c r="S1795" s="50" t="str">
        <f t="shared" si="86"/>
        <v>Charlie-North</v>
      </c>
      <c r="T1795" s="59" t="str">
        <f>IF(ROUND(sales_data_1[[#This Row],[Profit_Margin]],2)=ROUND((sales_data_1[[#This Row],[Unit_Price]]*(1-sales_data_1[[#This Row],[Discount]]) - sales_data_1[[#This Row],[Unit_Cost]])*sales_data_1[[#This Row],[Quantity_Sold]],2), "PASS", "CHECK")</f>
        <v>PASS</v>
      </c>
    </row>
    <row r="1796" spans="1:20" x14ac:dyDescent="0.35">
      <c r="A1796" s="7">
        <v>1795</v>
      </c>
      <c r="B1796" s="9">
        <v>1089</v>
      </c>
      <c r="C1796" s="14" t="str">
        <f>IFERROR(_xlfn.TEXTJOIN("-", TRUE, _xlfn.XLOOKUP(K1796, product_category_id_lookup!$A$2:$A$5, product_category_id_lookup!$B$2:$B$5), B1796), "Unknown Category")</f>
        <v>fnt-1089</v>
      </c>
      <c r="D1796" s="8">
        <v>45177</v>
      </c>
      <c r="E1796" s="14">
        <f t="shared" si="84"/>
        <v>2023</v>
      </c>
      <c r="F1796" s="29" t="str">
        <f t="shared" si="85"/>
        <v>Sep</v>
      </c>
      <c r="G1796" s="17" t="s">
        <v>14</v>
      </c>
      <c r="H1796" s="17" t="s">
        <v>20</v>
      </c>
      <c r="I1796" s="24">
        <v>164397.31636332773</v>
      </c>
      <c r="J1796" s="32">
        <v>40</v>
      </c>
      <c r="K1796" s="17" t="s">
        <v>16</v>
      </c>
      <c r="L1796" s="24">
        <v>4089.66</v>
      </c>
      <c r="M1796" s="24">
        <v>4275.96</v>
      </c>
      <c r="N1796" s="34">
        <f>((sales_data_1[[#This Row],[Unit_Price]]*(1-sales_data_1[[#This Row],[Discount]]))-sales_data_1[[#This Row],[Unit_Cost]])*sales_data_1[[#This Row],[Quantity_Sold]]</f>
        <v>610.46399999999267</v>
      </c>
      <c r="O1796" s="17" t="s">
        <v>27</v>
      </c>
      <c r="P1796" s="26">
        <v>0.04</v>
      </c>
      <c r="Q1796" s="17" t="s">
        <v>28</v>
      </c>
      <c r="R1796" s="17" t="s">
        <v>19</v>
      </c>
      <c r="S1796" s="50" t="str">
        <f t="shared" si="86"/>
        <v>Bob-West</v>
      </c>
      <c r="T1796" s="59" t="str">
        <f>IF(ROUND(sales_data_1[[#This Row],[Profit_Margin]],2)=ROUND((sales_data_1[[#This Row],[Unit_Price]]*(1-sales_data_1[[#This Row],[Discount]]) - sales_data_1[[#This Row],[Unit_Cost]])*sales_data_1[[#This Row],[Quantity_Sold]],2), "PASS", "CHECK")</f>
        <v>PASS</v>
      </c>
    </row>
    <row r="1797" spans="1:20" x14ac:dyDescent="0.35">
      <c r="A1797" s="7">
        <v>1796</v>
      </c>
      <c r="B1797" s="9">
        <v>1005</v>
      </c>
      <c r="C1797" s="14" t="str">
        <f>IFERROR(_xlfn.TEXTJOIN("-", TRUE, _xlfn.XLOOKUP(K1797, product_category_id_lookup!$A$2:$A$5, product_category_id_lookup!$B$2:$B$5), B1797), "Unknown Category")</f>
        <v>etc-1005</v>
      </c>
      <c r="D1797" s="8">
        <v>45177</v>
      </c>
      <c r="E1797" s="14">
        <f t="shared" si="84"/>
        <v>2023</v>
      </c>
      <c r="F1797" s="29" t="str">
        <f t="shared" si="85"/>
        <v>Sep</v>
      </c>
      <c r="G1797" s="17" t="s">
        <v>32</v>
      </c>
      <c r="H1797" s="17" t="s">
        <v>15</v>
      </c>
      <c r="I1797" s="24">
        <v>43609.770396213236</v>
      </c>
      <c r="J1797" s="32">
        <v>9</v>
      </c>
      <c r="K1797" s="17" t="s">
        <v>31</v>
      </c>
      <c r="L1797" s="24">
        <v>4737.0600000000004</v>
      </c>
      <c r="M1797" s="24">
        <v>4869.5</v>
      </c>
      <c r="N1797" s="34">
        <f>((sales_data_1[[#This Row],[Unit_Price]]*(1-sales_data_1[[#This Row],[Discount]]))-sales_data_1[[#This Row],[Unit_Cost]])*sales_data_1[[#This Row],[Quantity_Sold]]</f>
        <v>1191.9599999999964</v>
      </c>
      <c r="O1797" s="17" t="s">
        <v>27</v>
      </c>
      <c r="P1797" s="26">
        <v>0</v>
      </c>
      <c r="Q1797" s="17" t="s">
        <v>18</v>
      </c>
      <c r="R1797" s="17" t="s">
        <v>19</v>
      </c>
      <c r="S1797" s="50" t="str">
        <f t="shared" si="86"/>
        <v>Eve-North</v>
      </c>
      <c r="T1797" s="59" t="str">
        <f>IF(ROUND(sales_data_1[[#This Row],[Profit_Margin]],2)=ROUND((sales_data_1[[#This Row],[Unit_Price]]*(1-sales_data_1[[#This Row],[Discount]]) - sales_data_1[[#This Row],[Unit_Cost]])*sales_data_1[[#This Row],[Quantity_Sold]],2), "PASS", "CHECK")</f>
        <v>PASS</v>
      </c>
    </row>
    <row r="1798" spans="1:20" x14ac:dyDescent="0.35">
      <c r="A1798" s="7">
        <v>1797</v>
      </c>
      <c r="B1798" s="9">
        <v>1020</v>
      </c>
      <c r="C1798" s="14" t="str">
        <f>IFERROR(_xlfn.TEXTJOIN("-", TRUE, _xlfn.XLOOKUP(K1798, product_category_id_lookup!$A$2:$A$5, product_category_id_lookup!$B$2:$B$5), B1798), "Unknown Category")</f>
        <v>ctg-1020</v>
      </c>
      <c r="D1798" s="8">
        <v>45177</v>
      </c>
      <c r="E1798" s="14">
        <f t="shared" si="84"/>
        <v>2023</v>
      </c>
      <c r="F1798" s="29" t="str">
        <f t="shared" si="85"/>
        <v>Sep</v>
      </c>
      <c r="G1798" s="17" t="s">
        <v>32</v>
      </c>
      <c r="H1798" s="17" t="s">
        <v>15</v>
      </c>
      <c r="I1798" s="24">
        <v>122790.61079999999</v>
      </c>
      <c r="J1798" s="32">
        <v>26</v>
      </c>
      <c r="K1798" s="17" t="s">
        <v>26</v>
      </c>
      <c r="L1798" s="24">
        <v>4472.3500000000004</v>
      </c>
      <c r="M1798" s="24">
        <v>4770.42</v>
      </c>
      <c r="N1798" s="34">
        <f>((sales_data_1[[#This Row],[Unit_Price]]*(1-sales_data_1[[#This Row],[Discount]]))-sales_data_1[[#This Row],[Unit_Cost]])*sales_data_1[[#This Row],[Quantity_Sold]]</f>
        <v>6509.5107999999891</v>
      </c>
      <c r="O1798" s="17" t="s">
        <v>27</v>
      </c>
      <c r="P1798" s="26">
        <v>0.01</v>
      </c>
      <c r="Q1798" s="17" t="s">
        <v>28</v>
      </c>
      <c r="R1798" s="17" t="s">
        <v>21</v>
      </c>
      <c r="S1798" s="50" t="str">
        <f t="shared" si="86"/>
        <v>Eve-North</v>
      </c>
      <c r="T1798" s="59" t="str">
        <f>IF(ROUND(sales_data_1[[#This Row],[Profit_Margin]],2)=ROUND((sales_data_1[[#This Row],[Unit_Price]]*(1-sales_data_1[[#This Row],[Discount]]) - sales_data_1[[#This Row],[Unit_Cost]])*sales_data_1[[#This Row],[Quantity_Sold]],2), "PASS", "CHECK")</f>
        <v>PASS</v>
      </c>
    </row>
    <row r="1799" spans="1:20" x14ac:dyDescent="0.35">
      <c r="A1799" s="7">
        <v>1798</v>
      </c>
      <c r="B1799" s="9">
        <v>1046</v>
      </c>
      <c r="C1799" s="14" t="str">
        <f>IFERROR(_xlfn.TEXTJOIN("-", TRUE, _xlfn.XLOOKUP(K1799, product_category_id_lookup!$A$2:$A$5, product_category_id_lookup!$B$2:$B$5), B1799), "Unknown Category")</f>
        <v>fnt-1046</v>
      </c>
      <c r="D1799" s="8">
        <v>45177</v>
      </c>
      <c r="E1799" s="14">
        <f t="shared" si="84"/>
        <v>2023</v>
      </c>
      <c r="F1799" s="29" t="str">
        <f t="shared" si="85"/>
        <v>Sep</v>
      </c>
      <c r="G1799" s="17" t="s">
        <v>33</v>
      </c>
      <c r="H1799" s="17" t="s">
        <v>15</v>
      </c>
      <c r="I1799" s="24">
        <v>18713.903999999999</v>
      </c>
      <c r="J1799" s="32">
        <v>30</v>
      </c>
      <c r="K1799" s="17" t="s">
        <v>16</v>
      </c>
      <c r="L1799" s="24">
        <v>320.73</v>
      </c>
      <c r="M1799" s="24">
        <v>678.04</v>
      </c>
      <c r="N1799" s="34">
        <f>((sales_data_1[[#This Row],[Unit_Price]]*(1-sales_data_1[[#This Row],[Discount]]))-sales_data_1[[#This Row],[Unit_Cost]])*sales_data_1[[#This Row],[Quantity_Sold]]</f>
        <v>9092.003999999999</v>
      </c>
      <c r="O1799" s="17" t="s">
        <v>17</v>
      </c>
      <c r="P1799" s="26">
        <v>0.08</v>
      </c>
      <c r="Q1799" s="17" t="s">
        <v>18</v>
      </c>
      <c r="R1799" s="17" t="s">
        <v>21</v>
      </c>
      <c r="S1799" s="50" t="str">
        <f t="shared" si="86"/>
        <v>Alice-North</v>
      </c>
      <c r="T1799" s="59" t="str">
        <f>IF(ROUND(sales_data_1[[#This Row],[Profit_Margin]],2)=ROUND((sales_data_1[[#This Row],[Unit_Price]]*(1-sales_data_1[[#This Row],[Discount]]) - sales_data_1[[#This Row],[Unit_Cost]])*sales_data_1[[#This Row],[Quantity_Sold]],2), "PASS", "CHECK")</f>
        <v>PASS</v>
      </c>
    </row>
    <row r="1800" spans="1:20" x14ac:dyDescent="0.35">
      <c r="A1800" s="7">
        <v>1799</v>
      </c>
      <c r="B1800" s="9">
        <v>1003</v>
      </c>
      <c r="C1800" s="14" t="str">
        <f>IFERROR(_xlfn.TEXTJOIN("-", TRUE, _xlfn.XLOOKUP(K1800, product_category_id_lookup!$A$2:$A$5, product_category_id_lookup!$B$2:$B$5), B1800), "Unknown Category")</f>
        <v>fd-1003</v>
      </c>
      <c r="D1800" s="8">
        <v>45180</v>
      </c>
      <c r="E1800" s="14">
        <f t="shared" si="84"/>
        <v>2023</v>
      </c>
      <c r="F1800" s="29" t="str">
        <f t="shared" si="85"/>
        <v>Sep</v>
      </c>
      <c r="G1800" s="17" t="s">
        <v>22</v>
      </c>
      <c r="H1800" s="17" t="s">
        <v>30</v>
      </c>
      <c r="I1800" s="24">
        <v>94887.686943289067</v>
      </c>
      <c r="J1800" s="32">
        <v>22</v>
      </c>
      <c r="K1800" s="17" t="s">
        <v>24</v>
      </c>
      <c r="L1800" s="24">
        <v>4218.43</v>
      </c>
      <c r="M1800" s="24">
        <v>4331.42</v>
      </c>
      <c r="N1800" s="34">
        <f>((sales_data_1[[#This Row],[Unit_Price]]*(1-sales_data_1[[#This Row],[Discount]]))-sales_data_1[[#This Row],[Unit_Cost]])*sales_data_1[[#This Row],[Quantity_Sold]]</f>
        <v>2485.7799999999952</v>
      </c>
      <c r="O1800" s="17" t="s">
        <v>27</v>
      </c>
      <c r="P1800" s="26">
        <v>0</v>
      </c>
      <c r="Q1800" s="17" t="s">
        <v>25</v>
      </c>
      <c r="R1800" s="17" t="s">
        <v>19</v>
      </c>
      <c r="S1800" s="50" t="str">
        <f t="shared" si="86"/>
        <v>David-East</v>
      </c>
      <c r="T1800" s="59" t="str">
        <f>IF(ROUND(sales_data_1[[#This Row],[Profit_Margin]],2)=ROUND((sales_data_1[[#This Row],[Unit_Price]]*(1-sales_data_1[[#This Row],[Discount]]) - sales_data_1[[#This Row],[Unit_Cost]])*sales_data_1[[#This Row],[Quantity_Sold]],2), "PASS", "CHECK")</f>
        <v>PASS</v>
      </c>
    </row>
    <row r="1801" spans="1:20" x14ac:dyDescent="0.35">
      <c r="A1801" s="7">
        <v>1800</v>
      </c>
      <c r="B1801" s="9">
        <v>1096</v>
      </c>
      <c r="C1801" s="14" t="str">
        <f>IFERROR(_xlfn.TEXTJOIN("-", TRUE, _xlfn.XLOOKUP(K1801, product_category_id_lookup!$A$2:$A$5, product_category_id_lookup!$B$2:$B$5), B1801), "Unknown Category")</f>
        <v>etc-1096</v>
      </c>
      <c r="D1801" s="8">
        <v>45180</v>
      </c>
      <c r="E1801" s="14">
        <f t="shared" si="84"/>
        <v>2023</v>
      </c>
      <c r="F1801" s="29" t="str">
        <f t="shared" si="85"/>
        <v>Sep</v>
      </c>
      <c r="G1801" s="17" t="s">
        <v>32</v>
      </c>
      <c r="H1801" s="17" t="s">
        <v>23</v>
      </c>
      <c r="I1801" s="24">
        <v>17805.794999999998</v>
      </c>
      <c r="J1801" s="32">
        <v>23</v>
      </c>
      <c r="K1801" s="17" t="s">
        <v>31</v>
      </c>
      <c r="L1801" s="24">
        <v>608.57000000000005</v>
      </c>
      <c r="M1801" s="24">
        <v>1032.22</v>
      </c>
      <c r="N1801" s="34">
        <f>((sales_data_1[[#This Row],[Unit_Price]]*(1-sales_data_1[[#This Row],[Discount]]))-sales_data_1[[#This Row],[Unit_Cost]])*sales_data_1[[#This Row],[Quantity_Sold]]</f>
        <v>3808.6849999999981</v>
      </c>
      <c r="O1801" s="17" t="s">
        <v>27</v>
      </c>
      <c r="P1801" s="26">
        <v>0.25</v>
      </c>
      <c r="Q1801" s="17" t="s">
        <v>18</v>
      </c>
      <c r="R1801" s="17" t="s">
        <v>21</v>
      </c>
      <c r="S1801" s="50" t="str">
        <f t="shared" si="86"/>
        <v>Eve-South</v>
      </c>
      <c r="T1801" s="59" t="str">
        <f>IF(ROUND(sales_data_1[[#This Row],[Profit_Margin]],2)=ROUND((sales_data_1[[#This Row],[Unit_Price]]*(1-sales_data_1[[#This Row],[Discount]]) - sales_data_1[[#This Row],[Unit_Cost]])*sales_data_1[[#This Row],[Quantity_Sold]],2), "PASS", "CHECK")</f>
        <v>PASS</v>
      </c>
    </row>
    <row r="1802" spans="1:20" x14ac:dyDescent="0.35">
      <c r="A1802" s="7">
        <v>1801</v>
      </c>
      <c r="B1802" s="9">
        <v>1014</v>
      </c>
      <c r="C1802" s="14" t="str">
        <f>IFERROR(_xlfn.TEXTJOIN("-", TRUE, _xlfn.XLOOKUP(K1802, product_category_id_lookup!$A$2:$A$5, product_category_id_lookup!$B$2:$B$5), B1802), "Unknown Category")</f>
        <v>fnt-1014</v>
      </c>
      <c r="D1802" s="8">
        <v>45181</v>
      </c>
      <c r="E1802" s="14">
        <f t="shared" si="84"/>
        <v>2023</v>
      </c>
      <c r="F1802" s="29" t="str">
        <f t="shared" si="85"/>
        <v>Sep</v>
      </c>
      <c r="G1802" s="17" t="s">
        <v>29</v>
      </c>
      <c r="H1802" s="17" t="s">
        <v>30</v>
      </c>
      <c r="I1802" s="24">
        <v>31604.126400000001</v>
      </c>
      <c r="J1802" s="32">
        <v>48</v>
      </c>
      <c r="K1802" s="17" t="s">
        <v>16</v>
      </c>
      <c r="L1802" s="24">
        <v>556.72</v>
      </c>
      <c r="M1802" s="24">
        <v>665.07</v>
      </c>
      <c r="N1802" s="34">
        <f>((sales_data_1[[#This Row],[Unit_Price]]*(1-sales_data_1[[#This Row],[Discount]]))-sales_data_1[[#This Row],[Unit_Cost]])*sales_data_1[[#This Row],[Quantity_Sold]]</f>
        <v>4881.5663999999997</v>
      </c>
      <c r="O1802" s="17" t="s">
        <v>17</v>
      </c>
      <c r="P1802" s="26">
        <v>0.01</v>
      </c>
      <c r="Q1802" s="17" t="s">
        <v>25</v>
      </c>
      <c r="R1802" s="17" t="s">
        <v>21</v>
      </c>
      <c r="S1802" s="50" t="str">
        <f t="shared" si="86"/>
        <v>Charlie-East</v>
      </c>
      <c r="T1802" s="59" t="str">
        <f>IF(ROUND(sales_data_1[[#This Row],[Profit_Margin]],2)=ROUND((sales_data_1[[#This Row],[Unit_Price]]*(1-sales_data_1[[#This Row],[Discount]]) - sales_data_1[[#This Row],[Unit_Cost]])*sales_data_1[[#This Row],[Quantity_Sold]],2), "PASS", "CHECK")</f>
        <v>PASS</v>
      </c>
    </row>
    <row r="1803" spans="1:20" x14ac:dyDescent="0.35">
      <c r="A1803" s="7">
        <v>1802</v>
      </c>
      <c r="B1803" s="9">
        <v>1037</v>
      </c>
      <c r="C1803" s="14" t="str">
        <f>IFERROR(_xlfn.TEXTJOIN("-", TRUE, _xlfn.XLOOKUP(K1803, product_category_id_lookup!$A$2:$A$5, product_category_id_lookup!$B$2:$B$5), B1803), "Unknown Category")</f>
        <v>fnt-1037</v>
      </c>
      <c r="D1803" s="8">
        <v>45182</v>
      </c>
      <c r="E1803" s="14">
        <f t="shared" si="84"/>
        <v>2023</v>
      </c>
      <c r="F1803" s="29" t="str">
        <f t="shared" si="85"/>
        <v>Sep</v>
      </c>
      <c r="G1803" s="17" t="s">
        <v>14</v>
      </c>
      <c r="H1803" s="17" t="s">
        <v>23</v>
      </c>
      <c r="I1803" s="24">
        <v>10138.289999999999</v>
      </c>
      <c r="J1803" s="32">
        <v>5</v>
      </c>
      <c r="K1803" s="17" t="s">
        <v>16</v>
      </c>
      <c r="L1803" s="24">
        <v>1941.56</v>
      </c>
      <c r="M1803" s="24">
        <v>2385.48</v>
      </c>
      <c r="N1803" s="34">
        <f>((sales_data_1[[#This Row],[Unit_Price]]*(1-sales_data_1[[#This Row],[Discount]]))-sales_data_1[[#This Row],[Unit_Cost]])*sales_data_1[[#This Row],[Quantity_Sold]]</f>
        <v>430.48999999999978</v>
      </c>
      <c r="O1803" s="17" t="s">
        <v>17</v>
      </c>
      <c r="P1803" s="26">
        <v>0.15</v>
      </c>
      <c r="Q1803" s="17" t="s">
        <v>28</v>
      </c>
      <c r="R1803" s="17" t="s">
        <v>19</v>
      </c>
      <c r="S1803" s="50" t="str">
        <f t="shared" si="86"/>
        <v>Bob-South</v>
      </c>
      <c r="T1803" s="59" t="str">
        <f>IF(ROUND(sales_data_1[[#This Row],[Profit_Margin]],2)=ROUND((sales_data_1[[#This Row],[Unit_Price]]*(1-sales_data_1[[#This Row],[Discount]]) - sales_data_1[[#This Row],[Unit_Cost]])*sales_data_1[[#This Row],[Quantity_Sold]],2), "PASS", "CHECK")</f>
        <v>PASS</v>
      </c>
    </row>
    <row r="1804" spans="1:20" x14ac:dyDescent="0.35">
      <c r="A1804" s="7">
        <v>1803</v>
      </c>
      <c r="B1804" s="9">
        <v>1003</v>
      </c>
      <c r="C1804" s="14" t="str">
        <f>IFERROR(_xlfn.TEXTJOIN("-", TRUE, _xlfn.XLOOKUP(K1804, product_category_id_lookup!$A$2:$A$5, product_category_id_lookup!$B$2:$B$5), B1804), "Unknown Category")</f>
        <v>ctg-1003</v>
      </c>
      <c r="D1804" s="8">
        <v>45183</v>
      </c>
      <c r="E1804" s="14">
        <f t="shared" si="84"/>
        <v>2023</v>
      </c>
      <c r="F1804" s="29" t="str">
        <f t="shared" si="85"/>
        <v>Sep</v>
      </c>
      <c r="G1804" s="17" t="s">
        <v>14</v>
      </c>
      <c r="H1804" s="17" t="s">
        <v>20</v>
      </c>
      <c r="I1804" s="24">
        <v>49559.754525932585</v>
      </c>
      <c r="J1804" s="32">
        <v>15</v>
      </c>
      <c r="K1804" s="17" t="s">
        <v>26</v>
      </c>
      <c r="L1804" s="24">
        <v>3286.24</v>
      </c>
      <c r="M1804" s="24">
        <v>3388.8399999999997</v>
      </c>
      <c r="N1804" s="34">
        <f>((sales_data_1[[#This Row],[Unit_Price]]*(1-sales_data_1[[#This Row],[Discount]]))-sales_data_1[[#This Row],[Unit_Cost]])*sales_data_1[[#This Row],[Quantity_Sold]]</f>
        <v>14.021999999999935</v>
      </c>
      <c r="O1804" s="17" t="s">
        <v>17</v>
      </c>
      <c r="P1804" s="26">
        <v>0.03</v>
      </c>
      <c r="Q1804" s="17" t="s">
        <v>28</v>
      </c>
      <c r="R1804" s="17" t="s">
        <v>21</v>
      </c>
      <c r="S1804" s="50" t="str">
        <f t="shared" si="86"/>
        <v>Bob-West</v>
      </c>
      <c r="T1804" s="59" t="str">
        <f>IF(ROUND(sales_data_1[[#This Row],[Profit_Margin]],2)=ROUND((sales_data_1[[#This Row],[Unit_Price]]*(1-sales_data_1[[#This Row],[Discount]]) - sales_data_1[[#This Row],[Unit_Cost]])*sales_data_1[[#This Row],[Quantity_Sold]],2), "PASS", "CHECK")</f>
        <v>PASS</v>
      </c>
    </row>
    <row r="1805" spans="1:20" x14ac:dyDescent="0.35">
      <c r="A1805" s="7">
        <v>1804</v>
      </c>
      <c r="B1805" s="9">
        <v>1074</v>
      </c>
      <c r="C1805" s="14" t="str">
        <f>IFERROR(_xlfn.TEXTJOIN("-", TRUE, _xlfn.XLOOKUP(K1805, product_category_id_lookup!$A$2:$A$5, product_category_id_lookup!$B$2:$B$5), B1805), "Unknown Category")</f>
        <v>fnt-1074</v>
      </c>
      <c r="D1805" s="8">
        <v>45183</v>
      </c>
      <c r="E1805" s="14">
        <f t="shared" si="84"/>
        <v>2023</v>
      </c>
      <c r="F1805" s="29" t="str">
        <f t="shared" si="85"/>
        <v>Sep</v>
      </c>
      <c r="G1805" s="17" t="s">
        <v>22</v>
      </c>
      <c r="H1805" s="17" t="s">
        <v>23</v>
      </c>
      <c r="I1805" s="24">
        <v>11482.085999999999</v>
      </c>
      <c r="J1805" s="32">
        <v>29</v>
      </c>
      <c r="K1805" s="17" t="s">
        <v>16</v>
      </c>
      <c r="L1805" s="24">
        <v>173.67</v>
      </c>
      <c r="M1805" s="24">
        <v>565.62</v>
      </c>
      <c r="N1805" s="34">
        <f>((sales_data_1[[#This Row],[Unit_Price]]*(1-sales_data_1[[#This Row],[Discount]]))-sales_data_1[[#This Row],[Unit_Cost]])*sales_data_1[[#This Row],[Quantity_Sold]]</f>
        <v>6445.655999999999</v>
      </c>
      <c r="O1805" s="17" t="s">
        <v>17</v>
      </c>
      <c r="P1805" s="26">
        <v>0.3</v>
      </c>
      <c r="Q1805" s="17" t="s">
        <v>18</v>
      </c>
      <c r="R1805" s="17" t="s">
        <v>19</v>
      </c>
      <c r="S1805" s="50" t="str">
        <f t="shared" si="86"/>
        <v>David-South</v>
      </c>
      <c r="T1805" s="59" t="str">
        <f>IF(ROUND(sales_data_1[[#This Row],[Profit_Margin]],2)=ROUND((sales_data_1[[#This Row],[Unit_Price]]*(1-sales_data_1[[#This Row],[Discount]]) - sales_data_1[[#This Row],[Unit_Cost]])*sales_data_1[[#This Row],[Quantity_Sold]],2), "PASS", "CHECK")</f>
        <v>PASS</v>
      </c>
    </row>
    <row r="1806" spans="1:20" x14ac:dyDescent="0.35">
      <c r="A1806" s="7">
        <v>1805</v>
      </c>
      <c r="B1806" s="9">
        <v>1090</v>
      </c>
      <c r="C1806" s="14" t="str">
        <f>IFERROR(_xlfn.TEXTJOIN("-", TRUE, _xlfn.XLOOKUP(K1806, product_category_id_lookup!$A$2:$A$5, product_category_id_lookup!$B$2:$B$5), B1806), "Unknown Category")</f>
        <v>ctg-1090</v>
      </c>
      <c r="D1806" s="8">
        <v>45183</v>
      </c>
      <c r="E1806" s="14">
        <f t="shared" si="84"/>
        <v>2023</v>
      </c>
      <c r="F1806" s="29" t="str">
        <f t="shared" si="85"/>
        <v>Sep</v>
      </c>
      <c r="G1806" s="17" t="s">
        <v>29</v>
      </c>
      <c r="H1806" s="17" t="s">
        <v>20</v>
      </c>
      <c r="I1806" s="24">
        <v>120679.6722154478</v>
      </c>
      <c r="J1806" s="32">
        <v>47</v>
      </c>
      <c r="K1806" s="17" t="s">
        <v>26</v>
      </c>
      <c r="L1806" s="24">
        <v>2357.9499999999998</v>
      </c>
      <c r="M1806" s="24">
        <v>2693.33</v>
      </c>
      <c r="N1806" s="34">
        <f>((sales_data_1[[#This Row],[Unit_Price]]*(1-sales_data_1[[#This Row],[Discount]]))-sales_data_1[[#This Row],[Unit_Cost]])*sales_data_1[[#This Row],[Quantity_Sold]]</f>
        <v>9433.5344999999925</v>
      </c>
      <c r="O1806" s="17" t="s">
        <v>27</v>
      </c>
      <c r="P1806" s="26">
        <v>0.05</v>
      </c>
      <c r="Q1806" s="17" t="s">
        <v>25</v>
      </c>
      <c r="R1806" s="17" t="s">
        <v>19</v>
      </c>
      <c r="S1806" s="50" t="str">
        <f t="shared" si="86"/>
        <v>Charlie-West</v>
      </c>
      <c r="T1806" s="59" t="str">
        <f>IF(ROUND(sales_data_1[[#This Row],[Profit_Margin]],2)=ROUND((sales_data_1[[#This Row],[Unit_Price]]*(1-sales_data_1[[#This Row],[Discount]]) - sales_data_1[[#This Row],[Unit_Cost]])*sales_data_1[[#This Row],[Quantity_Sold]],2), "PASS", "CHECK")</f>
        <v>PASS</v>
      </c>
    </row>
    <row r="1807" spans="1:20" x14ac:dyDescent="0.35">
      <c r="A1807" s="7">
        <v>1806</v>
      </c>
      <c r="B1807" s="9">
        <v>1001</v>
      </c>
      <c r="C1807" s="14" t="str">
        <f>IFERROR(_xlfn.TEXTJOIN("-", TRUE, _xlfn.XLOOKUP(K1807, product_category_id_lookup!$A$2:$A$5, product_category_id_lookup!$B$2:$B$5), B1807), "Unknown Category")</f>
        <v>fd-1001</v>
      </c>
      <c r="D1807" s="8">
        <v>45183</v>
      </c>
      <c r="E1807" s="14">
        <f t="shared" si="84"/>
        <v>2023</v>
      </c>
      <c r="F1807" s="29" t="str">
        <f t="shared" si="85"/>
        <v>Sep</v>
      </c>
      <c r="G1807" s="17" t="s">
        <v>32</v>
      </c>
      <c r="H1807" s="17" t="s">
        <v>23</v>
      </c>
      <c r="I1807" s="24">
        <v>110326.01576581399</v>
      </c>
      <c r="J1807" s="32">
        <v>39</v>
      </c>
      <c r="K1807" s="17" t="s">
        <v>24</v>
      </c>
      <c r="L1807" s="24">
        <v>2437.2600000000002</v>
      </c>
      <c r="M1807" s="24">
        <v>2889.67</v>
      </c>
      <c r="N1807" s="34">
        <f>((sales_data_1[[#This Row],[Unit_Price]]*(1-sales_data_1[[#This Row],[Discount]]))-sales_data_1[[#This Row],[Unit_Cost]])*sales_data_1[[#This Row],[Quantity_Sold]]</f>
        <v>15390.047399999994</v>
      </c>
      <c r="O1807" s="17" t="s">
        <v>17</v>
      </c>
      <c r="P1807" s="26">
        <v>0.02</v>
      </c>
      <c r="Q1807" s="17" t="s">
        <v>18</v>
      </c>
      <c r="R1807" s="17" t="s">
        <v>19</v>
      </c>
      <c r="S1807" s="50" t="str">
        <f t="shared" si="86"/>
        <v>Eve-South</v>
      </c>
      <c r="T1807" s="59" t="str">
        <f>IF(ROUND(sales_data_1[[#This Row],[Profit_Margin]],2)=ROUND((sales_data_1[[#This Row],[Unit_Price]]*(1-sales_data_1[[#This Row],[Discount]]) - sales_data_1[[#This Row],[Unit_Cost]])*sales_data_1[[#This Row],[Quantity_Sold]],2), "PASS", "CHECK")</f>
        <v>PASS</v>
      </c>
    </row>
    <row r="1808" spans="1:20" x14ac:dyDescent="0.35">
      <c r="A1808" s="7">
        <v>1807</v>
      </c>
      <c r="B1808" s="9">
        <v>1054</v>
      </c>
      <c r="C1808" s="14" t="str">
        <f>IFERROR(_xlfn.TEXTJOIN("-", TRUE, _xlfn.XLOOKUP(K1808, product_category_id_lookup!$A$2:$A$5, product_category_id_lookup!$B$2:$B$5), B1808), "Unknown Category")</f>
        <v>etc-1054</v>
      </c>
      <c r="D1808" s="8">
        <v>45184</v>
      </c>
      <c r="E1808" s="14">
        <f t="shared" si="84"/>
        <v>2023</v>
      </c>
      <c r="F1808" s="29" t="str">
        <f t="shared" si="85"/>
        <v>Sep</v>
      </c>
      <c r="G1808" s="17" t="s">
        <v>14</v>
      </c>
      <c r="H1808" s="17" t="s">
        <v>23</v>
      </c>
      <c r="I1808" s="24">
        <v>76781.012470102884</v>
      </c>
      <c r="J1808" s="32">
        <v>16</v>
      </c>
      <c r="K1808" s="17" t="s">
        <v>31</v>
      </c>
      <c r="L1808" s="24">
        <v>4557.79</v>
      </c>
      <c r="M1808" s="24">
        <v>5043.3599999999997</v>
      </c>
      <c r="N1808" s="34">
        <f>((sales_data_1[[#This Row],[Unit_Price]]*(1-sales_data_1[[#This Row],[Discount]]))-sales_data_1[[#This Row],[Unit_Cost]])*sales_data_1[[#This Row],[Quantity_Sold]]</f>
        <v>3734.4319999999861</v>
      </c>
      <c r="O1808" s="17" t="s">
        <v>17</v>
      </c>
      <c r="P1808" s="26">
        <v>0.05</v>
      </c>
      <c r="Q1808" s="17" t="s">
        <v>28</v>
      </c>
      <c r="R1808" s="17" t="s">
        <v>21</v>
      </c>
      <c r="S1808" s="50" t="str">
        <f t="shared" si="86"/>
        <v>Bob-South</v>
      </c>
      <c r="T1808" s="59" t="str">
        <f>IF(ROUND(sales_data_1[[#This Row],[Profit_Margin]],2)=ROUND((sales_data_1[[#This Row],[Unit_Price]]*(1-sales_data_1[[#This Row],[Discount]]) - sales_data_1[[#This Row],[Unit_Cost]])*sales_data_1[[#This Row],[Quantity_Sold]],2), "PASS", "CHECK")</f>
        <v>PASS</v>
      </c>
    </row>
    <row r="1809" spans="1:20" x14ac:dyDescent="0.35">
      <c r="A1809" s="7">
        <v>1808</v>
      </c>
      <c r="B1809" s="9">
        <v>1006</v>
      </c>
      <c r="C1809" s="14" t="str">
        <f>IFERROR(_xlfn.TEXTJOIN("-", TRUE, _xlfn.XLOOKUP(K1809, product_category_id_lookup!$A$2:$A$5, product_category_id_lookup!$B$2:$B$5), B1809), "Unknown Category")</f>
        <v>fd-1006</v>
      </c>
      <c r="D1809" s="8">
        <v>45185</v>
      </c>
      <c r="E1809" s="14">
        <f t="shared" si="84"/>
        <v>2023</v>
      </c>
      <c r="F1809" s="29" t="str">
        <f t="shared" si="85"/>
        <v>Sep</v>
      </c>
      <c r="G1809" s="17" t="s">
        <v>14</v>
      </c>
      <c r="H1809" s="17" t="s">
        <v>15</v>
      </c>
      <c r="I1809" s="24">
        <v>141848.728</v>
      </c>
      <c r="J1809" s="32">
        <v>49</v>
      </c>
      <c r="K1809" s="17" t="s">
        <v>24</v>
      </c>
      <c r="L1809" s="24">
        <v>2843.76</v>
      </c>
      <c r="M1809" s="24">
        <v>3146.6000000000004</v>
      </c>
      <c r="N1809" s="34">
        <f>((sales_data_1[[#This Row],[Unit_Price]]*(1-sales_data_1[[#This Row],[Discount]]))-sales_data_1[[#This Row],[Unit_Cost]])*sales_data_1[[#This Row],[Quantity_Sold]]</f>
        <v>2504.4880000000039</v>
      </c>
      <c r="O1809" s="17" t="s">
        <v>27</v>
      </c>
      <c r="P1809" s="26">
        <v>0.08</v>
      </c>
      <c r="Q1809" s="17" t="s">
        <v>18</v>
      </c>
      <c r="R1809" s="17" t="s">
        <v>21</v>
      </c>
      <c r="S1809" s="50" t="str">
        <f t="shared" si="86"/>
        <v>Bob-North</v>
      </c>
      <c r="T1809" s="59" t="str">
        <f>IF(ROUND(sales_data_1[[#This Row],[Profit_Margin]],2)=ROUND((sales_data_1[[#This Row],[Unit_Price]]*(1-sales_data_1[[#This Row],[Discount]]) - sales_data_1[[#This Row],[Unit_Cost]])*sales_data_1[[#This Row],[Quantity_Sold]],2), "PASS", "CHECK")</f>
        <v>PASS</v>
      </c>
    </row>
    <row r="1810" spans="1:20" x14ac:dyDescent="0.35">
      <c r="A1810" s="7">
        <v>1809</v>
      </c>
      <c r="B1810" s="9">
        <v>1012</v>
      </c>
      <c r="C1810" s="14" t="str">
        <f>IFERROR(_xlfn.TEXTJOIN("-", TRUE, _xlfn.XLOOKUP(K1810, product_category_id_lookup!$A$2:$A$5, product_category_id_lookup!$B$2:$B$5), B1810), "Unknown Category")</f>
        <v>etc-1012</v>
      </c>
      <c r="D1810" s="8">
        <v>45185</v>
      </c>
      <c r="E1810" s="14">
        <f t="shared" si="84"/>
        <v>2023</v>
      </c>
      <c r="F1810" s="29" t="str">
        <f t="shared" si="85"/>
        <v>Sep</v>
      </c>
      <c r="G1810" s="17" t="s">
        <v>22</v>
      </c>
      <c r="H1810" s="17" t="s">
        <v>23</v>
      </c>
      <c r="I1810" s="24">
        <v>32504.806699999997</v>
      </c>
      <c r="J1810" s="32">
        <v>19</v>
      </c>
      <c r="K1810" s="17" t="s">
        <v>31</v>
      </c>
      <c r="L1810" s="24">
        <v>1427.42</v>
      </c>
      <c r="M1810" s="24">
        <v>1763.69</v>
      </c>
      <c r="N1810" s="34">
        <f>((sales_data_1[[#This Row],[Unit_Price]]*(1-sales_data_1[[#This Row],[Discount]]))-sales_data_1[[#This Row],[Unit_Cost]])*sales_data_1[[#This Row],[Quantity_Sold]]</f>
        <v>5383.8266999999969</v>
      </c>
      <c r="O1810" s="17" t="s">
        <v>27</v>
      </c>
      <c r="P1810" s="26">
        <v>0.03</v>
      </c>
      <c r="Q1810" s="17" t="s">
        <v>18</v>
      </c>
      <c r="R1810" s="17" t="s">
        <v>21</v>
      </c>
      <c r="S1810" s="50" t="str">
        <f t="shared" si="86"/>
        <v>David-South</v>
      </c>
      <c r="T1810" s="59" t="str">
        <f>IF(ROUND(sales_data_1[[#This Row],[Profit_Margin]],2)=ROUND((sales_data_1[[#This Row],[Unit_Price]]*(1-sales_data_1[[#This Row],[Discount]]) - sales_data_1[[#This Row],[Unit_Cost]])*sales_data_1[[#This Row],[Quantity_Sold]],2), "PASS", "CHECK")</f>
        <v>PASS</v>
      </c>
    </row>
    <row r="1811" spans="1:20" x14ac:dyDescent="0.35">
      <c r="A1811" s="7">
        <v>1810</v>
      </c>
      <c r="B1811" s="9">
        <v>1100</v>
      </c>
      <c r="C1811" s="14" t="str">
        <f>IFERROR(_xlfn.TEXTJOIN("-", TRUE, _xlfn.XLOOKUP(K1811, product_category_id_lookup!$A$2:$A$5, product_category_id_lookup!$B$2:$B$5), B1811), "Unknown Category")</f>
        <v>etc-1100</v>
      </c>
      <c r="D1811" s="8">
        <v>45186</v>
      </c>
      <c r="E1811" s="14">
        <f t="shared" si="84"/>
        <v>2023</v>
      </c>
      <c r="F1811" s="29" t="str">
        <f t="shared" si="85"/>
        <v>Sep</v>
      </c>
      <c r="G1811" s="17" t="s">
        <v>29</v>
      </c>
      <c r="H1811" s="17" t="s">
        <v>15</v>
      </c>
      <c r="I1811" s="24">
        <v>7816.3670999999995</v>
      </c>
      <c r="J1811" s="32">
        <v>17</v>
      </c>
      <c r="K1811" s="17" t="s">
        <v>31</v>
      </c>
      <c r="L1811" s="24">
        <v>83.64</v>
      </c>
      <c r="M1811" s="24">
        <v>528.49</v>
      </c>
      <c r="N1811" s="34">
        <f>((sales_data_1[[#This Row],[Unit_Price]]*(1-sales_data_1[[#This Row],[Discount]]))-sales_data_1[[#This Row],[Unit_Cost]])*sales_data_1[[#This Row],[Quantity_Sold]]</f>
        <v>6394.4871000000003</v>
      </c>
      <c r="O1811" s="17" t="s">
        <v>27</v>
      </c>
      <c r="P1811" s="26">
        <v>0.13</v>
      </c>
      <c r="Q1811" s="17" t="s">
        <v>28</v>
      </c>
      <c r="R1811" s="17" t="s">
        <v>19</v>
      </c>
      <c r="S1811" s="50" t="str">
        <f t="shared" si="86"/>
        <v>Charlie-North</v>
      </c>
      <c r="T1811" s="59" t="str">
        <f>IF(ROUND(sales_data_1[[#This Row],[Profit_Margin]],2)=ROUND((sales_data_1[[#This Row],[Unit_Price]]*(1-sales_data_1[[#This Row],[Discount]]) - sales_data_1[[#This Row],[Unit_Cost]])*sales_data_1[[#This Row],[Quantity_Sold]],2), "PASS", "CHECK")</f>
        <v>PASS</v>
      </c>
    </row>
    <row r="1812" spans="1:20" x14ac:dyDescent="0.35">
      <c r="A1812" s="7">
        <v>1811</v>
      </c>
      <c r="B1812" s="9">
        <v>1093</v>
      </c>
      <c r="C1812" s="14" t="str">
        <f>IFERROR(_xlfn.TEXTJOIN("-", TRUE, _xlfn.XLOOKUP(K1812, product_category_id_lookup!$A$2:$A$5, product_category_id_lookup!$B$2:$B$5), B1812), "Unknown Category")</f>
        <v>etc-1093</v>
      </c>
      <c r="D1812" s="8">
        <v>45187</v>
      </c>
      <c r="E1812" s="14">
        <f t="shared" si="84"/>
        <v>2023</v>
      </c>
      <c r="F1812" s="29" t="str">
        <f t="shared" si="85"/>
        <v>Sep</v>
      </c>
      <c r="G1812" s="17" t="s">
        <v>22</v>
      </c>
      <c r="H1812" s="17" t="s">
        <v>20</v>
      </c>
      <c r="I1812" s="24">
        <v>72933.769822259317</v>
      </c>
      <c r="J1812" s="32">
        <v>19</v>
      </c>
      <c r="K1812" s="17" t="s">
        <v>31</v>
      </c>
      <c r="L1812" s="24">
        <v>3808.59</v>
      </c>
      <c r="M1812" s="24">
        <v>3844.51</v>
      </c>
      <c r="N1812" s="34">
        <f>((sales_data_1[[#This Row],[Unit_Price]]*(1-sales_data_1[[#This Row],[Discount]]))-sales_data_1[[#This Row],[Unit_Cost]])*sales_data_1[[#This Row],[Quantity_Sold]]</f>
        <v>682.48000000000138</v>
      </c>
      <c r="O1812" s="17" t="s">
        <v>27</v>
      </c>
      <c r="P1812" s="26">
        <v>0</v>
      </c>
      <c r="Q1812" s="17" t="s">
        <v>28</v>
      </c>
      <c r="R1812" s="17" t="s">
        <v>19</v>
      </c>
      <c r="S1812" s="50" t="str">
        <f t="shared" si="86"/>
        <v>David-West</v>
      </c>
      <c r="T1812" s="59" t="str">
        <f>IF(ROUND(sales_data_1[[#This Row],[Profit_Margin]],2)=ROUND((sales_data_1[[#This Row],[Unit_Price]]*(1-sales_data_1[[#This Row],[Discount]]) - sales_data_1[[#This Row],[Unit_Cost]])*sales_data_1[[#This Row],[Quantity_Sold]],2), "PASS", "CHECK")</f>
        <v>PASS</v>
      </c>
    </row>
    <row r="1813" spans="1:20" x14ac:dyDescent="0.35">
      <c r="A1813" s="7">
        <v>1812</v>
      </c>
      <c r="B1813" s="9">
        <v>1057</v>
      </c>
      <c r="C1813" s="14" t="str">
        <f>IFERROR(_xlfn.TEXTJOIN("-", TRUE, _xlfn.XLOOKUP(K1813, product_category_id_lookup!$A$2:$A$5, product_category_id_lookup!$B$2:$B$5), B1813), "Unknown Category")</f>
        <v>fd-1057</v>
      </c>
      <c r="D1813" s="8">
        <v>45187</v>
      </c>
      <c r="E1813" s="14">
        <f t="shared" si="84"/>
        <v>2023</v>
      </c>
      <c r="F1813" s="29" t="str">
        <f t="shared" si="85"/>
        <v>Sep</v>
      </c>
      <c r="G1813" s="17" t="s">
        <v>29</v>
      </c>
      <c r="H1813" s="17" t="s">
        <v>20</v>
      </c>
      <c r="I1813" s="24">
        <v>49679.63</v>
      </c>
      <c r="J1813" s="32">
        <v>25</v>
      </c>
      <c r="K1813" s="17" t="s">
        <v>24</v>
      </c>
      <c r="L1813" s="24">
        <v>1821.91</v>
      </c>
      <c r="M1813" s="24">
        <v>2027.74</v>
      </c>
      <c r="N1813" s="34">
        <f>((sales_data_1[[#This Row],[Unit_Price]]*(1-sales_data_1[[#This Row],[Discount]]))-sales_data_1[[#This Row],[Unit_Cost]])*sales_data_1[[#This Row],[Quantity_Sold]]</f>
        <v>4131.8799999999956</v>
      </c>
      <c r="O1813" s="17" t="s">
        <v>27</v>
      </c>
      <c r="P1813" s="26">
        <v>0.02</v>
      </c>
      <c r="Q1813" s="17" t="s">
        <v>25</v>
      </c>
      <c r="R1813" s="17" t="s">
        <v>21</v>
      </c>
      <c r="S1813" s="50" t="str">
        <f t="shared" si="86"/>
        <v>Charlie-West</v>
      </c>
      <c r="T1813" s="59" t="str">
        <f>IF(ROUND(sales_data_1[[#This Row],[Profit_Margin]],2)=ROUND((sales_data_1[[#This Row],[Unit_Price]]*(1-sales_data_1[[#This Row],[Discount]]) - sales_data_1[[#This Row],[Unit_Cost]])*sales_data_1[[#This Row],[Quantity_Sold]],2), "PASS", "CHECK")</f>
        <v>PASS</v>
      </c>
    </row>
    <row r="1814" spans="1:20" x14ac:dyDescent="0.35">
      <c r="A1814" s="7">
        <v>1813</v>
      </c>
      <c r="B1814" s="9">
        <v>1008</v>
      </c>
      <c r="C1814" s="14" t="str">
        <f>IFERROR(_xlfn.TEXTJOIN("-", TRUE, _xlfn.XLOOKUP(K1814, product_category_id_lookup!$A$2:$A$5, product_category_id_lookup!$B$2:$B$5), B1814), "Unknown Category")</f>
        <v>fd-1008</v>
      </c>
      <c r="D1814" s="8">
        <v>45187</v>
      </c>
      <c r="E1814" s="14">
        <f t="shared" si="84"/>
        <v>2023</v>
      </c>
      <c r="F1814" s="29" t="str">
        <f t="shared" si="85"/>
        <v>Sep</v>
      </c>
      <c r="G1814" s="17" t="s">
        <v>29</v>
      </c>
      <c r="H1814" s="17" t="s">
        <v>23</v>
      </c>
      <c r="I1814" s="24">
        <v>34808.576000000001</v>
      </c>
      <c r="J1814" s="32">
        <v>32</v>
      </c>
      <c r="K1814" s="17" t="s">
        <v>24</v>
      </c>
      <c r="L1814" s="24">
        <v>921.32</v>
      </c>
      <c r="M1814" s="24">
        <v>1236.0999999999999</v>
      </c>
      <c r="N1814" s="34">
        <f>((sales_data_1[[#This Row],[Unit_Price]]*(1-sales_data_1[[#This Row],[Discount]]))-sales_data_1[[#This Row],[Unit_Cost]])*sales_data_1[[#This Row],[Quantity_Sold]]</f>
        <v>5326.3359999999993</v>
      </c>
      <c r="O1814" s="17" t="s">
        <v>27</v>
      </c>
      <c r="P1814" s="26">
        <v>0.12</v>
      </c>
      <c r="Q1814" s="17" t="s">
        <v>28</v>
      </c>
      <c r="R1814" s="17" t="s">
        <v>19</v>
      </c>
      <c r="S1814" s="50" t="str">
        <f t="shared" si="86"/>
        <v>Charlie-South</v>
      </c>
      <c r="T1814" s="59" t="str">
        <f>IF(ROUND(sales_data_1[[#This Row],[Profit_Margin]],2)=ROUND((sales_data_1[[#This Row],[Unit_Price]]*(1-sales_data_1[[#This Row],[Discount]]) - sales_data_1[[#This Row],[Unit_Cost]])*sales_data_1[[#This Row],[Quantity_Sold]],2), "PASS", "CHECK")</f>
        <v>PASS</v>
      </c>
    </row>
    <row r="1815" spans="1:20" x14ac:dyDescent="0.35">
      <c r="A1815" s="7">
        <v>1814</v>
      </c>
      <c r="B1815" s="9">
        <v>1006</v>
      </c>
      <c r="C1815" s="14" t="str">
        <f>IFERROR(_xlfn.TEXTJOIN("-", TRUE, _xlfn.XLOOKUP(K1815, product_category_id_lookup!$A$2:$A$5, product_category_id_lookup!$B$2:$B$5), B1815), "Unknown Category")</f>
        <v>fnt-1006</v>
      </c>
      <c r="D1815" s="8">
        <v>45187</v>
      </c>
      <c r="E1815" s="14">
        <f t="shared" si="84"/>
        <v>2023</v>
      </c>
      <c r="F1815" s="29" t="str">
        <f t="shared" si="85"/>
        <v>Sep</v>
      </c>
      <c r="G1815" s="17" t="s">
        <v>22</v>
      </c>
      <c r="H1815" s="17" t="s">
        <v>20</v>
      </c>
      <c r="I1815" s="24">
        <v>78577.33196816995</v>
      </c>
      <c r="J1815" s="32">
        <v>45</v>
      </c>
      <c r="K1815" s="17" t="s">
        <v>16</v>
      </c>
      <c r="L1815" s="24">
        <v>1623.63</v>
      </c>
      <c r="M1815" s="24">
        <v>1814.63</v>
      </c>
      <c r="N1815" s="34">
        <f>((sales_data_1[[#This Row],[Unit_Price]]*(1-sales_data_1[[#This Row],[Discount]]))-sales_data_1[[#This Row],[Unit_Cost]])*sales_data_1[[#This Row],[Quantity_Sold]]</f>
        <v>5328.6660000000011</v>
      </c>
      <c r="O1815" s="17" t="s">
        <v>27</v>
      </c>
      <c r="P1815" s="26">
        <v>0.04</v>
      </c>
      <c r="Q1815" s="17" t="s">
        <v>25</v>
      </c>
      <c r="R1815" s="17" t="s">
        <v>21</v>
      </c>
      <c r="S1815" s="50" t="str">
        <f t="shared" si="86"/>
        <v>David-West</v>
      </c>
      <c r="T1815" s="59" t="str">
        <f>IF(ROUND(sales_data_1[[#This Row],[Profit_Margin]],2)=ROUND((sales_data_1[[#This Row],[Unit_Price]]*(1-sales_data_1[[#This Row],[Discount]]) - sales_data_1[[#This Row],[Unit_Cost]])*sales_data_1[[#This Row],[Quantity_Sold]],2), "PASS", "CHECK")</f>
        <v>PASS</v>
      </c>
    </row>
    <row r="1816" spans="1:20" x14ac:dyDescent="0.35">
      <c r="A1816" s="7">
        <v>1815</v>
      </c>
      <c r="B1816" s="9">
        <v>1085</v>
      </c>
      <c r="C1816" s="14" t="str">
        <f>IFERROR(_xlfn.TEXTJOIN("-", TRUE, _xlfn.XLOOKUP(K1816, product_category_id_lookup!$A$2:$A$5, product_category_id_lookup!$B$2:$B$5), B1816), "Unknown Category")</f>
        <v>ctg-1085</v>
      </c>
      <c r="D1816" s="8">
        <v>45187</v>
      </c>
      <c r="E1816" s="14">
        <f t="shared" si="84"/>
        <v>2023</v>
      </c>
      <c r="F1816" s="29" t="str">
        <f t="shared" si="85"/>
        <v>Sep</v>
      </c>
      <c r="G1816" s="17" t="s">
        <v>32</v>
      </c>
      <c r="H1816" s="17" t="s">
        <v>30</v>
      </c>
      <c r="I1816" s="24">
        <v>174856.85397688064</v>
      </c>
      <c r="J1816" s="32">
        <v>40</v>
      </c>
      <c r="K1816" s="17" t="s">
        <v>26</v>
      </c>
      <c r="L1816" s="24">
        <v>4083.23</v>
      </c>
      <c r="M1816" s="24">
        <v>4521.57</v>
      </c>
      <c r="N1816" s="34">
        <f>((sales_data_1[[#This Row],[Unit_Price]]*(1-sales_data_1[[#This Row],[Discount]]))-sales_data_1[[#This Row],[Unit_Cost]])*sales_data_1[[#This Row],[Quantity_Sold]]</f>
        <v>12107.715999999982</v>
      </c>
      <c r="O1816" s="17" t="s">
        <v>27</v>
      </c>
      <c r="P1816" s="26">
        <v>0.03</v>
      </c>
      <c r="Q1816" s="17" t="s">
        <v>25</v>
      </c>
      <c r="R1816" s="17" t="s">
        <v>21</v>
      </c>
      <c r="S1816" s="50" t="str">
        <f t="shared" si="86"/>
        <v>Eve-East</v>
      </c>
      <c r="T1816" s="59" t="str">
        <f>IF(ROUND(sales_data_1[[#This Row],[Profit_Margin]],2)=ROUND((sales_data_1[[#This Row],[Unit_Price]]*(1-sales_data_1[[#This Row],[Discount]]) - sales_data_1[[#This Row],[Unit_Cost]])*sales_data_1[[#This Row],[Quantity_Sold]],2), "PASS", "CHECK")</f>
        <v>PASS</v>
      </c>
    </row>
    <row r="1817" spans="1:20" x14ac:dyDescent="0.35">
      <c r="A1817" s="7">
        <v>1816</v>
      </c>
      <c r="B1817" s="9">
        <v>1037</v>
      </c>
      <c r="C1817" s="14" t="str">
        <f>IFERROR(_xlfn.TEXTJOIN("-", TRUE, _xlfn.XLOOKUP(K1817, product_category_id_lookup!$A$2:$A$5, product_category_id_lookup!$B$2:$B$5), B1817), "Unknown Category")</f>
        <v>etc-1037</v>
      </c>
      <c r="D1817" s="8">
        <v>45188</v>
      </c>
      <c r="E1817" s="14">
        <f t="shared" si="84"/>
        <v>2023</v>
      </c>
      <c r="F1817" s="29" t="str">
        <f t="shared" si="85"/>
        <v>Sep</v>
      </c>
      <c r="G1817" s="17" t="s">
        <v>33</v>
      </c>
      <c r="H1817" s="17" t="s">
        <v>23</v>
      </c>
      <c r="I1817" s="24">
        <v>25714.701162268033</v>
      </c>
      <c r="J1817" s="32">
        <v>17</v>
      </c>
      <c r="K1817" s="17" t="s">
        <v>31</v>
      </c>
      <c r="L1817" s="24">
        <v>1308.58</v>
      </c>
      <c r="M1817" s="24">
        <v>1575.59</v>
      </c>
      <c r="N1817" s="34">
        <f>((sales_data_1[[#This Row],[Unit_Price]]*(1-sales_data_1[[#This Row],[Discount]]))-sales_data_1[[#This Row],[Unit_Cost]])*sales_data_1[[#This Row],[Quantity_Sold]]</f>
        <v>3467.7687999999998</v>
      </c>
      <c r="O1817" s="17" t="s">
        <v>27</v>
      </c>
      <c r="P1817" s="26">
        <v>0.04</v>
      </c>
      <c r="Q1817" s="17" t="s">
        <v>18</v>
      </c>
      <c r="R1817" s="17" t="s">
        <v>19</v>
      </c>
      <c r="S1817" s="50" t="str">
        <f t="shared" si="86"/>
        <v>Alice-South</v>
      </c>
      <c r="T1817" s="59" t="str">
        <f>IF(ROUND(sales_data_1[[#This Row],[Profit_Margin]],2)=ROUND((sales_data_1[[#This Row],[Unit_Price]]*(1-sales_data_1[[#This Row],[Discount]]) - sales_data_1[[#This Row],[Unit_Cost]])*sales_data_1[[#This Row],[Quantity_Sold]],2), "PASS", "CHECK")</f>
        <v>PASS</v>
      </c>
    </row>
    <row r="1818" spans="1:20" x14ac:dyDescent="0.35">
      <c r="A1818" s="7">
        <v>1817</v>
      </c>
      <c r="B1818" s="9">
        <v>1039</v>
      </c>
      <c r="C1818" s="14" t="str">
        <f>IFERROR(_xlfn.TEXTJOIN("-", TRUE, _xlfn.XLOOKUP(K1818, product_category_id_lookup!$A$2:$A$5, product_category_id_lookup!$B$2:$B$5), B1818), "Unknown Category")</f>
        <v>ctg-1039</v>
      </c>
      <c r="D1818" s="8">
        <v>45188</v>
      </c>
      <c r="E1818" s="14">
        <f t="shared" si="84"/>
        <v>2023</v>
      </c>
      <c r="F1818" s="29" t="str">
        <f t="shared" si="85"/>
        <v>Sep</v>
      </c>
      <c r="G1818" s="17" t="s">
        <v>14</v>
      </c>
      <c r="H1818" s="17" t="s">
        <v>23</v>
      </c>
      <c r="I1818" s="24">
        <v>22428.358399999997</v>
      </c>
      <c r="J1818" s="32">
        <v>28</v>
      </c>
      <c r="K1818" s="17" t="s">
        <v>26</v>
      </c>
      <c r="L1818" s="24">
        <v>666.84</v>
      </c>
      <c r="M1818" s="24">
        <v>817.36</v>
      </c>
      <c r="N1818" s="34">
        <f>((sales_data_1[[#This Row],[Unit_Price]]*(1-sales_data_1[[#This Row],[Discount]]))-sales_data_1[[#This Row],[Unit_Cost]])*sales_data_1[[#This Row],[Quantity_Sold]]</f>
        <v>3756.8383999999983</v>
      </c>
      <c r="O1818" s="17" t="s">
        <v>17</v>
      </c>
      <c r="P1818" s="26">
        <v>0.02</v>
      </c>
      <c r="Q1818" s="17" t="s">
        <v>18</v>
      </c>
      <c r="R1818" s="17" t="s">
        <v>21</v>
      </c>
      <c r="S1818" s="50" t="str">
        <f t="shared" si="86"/>
        <v>Bob-South</v>
      </c>
      <c r="T1818" s="59" t="str">
        <f>IF(ROUND(sales_data_1[[#This Row],[Profit_Margin]],2)=ROUND((sales_data_1[[#This Row],[Unit_Price]]*(1-sales_data_1[[#This Row],[Discount]]) - sales_data_1[[#This Row],[Unit_Cost]])*sales_data_1[[#This Row],[Quantity_Sold]],2), "PASS", "CHECK")</f>
        <v>PASS</v>
      </c>
    </row>
    <row r="1819" spans="1:20" x14ac:dyDescent="0.35">
      <c r="A1819" s="7">
        <v>1818</v>
      </c>
      <c r="B1819" s="9">
        <v>1025</v>
      </c>
      <c r="C1819" s="14" t="str">
        <f>IFERROR(_xlfn.TEXTJOIN("-", TRUE, _xlfn.XLOOKUP(K1819, product_category_id_lookup!$A$2:$A$5, product_category_id_lookup!$B$2:$B$5), B1819), "Unknown Category")</f>
        <v>etc-1025</v>
      </c>
      <c r="D1819" s="8">
        <v>45188</v>
      </c>
      <c r="E1819" s="14">
        <f t="shared" si="84"/>
        <v>2023</v>
      </c>
      <c r="F1819" s="29" t="str">
        <f t="shared" si="85"/>
        <v>Sep</v>
      </c>
      <c r="G1819" s="17" t="s">
        <v>33</v>
      </c>
      <c r="H1819" s="17" t="s">
        <v>30</v>
      </c>
      <c r="I1819" s="24">
        <v>56611.476147547706</v>
      </c>
      <c r="J1819" s="32">
        <v>26</v>
      </c>
      <c r="K1819" s="17" t="s">
        <v>31</v>
      </c>
      <c r="L1819" s="24">
        <v>2007.32</v>
      </c>
      <c r="M1819" s="24">
        <v>2202.87</v>
      </c>
      <c r="N1819" s="34">
        <f>((sales_data_1[[#This Row],[Unit_Price]]*(1-sales_data_1[[#This Row],[Discount]]))-sales_data_1[[#This Row],[Unit_Cost]])*sales_data_1[[#This Row],[Quantity_Sold]]</f>
        <v>4511.5538000000033</v>
      </c>
      <c r="O1819" s="17" t="s">
        <v>17</v>
      </c>
      <c r="P1819" s="26">
        <v>0.01</v>
      </c>
      <c r="Q1819" s="17" t="s">
        <v>18</v>
      </c>
      <c r="R1819" s="17" t="s">
        <v>19</v>
      </c>
      <c r="S1819" s="50" t="str">
        <f t="shared" si="86"/>
        <v>Alice-East</v>
      </c>
      <c r="T1819" s="59" t="str">
        <f>IF(ROUND(sales_data_1[[#This Row],[Profit_Margin]],2)=ROUND((sales_data_1[[#This Row],[Unit_Price]]*(1-sales_data_1[[#This Row],[Discount]]) - sales_data_1[[#This Row],[Unit_Cost]])*sales_data_1[[#This Row],[Quantity_Sold]],2), "PASS", "CHECK")</f>
        <v>PASS</v>
      </c>
    </row>
    <row r="1820" spans="1:20" x14ac:dyDescent="0.35">
      <c r="A1820" s="7">
        <v>1819</v>
      </c>
      <c r="B1820" s="9">
        <v>1019</v>
      </c>
      <c r="C1820" s="14" t="str">
        <f>IFERROR(_xlfn.TEXTJOIN("-", TRUE, _xlfn.XLOOKUP(K1820, product_category_id_lookup!$A$2:$A$5, product_category_id_lookup!$B$2:$B$5), B1820), "Unknown Category")</f>
        <v>ctg-1019</v>
      </c>
      <c r="D1820" s="8">
        <v>45188</v>
      </c>
      <c r="E1820" s="14">
        <f t="shared" si="84"/>
        <v>2023</v>
      </c>
      <c r="F1820" s="29" t="str">
        <f t="shared" si="85"/>
        <v>Sep</v>
      </c>
      <c r="G1820" s="17" t="s">
        <v>29</v>
      </c>
      <c r="H1820" s="17" t="s">
        <v>20</v>
      </c>
      <c r="I1820" s="24">
        <v>129796.69499999998</v>
      </c>
      <c r="J1820" s="32">
        <v>45</v>
      </c>
      <c r="K1820" s="17" t="s">
        <v>26</v>
      </c>
      <c r="L1820" s="24">
        <v>2590.64</v>
      </c>
      <c r="M1820" s="24">
        <v>3036.18</v>
      </c>
      <c r="N1820" s="34">
        <f>((sales_data_1[[#This Row],[Unit_Price]]*(1-sales_data_1[[#This Row],[Discount]]))-sales_data_1[[#This Row],[Unit_Cost]])*sales_data_1[[#This Row],[Quantity_Sold]]</f>
        <v>13217.89499999999</v>
      </c>
      <c r="O1820" s="17" t="s">
        <v>27</v>
      </c>
      <c r="P1820" s="26">
        <v>0.05</v>
      </c>
      <c r="Q1820" s="17" t="s">
        <v>25</v>
      </c>
      <c r="R1820" s="17" t="s">
        <v>21</v>
      </c>
      <c r="S1820" s="50" t="str">
        <f t="shared" si="86"/>
        <v>Charlie-West</v>
      </c>
      <c r="T1820" s="59" t="str">
        <f>IF(ROUND(sales_data_1[[#This Row],[Profit_Margin]],2)=ROUND((sales_data_1[[#This Row],[Unit_Price]]*(1-sales_data_1[[#This Row],[Discount]]) - sales_data_1[[#This Row],[Unit_Cost]])*sales_data_1[[#This Row],[Quantity_Sold]],2), "PASS", "CHECK")</f>
        <v>PASS</v>
      </c>
    </row>
    <row r="1821" spans="1:20" x14ac:dyDescent="0.35">
      <c r="A1821" s="7">
        <v>1820</v>
      </c>
      <c r="B1821" s="9">
        <v>1097</v>
      </c>
      <c r="C1821" s="14" t="str">
        <f>IFERROR(_xlfn.TEXTJOIN("-", TRUE, _xlfn.XLOOKUP(K1821, product_category_id_lookup!$A$2:$A$5, product_category_id_lookup!$B$2:$B$5), B1821), "Unknown Category")</f>
        <v>ctg-1097</v>
      </c>
      <c r="D1821" s="8">
        <v>45189</v>
      </c>
      <c r="E1821" s="14">
        <f t="shared" si="84"/>
        <v>2023</v>
      </c>
      <c r="F1821" s="29" t="str">
        <f t="shared" si="85"/>
        <v>Sep</v>
      </c>
      <c r="G1821" s="17" t="s">
        <v>22</v>
      </c>
      <c r="H1821" s="17" t="s">
        <v>15</v>
      </c>
      <c r="I1821" s="24">
        <v>80379.97080027443</v>
      </c>
      <c r="J1821" s="32">
        <v>45</v>
      </c>
      <c r="K1821" s="17" t="s">
        <v>26</v>
      </c>
      <c r="L1821" s="24">
        <v>1525.13</v>
      </c>
      <c r="M1821" s="24">
        <v>1868.3200000000002</v>
      </c>
      <c r="N1821" s="34">
        <f>((sales_data_1[[#This Row],[Unit_Price]]*(1-sales_data_1[[#This Row],[Discount]]))-sales_data_1[[#This Row],[Unit_Cost]])*sales_data_1[[#This Row],[Quantity_Sold]]</f>
        <v>12080.574000000002</v>
      </c>
      <c r="O1821" s="17" t="s">
        <v>17</v>
      </c>
      <c r="P1821" s="26">
        <v>0.04</v>
      </c>
      <c r="Q1821" s="17" t="s">
        <v>18</v>
      </c>
      <c r="R1821" s="17" t="s">
        <v>21</v>
      </c>
      <c r="S1821" s="50" t="str">
        <f t="shared" si="86"/>
        <v>David-North</v>
      </c>
      <c r="T1821" s="59" t="str">
        <f>IF(ROUND(sales_data_1[[#This Row],[Profit_Margin]],2)=ROUND((sales_data_1[[#This Row],[Unit_Price]]*(1-sales_data_1[[#This Row],[Discount]]) - sales_data_1[[#This Row],[Unit_Cost]])*sales_data_1[[#This Row],[Quantity_Sold]],2), "PASS", "CHECK")</f>
        <v>PASS</v>
      </c>
    </row>
    <row r="1822" spans="1:20" x14ac:dyDescent="0.35">
      <c r="A1822" s="7">
        <v>1821</v>
      </c>
      <c r="B1822" s="9">
        <v>1084</v>
      </c>
      <c r="C1822" s="14" t="str">
        <f>IFERROR(_xlfn.TEXTJOIN("-", TRUE, _xlfn.XLOOKUP(K1822, product_category_id_lookup!$A$2:$A$5, product_category_id_lookup!$B$2:$B$5), B1822), "Unknown Category")</f>
        <v>fnt-1084</v>
      </c>
      <c r="D1822" s="8">
        <v>45190</v>
      </c>
      <c r="E1822" s="14">
        <f t="shared" si="84"/>
        <v>2023</v>
      </c>
      <c r="F1822" s="29" t="str">
        <f t="shared" si="85"/>
        <v>Sep</v>
      </c>
      <c r="G1822" s="17" t="s">
        <v>32</v>
      </c>
      <c r="H1822" s="17" t="s">
        <v>23</v>
      </c>
      <c r="I1822" s="24">
        <v>53415.511286239169</v>
      </c>
      <c r="J1822" s="32">
        <v>36</v>
      </c>
      <c r="K1822" s="17" t="s">
        <v>16</v>
      </c>
      <c r="L1822" s="24">
        <v>1458.77</v>
      </c>
      <c r="M1822" s="24">
        <v>1485.75</v>
      </c>
      <c r="N1822" s="34">
        <f>((sales_data_1[[#This Row],[Unit_Price]]*(1-sales_data_1[[#This Row],[Discount]]))-sales_data_1[[#This Row],[Unit_Cost]])*sales_data_1[[#This Row],[Quantity_Sold]]</f>
        <v>971.28000000000065</v>
      </c>
      <c r="O1822" s="17" t="s">
        <v>27</v>
      </c>
      <c r="P1822" s="26">
        <v>0</v>
      </c>
      <c r="Q1822" s="17" t="s">
        <v>28</v>
      </c>
      <c r="R1822" s="17" t="s">
        <v>19</v>
      </c>
      <c r="S1822" s="50" t="str">
        <f t="shared" si="86"/>
        <v>Eve-South</v>
      </c>
      <c r="T1822" s="59" t="str">
        <f>IF(ROUND(sales_data_1[[#This Row],[Profit_Margin]],2)=ROUND((sales_data_1[[#This Row],[Unit_Price]]*(1-sales_data_1[[#This Row],[Discount]]) - sales_data_1[[#This Row],[Unit_Cost]])*sales_data_1[[#This Row],[Quantity_Sold]],2), "PASS", "CHECK")</f>
        <v>PASS</v>
      </c>
    </row>
    <row r="1823" spans="1:20" x14ac:dyDescent="0.35">
      <c r="A1823" s="7">
        <v>1822</v>
      </c>
      <c r="B1823" s="9">
        <v>1015</v>
      </c>
      <c r="C1823" s="14" t="str">
        <f>IFERROR(_xlfn.TEXTJOIN("-", TRUE, _xlfn.XLOOKUP(K1823, product_category_id_lookup!$A$2:$A$5, product_category_id_lookup!$B$2:$B$5), B1823), "Unknown Category")</f>
        <v>fd-1015</v>
      </c>
      <c r="D1823" s="8">
        <v>45190</v>
      </c>
      <c r="E1823" s="14">
        <f t="shared" si="84"/>
        <v>2023</v>
      </c>
      <c r="F1823" s="29" t="str">
        <f t="shared" si="85"/>
        <v>Sep</v>
      </c>
      <c r="G1823" s="17" t="s">
        <v>22</v>
      </c>
      <c r="H1823" s="17" t="s">
        <v>23</v>
      </c>
      <c r="I1823" s="24">
        <v>8913.6</v>
      </c>
      <c r="J1823" s="32">
        <v>30</v>
      </c>
      <c r="K1823" s="17" t="s">
        <v>24</v>
      </c>
      <c r="L1823" s="24">
        <v>261.56</v>
      </c>
      <c r="M1823" s="24">
        <v>371.4</v>
      </c>
      <c r="N1823" s="34">
        <f>((sales_data_1[[#This Row],[Unit_Price]]*(1-sales_data_1[[#This Row],[Discount]]))-sales_data_1[[#This Row],[Unit_Cost]])*sales_data_1[[#This Row],[Quantity_Sold]]</f>
        <v>1066.8000000000002</v>
      </c>
      <c r="O1823" s="17" t="s">
        <v>17</v>
      </c>
      <c r="P1823" s="26">
        <v>0.2</v>
      </c>
      <c r="Q1823" s="17" t="s">
        <v>25</v>
      </c>
      <c r="R1823" s="17" t="s">
        <v>21</v>
      </c>
      <c r="S1823" s="50" t="str">
        <f t="shared" si="86"/>
        <v>David-South</v>
      </c>
      <c r="T1823" s="59" t="str">
        <f>IF(ROUND(sales_data_1[[#This Row],[Profit_Margin]],2)=ROUND((sales_data_1[[#This Row],[Unit_Price]]*(1-sales_data_1[[#This Row],[Discount]]) - sales_data_1[[#This Row],[Unit_Cost]])*sales_data_1[[#This Row],[Quantity_Sold]],2), "PASS", "CHECK")</f>
        <v>PASS</v>
      </c>
    </row>
    <row r="1824" spans="1:20" x14ac:dyDescent="0.35">
      <c r="A1824" s="7">
        <v>1823</v>
      </c>
      <c r="B1824" s="9">
        <v>1062</v>
      </c>
      <c r="C1824" s="14" t="str">
        <f>IFERROR(_xlfn.TEXTJOIN("-", TRUE, _xlfn.XLOOKUP(K1824, product_category_id_lookup!$A$2:$A$5, product_category_id_lookup!$B$2:$B$5), B1824), "Unknown Category")</f>
        <v>etc-1062</v>
      </c>
      <c r="D1824" s="8">
        <v>45190</v>
      </c>
      <c r="E1824" s="14">
        <f t="shared" si="84"/>
        <v>2023</v>
      </c>
      <c r="F1824" s="29" t="str">
        <f t="shared" si="85"/>
        <v>Sep</v>
      </c>
      <c r="G1824" s="17" t="s">
        <v>22</v>
      </c>
      <c r="H1824" s="17" t="s">
        <v>15</v>
      </c>
      <c r="I1824" s="24">
        <v>175256.88114675699</v>
      </c>
      <c r="J1824" s="32">
        <v>37</v>
      </c>
      <c r="K1824" s="17" t="s">
        <v>31</v>
      </c>
      <c r="L1824" s="24">
        <v>4658.4399999999996</v>
      </c>
      <c r="M1824" s="24">
        <v>4823.5</v>
      </c>
      <c r="N1824" s="34">
        <f>((sales_data_1[[#This Row],[Unit_Price]]*(1-sales_data_1[[#This Row],[Discount]]))-sales_data_1[[#This Row],[Unit_Cost]])*sales_data_1[[#This Row],[Quantity_Sold]]</f>
        <v>2537.8300000000054</v>
      </c>
      <c r="O1824" s="17" t="s">
        <v>17</v>
      </c>
      <c r="P1824" s="26">
        <v>0.02</v>
      </c>
      <c r="Q1824" s="17" t="s">
        <v>28</v>
      </c>
      <c r="R1824" s="17" t="s">
        <v>19</v>
      </c>
      <c r="S1824" s="50" t="str">
        <f t="shared" si="86"/>
        <v>David-North</v>
      </c>
      <c r="T1824" s="59" t="str">
        <f>IF(ROUND(sales_data_1[[#This Row],[Profit_Margin]],2)=ROUND((sales_data_1[[#This Row],[Unit_Price]]*(1-sales_data_1[[#This Row],[Discount]]) - sales_data_1[[#This Row],[Unit_Cost]])*sales_data_1[[#This Row],[Quantity_Sold]],2), "PASS", "CHECK")</f>
        <v>PASS</v>
      </c>
    </row>
    <row r="1825" spans="1:20" x14ac:dyDescent="0.35">
      <c r="A1825" s="7">
        <v>1824</v>
      </c>
      <c r="B1825" s="9">
        <v>1061</v>
      </c>
      <c r="C1825" s="14" t="str">
        <f>IFERROR(_xlfn.TEXTJOIN("-", TRUE, _xlfn.XLOOKUP(K1825, product_category_id_lookup!$A$2:$A$5, product_category_id_lookup!$B$2:$B$5), B1825), "Unknown Category")</f>
        <v>fd-1061</v>
      </c>
      <c r="D1825" s="8">
        <v>45190</v>
      </c>
      <c r="E1825" s="14">
        <f t="shared" si="84"/>
        <v>2023</v>
      </c>
      <c r="F1825" s="29" t="str">
        <f t="shared" si="85"/>
        <v>Sep</v>
      </c>
      <c r="G1825" s="17" t="s">
        <v>29</v>
      </c>
      <c r="H1825" s="17" t="s">
        <v>23</v>
      </c>
      <c r="I1825" s="24">
        <v>74749.15475756154</v>
      </c>
      <c r="J1825" s="32">
        <v>25</v>
      </c>
      <c r="K1825" s="17" t="s">
        <v>24</v>
      </c>
      <c r="L1825" s="24">
        <v>2747.66</v>
      </c>
      <c r="M1825" s="24">
        <v>3027.0099999999998</v>
      </c>
      <c r="N1825" s="34">
        <f>((sales_data_1[[#This Row],[Unit_Price]]*(1-sales_data_1[[#This Row],[Discount]]))-sales_data_1[[#This Row],[Unit_Cost]])*sales_data_1[[#This Row],[Quantity_Sold]]</f>
        <v>6226.9974999999931</v>
      </c>
      <c r="O1825" s="17" t="s">
        <v>27</v>
      </c>
      <c r="P1825" s="26">
        <v>0.01</v>
      </c>
      <c r="Q1825" s="17" t="s">
        <v>18</v>
      </c>
      <c r="R1825" s="17" t="s">
        <v>19</v>
      </c>
      <c r="S1825" s="50" t="str">
        <f t="shared" si="86"/>
        <v>Charlie-South</v>
      </c>
      <c r="T1825" s="59" t="str">
        <f>IF(ROUND(sales_data_1[[#This Row],[Profit_Margin]],2)=ROUND((sales_data_1[[#This Row],[Unit_Price]]*(1-sales_data_1[[#This Row],[Discount]]) - sales_data_1[[#This Row],[Unit_Cost]])*sales_data_1[[#This Row],[Quantity_Sold]],2), "PASS", "CHECK")</f>
        <v>PASS</v>
      </c>
    </row>
    <row r="1826" spans="1:20" x14ac:dyDescent="0.35">
      <c r="A1826" s="7">
        <v>1825</v>
      </c>
      <c r="B1826" s="9">
        <v>1076</v>
      </c>
      <c r="C1826" s="14" t="str">
        <f>IFERROR(_xlfn.TEXTJOIN("-", TRUE, _xlfn.XLOOKUP(K1826, product_category_id_lookup!$A$2:$A$5, product_category_id_lookup!$B$2:$B$5), B1826), "Unknown Category")</f>
        <v>etc-1076</v>
      </c>
      <c r="D1826" s="8">
        <v>45190</v>
      </c>
      <c r="E1826" s="14">
        <f t="shared" si="84"/>
        <v>2023</v>
      </c>
      <c r="F1826" s="29" t="str">
        <f t="shared" si="85"/>
        <v>Sep</v>
      </c>
      <c r="G1826" s="17" t="s">
        <v>14</v>
      </c>
      <c r="H1826" s="17" t="s">
        <v>15</v>
      </c>
      <c r="I1826" s="24">
        <v>51916.673295182729</v>
      </c>
      <c r="J1826" s="32">
        <v>26</v>
      </c>
      <c r="K1826" s="17" t="s">
        <v>31</v>
      </c>
      <c r="L1826" s="24">
        <v>1762</v>
      </c>
      <c r="M1826" s="24">
        <v>2002.95</v>
      </c>
      <c r="N1826" s="34">
        <f>((sales_data_1[[#This Row],[Unit_Price]]*(1-sales_data_1[[#This Row],[Discount]]))-sales_data_1[[#This Row],[Unit_Cost]])*sales_data_1[[#This Row],[Quantity_Sold]]</f>
        <v>6264.7000000000007</v>
      </c>
      <c r="O1826" s="17" t="s">
        <v>17</v>
      </c>
      <c r="P1826" s="26">
        <v>0</v>
      </c>
      <c r="Q1826" s="17" t="s">
        <v>28</v>
      </c>
      <c r="R1826" s="17" t="s">
        <v>21</v>
      </c>
      <c r="S1826" s="50" t="str">
        <f t="shared" si="86"/>
        <v>Bob-North</v>
      </c>
      <c r="T1826" s="59" t="str">
        <f>IF(ROUND(sales_data_1[[#This Row],[Profit_Margin]],2)=ROUND((sales_data_1[[#This Row],[Unit_Price]]*(1-sales_data_1[[#This Row],[Discount]]) - sales_data_1[[#This Row],[Unit_Cost]])*sales_data_1[[#This Row],[Quantity_Sold]],2), "PASS", "CHECK")</f>
        <v>PASS</v>
      </c>
    </row>
    <row r="1827" spans="1:20" x14ac:dyDescent="0.35">
      <c r="A1827" s="7">
        <v>1826</v>
      </c>
      <c r="B1827" s="9">
        <v>1015</v>
      </c>
      <c r="C1827" s="14" t="str">
        <f>IFERROR(_xlfn.TEXTJOIN("-", TRUE, _xlfn.XLOOKUP(K1827, product_category_id_lookup!$A$2:$A$5, product_category_id_lookup!$B$2:$B$5), B1827), "Unknown Category")</f>
        <v>etc-1015</v>
      </c>
      <c r="D1827" s="8">
        <v>45191</v>
      </c>
      <c r="E1827" s="14">
        <f t="shared" si="84"/>
        <v>2023</v>
      </c>
      <c r="F1827" s="29" t="str">
        <f t="shared" si="85"/>
        <v>Sep</v>
      </c>
      <c r="G1827" s="17" t="s">
        <v>22</v>
      </c>
      <c r="H1827" s="17" t="s">
        <v>23</v>
      </c>
      <c r="I1827" s="24">
        <v>98674.083199999994</v>
      </c>
      <c r="J1827" s="32">
        <v>22</v>
      </c>
      <c r="K1827" s="17" t="s">
        <v>31</v>
      </c>
      <c r="L1827" s="24">
        <v>4275.59</v>
      </c>
      <c r="M1827" s="24">
        <v>4576.72</v>
      </c>
      <c r="N1827" s="34">
        <f>((sales_data_1[[#This Row],[Unit_Price]]*(1-sales_data_1[[#This Row],[Discount]]))-sales_data_1[[#This Row],[Unit_Cost]])*sales_data_1[[#This Row],[Quantity_Sold]]</f>
        <v>4611.1031999999923</v>
      </c>
      <c r="O1827" s="17" t="s">
        <v>17</v>
      </c>
      <c r="P1827" s="26">
        <v>0.02</v>
      </c>
      <c r="Q1827" s="17" t="s">
        <v>18</v>
      </c>
      <c r="R1827" s="17" t="s">
        <v>21</v>
      </c>
      <c r="S1827" s="50" t="str">
        <f t="shared" si="86"/>
        <v>David-South</v>
      </c>
      <c r="T1827" s="59" t="str">
        <f>IF(ROUND(sales_data_1[[#This Row],[Profit_Margin]],2)=ROUND((sales_data_1[[#This Row],[Unit_Price]]*(1-sales_data_1[[#This Row],[Discount]]) - sales_data_1[[#This Row],[Unit_Cost]])*sales_data_1[[#This Row],[Quantity_Sold]],2), "PASS", "CHECK")</f>
        <v>PASS</v>
      </c>
    </row>
    <row r="1828" spans="1:20" x14ac:dyDescent="0.35">
      <c r="A1828" s="7">
        <v>1827</v>
      </c>
      <c r="B1828" s="9">
        <v>1093</v>
      </c>
      <c r="C1828" s="14" t="str">
        <f>IFERROR(_xlfn.TEXTJOIN("-", TRUE, _xlfn.XLOOKUP(K1828, product_category_id_lookup!$A$2:$A$5, product_category_id_lookup!$B$2:$B$5), B1828), "Unknown Category")</f>
        <v>fnt-1093</v>
      </c>
      <c r="D1828" s="8">
        <v>45192</v>
      </c>
      <c r="E1828" s="14">
        <f t="shared" si="84"/>
        <v>2023</v>
      </c>
      <c r="F1828" s="29" t="str">
        <f t="shared" si="85"/>
        <v>Sep</v>
      </c>
      <c r="G1828" s="17" t="s">
        <v>29</v>
      </c>
      <c r="H1828" s="17" t="s">
        <v>15</v>
      </c>
      <c r="I1828" s="24">
        <v>42532.015286443646</v>
      </c>
      <c r="J1828" s="32">
        <v>40</v>
      </c>
      <c r="K1828" s="17" t="s">
        <v>16</v>
      </c>
      <c r="L1828" s="24">
        <v>1047.25</v>
      </c>
      <c r="M1828" s="24">
        <v>1075.8900000000001</v>
      </c>
      <c r="N1828" s="34">
        <f>((sales_data_1[[#This Row],[Unit_Price]]*(1-sales_data_1[[#This Row],[Discount]]))-sales_data_1[[#This Row],[Unit_Cost]])*sales_data_1[[#This Row],[Quantity_Sold]]</f>
        <v>715.24400000000242</v>
      </c>
      <c r="O1828" s="17" t="s">
        <v>27</v>
      </c>
      <c r="P1828" s="26">
        <v>0.01</v>
      </c>
      <c r="Q1828" s="17" t="s">
        <v>28</v>
      </c>
      <c r="R1828" s="17" t="s">
        <v>21</v>
      </c>
      <c r="S1828" s="50" t="str">
        <f t="shared" si="86"/>
        <v>Charlie-North</v>
      </c>
      <c r="T1828" s="59" t="str">
        <f>IF(ROUND(sales_data_1[[#This Row],[Profit_Margin]],2)=ROUND((sales_data_1[[#This Row],[Unit_Price]]*(1-sales_data_1[[#This Row],[Discount]]) - sales_data_1[[#This Row],[Unit_Cost]])*sales_data_1[[#This Row],[Quantity_Sold]],2), "PASS", "CHECK")</f>
        <v>PASS</v>
      </c>
    </row>
    <row r="1829" spans="1:20" x14ac:dyDescent="0.35">
      <c r="A1829" s="7">
        <v>1828</v>
      </c>
      <c r="B1829" s="9">
        <v>1100</v>
      </c>
      <c r="C1829" s="14" t="str">
        <f>IFERROR(_xlfn.TEXTJOIN("-", TRUE, _xlfn.XLOOKUP(K1829, product_category_id_lookup!$A$2:$A$5, product_category_id_lookup!$B$2:$B$5), B1829), "Unknown Category")</f>
        <v>etc-1100</v>
      </c>
      <c r="D1829" s="8">
        <v>45192</v>
      </c>
      <c r="E1829" s="14">
        <f t="shared" si="84"/>
        <v>2023</v>
      </c>
      <c r="F1829" s="29" t="str">
        <f t="shared" si="85"/>
        <v>Sep</v>
      </c>
      <c r="G1829" s="17" t="s">
        <v>29</v>
      </c>
      <c r="H1829" s="17" t="s">
        <v>15</v>
      </c>
      <c r="I1829" s="24">
        <v>37752.422400000003</v>
      </c>
      <c r="J1829" s="32">
        <v>19</v>
      </c>
      <c r="K1829" s="17" t="s">
        <v>31</v>
      </c>
      <c r="L1829" s="24">
        <v>1820.89</v>
      </c>
      <c r="M1829" s="24">
        <v>2257.92</v>
      </c>
      <c r="N1829" s="34">
        <f>((sales_data_1[[#This Row],[Unit_Price]]*(1-sales_data_1[[#This Row],[Discount]]))-sales_data_1[[#This Row],[Unit_Cost]])*sales_data_1[[#This Row],[Quantity_Sold]]</f>
        <v>3155.5124000000005</v>
      </c>
      <c r="O1829" s="17" t="s">
        <v>27</v>
      </c>
      <c r="P1829" s="26">
        <v>0.12</v>
      </c>
      <c r="Q1829" s="17" t="s">
        <v>18</v>
      </c>
      <c r="R1829" s="17" t="s">
        <v>21</v>
      </c>
      <c r="S1829" s="50" t="str">
        <f t="shared" si="86"/>
        <v>Charlie-North</v>
      </c>
      <c r="T1829" s="59" t="str">
        <f>IF(ROUND(sales_data_1[[#This Row],[Profit_Margin]],2)=ROUND((sales_data_1[[#This Row],[Unit_Price]]*(1-sales_data_1[[#This Row],[Discount]]) - sales_data_1[[#This Row],[Unit_Cost]])*sales_data_1[[#This Row],[Quantity_Sold]],2), "PASS", "CHECK")</f>
        <v>PASS</v>
      </c>
    </row>
    <row r="1830" spans="1:20" x14ac:dyDescent="0.35">
      <c r="A1830" s="7">
        <v>1829</v>
      </c>
      <c r="B1830" s="9">
        <v>1036</v>
      </c>
      <c r="C1830" s="14" t="str">
        <f>IFERROR(_xlfn.TEXTJOIN("-", TRUE, _xlfn.XLOOKUP(K1830, product_category_id_lookup!$A$2:$A$5, product_category_id_lookup!$B$2:$B$5), B1830), "Unknown Category")</f>
        <v>fnt-1036</v>
      </c>
      <c r="D1830" s="8">
        <v>45192</v>
      </c>
      <c r="E1830" s="14">
        <f t="shared" si="84"/>
        <v>2023</v>
      </c>
      <c r="F1830" s="29" t="str">
        <f t="shared" si="85"/>
        <v>Sep</v>
      </c>
      <c r="G1830" s="17" t="s">
        <v>14</v>
      </c>
      <c r="H1830" s="17" t="s">
        <v>15</v>
      </c>
      <c r="I1830" s="24">
        <v>166492.96608789871</v>
      </c>
      <c r="J1830" s="32">
        <v>42</v>
      </c>
      <c r="K1830" s="17" t="s">
        <v>16</v>
      </c>
      <c r="L1830" s="24">
        <v>3549.43</v>
      </c>
      <c r="M1830" s="24">
        <v>3967.6899999999996</v>
      </c>
      <c r="N1830" s="34">
        <f>((sales_data_1[[#This Row],[Unit_Price]]*(1-sales_data_1[[#This Row],[Discount]]))-sales_data_1[[#This Row],[Unit_Cost]])*sales_data_1[[#This Row],[Quantity_Sold]]</f>
        <v>17566.919999999991</v>
      </c>
      <c r="O1830" s="17" t="s">
        <v>27</v>
      </c>
      <c r="P1830" s="26">
        <v>0</v>
      </c>
      <c r="Q1830" s="17" t="s">
        <v>25</v>
      </c>
      <c r="R1830" s="17" t="s">
        <v>19</v>
      </c>
      <c r="S1830" s="50" t="str">
        <f t="shared" si="86"/>
        <v>Bob-North</v>
      </c>
      <c r="T1830" s="59" t="str">
        <f>IF(ROUND(sales_data_1[[#This Row],[Profit_Margin]],2)=ROUND((sales_data_1[[#This Row],[Unit_Price]]*(1-sales_data_1[[#This Row],[Discount]]) - sales_data_1[[#This Row],[Unit_Cost]])*sales_data_1[[#This Row],[Quantity_Sold]],2), "PASS", "CHECK")</f>
        <v>PASS</v>
      </c>
    </row>
    <row r="1831" spans="1:20" x14ac:dyDescent="0.35">
      <c r="A1831" s="7">
        <v>1830</v>
      </c>
      <c r="B1831" s="9">
        <v>1005</v>
      </c>
      <c r="C1831" s="14" t="str">
        <f>IFERROR(_xlfn.TEXTJOIN("-", TRUE, _xlfn.XLOOKUP(K1831, product_category_id_lookup!$A$2:$A$5, product_category_id_lookup!$B$2:$B$5), B1831), "Unknown Category")</f>
        <v>fd-1005</v>
      </c>
      <c r="D1831" s="8">
        <v>45193</v>
      </c>
      <c r="E1831" s="14">
        <f t="shared" si="84"/>
        <v>2023</v>
      </c>
      <c r="F1831" s="29" t="str">
        <f t="shared" si="85"/>
        <v>Sep</v>
      </c>
      <c r="G1831" s="17" t="s">
        <v>32</v>
      </c>
      <c r="H1831" s="17" t="s">
        <v>23</v>
      </c>
      <c r="I1831" s="24">
        <v>2083.482</v>
      </c>
      <c r="J1831" s="32">
        <v>6</v>
      </c>
      <c r="K1831" s="17" t="s">
        <v>24</v>
      </c>
      <c r="L1831" s="24">
        <v>122.5</v>
      </c>
      <c r="M1831" s="24">
        <v>385.83</v>
      </c>
      <c r="N1831" s="34">
        <f>((sales_data_1[[#This Row],[Unit_Price]]*(1-sales_data_1[[#This Row],[Discount]]))-sales_data_1[[#This Row],[Unit_Cost]])*sales_data_1[[#This Row],[Quantity_Sold]]</f>
        <v>1348.482</v>
      </c>
      <c r="O1831" s="17" t="s">
        <v>17</v>
      </c>
      <c r="P1831" s="26">
        <v>0.1</v>
      </c>
      <c r="Q1831" s="17" t="s">
        <v>18</v>
      </c>
      <c r="R1831" s="17" t="s">
        <v>21</v>
      </c>
      <c r="S1831" s="50" t="str">
        <f t="shared" si="86"/>
        <v>Eve-South</v>
      </c>
      <c r="T1831" s="59" t="str">
        <f>IF(ROUND(sales_data_1[[#This Row],[Profit_Margin]],2)=ROUND((sales_data_1[[#This Row],[Unit_Price]]*(1-sales_data_1[[#This Row],[Discount]]) - sales_data_1[[#This Row],[Unit_Cost]])*sales_data_1[[#This Row],[Quantity_Sold]],2), "PASS", "CHECK")</f>
        <v>PASS</v>
      </c>
    </row>
    <row r="1832" spans="1:20" x14ac:dyDescent="0.35">
      <c r="A1832" s="7">
        <v>1831</v>
      </c>
      <c r="B1832" s="9">
        <v>1097</v>
      </c>
      <c r="C1832" s="14" t="str">
        <f>IFERROR(_xlfn.TEXTJOIN("-", TRUE, _xlfn.XLOOKUP(K1832, product_category_id_lookup!$A$2:$A$5, product_category_id_lookup!$B$2:$B$5), B1832), "Unknown Category")</f>
        <v>fd-1097</v>
      </c>
      <c r="D1832" s="8">
        <v>45193</v>
      </c>
      <c r="E1832" s="14">
        <f t="shared" si="84"/>
        <v>2023</v>
      </c>
      <c r="F1832" s="29" t="str">
        <f t="shared" si="85"/>
        <v>Sep</v>
      </c>
      <c r="G1832" s="17" t="s">
        <v>33</v>
      </c>
      <c r="H1832" s="17" t="s">
        <v>30</v>
      </c>
      <c r="I1832" s="24">
        <v>39175.279872866937</v>
      </c>
      <c r="J1832" s="32">
        <v>9</v>
      </c>
      <c r="K1832" s="17" t="s">
        <v>24</v>
      </c>
      <c r="L1832" s="24">
        <v>4067.28</v>
      </c>
      <c r="M1832" s="24">
        <v>4548.09</v>
      </c>
      <c r="N1832" s="34">
        <f>((sales_data_1[[#This Row],[Unit_Price]]*(1-sales_data_1[[#This Row],[Discount]]))-sales_data_1[[#This Row],[Unit_Cost]])*sales_data_1[[#This Row],[Quantity_Sold]]</f>
        <v>2689.9775999999988</v>
      </c>
      <c r="O1832" s="17" t="s">
        <v>17</v>
      </c>
      <c r="P1832" s="26">
        <v>0.04</v>
      </c>
      <c r="Q1832" s="17" t="s">
        <v>28</v>
      </c>
      <c r="R1832" s="17" t="s">
        <v>21</v>
      </c>
      <c r="S1832" s="50" t="str">
        <f t="shared" si="86"/>
        <v>Alice-East</v>
      </c>
      <c r="T1832" s="59" t="str">
        <f>IF(ROUND(sales_data_1[[#This Row],[Profit_Margin]],2)=ROUND((sales_data_1[[#This Row],[Unit_Price]]*(1-sales_data_1[[#This Row],[Discount]]) - sales_data_1[[#This Row],[Unit_Cost]])*sales_data_1[[#This Row],[Quantity_Sold]],2), "PASS", "CHECK")</f>
        <v>PASS</v>
      </c>
    </row>
    <row r="1833" spans="1:20" x14ac:dyDescent="0.35">
      <c r="A1833" s="7">
        <v>1832</v>
      </c>
      <c r="B1833" s="9">
        <v>1015</v>
      </c>
      <c r="C1833" s="14" t="str">
        <f>IFERROR(_xlfn.TEXTJOIN("-", TRUE, _xlfn.XLOOKUP(K1833, product_category_id_lookup!$A$2:$A$5, product_category_id_lookup!$B$2:$B$5), B1833), "Unknown Category")</f>
        <v>ctg-1015</v>
      </c>
      <c r="D1833" s="8">
        <v>45193</v>
      </c>
      <c r="E1833" s="14">
        <f t="shared" si="84"/>
        <v>2023</v>
      </c>
      <c r="F1833" s="29" t="str">
        <f t="shared" si="85"/>
        <v>Sep</v>
      </c>
      <c r="G1833" s="17" t="s">
        <v>14</v>
      </c>
      <c r="H1833" s="17" t="s">
        <v>30</v>
      </c>
      <c r="I1833" s="24">
        <v>125809.25028907537</v>
      </c>
      <c r="J1833" s="32">
        <v>35</v>
      </c>
      <c r="K1833" s="17" t="s">
        <v>26</v>
      </c>
      <c r="L1833" s="24">
        <v>3461.15</v>
      </c>
      <c r="M1833" s="24">
        <v>3631.75</v>
      </c>
      <c r="N1833" s="34">
        <f>((sales_data_1[[#This Row],[Unit_Price]]*(1-sales_data_1[[#This Row],[Discount]]))-sales_data_1[[#This Row],[Unit_Cost]])*sales_data_1[[#This Row],[Quantity_Sold]]</f>
        <v>4699.8874999999935</v>
      </c>
      <c r="O1833" s="17" t="s">
        <v>17</v>
      </c>
      <c r="P1833" s="26">
        <v>0.01</v>
      </c>
      <c r="Q1833" s="17" t="s">
        <v>28</v>
      </c>
      <c r="R1833" s="17" t="s">
        <v>19</v>
      </c>
      <c r="S1833" s="50" t="str">
        <f t="shared" si="86"/>
        <v>Bob-East</v>
      </c>
      <c r="T1833" s="59" t="str">
        <f>IF(ROUND(sales_data_1[[#This Row],[Profit_Margin]],2)=ROUND((sales_data_1[[#This Row],[Unit_Price]]*(1-sales_data_1[[#This Row],[Discount]]) - sales_data_1[[#This Row],[Unit_Cost]])*sales_data_1[[#This Row],[Quantity_Sold]],2), "PASS", "CHECK")</f>
        <v>PASS</v>
      </c>
    </row>
    <row r="1834" spans="1:20" x14ac:dyDescent="0.35">
      <c r="A1834" s="7">
        <v>1833</v>
      </c>
      <c r="B1834" s="9">
        <v>1046</v>
      </c>
      <c r="C1834" s="14" t="str">
        <f>IFERROR(_xlfn.TEXTJOIN("-", TRUE, _xlfn.XLOOKUP(K1834, product_category_id_lookup!$A$2:$A$5, product_category_id_lookup!$B$2:$B$5), B1834), "Unknown Category")</f>
        <v>ctg-1046</v>
      </c>
      <c r="D1834" s="8">
        <v>45193</v>
      </c>
      <c r="E1834" s="14">
        <f t="shared" si="84"/>
        <v>2023</v>
      </c>
      <c r="F1834" s="29" t="str">
        <f t="shared" si="85"/>
        <v>Sep</v>
      </c>
      <c r="G1834" s="17" t="s">
        <v>29</v>
      </c>
      <c r="H1834" s="17" t="s">
        <v>20</v>
      </c>
      <c r="I1834" s="24">
        <v>82394.038575701081</v>
      </c>
      <c r="J1834" s="32">
        <v>41</v>
      </c>
      <c r="K1834" s="17" t="s">
        <v>26</v>
      </c>
      <c r="L1834" s="24">
        <v>1825.37</v>
      </c>
      <c r="M1834" s="24">
        <v>2073.88</v>
      </c>
      <c r="N1834" s="34">
        <f>((sales_data_1[[#This Row],[Unit_Price]]*(1-sales_data_1[[#This Row],[Discount]]))-sales_data_1[[#This Row],[Unit_Cost]])*sales_data_1[[#This Row],[Quantity_Sold]]</f>
        <v>7638.0376000000078</v>
      </c>
      <c r="O1834" s="17" t="s">
        <v>17</v>
      </c>
      <c r="P1834" s="26">
        <v>0.03</v>
      </c>
      <c r="Q1834" s="17" t="s">
        <v>18</v>
      </c>
      <c r="R1834" s="17" t="s">
        <v>21</v>
      </c>
      <c r="S1834" s="50" t="str">
        <f t="shared" si="86"/>
        <v>Charlie-West</v>
      </c>
      <c r="T1834" s="59" t="str">
        <f>IF(ROUND(sales_data_1[[#This Row],[Profit_Margin]],2)=ROUND((sales_data_1[[#This Row],[Unit_Price]]*(1-sales_data_1[[#This Row],[Discount]]) - sales_data_1[[#This Row],[Unit_Cost]])*sales_data_1[[#This Row],[Quantity_Sold]],2), "PASS", "CHECK")</f>
        <v>PASS</v>
      </c>
    </row>
    <row r="1835" spans="1:20" x14ac:dyDescent="0.35">
      <c r="A1835" s="7">
        <v>1834</v>
      </c>
      <c r="B1835" s="9">
        <v>1089</v>
      </c>
      <c r="C1835" s="14" t="str">
        <f>IFERROR(_xlfn.TEXTJOIN("-", TRUE, _xlfn.XLOOKUP(K1835, product_category_id_lookup!$A$2:$A$5, product_category_id_lookup!$B$2:$B$5), B1835), "Unknown Category")</f>
        <v>fd-1089</v>
      </c>
      <c r="D1835" s="8">
        <v>45193</v>
      </c>
      <c r="E1835" s="14">
        <f t="shared" si="84"/>
        <v>2023</v>
      </c>
      <c r="F1835" s="29" t="str">
        <f t="shared" si="85"/>
        <v>Sep</v>
      </c>
      <c r="G1835" s="17" t="s">
        <v>14</v>
      </c>
      <c r="H1835" s="17" t="s">
        <v>23</v>
      </c>
      <c r="I1835" s="24">
        <v>115754.67839999998</v>
      </c>
      <c r="J1835" s="32">
        <v>48</v>
      </c>
      <c r="K1835" s="17" t="s">
        <v>24</v>
      </c>
      <c r="L1835" s="24">
        <v>2246.67</v>
      </c>
      <c r="M1835" s="24">
        <v>2486.14</v>
      </c>
      <c r="N1835" s="34">
        <f>((sales_data_1[[#This Row],[Unit_Price]]*(1-sales_data_1[[#This Row],[Discount]]))-sales_data_1[[#This Row],[Unit_Cost]])*sales_data_1[[#This Row],[Quantity_Sold]]</f>
        <v>7914.518399999979</v>
      </c>
      <c r="O1835" s="17" t="s">
        <v>27</v>
      </c>
      <c r="P1835" s="26">
        <v>0.03</v>
      </c>
      <c r="Q1835" s="17" t="s">
        <v>18</v>
      </c>
      <c r="R1835" s="17" t="s">
        <v>21</v>
      </c>
      <c r="S1835" s="50" t="str">
        <f t="shared" si="86"/>
        <v>Bob-South</v>
      </c>
      <c r="T1835" s="59" t="str">
        <f>IF(ROUND(sales_data_1[[#This Row],[Profit_Margin]],2)=ROUND((sales_data_1[[#This Row],[Unit_Price]]*(1-sales_data_1[[#This Row],[Discount]]) - sales_data_1[[#This Row],[Unit_Cost]])*sales_data_1[[#This Row],[Quantity_Sold]],2), "PASS", "CHECK")</f>
        <v>PASS</v>
      </c>
    </row>
    <row r="1836" spans="1:20" x14ac:dyDescent="0.35">
      <c r="A1836" s="7">
        <v>1835</v>
      </c>
      <c r="B1836" s="9">
        <v>1039</v>
      </c>
      <c r="C1836" s="14" t="str">
        <f>IFERROR(_xlfn.TEXTJOIN("-", TRUE, _xlfn.XLOOKUP(K1836, product_category_id_lookup!$A$2:$A$5, product_category_id_lookup!$B$2:$B$5), B1836), "Unknown Category")</f>
        <v>etc-1039</v>
      </c>
      <c r="D1836" s="8">
        <v>45194</v>
      </c>
      <c r="E1836" s="14">
        <f t="shared" si="84"/>
        <v>2023</v>
      </c>
      <c r="F1836" s="29" t="str">
        <f t="shared" si="85"/>
        <v>Sep</v>
      </c>
      <c r="G1836" s="17" t="s">
        <v>32</v>
      </c>
      <c r="H1836" s="17" t="s">
        <v>20</v>
      </c>
      <c r="I1836" s="24">
        <v>153307.56805578544</v>
      </c>
      <c r="J1836" s="32">
        <v>37</v>
      </c>
      <c r="K1836" s="17" t="s">
        <v>31</v>
      </c>
      <c r="L1836" s="24">
        <v>4127.05</v>
      </c>
      <c r="M1836" s="24">
        <v>4313.45</v>
      </c>
      <c r="N1836" s="34">
        <f>((sales_data_1[[#This Row],[Unit_Price]]*(1-sales_data_1[[#This Row],[Discount]]))-sales_data_1[[#This Row],[Unit_Cost]])*sales_data_1[[#This Row],[Quantity_Sold]]</f>
        <v>512.89399999996931</v>
      </c>
      <c r="O1836" s="17" t="s">
        <v>27</v>
      </c>
      <c r="P1836" s="26">
        <v>0.04</v>
      </c>
      <c r="Q1836" s="17" t="s">
        <v>18</v>
      </c>
      <c r="R1836" s="17" t="s">
        <v>19</v>
      </c>
      <c r="S1836" s="50" t="str">
        <f t="shared" si="86"/>
        <v>Eve-West</v>
      </c>
      <c r="T1836" s="59" t="str">
        <f>IF(ROUND(sales_data_1[[#This Row],[Profit_Margin]],2)=ROUND((sales_data_1[[#This Row],[Unit_Price]]*(1-sales_data_1[[#This Row],[Discount]]) - sales_data_1[[#This Row],[Unit_Cost]])*sales_data_1[[#This Row],[Quantity_Sold]],2), "PASS", "CHECK")</f>
        <v>PASS</v>
      </c>
    </row>
    <row r="1837" spans="1:20" x14ac:dyDescent="0.35">
      <c r="A1837" s="7">
        <v>1836</v>
      </c>
      <c r="B1837" s="9">
        <v>1066</v>
      </c>
      <c r="C1837" s="14" t="str">
        <f>IFERROR(_xlfn.TEXTJOIN("-", TRUE, _xlfn.XLOOKUP(K1837, product_category_id_lookup!$A$2:$A$5, product_category_id_lookup!$B$2:$B$5), B1837), "Unknown Category")</f>
        <v>fd-1066</v>
      </c>
      <c r="D1837" s="8">
        <v>45194</v>
      </c>
      <c r="E1837" s="14">
        <f t="shared" si="84"/>
        <v>2023</v>
      </c>
      <c r="F1837" s="29" t="str">
        <f t="shared" si="85"/>
        <v>Sep</v>
      </c>
      <c r="G1837" s="17" t="s">
        <v>32</v>
      </c>
      <c r="H1837" s="17" t="s">
        <v>30</v>
      </c>
      <c r="I1837" s="24">
        <v>62797.376799999998</v>
      </c>
      <c r="J1837" s="32">
        <v>47</v>
      </c>
      <c r="K1837" s="17" t="s">
        <v>24</v>
      </c>
      <c r="L1837" s="24">
        <v>1319.24</v>
      </c>
      <c r="M1837" s="24">
        <v>1805.56</v>
      </c>
      <c r="N1837" s="34">
        <f>((sales_data_1[[#This Row],[Unit_Price]]*(1-sales_data_1[[#This Row],[Discount]]))-sales_data_1[[#This Row],[Unit_Cost]])*sales_data_1[[#This Row],[Quantity_Sold]]</f>
        <v>793.09679999999639</v>
      </c>
      <c r="O1837" s="17" t="s">
        <v>27</v>
      </c>
      <c r="P1837" s="26">
        <v>0.26</v>
      </c>
      <c r="Q1837" s="17" t="s">
        <v>28</v>
      </c>
      <c r="R1837" s="17" t="s">
        <v>21</v>
      </c>
      <c r="S1837" s="50" t="str">
        <f t="shared" si="86"/>
        <v>Eve-East</v>
      </c>
      <c r="T1837" s="59" t="str">
        <f>IF(ROUND(sales_data_1[[#This Row],[Profit_Margin]],2)=ROUND((sales_data_1[[#This Row],[Unit_Price]]*(1-sales_data_1[[#This Row],[Discount]]) - sales_data_1[[#This Row],[Unit_Cost]])*sales_data_1[[#This Row],[Quantity_Sold]],2), "PASS", "CHECK")</f>
        <v>PASS</v>
      </c>
    </row>
    <row r="1838" spans="1:20" x14ac:dyDescent="0.35">
      <c r="A1838" s="7">
        <v>1837</v>
      </c>
      <c r="B1838" s="9">
        <v>1018</v>
      </c>
      <c r="C1838" s="14" t="str">
        <f>IFERROR(_xlfn.TEXTJOIN("-", TRUE, _xlfn.XLOOKUP(K1838, product_category_id_lookup!$A$2:$A$5, product_category_id_lookup!$B$2:$B$5), B1838), "Unknown Category")</f>
        <v>fnt-1018</v>
      </c>
      <c r="D1838" s="8">
        <v>45195</v>
      </c>
      <c r="E1838" s="14">
        <f t="shared" si="84"/>
        <v>2023</v>
      </c>
      <c r="F1838" s="29" t="str">
        <f t="shared" si="85"/>
        <v>Sep</v>
      </c>
      <c r="G1838" s="17" t="s">
        <v>22</v>
      </c>
      <c r="H1838" s="17" t="s">
        <v>30</v>
      </c>
      <c r="I1838" s="24">
        <v>20406.055</v>
      </c>
      <c r="J1838" s="32">
        <v>25</v>
      </c>
      <c r="K1838" s="17" t="s">
        <v>16</v>
      </c>
      <c r="L1838" s="24">
        <v>739.63</v>
      </c>
      <c r="M1838" s="24">
        <v>1103.03</v>
      </c>
      <c r="N1838" s="34">
        <f>((sales_data_1[[#This Row],[Unit_Price]]*(1-sales_data_1[[#This Row],[Discount]]))-sales_data_1[[#This Row],[Unit_Cost]])*sales_data_1[[#This Row],[Quantity_Sold]]</f>
        <v>1915.3050000000007</v>
      </c>
      <c r="O1838" s="17" t="s">
        <v>27</v>
      </c>
      <c r="P1838" s="26">
        <v>0.26</v>
      </c>
      <c r="Q1838" s="17" t="s">
        <v>25</v>
      </c>
      <c r="R1838" s="17" t="s">
        <v>21</v>
      </c>
      <c r="S1838" s="50" t="str">
        <f t="shared" si="86"/>
        <v>David-East</v>
      </c>
      <c r="T1838" s="59" t="str">
        <f>IF(ROUND(sales_data_1[[#This Row],[Profit_Margin]],2)=ROUND((sales_data_1[[#This Row],[Unit_Price]]*(1-sales_data_1[[#This Row],[Discount]]) - sales_data_1[[#This Row],[Unit_Cost]])*sales_data_1[[#This Row],[Quantity_Sold]],2), "PASS", "CHECK")</f>
        <v>PASS</v>
      </c>
    </row>
    <row r="1839" spans="1:20" x14ac:dyDescent="0.35">
      <c r="A1839" s="7">
        <v>1838</v>
      </c>
      <c r="B1839" s="9">
        <v>1090</v>
      </c>
      <c r="C1839" s="14" t="str">
        <f>IFERROR(_xlfn.TEXTJOIN("-", TRUE, _xlfn.XLOOKUP(K1839, product_category_id_lookup!$A$2:$A$5, product_category_id_lookup!$B$2:$B$5), B1839), "Unknown Category")</f>
        <v>etc-1090</v>
      </c>
      <c r="D1839" s="8">
        <v>45195</v>
      </c>
      <c r="E1839" s="14">
        <f t="shared" si="84"/>
        <v>2023</v>
      </c>
      <c r="F1839" s="29" t="str">
        <f t="shared" si="85"/>
        <v>Sep</v>
      </c>
      <c r="G1839" s="17" t="s">
        <v>32</v>
      </c>
      <c r="H1839" s="17" t="s">
        <v>15</v>
      </c>
      <c r="I1839" s="24">
        <v>4981.6557999999995</v>
      </c>
      <c r="J1839" s="32">
        <v>11</v>
      </c>
      <c r="K1839" s="17" t="s">
        <v>31</v>
      </c>
      <c r="L1839" s="24">
        <v>210.33</v>
      </c>
      <c r="M1839" s="24">
        <v>552.29</v>
      </c>
      <c r="N1839" s="34">
        <f>((sales_data_1[[#This Row],[Unit_Price]]*(1-sales_data_1[[#This Row],[Discount]]))-sales_data_1[[#This Row],[Unit_Cost]])*sales_data_1[[#This Row],[Quantity_Sold]]</f>
        <v>2668.0257999999994</v>
      </c>
      <c r="O1839" s="17" t="s">
        <v>17</v>
      </c>
      <c r="P1839" s="26">
        <v>0.18</v>
      </c>
      <c r="Q1839" s="17" t="s">
        <v>18</v>
      </c>
      <c r="R1839" s="17" t="s">
        <v>21</v>
      </c>
      <c r="S1839" s="50" t="str">
        <f t="shared" si="86"/>
        <v>Eve-North</v>
      </c>
      <c r="T1839" s="59" t="str">
        <f>IF(ROUND(sales_data_1[[#This Row],[Profit_Margin]],2)=ROUND((sales_data_1[[#This Row],[Unit_Price]]*(1-sales_data_1[[#This Row],[Discount]]) - sales_data_1[[#This Row],[Unit_Cost]])*sales_data_1[[#This Row],[Quantity_Sold]],2), "PASS", "CHECK")</f>
        <v>PASS</v>
      </c>
    </row>
    <row r="1840" spans="1:20" x14ac:dyDescent="0.35">
      <c r="A1840" s="7">
        <v>1839</v>
      </c>
      <c r="B1840" s="9">
        <v>1006</v>
      </c>
      <c r="C1840" s="14" t="str">
        <f>IFERROR(_xlfn.TEXTJOIN("-", TRUE, _xlfn.XLOOKUP(K1840, product_category_id_lookup!$A$2:$A$5, product_category_id_lookup!$B$2:$B$5), B1840), "Unknown Category")</f>
        <v>fd-1006</v>
      </c>
      <c r="D1840" s="8">
        <v>45195</v>
      </c>
      <c r="E1840" s="14">
        <f t="shared" si="84"/>
        <v>2023</v>
      </c>
      <c r="F1840" s="29" t="str">
        <f t="shared" si="85"/>
        <v>Sep</v>
      </c>
      <c r="G1840" s="17" t="s">
        <v>14</v>
      </c>
      <c r="H1840" s="17" t="s">
        <v>30</v>
      </c>
      <c r="I1840" s="24">
        <v>66607.02413289524</v>
      </c>
      <c r="J1840" s="32">
        <v>14</v>
      </c>
      <c r="K1840" s="17" t="s">
        <v>24</v>
      </c>
      <c r="L1840" s="24">
        <v>4503.7299999999996</v>
      </c>
      <c r="M1840" s="24">
        <v>4879.8799999999992</v>
      </c>
      <c r="N1840" s="34">
        <f>((sales_data_1[[#This Row],[Unit_Price]]*(1-sales_data_1[[#This Row],[Discount]]))-sales_data_1[[#This Row],[Unit_Cost]])*sales_data_1[[#This Row],[Quantity_Sold]]</f>
        <v>3216.5503999999873</v>
      </c>
      <c r="O1840" s="17" t="s">
        <v>27</v>
      </c>
      <c r="P1840" s="26">
        <v>0.03</v>
      </c>
      <c r="Q1840" s="17" t="s">
        <v>25</v>
      </c>
      <c r="R1840" s="17" t="s">
        <v>21</v>
      </c>
      <c r="S1840" s="50" t="str">
        <f t="shared" si="86"/>
        <v>Bob-East</v>
      </c>
      <c r="T1840" s="59" t="str">
        <f>IF(ROUND(sales_data_1[[#This Row],[Profit_Margin]],2)=ROUND((sales_data_1[[#This Row],[Unit_Price]]*(1-sales_data_1[[#This Row],[Discount]]) - sales_data_1[[#This Row],[Unit_Cost]])*sales_data_1[[#This Row],[Quantity_Sold]],2), "PASS", "CHECK")</f>
        <v>PASS</v>
      </c>
    </row>
    <row r="1841" spans="1:20" x14ac:dyDescent="0.35">
      <c r="A1841" s="7">
        <v>1840</v>
      </c>
      <c r="B1841" s="9">
        <v>1058</v>
      </c>
      <c r="C1841" s="14" t="str">
        <f>IFERROR(_xlfn.TEXTJOIN("-", TRUE, _xlfn.XLOOKUP(K1841, product_category_id_lookup!$A$2:$A$5, product_category_id_lookup!$B$2:$B$5), B1841), "Unknown Category")</f>
        <v>etc-1058</v>
      </c>
      <c r="D1841" s="8">
        <v>45196</v>
      </c>
      <c r="E1841" s="14">
        <f t="shared" si="84"/>
        <v>2023</v>
      </c>
      <c r="F1841" s="29" t="str">
        <f t="shared" si="85"/>
        <v>Sep</v>
      </c>
      <c r="G1841" s="17" t="s">
        <v>32</v>
      </c>
      <c r="H1841" s="17" t="s">
        <v>20</v>
      </c>
      <c r="I1841" s="24">
        <v>105354.41004070538</v>
      </c>
      <c r="J1841" s="32">
        <v>29</v>
      </c>
      <c r="K1841" s="17" t="s">
        <v>31</v>
      </c>
      <c r="L1841" s="24">
        <v>3578.77</v>
      </c>
      <c r="M1841" s="24">
        <v>3635.02</v>
      </c>
      <c r="N1841" s="34">
        <f>((sales_data_1[[#This Row],[Unit_Price]]*(1-sales_data_1[[#This Row],[Discount]]))-sales_data_1[[#This Row],[Unit_Cost]])*sales_data_1[[#This Row],[Quantity_Sold]]</f>
        <v>1631.25</v>
      </c>
      <c r="O1841" s="17" t="s">
        <v>27</v>
      </c>
      <c r="P1841" s="26">
        <v>0</v>
      </c>
      <c r="Q1841" s="17" t="s">
        <v>25</v>
      </c>
      <c r="R1841" s="17" t="s">
        <v>21</v>
      </c>
      <c r="S1841" s="50" t="str">
        <f t="shared" si="86"/>
        <v>Eve-West</v>
      </c>
      <c r="T1841" s="59" t="str">
        <f>IF(ROUND(sales_data_1[[#This Row],[Profit_Margin]],2)=ROUND((sales_data_1[[#This Row],[Unit_Price]]*(1-sales_data_1[[#This Row],[Discount]]) - sales_data_1[[#This Row],[Unit_Cost]])*sales_data_1[[#This Row],[Quantity_Sold]],2), "PASS", "CHECK")</f>
        <v>PASS</v>
      </c>
    </row>
    <row r="1842" spans="1:20" x14ac:dyDescent="0.35">
      <c r="A1842" s="7">
        <v>1841</v>
      </c>
      <c r="B1842" s="9">
        <v>1088</v>
      </c>
      <c r="C1842" s="14" t="str">
        <f>IFERROR(_xlfn.TEXTJOIN("-", TRUE, _xlfn.XLOOKUP(K1842, product_category_id_lookup!$A$2:$A$5, product_category_id_lookup!$B$2:$B$5), B1842), "Unknown Category")</f>
        <v>ctg-1088</v>
      </c>
      <c r="D1842" s="8">
        <v>45196</v>
      </c>
      <c r="E1842" s="14">
        <f t="shared" si="84"/>
        <v>2023</v>
      </c>
      <c r="F1842" s="29" t="str">
        <f t="shared" si="85"/>
        <v>Sep</v>
      </c>
      <c r="G1842" s="17" t="s">
        <v>32</v>
      </c>
      <c r="H1842" s="17" t="s">
        <v>15</v>
      </c>
      <c r="I1842" s="24">
        <v>55396.139844030942</v>
      </c>
      <c r="J1842" s="32">
        <v>12</v>
      </c>
      <c r="K1842" s="17" t="s">
        <v>26</v>
      </c>
      <c r="L1842" s="24">
        <v>4389.24</v>
      </c>
      <c r="M1842" s="24">
        <v>4856.2199999999993</v>
      </c>
      <c r="N1842" s="34">
        <f>((sales_data_1[[#This Row],[Unit_Price]]*(1-sales_data_1[[#This Row],[Discount]]))-sales_data_1[[#This Row],[Unit_Cost]])*sales_data_1[[#This Row],[Quantity_Sold]]</f>
        <v>2690.0279999999875</v>
      </c>
      <c r="O1842" s="17" t="s">
        <v>17</v>
      </c>
      <c r="P1842" s="26">
        <v>0.05</v>
      </c>
      <c r="Q1842" s="17" t="s">
        <v>18</v>
      </c>
      <c r="R1842" s="17" t="s">
        <v>21</v>
      </c>
      <c r="S1842" s="50" t="str">
        <f t="shared" si="86"/>
        <v>Eve-North</v>
      </c>
      <c r="T1842" s="59" t="str">
        <f>IF(ROUND(sales_data_1[[#This Row],[Profit_Margin]],2)=ROUND((sales_data_1[[#This Row],[Unit_Price]]*(1-sales_data_1[[#This Row],[Discount]]) - sales_data_1[[#This Row],[Unit_Cost]])*sales_data_1[[#This Row],[Quantity_Sold]],2), "PASS", "CHECK")</f>
        <v>PASS</v>
      </c>
    </row>
    <row r="1843" spans="1:20" x14ac:dyDescent="0.35">
      <c r="A1843" s="7">
        <v>1842</v>
      </c>
      <c r="B1843" s="9">
        <v>1047</v>
      </c>
      <c r="C1843" s="14" t="str">
        <f>IFERROR(_xlfn.TEXTJOIN("-", TRUE, _xlfn.XLOOKUP(K1843, product_category_id_lookup!$A$2:$A$5, product_category_id_lookup!$B$2:$B$5), B1843), "Unknown Category")</f>
        <v>etc-1047</v>
      </c>
      <c r="D1843" s="8">
        <v>45196</v>
      </c>
      <c r="E1843" s="14">
        <f t="shared" si="84"/>
        <v>2023</v>
      </c>
      <c r="F1843" s="29" t="str">
        <f t="shared" si="85"/>
        <v>Sep</v>
      </c>
      <c r="G1843" s="17" t="s">
        <v>32</v>
      </c>
      <c r="H1843" s="17" t="s">
        <v>15</v>
      </c>
      <c r="I1843" s="24">
        <v>20121.254400000002</v>
      </c>
      <c r="J1843" s="32">
        <v>32</v>
      </c>
      <c r="K1843" s="17" t="s">
        <v>31</v>
      </c>
      <c r="L1843" s="24">
        <v>367.98</v>
      </c>
      <c r="M1843" s="24">
        <v>806.1400000000001</v>
      </c>
      <c r="N1843" s="34">
        <f>((sales_data_1[[#This Row],[Unit_Price]]*(1-sales_data_1[[#This Row],[Discount]]))-sales_data_1[[#This Row],[Unit_Cost]])*sales_data_1[[#This Row],[Quantity_Sold]]</f>
        <v>8345.894400000001</v>
      </c>
      <c r="O1843" s="17" t="s">
        <v>17</v>
      </c>
      <c r="P1843" s="26">
        <v>0.22</v>
      </c>
      <c r="Q1843" s="17" t="s">
        <v>28</v>
      </c>
      <c r="R1843" s="17" t="s">
        <v>21</v>
      </c>
      <c r="S1843" s="50" t="str">
        <f t="shared" si="86"/>
        <v>Eve-North</v>
      </c>
      <c r="T1843" s="59" t="str">
        <f>IF(ROUND(sales_data_1[[#This Row],[Profit_Margin]],2)=ROUND((sales_data_1[[#This Row],[Unit_Price]]*(1-sales_data_1[[#This Row],[Discount]]) - sales_data_1[[#This Row],[Unit_Cost]])*sales_data_1[[#This Row],[Quantity_Sold]],2), "PASS", "CHECK")</f>
        <v>PASS</v>
      </c>
    </row>
    <row r="1844" spans="1:20" x14ac:dyDescent="0.35">
      <c r="A1844" s="7">
        <v>1843</v>
      </c>
      <c r="B1844" s="9">
        <v>1049</v>
      </c>
      <c r="C1844" s="14" t="str">
        <f>IFERROR(_xlfn.TEXTJOIN("-", TRUE, _xlfn.XLOOKUP(K1844, product_category_id_lookup!$A$2:$A$5, product_category_id_lookup!$B$2:$B$5), B1844), "Unknown Category")</f>
        <v>fnt-1049</v>
      </c>
      <c r="D1844" s="8">
        <v>45197</v>
      </c>
      <c r="E1844" s="14">
        <f t="shared" si="84"/>
        <v>2023</v>
      </c>
      <c r="F1844" s="29" t="str">
        <f t="shared" si="85"/>
        <v>Sep</v>
      </c>
      <c r="G1844" s="17" t="s">
        <v>33</v>
      </c>
      <c r="H1844" s="17" t="s">
        <v>20</v>
      </c>
      <c r="I1844" s="24">
        <v>152016.17609268404</v>
      </c>
      <c r="J1844" s="32">
        <v>44</v>
      </c>
      <c r="K1844" s="17" t="s">
        <v>16</v>
      </c>
      <c r="L1844" s="24">
        <v>3351.33</v>
      </c>
      <c r="M1844" s="24">
        <v>3465.35</v>
      </c>
      <c r="N1844" s="34">
        <f>((sales_data_1[[#This Row],[Unit_Price]]*(1-sales_data_1[[#This Row],[Discount]]))-sales_data_1[[#This Row],[Unit_Cost]])*sales_data_1[[#This Row],[Quantity_Sold]]</f>
        <v>5016.8799999999992</v>
      </c>
      <c r="O1844" s="17" t="s">
        <v>17</v>
      </c>
      <c r="P1844" s="26">
        <v>0</v>
      </c>
      <c r="Q1844" s="17" t="s">
        <v>25</v>
      </c>
      <c r="R1844" s="17" t="s">
        <v>19</v>
      </c>
      <c r="S1844" s="50" t="str">
        <f t="shared" si="86"/>
        <v>Alice-West</v>
      </c>
      <c r="T1844" s="59" t="str">
        <f>IF(ROUND(sales_data_1[[#This Row],[Profit_Margin]],2)=ROUND((sales_data_1[[#This Row],[Unit_Price]]*(1-sales_data_1[[#This Row],[Discount]]) - sales_data_1[[#This Row],[Unit_Cost]])*sales_data_1[[#This Row],[Quantity_Sold]],2), "PASS", "CHECK")</f>
        <v>PASS</v>
      </c>
    </row>
    <row r="1845" spans="1:20" x14ac:dyDescent="0.35">
      <c r="A1845" s="7">
        <v>1844</v>
      </c>
      <c r="B1845" s="9">
        <v>1004</v>
      </c>
      <c r="C1845" s="14" t="str">
        <f>IFERROR(_xlfn.TEXTJOIN("-", TRUE, _xlfn.XLOOKUP(K1845, product_category_id_lookup!$A$2:$A$5, product_category_id_lookup!$B$2:$B$5), B1845), "Unknown Category")</f>
        <v>ctg-1004</v>
      </c>
      <c r="D1845" s="8">
        <v>45197</v>
      </c>
      <c r="E1845" s="14">
        <f t="shared" si="84"/>
        <v>2023</v>
      </c>
      <c r="F1845" s="29" t="str">
        <f t="shared" si="85"/>
        <v>Sep</v>
      </c>
      <c r="G1845" s="17" t="s">
        <v>32</v>
      </c>
      <c r="H1845" s="17" t="s">
        <v>23</v>
      </c>
      <c r="I1845" s="24">
        <v>124769.28085090994</v>
      </c>
      <c r="J1845" s="32">
        <v>27</v>
      </c>
      <c r="K1845" s="17" t="s">
        <v>26</v>
      </c>
      <c r="L1845" s="24">
        <v>4354.6000000000004</v>
      </c>
      <c r="M1845" s="24">
        <v>4820.2000000000007</v>
      </c>
      <c r="N1845" s="34">
        <f>((sales_data_1[[#This Row],[Unit_Price]]*(1-sales_data_1[[#This Row],[Discount]]))-sales_data_1[[#This Row],[Unit_Cost]])*sales_data_1[[#This Row],[Quantity_Sold]]</f>
        <v>7365.38400000001</v>
      </c>
      <c r="O1845" s="17" t="s">
        <v>27</v>
      </c>
      <c r="P1845" s="26">
        <v>0.04</v>
      </c>
      <c r="Q1845" s="17" t="s">
        <v>28</v>
      </c>
      <c r="R1845" s="17" t="s">
        <v>21</v>
      </c>
      <c r="S1845" s="50" t="str">
        <f t="shared" si="86"/>
        <v>Eve-South</v>
      </c>
      <c r="T1845" s="59" t="str">
        <f>IF(ROUND(sales_data_1[[#This Row],[Profit_Margin]],2)=ROUND((sales_data_1[[#This Row],[Unit_Price]]*(1-sales_data_1[[#This Row],[Discount]]) - sales_data_1[[#This Row],[Unit_Cost]])*sales_data_1[[#This Row],[Quantity_Sold]],2), "PASS", "CHECK")</f>
        <v>PASS</v>
      </c>
    </row>
    <row r="1846" spans="1:20" x14ac:dyDescent="0.35">
      <c r="A1846" s="7">
        <v>1845</v>
      </c>
      <c r="B1846" s="9">
        <v>1036</v>
      </c>
      <c r="C1846" s="14" t="str">
        <f>IFERROR(_xlfn.TEXTJOIN("-", TRUE, _xlfn.XLOOKUP(K1846, product_category_id_lookup!$A$2:$A$5, product_category_id_lookup!$B$2:$B$5), B1846), "Unknown Category")</f>
        <v>ctg-1036</v>
      </c>
      <c r="D1846" s="8">
        <v>45198</v>
      </c>
      <c r="E1846" s="14">
        <f t="shared" si="84"/>
        <v>2023</v>
      </c>
      <c r="F1846" s="29" t="str">
        <f t="shared" si="85"/>
        <v>Sep</v>
      </c>
      <c r="G1846" s="17" t="s">
        <v>14</v>
      </c>
      <c r="H1846" s="17" t="s">
        <v>15</v>
      </c>
      <c r="I1846" s="24">
        <v>19625.51280787183</v>
      </c>
      <c r="J1846" s="32">
        <v>7</v>
      </c>
      <c r="K1846" s="17" t="s">
        <v>26</v>
      </c>
      <c r="L1846" s="24">
        <v>2588.67</v>
      </c>
      <c r="M1846" s="24">
        <v>2847.76</v>
      </c>
      <c r="N1846" s="34">
        <f>((sales_data_1[[#This Row],[Unit_Price]]*(1-sales_data_1[[#This Row],[Discount]]))-sales_data_1[[#This Row],[Unit_Cost]])*sales_data_1[[#This Row],[Quantity_Sold]]</f>
        <v>1414.9436000000019</v>
      </c>
      <c r="O1846" s="17" t="s">
        <v>27</v>
      </c>
      <c r="P1846" s="26">
        <v>0.02</v>
      </c>
      <c r="Q1846" s="17" t="s">
        <v>18</v>
      </c>
      <c r="R1846" s="17" t="s">
        <v>21</v>
      </c>
      <c r="S1846" s="50" t="str">
        <f t="shared" si="86"/>
        <v>Bob-North</v>
      </c>
      <c r="T1846" s="59" t="str">
        <f>IF(ROUND(sales_data_1[[#This Row],[Profit_Margin]],2)=ROUND((sales_data_1[[#This Row],[Unit_Price]]*(1-sales_data_1[[#This Row],[Discount]]) - sales_data_1[[#This Row],[Unit_Cost]])*sales_data_1[[#This Row],[Quantity_Sold]],2), "PASS", "CHECK")</f>
        <v>PASS</v>
      </c>
    </row>
    <row r="1847" spans="1:20" x14ac:dyDescent="0.35">
      <c r="A1847" s="7">
        <v>1846</v>
      </c>
      <c r="B1847" s="9">
        <v>1048</v>
      </c>
      <c r="C1847" s="14" t="str">
        <f>IFERROR(_xlfn.TEXTJOIN("-", TRUE, _xlfn.XLOOKUP(K1847, product_category_id_lookup!$A$2:$A$5, product_category_id_lookup!$B$2:$B$5), B1847), "Unknown Category")</f>
        <v>fnt-1048</v>
      </c>
      <c r="D1847" s="8">
        <v>45199</v>
      </c>
      <c r="E1847" s="14">
        <f t="shared" si="84"/>
        <v>2023</v>
      </c>
      <c r="F1847" s="29" t="str">
        <f t="shared" si="85"/>
        <v>Sep</v>
      </c>
      <c r="G1847" s="17" t="s">
        <v>29</v>
      </c>
      <c r="H1847" s="17" t="s">
        <v>15</v>
      </c>
      <c r="I1847" s="24">
        <v>11642.039999999999</v>
      </c>
      <c r="J1847" s="32">
        <v>4</v>
      </c>
      <c r="K1847" s="17" t="s">
        <v>16</v>
      </c>
      <c r="L1847" s="24">
        <v>2900.14</v>
      </c>
      <c r="M1847" s="24">
        <v>2910.5099999999998</v>
      </c>
      <c r="N1847" s="34">
        <f>((sales_data_1[[#This Row],[Unit_Price]]*(1-sales_data_1[[#This Row],[Discount]]))-sales_data_1[[#This Row],[Unit_Cost]])*sales_data_1[[#This Row],[Quantity_Sold]]</f>
        <v>41.479999999999563</v>
      </c>
      <c r="O1847" s="17" t="s">
        <v>27</v>
      </c>
      <c r="P1847" s="26">
        <v>0</v>
      </c>
      <c r="Q1847" s="17" t="s">
        <v>28</v>
      </c>
      <c r="R1847" s="17" t="s">
        <v>21</v>
      </c>
      <c r="S1847" s="50" t="str">
        <f t="shared" si="86"/>
        <v>Charlie-North</v>
      </c>
      <c r="T1847" s="59" t="str">
        <f>IF(ROUND(sales_data_1[[#This Row],[Profit_Margin]],2)=ROUND((sales_data_1[[#This Row],[Unit_Price]]*(1-sales_data_1[[#This Row],[Discount]]) - sales_data_1[[#This Row],[Unit_Cost]])*sales_data_1[[#This Row],[Quantity_Sold]],2), "PASS", "CHECK")</f>
        <v>PASS</v>
      </c>
    </row>
    <row r="1848" spans="1:20" x14ac:dyDescent="0.35">
      <c r="A1848" s="7">
        <v>1847</v>
      </c>
      <c r="B1848" s="9">
        <v>1023</v>
      </c>
      <c r="C1848" s="14" t="str">
        <f>IFERROR(_xlfn.TEXTJOIN("-", TRUE, _xlfn.XLOOKUP(K1848, product_category_id_lookup!$A$2:$A$5, product_category_id_lookup!$B$2:$B$5), B1848), "Unknown Category")</f>
        <v>fnt-1023</v>
      </c>
      <c r="D1848" s="8">
        <v>45199</v>
      </c>
      <c r="E1848" s="14">
        <f t="shared" si="84"/>
        <v>2023</v>
      </c>
      <c r="F1848" s="29" t="str">
        <f t="shared" si="85"/>
        <v>Sep</v>
      </c>
      <c r="G1848" s="17" t="s">
        <v>29</v>
      </c>
      <c r="H1848" s="17" t="s">
        <v>15</v>
      </c>
      <c r="I1848" s="24">
        <v>14370.244075749039</v>
      </c>
      <c r="J1848" s="32">
        <v>8</v>
      </c>
      <c r="K1848" s="17" t="s">
        <v>16</v>
      </c>
      <c r="L1848" s="24">
        <v>1563.78</v>
      </c>
      <c r="M1848" s="24">
        <v>1829.1599999999999</v>
      </c>
      <c r="N1848" s="34">
        <f>((sales_data_1[[#This Row],[Unit_Price]]*(1-sales_data_1[[#This Row],[Discount]]))-sales_data_1[[#This Row],[Unit_Cost]])*sales_data_1[[#This Row],[Quantity_Sold]]</f>
        <v>1830.3743999999988</v>
      </c>
      <c r="O1848" s="17" t="s">
        <v>17</v>
      </c>
      <c r="P1848" s="26">
        <v>0.02</v>
      </c>
      <c r="Q1848" s="17" t="s">
        <v>18</v>
      </c>
      <c r="R1848" s="17" t="s">
        <v>19</v>
      </c>
      <c r="S1848" s="50" t="str">
        <f t="shared" si="86"/>
        <v>Charlie-North</v>
      </c>
      <c r="T1848" s="59" t="str">
        <f>IF(ROUND(sales_data_1[[#This Row],[Profit_Margin]],2)=ROUND((sales_data_1[[#This Row],[Unit_Price]]*(1-sales_data_1[[#This Row],[Discount]]) - sales_data_1[[#This Row],[Unit_Cost]])*sales_data_1[[#This Row],[Quantity_Sold]],2), "PASS", "CHECK")</f>
        <v>PASS</v>
      </c>
    </row>
    <row r="1849" spans="1:20" x14ac:dyDescent="0.35">
      <c r="A1849" s="7">
        <v>1848</v>
      </c>
      <c r="B1849" s="9">
        <v>1084</v>
      </c>
      <c r="C1849" s="14" t="str">
        <f>IFERROR(_xlfn.TEXTJOIN("-", TRUE, _xlfn.XLOOKUP(K1849, product_category_id_lookup!$A$2:$A$5, product_category_id_lookup!$B$2:$B$5), B1849), "Unknown Category")</f>
        <v>fd-1084</v>
      </c>
      <c r="D1849" s="8">
        <v>45199</v>
      </c>
      <c r="E1849" s="14">
        <f t="shared" si="84"/>
        <v>2023</v>
      </c>
      <c r="F1849" s="29" t="str">
        <f t="shared" si="85"/>
        <v>Sep</v>
      </c>
      <c r="G1849" s="17" t="s">
        <v>33</v>
      </c>
      <c r="H1849" s="17" t="s">
        <v>30</v>
      </c>
      <c r="I1849" s="24">
        <v>8478.6239999999998</v>
      </c>
      <c r="J1849" s="32">
        <v>30</v>
      </c>
      <c r="K1849" s="17" t="s">
        <v>24</v>
      </c>
      <c r="L1849" s="24">
        <v>169</v>
      </c>
      <c r="M1849" s="24">
        <v>381.91999999999996</v>
      </c>
      <c r="N1849" s="34">
        <f>((sales_data_1[[#This Row],[Unit_Price]]*(1-sales_data_1[[#This Row],[Discount]]))-sales_data_1[[#This Row],[Unit_Cost]])*sales_data_1[[#This Row],[Quantity_Sold]]</f>
        <v>3408.6239999999993</v>
      </c>
      <c r="O1849" s="17" t="s">
        <v>17</v>
      </c>
      <c r="P1849" s="26">
        <v>0.26</v>
      </c>
      <c r="Q1849" s="17" t="s">
        <v>18</v>
      </c>
      <c r="R1849" s="17" t="s">
        <v>21</v>
      </c>
      <c r="S1849" s="50" t="str">
        <f t="shared" si="86"/>
        <v>Alice-East</v>
      </c>
      <c r="T1849" s="59" t="str">
        <f>IF(ROUND(sales_data_1[[#This Row],[Profit_Margin]],2)=ROUND((sales_data_1[[#This Row],[Unit_Price]]*(1-sales_data_1[[#This Row],[Discount]]) - sales_data_1[[#This Row],[Unit_Cost]])*sales_data_1[[#This Row],[Quantity_Sold]],2), "PASS", "CHECK")</f>
        <v>PASS</v>
      </c>
    </row>
    <row r="1850" spans="1:20" x14ac:dyDescent="0.35">
      <c r="A1850" s="7">
        <v>1849</v>
      </c>
      <c r="B1850" s="9">
        <v>1077</v>
      </c>
      <c r="C1850" s="14" t="str">
        <f>IFERROR(_xlfn.TEXTJOIN("-", TRUE, _xlfn.XLOOKUP(K1850, product_category_id_lookup!$A$2:$A$5, product_category_id_lookup!$B$2:$B$5), B1850), "Unknown Category")</f>
        <v>etc-1077</v>
      </c>
      <c r="D1850" s="8">
        <v>45200</v>
      </c>
      <c r="E1850" s="14">
        <f t="shared" si="84"/>
        <v>2023</v>
      </c>
      <c r="F1850" s="29" t="str">
        <f t="shared" si="85"/>
        <v>Oct</v>
      </c>
      <c r="G1850" s="17" t="s">
        <v>33</v>
      </c>
      <c r="H1850" s="17" t="s">
        <v>20</v>
      </c>
      <c r="I1850" s="24">
        <v>19581.317991025328</v>
      </c>
      <c r="J1850" s="32">
        <v>5</v>
      </c>
      <c r="K1850" s="17" t="s">
        <v>31</v>
      </c>
      <c r="L1850" s="24">
        <v>3650.89</v>
      </c>
      <c r="M1850" s="24">
        <v>3930.06</v>
      </c>
      <c r="N1850" s="34">
        <f>((sales_data_1[[#This Row],[Unit_Price]]*(1-sales_data_1[[#This Row],[Discount]]))-sales_data_1[[#This Row],[Unit_Cost]])*sales_data_1[[#This Row],[Quantity_Sold]]</f>
        <v>1395.8500000000004</v>
      </c>
      <c r="O1850" s="17" t="s">
        <v>27</v>
      </c>
      <c r="P1850" s="26">
        <v>0</v>
      </c>
      <c r="Q1850" s="17" t="s">
        <v>25</v>
      </c>
      <c r="R1850" s="17" t="s">
        <v>19</v>
      </c>
      <c r="S1850" s="50" t="str">
        <f t="shared" si="86"/>
        <v>Alice-West</v>
      </c>
      <c r="T1850" s="59" t="str">
        <f>IF(ROUND(sales_data_1[[#This Row],[Profit_Margin]],2)=ROUND((sales_data_1[[#This Row],[Unit_Price]]*(1-sales_data_1[[#This Row],[Discount]]) - sales_data_1[[#This Row],[Unit_Cost]])*sales_data_1[[#This Row],[Quantity_Sold]],2), "PASS", "CHECK")</f>
        <v>PASS</v>
      </c>
    </row>
    <row r="1851" spans="1:20" x14ac:dyDescent="0.35">
      <c r="A1851" s="7">
        <v>1850</v>
      </c>
      <c r="B1851" s="9">
        <v>1091</v>
      </c>
      <c r="C1851" s="14" t="str">
        <f>IFERROR(_xlfn.TEXTJOIN("-", TRUE, _xlfn.XLOOKUP(K1851, product_category_id_lookup!$A$2:$A$5, product_category_id_lookup!$B$2:$B$5), B1851), "Unknown Category")</f>
        <v>etc-1091</v>
      </c>
      <c r="D1851" s="8">
        <v>45200</v>
      </c>
      <c r="E1851" s="14">
        <f t="shared" si="84"/>
        <v>2023</v>
      </c>
      <c r="F1851" s="29" t="str">
        <f t="shared" si="85"/>
        <v>Oct</v>
      </c>
      <c r="G1851" s="17" t="s">
        <v>32</v>
      </c>
      <c r="H1851" s="17" t="s">
        <v>30</v>
      </c>
      <c r="I1851" s="24">
        <v>27813.941999999999</v>
      </c>
      <c r="J1851" s="32">
        <v>15</v>
      </c>
      <c r="K1851" s="17" t="s">
        <v>31</v>
      </c>
      <c r="L1851" s="24">
        <v>1534.7</v>
      </c>
      <c r="M1851" s="24">
        <v>1972.6200000000001</v>
      </c>
      <c r="N1851" s="34">
        <f>((sales_data_1[[#This Row],[Unit_Price]]*(1-sales_data_1[[#This Row],[Discount]]))-sales_data_1[[#This Row],[Unit_Cost]])*sales_data_1[[#This Row],[Quantity_Sold]]</f>
        <v>4793.4419999999991</v>
      </c>
      <c r="O1851" s="17" t="s">
        <v>17</v>
      </c>
      <c r="P1851" s="26">
        <v>0.06</v>
      </c>
      <c r="Q1851" s="17" t="s">
        <v>28</v>
      </c>
      <c r="R1851" s="17" t="s">
        <v>21</v>
      </c>
      <c r="S1851" s="50" t="str">
        <f t="shared" si="86"/>
        <v>Eve-East</v>
      </c>
      <c r="T1851" s="59" t="str">
        <f>IF(ROUND(sales_data_1[[#This Row],[Profit_Margin]],2)=ROUND((sales_data_1[[#This Row],[Unit_Price]]*(1-sales_data_1[[#This Row],[Discount]]) - sales_data_1[[#This Row],[Unit_Cost]])*sales_data_1[[#This Row],[Quantity_Sold]],2), "PASS", "CHECK")</f>
        <v>PASS</v>
      </c>
    </row>
    <row r="1852" spans="1:20" x14ac:dyDescent="0.35">
      <c r="A1852" s="7">
        <v>1851</v>
      </c>
      <c r="B1852" s="9">
        <v>1093</v>
      </c>
      <c r="C1852" s="14" t="str">
        <f>IFERROR(_xlfn.TEXTJOIN("-", TRUE, _xlfn.XLOOKUP(K1852, product_category_id_lookup!$A$2:$A$5, product_category_id_lookup!$B$2:$B$5), B1852), "Unknown Category")</f>
        <v>etc-1093</v>
      </c>
      <c r="D1852" s="8">
        <v>45200</v>
      </c>
      <c r="E1852" s="14">
        <f t="shared" si="84"/>
        <v>2023</v>
      </c>
      <c r="F1852" s="29" t="str">
        <f t="shared" si="85"/>
        <v>Oct</v>
      </c>
      <c r="G1852" s="17" t="s">
        <v>32</v>
      </c>
      <c r="H1852" s="17" t="s">
        <v>30</v>
      </c>
      <c r="I1852" s="24">
        <v>65021.219999999994</v>
      </c>
      <c r="J1852" s="32">
        <v>22</v>
      </c>
      <c r="K1852" s="17" t="s">
        <v>31</v>
      </c>
      <c r="L1852" s="24">
        <v>2593.64</v>
      </c>
      <c r="M1852" s="24">
        <v>2955.5099999999998</v>
      </c>
      <c r="N1852" s="34">
        <f>((sales_data_1[[#This Row],[Unit_Price]]*(1-sales_data_1[[#This Row],[Discount]]))-sales_data_1[[#This Row],[Unit_Cost]])*sales_data_1[[#This Row],[Quantity_Sold]]</f>
        <v>7961.1399999999976</v>
      </c>
      <c r="O1852" s="17" t="s">
        <v>17</v>
      </c>
      <c r="P1852" s="26">
        <v>0</v>
      </c>
      <c r="Q1852" s="17" t="s">
        <v>25</v>
      </c>
      <c r="R1852" s="17" t="s">
        <v>21</v>
      </c>
      <c r="S1852" s="50" t="str">
        <f t="shared" si="86"/>
        <v>Eve-East</v>
      </c>
      <c r="T1852" s="59" t="str">
        <f>IF(ROUND(sales_data_1[[#This Row],[Profit_Margin]],2)=ROUND((sales_data_1[[#This Row],[Unit_Price]]*(1-sales_data_1[[#This Row],[Discount]]) - sales_data_1[[#This Row],[Unit_Cost]])*sales_data_1[[#This Row],[Quantity_Sold]],2), "PASS", "CHECK")</f>
        <v>PASS</v>
      </c>
    </row>
    <row r="1853" spans="1:20" x14ac:dyDescent="0.35">
      <c r="A1853" s="7">
        <v>1852</v>
      </c>
      <c r="B1853" s="9">
        <v>1093</v>
      </c>
      <c r="C1853" s="14" t="str">
        <f>IFERROR(_xlfn.TEXTJOIN("-", TRUE, _xlfn.XLOOKUP(K1853, product_category_id_lookup!$A$2:$A$5, product_category_id_lookup!$B$2:$B$5), B1853), "Unknown Category")</f>
        <v>etc-1093</v>
      </c>
      <c r="D1853" s="8">
        <v>45201</v>
      </c>
      <c r="E1853" s="14">
        <f t="shared" si="84"/>
        <v>2023</v>
      </c>
      <c r="F1853" s="29" t="str">
        <f t="shared" si="85"/>
        <v>Oct</v>
      </c>
      <c r="G1853" s="17" t="s">
        <v>14</v>
      </c>
      <c r="H1853" s="17" t="s">
        <v>20</v>
      </c>
      <c r="I1853" s="24">
        <v>64645.07229591121</v>
      </c>
      <c r="J1853" s="32">
        <v>43</v>
      </c>
      <c r="K1853" s="17" t="s">
        <v>31</v>
      </c>
      <c r="L1853" s="24">
        <v>1486.76</v>
      </c>
      <c r="M1853" s="24">
        <v>1505.44</v>
      </c>
      <c r="N1853" s="34">
        <f>((sales_data_1[[#This Row],[Unit_Price]]*(1-sales_data_1[[#This Row],[Discount]]))-sales_data_1[[#This Row],[Unit_Cost]])*sales_data_1[[#This Row],[Quantity_Sold]]</f>
        <v>803.24000000000274</v>
      </c>
      <c r="O1853" s="17" t="s">
        <v>27</v>
      </c>
      <c r="P1853" s="26">
        <v>0</v>
      </c>
      <c r="Q1853" s="17" t="s">
        <v>18</v>
      </c>
      <c r="R1853" s="17" t="s">
        <v>21</v>
      </c>
      <c r="S1853" s="50" t="str">
        <f t="shared" si="86"/>
        <v>Bob-West</v>
      </c>
      <c r="T1853" s="59" t="str">
        <f>IF(ROUND(sales_data_1[[#This Row],[Profit_Margin]],2)=ROUND((sales_data_1[[#This Row],[Unit_Price]]*(1-sales_data_1[[#This Row],[Discount]]) - sales_data_1[[#This Row],[Unit_Cost]])*sales_data_1[[#This Row],[Quantity_Sold]],2), "PASS", "CHECK")</f>
        <v>PASS</v>
      </c>
    </row>
    <row r="1854" spans="1:20" x14ac:dyDescent="0.35">
      <c r="A1854" s="7">
        <v>1853</v>
      </c>
      <c r="B1854" s="9">
        <v>1053</v>
      </c>
      <c r="C1854" s="14" t="str">
        <f>IFERROR(_xlfn.TEXTJOIN("-", TRUE, _xlfn.XLOOKUP(K1854, product_category_id_lookup!$A$2:$A$5, product_category_id_lookup!$B$2:$B$5), B1854), "Unknown Category")</f>
        <v>etc-1053</v>
      </c>
      <c r="D1854" s="8">
        <v>45201</v>
      </c>
      <c r="E1854" s="14">
        <f t="shared" si="84"/>
        <v>2023</v>
      </c>
      <c r="F1854" s="29" t="str">
        <f t="shared" si="85"/>
        <v>Oct</v>
      </c>
      <c r="G1854" s="17" t="s">
        <v>22</v>
      </c>
      <c r="H1854" s="17" t="s">
        <v>30</v>
      </c>
      <c r="I1854" s="24">
        <v>117132.8027017046</v>
      </c>
      <c r="J1854" s="32">
        <v>29</v>
      </c>
      <c r="K1854" s="17" t="s">
        <v>31</v>
      </c>
      <c r="L1854" s="24">
        <v>3741.3</v>
      </c>
      <c r="M1854" s="24">
        <v>4061.04</v>
      </c>
      <c r="N1854" s="34">
        <f>((sales_data_1[[#This Row],[Unit_Price]]*(1-sales_data_1[[#This Row],[Discount]]))-sales_data_1[[#This Row],[Unit_Cost]])*sales_data_1[[#This Row],[Quantity_Sold]]</f>
        <v>8094.7583999999933</v>
      </c>
      <c r="O1854" s="17" t="s">
        <v>17</v>
      </c>
      <c r="P1854" s="26">
        <v>0.01</v>
      </c>
      <c r="Q1854" s="17" t="s">
        <v>28</v>
      </c>
      <c r="R1854" s="17" t="s">
        <v>19</v>
      </c>
      <c r="S1854" s="50" t="str">
        <f t="shared" si="86"/>
        <v>David-East</v>
      </c>
      <c r="T1854" s="59" t="str">
        <f>IF(ROUND(sales_data_1[[#This Row],[Profit_Margin]],2)=ROUND((sales_data_1[[#This Row],[Unit_Price]]*(1-sales_data_1[[#This Row],[Discount]]) - sales_data_1[[#This Row],[Unit_Cost]])*sales_data_1[[#This Row],[Quantity_Sold]],2), "PASS", "CHECK")</f>
        <v>PASS</v>
      </c>
    </row>
    <row r="1855" spans="1:20" x14ac:dyDescent="0.35">
      <c r="A1855" s="7">
        <v>1854</v>
      </c>
      <c r="B1855" s="9">
        <v>1079</v>
      </c>
      <c r="C1855" s="14" t="str">
        <f>IFERROR(_xlfn.TEXTJOIN("-", TRUE, _xlfn.XLOOKUP(K1855, product_category_id_lookup!$A$2:$A$5, product_category_id_lookup!$B$2:$B$5), B1855), "Unknown Category")</f>
        <v>fd-1079</v>
      </c>
      <c r="D1855" s="8">
        <v>45203</v>
      </c>
      <c r="E1855" s="14">
        <f t="shared" si="84"/>
        <v>2023</v>
      </c>
      <c r="F1855" s="29" t="str">
        <f t="shared" si="85"/>
        <v>Oct</v>
      </c>
      <c r="G1855" s="17" t="s">
        <v>32</v>
      </c>
      <c r="H1855" s="17" t="s">
        <v>30</v>
      </c>
      <c r="I1855" s="24">
        <v>60780.392337976249</v>
      </c>
      <c r="J1855" s="32">
        <v>12</v>
      </c>
      <c r="K1855" s="17" t="s">
        <v>24</v>
      </c>
      <c r="L1855" s="24">
        <v>4754.0200000000004</v>
      </c>
      <c r="M1855" s="24">
        <v>5080.7400000000007</v>
      </c>
      <c r="N1855" s="34">
        <f>((sales_data_1[[#This Row],[Unit_Price]]*(1-sales_data_1[[#This Row],[Discount]]))-sales_data_1[[#This Row],[Unit_Cost]])*sales_data_1[[#This Row],[Quantity_Sold]]</f>
        <v>3920.6400000000031</v>
      </c>
      <c r="O1855" s="17" t="s">
        <v>27</v>
      </c>
      <c r="P1855" s="26">
        <v>0</v>
      </c>
      <c r="Q1855" s="17" t="s">
        <v>18</v>
      </c>
      <c r="R1855" s="17" t="s">
        <v>19</v>
      </c>
      <c r="S1855" s="50" t="str">
        <f t="shared" si="86"/>
        <v>Eve-East</v>
      </c>
      <c r="T1855" s="59" t="str">
        <f>IF(ROUND(sales_data_1[[#This Row],[Profit_Margin]],2)=ROUND((sales_data_1[[#This Row],[Unit_Price]]*(1-sales_data_1[[#This Row],[Discount]]) - sales_data_1[[#This Row],[Unit_Cost]])*sales_data_1[[#This Row],[Quantity_Sold]],2), "PASS", "CHECK")</f>
        <v>PASS</v>
      </c>
    </row>
    <row r="1856" spans="1:20" x14ac:dyDescent="0.35">
      <c r="A1856" s="7">
        <v>1855</v>
      </c>
      <c r="B1856" s="9">
        <v>1088</v>
      </c>
      <c r="C1856" s="14" t="str">
        <f>IFERROR(_xlfn.TEXTJOIN("-", TRUE, _xlfn.XLOOKUP(K1856, product_category_id_lookup!$A$2:$A$5, product_category_id_lookup!$B$2:$B$5), B1856), "Unknown Category")</f>
        <v>etc-1088</v>
      </c>
      <c r="D1856" s="8">
        <v>45203</v>
      </c>
      <c r="E1856" s="14">
        <f t="shared" si="84"/>
        <v>2023</v>
      </c>
      <c r="F1856" s="29" t="str">
        <f t="shared" si="85"/>
        <v>Oct</v>
      </c>
      <c r="G1856" s="17" t="s">
        <v>14</v>
      </c>
      <c r="H1856" s="17" t="s">
        <v>30</v>
      </c>
      <c r="I1856" s="24">
        <v>200785.18020540185</v>
      </c>
      <c r="J1856" s="32">
        <v>40</v>
      </c>
      <c r="K1856" s="17" t="s">
        <v>31</v>
      </c>
      <c r="L1856" s="24">
        <v>4904.93</v>
      </c>
      <c r="M1856" s="24">
        <v>5034.3500000000004</v>
      </c>
      <c r="N1856" s="34">
        <f>((sales_data_1[[#This Row],[Unit_Price]]*(1-sales_data_1[[#This Row],[Discount]]))-sales_data_1[[#This Row],[Unit_Cost]])*sales_data_1[[#This Row],[Quantity_Sold]]</f>
        <v>5176.8000000000029</v>
      </c>
      <c r="O1856" s="17" t="s">
        <v>27</v>
      </c>
      <c r="P1856" s="26">
        <v>0</v>
      </c>
      <c r="Q1856" s="17" t="s">
        <v>28</v>
      </c>
      <c r="R1856" s="17" t="s">
        <v>21</v>
      </c>
      <c r="S1856" s="50" t="str">
        <f t="shared" si="86"/>
        <v>Bob-East</v>
      </c>
      <c r="T1856" s="59" t="str">
        <f>IF(ROUND(sales_data_1[[#This Row],[Profit_Margin]],2)=ROUND((sales_data_1[[#This Row],[Unit_Price]]*(1-sales_data_1[[#This Row],[Discount]]) - sales_data_1[[#This Row],[Unit_Cost]])*sales_data_1[[#This Row],[Quantity_Sold]],2), "PASS", "CHECK")</f>
        <v>PASS</v>
      </c>
    </row>
    <row r="1857" spans="1:20" x14ac:dyDescent="0.35">
      <c r="A1857" s="7">
        <v>1856</v>
      </c>
      <c r="B1857" s="9">
        <v>1063</v>
      </c>
      <c r="C1857" s="14" t="str">
        <f>IFERROR(_xlfn.TEXTJOIN("-", TRUE, _xlfn.XLOOKUP(K1857, product_category_id_lookup!$A$2:$A$5, product_category_id_lookup!$B$2:$B$5), B1857), "Unknown Category")</f>
        <v>fd-1063</v>
      </c>
      <c r="D1857" s="8">
        <v>45204</v>
      </c>
      <c r="E1857" s="14">
        <f t="shared" si="84"/>
        <v>2023</v>
      </c>
      <c r="F1857" s="29" t="str">
        <f t="shared" si="85"/>
        <v>Oct</v>
      </c>
      <c r="G1857" s="17" t="s">
        <v>33</v>
      </c>
      <c r="H1857" s="17" t="s">
        <v>23</v>
      </c>
      <c r="I1857" s="24">
        <v>57009.571199999991</v>
      </c>
      <c r="J1857" s="32">
        <v>27</v>
      </c>
      <c r="K1857" s="17" t="s">
        <v>24</v>
      </c>
      <c r="L1857" s="24">
        <v>2069.08</v>
      </c>
      <c r="M1857" s="24">
        <v>2246.2399999999998</v>
      </c>
      <c r="N1857" s="34">
        <f>((sales_data_1[[#This Row],[Unit_Price]]*(1-sales_data_1[[#This Row],[Discount]]))-sales_data_1[[#This Row],[Unit_Cost]])*sales_data_1[[#This Row],[Quantity_Sold]]</f>
        <v>1144.4111999999895</v>
      </c>
      <c r="O1857" s="17" t="s">
        <v>27</v>
      </c>
      <c r="P1857" s="26">
        <v>0.06</v>
      </c>
      <c r="Q1857" s="17" t="s">
        <v>25</v>
      </c>
      <c r="R1857" s="17" t="s">
        <v>21</v>
      </c>
      <c r="S1857" s="50" t="str">
        <f t="shared" si="86"/>
        <v>Alice-South</v>
      </c>
      <c r="T1857" s="59" t="str">
        <f>IF(ROUND(sales_data_1[[#This Row],[Profit_Margin]],2)=ROUND((sales_data_1[[#This Row],[Unit_Price]]*(1-sales_data_1[[#This Row],[Discount]]) - sales_data_1[[#This Row],[Unit_Cost]])*sales_data_1[[#This Row],[Quantity_Sold]],2), "PASS", "CHECK")</f>
        <v>PASS</v>
      </c>
    </row>
    <row r="1858" spans="1:20" x14ac:dyDescent="0.35">
      <c r="A1858" s="7">
        <v>1857</v>
      </c>
      <c r="B1858" s="9">
        <v>1066</v>
      </c>
      <c r="C1858" s="14" t="str">
        <f>IFERROR(_xlfn.TEXTJOIN("-", TRUE, _xlfn.XLOOKUP(K1858, product_category_id_lookup!$A$2:$A$5, product_category_id_lookup!$B$2:$B$5), B1858), "Unknown Category")</f>
        <v>fnt-1066</v>
      </c>
      <c r="D1858" s="8">
        <v>45204</v>
      </c>
      <c r="E1858" s="14">
        <f t="shared" ref="E1858:E1921" si="87">YEAR(D1858)</f>
        <v>2023</v>
      </c>
      <c r="F1858" s="29" t="str">
        <f t="shared" ref="F1858:F1921" si="88">LEFT(TEXT(D1858,"mmmm"),3)</f>
        <v>Oct</v>
      </c>
      <c r="G1858" s="17" t="s">
        <v>33</v>
      </c>
      <c r="H1858" s="17" t="s">
        <v>23</v>
      </c>
      <c r="I1858" s="24">
        <v>19977.170400000003</v>
      </c>
      <c r="J1858" s="32">
        <v>4</v>
      </c>
      <c r="K1858" s="17" t="s">
        <v>16</v>
      </c>
      <c r="L1858" s="24">
        <v>4596.68</v>
      </c>
      <c r="M1858" s="24">
        <v>5044.7400000000007</v>
      </c>
      <c r="N1858" s="34">
        <f>((sales_data_1[[#This Row],[Unit_Price]]*(1-sales_data_1[[#This Row],[Discount]]))-sales_data_1[[#This Row],[Unit_Cost]])*sales_data_1[[#This Row],[Quantity_Sold]]</f>
        <v>1590.4504000000015</v>
      </c>
      <c r="O1858" s="17" t="s">
        <v>27</v>
      </c>
      <c r="P1858" s="26">
        <v>0.01</v>
      </c>
      <c r="Q1858" s="17" t="s">
        <v>25</v>
      </c>
      <c r="R1858" s="17" t="s">
        <v>19</v>
      </c>
      <c r="S1858" s="50" t="str">
        <f t="shared" ref="S1858:S1921" si="89">_xlfn.CONCAT(G1858,"-",H1858)</f>
        <v>Alice-South</v>
      </c>
      <c r="T1858" s="59" t="str">
        <f>IF(ROUND(sales_data_1[[#This Row],[Profit_Margin]],2)=ROUND((sales_data_1[[#This Row],[Unit_Price]]*(1-sales_data_1[[#This Row],[Discount]]) - sales_data_1[[#This Row],[Unit_Cost]])*sales_data_1[[#This Row],[Quantity_Sold]],2), "PASS", "CHECK")</f>
        <v>PASS</v>
      </c>
    </row>
    <row r="1859" spans="1:20" x14ac:dyDescent="0.35">
      <c r="A1859" s="7">
        <v>1858</v>
      </c>
      <c r="B1859" s="9">
        <v>1051</v>
      </c>
      <c r="C1859" s="14" t="str">
        <f>IFERROR(_xlfn.TEXTJOIN("-", TRUE, _xlfn.XLOOKUP(K1859, product_category_id_lookup!$A$2:$A$5, product_category_id_lookup!$B$2:$B$5), B1859), "Unknown Category")</f>
        <v>fnt-1051</v>
      </c>
      <c r="D1859" s="8">
        <v>45206</v>
      </c>
      <c r="E1859" s="14">
        <f t="shared" si="87"/>
        <v>2023</v>
      </c>
      <c r="F1859" s="29" t="str">
        <f t="shared" si="88"/>
        <v>Oct</v>
      </c>
      <c r="G1859" s="17" t="s">
        <v>14</v>
      </c>
      <c r="H1859" s="17" t="s">
        <v>20</v>
      </c>
      <c r="I1859" s="24">
        <v>10675.724393900637</v>
      </c>
      <c r="J1859" s="32">
        <v>3</v>
      </c>
      <c r="K1859" s="17" t="s">
        <v>16</v>
      </c>
      <c r="L1859" s="24">
        <v>3434.75</v>
      </c>
      <c r="M1859" s="24">
        <v>3659.42</v>
      </c>
      <c r="N1859" s="34">
        <f>((sales_data_1[[#This Row],[Unit_Price]]*(1-sales_data_1[[#This Row],[Discount]]))-sales_data_1[[#This Row],[Unit_Cost]])*sales_data_1[[#This Row],[Quantity_Sold]]</f>
        <v>344.66220000000021</v>
      </c>
      <c r="O1859" s="17" t="s">
        <v>27</v>
      </c>
      <c r="P1859" s="26">
        <v>0.03</v>
      </c>
      <c r="Q1859" s="17" t="s">
        <v>18</v>
      </c>
      <c r="R1859" s="17" t="s">
        <v>19</v>
      </c>
      <c r="S1859" s="50" t="str">
        <f t="shared" si="89"/>
        <v>Bob-West</v>
      </c>
      <c r="T1859" s="59" t="str">
        <f>IF(ROUND(sales_data_1[[#This Row],[Profit_Margin]],2)=ROUND((sales_data_1[[#This Row],[Unit_Price]]*(1-sales_data_1[[#This Row],[Discount]]) - sales_data_1[[#This Row],[Unit_Cost]])*sales_data_1[[#This Row],[Quantity_Sold]],2), "PASS", "CHECK")</f>
        <v>PASS</v>
      </c>
    </row>
    <row r="1860" spans="1:20" x14ac:dyDescent="0.35">
      <c r="A1860" s="7">
        <v>1859</v>
      </c>
      <c r="B1860" s="9">
        <v>1060</v>
      </c>
      <c r="C1860" s="14" t="str">
        <f>IFERROR(_xlfn.TEXTJOIN("-", TRUE, _xlfn.XLOOKUP(K1860, product_category_id_lookup!$A$2:$A$5, product_category_id_lookup!$B$2:$B$5), B1860), "Unknown Category")</f>
        <v>etc-1060</v>
      </c>
      <c r="D1860" s="8">
        <v>45206</v>
      </c>
      <c r="E1860" s="14">
        <f t="shared" si="87"/>
        <v>2023</v>
      </c>
      <c r="F1860" s="29" t="str">
        <f t="shared" si="88"/>
        <v>Oct</v>
      </c>
      <c r="G1860" s="17" t="s">
        <v>33</v>
      </c>
      <c r="H1860" s="17" t="s">
        <v>23</v>
      </c>
      <c r="I1860" s="24">
        <v>17224.143399999997</v>
      </c>
      <c r="J1860" s="32">
        <v>23</v>
      </c>
      <c r="K1860" s="17" t="s">
        <v>31</v>
      </c>
      <c r="L1860" s="24">
        <v>647.70000000000005</v>
      </c>
      <c r="M1860" s="24">
        <v>902.26</v>
      </c>
      <c r="N1860" s="34">
        <f>((sales_data_1[[#This Row],[Unit_Price]]*(1-sales_data_1[[#This Row],[Discount]]))-sales_data_1[[#This Row],[Unit_Cost]])*sales_data_1[[#This Row],[Quantity_Sold]]</f>
        <v>2327.0433999999968</v>
      </c>
      <c r="O1860" s="17" t="s">
        <v>27</v>
      </c>
      <c r="P1860" s="26">
        <v>0.17</v>
      </c>
      <c r="Q1860" s="17" t="s">
        <v>25</v>
      </c>
      <c r="R1860" s="17" t="s">
        <v>19</v>
      </c>
      <c r="S1860" s="50" t="str">
        <f t="shared" si="89"/>
        <v>Alice-South</v>
      </c>
      <c r="T1860" s="59" t="str">
        <f>IF(ROUND(sales_data_1[[#This Row],[Profit_Margin]],2)=ROUND((sales_data_1[[#This Row],[Unit_Price]]*(1-sales_data_1[[#This Row],[Discount]]) - sales_data_1[[#This Row],[Unit_Cost]])*sales_data_1[[#This Row],[Quantity_Sold]],2), "PASS", "CHECK")</f>
        <v>PASS</v>
      </c>
    </row>
    <row r="1861" spans="1:20" x14ac:dyDescent="0.35">
      <c r="A1861" s="7">
        <v>1860</v>
      </c>
      <c r="B1861" s="9">
        <v>1032</v>
      </c>
      <c r="C1861" s="14" t="str">
        <f>IFERROR(_xlfn.TEXTJOIN("-", TRUE, _xlfn.XLOOKUP(K1861, product_category_id_lookup!$A$2:$A$5, product_category_id_lookup!$B$2:$B$5), B1861), "Unknown Category")</f>
        <v>fd-1032</v>
      </c>
      <c r="D1861" s="8">
        <v>45207</v>
      </c>
      <c r="E1861" s="14">
        <f t="shared" si="87"/>
        <v>2023</v>
      </c>
      <c r="F1861" s="29" t="str">
        <f t="shared" si="88"/>
        <v>Oct</v>
      </c>
      <c r="G1861" s="17" t="s">
        <v>32</v>
      </c>
      <c r="H1861" s="17" t="s">
        <v>30</v>
      </c>
      <c r="I1861" s="24">
        <v>22658.828236299763</v>
      </c>
      <c r="J1861" s="32">
        <v>11</v>
      </c>
      <c r="K1861" s="17" t="s">
        <v>24</v>
      </c>
      <c r="L1861" s="24">
        <v>2025.67</v>
      </c>
      <c r="M1861" s="24">
        <v>2081.5500000000002</v>
      </c>
      <c r="N1861" s="34">
        <f>((sales_data_1[[#This Row],[Unit_Price]]*(1-sales_data_1[[#This Row],[Discount]]))-sales_data_1[[#This Row],[Unit_Cost]])*sales_data_1[[#This Row],[Quantity_Sold]]</f>
        <v>385.70949999999948</v>
      </c>
      <c r="O1861" s="17" t="s">
        <v>27</v>
      </c>
      <c r="P1861" s="26">
        <v>0.01</v>
      </c>
      <c r="Q1861" s="17" t="s">
        <v>25</v>
      </c>
      <c r="R1861" s="17" t="s">
        <v>19</v>
      </c>
      <c r="S1861" s="50" t="str">
        <f t="shared" si="89"/>
        <v>Eve-East</v>
      </c>
      <c r="T1861" s="59" t="str">
        <f>IF(ROUND(sales_data_1[[#This Row],[Profit_Margin]],2)=ROUND((sales_data_1[[#This Row],[Unit_Price]]*(1-sales_data_1[[#This Row],[Discount]]) - sales_data_1[[#This Row],[Unit_Cost]])*sales_data_1[[#This Row],[Quantity_Sold]],2), "PASS", "CHECK")</f>
        <v>PASS</v>
      </c>
    </row>
    <row r="1862" spans="1:20" x14ac:dyDescent="0.35">
      <c r="A1862" s="7">
        <v>1861</v>
      </c>
      <c r="B1862" s="9">
        <v>1001</v>
      </c>
      <c r="C1862" s="14" t="str">
        <f>IFERROR(_xlfn.TEXTJOIN("-", TRUE, _xlfn.XLOOKUP(K1862, product_category_id_lookup!$A$2:$A$5, product_category_id_lookup!$B$2:$B$5), B1862), "Unknown Category")</f>
        <v>fnt-1001</v>
      </c>
      <c r="D1862" s="8">
        <v>45207</v>
      </c>
      <c r="E1862" s="14">
        <f t="shared" si="87"/>
        <v>2023</v>
      </c>
      <c r="F1862" s="29" t="str">
        <f t="shared" si="88"/>
        <v>Oct</v>
      </c>
      <c r="G1862" s="17" t="s">
        <v>14</v>
      </c>
      <c r="H1862" s="17" t="s">
        <v>20</v>
      </c>
      <c r="I1862" s="24">
        <v>108064.1925</v>
      </c>
      <c r="J1862" s="32">
        <v>33</v>
      </c>
      <c r="K1862" s="17" t="s">
        <v>16</v>
      </c>
      <c r="L1862" s="24">
        <v>2933.54</v>
      </c>
      <c r="M1862" s="24">
        <v>3307.75</v>
      </c>
      <c r="N1862" s="34">
        <f>((sales_data_1[[#This Row],[Unit_Price]]*(1-sales_data_1[[#This Row],[Discount]]))-sales_data_1[[#This Row],[Unit_Cost]])*sales_data_1[[#This Row],[Quantity_Sold]]</f>
        <v>11257.372500000005</v>
      </c>
      <c r="O1862" s="17" t="s">
        <v>17</v>
      </c>
      <c r="P1862" s="26">
        <v>0.01</v>
      </c>
      <c r="Q1862" s="17" t="s">
        <v>25</v>
      </c>
      <c r="R1862" s="17" t="s">
        <v>21</v>
      </c>
      <c r="S1862" s="50" t="str">
        <f t="shared" si="89"/>
        <v>Bob-West</v>
      </c>
      <c r="T1862" s="59" t="str">
        <f>IF(ROUND(sales_data_1[[#This Row],[Profit_Margin]],2)=ROUND((sales_data_1[[#This Row],[Unit_Price]]*(1-sales_data_1[[#This Row],[Discount]]) - sales_data_1[[#This Row],[Unit_Cost]])*sales_data_1[[#This Row],[Quantity_Sold]],2), "PASS", "CHECK")</f>
        <v>PASS</v>
      </c>
    </row>
    <row r="1863" spans="1:20" x14ac:dyDescent="0.35">
      <c r="A1863" s="7">
        <v>1862</v>
      </c>
      <c r="B1863" s="9">
        <v>1095</v>
      </c>
      <c r="C1863" s="14" t="str">
        <f>IFERROR(_xlfn.TEXTJOIN("-", TRUE, _xlfn.XLOOKUP(K1863, product_category_id_lookup!$A$2:$A$5, product_category_id_lookup!$B$2:$B$5), B1863), "Unknown Category")</f>
        <v>ctg-1095</v>
      </c>
      <c r="D1863" s="8">
        <v>45208</v>
      </c>
      <c r="E1863" s="14">
        <f t="shared" si="87"/>
        <v>2023</v>
      </c>
      <c r="F1863" s="29" t="str">
        <f t="shared" si="88"/>
        <v>Oct</v>
      </c>
      <c r="G1863" s="17" t="s">
        <v>22</v>
      </c>
      <c r="H1863" s="17" t="s">
        <v>15</v>
      </c>
      <c r="I1863" s="24">
        <v>13093.105199999998</v>
      </c>
      <c r="J1863" s="32">
        <v>21</v>
      </c>
      <c r="K1863" s="17" t="s">
        <v>26</v>
      </c>
      <c r="L1863" s="24">
        <v>621.04999999999995</v>
      </c>
      <c r="M1863" s="24">
        <v>820.36999999999989</v>
      </c>
      <c r="N1863" s="34">
        <f>((sales_data_1[[#This Row],[Unit_Price]]*(1-sales_data_1[[#This Row],[Discount]]))-sales_data_1[[#This Row],[Unit_Cost]])*sales_data_1[[#This Row],[Quantity_Sold]]</f>
        <v>51.055199999999786</v>
      </c>
      <c r="O1863" s="17" t="s">
        <v>17</v>
      </c>
      <c r="P1863" s="26">
        <v>0.24</v>
      </c>
      <c r="Q1863" s="17" t="s">
        <v>25</v>
      </c>
      <c r="R1863" s="17" t="s">
        <v>19</v>
      </c>
      <c r="S1863" s="50" t="str">
        <f t="shared" si="89"/>
        <v>David-North</v>
      </c>
      <c r="T1863" s="59" t="str">
        <f>IF(ROUND(sales_data_1[[#This Row],[Profit_Margin]],2)=ROUND((sales_data_1[[#This Row],[Unit_Price]]*(1-sales_data_1[[#This Row],[Discount]]) - sales_data_1[[#This Row],[Unit_Cost]])*sales_data_1[[#This Row],[Quantity_Sold]],2), "PASS", "CHECK")</f>
        <v>PASS</v>
      </c>
    </row>
    <row r="1864" spans="1:20" x14ac:dyDescent="0.35">
      <c r="A1864" s="7">
        <v>1863</v>
      </c>
      <c r="B1864" s="9">
        <v>1062</v>
      </c>
      <c r="C1864" s="14" t="str">
        <f>IFERROR(_xlfn.TEXTJOIN("-", TRUE, _xlfn.XLOOKUP(K1864, product_category_id_lookup!$A$2:$A$5, product_category_id_lookup!$B$2:$B$5), B1864), "Unknown Category")</f>
        <v>etc-1062</v>
      </c>
      <c r="D1864" s="8">
        <v>45208</v>
      </c>
      <c r="E1864" s="14">
        <f t="shared" si="87"/>
        <v>2023</v>
      </c>
      <c r="F1864" s="29" t="str">
        <f t="shared" si="88"/>
        <v>Oct</v>
      </c>
      <c r="G1864" s="17" t="s">
        <v>14</v>
      </c>
      <c r="H1864" s="17" t="s">
        <v>30</v>
      </c>
      <c r="I1864" s="24">
        <v>6427.9139999999998</v>
      </c>
      <c r="J1864" s="32">
        <v>4</v>
      </c>
      <c r="K1864" s="17" t="s">
        <v>31</v>
      </c>
      <c r="L1864" s="24">
        <v>1581.59</v>
      </c>
      <c r="M1864" s="24">
        <v>2034.1499999999999</v>
      </c>
      <c r="N1864" s="34">
        <f>((sales_data_1[[#This Row],[Unit_Price]]*(1-sales_data_1[[#This Row],[Discount]]))-sales_data_1[[#This Row],[Unit_Cost]])*sales_data_1[[#This Row],[Quantity_Sold]]</f>
        <v>101.55400000000009</v>
      </c>
      <c r="O1864" s="17" t="s">
        <v>17</v>
      </c>
      <c r="P1864" s="26">
        <v>0.21</v>
      </c>
      <c r="Q1864" s="17" t="s">
        <v>18</v>
      </c>
      <c r="R1864" s="17" t="s">
        <v>19</v>
      </c>
      <c r="S1864" s="50" t="str">
        <f t="shared" si="89"/>
        <v>Bob-East</v>
      </c>
      <c r="T1864" s="59" t="str">
        <f>IF(ROUND(sales_data_1[[#This Row],[Profit_Margin]],2)=ROUND((sales_data_1[[#This Row],[Unit_Price]]*(1-sales_data_1[[#This Row],[Discount]]) - sales_data_1[[#This Row],[Unit_Cost]])*sales_data_1[[#This Row],[Quantity_Sold]],2), "PASS", "CHECK")</f>
        <v>PASS</v>
      </c>
    </row>
    <row r="1865" spans="1:20" x14ac:dyDescent="0.35">
      <c r="A1865" s="7">
        <v>1864</v>
      </c>
      <c r="B1865" s="9">
        <v>1075</v>
      </c>
      <c r="C1865" s="14" t="str">
        <f>IFERROR(_xlfn.TEXTJOIN("-", TRUE, _xlfn.XLOOKUP(K1865, product_category_id_lookup!$A$2:$A$5, product_category_id_lookup!$B$2:$B$5), B1865), "Unknown Category")</f>
        <v>ctg-1075</v>
      </c>
      <c r="D1865" s="8">
        <v>45208</v>
      </c>
      <c r="E1865" s="14">
        <f t="shared" si="87"/>
        <v>2023</v>
      </c>
      <c r="F1865" s="29" t="str">
        <f t="shared" si="88"/>
        <v>Oct</v>
      </c>
      <c r="G1865" s="17" t="s">
        <v>29</v>
      </c>
      <c r="H1865" s="17" t="s">
        <v>20</v>
      </c>
      <c r="I1865" s="24">
        <v>42005.4444</v>
      </c>
      <c r="J1865" s="32">
        <v>18</v>
      </c>
      <c r="K1865" s="17" t="s">
        <v>26</v>
      </c>
      <c r="L1865" s="24">
        <v>2228.35</v>
      </c>
      <c r="M1865" s="24">
        <v>2682.34</v>
      </c>
      <c r="N1865" s="34">
        <f>((sales_data_1[[#This Row],[Unit_Price]]*(1-sales_data_1[[#This Row],[Discount]]))-sales_data_1[[#This Row],[Unit_Cost]])*sales_data_1[[#This Row],[Quantity_Sold]]</f>
        <v>1895.144400000002</v>
      </c>
      <c r="O1865" s="17" t="s">
        <v>27</v>
      </c>
      <c r="P1865" s="26">
        <v>0.13</v>
      </c>
      <c r="Q1865" s="17" t="s">
        <v>25</v>
      </c>
      <c r="R1865" s="17" t="s">
        <v>19</v>
      </c>
      <c r="S1865" s="50" t="str">
        <f t="shared" si="89"/>
        <v>Charlie-West</v>
      </c>
      <c r="T1865" s="59" t="str">
        <f>IF(ROUND(sales_data_1[[#This Row],[Profit_Margin]],2)=ROUND((sales_data_1[[#This Row],[Unit_Price]]*(1-sales_data_1[[#This Row],[Discount]]) - sales_data_1[[#This Row],[Unit_Cost]])*sales_data_1[[#This Row],[Quantity_Sold]],2), "PASS", "CHECK")</f>
        <v>PASS</v>
      </c>
    </row>
    <row r="1866" spans="1:20" x14ac:dyDescent="0.35">
      <c r="A1866" s="7">
        <v>1865</v>
      </c>
      <c r="B1866" s="9">
        <v>1052</v>
      </c>
      <c r="C1866" s="14" t="str">
        <f>IFERROR(_xlfn.TEXTJOIN("-", TRUE, _xlfn.XLOOKUP(K1866, product_category_id_lookup!$A$2:$A$5, product_category_id_lookup!$B$2:$B$5), B1866), "Unknown Category")</f>
        <v>etc-1052</v>
      </c>
      <c r="D1866" s="8">
        <v>45208</v>
      </c>
      <c r="E1866" s="14">
        <f t="shared" si="87"/>
        <v>2023</v>
      </c>
      <c r="F1866" s="29" t="str">
        <f t="shared" si="88"/>
        <v>Oct</v>
      </c>
      <c r="G1866" s="17" t="s">
        <v>22</v>
      </c>
      <c r="H1866" s="17" t="s">
        <v>20</v>
      </c>
      <c r="I1866" s="24">
        <v>70565.788799999995</v>
      </c>
      <c r="J1866" s="32">
        <v>41</v>
      </c>
      <c r="K1866" s="17" t="s">
        <v>31</v>
      </c>
      <c r="L1866" s="24">
        <v>1509.98</v>
      </c>
      <c r="M1866" s="24">
        <v>1792.83</v>
      </c>
      <c r="N1866" s="34">
        <f>((sales_data_1[[#This Row],[Unit_Price]]*(1-sales_data_1[[#This Row],[Discount]]))-sales_data_1[[#This Row],[Unit_Cost]])*sales_data_1[[#This Row],[Quantity_Sold]]</f>
        <v>8656.6087999999909</v>
      </c>
      <c r="O1866" s="17" t="s">
        <v>27</v>
      </c>
      <c r="P1866" s="26">
        <v>0.04</v>
      </c>
      <c r="Q1866" s="17" t="s">
        <v>18</v>
      </c>
      <c r="R1866" s="17" t="s">
        <v>21</v>
      </c>
      <c r="S1866" s="50" t="str">
        <f t="shared" si="89"/>
        <v>David-West</v>
      </c>
      <c r="T1866" s="59" t="str">
        <f>IF(ROUND(sales_data_1[[#This Row],[Profit_Margin]],2)=ROUND((sales_data_1[[#This Row],[Unit_Price]]*(1-sales_data_1[[#This Row],[Discount]]) - sales_data_1[[#This Row],[Unit_Cost]])*sales_data_1[[#This Row],[Quantity_Sold]],2), "PASS", "CHECK")</f>
        <v>PASS</v>
      </c>
    </row>
    <row r="1867" spans="1:20" x14ac:dyDescent="0.35">
      <c r="A1867" s="7">
        <v>1866</v>
      </c>
      <c r="B1867" s="9">
        <v>1001</v>
      </c>
      <c r="C1867" s="14" t="str">
        <f>IFERROR(_xlfn.TEXTJOIN("-", TRUE, _xlfn.XLOOKUP(K1867, product_category_id_lookup!$A$2:$A$5, product_category_id_lookup!$B$2:$B$5), B1867), "Unknown Category")</f>
        <v>fnt-1001</v>
      </c>
      <c r="D1867" s="8">
        <v>45209</v>
      </c>
      <c r="E1867" s="14">
        <f t="shared" si="87"/>
        <v>2023</v>
      </c>
      <c r="F1867" s="29" t="str">
        <f t="shared" si="88"/>
        <v>Oct</v>
      </c>
      <c r="G1867" s="17" t="s">
        <v>22</v>
      </c>
      <c r="H1867" s="17" t="s">
        <v>20</v>
      </c>
      <c r="I1867" s="24">
        <v>49903.394400000005</v>
      </c>
      <c r="J1867" s="32">
        <v>18</v>
      </c>
      <c r="K1867" s="17" t="s">
        <v>16</v>
      </c>
      <c r="L1867" s="24">
        <v>2602.6</v>
      </c>
      <c r="M1867" s="24">
        <v>3013.49</v>
      </c>
      <c r="N1867" s="34">
        <f>((sales_data_1[[#This Row],[Unit_Price]]*(1-sales_data_1[[#This Row],[Discount]]))-sales_data_1[[#This Row],[Unit_Cost]])*sales_data_1[[#This Row],[Quantity_Sold]]</f>
        <v>3056.5944000000036</v>
      </c>
      <c r="O1867" s="17" t="s">
        <v>17</v>
      </c>
      <c r="P1867" s="26">
        <v>0.08</v>
      </c>
      <c r="Q1867" s="17" t="s">
        <v>25</v>
      </c>
      <c r="R1867" s="17" t="s">
        <v>19</v>
      </c>
      <c r="S1867" s="50" t="str">
        <f t="shared" si="89"/>
        <v>David-West</v>
      </c>
      <c r="T1867" s="59" t="str">
        <f>IF(ROUND(sales_data_1[[#This Row],[Profit_Margin]],2)=ROUND((sales_data_1[[#This Row],[Unit_Price]]*(1-sales_data_1[[#This Row],[Discount]]) - sales_data_1[[#This Row],[Unit_Cost]])*sales_data_1[[#This Row],[Quantity_Sold]],2), "PASS", "CHECK")</f>
        <v>PASS</v>
      </c>
    </row>
    <row r="1868" spans="1:20" x14ac:dyDescent="0.35">
      <c r="A1868" s="7">
        <v>1867</v>
      </c>
      <c r="B1868" s="9">
        <v>1019</v>
      </c>
      <c r="C1868" s="14" t="str">
        <f>IFERROR(_xlfn.TEXTJOIN("-", TRUE, _xlfn.XLOOKUP(K1868, product_category_id_lookup!$A$2:$A$5, product_category_id_lookup!$B$2:$B$5), B1868), "Unknown Category")</f>
        <v>etc-1019</v>
      </c>
      <c r="D1868" s="8">
        <v>45210</v>
      </c>
      <c r="E1868" s="14">
        <f t="shared" si="87"/>
        <v>2023</v>
      </c>
      <c r="F1868" s="29" t="str">
        <f t="shared" si="88"/>
        <v>Oct</v>
      </c>
      <c r="G1868" s="17" t="s">
        <v>32</v>
      </c>
      <c r="H1868" s="17" t="s">
        <v>23</v>
      </c>
      <c r="I1868" s="24">
        <v>95702.006399999998</v>
      </c>
      <c r="J1868" s="32">
        <v>32</v>
      </c>
      <c r="K1868" s="17" t="s">
        <v>31</v>
      </c>
      <c r="L1868" s="24">
        <v>2866.47</v>
      </c>
      <c r="M1868" s="24">
        <v>3286.47</v>
      </c>
      <c r="N1868" s="34">
        <f>((sales_data_1[[#This Row],[Unit_Price]]*(1-sales_data_1[[#This Row],[Discount]]))-sales_data_1[[#This Row],[Unit_Cost]])*sales_data_1[[#This Row],[Quantity_Sold]]</f>
        <v>3974.9664000000048</v>
      </c>
      <c r="O1868" s="17" t="s">
        <v>27</v>
      </c>
      <c r="P1868" s="26">
        <v>0.09</v>
      </c>
      <c r="Q1868" s="17" t="s">
        <v>28</v>
      </c>
      <c r="R1868" s="17" t="s">
        <v>19</v>
      </c>
      <c r="S1868" s="50" t="str">
        <f t="shared" si="89"/>
        <v>Eve-South</v>
      </c>
      <c r="T1868" s="59" t="str">
        <f>IF(ROUND(sales_data_1[[#This Row],[Profit_Margin]],2)=ROUND((sales_data_1[[#This Row],[Unit_Price]]*(1-sales_data_1[[#This Row],[Discount]]) - sales_data_1[[#This Row],[Unit_Cost]])*sales_data_1[[#This Row],[Quantity_Sold]],2), "PASS", "CHECK")</f>
        <v>PASS</v>
      </c>
    </row>
    <row r="1869" spans="1:20" x14ac:dyDescent="0.35">
      <c r="A1869" s="7">
        <v>1868</v>
      </c>
      <c r="B1869" s="9">
        <v>1019</v>
      </c>
      <c r="C1869" s="14" t="str">
        <f>IFERROR(_xlfn.TEXTJOIN("-", TRUE, _xlfn.XLOOKUP(K1869, product_category_id_lookup!$A$2:$A$5, product_category_id_lookup!$B$2:$B$5), B1869), "Unknown Category")</f>
        <v>ctg-1019</v>
      </c>
      <c r="D1869" s="8">
        <v>45211</v>
      </c>
      <c r="E1869" s="14">
        <f t="shared" si="87"/>
        <v>2023</v>
      </c>
      <c r="F1869" s="29" t="str">
        <f t="shared" si="88"/>
        <v>Oct</v>
      </c>
      <c r="G1869" s="17" t="s">
        <v>29</v>
      </c>
      <c r="H1869" s="17" t="s">
        <v>20</v>
      </c>
      <c r="I1869" s="24">
        <v>79928.800000000003</v>
      </c>
      <c r="J1869" s="32">
        <v>16</v>
      </c>
      <c r="K1869" s="17" t="s">
        <v>26</v>
      </c>
      <c r="L1869" s="24">
        <v>4977.78</v>
      </c>
      <c r="M1869" s="24">
        <v>4995.55</v>
      </c>
      <c r="N1869" s="34">
        <f>((sales_data_1[[#This Row],[Unit_Price]]*(1-sales_data_1[[#This Row],[Discount]]))-sales_data_1[[#This Row],[Unit_Cost]])*sales_data_1[[#This Row],[Quantity_Sold]]</f>
        <v>284.32000000000698</v>
      </c>
      <c r="O1869" s="17" t="s">
        <v>27</v>
      </c>
      <c r="P1869" s="26">
        <v>0</v>
      </c>
      <c r="Q1869" s="17" t="s">
        <v>28</v>
      </c>
      <c r="R1869" s="17" t="s">
        <v>19</v>
      </c>
      <c r="S1869" s="50" t="str">
        <f t="shared" si="89"/>
        <v>Charlie-West</v>
      </c>
      <c r="T1869" s="59" t="str">
        <f>IF(ROUND(sales_data_1[[#This Row],[Profit_Margin]],2)=ROUND((sales_data_1[[#This Row],[Unit_Price]]*(1-sales_data_1[[#This Row],[Discount]]) - sales_data_1[[#This Row],[Unit_Cost]])*sales_data_1[[#This Row],[Quantity_Sold]],2), "PASS", "CHECK")</f>
        <v>PASS</v>
      </c>
    </row>
    <row r="1870" spans="1:20" x14ac:dyDescent="0.35">
      <c r="A1870" s="7">
        <v>1869</v>
      </c>
      <c r="B1870" s="9">
        <v>1077</v>
      </c>
      <c r="C1870" s="14" t="str">
        <f>IFERROR(_xlfn.TEXTJOIN("-", TRUE, _xlfn.XLOOKUP(K1870, product_category_id_lookup!$A$2:$A$5, product_category_id_lookup!$B$2:$B$5), B1870), "Unknown Category")</f>
        <v>etc-1077</v>
      </c>
      <c r="D1870" s="8">
        <v>45211</v>
      </c>
      <c r="E1870" s="14">
        <f t="shared" si="87"/>
        <v>2023</v>
      </c>
      <c r="F1870" s="29" t="str">
        <f t="shared" si="88"/>
        <v>Oct</v>
      </c>
      <c r="G1870" s="17" t="s">
        <v>22</v>
      </c>
      <c r="H1870" s="17" t="s">
        <v>23</v>
      </c>
      <c r="I1870" s="24">
        <v>13429.628699999999</v>
      </c>
      <c r="J1870" s="32">
        <v>23</v>
      </c>
      <c r="K1870" s="17" t="s">
        <v>31</v>
      </c>
      <c r="L1870" s="24">
        <v>557.52</v>
      </c>
      <c r="M1870" s="24">
        <v>822.39</v>
      </c>
      <c r="N1870" s="34">
        <f>((sales_data_1[[#This Row],[Unit_Price]]*(1-sales_data_1[[#This Row],[Discount]]))-sales_data_1[[#This Row],[Unit_Cost]])*sales_data_1[[#This Row],[Quantity_Sold]]</f>
        <v>606.66869999999949</v>
      </c>
      <c r="O1870" s="17" t="s">
        <v>17</v>
      </c>
      <c r="P1870" s="26">
        <v>0.28999999999999998</v>
      </c>
      <c r="Q1870" s="17" t="s">
        <v>28</v>
      </c>
      <c r="R1870" s="17" t="s">
        <v>19</v>
      </c>
      <c r="S1870" s="50" t="str">
        <f t="shared" si="89"/>
        <v>David-South</v>
      </c>
      <c r="T1870" s="59" t="str">
        <f>IF(ROUND(sales_data_1[[#This Row],[Profit_Margin]],2)=ROUND((sales_data_1[[#This Row],[Unit_Price]]*(1-sales_data_1[[#This Row],[Discount]]) - sales_data_1[[#This Row],[Unit_Cost]])*sales_data_1[[#This Row],[Quantity_Sold]],2), "PASS", "CHECK")</f>
        <v>PASS</v>
      </c>
    </row>
    <row r="1871" spans="1:20" x14ac:dyDescent="0.35">
      <c r="A1871" s="7">
        <v>1870</v>
      </c>
      <c r="B1871" s="9">
        <v>1032</v>
      </c>
      <c r="C1871" s="14" t="str">
        <f>IFERROR(_xlfn.TEXTJOIN("-", TRUE, _xlfn.XLOOKUP(K1871, product_category_id_lookup!$A$2:$A$5, product_category_id_lookup!$B$2:$B$5), B1871), "Unknown Category")</f>
        <v>ctg-1032</v>
      </c>
      <c r="D1871" s="8">
        <v>45211</v>
      </c>
      <c r="E1871" s="14">
        <f t="shared" si="87"/>
        <v>2023</v>
      </c>
      <c r="F1871" s="29" t="str">
        <f t="shared" si="88"/>
        <v>Oct</v>
      </c>
      <c r="G1871" s="17" t="s">
        <v>33</v>
      </c>
      <c r="H1871" s="17" t="s">
        <v>15</v>
      </c>
      <c r="I1871" s="24">
        <v>23127.566700000003</v>
      </c>
      <c r="J1871" s="32">
        <v>17</v>
      </c>
      <c r="K1871" s="17" t="s">
        <v>26</v>
      </c>
      <c r="L1871" s="24">
        <v>1291.9100000000001</v>
      </c>
      <c r="M1871" s="24">
        <v>1528.5900000000001</v>
      </c>
      <c r="N1871" s="34">
        <f>((sales_data_1[[#This Row],[Unit_Price]]*(1-sales_data_1[[#This Row],[Discount]]))-sales_data_1[[#This Row],[Unit_Cost]])*sales_data_1[[#This Row],[Quantity_Sold]]</f>
        <v>1165.096700000001</v>
      </c>
      <c r="O1871" s="17" t="s">
        <v>17</v>
      </c>
      <c r="P1871" s="26">
        <v>0.11</v>
      </c>
      <c r="Q1871" s="17" t="s">
        <v>28</v>
      </c>
      <c r="R1871" s="17" t="s">
        <v>21</v>
      </c>
      <c r="S1871" s="50" t="str">
        <f t="shared" si="89"/>
        <v>Alice-North</v>
      </c>
      <c r="T1871" s="59" t="str">
        <f>IF(ROUND(sales_data_1[[#This Row],[Profit_Margin]],2)=ROUND((sales_data_1[[#This Row],[Unit_Price]]*(1-sales_data_1[[#This Row],[Discount]]) - sales_data_1[[#This Row],[Unit_Cost]])*sales_data_1[[#This Row],[Quantity_Sold]],2), "PASS", "CHECK")</f>
        <v>PASS</v>
      </c>
    </row>
    <row r="1872" spans="1:20" x14ac:dyDescent="0.35">
      <c r="A1872" s="7">
        <v>1871</v>
      </c>
      <c r="B1872" s="9">
        <v>1010</v>
      </c>
      <c r="C1872" s="14" t="str">
        <f>IFERROR(_xlfn.TEXTJOIN("-", TRUE, _xlfn.XLOOKUP(K1872, product_category_id_lookup!$A$2:$A$5, product_category_id_lookup!$B$2:$B$5), B1872), "Unknown Category")</f>
        <v>fnt-1010</v>
      </c>
      <c r="D1872" s="8">
        <v>45211</v>
      </c>
      <c r="E1872" s="14">
        <f t="shared" si="87"/>
        <v>2023</v>
      </c>
      <c r="F1872" s="29" t="str">
        <f t="shared" si="88"/>
        <v>Oct</v>
      </c>
      <c r="G1872" s="17" t="s">
        <v>29</v>
      </c>
      <c r="H1872" s="17" t="s">
        <v>15</v>
      </c>
      <c r="I1872" s="24">
        <v>87743.566897626268</v>
      </c>
      <c r="J1872" s="32">
        <v>20</v>
      </c>
      <c r="K1872" s="17" t="s">
        <v>16</v>
      </c>
      <c r="L1872" s="24">
        <v>4298.74</v>
      </c>
      <c r="M1872" s="24">
        <v>4475.1899999999996</v>
      </c>
      <c r="N1872" s="34">
        <f>((sales_data_1[[#This Row],[Unit_Price]]*(1-sales_data_1[[#This Row],[Discount]]))-sales_data_1[[#This Row],[Unit_Cost]])*sales_data_1[[#This Row],[Quantity_Sold]]</f>
        <v>1738.9239999999882</v>
      </c>
      <c r="O1872" s="17" t="s">
        <v>17</v>
      </c>
      <c r="P1872" s="26">
        <v>0.02</v>
      </c>
      <c r="Q1872" s="17" t="s">
        <v>18</v>
      </c>
      <c r="R1872" s="17" t="s">
        <v>19</v>
      </c>
      <c r="S1872" s="50" t="str">
        <f t="shared" si="89"/>
        <v>Charlie-North</v>
      </c>
      <c r="T1872" s="59" t="str">
        <f>IF(ROUND(sales_data_1[[#This Row],[Profit_Margin]],2)=ROUND((sales_data_1[[#This Row],[Unit_Price]]*(1-sales_data_1[[#This Row],[Discount]]) - sales_data_1[[#This Row],[Unit_Cost]])*sales_data_1[[#This Row],[Quantity_Sold]],2), "PASS", "CHECK")</f>
        <v>PASS</v>
      </c>
    </row>
    <row r="1873" spans="1:20" x14ac:dyDescent="0.35">
      <c r="A1873" s="7">
        <v>1872</v>
      </c>
      <c r="B1873" s="9">
        <v>1052</v>
      </c>
      <c r="C1873" s="14" t="str">
        <f>IFERROR(_xlfn.TEXTJOIN("-", TRUE, _xlfn.XLOOKUP(K1873, product_category_id_lookup!$A$2:$A$5, product_category_id_lookup!$B$2:$B$5), B1873), "Unknown Category")</f>
        <v>etc-1052</v>
      </c>
      <c r="D1873" s="8">
        <v>45211</v>
      </c>
      <c r="E1873" s="14">
        <f t="shared" si="87"/>
        <v>2023</v>
      </c>
      <c r="F1873" s="29" t="str">
        <f t="shared" si="88"/>
        <v>Oct</v>
      </c>
      <c r="G1873" s="17" t="s">
        <v>22</v>
      </c>
      <c r="H1873" s="17" t="s">
        <v>15</v>
      </c>
      <c r="I1873" s="24">
        <v>146339.05614239146</v>
      </c>
      <c r="J1873" s="32">
        <v>46</v>
      </c>
      <c r="K1873" s="17" t="s">
        <v>31</v>
      </c>
      <c r="L1873" s="24">
        <v>3136.42</v>
      </c>
      <c r="M1873" s="24">
        <v>3198.4900000000002</v>
      </c>
      <c r="N1873" s="34">
        <f>((sales_data_1[[#This Row],[Unit_Price]]*(1-sales_data_1[[#This Row],[Discount]]))-sales_data_1[[#This Row],[Unit_Cost]])*sales_data_1[[#This Row],[Quantity_Sold]]</f>
        <v>1383.914600000011</v>
      </c>
      <c r="O1873" s="17" t="s">
        <v>17</v>
      </c>
      <c r="P1873" s="26">
        <v>0.01</v>
      </c>
      <c r="Q1873" s="17" t="s">
        <v>18</v>
      </c>
      <c r="R1873" s="17" t="s">
        <v>21</v>
      </c>
      <c r="S1873" s="50" t="str">
        <f t="shared" si="89"/>
        <v>David-North</v>
      </c>
      <c r="T1873" s="59" t="str">
        <f>IF(ROUND(sales_data_1[[#This Row],[Profit_Margin]],2)=ROUND((sales_data_1[[#This Row],[Unit_Price]]*(1-sales_data_1[[#This Row],[Discount]]) - sales_data_1[[#This Row],[Unit_Cost]])*sales_data_1[[#This Row],[Quantity_Sold]],2), "PASS", "CHECK")</f>
        <v>PASS</v>
      </c>
    </row>
    <row r="1874" spans="1:20" x14ac:dyDescent="0.35">
      <c r="A1874" s="7">
        <v>1873</v>
      </c>
      <c r="B1874" s="9">
        <v>1089</v>
      </c>
      <c r="C1874" s="14" t="str">
        <f>IFERROR(_xlfn.TEXTJOIN("-", TRUE, _xlfn.XLOOKUP(K1874, product_category_id_lookup!$A$2:$A$5, product_category_id_lookup!$B$2:$B$5), B1874), "Unknown Category")</f>
        <v>fnt-1089</v>
      </c>
      <c r="D1874" s="8">
        <v>45211</v>
      </c>
      <c r="E1874" s="14">
        <f t="shared" si="87"/>
        <v>2023</v>
      </c>
      <c r="F1874" s="29" t="str">
        <f t="shared" si="88"/>
        <v>Oct</v>
      </c>
      <c r="G1874" s="17" t="s">
        <v>22</v>
      </c>
      <c r="H1874" s="17" t="s">
        <v>23</v>
      </c>
      <c r="I1874" s="24">
        <v>96142.277499999997</v>
      </c>
      <c r="J1874" s="32">
        <v>25</v>
      </c>
      <c r="K1874" s="17" t="s">
        <v>16</v>
      </c>
      <c r="L1874" s="24">
        <v>3512.69</v>
      </c>
      <c r="M1874" s="24">
        <v>3964.63</v>
      </c>
      <c r="N1874" s="34">
        <f>((sales_data_1[[#This Row],[Unit_Price]]*(1-sales_data_1[[#This Row],[Discount]]))-sales_data_1[[#This Row],[Unit_Cost]])*sales_data_1[[#This Row],[Quantity_Sold]]</f>
        <v>8325.0274999999983</v>
      </c>
      <c r="O1874" s="17" t="s">
        <v>17</v>
      </c>
      <c r="P1874" s="26">
        <v>0.03</v>
      </c>
      <c r="Q1874" s="17" t="s">
        <v>28</v>
      </c>
      <c r="R1874" s="17" t="s">
        <v>21</v>
      </c>
      <c r="S1874" s="50" t="str">
        <f t="shared" si="89"/>
        <v>David-South</v>
      </c>
      <c r="T1874" s="59" t="str">
        <f>IF(ROUND(sales_data_1[[#This Row],[Profit_Margin]],2)=ROUND((sales_data_1[[#This Row],[Unit_Price]]*(1-sales_data_1[[#This Row],[Discount]]) - sales_data_1[[#This Row],[Unit_Cost]])*sales_data_1[[#This Row],[Quantity_Sold]],2), "PASS", "CHECK")</f>
        <v>PASS</v>
      </c>
    </row>
    <row r="1875" spans="1:20" x14ac:dyDescent="0.35">
      <c r="A1875" s="7">
        <v>1874</v>
      </c>
      <c r="B1875" s="9">
        <v>1008</v>
      </c>
      <c r="C1875" s="14" t="str">
        <f>IFERROR(_xlfn.TEXTJOIN("-", TRUE, _xlfn.XLOOKUP(K1875, product_category_id_lookup!$A$2:$A$5, product_category_id_lookup!$B$2:$B$5), B1875), "Unknown Category")</f>
        <v>etc-1008</v>
      </c>
      <c r="D1875" s="8">
        <v>45212</v>
      </c>
      <c r="E1875" s="14">
        <f t="shared" si="87"/>
        <v>2023</v>
      </c>
      <c r="F1875" s="29" t="str">
        <f t="shared" si="88"/>
        <v>Oct</v>
      </c>
      <c r="G1875" s="17" t="s">
        <v>32</v>
      </c>
      <c r="H1875" s="17" t="s">
        <v>20</v>
      </c>
      <c r="I1875" s="24">
        <v>40138.18261437137</v>
      </c>
      <c r="J1875" s="32">
        <v>24</v>
      </c>
      <c r="K1875" s="17" t="s">
        <v>31</v>
      </c>
      <c r="L1875" s="24">
        <v>1542.24</v>
      </c>
      <c r="M1875" s="24">
        <v>1739.45</v>
      </c>
      <c r="N1875" s="34">
        <f>((sales_data_1[[#This Row],[Unit_Price]]*(1-sales_data_1[[#This Row],[Discount]]))-sales_data_1[[#This Row],[Unit_Cost]])*sales_data_1[[#This Row],[Quantity_Sold]]</f>
        <v>3063.1680000000015</v>
      </c>
      <c r="O1875" s="17" t="s">
        <v>17</v>
      </c>
      <c r="P1875" s="26">
        <v>0.04</v>
      </c>
      <c r="Q1875" s="17" t="s">
        <v>25</v>
      </c>
      <c r="R1875" s="17" t="s">
        <v>21</v>
      </c>
      <c r="S1875" s="50" t="str">
        <f t="shared" si="89"/>
        <v>Eve-West</v>
      </c>
      <c r="T1875" s="59" t="str">
        <f>IF(ROUND(sales_data_1[[#This Row],[Profit_Margin]],2)=ROUND((sales_data_1[[#This Row],[Unit_Price]]*(1-sales_data_1[[#This Row],[Discount]]) - sales_data_1[[#This Row],[Unit_Cost]])*sales_data_1[[#This Row],[Quantity_Sold]],2), "PASS", "CHECK")</f>
        <v>PASS</v>
      </c>
    </row>
    <row r="1876" spans="1:20" x14ac:dyDescent="0.35">
      <c r="A1876" s="7">
        <v>1875</v>
      </c>
      <c r="B1876" s="9">
        <v>1099</v>
      </c>
      <c r="C1876" s="14" t="str">
        <f>IFERROR(_xlfn.TEXTJOIN("-", TRUE, _xlfn.XLOOKUP(K1876, product_category_id_lookup!$A$2:$A$5, product_category_id_lookup!$B$2:$B$5), B1876), "Unknown Category")</f>
        <v>fd-1099</v>
      </c>
      <c r="D1876" s="8">
        <v>45212</v>
      </c>
      <c r="E1876" s="14">
        <f t="shared" si="87"/>
        <v>2023</v>
      </c>
      <c r="F1876" s="29" t="str">
        <f t="shared" si="88"/>
        <v>Oct</v>
      </c>
      <c r="G1876" s="17" t="s">
        <v>29</v>
      </c>
      <c r="H1876" s="17" t="s">
        <v>15</v>
      </c>
      <c r="I1876" s="24">
        <v>31838.545676086291</v>
      </c>
      <c r="J1876" s="32">
        <v>14</v>
      </c>
      <c r="K1876" s="17" t="s">
        <v>24</v>
      </c>
      <c r="L1876" s="24">
        <v>1996.64</v>
      </c>
      <c r="M1876" s="24">
        <v>2341.4700000000003</v>
      </c>
      <c r="N1876" s="34">
        <f>((sales_data_1[[#This Row],[Unit_Price]]*(1-sales_data_1[[#This Row],[Discount]]))-sales_data_1[[#This Row],[Unit_Cost]])*sales_data_1[[#This Row],[Quantity_Sold]]</f>
        <v>3844.2026000000037</v>
      </c>
      <c r="O1876" s="17" t="s">
        <v>17</v>
      </c>
      <c r="P1876" s="26">
        <v>0.03</v>
      </c>
      <c r="Q1876" s="17" t="s">
        <v>28</v>
      </c>
      <c r="R1876" s="17" t="s">
        <v>19</v>
      </c>
      <c r="S1876" s="50" t="str">
        <f t="shared" si="89"/>
        <v>Charlie-North</v>
      </c>
      <c r="T1876" s="59" t="str">
        <f>IF(ROUND(sales_data_1[[#This Row],[Profit_Margin]],2)=ROUND((sales_data_1[[#This Row],[Unit_Price]]*(1-sales_data_1[[#This Row],[Discount]]) - sales_data_1[[#This Row],[Unit_Cost]])*sales_data_1[[#This Row],[Quantity_Sold]],2), "PASS", "CHECK")</f>
        <v>PASS</v>
      </c>
    </row>
    <row r="1877" spans="1:20" x14ac:dyDescent="0.35">
      <c r="A1877" s="7">
        <v>1876</v>
      </c>
      <c r="B1877" s="9">
        <v>1002</v>
      </c>
      <c r="C1877" s="14" t="str">
        <f>IFERROR(_xlfn.TEXTJOIN("-", TRUE, _xlfn.XLOOKUP(K1877, product_category_id_lookup!$A$2:$A$5, product_category_id_lookup!$B$2:$B$5), B1877), "Unknown Category")</f>
        <v>ctg-1002</v>
      </c>
      <c r="D1877" s="8">
        <v>45213</v>
      </c>
      <c r="E1877" s="14">
        <f t="shared" si="87"/>
        <v>2023</v>
      </c>
      <c r="F1877" s="29" t="str">
        <f t="shared" si="88"/>
        <v>Oct</v>
      </c>
      <c r="G1877" s="17" t="s">
        <v>22</v>
      </c>
      <c r="H1877" s="17" t="s">
        <v>23</v>
      </c>
      <c r="I1877" s="24">
        <v>41180.333999999995</v>
      </c>
      <c r="J1877" s="32">
        <v>39</v>
      </c>
      <c r="K1877" s="17" t="s">
        <v>26</v>
      </c>
      <c r="L1877" s="24">
        <v>1004.71</v>
      </c>
      <c r="M1877" s="24">
        <v>1389.35</v>
      </c>
      <c r="N1877" s="34">
        <f>((sales_data_1[[#This Row],[Unit_Price]]*(1-sales_data_1[[#This Row],[Discount]]))-sales_data_1[[#This Row],[Unit_Cost]])*sales_data_1[[#This Row],[Quantity_Sold]]</f>
        <v>1996.6439999999966</v>
      </c>
      <c r="O1877" s="17" t="s">
        <v>27</v>
      </c>
      <c r="P1877" s="26">
        <v>0.24</v>
      </c>
      <c r="Q1877" s="17" t="s">
        <v>25</v>
      </c>
      <c r="R1877" s="17" t="s">
        <v>19</v>
      </c>
      <c r="S1877" s="50" t="str">
        <f t="shared" si="89"/>
        <v>David-South</v>
      </c>
      <c r="T1877" s="59" t="str">
        <f>IF(ROUND(sales_data_1[[#This Row],[Profit_Margin]],2)=ROUND((sales_data_1[[#This Row],[Unit_Price]]*(1-sales_data_1[[#This Row],[Discount]]) - sales_data_1[[#This Row],[Unit_Cost]])*sales_data_1[[#This Row],[Quantity_Sold]],2), "PASS", "CHECK")</f>
        <v>PASS</v>
      </c>
    </row>
    <row r="1878" spans="1:20" x14ac:dyDescent="0.35">
      <c r="A1878" s="7">
        <v>1877</v>
      </c>
      <c r="B1878" s="9">
        <v>1076</v>
      </c>
      <c r="C1878" s="14" t="str">
        <f>IFERROR(_xlfn.TEXTJOIN("-", TRUE, _xlfn.XLOOKUP(K1878, product_category_id_lookup!$A$2:$A$5, product_category_id_lookup!$B$2:$B$5), B1878), "Unknown Category")</f>
        <v>fd-1076</v>
      </c>
      <c r="D1878" s="8">
        <v>45213</v>
      </c>
      <c r="E1878" s="14">
        <f t="shared" si="87"/>
        <v>2023</v>
      </c>
      <c r="F1878" s="29" t="str">
        <f t="shared" si="88"/>
        <v>Oct</v>
      </c>
      <c r="G1878" s="17" t="s">
        <v>29</v>
      </c>
      <c r="H1878" s="17" t="s">
        <v>23</v>
      </c>
      <c r="I1878" s="24">
        <v>43947.903505127804</v>
      </c>
      <c r="J1878" s="32">
        <v>23</v>
      </c>
      <c r="K1878" s="17" t="s">
        <v>24</v>
      </c>
      <c r="L1878" s="24">
        <v>1727.78</v>
      </c>
      <c r="M1878" s="24">
        <v>1984.34</v>
      </c>
      <c r="N1878" s="34">
        <f>((sales_data_1[[#This Row],[Unit_Price]]*(1-sales_data_1[[#This Row],[Discount]]))-sales_data_1[[#This Row],[Unit_Cost]])*sales_data_1[[#This Row],[Quantity_Sold]]</f>
        <v>4075.2871999999961</v>
      </c>
      <c r="O1878" s="17" t="s">
        <v>17</v>
      </c>
      <c r="P1878" s="26">
        <v>0.04</v>
      </c>
      <c r="Q1878" s="17" t="s">
        <v>25</v>
      </c>
      <c r="R1878" s="17" t="s">
        <v>19</v>
      </c>
      <c r="S1878" s="50" t="str">
        <f t="shared" si="89"/>
        <v>Charlie-South</v>
      </c>
      <c r="T1878" s="59" t="str">
        <f>IF(ROUND(sales_data_1[[#This Row],[Profit_Margin]],2)=ROUND((sales_data_1[[#This Row],[Unit_Price]]*(1-sales_data_1[[#This Row],[Discount]]) - sales_data_1[[#This Row],[Unit_Cost]])*sales_data_1[[#This Row],[Quantity_Sold]],2), "PASS", "CHECK")</f>
        <v>PASS</v>
      </c>
    </row>
    <row r="1879" spans="1:20" x14ac:dyDescent="0.35">
      <c r="A1879" s="7">
        <v>1878</v>
      </c>
      <c r="B1879" s="9">
        <v>1035</v>
      </c>
      <c r="C1879" s="14" t="str">
        <f>IFERROR(_xlfn.TEXTJOIN("-", TRUE, _xlfn.XLOOKUP(K1879, product_category_id_lookup!$A$2:$A$5, product_category_id_lookup!$B$2:$B$5), B1879), "Unknown Category")</f>
        <v>fnt-1035</v>
      </c>
      <c r="D1879" s="8">
        <v>45214</v>
      </c>
      <c r="E1879" s="14">
        <f t="shared" si="87"/>
        <v>2023</v>
      </c>
      <c r="F1879" s="29" t="str">
        <f t="shared" si="88"/>
        <v>Oct</v>
      </c>
      <c r="G1879" s="17" t="s">
        <v>22</v>
      </c>
      <c r="H1879" s="17" t="s">
        <v>15</v>
      </c>
      <c r="I1879" s="24">
        <v>630.77820000000008</v>
      </c>
      <c r="J1879" s="32">
        <v>1</v>
      </c>
      <c r="K1879" s="17" t="s">
        <v>16</v>
      </c>
      <c r="L1879" s="24">
        <v>610.83000000000004</v>
      </c>
      <c r="M1879" s="24">
        <v>808.69</v>
      </c>
      <c r="N1879" s="34">
        <f>((sales_data_1[[#This Row],[Unit_Price]]*(1-sales_data_1[[#This Row],[Discount]]))-sales_data_1[[#This Row],[Unit_Cost]])*sales_data_1[[#This Row],[Quantity_Sold]]</f>
        <v>19.948200000000043</v>
      </c>
      <c r="O1879" s="17" t="s">
        <v>27</v>
      </c>
      <c r="P1879" s="26">
        <v>0.22</v>
      </c>
      <c r="Q1879" s="17" t="s">
        <v>28</v>
      </c>
      <c r="R1879" s="17" t="s">
        <v>19</v>
      </c>
      <c r="S1879" s="50" t="str">
        <f t="shared" si="89"/>
        <v>David-North</v>
      </c>
      <c r="T1879" s="59" t="str">
        <f>IF(ROUND(sales_data_1[[#This Row],[Profit_Margin]],2)=ROUND((sales_data_1[[#This Row],[Unit_Price]]*(1-sales_data_1[[#This Row],[Discount]]) - sales_data_1[[#This Row],[Unit_Cost]])*sales_data_1[[#This Row],[Quantity_Sold]],2), "PASS", "CHECK")</f>
        <v>PASS</v>
      </c>
    </row>
    <row r="1880" spans="1:20" x14ac:dyDescent="0.35">
      <c r="A1880" s="7">
        <v>1879</v>
      </c>
      <c r="B1880" s="9">
        <v>1038</v>
      </c>
      <c r="C1880" s="14" t="str">
        <f>IFERROR(_xlfn.TEXTJOIN("-", TRUE, _xlfn.XLOOKUP(K1880, product_category_id_lookup!$A$2:$A$5, product_category_id_lookup!$B$2:$B$5), B1880), "Unknown Category")</f>
        <v>ctg-1038</v>
      </c>
      <c r="D1880" s="8">
        <v>45214</v>
      </c>
      <c r="E1880" s="14">
        <f t="shared" si="87"/>
        <v>2023</v>
      </c>
      <c r="F1880" s="29" t="str">
        <f t="shared" si="88"/>
        <v>Oct</v>
      </c>
      <c r="G1880" s="17" t="s">
        <v>22</v>
      </c>
      <c r="H1880" s="17" t="s">
        <v>20</v>
      </c>
      <c r="I1880" s="24">
        <v>85717.953988513516</v>
      </c>
      <c r="J1880" s="32">
        <v>31</v>
      </c>
      <c r="K1880" s="17" t="s">
        <v>26</v>
      </c>
      <c r="L1880" s="24">
        <v>2709.84</v>
      </c>
      <c r="M1880" s="24">
        <v>2766.51</v>
      </c>
      <c r="N1880" s="34">
        <f>((sales_data_1[[#This Row],[Unit_Price]]*(1-sales_data_1[[#This Row],[Discount]]))-sales_data_1[[#This Row],[Unit_Cost]])*sales_data_1[[#This Row],[Quantity_Sold]]</f>
        <v>1756.7700000000023</v>
      </c>
      <c r="O1880" s="17" t="s">
        <v>27</v>
      </c>
      <c r="P1880" s="26">
        <v>0</v>
      </c>
      <c r="Q1880" s="17" t="s">
        <v>18</v>
      </c>
      <c r="R1880" s="17" t="s">
        <v>21</v>
      </c>
      <c r="S1880" s="50" t="str">
        <f t="shared" si="89"/>
        <v>David-West</v>
      </c>
      <c r="T1880" s="59" t="str">
        <f>IF(ROUND(sales_data_1[[#This Row],[Profit_Margin]],2)=ROUND((sales_data_1[[#This Row],[Unit_Price]]*(1-sales_data_1[[#This Row],[Discount]]) - sales_data_1[[#This Row],[Unit_Cost]])*sales_data_1[[#This Row],[Quantity_Sold]],2), "PASS", "CHECK")</f>
        <v>PASS</v>
      </c>
    </row>
    <row r="1881" spans="1:20" x14ac:dyDescent="0.35">
      <c r="A1881" s="7">
        <v>1880</v>
      </c>
      <c r="B1881" s="9">
        <v>1048</v>
      </c>
      <c r="C1881" s="14" t="str">
        <f>IFERROR(_xlfn.TEXTJOIN("-", TRUE, _xlfn.XLOOKUP(K1881, product_category_id_lookup!$A$2:$A$5, product_category_id_lookup!$B$2:$B$5), B1881), "Unknown Category")</f>
        <v>etc-1048</v>
      </c>
      <c r="D1881" s="8">
        <v>45214</v>
      </c>
      <c r="E1881" s="14">
        <f t="shared" si="87"/>
        <v>2023</v>
      </c>
      <c r="F1881" s="29" t="str">
        <f t="shared" si="88"/>
        <v>Oct</v>
      </c>
      <c r="G1881" s="17" t="s">
        <v>29</v>
      </c>
      <c r="H1881" s="17" t="s">
        <v>15</v>
      </c>
      <c r="I1881" s="24">
        <v>135175.57822744944</v>
      </c>
      <c r="J1881" s="32">
        <v>42</v>
      </c>
      <c r="K1881" s="17" t="s">
        <v>31</v>
      </c>
      <c r="L1881" s="24">
        <v>3139.99</v>
      </c>
      <c r="M1881" s="24">
        <v>3349.37</v>
      </c>
      <c r="N1881" s="34">
        <f>((sales_data_1[[#This Row],[Unit_Price]]*(1-sales_data_1[[#This Row],[Discount]]))-sales_data_1[[#This Row],[Unit_Cost]])*sales_data_1[[#This Row],[Quantity_Sold]]</f>
        <v>3167.0184000000063</v>
      </c>
      <c r="O1881" s="17" t="s">
        <v>17</v>
      </c>
      <c r="P1881" s="26">
        <v>0.04</v>
      </c>
      <c r="Q1881" s="17" t="s">
        <v>28</v>
      </c>
      <c r="R1881" s="17" t="s">
        <v>21</v>
      </c>
      <c r="S1881" s="50" t="str">
        <f t="shared" si="89"/>
        <v>Charlie-North</v>
      </c>
      <c r="T1881" s="59" t="str">
        <f>IF(ROUND(sales_data_1[[#This Row],[Profit_Margin]],2)=ROUND((sales_data_1[[#This Row],[Unit_Price]]*(1-sales_data_1[[#This Row],[Discount]]) - sales_data_1[[#This Row],[Unit_Cost]])*sales_data_1[[#This Row],[Quantity_Sold]],2), "PASS", "CHECK")</f>
        <v>PASS</v>
      </c>
    </row>
    <row r="1882" spans="1:20" x14ac:dyDescent="0.35">
      <c r="A1882" s="7">
        <v>1881</v>
      </c>
      <c r="B1882" s="9">
        <v>1099</v>
      </c>
      <c r="C1882" s="14" t="str">
        <f>IFERROR(_xlfn.TEXTJOIN("-", TRUE, _xlfn.XLOOKUP(K1882, product_category_id_lookup!$A$2:$A$5, product_category_id_lookup!$B$2:$B$5), B1882), "Unknown Category")</f>
        <v>etc-1099</v>
      </c>
      <c r="D1882" s="8">
        <v>45214</v>
      </c>
      <c r="E1882" s="14">
        <f t="shared" si="87"/>
        <v>2023</v>
      </c>
      <c r="F1882" s="29" t="str">
        <f t="shared" si="88"/>
        <v>Oct</v>
      </c>
      <c r="G1882" s="17" t="s">
        <v>22</v>
      </c>
      <c r="H1882" s="17" t="s">
        <v>30</v>
      </c>
      <c r="I1882" s="24">
        <v>148580.68474658049</v>
      </c>
      <c r="J1882" s="32">
        <v>39</v>
      </c>
      <c r="K1882" s="17" t="s">
        <v>31</v>
      </c>
      <c r="L1882" s="24">
        <v>3592.89</v>
      </c>
      <c r="M1882" s="24">
        <v>4004</v>
      </c>
      <c r="N1882" s="34">
        <f>((sales_data_1[[#This Row],[Unit_Price]]*(1-sales_data_1[[#This Row],[Discount]]))-sales_data_1[[#This Row],[Unit_Cost]])*sales_data_1[[#This Row],[Quantity_Sold]]</f>
        <v>8225.4899999999943</v>
      </c>
      <c r="O1882" s="17" t="s">
        <v>27</v>
      </c>
      <c r="P1882" s="26">
        <v>0.05</v>
      </c>
      <c r="Q1882" s="17" t="s">
        <v>18</v>
      </c>
      <c r="R1882" s="17" t="s">
        <v>19</v>
      </c>
      <c r="S1882" s="50" t="str">
        <f t="shared" si="89"/>
        <v>David-East</v>
      </c>
      <c r="T1882" s="59" t="str">
        <f>IF(ROUND(sales_data_1[[#This Row],[Profit_Margin]],2)=ROUND((sales_data_1[[#This Row],[Unit_Price]]*(1-sales_data_1[[#This Row],[Discount]]) - sales_data_1[[#This Row],[Unit_Cost]])*sales_data_1[[#This Row],[Quantity_Sold]],2), "PASS", "CHECK")</f>
        <v>PASS</v>
      </c>
    </row>
    <row r="1883" spans="1:20" x14ac:dyDescent="0.35">
      <c r="A1883" s="7">
        <v>1882</v>
      </c>
      <c r="B1883" s="9">
        <v>1025</v>
      </c>
      <c r="C1883" s="14" t="str">
        <f>IFERROR(_xlfn.TEXTJOIN("-", TRUE, _xlfn.XLOOKUP(K1883, product_category_id_lookup!$A$2:$A$5, product_category_id_lookup!$B$2:$B$5), B1883), "Unknown Category")</f>
        <v>fd-1025</v>
      </c>
      <c r="D1883" s="8">
        <v>45214</v>
      </c>
      <c r="E1883" s="14">
        <f t="shared" si="87"/>
        <v>2023</v>
      </c>
      <c r="F1883" s="29" t="str">
        <f t="shared" si="88"/>
        <v>Oct</v>
      </c>
      <c r="G1883" s="17" t="s">
        <v>22</v>
      </c>
      <c r="H1883" s="17" t="s">
        <v>15</v>
      </c>
      <c r="I1883" s="24">
        <v>74078.866399999999</v>
      </c>
      <c r="J1883" s="32">
        <v>44</v>
      </c>
      <c r="K1883" s="17" t="s">
        <v>24</v>
      </c>
      <c r="L1883" s="24">
        <v>1485.72</v>
      </c>
      <c r="M1883" s="24">
        <v>1717.97</v>
      </c>
      <c r="N1883" s="34">
        <f>((sales_data_1[[#This Row],[Unit_Price]]*(1-sales_data_1[[#This Row],[Discount]]))-sales_data_1[[#This Row],[Unit_Cost]])*sales_data_1[[#This Row],[Quantity_Sold]]</f>
        <v>8707.1863999999987</v>
      </c>
      <c r="O1883" s="17" t="s">
        <v>27</v>
      </c>
      <c r="P1883" s="26">
        <v>0.02</v>
      </c>
      <c r="Q1883" s="17" t="s">
        <v>28</v>
      </c>
      <c r="R1883" s="17" t="s">
        <v>21</v>
      </c>
      <c r="S1883" s="50" t="str">
        <f t="shared" si="89"/>
        <v>David-North</v>
      </c>
      <c r="T1883" s="59" t="str">
        <f>IF(ROUND(sales_data_1[[#This Row],[Profit_Margin]],2)=ROUND((sales_data_1[[#This Row],[Unit_Price]]*(1-sales_data_1[[#This Row],[Discount]]) - sales_data_1[[#This Row],[Unit_Cost]])*sales_data_1[[#This Row],[Quantity_Sold]],2), "PASS", "CHECK")</f>
        <v>PASS</v>
      </c>
    </row>
    <row r="1884" spans="1:20" x14ac:dyDescent="0.35">
      <c r="A1884" s="7">
        <v>1883</v>
      </c>
      <c r="B1884" s="9">
        <v>1069</v>
      </c>
      <c r="C1884" s="14" t="str">
        <f>IFERROR(_xlfn.TEXTJOIN("-", TRUE, _xlfn.XLOOKUP(K1884, product_category_id_lookup!$A$2:$A$5, product_category_id_lookup!$B$2:$B$5), B1884), "Unknown Category")</f>
        <v>fd-1069</v>
      </c>
      <c r="D1884" s="8">
        <v>45214</v>
      </c>
      <c r="E1884" s="14">
        <f t="shared" si="87"/>
        <v>2023</v>
      </c>
      <c r="F1884" s="29" t="str">
        <f t="shared" si="88"/>
        <v>Oct</v>
      </c>
      <c r="G1884" s="17" t="s">
        <v>14</v>
      </c>
      <c r="H1884" s="17" t="s">
        <v>20</v>
      </c>
      <c r="I1884" s="24">
        <v>179395.81759762517</v>
      </c>
      <c r="J1884" s="32">
        <v>46</v>
      </c>
      <c r="K1884" s="17" t="s">
        <v>24</v>
      </c>
      <c r="L1884" s="24">
        <v>3663.51</v>
      </c>
      <c r="M1884" s="24">
        <v>4007.9800000000005</v>
      </c>
      <c r="N1884" s="34">
        <f>((sales_data_1[[#This Row],[Unit_Price]]*(1-sales_data_1[[#This Row],[Discount]]))-sales_data_1[[#This Row],[Unit_Cost]])*sales_data_1[[#This Row],[Quantity_Sold]]</f>
        <v>10314.607600000014</v>
      </c>
      <c r="O1884" s="17" t="s">
        <v>27</v>
      </c>
      <c r="P1884" s="26">
        <v>0.03</v>
      </c>
      <c r="Q1884" s="17" t="s">
        <v>18</v>
      </c>
      <c r="R1884" s="17" t="s">
        <v>19</v>
      </c>
      <c r="S1884" s="50" t="str">
        <f t="shared" si="89"/>
        <v>Bob-West</v>
      </c>
      <c r="T1884" s="59" t="str">
        <f>IF(ROUND(sales_data_1[[#This Row],[Profit_Margin]],2)=ROUND((sales_data_1[[#This Row],[Unit_Price]]*(1-sales_data_1[[#This Row],[Discount]]) - sales_data_1[[#This Row],[Unit_Cost]])*sales_data_1[[#This Row],[Quantity_Sold]],2), "PASS", "CHECK")</f>
        <v>PASS</v>
      </c>
    </row>
    <row r="1885" spans="1:20" x14ac:dyDescent="0.35">
      <c r="A1885" s="7">
        <v>1884</v>
      </c>
      <c r="B1885" s="9">
        <v>1090</v>
      </c>
      <c r="C1885" s="14" t="str">
        <f>IFERROR(_xlfn.TEXTJOIN("-", TRUE, _xlfn.XLOOKUP(K1885, product_category_id_lookup!$A$2:$A$5, product_category_id_lookup!$B$2:$B$5), B1885), "Unknown Category")</f>
        <v>etc-1090</v>
      </c>
      <c r="D1885" s="8">
        <v>45214</v>
      </c>
      <c r="E1885" s="14">
        <f t="shared" si="87"/>
        <v>2023</v>
      </c>
      <c r="F1885" s="29" t="str">
        <f t="shared" si="88"/>
        <v>Oct</v>
      </c>
      <c r="G1885" s="17" t="s">
        <v>29</v>
      </c>
      <c r="H1885" s="17" t="s">
        <v>23</v>
      </c>
      <c r="I1885" s="24">
        <v>249625.88639999996</v>
      </c>
      <c r="J1885" s="32">
        <v>48</v>
      </c>
      <c r="K1885" s="17" t="s">
        <v>31</v>
      </c>
      <c r="L1885" s="24">
        <v>4766.53</v>
      </c>
      <c r="M1885" s="24">
        <v>5253.07</v>
      </c>
      <c r="N1885" s="34">
        <f>((sales_data_1[[#This Row],[Unit_Price]]*(1-sales_data_1[[#This Row],[Discount]]))-sales_data_1[[#This Row],[Unit_Cost]])*sales_data_1[[#This Row],[Quantity_Sold]]</f>
        <v>20832.446399999986</v>
      </c>
      <c r="O1885" s="17" t="s">
        <v>17</v>
      </c>
      <c r="P1885" s="26">
        <v>0.01</v>
      </c>
      <c r="Q1885" s="17" t="s">
        <v>25</v>
      </c>
      <c r="R1885" s="17" t="s">
        <v>19</v>
      </c>
      <c r="S1885" s="50" t="str">
        <f t="shared" si="89"/>
        <v>Charlie-South</v>
      </c>
      <c r="T1885" s="59" t="str">
        <f>IF(ROUND(sales_data_1[[#This Row],[Profit_Margin]],2)=ROUND((sales_data_1[[#This Row],[Unit_Price]]*(1-sales_data_1[[#This Row],[Discount]]) - sales_data_1[[#This Row],[Unit_Cost]])*sales_data_1[[#This Row],[Quantity_Sold]],2), "PASS", "CHECK")</f>
        <v>PASS</v>
      </c>
    </row>
    <row r="1886" spans="1:20" x14ac:dyDescent="0.35">
      <c r="A1886" s="7">
        <v>1885</v>
      </c>
      <c r="B1886" s="9">
        <v>1063</v>
      </c>
      <c r="C1886" s="14" t="str">
        <f>IFERROR(_xlfn.TEXTJOIN("-", TRUE, _xlfn.XLOOKUP(K1886, product_category_id_lookup!$A$2:$A$5, product_category_id_lookup!$B$2:$B$5), B1886), "Unknown Category")</f>
        <v>ctg-1063</v>
      </c>
      <c r="D1886" s="8">
        <v>45215</v>
      </c>
      <c r="E1886" s="14">
        <f t="shared" si="87"/>
        <v>2023</v>
      </c>
      <c r="F1886" s="29" t="str">
        <f t="shared" si="88"/>
        <v>Oct</v>
      </c>
      <c r="G1886" s="17" t="s">
        <v>29</v>
      </c>
      <c r="H1886" s="17" t="s">
        <v>15</v>
      </c>
      <c r="I1886" s="24">
        <v>4758.2679798429544</v>
      </c>
      <c r="J1886" s="32">
        <v>4</v>
      </c>
      <c r="K1886" s="17" t="s">
        <v>26</v>
      </c>
      <c r="L1886" s="24">
        <v>1134.67</v>
      </c>
      <c r="M1886" s="24">
        <v>1201.3900000000001</v>
      </c>
      <c r="N1886" s="34">
        <f>((sales_data_1[[#This Row],[Unit_Price]]*(1-sales_data_1[[#This Row],[Discount]]))-sales_data_1[[#This Row],[Unit_Cost]])*sales_data_1[[#This Row],[Quantity_Sold]]</f>
        <v>218.82440000000042</v>
      </c>
      <c r="O1886" s="17" t="s">
        <v>27</v>
      </c>
      <c r="P1886" s="26">
        <v>0.01</v>
      </c>
      <c r="Q1886" s="17" t="s">
        <v>25</v>
      </c>
      <c r="R1886" s="17" t="s">
        <v>21</v>
      </c>
      <c r="S1886" s="50" t="str">
        <f t="shared" si="89"/>
        <v>Charlie-North</v>
      </c>
      <c r="T1886" s="59" t="str">
        <f>IF(ROUND(sales_data_1[[#This Row],[Profit_Margin]],2)=ROUND((sales_data_1[[#This Row],[Unit_Price]]*(1-sales_data_1[[#This Row],[Discount]]) - sales_data_1[[#This Row],[Unit_Cost]])*sales_data_1[[#This Row],[Quantity_Sold]],2), "PASS", "CHECK")</f>
        <v>PASS</v>
      </c>
    </row>
    <row r="1887" spans="1:20" x14ac:dyDescent="0.35">
      <c r="A1887" s="7">
        <v>1886</v>
      </c>
      <c r="B1887" s="9">
        <v>1016</v>
      </c>
      <c r="C1887" s="14" t="str">
        <f>IFERROR(_xlfn.TEXTJOIN("-", TRUE, _xlfn.XLOOKUP(K1887, product_category_id_lookup!$A$2:$A$5, product_category_id_lookup!$B$2:$B$5), B1887), "Unknown Category")</f>
        <v>etc-1016</v>
      </c>
      <c r="D1887" s="8">
        <v>45215</v>
      </c>
      <c r="E1887" s="14">
        <f t="shared" si="87"/>
        <v>2023</v>
      </c>
      <c r="F1887" s="29" t="str">
        <f t="shared" si="88"/>
        <v>Oct</v>
      </c>
      <c r="G1887" s="17" t="s">
        <v>32</v>
      </c>
      <c r="H1887" s="17" t="s">
        <v>20</v>
      </c>
      <c r="I1887" s="24">
        <v>35299.440000000002</v>
      </c>
      <c r="J1887" s="32">
        <v>11</v>
      </c>
      <c r="K1887" s="17" t="s">
        <v>31</v>
      </c>
      <c r="L1887" s="24">
        <v>3094.57</v>
      </c>
      <c r="M1887" s="24">
        <v>3565.6000000000004</v>
      </c>
      <c r="N1887" s="34">
        <f>((sales_data_1[[#This Row],[Unit_Price]]*(1-sales_data_1[[#This Row],[Discount]]))-sales_data_1[[#This Row],[Unit_Cost]])*sales_data_1[[#This Row],[Quantity_Sold]]</f>
        <v>1259.1700000000028</v>
      </c>
      <c r="O1887" s="17" t="s">
        <v>17</v>
      </c>
      <c r="P1887" s="26">
        <v>0.1</v>
      </c>
      <c r="Q1887" s="17" t="s">
        <v>28</v>
      </c>
      <c r="R1887" s="17" t="s">
        <v>21</v>
      </c>
      <c r="S1887" s="50" t="str">
        <f t="shared" si="89"/>
        <v>Eve-West</v>
      </c>
      <c r="T1887" s="59" t="str">
        <f>IF(ROUND(sales_data_1[[#This Row],[Profit_Margin]],2)=ROUND((sales_data_1[[#This Row],[Unit_Price]]*(1-sales_data_1[[#This Row],[Discount]]) - sales_data_1[[#This Row],[Unit_Cost]])*sales_data_1[[#This Row],[Quantity_Sold]],2), "PASS", "CHECK")</f>
        <v>PASS</v>
      </c>
    </row>
    <row r="1888" spans="1:20" x14ac:dyDescent="0.35">
      <c r="A1888" s="7">
        <v>1887</v>
      </c>
      <c r="B1888" s="9">
        <v>1015</v>
      </c>
      <c r="C1888" s="14" t="str">
        <f>IFERROR(_xlfn.TEXTJOIN("-", TRUE, _xlfn.XLOOKUP(K1888, product_category_id_lookup!$A$2:$A$5, product_category_id_lookup!$B$2:$B$5), B1888), "Unknown Category")</f>
        <v>fd-1015</v>
      </c>
      <c r="D1888" s="8">
        <v>45215</v>
      </c>
      <c r="E1888" s="14">
        <f t="shared" si="87"/>
        <v>2023</v>
      </c>
      <c r="F1888" s="29" t="str">
        <f t="shared" si="88"/>
        <v>Oct</v>
      </c>
      <c r="G1888" s="17" t="s">
        <v>29</v>
      </c>
      <c r="H1888" s="17" t="s">
        <v>15</v>
      </c>
      <c r="I1888" s="24">
        <v>68915.593622480126</v>
      </c>
      <c r="J1888" s="32">
        <v>23</v>
      </c>
      <c r="K1888" s="17" t="s">
        <v>24</v>
      </c>
      <c r="L1888" s="24">
        <v>2937.94</v>
      </c>
      <c r="M1888" s="24">
        <v>3007.53</v>
      </c>
      <c r="N1888" s="34">
        <f>((sales_data_1[[#This Row],[Unit_Price]]*(1-sales_data_1[[#This Row],[Discount]]))-sales_data_1[[#This Row],[Unit_Cost]])*sales_data_1[[#This Row],[Quantity_Sold]]</f>
        <v>1600.5700000000033</v>
      </c>
      <c r="O1888" s="17" t="s">
        <v>17</v>
      </c>
      <c r="P1888" s="26">
        <v>0</v>
      </c>
      <c r="Q1888" s="17" t="s">
        <v>18</v>
      </c>
      <c r="R1888" s="17" t="s">
        <v>21</v>
      </c>
      <c r="S1888" s="50" t="str">
        <f t="shared" si="89"/>
        <v>Charlie-North</v>
      </c>
      <c r="T1888" s="59" t="str">
        <f>IF(ROUND(sales_data_1[[#This Row],[Profit_Margin]],2)=ROUND((sales_data_1[[#This Row],[Unit_Price]]*(1-sales_data_1[[#This Row],[Discount]]) - sales_data_1[[#This Row],[Unit_Cost]])*sales_data_1[[#This Row],[Quantity_Sold]],2), "PASS", "CHECK")</f>
        <v>PASS</v>
      </c>
    </row>
    <row r="1889" spans="1:20" x14ac:dyDescent="0.35">
      <c r="A1889" s="7">
        <v>1888</v>
      </c>
      <c r="B1889" s="9">
        <v>1061</v>
      </c>
      <c r="C1889" s="14" t="str">
        <f>IFERROR(_xlfn.TEXTJOIN("-", TRUE, _xlfn.XLOOKUP(K1889, product_category_id_lookup!$A$2:$A$5, product_category_id_lookup!$B$2:$B$5), B1889), "Unknown Category")</f>
        <v>fnt-1061</v>
      </c>
      <c r="D1889" s="8">
        <v>45215</v>
      </c>
      <c r="E1889" s="14">
        <f t="shared" si="87"/>
        <v>2023</v>
      </c>
      <c r="F1889" s="29" t="str">
        <f t="shared" si="88"/>
        <v>Oct</v>
      </c>
      <c r="G1889" s="17" t="s">
        <v>32</v>
      </c>
      <c r="H1889" s="17" t="s">
        <v>30</v>
      </c>
      <c r="I1889" s="24">
        <v>175653.46717102433</v>
      </c>
      <c r="J1889" s="32">
        <v>37</v>
      </c>
      <c r="K1889" s="17" t="s">
        <v>16</v>
      </c>
      <c r="L1889" s="24">
        <v>4651.7700000000004</v>
      </c>
      <c r="M1889" s="24">
        <v>4984.3900000000003</v>
      </c>
      <c r="N1889" s="34">
        <f>((sales_data_1[[#This Row],[Unit_Price]]*(1-sales_data_1[[#This Row],[Discount]]))-sales_data_1[[#This Row],[Unit_Cost]])*sales_data_1[[#This Row],[Quantity_Sold]]</f>
        <v>3085.8184999999903</v>
      </c>
      <c r="O1889" s="17" t="s">
        <v>17</v>
      </c>
      <c r="P1889" s="26">
        <v>0.05</v>
      </c>
      <c r="Q1889" s="17" t="s">
        <v>18</v>
      </c>
      <c r="R1889" s="17" t="s">
        <v>21</v>
      </c>
      <c r="S1889" s="50" t="str">
        <f t="shared" si="89"/>
        <v>Eve-East</v>
      </c>
      <c r="T1889" s="59" t="str">
        <f>IF(ROUND(sales_data_1[[#This Row],[Profit_Margin]],2)=ROUND((sales_data_1[[#This Row],[Unit_Price]]*(1-sales_data_1[[#This Row],[Discount]]) - sales_data_1[[#This Row],[Unit_Cost]])*sales_data_1[[#This Row],[Quantity_Sold]],2), "PASS", "CHECK")</f>
        <v>PASS</v>
      </c>
    </row>
    <row r="1890" spans="1:20" x14ac:dyDescent="0.35">
      <c r="A1890" s="7">
        <v>1889</v>
      </c>
      <c r="B1890" s="9">
        <v>1055</v>
      </c>
      <c r="C1890" s="14" t="str">
        <f>IFERROR(_xlfn.TEXTJOIN("-", TRUE, _xlfn.XLOOKUP(K1890, product_category_id_lookup!$A$2:$A$5, product_category_id_lookup!$B$2:$B$5), B1890), "Unknown Category")</f>
        <v>ctg-1055</v>
      </c>
      <c r="D1890" s="8">
        <v>45215</v>
      </c>
      <c r="E1890" s="14">
        <f t="shared" si="87"/>
        <v>2023</v>
      </c>
      <c r="F1890" s="29" t="str">
        <f t="shared" si="88"/>
        <v>Oct</v>
      </c>
      <c r="G1890" s="17" t="s">
        <v>22</v>
      </c>
      <c r="H1890" s="17" t="s">
        <v>30</v>
      </c>
      <c r="I1890" s="24">
        <v>195694.62668423139</v>
      </c>
      <c r="J1890" s="32">
        <v>46</v>
      </c>
      <c r="K1890" s="17" t="s">
        <v>26</v>
      </c>
      <c r="L1890" s="24">
        <v>4173.5200000000004</v>
      </c>
      <c r="M1890" s="24">
        <v>4294.8500000000004</v>
      </c>
      <c r="N1890" s="34">
        <f>((sales_data_1[[#This Row],[Unit_Price]]*(1-sales_data_1[[#This Row],[Discount]]))-sales_data_1[[#This Row],[Unit_Cost]])*sales_data_1[[#This Row],[Quantity_Sold]]</f>
        <v>3605.5489999999772</v>
      </c>
      <c r="O1890" s="17" t="s">
        <v>17</v>
      </c>
      <c r="P1890" s="26">
        <v>0.01</v>
      </c>
      <c r="Q1890" s="17" t="s">
        <v>25</v>
      </c>
      <c r="R1890" s="17" t="s">
        <v>21</v>
      </c>
      <c r="S1890" s="50" t="str">
        <f t="shared" si="89"/>
        <v>David-East</v>
      </c>
      <c r="T1890" s="59" t="str">
        <f>IF(ROUND(sales_data_1[[#This Row],[Profit_Margin]],2)=ROUND((sales_data_1[[#This Row],[Unit_Price]]*(1-sales_data_1[[#This Row],[Discount]]) - sales_data_1[[#This Row],[Unit_Cost]])*sales_data_1[[#This Row],[Quantity_Sold]],2), "PASS", "CHECK")</f>
        <v>PASS</v>
      </c>
    </row>
    <row r="1891" spans="1:20" x14ac:dyDescent="0.35">
      <c r="A1891" s="7">
        <v>1890</v>
      </c>
      <c r="B1891" s="9">
        <v>1053</v>
      </c>
      <c r="C1891" s="14" t="str">
        <f>IFERROR(_xlfn.TEXTJOIN("-", TRUE, _xlfn.XLOOKUP(K1891, product_category_id_lookup!$A$2:$A$5, product_category_id_lookup!$B$2:$B$5), B1891), "Unknown Category")</f>
        <v>fnt-1053</v>
      </c>
      <c r="D1891" s="8">
        <v>45215</v>
      </c>
      <c r="E1891" s="14">
        <f t="shared" si="87"/>
        <v>2023</v>
      </c>
      <c r="F1891" s="29" t="str">
        <f t="shared" si="88"/>
        <v>Oct</v>
      </c>
      <c r="G1891" s="17" t="s">
        <v>14</v>
      </c>
      <c r="H1891" s="17" t="s">
        <v>15</v>
      </c>
      <c r="I1891" s="24">
        <v>19193.903999999999</v>
      </c>
      <c r="J1891" s="32">
        <v>48</v>
      </c>
      <c r="K1891" s="17" t="s">
        <v>16</v>
      </c>
      <c r="L1891" s="24">
        <v>121.19</v>
      </c>
      <c r="M1891" s="24">
        <v>487.65</v>
      </c>
      <c r="N1891" s="34">
        <f>((sales_data_1[[#This Row],[Unit_Price]]*(1-sales_data_1[[#This Row],[Discount]]))-sales_data_1[[#This Row],[Unit_Cost]])*sales_data_1[[#This Row],[Quantity_Sold]]</f>
        <v>13376.784</v>
      </c>
      <c r="O1891" s="17" t="s">
        <v>27</v>
      </c>
      <c r="P1891" s="26">
        <v>0.18</v>
      </c>
      <c r="Q1891" s="17" t="s">
        <v>18</v>
      </c>
      <c r="R1891" s="17" t="s">
        <v>21</v>
      </c>
      <c r="S1891" s="50" t="str">
        <f t="shared" si="89"/>
        <v>Bob-North</v>
      </c>
      <c r="T1891" s="59" t="str">
        <f>IF(ROUND(sales_data_1[[#This Row],[Profit_Margin]],2)=ROUND((sales_data_1[[#This Row],[Unit_Price]]*(1-sales_data_1[[#This Row],[Discount]]) - sales_data_1[[#This Row],[Unit_Cost]])*sales_data_1[[#This Row],[Quantity_Sold]],2), "PASS", "CHECK")</f>
        <v>PASS</v>
      </c>
    </row>
    <row r="1892" spans="1:20" x14ac:dyDescent="0.35">
      <c r="A1892" s="7">
        <v>1891</v>
      </c>
      <c r="B1892" s="9">
        <v>1051</v>
      </c>
      <c r="C1892" s="14" t="str">
        <f>IFERROR(_xlfn.TEXTJOIN("-", TRUE, _xlfn.XLOOKUP(K1892, product_category_id_lookup!$A$2:$A$5, product_category_id_lookup!$B$2:$B$5), B1892), "Unknown Category")</f>
        <v>ctg-1051</v>
      </c>
      <c r="D1892" s="8">
        <v>45215</v>
      </c>
      <c r="E1892" s="14">
        <f t="shared" si="87"/>
        <v>2023</v>
      </c>
      <c r="F1892" s="29" t="str">
        <f t="shared" si="88"/>
        <v>Oct</v>
      </c>
      <c r="G1892" s="17" t="s">
        <v>33</v>
      </c>
      <c r="H1892" s="17" t="s">
        <v>20</v>
      </c>
      <c r="I1892" s="24">
        <v>28665.52</v>
      </c>
      <c r="J1892" s="32">
        <v>43</v>
      </c>
      <c r="K1892" s="17" t="s">
        <v>26</v>
      </c>
      <c r="L1892" s="24">
        <v>287.99</v>
      </c>
      <c r="M1892" s="24">
        <v>666.64</v>
      </c>
      <c r="N1892" s="34">
        <f>((sales_data_1[[#This Row],[Unit_Price]]*(1-sales_data_1[[#This Row],[Discount]]))-sales_data_1[[#This Row],[Unit_Cost]])*sales_data_1[[#This Row],[Quantity_Sold]]</f>
        <v>16281.949999999999</v>
      </c>
      <c r="O1892" s="17" t="s">
        <v>17</v>
      </c>
      <c r="P1892" s="26">
        <v>0</v>
      </c>
      <c r="Q1892" s="17" t="s">
        <v>25</v>
      </c>
      <c r="R1892" s="17" t="s">
        <v>19</v>
      </c>
      <c r="S1892" s="50" t="str">
        <f t="shared" si="89"/>
        <v>Alice-West</v>
      </c>
      <c r="T1892" s="59" t="str">
        <f>IF(ROUND(sales_data_1[[#This Row],[Profit_Margin]],2)=ROUND((sales_data_1[[#This Row],[Unit_Price]]*(1-sales_data_1[[#This Row],[Discount]]) - sales_data_1[[#This Row],[Unit_Cost]])*sales_data_1[[#This Row],[Quantity_Sold]],2), "PASS", "CHECK")</f>
        <v>PASS</v>
      </c>
    </row>
    <row r="1893" spans="1:20" x14ac:dyDescent="0.35">
      <c r="A1893" s="7">
        <v>1892</v>
      </c>
      <c r="B1893" s="9">
        <v>1088</v>
      </c>
      <c r="C1893" s="14" t="str">
        <f>IFERROR(_xlfn.TEXTJOIN("-", TRUE, _xlfn.XLOOKUP(K1893, product_category_id_lookup!$A$2:$A$5, product_category_id_lookup!$B$2:$B$5), B1893), "Unknown Category")</f>
        <v>fnt-1088</v>
      </c>
      <c r="D1893" s="8">
        <v>45217</v>
      </c>
      <c r="E1893" s="14">
        <f t="shared" si="87"/>
        <v>2023</v>
      </c>
      <c r="F1893" s="29" t="str">
        <f t="shared" si="88"/>
        <v>Oct</v>
      </c>
      <c r="G1893" s="17" t="s">
        <v>32</v>
      </c>
      <c r="H1893" s="17" t="s">
        <v>20</v>
      </c>
      <c r="I1893" s="24">
        <v>48439.372145365975</v>
      </c>
      <c r="J1893" s="32">
        <v>16</v>
      </c>
      <c r="K1893" s="17" t="s">
        <v>16</v>
      </c>
      <c r="L1893" s="24">
        <v>3016.9</v>
      </c>
      <c r="M1893" s="24">
        <v>3040.73</v>
      </c>
      <c r="N1893" s="34">
        <f>((sales_data_1[[#This Row],[Unit_Price]]*(1-sales_data_1[[#This Row],[Discount]]))-sales_data_1[[#This Row],[Unit_Cost]])*sales_data_1[[#This Row],[Quantity_Sold]]</f>
        <v>381.27999999999884</v>
      </c>
      <c r="O1893" s="17" t="s">
        <v>27</v>
      </c>
      <c r="P1893" s="26">
        <v>0</v>
      </c>
      <c r="Q1893" s="17" t="s">
        <v>25</v>
      </c>
      <c r="R1893" s="17" t="s">
        <v>21</v>
      </c>
      <c r="S1893" s="50" t="str">
        <f t="shared" si="89"/>
        <v>Eve-West</v>
      </c>
      <c r="T1893" s="59" t="str">
        <f>IF(ROUND(sales_data_1[[#This Row],[Profit_Margin]],2)=ROUND((sales_data_1[[#This Row],[Unit_Price]]*(1-sales_data_1[[#This Row],[Discount]]) - sales_data_1[[#This Row],[Unit_Cost]])*sales_data_1[[#This Row],[Quantity_Sold]],2), "PASS", "CHECK")</f>
        <v>PASS</v>
      </c>
    </row>
    <row r="1894" spans="1:20" x14ac:dyDescent="0.35">
      <c r="A1894" s="7">
        <v>1893</v>
      </c>
      <c r="B1894" s="9">
        <v>1098</v>
      </c>
      <c r="C1894" s="14" t="str">
        <f>IFERROR(_xlfn.TEXTJOIN("-", TRUE, _xlfn.XLOOKUP(K1894, product_category_id_lookup!$A$2:$A$5, product_category_id_lookup!$B$2:$B$5), B1894), "Unknown Category")</f>
        <v>fnt-1098</v>
      </c>
      <c r="D1894" s="8">
        <v>45217</v>
      </c>
      <c r="E1894" s="14">
        <f t="shared" si="87"/>
        <v>2023</v>
      </c>
      <c r="F1894" s="29" t="str">
        <f t="shared" si="88"/>
        <v>Oct</v>
      </c>
      <c r="G1894" s="17" t="s">
        <v>32</v>
      </c>
      <c r="H1894" s="17" t="s">
        <v>20</v>
      </c>
      <c r="I1894" s="24">
        <v>17351.938103242901</v>
      </c>
      <c r="J1894" s="32">
        <v>21</v>
      </c>
      <c r="K1894" s="17" t="s">
        <v>16</v>
      </c>
      <c r="L1894" s="24">
        <v>725.03</v>
      </c>
      <c r="M1894" s="24">
        <v>828.94999999999993</v>
      </c>
      <c r="N1894" s="34">
        <f>((sales_data_1[[#This Row],[Unit_Price]]*(1-sales_data_1[[#This Row],[Discount]]))-sales_data_1[[#This Row],[Unit_Cost]])*sales_data_1[[#This Row],[Quantity_Sold]]</f>
        <v>2182.3199999999993</v>
      </c>
      <c r="O1894" s="17" t="s">
        <v>27</v>
      </c>
      <c r="P1894" s="26">
        <v>0</v>
      </c>
      <c r="Q1894" s="17" t="s">
        <v>25</v>
      </c>
      <c r="R1894" s="17" t="s">
        <v>19</v>
      </c>
      <c r="S1894" s="50" t="str">
        <f t="shared" si="89"/>
        <v>Eve-West</v>
      </c>
      <c r="T1894" s="59" t="str">
        <f>IF(ROUND(sales_data_1[[#This Row],[Profit_Margin]],2)=ROUND((sales_data_1[[#This Row],[Unit_Price]]*(1-sales_data_1[[#This Row],[Discount]]) - sales_data_1[[#This Row],[Unit_Cost]])*sales_data_1[[#This Row],[Quantity_Sold]],2), "PASS", "CHECK")</f>
        <v>PASS</v>
      </c>
    </row>
    <row r="1895" spans="1:20" x14ac:dyDescent="0.35">
      <c r="A1895" s="7">
        <v>1894</v>
      </c>
      <c r="B1895" s="9">
        <v>1089</v>
      </c>
      <c r="C1895" s="14" t="str">
        <f>IFERROR(_xlfn.TEXTJOIN("-", TRUE, _xlfn.XLOOKUP(K1895, product_category_id_lookup!$A$2:$A$5, product_category_id_lookup!$B$2:$B$5), B1895), "Unknown Category")</f>
        <v>fd-1089</v>
      </c>
      <c r="D1895" s="8">
        <v>45217</v>
      </c>
      <c r="E1895" s="14">
        <f t="shared" si="87"/>
        <v>2023</v>
      </c>
      <c r="F1895" s="29" t="str">
        <f t="shared" si="88"/>
        <v>Oct</v>
      </c>
      <c r="G1895" s="17" t="s">
        <v>22</v>
      </c>
      <c r="H1895" s="17" t="s">
        <v>15</v>
      </c>
      <c r="I1895" s="24">
        <v>63057.753567744017</v>
      </c>
      <c r="J1895" s="32">
        <v>15</v>
      </c>
      <c r="K1895" s="17" t="s">
        <v>24</v>
      </c>
      <c r="L1895" s="24">
        <v>3841.05</v>
      </c>
      <c r="M1895" s="24">
        <v>4323.62</v>
      </c>
      <c r="N1895" s="34">
        <f>((sales_data_1[[#This Row],[Unit_Price]]*(1-sales_data_1[[#This Row],[Discount]]))-sales_data_1[[#This Row],[Unit_Cost]])*sales_data_1[[#This Row],[Quantity_Sold]]</f>
        <v>5292.9209999999966</v>
      </c>
      <c r="O1895" s="17" t="s">
        <v>17</v>
      </c>
      <c r="P1895" s="26">
        <v>0.03</v>
      </c>
      <c r="Q1895" s="17" t="s">
        <v>28</v>
      </c>
      <c r="R1895" s="17" t="s">
        <v>21</v>
      </c>
      <c r="S1895" s="50" t="str">
        <f t="shared" si="89"/>
        <v>David-North</v>
      </c>
      <c r="T1895" s="59" t="str">
        <f>IF(ROUND(sales_data_1[[#This Row],[Profit_Margin]],2)=ROUND((sales_data_1[[#This Row],[Unit_Price]]*(1-sales_data_1[[#This Row],[Discount]]) - sales_data_1[[#This Row],[Unit_Cost]])*sales_data_1[[#This Row],[Quantity_Sold]],2), "PASS", "CHECK")</f>
        <v>PASS</v>
      </c>
    </row>
    <row r="1896" spans="1:20" x14ac:dyDescent="0.35">
      <c r="A1896" s="7">
        <v>1895</v>
      </c>
      <c r="B1896" s="9">
        <v>1059</v>
      </c>
      <c r="C1896" s="14" t="str">
        <f>IFERROR(_xlfn.TEXTJOIN("-", TRUE, _xlfn.XLOOKUP(K1896, product_category_id_lookup!$A$2:$A$5, product_category_id_lookup!$B$2:$B$5), B1896), "Unknown Category")</f>
        <v>etc-1059</v>
      </c>
      <c r="D1896" s="8">
        <v>45217</v>
      </c>
      <c r="E1896" s="14">
        <f t="shared" si="87"/>
        <v>2023</v>
      </c>
      <c r="F1896" s="29" t="str">
        <f t="shared" si="88"/>
        <v>Oct</v>
      </c>
      <c r="G1896" s="17" t="s">
        <v>33</v>
      </c>
      <c r="H1896" s="17" t="s">
        <v>15</v>
      </c>
      <c r="I1896" s="24">
        <v>19821.463199999998</v>
      </c>
      <c r="J1896" s="32">
        <v>28</v>
      </c>
      <c r="K1896" s="17" t="s">
        <v>31</v>
      </c>
      <c r="L1896" s="24">
        <v>224.32</v>
      </c>
      <c r="M1896" s="24">
        <v>715.06</v>
      </c>
      <c r="N1896" s="34">
        <f>((sales_data_1[[#This Row],[Unit_Price]]*(1-sales_data_1[[#This Row],[Discount]]))-sales_data_1[[#This Row],[Unit_Cost]])*sales_data_1[[#This Row],[Quantity_Sold]]</f>
        <v>13540.503199999997</v>
      </c>
      <c r="O1896" s="17" t="s">
        <v>17</v>
      </c>
      <c r="P1896" s="26">
        <v>0.01</v>
      </c>
      <c r="Q1896" s="17" t="s">
        <v>28</v>
      </c>
      <c r="R1896" s="17" t="s">
        <v>19</v>
      </c>
      <c r="S1896" s="50" t="str">
        <f t="shared" si="89"/>
        <v>Alice-North</v>
      </c>
      <c r="T1896" s="59" t="str">
        <f>IF(ROUND(sales_data_1[[#This Row],[Profit_Margin]],2)=ROUND((sales_data_1[[#This Row],[Unit_Price]]*(1-sales_data_1[[#This Row],[Discount]]) - sales_data_1[[#This Row],[Unit_Cost]])*sales_data_1[[#This Row],[Quantity_Sold]],2), "PASS", "CHECK")</f>
        <v>PASS</v>
      </c>
    </row>
    <row r="1897" spans="1:20" x14ac:dyDescent="0.35">
      <c r="A1897" s="7">
        <v>1896</v>
      </c>
      <c r="B1897" s="9">
        <v>1049</v>
      </c>
      <c r="C1897" s="14" t="str">
        <f>IFERROR(_xlfn.TEXTJOIN("-", TRUE, _xlfn.XLOOKUP(K1897, product_category_id_lookup!$A$2:$A$5, product_category_id_lookup!$B$2:$B$5), B1897), "Unknown Category")</f>
        <v>ctg-1049</v>
      </c>
      <c r="D1897" s="8">
        <v>45218</v>
      </c>
      <c r="E1897" s="14">
        <f t="shared" si="87"/>
        <v>2023</v>
      </c>
      <c r="F1897" s="29" t="str">
        <f t="shared" si="88"/>
        <v>Oct</v>
      </c>
      <c r="G1897" s="17" t="s">
        <v>32</v>
      </c>
      <c r="H1897" s="17" t="s">
        <v>23</v>
      </c>
      <c r="I1897" s="24">
        <v>141352.9566149789</v>
      </c>
      <c r="J1897" s="32">
        <v>30</v>
      </c>
      <c r="K1897" s="17" t="s">
        <v>26</v>
      </c>
      <c r="L1897" s="24">
        <v>4697.4399999999996</v>
      </c>
      <c r="M1897" s="24">
        <v>4752.24</v>
      </c>
      <c r="N1897" s="34">
        <f>((sales_data_1[[#This Row],[Unit_Price]]*(1-sales_data_1[[#This Row],[Discount]]))-sales_data_1[[#This Row],[Unit_Cost]])*sales_data_1[[#This Row],[Quantity_Sold]]</f>
        <v>218.32800000001043</v>
      </c>
      <c r="O1897" s="17" t="s">
        <v>27</v>
      </c>
      <c r="P1897" s="26">
        <v>0.01</v>
      </c>
      <c r="Q1897" s="17" t="s">
        <v>28</v>
      </c>
      <c r="R1897" s="17" t="s">
        <v>19</v>
      </c>
      <c r="S1897" s="50" t="str">
        <f t="shared" si="89"/>
        <v>Eve-South</v>
      </c>
      <c r="T1897" s="59" t="str">
        <f>IF(ROUND(sales_data_1[[#This Row],[Profit_Margin]],2)=ROUND((sales_data_1[[#This Row],[Unit_Price]]*(1-sales_data_1[[#This Row],[Discount]]) - sales_data_1[[#This Row],[Unit_Cost]])*sales_data_1[[#This Row],[Quantity_Sold]],2), "PASS", "CHECK")</f>
        <v>PASS</v>
      </c>
    </row>
    <row r="1898" spans="1:20" x14ac:dyDescent="0.35">
      <c r="A1898" s="7">
        <v>1897</v>
      </c>
      <c r="B1898" s="9">
        <v>1089</v>
      </c>
      <c r="C1898" s="14" t="str">
        <f>IFERROR(_xlfn.TEXTJOIN("-", TRUE, _xlfn.XLOOKUP(K1898, product_category_id_lookup!$A$2:$A$5, product_category_id_lookup!$B$2:$B$5), B1898), "Unknown Category")</f>
        <v>fd-1089</v>
      </c>
      <c r="D1898" s="8">
        <v>45218</v>
      </c>
      <c r="E1898" s="14">
        <f t="shared" si="87"/>
        <v>2023</v>
      </c>
      <c r="F1898" s="29" t="str">
        <f t="shared" si="88"/>
        <v>Oct</v>
      </c>
      <c r="G1898" s="17" t="s">
        <v>32</v>
      </c>
      <c r="H1898" s="17" t="s">
        <v>20</v>
      </c>
      <c r="I1898" s="24">
        <v>59571.899068956962</v>
      </c>
      <c r="J1898" s="32">
        <v>23</v>
      </c>
      <c r="K1898" s="17" t="s">
        <v>24</v>
      </c>
      <c r="L1898" s="24">
        <v>2120.54</v>
      </c>
      <c r="M1898" s="24">
        <v>2597.67</v>
      </c>
      <c r="N1898" s="34">
        <f>((sales_data_1[[#This Row],[Unit_Price]]*(1-sales_data_1[[#This Row],[Discount]]))-sales_data_1[[#This Row],[Unit_Cost]])*sales_data_1[[#This Row],[Quantity_Sold]]</f>
        <v>10973.990000000002</v>
      </c>
      <c r="O1898" s="17" t="s">
        <v>17</v>
      </c>
      <c r="P1898" s="26">
        <v>0</v>
      </c>
      <c r="Q1898" s="17" t="s">
        <v>28</v>
      </c>
      <c r="R1898" s="17" t="s">
        <v>21</v>
      </c>
      <c r="S1898" s="50" t="str">
        <f t="shared" si="89"/>
        <v>Eve-West</v>
      </c>
      <c r="T1898" s="59" t="str">
        <f>IF(ROUND(sales_data_1[[#This Row],[Profit_Margin]],2)=ROUND((sales_data_1[[#This Row],[Unit_Price]]*(1-sales_data_1[[#This Row],[Discount]]) - sales_data_1[[#This Row],[Unit_Cost]])*sales_data_1[[#This Row],[Quantity_Sold]],2), "PASS", "CHECK")</f>
        <v>PASS</v>
      </c>
    </row>
    <row r="1899" spans="1:20" x14ac:dyDescent="0.35">
      <c r="A1899" s="7">
        <v>1898</v>
      </c>
      <c r="B1899" s="9">
        <v>1096</v>
      </c>
      <c r="C1899" s="14" t="str">
        <f>IFERROR(_xlfn.TEXTJOIN("-", TRUE, _xlfn.XLOOKUP(K1899, product_category_id_lookup!$A$2:$A$5, product_category_id_lookup!$B$2:$B$5), B1899), "Unknown Category")</f>
        <v>ctg-1096</v>
      </c>
      <c r="D1899" s="8">
        <v>45219</v>
      </c>
      <c r="E1899" s="14">
        <f t="shared" si="87"/>
        <v>2023</v>
      </c>
      <c r="F1899" s="29" t="str">
        <f t="shared" si="88"/>
        <v>Oct</v>
      </c>
      <c r="G1899" s="17" t="s">
        <v>22</v>
      </c>
      <c r="H1899" s="17" t="s">
        <v>23</v>
      </c>
      <c r="I1899" s="24">
        <v>29807.448</v>
      </c>
      <c r="J1899" s="32">
        <v>10</v>
      </c>
      <c r="K1899" s="17" t="s">
        <v>26</v>
      </c>
      <c r="L1899" s="24">
        <v>2927.02</v>
      </c>
      <c r="M1899" s="24">
        <v>3387.21</v>
      </c>
      <c r="N1899" s="34">
        <f>((sales_data_1[[#This Row],[Unit_Price]]*(1-sales_data_1[[#This Row],[Discount]]))-sales_data_1[[#This Row],[Unit_Cost]])*sales_data_1[[#This Row],[Quantity_Sold]]</f>
        <v>537.24799999999959</v>
      </c>
      <c r="O1899" s="17" t="s">
        <v>17</v>
      </c>
      <c r="P1899" s="26">
        <v>0.12</v>
      </c>
      <c r="Q1899" s="17" t="s">
        <v>18</v>
      </c>
      <c r="R1899" s="17" t="s">
        <v>21</v>
      </c>
      <c r="S1899" s="50" t="str">
        <f t="shared" si="89"/>
        <v>David-South</v>
      </c>
      <c r="T1899" s="59" t="str">
        <f>IF(ROUND(sales_data_1[[#This Row],[Profit_Margin]],2)=ROUND((sales_data_1[[#This Row],[Unit_Price]]*(1-sales_data_1[[#This Row],[Discount]]) - sales_data_1[[#This Row],[Unit_Cost]])*sales_data_1[[#This Row],[Quantity_Sold]],2), "PASS", "CHECK")</f>
        <v>PASS</v>
      </c>
    </row>
    <row r="1900" spans="1:20" x14ac:dyDescent="0.35">
      <c r="A1900" s="7">
        <v>1899</v>
      </c>
      <c r="B1900" s="9">
        <v>1099</v>
      </c>
      <c r="C1900" s="14" t="str">
        <f>IFERROR(_xlfn.TEXTJOIN("-", TRUE, _xlfn.XLOOKUP(K1900, product_category_id_lookup!$A$2:$A$5, product_category_id_lookup!$B$2:$B$5), B1900), "Unknown Category")</f>
        <v>ctg-1099</v>
      </c>
      <c r="D1900" s="8">
        <v>45219</v>
      </c>
      <c r="E1900" s="14">
        <f t="shared" si="87"/>
        <v>2023</v>
      </c>
      <c r="F1900" s="29" t="str">
        <f t="shared" si="88"/>
        <v>Oct</v>
      </c>
      <c r="G1900" s="17" t="s">
        <v>22</v>
      </c>
      <c r="H1900" s="17" t="s">
        <v>23</v>
      </c>
      <c r="I1900" s="24">
        <v>2924.0819999999999</v>
      </c>
      <c r="J1900" s="32">
        <v>23</v>
      </c>
      <c r="K1900" s="17" t="s">
        <v>26</v>
      </c>
      <c r="L1900" s="24">
        <v>93.45</v>
      </c>
      <c r="M1900" s="24">
        <v>181.62</v>
      </c>
      <c r="N1900" s="34">
        <f>((sales_data_1[[#This Row],[Unit_Price]]*(1-sales_data_1[[#This Row],[Discount]]))-sales_data_1[[#This Row],[Unit_Cost]])*sales_data_1[[#This Row],[Quantity_Sold]]</f>
        <v>774.73199999999997</v>
      </c>
      <c r="O1900" s="17" t="s">
        <v>17</v>
      </c>
      <c r="P1900" s="26">
        <v>0.3</v>
      </c>
      <c r="Q1900" s="17" t="s">
        <v>25</v>
      </c>
      <c r="R1900" s="17" t="s">
        <v>21</v>
      </c>
      <c r="S1900" s="50" t="str">
        <f t="shared" si="89"/>
        <v>David-South</v>
      </c>
      <c r="T1900" s="59" t="str">
        <f>IF(ROUND(sales_data_1[[#This Row],[Profit_Margin]],2)=ROUND((sales_data_1[[#This Row],[Unit_Price]]*(1-sales_data_1[[#This Row],[Discount]]) - sales_data_1[[#This Row],[Unit_Cost]])*sales_data_1[[#This Row],[Quantity_Sold]],2), "PASS", "CHECK")</f>
        <v>PASS</v>
      </c>
    </row>
    <row r="1901" spans="1:20" x14ac:dyDescent="0.35">
      <c r="A1901" s="7">
        <v>1900</v>
      </c>
      <c r="B1901" s="9">
        <v>1013</v>
      </c>
      <c r="C1901" s="14" t="str">
        <f>IFERROR(_xlfn.TEXTJOIN("-", TRUE, _xlfn.XLOOKUP(K1901, product_category_id_lookup!$A$2:$A$5, product_category_id_lookup!$B$2:$B$5), B1901), "Unknown Category")</f>
        <v>etc-1013</v>
      </c>
      <c r="D1901" s="8">
        <v>45219</v>
      </c>
      <c r="E1901" s="14">
        <f t="shared" si="87"/>
        <v>2023</v>
      </c>
      <c r="F1901" s="29" t="str">
        <f t="shared" si="88"/>
        <v>Oct</v>
      </c>
      <c r="G1901" s="17" t="s">
        <v>22</v>
      </c>
      <c r="H1901" s="17" t="s">
        <v>30</v>
      </c>
      <c r="I1901" s="24">
        <v>76739.92947350959</v>
      </c>
      <c r="J1901" s="32">
        <v>46</v>
      </c>
      <c r="K1901" s="17" t="s">
        <v>31</v>
      </c>
      <c r="L1901" s="24">
        <v>1648.8</v>
      </c>
      <c r="M1901" s="24">
        <v>1670.36</v>
      </c>
      <c r="N1901" s="34">
        <f>((sales_data_1[[#This Row],[Unit_Price]]*(1-sales_data_1[[#This Row],[Discount]]))-sales_data_1[[#This Row],[Unit_Cost]])*sales_data_1[[#This Row],[Quantity_Sold]]</f>
        <v>991.75999999999749</v>
      </c>
      <c r="O1901" s="17" t="s">
        <v>17</v>
      </c>
      <c r="P1901" s="26">
        <v>0</v>
      </c>
      <c r="Q1901" s="17" t="s">
        <v>28</v>
      </c>
      <c r="R1901" s="17" t="s">
        <v>21</v>
      </c>
      <c r="S1901" s="50" t="str">
        <f t="shared" si="89"/>
        <v>David-East</v>
      </c>
      <c r="T1901" s="59" t="str">
        <f>IF(ROUND(sales_data_1[[#This Row],[Profit_Margin]],2)=ROUND((sales_data_1[[#This Row],[Unit_Price]]*(1-sales_data_1[[#This Row],[Discount]]) - sales_data_1[[#This Row],[Unit_Cost]])*sales_data_1[[#This Row],[Quantity_Sold]],2), "PASS", "CHECK")</f>
        <v>PASS</v>
      </c>
    </row>
    <row r="1902" spans="1:20" x14ac:dyDescent="0.35">
      <c r="A1902" s="7">
        <v>1901</v>
      </c>
      <c r="B1902" s="9">
        <v>1048</v>
      </c>
      <c r="C1902" s="14" t="str">
        <f>IFERROR(_xlfn.TEXTJOIN("-", TRUE, _xlfn.XLOOKUP(K1902, product_category_id_lookup!$A$2:$A$5, product_category_id_lookup!$B$2:$B$5), B1902), "Unknown Category")</f>
        <v>etc-1048</v>
      </c>
      <c r="D1902" s="8">
        <v>45219</v>
      </c>
      <c r="E1902" s="14">
        <f t="shared" si="87"/>
        <v>2023</v>
      </c>
      <c r="F1902" s="29" t="str">
        <f t="shared" si="88"/>
        <v>Oct</v>
      </c>
      <c r="G1902" s="17" t="s">
        <v>33</v>
      </c>
      <c r="H1902" s="17" t="s">
        <v>23</v>
      </c>
      <c r="I1902" s="24">
        <v>23637.1734</v>
      </c>
      <c r="J1902" s="32">
        <v>6</v>
      </c>
      <c r="K1902" s="17" t="s">
        <v>31</v>
      </c>
      <c r="L1902" s="24">
        <v>3717.3</v>
      </c>
      <c r="M1902" s="24">
        <v>4061.3700000000003</v>
      </c>
      <c r="N1902" s="34">
        <f>((sales_data_1[[#This Row],[Unit_Price]]*(1-sales_data_1[[#This Row],[Discount]]))-sales_data_1[[#This Row],[Unit_Cost]])*sales_data_1[[#This Row],[Quantity_Sold]]</f>
        <v>1333.3734000000004</v>
      </c>
      <c r="O1902" s="17" t="s">
        <v>27</v>
      </c>
      <c r="P1902" s="26">
        <v>0.03</v>
      </c>
      <c r="Q1902" s="17" t="s">
        <v>25</v>
      </c>
      <c r="R1902" s="17" t="s">
        <v>21</v>
      </c>
      <c r="S1902" s="50" t="str">
        <f t="shared" si="89"/>
        <v>Alice-South</v>
      </c>
      <c r="T1902" s="59" t="str">
        <f>IF(ROUND(sales_data_1[[#This Row],[Profit_Margin]],2)=ROUND((sales_data_1[[#This Row],[Unit_Price]]*(1-sales_data_1[[#This Row],[Discount]]) - sales_data_1[[#This Row],[Unit_Cost]])*sales_data_1[[#This Row],[Quantity_Sold]],2), "PASS", "CHECK")</f>
        <v>PASS</v>
      </c>
    </row>
    <row r="1903" spans="1:20" x14ac:dyDescent="0.35">
      <c r="A1903" s="7">
        <v>1902</v>
      </c>
      <c r="B1903" s="9">
        <v>1002</v>
      </c>
      <c r="C1903" s="14" t="str">
        <f>IFERROR(_xlfn.TEXTJOIN("-", TRUE, _xlfn.XLOOKUP(K1903, product_category_id_lookup!$A$2:$A$5, product_category_id_lookup!$B$2:$B$5), B1903), "Unknown Category")</f>
        <v>ctg-1002</v>
      </c>
      <c r="D1903" s="8">
        <v>45219</v>
      </c>
      <c r="E1903" s="14">
        <f t="shared" si="87"/>
        <v>2023</v>
      </c>
      <c r="F1903" s="29" t="str">
        <f t="shared" si="88"/>
        <v>Oct</v>
      </c>
      <c r="G1903" s="17" t="s">
        <v>22</v>
      </c>
      <c r="H1903" s="17" t="s">
        <v>15</v>
      </c>
      <c r="I1903" s="24">
        <v>140971.1799745482</v>
      </c>
      <c r="J1903" s="32">
        <v>30</v>
      </c>
      <c r="K1903" s="17" t="s">
        <v>26</v>
      </c>
      <c r="L1903" s="24">
        <v>4646.55</v>
      </c>
      <c r="M1903" s="24">
        <v>4784.28</v>
      </c>
      <c r="N1903" s="34">
        <f>((sales_data_1[[#This Row],[Unit_Price]]*(1-sales_data_1[[#This Row],[Discount]]))-sales_data_1[[#This Row],[Unit_Cost]])*sales_data_1[[#This Row],[Quantity_Sold]]</f>
        <v>1261.3319999999931</v>
      </c>
      <c r="O1903" s="17" t="s">
        <v>17</v>
      </c>
      <c r="P1903" s="26">
        <v>0.02</v>
      </c>
      <c r="Q1903" s="17" t="s">
        <v>28</v>
      </c>
      <c r="R1903" s="17" t="s">
        <v>21</v>
      </c>
      <c r="S1903" s="50" t="str">
        <f t="shared" si="89"/>
        <v>David-North</v>
      </c>
      <c r="T1903" s="59" t="str">
        <f>IF(ROUND(sales_data_1[[#This Row],[Profit_Margin]],2)=ROUND((sales_data_1[[#This Row],[Unit_Price]]*(1-sales_data_1[[#This Row],[Discount]]) - sales_data_1[[#This Row],[Unit_Cost]])*sales_data_1[[#This Row],[Quantity_Sold]],2), "PASS", "CHECK")</f>
        <v>PASS</v>
      </c>
    </row>
    <row r="1904" spans="1:20" x14ac:dyDescent="0.35">
      <c r="A1904" s="7">
        <v>1903</v>
      </c>
      <c r="B1904" s="9">
        <v>1043</v>
      </c>
      <c r="C1904" s="14" t="str">
        <f>IFERROR(_xlfn.TEXTJOIN("-", TRUE, _xlfn.XLOOKUP(K1904, product_category_id_lookup!$A$2:$A$5, product_category_id_lookup!$B$2:$B$5), B1904), "Unknown Category")</f>
        <v>fd-1043</v>
      </c>
      <c r="D1904" s="8">
        <v>45219</v>
      </c>
      <c r="E1904" s="14">
        <f t="shared" si="87"/>
        <v>2023</v>
      </c>
      <c r="F1904" s="29" t="str">
        <f t="shared" si="88"/>
        <v>Oct</v>
      </c>
      <c r="G1904" s="17" t="s">
        <v>29</v>
      </c>
      <c r="H1904" s="17" t="s">
        <v>23</v>
      </c>
      <c r="I1904" s="24">
        <v>13865.183199999998</v>
      </c>
      <c r="J1904" s="32">
        <v>22</v>
      </c>
      <c r="K1904" s="17" t="s">
        <v>24</v>
      </c>
      <c r="L1904" s="24">
        <v>530.04</v>
      </c>
      <c r="M1904" s="24">
        <v>759.31999999999994</v>
      </c>
      <c r="N1904" s="34">
        <f>((sales_data_1[[#This Row],[Unit_Price]]*(1-sales_data_1[[#This Row],[Discount]]))-sales_data_1[[#This Row],[Unit_Cost]])*sales_data_1[[#This Row],[Quantity_Sold]]</f>
        <v>2204.3031999999976</v>
      </c>
      <c r="O1904" s="17" t="s">
        <v>17</v>
      </c>
      <c r="P1904" s="26">
        <v>0.17</v>
      </c>
      <c r="Q1904" s="17" t="s">
        <v>25</v>
      </c>
      <c r="R1904" s="17" t="s">
        <v>21</v>
      </c>
      <c r="S1904" s="50" t="str">
        <f t="shared" si="89"/>
        <v>Charlie-South</v>
      </c>
      <c r="T1904" s="59" t="str">
        <f>IF(ROUND(sales_data_1[[#This Row],[Profit_Margin]],2)=ROUND((sales_data_1[[#This Row],[Unit_Price]]*(1-sales_data_1[[#This Row],[Discount]]) - sales_data_1[[#This Row],[Unit_Cost]])*sales_data_1[[#This Row],[Quantity_Sold]],2), "PASS", "CHECK")</f>
        <v>PASS</v>
      </c>
    </row>
    <row r="1905" spans="1:20" x14ac:dyDescent="0.35">
      <c r="A1905" s="7">
        <v>1904</v>
      </c>
      <c r="B1905" s="9">
        <v>1036</v>
      </c>
      <c r="C1905" s="14" t="str">
        <f>IFERROR(_xlfn.TEXTJOIN("-", TRUE, _xlfn.XLOOKUP(K1905, product_category_id_lookup!$A$2:$A$5, product_category_id_lookup!$B$2:$B$5), B1905), "Unknown Category")</f>
        <v>ctg-1036</v>
      </c>
      <c r="D1905" s="8">
        <v>45219</v>
      </c>
      <c r="E1905" s="14">
        <f t="shared" si="87"/>
        <v>2023</v>
      </c>
      <c r="F1905" s="29" t="str">
        <f t="shared" si="88"/>
        <v>Oct</v>
      </c>
      <c r="G1905" s="17" t="s">
        <v>22</v>
      </c>
      <c r="H1905" s="17" t="s">
        <v>15</v>
      </c>
      <c r="I1905" s="24">
        <v>69678.744675008857</v>
      </c>
      <c r="J1905" s="32">
        <v>49</v>
      </c>
      <c r="K1905" s="17" t="s">
        <v>26</v>
      </c>
      <c r="L1905" s="24">
        <v>1247.0999999999999</v>
      </c>
      <c r="M1905" s="24">
        <v>1429.4399999999998</v>
      </c>
      <c r="N1905" s="34">
        <f>((sales_data_1[[#This Row],[Unit_Price]]*(1-sales_data_1[[#This Row],[Discount]]))-sales_data_1[[#This Row],[Unit_Cost]])*sales_data_1[[#This Row],[Quantity_Sold]]</f>
        <v>8234.2343999999957</v>
      </c>
      <c r="O1905" s="17" t="s">
        <v>27</v>
      </c>
      <c r="P1905" s="26">
        <v>0.01</v>
      </c>
      <c r="Q1905" s="17" t="s">
        <v>18</v>
      </c>
      <c r="R1905" s="17" t="s">
        <v>19</v>
      </c>
      <c r="S1905" s="50" t="str">
        <f t="shared" si="89"/>
        <v>David-North</v>
      </c>
      <c r="T1905" s="59" t="str">
        <f>IF(ROUND(sales_data_1[[#This Row],[Profit_Margin]],2)=ROUND((sales_data_1[[#This Row],[Unit_Price]]*(1-sales_data_1[[#This Row],[Discount]]) - sales_data_1[[#This Row],[Unit_Cost]])*sales_data_1[[#This Row],[Quantity_Sold]],2), "PASS", "CHECK")</f>
        <v>PASS</v>
      </c>
    </row>
    <row r="1906" spans="1:20" x14ac:dyDescent="0.35">
      <c r="A1906" s="7">
        <v>1905</v>
      </c>
      <c r="B1906" s="9">
        <v>1086</v>
      </c>
      <c r="C1906" s="14" t="str">
        <f>IFERROR(_xlfn.TEXTJOIN("-", TRUE, _xlfn.XLOOKUP(K1906, product_category_id_lookup!$A$2:$A$5, product_category_id_lookup!$B$2:$B$5), B1906), "Unknown Category")</f>
        <v>fnt-1086</v>
      </c>
      <c r="D1906" s="8">
        <v>45219</v>
      </c>
      <c r="E1906" s="14">
        <f t="shared" si="87"/>
        <v>2023</v>
      </c>
      <c r="F1906" s="29" t="str">
        <f t="shared" si="88"/>
        <v>Oct</v>
      </c>
      <c r="G1906" s="17" t="s">
        <v>22</v>
      </c>
      <c r="H1906" s="17" t="s">
        <v>23</v>
      </c>
      <c r="I1906" s="24">
        <v>13239.807999999999</v>
      </c>
      <c r="J1906" s="32">
        <v>32</v>
      </c>
      <c r="K1906" s="17" t="s">
        <v>16</v>
      </c>
      <c r="L1906" s="24">
        <v>84.86</v>
      </c>
      <c r="M1906" s="24">
        <v>517.17999999999995</v>
      </c>
      <c r="N1906" s="34">
        <f>((sales_data_1[[#This Row],[Unit_Price]]*(1-sales_data_1[[#This Row],[Discount]]))-sales_data_1[[#This Row],[Unit_Cost]])*sales_data_1[[#This Row],[Quantity_Sold]]</f>
        <v>10524.287999999999</v>
      </c>
      <c r="O1906" s="17" t="s">
        <v>17</v>
      </c>
      <c r="P1906" s="26">
        <v>0.2</v>
      </c>
      <c r="Q1906" s="17" t="s">
        <v>28</v>
      </c>
      <c r="R1906" s="17" t="s">
        <v>21</v>
      </c>
      <c r="S1906" s="50" t="str">
        <f t="shared" si="89"/>
        <v>David-South</v>
      </c>
      <c r="T1906" s="59" t="str">
        <f>IF(ROUND(sales_data_1[[#This Row],[Profit_Margin]],2)=ROUND((sales_data_1[[#This Row],[Unit_Price]]*(1-sales_data_1[[#This Row],[Discount]]) - sales_data_1[[#This Row],[Unit_Cost]])*sales_data_1[[#This Row],[Quantity_Sold]],2), "PASS", "CHECK")</f>
        <v>PASS</v>
      </c>
    </row>
    <row r="1907" spans="1:20" x14ac:dyDescent="0.35">
      <c r="A1907" s="7">
        <v>1906</v>
      </c>
      <c r="B1907" s="9">
        <v>1013</v>
      </c>
      <c r="C1907" s="14" t="str">
        <f>IFERROR(_xlfn.TEXTJOIN("-", TRUE, _xlfn.XLOOKUP(K1907, product_category_id_lookup!$A$2:$A$5, product_category_id_lookup!$B$2:$B$5), B1907), "Unknown Category")</f>
        <v>etc-1013</v>
      </c>
      <c r="D1907" s="8">
        <v>45220</v>
      </c>
      <c r="E1907" s="14">
        <f t="shared" si="87"/>
        <v>2023</v>
      </c>
      <c r="F1907" s="29" t="str">
        <f t="shared" si="88"/>
        <v>Oct</v>
      </c>
      <c r="G1907" s="17" t="s">
        <v>22</v>
      </c>
      <c r="H1907" s="17" t="s">
        <v>30</v>
      </c>
      <c r="I1907" s="24">
        <v>32227.603701090207</v>
      </c>
      <c r="J1907" s="32">
        <v>20</v>
      </c>
      <c r="K1907" s="17" t="s">
        <v>31</v>
      </c>
      <c r="L1907" s="24">
        <v>1533.36</v>
      </c>
      <c r="M1907" s="24">
        <v>1649.7399999999998</v>
      </c>
      <c r="N1907" s="34">
        <f>((sales_data_1[[#This Row],[Unit_Price]]*(1-sales_data_1[[#This Row],[Discount]]))-sales_data_1[[#This Row],[Unit_Cost]])*sales_data_1[[#This Row],[Quantity_Sold]]</f>
        <v>1667.7039999999988</v>
      </c>
      <c r="O1907" s="17" t="s">
        <v>17</v>
      </c>
      <c r="P1907" s="26">
        <v>0.02</v>
      </c>
      <c r="Q1907" s="17" t="s">
        <v>25</v>
      </c>
      <c r="R1907" s="17" t="s">
        <v>19</v>
      </c>
      <c r="S1907" s="50" t="str">
        <f t="shared" si="89"/>
        <v>David-East</v>
      </c>
      <c r="T1907" s="59" t="str">
        <f>IF(ROUND(sales_data_1[[#This Row],[Profit_Margin]],2)=ROUND((sales_data_1[[#This Row],[Unit_Price]]*(1-sales_data_1[[#This Row],[Discount]]) - sales_data_1[[#This Row],[Unit_Cost]])*sales_data_1[[#This Row],[Quantity_Sold]],2), "PASS", "CHECK")</f>
        <v>PASS</v>
      </c>
    </row>
    <row r="1908" spans="1:20" x14ac:dyDescent="0.35">
      <c r="A1908" s="7">
        <v>1907</v>
      </c>
      <c r="B1908" s="9">
        <v>1073</v>
      </c>
      <c r="C1908" s="14" t="str">
        <f>IFERROR(_xlfn.TEXTJOIN("-", TRUE, _xlfn.XLOOKUP(K1908, product_category_id_lookup!$A$2:$A$5, product_category_id_lookup!$B$2:$B$5), B1908), "Unknown Category")</f>
        <v>fnt-1073</v>
      </c>
      <c r="D1908" s="8">
        <v>45220</v>
      </c>
      <c r="E1908" s="14">
        <f t="shared" si="87"/>
        <v>2023</v>
      </c>
      <c r="F1908" s="29" t="str">
        <f t="shared" si="88"/>
        <v>Oct</v>
      </c>
      <c r="G1908" s="17" t="s">
        <v>33</v>
      </c>
      <c r="H1908" s="17" t="s">
        <v>20</v>
      </c>
      <c r="I1908" s="24">
        <v>122483.97000000002</v>
      </c>
      <c r="J1908" s="32">
        <v>45</v>
      </c>
      <c r="K1908" s="17" t="s">
        <v>16</v>
      </c>
      <c r="L1908" s="24">
        <v>2558.09</v>
      </c>
      <c r="M1908" s="24">
        <v>2958.55</v>
      </c>
      <c r="N1908" s="34">
        <f>((sales_data_1[[#This Row],[Unit_Price]]*(1-sales_data_1[[#This Row],[Discount]]))-sales_data_1[[#This Row],[Unit_Cost]])*sales_data_1[[#This Row],[Quantity_Sold]]</f>
        <v>7369.9200000000128</v>
      </c>
      <c r="O1908" s="17" t="s">
        <v>27</v>
      </c>
      <c r="P1908" s="26">
        <v>0.08</v>
      </c>
      <c r="Q1908" s="17" t="s">
        <v>18</v>
      </c>
      <c r="R1908" s="17" t="s">
        <v>19</v>
      </c>
      <c r="S1908" s="50" t="str">
        <f t="shared" si="89"/>
        <v>Alice-West</v>
      </c>
      <c r="T1908" s="59" t="str">
        <f>IF(ROUND(sales_data_1[[#This Row],[Profit_Margin]],2)=ROUND((sales_data_1[[#This Row],[Unit_Price]]*(1-sales_data_1[[#This Row],[Discount]]) - sales_data_1[[#This Row],[Unit_Cost]])*sales_data_1[[#This Row],[Quantity_Sold]],2), "PASS", "CHECK")</f>
        <v>PASS</v>
      </c>
    </row>
    <row r="1909" spans="1:20" x14ac:dyDescent="0.35">
      <c r="A1909" s="7">
        <v>1908</v>
      </c>
      <c r="B1909" s="9">
        <v>1012</v>
      </c>
      <c r="C1909" s="14" t="str">
        <f>IFERROR(_xlfn.TEXTJOIN("-", TRUE, _xlfn.XLOOKUP(K1909, product_category_id_lookup!$A$2:$A$5, product_category_id_lookup!$B$2:$B$5), B1909), "Unknown Category")</f>
        <v>fnt-1012</v>
      </c>
      <c r="D1909" s="8">
        <v>45221</v>
      </c>
      <c r="E1909" s="14">
        <f t="shared" si="87"/>
        <v>2023</v>
      </c>
      <c r="F1909" s="29" t="str">
        <f t="shared" si="88"/>
        <v>Oct</v>
      </c>
      <c r="G1909" s="17" t="s">
        <v>22</v>
      </c>
      <c r="H1909" s="17" t="s">
        <v>15</v>
      </c>
      <c r="I1909" s="24">
        <v>84682.60011141545</v>
      </c>
      <c r="J1909" s="32">
        <v>34</v>
      </c>
      <c r="K1909" s="17" t="s">
        <v>16</v>
      </c>
      <c r="L1909" s="24">
        <v>2462.5500000000002</v>
      </c>
      <c r="M1909" s="24">
        <v>2521.77</v>
      </c>
      <c r="N1909" s="34">
        <f>((sales_data_1[[#This Row],[Unit_Price]]*(1-sales_data_1[[#This Row],[Discount]]))-sales_data_1[[#This Row],[Unit_Cost]])*sales_data_1[[#This Row],[Quantity_Sold]]</f>
        <v>1156.0781999999881</v>
      </c>
      <c r="O1909" s="17" t="s">
        <v>27</v>
      </c>
      <c r="P1909" s="26">
        <v>0.01</v>
      </c>
      <c r="Q1909" s="17" t="s">
        <v>25</v>
      </c>
      <c r="R1909" s="17" t="s">
        <v>21</v>
      </c>
      <c r="S1909" s="50" t="str">
        <f t="shared" si="89"/>
        <v>David-North</v>
      </c>
      <c r="T1909" s="59" t="str">
        <f>IF(ROUND(sales_data_1[[#This Row],[Profit_Margin]],2)=ROUND((sales_data_1[[#This Row],[Unit_Price]]*(1-sales_data_1[[#This Row],[Discount]]) - sales_data_1[[#This Row],[Unit_Cost]])*sales_data_1[[#This Row],[Quantity_Sold]],2), "PASS", "CHECK")</f>
        <v>PASS</v>
      </c>
    </row>
    <row r="1910" spans="1:20" x14ac:dyDescent="0.35">
      <c r="A1910" s="7">
        <v>1909</v>
      </c>
      <c r="B1910" s="9">
        <v>1099</v>
      </c>
      <c r="C1910" s="14" t="str">
        <f>IFERROR(_xlfn.TEXTJOIN("-", TRUE, _xlfn.XLOOKUP(K1910, product_category_id_lookup!$A$2:$A$5, product_category_id_lookup!$B$2:$B$5), B1910), "Unknown Category")</f>
        <v>ctg-1099</v>
      </c>
      <c r="D1910" s="8">
        <v>45221</v>
      </c>
      <c r="E1910" s="14">
        <f t="shared" si="87"/>
        <v>2023</v>
      </c>
      <c r="F1910" s="29" t="str">
        <f t="shared" si="88"/>
        <v>Oct</v>
      </c>
      <c r="G1910" s="17" t="s">
        <v>14</v>
      </c>
      <c r="H1910" s="17" t="s">
        <v>20</v>
      </c>
      <c r="I1910" s="24">
        <v>41929.747199999998</v>
      </c>
      <c r="J1910" s="32">
        <v>43</v>
      </c>
      <c r="K1910" s="17" t="s">
        <v>26</v>
      </c>
      <c r="L1910" s="24">
        <v>906.47</v>
      </c>
      <c r="M1910" s="24">
        <v>1283.04</v>
      </c>
      <c r="N1910" s="34">
        <f>((sales_data_1[[#This Row],[Unit_Price]]*(1-sales_data_1[[#This Row],[Discount]]))-sales_data_1[[#This Row],[Unit_Cost]])*sales_data_1[[#This Row],[Quantity_Sold]]</f>
        <v>2951.5371999999998</v>
      </c>
      <c r="O1910" s="17" t="s">
        <v>27</v>
      </c>
      <c r="P1910" s="26">
        <v>0.24</v>
      </c>
      <c r="Q1910" s="17" t="s">
        <v>18</v>
      </c>
      <c r="R1910" s="17" t="s">
        <v>19</v>
      </c>
      <c r="S1910" s="50" t="str">
        <f t="shared" si="89"/>
        <v>Bob-West</v>
      </c>
      <c r="T1910" s="59" t="str">
        <f>IF(ROUND(sales_data_1[[#This Row],[Profit_Margin]],2)=ROUND((sales_data_1[[#This Row],[Unit_Price]]*(1-sales_data_1[[#This Row],[Discount]]) - sales_data_1[[#This Row],[Unit_Cost]])*sales_data_1[[#This Row],[Quantity_Sold]],2), "PASS", "CHECK")</f>
        <v>PASS</v>
      </c>
    </row>
    <row r="1911" spans="1:20" x14ac:dyDescent="0.35">
      <c r="A1911" s="7">
        <v>1910</v>
      </c>
      <c r="B1911" s="9">
        <v>1060</v>
      </c>
      <c r="C1911" s="14" t="str">
        <f>IFERROR(_xlfn.TEXTJOIN("-", TRUE, _xlfn.XLOOKUP(K1911, product_category_id_lookup!$A$2:$A$5, product_category_id_lookup!$B$2:$B$5), B1911), "Unknown Category")</f>
        <v>fnt-1060</v>
      </c>
      <c r="D1911" s="8">
        <v>45221</v>
      </c>
      <c r="E1911" s="14">
        <f t="shared" si="87"/>
        <v>2023</v>
      </c>
      <c r="F1911" s="29" t="str">
        <f t="shared" si="88"/>
        <v>Oct</v>
      </c>
      <c r="G1911" s="17" t="s">
        <v>14</v>
      </c>
      <c r="H1911" s="17" t="s">
        <v>15</v>
      </c>
      <c r="I1911" s="24">
        <v>43949.879193519722</v>
      </c>
      <c r="J1911" s="32">
        <v>11</v>
      </c>
      <c r="K1911" s="17" t="s">
        <v>16</v>
      </c>
      <c r="L1911" s="24">
        <v>3648.04</v>
      </c>
      <c r="M1911" s="24">
        <v>4143.51</v>
      </c>
      <c r="N1911" s="34">
        <f>((sales_data_1[[#This Row],[Unit_Price]]*(1-sales_data_1[[#This Row],[Discount]]))-sales_data_1[[#This Row],[Unit_Cost]])*sales_data_1[[#This Row],[Quantity_Sold]]</f>
        <v>3627.0256000000013</v>
      </c>
      <c r="O1911" s="17" t="s">
        <v>17</v>
      </c>
      <c r="P1911" s="26">
        <v>0.04</v>
      </c>
      <c r="Q1911" s="17" t="s">
        <v>28</v>
      </c>
      <c r="R1911" s="17" t="s">
        <v>21</v>
      </c>
      <c r="S1911" s="50" t="str">
        <f t="shared" si="89"/>
        <v>Bob-North</v>
      </c>
      <c r="T1911" s="59" t="str">
        <f>IF(ROUND(sales_data_1[[#This Row],[Profit_Margin]],2)=ROUND((sales_data_1[[#This Row],[Unit_Price]]*(1-sales_data_1[[#This Row],[Discount]]) - sales_data_1[[#This Row],[Unit_Cost]])*sales_data_1[[#This Row],[Quantity_Sold]],2), "PASS", "CHECK")</f>
        <v>PASS</v>
      </c>
    </row>
    <row r="1912" spans="1:20" x14ac:dyDescent="0.35">
      <c r="A1912" s="7">
        <v>1911</v>
      </c>
      <c r="B1912" s="9">
        <v>1057</v>
      </c>
      <c r="C1912" s="14" t="str">
        <f>IFERROR(_xlfn.TEXTJOIN("-", TRUE, _xlfn.XLOOKUP(K1912, product_category_id_lookup!$A$2:$A$5, product_category_id_lookup!$B$2:$B$5), B1912), "Unknown Category")</f>
        <v>ctg-1057</v>
      </c>
      <c r="D1912" s="8">
        <v>45221</v>
      </c>
      <c r="E1912" s="14">
        <f t="shared" si="87"/>
        <v>2023</v>
      </c>
      <c r="F1912" s="29" t="str">
        <f t="shared" si="88"/>
        <v>Oct</v>
      </c>
      <c r="G1912" s="17" t="s">
        <v>32</v>
      </c>
      <c r="H1912" s="17" t="s">
        <v>23</v>
      </c>
      <c r="I1912" s="24">
        <v>145703.00466838028</v>
      </c>
      <c r="J1912" s="32">
        <v>40</v>
      </c>
      <c r="K1912" s="17" t="s">
        <v>26</v>
      </c>
      <c r="L1912" s="24">
        <v>3233.37</v>
      </c>
      <c r="M1912" s="24">
        <v>3723.21</v>
      </c>
      <c r="N1912" s="34">
        <f>((sales_data_1[[#This Row],[Unit_Price]]*(1-sales_data_1[[#This Row],[Discount]]))-sales_data_1[[#This Row],[Unit_Cost]])*sales_data_1[[#This Row],[Quantity_Sold]]</f>
        <v>16615.03200000001</v>
      </c>
      <c r="O1912" s="17" t="s">
        <v>27</v>
      </c>
      <c r="P1912" s="26">
        <v>0.02</v>
      </c>
      <c r="Q1912" s="17" t="s">
        <v>25</v>
      </c>
      <c r="R1912" s="17" t="s">
        <v>21</v>
      </c>
      <c r="S1912" s="50" t="str">
        <f t="shared" si="89"/>
        <v>Eve-South</v>
      </c>
      <c r="T1912" s="59" t="str">
        <f>IF(ROUND(sales_data_1[[#This Row],[Profit_Margin]],2)=ROUND((sales_data_1[[#This Row],[Unit_Price]]*(1-sales_data_1[[#This Row],[Discount]]) - sales_data_1[[#This Row],[Unit_Cost]])*sales_data_1[[#This Row],[Quantity_Sold]],2), "PASS", "CHECK")</f>
        <v>PASS</v>
      </c>
    </row>
    <row r="1913" spans="1:20" x14ac:dyDescent="0.35">
      <c r="A1913" s="7">
        <v>1912</v>
      </c>
      <c r="B1913" s="9">
        <v>1073</v>
      </c>
      <c r="C1913" s="14" t="str">
        <f>IFERROR(_xlfn.TEXTJOIN("-", TRUE, _xlfn.XLOOKUP(K1913, product_category_id_lookup!$A$2:$A$5, product_category_id_lookup!$B$2:$B$5), B1913), "Unknown Category")</f>
        <v>ctg-1073</v>
      </c>
      <c r="D1913" s="8">
        <v>45222</v>
      </c>
      <c r="E1913" s="14">
        <f t="shared" si="87"/>
        <v>2023</v>
      </c>
      <c r="F1913" s="29" t="str">
        <f t="shared" si="88"/>
        <v>Oct</v>
      </c>
      <c r="G1913" s="17" t="s">
        <v>29</v>
      </c>
      <c r="H1913" s="17" t="s">
        <v>23</v>
      </c>
      <c r="I1913" s="24">
        <v>196768.18514228045</v>
      </c>
      <c r="J1913" s="32">
        <v>45</v>
      </c>
      <c r="K1913" s="17" t="s">
        <v>26</v>
      </c>
      <c r="L1913" s="24">
        <v>4369.5</v>
      </c>
      <c r="M1913" s="24">
        <v>4381.8900000000003</v>
      </c>
      <c r="N1913" s="34">
        <f>((sales_data_1[[#This Row],[Unit_Price]]*(1-sales_data_1[[#This Row],[Discount]]))-sales_data_1[[#This Row],[Unit_Cost]])*sales_data_1[[#This Row],[Quantity_Sold]]</f>
        <v>557.55000000001473</v>
      </c>
      <c r="O1913" s="17" t="s">
        <v>17</v>
      </c>
      <c r="P1913" s="26">
        <v>0</v>
      </c>
      <c r="Q1913" s="17" t="s">
        <v>28</v>
      </c>
      <c r="R1913" s="17" t="s">
        <v>21</v>
      </c>
      <c r="S1913" s="50" t="str">
        <f t="shared" si="89"/>
        <v>Charlie-South</v>
      </c>
      <c r="T1913" s="59" t="str">
        <f>IF(ROUND(sales_data_1[[#This Row],[Profit_Margin]],2)=ROUND((sales_data_1[[#This Row],[Unit_Price]]*(1-sales_data_1[[#This Row],[Discount]]) - sales_data_1[[#This Row],[Unit_Cost]])*sales_data_1[[#This Row],[Quantity_Sold]],2), "PASS", "CHECK")</f>
        <v>PASS</v>
      </c>
    </row>
    <row r="1914" spans="1:20" x14ac:dyDescent="0.35">
      <c r="A1914" s="7">
        <v>1913</v>
      </c>
      <c r="B1914" s="9">
        <v>1054</v>
      </c>
      <c r="C1914" s="14" t="str">
        <f>IFERROR(_xlfn.TEXTJOIN("-", TRUE, _xlfn.XLOOKUP(K1914, product_category_id_lookup!$A$2:$A$5, product_category_id_lookup!$B$2:$B$5), B1914), "Unknown Category")</f>
        <v>fd-1054</v>
      </c>
      <c r="D1914" s="8">
        <v>45222</v>
      </c>
      <c r="E1914" s="14">
        <f t="shared" si="87"/>
        <v>2023</v>
      </c>
      <c r="F1914" s="29" t="str">
        <f t="shared" si="88"/>
        <v>Oct</v>
      </c>
      <c r="G1914" s="17" t="s">
        <v>22</v>
      </c>
      <c r="H1914" s="17" t="s">
        <v>30</v>
      </c>
      <c r="I1914" s="24">
        <v>33144.31821395694</v>
      </c>
      <c r="J1914" s="32">
        <v>8</v>
      </c>
      <c r="K1914" s="17" t="s">
        <v>24</v>
      </c>
      <c r="L1914" s="24">
        <v>4117.13</v>
      </c>
      <c r="M1914" s="24">
        <v>4177.0600000000004</v>
      </c>
      <c r="N1914" s="34">
        <f>((sales_data_1[[#This Row],[Unit_Price]]*(1-sales_data_1[[#This Row],[Discount]]))-sales_data_1[[#This Row],[Unit_Cost]])*sales_data_1[[#This Row],[Quantity_Sold]]</f>
        <v>145.27520000000368</v>
      </c>
      <c r="O1914" s="17" t="s">
        <v>17</v>
      </c>
      <c r="P1914" s="26">
        <v>0.01</v>
      </c>
      <c r="Q1914" s="17" t="s">
        <v>25</v>
      </c>
      <c r="R1914" s="17" t="s">
        <v>21</v>
      </c>
      <c r="S1914" s="50" t="str">
        <f t="shared" si="89"/>
        <v>David-East</v>
      </c>
      <c r="T1914" s="59" t="str">
        <f>IF(ROUND(sales_data_1[[#This Row],[Profit_Margin]],2)=ROUND((sales_data_1[[#This Row],[Unit_Price]]*(1-sales_data_1[[#This Row],[Discount]]) - sales_data_1[[#This Row],[Unit_Cost]])*sales_data_1[[#This Row],[Quantity_Sold]],2), "PASS", "CHECK")</f>
        <v>PASS</v>
      </c>
    </row>
    <row r="1915" spans="1:20" x14ac:dyDescent="0.35">
      <c r="A1915" s="7">
        <v>1914</v>
      </c>
      <c r="B1915" s="9">
        <v>1023</v>
      </c>
      <c r="C1915" s="14" t="str">
        <f>IFERROR(_xlfn.TEXTJOIN("-", TRUE, _xlfn.XLOOKUP(K1915, product_category_id_lookup!$A$2:$A$5, product_category_id_lookup!$B$2:$B$5), B1915), "Unknown Category")</f>
        <v>fd-1023</v>
      </c>
      <c r="D1915" s="8">
        <v>45222</v>
      </c>
      <c r="E1915" s="14">
        <f t="shared" si="87"/>
        <v>2023</v>
      </c>
      <c r="F1915" s="29" t="str">
        <f t="shared" si="88"/>
        <v>Oct</v>
      </c>
      <c r="G1915" s="17" t="s">
        <v>22</v>
      </c>
      <c r="H1915" s="17" t="s">
        <v>23</v>
      </c>
      <c r="I1915" s="24">
        <v>14602.853014471781</v>
      </c>
      <c r="J1915" s="32">
        <v>42</v>
      </c>
      <c r="K1915" s="17" t="s">
        <v>24</v>
      </c>
      <c r="L1915" s="24">
        <v>309.77999999999997</v>
      </c>
      <c r="M1915" s="24">
        <v>350.38</v>
      </c>
      <c r="N1915" s="34">
        <f>((sales_data_1[[#This Row],[Unit_Price]]*(1-sales_data_1[[#This Row],[Discount]]))-sales_data_1[[#This Row],[Unit_Cost]])*sales_data_1[[#This Row],[Quantity_Sold]]</f>
        <v>1558.0404000000003</v>
      </c>
      <c r="O1915" s="17" t="s">
        <v>17</v>
      </c>
      <c r="P1915" s="26">
        <v>0.01</v>
      </c>
      <c r="Q1915" s="17" t="s">
        <v>28</v>
      </c>
      <c r="R1915" s="17" t="s">
        <v>21</v>
      </c>
      <c r="S1915" s="50" t="str">
        <f t="shared" si="89"/>
        <v>David-South</v>
      </c>
      <c r="T1915" s="59" t="str">
        <f>IF(ROUND(sales_data_1[[#This Row],[Profit_Margin]],2)=ROUND((sales_data_1[[#This Row],[Unit_Price]]*(1-sales_data_1[[#This Row],[Discount]]) - sales_data_1[[#This Row],[Unit_Cost]])*sales_data_1[[#This Row],[Quantity_Sold]],2), "PASS", "CHECK")</f>
        <v>PASS</v>
      </c>
    </row>
    <row r="1916" spans="1:20" x14ac:dyDescent="0.35">
      <c r="A1916" s="7">
        <v>1915</v>
      </c>
      <c r="B1916" s="9">
        <v>1054</v>
      </c>
      <c r="C1916" s="14" t="str">
        <f>IFERROR(_xlfn.TEXTJOIN("-", TRUE, _xlfn.XLOOKUP(K1916, product_category_id_lookup!$A$2:$A$5, product_category_id_lookup!$B$2:$B$5), B1916), "Unknown Category")</f>
        <v>etc-1054</v>
      </c>
      <c r="D1916" s="8">
        <v>45222</v>
      </c>
      <c r="E1916" s="14">
        <f t="shared" si="87"/>
        <v>2023</v>
      </c>
      <c r="F1916" s="29" t="str">
        <f t="shared" si="88"/>
        <v>Oct</v>
      </c>
      <c r="G1916" s="17" t="s">
        <v>22</v>
      </c>
      <c r="H1916" s="17" t="s">
        <v>23</v>
      </c>
      <c r="I1916" s="24">
        <v>210206.60220593889</v>
      </c>
      <c r="J1916" s="32">
        <v>48</v>
      </c>
      <c r="K1916" s="17" t="s">
        <v>31</v>
      </c>
      <c r="L1916" s="24">
        <v>4325.0200000000004</v>
      </c>
      <c r="M1916" s="24">
        <v>4391.67</v>
      </c>
      <c r="N1916" s="34">
        <f>((sales_data_1[[#This Row],[Unit_Price]]*(1-sales_data_1[[#This Row],[Discount]]))-sales_data_1[[#This Row],[Unit_Cost]])*sales_data_1[[#This Row],[Quantity_Sold]]</f>
        <v>3199.1999999999825</v>
      </c>
      <c r="O1916" s="17" t="s">
        <v>17</v>
      </c>
      <c r="P1916" s="26">
        <v>0</v>
      </c>
      <c r="Q1916" s="17" t="s">
        <v>28</v>
      </c>
      <c r="R1916" s="17" t="s">
        <v>21</v>
      </c>
      <c r="S1916" s="50" t="str">
        <f t="shared" si="89"/>
        <v>David-South</v>
      </c>
      <c r="T1916" s="59" t="str">
        <f>IF(ROUND(sales_data_1[[#This Row],[Profit_Margin]],2)=ROUND((sales_data_1[[#This Row],[Unit_Price]]*(1-sales_data_1[[#This Row],[Discount]]) - sales_data_1[[#This Row],[Unit_Cost]])*sales_data_1[[#This Row],[Quantity_Sold]],2), "PASS", "CHECK")</f>
        <v>PASS</v>
      </c>
    </row>
    <row r="1917" spans="1:20" x14ac:dyDescent="0.35">
      <c r="A1917" s="7">
        <v>1916</v>
      </c>
      <c r="B1917" s="9">
        <v>1060</v>
      </c>
      <c r="C1917" s="14" t="str">
        <f>IFERROR(_xlfn.TEXTJOIN("-", TRUE, _xlfn.XLOOKUP(K1917, product_category_id_lookup!$A$2:$A$5, product_category_id_lookup!$B$2:$B$5), B1917), "Unknown Category")</f>
        <v>ctg-1060</v>
      </c>
      <c r="D1917" s="8">
        <v>45222</v>
      </c>
      <c r="E1917" s="14">
        <f t="shared" si="87"/>
        <v>2023</v>
      </c>
      <c r="F1917" s="29" t="str">
        <f t="shared" si="88"/>
        <v>Oct</v>
      </c>
      <c r="G1917" s="17" t="s">
        <v>14</v>
      </c>
      <c r="H1917" s="17" t="s">
        <v>20</v>
      </c>
      <c r="I1917" s="24">
        <v>84087.216305107067</v>
      </c>
      <c r="J1917" s="32">
        <v>46</v>
      </c>
      <c r="K1917" s="17" t="s">
        <v>26</v>
      </c>
      <c r="L1917" s="24">
        <v>1747.05</v>
      </c>
      <c r="M1917" s="24">
        <v>1830.27</v>
      </c>
      <c r="N1917" s="34">
        <f>((sales_data_1[[#This Row],[Unit_Price]]*(1-sales_data_1[[#This Row],[Discount]]))-sales_data_1[[#This Row],[Unit_Cost]])*sales_data_1[[#This Row],[Quantity_Sold]]</f>
        <v>3828.1200000000013</v>
      </c>
      <c r="O1917" s="17" t="s">
        <v>27</v>
      </c>
      <c r="P1917" s="26">
        <v>0</v>
      </c>
      <c r="Q1917" s="17" t="s">
        <v>25</v>
      </c>
      <c r="R1917" s="17" t="s">
        <v>21</v>
      </c>
      <c r="S1917" s="50" t="str">
        <f t="shared" si="89"/>
        <v>Bob-West</v>
      </c>
      <c r="T1917" s="59" t="str">
        <f>IF(ROUND(sales_data_1[[#This Row],[Profit_Margin]],2)=ROUND((sales_data_1[[#This Row],[Unit_Price]]*(1-sales_data_1[[#This Row],[Discount]]) - sales_data_1[[#This Row],[Unit_Cost]])*sales_data_1[[#This Row],[Quantity_Sold]],2), "PASS", "CHECK")</f>
        <v>PASS</v>
      </c>
    </row>
    <row r="1918" spans="1:20" x14ac:dyDescent="0.35">
      <c r="A1918" s="7">
        <v>1917</v>
      </c>
      <c r="B1918" s="9">
        <v>1087</v>
      </c>
      <c r="C1918" s="14" t="str">
        <f>IFERROR(_xlfn.TEXTJOIN("-", TRUE, _xlfn.XLOOKUP(K1918, product_category_id_lookup!$A$2:$A$5, product_category_id_lookup!$B$2:$B$5), B1918), "Unknown Category")</f>
        <v>ctg-1087</v>
      </c>
      <c r="D1918" s="8">
        <v>45223</v>
      </c>
      <c r="E1918" s="14">
        <f t="shared" si="87"/>
        <v>2023</v>
      </c>
      <c r="F1918" s="29" t="str">
        <f t="shared" si="88"/>
        <v>Oct</v>
      </c>
      <c r="G1918" s="17" t="s">
        <v>14</v>
      </c>
      <c r="H1918" s="17" t="s">
        <v>30</v>
      </c>
      <c r="I1918" s="24">
        <v>15652.625763681568</v>
      </c>
      <c r="J1918" s="32">
        <v>28</v>
      </c>
      <c r="K1918" s="17" t="s">
        <v>26</v>
      </c>
      <c r="L1918" s="24">
        <v>551.83000000000004</v>
      </c>
      <c r="M1918" s="24">
        <v>569.63</v>
      </c>
      <c r="N1918" s="34">
        <f>((sales_data_1[[#This Row],[Unit_Price]]*(1-sales_data_1[[#This Row],[Discount]]))-sales_data_1[[#This Row],[Unit_Cost]])*sales_data_1[[#This Row],[Quantity_Sold]]</f>
        <v>179.40719999999828</v>
      </c>
      <c r="O1918" s="17" t="s">
        <v>27</v>
      </c>
      <c r="P1918" s="26">
        <v>0.02</v>
      </c>
      <c r="Q1918" s="17" t="s">
        <v>28</v>
      </c>
      <c r="R1918" s="17" t="s">
        <v>21</v>
      </c>
      <c r="S1918" s="50" t="str">
        <f t="shared" si="89"/>
        <v>Bob-East</v>
      </c>
      <c r="T1918" s="59" t="str">
        <f>IF(ROUND(sales_data_1[[#This Row],[Profit_Margin]],2)=ROUND((sales_data_1[[#This Row],[Unit_Price]]*(1-sales_data_1[[#This Row],[Discount]]) - sales_data_1[[#This Row],[Unit_Cost]])*sales_data_1[[#This Row],[Quantity_Sold]],2), "PASS", "CHECK")</f>
        <v>PASS</v>
      </c>
    </row>
    <row r="1919" spans="1:20" x14ac:dyDescent="0.35">
      <c r="A1919" s="7">
        <v>1918</v>
      </c>
      <c r="B1919" s="9">
        <v>1026</v>
      </c>
      <c r="C1919" s="14" t="str">
        <f>IFERROR(_xlfn.TEXTJOIN("-", TRUE, _xlfn.XLOOKUP(K1919, product_category_id_lookup!$A$2:$A$5, product_category_id_lookup!$B$2:$B$5), B1919), "Unknown Category")</f>
        <v>fd-1026</v>
      </c>
      <c r="D1919" s="8">
        <v>45223</v>
      </c>
      <c r="E1919" s="14">
        <f t="shared" si="87"/>
        <v>2023</v>
      </c>
      <c r="F1919" s="29" t="str">
        <f t="shared" si="88"/>
        <v>Oct</v>
      </c>
      <c r="G1919" s="17" t="s">
        <v>22</v>
      </c>
      <c r="H1919" s="17" t="s">
        <v>30</v>
      </c>
      <c r="I1919" s="24">
        <v>83973.581999999995</v>
      </c>
      <c r="J1919" s="32">
        <v>45</v>
      </c>
      <c r="K1919" s="17" t="s">
        <v>24</v>
      </c>
      <c r="L1919" s="24">
        <v>1741.66</v>
      </c>
      <c r="M1919" s="24">
        <v>2169.86</v>
      </c>
      <c r="N1919" s="34">
        <f>((sales_data_1[[#This Row],[Unit_Price]]*(1-sales_data_1[[#This Row],[Discount]]))-sales_data_1[[#This Row],[Unit_Cost]])*sales_data_1[[#This Row],[Quantity_Sold]]</f>
        <v>5598.8819999999978</v>
      </c>
      <c r="O1919" s="17" t="s">
        <v>17</v>
      </c>
      <c r="P1919" s="26">
        <v>0.14000000000000001</v>
      </c>
      <c r="Q1919" s="17" t="s">
        <v>28</v>
      </c>
      <c r="R1919" s="17" t="s">
        <v>19</v>
      </c>
      <c r="S1919" s="50" t="str">
        <f t="shared" si="89"/>
        <v>David-East</v>
      </c>
      <c r="T1919" s="59" t="str">
        <f>IF(ROUND(sales_data_1[[#This Row],[Profit_Margin]],2)=ROUND((sales_data_1[[#This Row],[Unit_Price]]*(1-sales_data_1[[#This Row],[Discount]]) - sales_data_1[[#This Row],[Unit_Cost]])*sales_data_1[[#This Row],[Quantity_Sold]],2), "PASS", "CHECK")</f>
        <v>PASS</v>
      </c>
    </row>
    <row r="1920" spans="1:20" x14ac:dyDescent="0.35">
      <c r="A1920" s="7">
        <v>1919</v>
      </c>
      <c r="B1920" s="9">
        <v>1097</v>
      </c>
      <c r="C1920" s="14" t="str">
        <f>IFERROR(_xlfn.TEXTJOIN("-", TRUE, _xlfn.XLOOKUP(K1920, product_category_id_lookup!$A$2:$A$5, product_category_id_lookup!$B$2:$B$5), B1920), "Unknown Category")</f>
        <v>etc-1097</v>
      </c>
      <c r="D1920" s="8">
        <v>45225</v>
      </c>
      <c r="E1920" s="14">
        <f t="shared" si="87"/>
        <v>2023</v>
      </c>
      <c r="F1920" s="29" t="str">
        <f t="shared" si="88"/>
        <v>Oct</v>
      </c>
      <c r="G1920" s="17" t="s">
        <v>33</v>
      </c>
      <c r="H1920" s="17" t="s">
        <v>30</v>
      </c>
      <c r="I1920" s="24">
        <v>129442.98150000001</v>
      </c>
      <c r="J1920" s="32">
        <v>27</v>
      </c>
      <c r="K1920" s="17" t="s">
        <v>31</v>
      </c>
      <c r="L1920" s="24">
        <v>4686.79</v>
      </c>
      <c r="M1920" s="24">
        <v>5046.51</v>
      </c>
      <c r="N1920" s="34">
        <f>((sales_data_1[[#This Row],[Unit_Price]]*(1-sales_data_1[[#This Row],[Discount]]))-sales_data_1[[#This Row],[Unit_Cost]])*sales_data_1[[#This Row],[Quantity_Sold]]</f>
        <v>2899.651500000009</v>
      </c>
      <c r="O1920" s="17" t="s">
        <v>17</v>
      </c>
      <c r="P1920" s="26">
        <v>0.05</v>
      </c>
      <c r="Q1920" s="17" t="s">
        <v>28</v>
      </c>
      <c r="R1920" s="17" t="s">
        <v>21</v>
      </c>
      <c r="S1920" s="50" t="str">
        <f t="shared" si="89"/>
        <v>Alice-East</v>
      </c>
      <c r="T1920" s="59" t="str">
        <f>IF(ROUND(sales_data_1[[#This Row],[Profit_Margin]],2)=ROUND((sales_data_1[[#This Row],[Unit_Price]]*(1-sales_data_1[[#This Row],[Discount]]) - sales_data_1[[#This Row],[Unit_Cost]])*sales_data_1[[#This Row],[Quantity_Sold]],2), "PASS", "CHECK")</f>
        <v>PASS</v>
      </c>
    </row>
    <row r="1921" spans="1:20" x14ac:dyDescent="0.35">
      <c r="A1921" s="7">
        <v>1920</v>
      </c>
      <c r="B1921" s="9">
        <v>1087</v>
      </c>
      <c r="C1921" s="14" t="str">
        <f>IFERROR(_xlfn.TEXTJOIN("-", TRUE, _xlfn.XLOOKUP(K1921, product_category_id_lookup!$A$2:$A$5, product_category_id_lookup!$B$2:$B$5), B1921), "Unknown Category")</f>
        <v>fd-1087</v>
      </c>
      <c r="D1921" s="8">
        <v>45226</v>
      </c>
      <c r="E1921" s="14">
        <f t="shared" si="87"/>
        <v>2023</v>
      </c>
      <c r="F1921" s="29" t="str">
        <f t="shared" si="88"/>
        <v>Oct</v>
      </c>
      <c r="G1921" s="17" t="s">
        <v>32</v>
      </c>
      <c r="H1921" s="17" t="s">
        <v>15</v>
      </c>
      <c r="I1921" s="24">
        <v>90669.271034817226</v>
      </c>
      <c r="J1921" s="32">
        <v>27</v>
      </c>
      <c r="K1921" s="17" t="s">
        <v>24</v>
      </c>
      <c r="L1921" s="24">
        <v>3139.36</v>
      </c>
      <c r="M1921" s="24">
        <v>3423.6600000000003</v>
      </c>
      <c r="N1921" s="34">
        <f>((sales_data_1[[#This Row],[Unit_Price]]*(1-sales_data_1[[#This Row],[Discount]]))-sales_data_1[[#This Row],[Unit_Cost]])*sales_data_1[[#This Row],[Quantity_Sold]]</f>
        <v>5827.323600000007</v>
      </c>
      <c r="O1921" s="17" t="s">
        <v>27</v>
      </c>
      <c r="P1921" s="26">
        <v>0.02</v>
      </c>
      <c r="Q1921" s="17" t="s">
        <v>28</v>
      </c>
      <c r="R1921" s="17" t="s">
        <v>19</v>
      </c>
      <c r="S1921" s="50" t="str">
        <f t="shared" si="89"/>
        <v>Eve-North</v>
      </c>
      <c r="T1921" s="59" t="str">
        <f>IF(ROUND(sales_data_1[[#This Row],[Profit_Margin]],2)=ROUND((sales_data_1[[#This Row],[Unit_Price]]*(1-sales_data_1[[#This Row],[Discount]]) - sales_data_1[[#This Row],[Unit_Cost]])*sales_data_1[[#This Row],[Quantity_Sold]],2), "PASS", "CHECK")</f>
        <v>PASS</v>
      </c>
    </row>
    <row r="1922" spans="1:20" x14ac:dyDescent="0.35">
      <c r="A1922" s="7">
        <v>1921</v>
      </c>
      <c r="B1922" s="9">
        <v>1089</v>
      </c>
      <c r="C1922" s="14" t="str">
        <f>IFERROR(_xlfn.TEXTJOIN("-", TRUE, _xlfn.XLOOKUP(K1922, product_category_id_lookup!$A$2:$A$5, product_category_id_lookup!$B$2:$B$5), B1922), "Unknown Category")</f>
        <v>fnt-1089</v>
      </c>
      <c r="D1922" s="8">
        <v>45226</v>
      </c>
      <c r="E1922" s="14">
        <f t="shared" ref="E1922:E1985" si="90">YEAR(D1922)</f>
        <v>2023</v>
      </c>
      <c r="F1922" s="29" t="str">
        <f t="shared" ref="F1922:F1985" si="91">LEFT(TEXT(D1922,"mmmm"),3)</f>
        <v>Oct</v>
      </c>
      <c r="G1922" s="17" t="s">
        <v>22</v>
      </c>
      <c r="H1922" s="17" t="s">
        <v>15</v>
      </c>
      <c r="I1922" s="24">
        <v>173900.50972212607</v>
      </c>
      <c r="J1922" s="32">
        <v>43</v>
      </c>
      <c r="K1922" s="17" t="s">
        <v>16</v>
      </c>
      <c r="L1922" s="24">
        <v>3851.45</v>
      </c>
      <c r="M1922" s="24">
        <v>4186.9799999999996</v>
      </c>
      <c r="N1922" s="34">
        <f>((sales_data_1[[#This Row],[Unit_Price]]*(1-sales_data_1[[#This Row],[Discount]]))-sales_data_1[[#This Row],[Unit_Cost]])*sales_data_1[[#This Row],[Quantity_Sold]]</f>
        <v>9026.5857999999771</v>
      </c>
      <c r="O1922" s="17" t="s">
        <v>17</v>
      </c>
      <c r="P1922" s="26">
        <v>0.03</v>
      </c>
      <c r="Q1922" s="17" t="s">
        <v>28</v>
      </c>
      <c r="R1922" s="17" t="s">
        <v>19</v>
      </c>
      <c r="S1922" s="50" t="str">
        <f t="shared" ref="S1922:S1985" si="92">_xlfn.CONCAT(G1922,"-",H1922)</f>
        <v>David-North</v>
      </c>
      <c r="T1922" s="59" t="str">
        <f>IF(ROUND(sales_data_1[[#This Row],[Profit_Margin]],2)=ROUND((sales_data_1[[#This Row],[Unit_Price]]*(1-sales_data_1[[#This Row],[Discount]]) - sales_data_1[[#This Row],[Unit_Cost]])*sales_data_1[[#This Row],[Quantity_Sold]],2), "PASS", "CHECK")</f>
        <v>PASS</v>
      </c>
    </row>
    <row r="1923" spans="1:20" x14ac:dyDescent="0.35">
      <c r="A1923" s="7">
        <v>1922</v>
      </c>
      <c r="B1923" s="9">
        <v>1033</v>
      </c>
      <c r="C1923" s="14" t="str">
        <f>IFERROR(_xlfn.TEXTJOIN("-", TRUE, _xlfn.XLOOKUP(K1923, product_category_id_lookup!$A$2:$A$5, product_category_id_lookup!$B$2:$B$5), B1923), "Unknown Category")</f>
        <v>ctg-1033</v>
      </c>
      <c r="D1923" s="8">
        <v>45227</v>
      </c>
      <c r="E1923" s="14">
        <f t="shared" si="90"/>
        <v>2023</v>
      </c>
      <c r="F1923" s="29" t="str">
        <f t="shared" si="91"/>
        <v>Oct</v>
      </c>
      <c r="G1923" s="17" t="s">
        <v>22</v>
      </c>
      <c r="H1923" s="17" t="s">
        <v>15</v>
      </c>
      <c r="I1923" s="24">
        <v>205620.73802795293</v>
      </c>
      <c r="J1923" s="32">
        <v>43</v>
      </c>
      <c r="K1923" s="17" t="s">
        <v>26</v>
      </c>
      <c r="L1923" s="24">
        <v>4781.42</v>
      </c>
      <c r="M1923" s="24">
        <v>4864.34</v>
      </c>
      <c r="N1923" s="34">
        <f>((sales_data_1[[#This Row],[Unit_Price]]*(1-sales_data_1[[#This Row],[Discount]]))-sales_data_1[[#This Row],[Unit_Cost]])*sales_data_1[[#This Row],[Quantity_Sold]]</f>
        <v>-617.77239999999074</v>
      </c>
      <c r="O1923" s="17" t="s">
        <v>17</v>
      </c>
      <c r="P1923" s="26">
        <v>0.02</v>
      </c>
      <c r="Q1923" s="17" t="s">
        <v>25</v>
      </c>
      <c r="R1923" s="17" t="s">
        <v>19</v>
      </c>
      <c r="S1923" s="50" t="str">
        <f t="shared" si="92"/>
        <v>David-North</v>
      </c>
      <c r="T1923" s="59" t="str">
        <f>IF(ROUND(sales_data_1[[#This Row],[Profit_Margin]],2)=ROUND((sales_data_1[[#This Row],[Unit_Price]]*(1-sales_data_1[[#This Row],[Discount]]) - sales_data_1[[#This Row],[Unit_Cost]])*sales_data_1[[#This Row],[Quantity_Sold]],2), "PASS", "CHECK")</f>
        <v>PASS</v>
      </c>
    </row>
    <row r="1924" spans="1:20" x14ac:dyDescent="0.35">
      <c r="A1924" s="7">
        <v>1923</v>
      </c>
      <c r="B1924" s="9">
        <v>1079</v>
      </c>
      <c r="C1924" s="14" t="str">
        <f>IFERROR(_xlfn.TEXTJOIN("-", TRUE, _xlfn.XLOOKUP(K1924, product_category_id_lookup!$A$2:$A$5, product_category_id_lookup!$B$2:$B$5), B1924), "Unknown Category")</f>
        <v>fnt-1079</v>
      </c>
      <c r="D1924" s="8">
        <v>45227</v>
      </c>
      <c r="E1924" s="14">
        <f t="shared" si="90"/>
        <v>2023</v>
      </c>
      <c r="F1924" s="29" t="str">
        <f t="shared" si="91"/>
        <v>Oct</v>
      </c>
      <c r="G1924" s="17" t="s">
        <v>14</v>
      </c>
      <c r="H1924" s="17" t="s">
        <v>20</v>
      </c>
      <c r="I1924" s="24">
        <v>46476.925197203476</v>
      </c>
      <c r="J1924" s="32">
        <v>38</v>
      </c>
      <c r="K1924" s="17" t="s">
        <v>16</v>
      </c>
      <c r="L1924" s="24">
        <v>1127.76</v>
      </c>
      <c r="M1924" s="24">
        <v>1265.6600000000001</v>
      </c>
      <c r="N1924" s="34">
        <f>((sales_data_1[[#This Row],[Unit_Price]]*(1-sales_data_1[[#This Row],[Discount]]))-sales_data_1[[#This Row],[Unit_Cost]])*sales_data_1[[#This Row],[Quantity_Sold]]</f>
        <v>3797.3476000000005</v>
      </c>
      <c r="O1924" s="17" t="s">
        <v>17</v>
      </c>
      <c r="P1924" s="26">
        <v>0.03</v>
      </c>
      <c r="Q1924" s="17" t="s">
        <v>25</v>
      </c>
      <c r="R1924" s="17" t="s">
        <v>21</v>
      </c>
      <c r="S1924" s="50" t="str">
        <f t="shared" si="92"/>
        <v>Bob-West</v>
      </c>
      <c r="T1924" s="59" t="str">
        <f>IF(ROUND(sales_data_1[[#This Row],[Profit_Margin]],2)=ROUND((sales_data_1[[#This Row],[Unit_Price]]*(1-sales_data_1[[#This Row],[Discount]]) - sales_data_1[[#This Row],[Unit_Cost]])*sales_data_1[[#This Row],[Quantity_Sold]],2), "PASS", "CHECK")</f>
        <v>PASS</v>
      </c>
    </row>
    <row r="1925" spans="1:20" x14ac:dyDescent="0.35">
      <c r="A1925" s="7">
        <v>1924</v>
      </c>
      <c r="B1925" s="9">
        <v>1081</v>
      </c>
      <c r="C1925" s="14" t="str">
        <f>IFERROR(_xlfn.TEXTJOIN("-", TRUE, _xlfn.XLOOKUP(K1925, product_category_id_lookup!$A$2:$A$5, product_category_id_lookup!$B$2:$B$5), B1925), "Unknown Category")</f>
        <v>fd-1081</v>
      </c>
      <c r="D1925" s="8">
        <v>45227</v>
      </c>
      <c r="E1925" s="14">
        <f t="shared" si="90"/>
        <v>2023</v>
      </c>
      <c r="F1925" s="29" t="str">
        <f t="shared" si="91"/>
        <v>Oct</v>
      </c>
      <c r="G1925" s="17" t="s">
        <v>29</v>
      </c>
      <c r="H1925" s="17" t="s">
        <v>15</v>
      </c>
      <c r="I1925" s="24">
        <v>38353.06396522218</v>
      </c>
      <c r="J1925" s="32">
        <v>23</v>
      </c>
      <c r="K1925" s="17" t="s">
        <v>24</v>
      </c>
      <c r="L1925" s="24">
        <v>1411.37</v>
      </c>
      <c r="M1925" s="24">
        <v>1675.35</v>
      </c>
      <c r="N1925" s="34">
        <f>((sales_data_1[[#This Row],[Unit_Price]]*(1-sales_data_1[[#This Row],[Discount]]))-sales_data_1[[#This Row],[Unit_Cost]])*sales_data_1[[#This Row],[Quantity_Sold]]</f>
        <v>6071.5400000000009</v>
      </c>
      <c r="O1925" s="17" t="s">
        <v>27</v>
      </c>
      <c r="P1925" s="26">
        <v>0</v>
      </c>
      <c r="Q1925" s="17" t="s">
        <v>18</v>
      </c>
      <c r="R1925" s="17" t="s">
        <v>21</v>
      </c>
      <c r="S1925" s="50" t="str">
        <f t="shared" si="92"/>
        <v>Charlie-North</v>
      </c>
      <c r="T1925" s="59" t="str">
        <f>IF(ROUND(sales_data_1[[#This Row],[Profit_Margin]],2)=ROUND((sales_data_1[[#This Row],[Unit_Price]]*(1-sales_data_1[[#This Row],[Discount]]) - sales_data_1[[#This Row],[Unit_Cost]])*sales_data_1[[#This Row],[Quantity_Sold]],2), "PASS", "CHECK")</f>
        <v>PASS</v>
      </c>
    </row>
    <row r="1926" spans="1:20" x14ac:dyDescent="0.35">
      <c r="A1926" s="7">
        <v>1925</v>
      </c>
      <c r="B1926" s="9">
        <v>1091</v>
      </c>
      <c r="C1926" s="14" t="str">
        <f>IFERROR(_xlfn.TEXTJOIN("-", TRUE, _xlfn.XLOOKUP(K1926, product_category_id_lookup!$A$2:$A$5, product_category_id_lookup!$B$2:$B$5), B1926), "Unknown Category")</f>
        <v>fnt-1091</v>
      </c>
      <c r="D1926" s="8">
        <v>45227</v>
      </c>
      <c r="E1926" s="14">
        <f t="shared" si="90"/>
        <v>2023</v>
      </c>
      <c r="F1926" s="29" t="str">
        <f t="shared" si="91"/>
        <v>Oct</v>
      </c>
      <c r="G1926" s="17" t="s">
        <v>14</v>
      </c>
      <c r="H1926" s="17" t="s">
        <v>20</v>
      </c>
      <c r="I1926" s="24">
        <v>95541.321894088222</v>
      </c>
      <c r="J1926" s="32">
        <v>39</v>
      </c>
      <c r="K1926" s="17" t="s">
        <v>16</v>
      </c>
      <c r="L1926" s="24">
        <v>2184.4899999999998</v>
      </c>
      <c r="M1926" s="24">
        <v>2540.4199999999996</v>
      </c>
      <c r="N1926" s="34">
        <f>((sales_data_1[[#This Row],[Unit_Price]]*(1-sales_data_1[[#This Row],[Discount]]))-sales_data_1[[#This Row],[Unit_Cost]])*sales_data_1[[#This Row],[Quantity_Sold]]</f>
        <v>9918.2147999999834</v>
      </c>
      <c r="O1926" s="17" t="s">
        <v>17</v>
      </c>
      <c r="P1926" s="26">
        <v>0.04</v>
      </c>
      <c r="Q1926" s="17" t="s">
        <v>25</v>
      </c>
      <c r="R1926" s="17" t="s">
        <v>19</v>
      </c>
      <c r="S1926" s="50" t="str">
        <f t="shared" si="92"/>
        <v>Bob-West</v>
      </c>
      <c r="T1926" s="59" t="str">
        <f>IF(ROUND(sales_data_1[[#This Row],[Profit_Margin]],2)=ROUND((sales_data_1[[#This Row],[Unit_Price]]*(1-sales_data_1[[#This Row],[Discount]]) - sales_data_1[[#This Row],[Unit_Cost]])*sales_data_1[[#This Row],[Quantity_Sold]],2), "PASS", "CHECK")</f>
        <v>PASS</v>
      </c>
    </row>
    <row r="1927" spans="1:20" x14ac:dyDescent="0.35">
      <c r="A1927" s="7">
        <v>1926</v>
      </c>
      <c r="B1927" s="9">
        <v>1017</v>
      </c>
      <c r="C1927" s="14" t="str">
        <f>IFERROR(_xlfn.TEXTJOIN("-", TRUE, _xlfn.XLOOKUP(K1927, product_category_id_lookup!$A$2:$A$5, product_category_id_lookup!$B$2:$B$5), B1927), "Unknown Category")</f>
        <v>fnt-1017</v>
      </c>
      <c r="D1927" s="8">
        <v>45228</v>
      </c>
      <c r="E1927" s="14">
        <f t="shared" si="90"/>
        <v>2023</v>
      </c>
      <c r="F1927" s="29" t="str">
        <f t="shared" si="91"/>
        <v>Oct</v>
      </c>
      <c r="G1927" s="17" t="s">
        <v>32</v>
      </c>
      <c r="H1927" s="17" t="s">
        <v>30</v>
      </c>
      <c r="I1927" s="24">
        <v>740.43152843429925</v>
      </c>
      <c r="J1927" s="32">
        <v>1</v>
      </c>
      <c r="K1927" s="17" t="s">
        <v>16</v>
      </c>
      <c r="L1927" s="24">
        <v>641.67999999999995</v>
      </c>
      <c r="M1927" s="24">
        <v>752.24</v>
      </c>
      <c r="N1927" s="34">
        <f>((sales_data_1[[#This Row],[Unit_Price]]*(1-sales_data_1[[#This Row],[Discount]]))-sales_data_1[[#This Row],[Unit_Cost]])*sales_data_1[[#This Row],[Quantity_Sold]]</f>
        <v>95.51520000000005</v>
      </c>
      <c r="O1927" s="17" t="s">
        <v>27</v>
      </c>
      <c r="P1927" s="26">
        <v>0.02</v>
      </c>
      <c r="Q1927" s="17" t="s">
        <v>25</v>
      </c>
      <c r="R1927" s="17" t="s">
        <v>19</v>
      </c>
      <c r="S1927" s="50" t="str">
        <f t="shared" si="92"/>
        <v>Eve-East</v>
      </c>
      <c r="T1927" s="59" t="str">
        <f>IF(ROUND(sales_data_1[[#This Row],[Profit_Margin]],2)=ROUND((sales_data_1[[#This Row],[Unit_Price]]*(1-sales_data_1[[#This Row],[Discount]]) - sales_data_1[[#This Row],[Unit_Cost]])*sales_data_1[[#This Row],[Quantity_Sold]],2), "PASS", "CHECK")</f>
        <v>PASS</v>
      </c>
    </row>
    <row r="1928" spans="1:20" x14ac:dyDescent="0.35">
      <c r="A1928" s="7">
        <v>1927</v>
      </c>
      <c r="B1928" s="9">
        <v>1054</v>
      </c>
      <c r="C1928" s="14" t="str">
        <f>IFERROR(_xlfn.TEXTJOIN("-", TRUE, _xlfn.XLOOKUP(K1928, product_category_id_lookup!$A$2:$A$5, product_category_id_lookup!$B$2:$B$5), B1928), "Unknown Category")</f>
        <v>ctg-1054</v>
      </c>
      <c r="D1928" s="8">
        <v>45228</v>
      </c>
      <c r="E1928" s="14">
        <f t="shared" si="90"/>
        <v>2023</v>
      </c>
      <c r="F1928" s="29" t="str">
        <f t="shared" si="91"/>
        <v>Oct</v>
      </c>
      <c r="G1928" s="17" t="s">
        <v>22</v>
      </c>
      <c r="H1928" s="17" t="s">
        <v>20</v>
      </c>
      <c r="I1928" s="24">
        <v>29407.42877857068</v>
      </c>
      <c r="J1928" s="32">
        <v>8</v>
      </c>
      <c r="K1928" s="17" t="s">
        <v>26</v>
      </c>
      <c r="L1928" s="24">
        <v>3610.21</v>
      </c>
      <c r="M1928" s="24">
        <v>3817.9900000000002</v>
      </c>
      <c r="N1928" s="34">
        <f>((sales_data_1[[#This Row],[Unit_Price]]*(1-sales_data_1[[#This Row],[Discount]]))-sales_data_1[[#This Row],[Unit_Cost]])*sales_data_1[[#This Row],[Quantity_Sold]]</f>
        <v>440.48319999999876</v>
      </c>
      <c r="O1928" s="17" t="s">
        <v>17</v>
      </c>
      <c r="P1928" s="26">
        <v>0.04</v>
      </c>
      <c r="Q1928" s="17" t="s">
        <v>18</v>
      </c>
      <c r="R1928" s="17" t="s">
        <v>21</v>
      </c>
      <c r="S1928" s="50" t="str">
        <f t="shared" si="92"/>
        <v>David-West</v>
      </c>
      <c r="T1928" s="59" t="str">
        <f>IF(ROUND(sales_data_1[[#This Row],[Profit_Margin]],2)=ROUND((sales_data_1[[#This Row],[Unit_Price]]*(1-sales_data_1[[#This Row],[Discount]]) - sales_data_1[[#This Row],[Unit_Cost]])*sales_data_1[[#This Row],[Quantity_Sold]],2), "PASS", "CHECK")</f>
        <v>PASS</v>
      </c>
    </row>
    <row r="1929" spans="1:20" x14ac:dyDescent="0.35">
      <c r="A1929" s="7">
        <v>1928</v>
      </c>
      <c r="B1929" s="9">
        <v>1034</v>
      </c>
      <c r="C1929" s="14" t="str">
        <f>IFERROR(_xlfn.TEXTJOIN("-", TRUE, _xlfn.XLOOKUP(K1929, product_category_id_lookup!$A$2:$A$5, product_category_id_lookup!$B$2:$B$5), B1929), "Unknown Category")</f>
        <v>fd-1034</v>
      </c>
      <c r="D1929" s="8">
        <v>45228</v>
      </c>
      <c r="E1929" s="14">
        <f t="shared" si="90"/>
        <v>2023</v>
      </c>
      <c r="F1929" s="29" t="str">
        <f t="shared" si="91"/>
        <v>Oct</v>
      </c>
      <c r="G1929" s="17" t="s">
        <v>22</v>
      </c>
      <c r="H1929" s="17" t="s">
        <v>15</v>
      </c>
      <c r="I1929" s="24">
        <v>34699.933522433887</v>
      </c>
      <c r="J1929" s="32">
        <v>34</v>
      </c>
      <c r="K1929" s="17" t="s">
        <v>24</v>
      </c>
      <c r="L1929" s="24">
        <v>978.15</v>
      </c>
      <c r="M1929" s="24">
        <v>1040.21</v>
      </c>
      <c r="N1929" s="34">
        <f>((sales_data_1[[#This Row],[Unit_Price]]*(1-sales_data_1[[#This Row],[Discount]]))-sales_data_1[[#This Row],[Unit_Cost]])*sales_data_1[[#This Row],[Quantity_Sold]]</f>
        <v>1402.6972000000007</v>
      </c>
      <c r="O1929" s="17" t="s">
        <v>27</v>
      </c>
      <c r="P1929" s="26">
        <v>0.02</v>
      </c>
      <c r="Q1929" s="17" t="s">
        <v>28</v>
      </c>
      <c r="R1929" s="17" t="s">
        <v>21</v>
      </c>
      <c r="S1929" s="50" t="str">
        <f t="shared" si="92"/>
        <v>David-North</v>
      </c>
      <c r="T1929" s="59" t="str">
        <f>IF(ROUND(sales_data_1[[#This Row],[Profit_Margin]],2)=ROUND((sales_data_1[[#This Row],[Unit_Price]]*(1-sales_data_1[[#This Row],[Discount]]) - sales_data_1[[#This Row],[Unit_Cost]])*sales_data_1[[#This Row],[Quantity_Sold]],2), "PASS", "CHECK")</f>
        <v>PASS</v>
      </c>
    </row>
    <row r="1930" spans="1:20" x14ac:dyDescent="0.35">
      <c r="A1930" s="7">
        <v>1929</v>
      </c>
      <c r="B1930" s="9">
        <v>1044</v>
      </c>
      <c r="C1930" s="14" t="str">
        <f>IFERROR(_xlfn.TEXTJOIN("-", TRUE, _xlfn.XLOOKUP(K1930, product_category_id_lookup!$A$2:$A$5, product_category_id_lookup!$B$2:$B$5), B1930), "Unknown Category")</f>
        <v>ctg-1044</v>
      </c>
      <c r="D1930" s="8">
        <v>45228</v>
      </c>
      <c r="E1930" s="14">
        <f t="shared" si="90"/>
        <v>2023</v>
      </c>
      <c r="F1930" s="29" t="str">
        <f t="shared" si="91"/>
        <v>Oct</v>
      </c>
      <c r="G1930" s="17" t="s">
        <v>29</v>
      </c>
      <c r="H1930" s="17" t="s">
        <v>15</v>
      </c>
      <c r="I1930" s="24">
        <v>22226.556000000004</v>
      </c>
      <c r="J1930" s="32">
        <v>11</v>
      </c>
      <c r="K1930" s="17" t="s">
        <v>26</v>
      </c>
      <c r="L1930" s="24">
        <v>1812.66</v>
      </c>
      <c r="M1930" s="24">
        <v>2196.3000000000002</v>
      </c>
      <c r="N1930" s="34">
        <f>((sales_data_1[[#This Row],[Unit_Price]]*(1-sales_data_1[[#This Row],[Discount]]))-sales_data_1[[#This Row],[Unit_Cost]])*sales_data_1[[#This Row],[Quantity_Sold]]</f>
        <v>2287.2960000000016</v>
      </c>
      <c r="O1930" s="17" t="s">
        <v>27</v>
      </c>
      <c r="P1930" s="26">
        <v>0.08</v>
      </c>
      <c r="Q1930" s="17" t="s">
        <v>18</v>
      </c>
      <c r="R1930" s="17" t="s">
        <v>19</v>
      </c>
      <c r="S1930" s="50" t="str">
        <f t="shared" si="92"/>
        <v>Charlie-North</v>
      </c>
      <c r="T1930" s="59" t="str">
        <f>IF(ROUND(sales_data_1[[#This Row],[Profit_Margin]],2)=ROUND((sales_data_1[[#This Row],[Unit_Price]]*(1-sales_data_1[[#This Row],[Discount]]) - sales_data_1[[#This Row],[Unit_Cost]])*sales_data_1[[#This Row],[Quantity_Sold]],2), "PASS", "CHECK")</f>
        <v>PASS</v>
      </c>
    </row>
    <row r="1931" spans="1:20" x14ac:dyDescent="0.35">
      <c r="A1931" s="7">
        <v>1930</v>
      </c>
      <c r="B1931" s="9">
        <v>1019</v>
      </c>
      <c r="C1931" s="14" t="str">
        <f>IFERROR(_xlfn.TEXTJOIN("-", TRUE, _xlfn.XLOOKUP(K1931, product_category_id_lookup!$A$2:$A$5, product_category_id_lookup!$B$2:$B$5), B1931), "Unknown Category")</f>
        <v>fd-1019</v>
      </c>
      <c r="D1931" s="8">
        <v>45228</v>
      </c>
      <c r="E1931" s="14">
        <f t="shared" si="90"/>
        <v>2023</v>
      </c>
      <c r="F1931" s="29" t="str">
        <f t="shared" si="91"/>
        <v>Oct</v>
      </c>
      <c r="G1931" s="17" t="s">
        <v>22</v>
      </c>
      <c r="H1931" s="17" t="s">
        <v>20</v>
      </c>
      <c r="I1931" s="24">
        <v>20388.576000000001</v>
      </c>
      <c r="J1931" s="32">
        <v>31</v>
      </c>
      <c r="K1931" s="17" t="s">
        <v>24</v>
      </c>
      <c r="L1931" s="24">
        <v>333.69</v>
      </c>
      <c r="M1931" s="24">
        <v>685.1</v>
      </c>
      <c r="N1931" s="34">
        <f>((sales_data_1[[#This Row],[Unit_Price]]*(1-sales_data_1[[#This Row],[Discount]]))-sales_data_1[[#This Row],[Unit_Cost]])*sales_data_1[[#This Row],[Quantity_Sold]]</f>
        <v>10044.186000000002</v>
      </c>
      <c r="O1931" s="17" t="s">
        <v>27</v>
      </c>
      <c r="P1931" s="26">
        <v>0.04</v>
      </c>
      <c r="Q1931" s="17" t="s">
        <v>25</v>
      </c>
      <c r="R1931" s="17" t="s">
        <v>19</v>
      </c>
      <c r="S1931" s="50" t="str">
        <f t="shared" si="92"/>
        <v>David-West</v>
      </c>
      <c r="T1931" s="59" t="str">
        <f>IF(ROUND(sales_data_1[[#This Row],[Profit_Margin]],2)=ROUND((sales_data_1[[#This Row],[Unit_Price]]*(1-sales_data_1[[#This Row],[Discount]]) - sales_data_1[[#This Row],[Unit_Cost]])*sales_data_1[[#This Row],[Quantity_Sold]],2), "PASS", "CHECK")</f>
        <v>PASS</v>
      </c>
    </row>
    <row r="1932" spans="1:20" x14ac:dyDescent="0.35">
      <c r="A1932" s="7">
        <v>1931</v>
      </c>
      <c r="B1932" s="9">
        <v>1053</v>
      </c>
      <c r="C1932" s="14" t="str">
        <f>IFERROR(_xlfn.TEXTJOIN("-", TRUE, _xlfn.XLOOKUP(K1932, product_category_id_lookup!$A$2:$A$5, product_category_id_lookup!$B$2:$B$5), B1932), "Unknown Category")</f>
        <v>fd-1053</v>
      </c>
      <c r="D1932" s="8">
        <v>45229</v>
      </c>
      <c r="E1932" s="14">
        <f t="shared" si="90"/>
        <v>2023</v>
      </c>
      <c r="F1932" s="29" t="str">
        <f t="shared" si="91"/>
        <v>Oct</v>
      </c>
      <c r="G1932" s="17" t="s">
        <v>22</v>
      </c>
      <c r="H1932" s="17" t="s">
        <v>15</v>
      </c>
      <c r="I1932" s="24">
        <v>2461.3002146901281</v>
      </c>
      <c r="J1932" s="32">
        <v>1</v>
      </c>
      <c r="K1932" s="17" t="s">
        <v>24</v>
      </c>
      <c r="L1932" s="24">
        <v>2258.44</v>
      </c>
      <c r="M1932" s="24">
        <v>2475.56</v>
      </c>
      <c r="N1932" s="34">
        <f>((sales_data_1[[#This Row],[Unit_Price]]*(1-sales_data_1[[#This Row],[Discount]]))-sales_data_1[[#This Row],[Unit_Cost]])*sales_data_1[[#This Row],[Quantity_Sold]]</f>
        <v>192.36439999999993</v>
      </c>
      <c r="O1932" s="17" t="s">
        <v>27</v>
      </c>
      <c r="P1932" s="26">
        <v>0.01</v>
      </c>
      <c r="Q1932" s="17" t="s">
        <v>18</v>
      </c>
      <c r="R1932" s="17" t="s">
        <v>19</v>
      </c>
      <c r="S1932" s="50" t="str">
        <f t="shared" si="92"/>
        <v>David-North</v>
      </c>
      <c r="T1932" s="59" t="str">
        <f>IF(ROUND(sales_data_1[[#This Row],[Profit_Margin]],2)=ROUND((sales_data_1[[#This Row],[Unit_Price]]*(1-sales_data_1[[#This Row],[Discount]]) - sales_data_1[[#This Row],[Unit_Cost]])*sales_data_1[[#This Row],[Quantity_Sold]],2), "PASS", "CHECK")</f>
        <v>PASS</v>
      </c>
    </row>
    <row r="1933" spans="1:20" x14ac:dyDescent="0.35">
      <c r="A1933" s="7">
        <v>1932</v>
      </c>
      <c r="B1933" s="9">
        <v>1029</v>
      </c>
      <c r="C1933" s="14" t="str">
        <f>IFERROR(_xlfn.TEXTJOIN("-", TRUE, _xlfn.XLOOKUP(K1933, product_category_id_lookup!$A$2:$A$5, product_category_id_lookup!$B$2:$B$5), B1933), "Unknown Category")</f>
        <v>etc-1029</v>
      </c>
      <c r="D1933" s="8">
        <v>45229</v>
      </c>
      <c r="E1933" s="14">
        <f t="shared" si="90"/>
        <v>2023</v>
      </c>
      <c r="F1933" s="29" t="str">
        <f t="shared" si="91"/>
        <v>Oct</v>
      </c>
      <c r="G1933" s="17" t="s">
        <v>32</v>
      </c>
      <c r="H1933" s="17" t="s">
        <v>30</v>
      </c>
      <c r="I1933" s="24">
        <v>42923.857090223741</v>
      </c>
      <c r="J1933" s="32">
        <v>16</v>
      </c>
      <c r="K1933" s="17" t="s">
        <v>31</v>
      </c>
      <c r="L1933" s="24">
        <v>2572.8000000000002</v>
      </c>
      <c r="M1933" s="24">
        <v>2760.6000000000004</v>
      </c>
      <c r="N1933" s="34">
        <f>((sales_data_1[[#This Row],[Unit_Price]]*(1-sales_data_1[[#This Row],[Discount]]))-sales_data_1[[#This Row],[Unit_Cost]])*sales_data_1[[#This Row],[Quantity_Sold]]</f>
        <v>1679.7119999999995</v>
      </c>
      <c r="O1933" s="17" t="s">
        <v>17</v>
      </c>
      <c r="P1933" s="26">
        <v>0.03</v>
      </c>
      <c r="Q1933" s="17" t="s">
        <v>28</v>
      </c>
      <c r="R1933" s="17" t="s">
        <v>21</v>
      </c>
      <c r="S1933" s="50" t="str">
        <f t="shared" si="92"/>
        <v>Eve-East</v>
      </c>
      <c r="T1933" s="59" t="str">
        <f>IF(ROUND(sales_data_1[[#This Row],[Profit_Margin]],2)=ROUND((sales_data_1[[#This Row],[Unit_Price]]*(1-sales_data_1[[#This Row],[Discount]]) - sales_data_1[[#This Row],[Unit_Cost]])*sales_data_1[[#This Row],[Quantity_Sold]],2), "PASS", "CHECK")</f>
        <v>PASS</v>
      </c>
    </row>
    <row r="1934" spans="1:20" x14ac:dyDescent="0.35">
      <c r="A1934" s="7">
        <v>1933</v>
      </c>
      <c r="B1934" s="9">
        <v>1097</v>
      </c>
      <c r="C1934" s="14" t="str">
        <f>IFERROR(_xlfn.TEXTJOIN("-", TRUE, _xlfn.XLOOKUP(K1934, product_category_id_lookup!$A$2:$A$5, product_category_id_lookup!$B$2:$B$5), B1934), "Unknown Category")</f>
        <v>etc-1097</v>
      </c>
      <c r="D1934" s="8">
        <v>45229</v>
      </c>
      <c r="E1934" s="14">
        <f t="shared" si="90"/>
        <v>2023</v>
      </c>
      <c r="F1934" s="29" t="str">
        <f t="shared" si="91"/>
        <v>Oct</v>
      </c>
      <c r="G1934" s="17" t="s">
        <v>32</v>
      </c>
      <c r="H1934" s="17" t="s">
        <v>20</v>
      </c>
      <c r="I1934" s="24">
        <v>211111.13812971883</v>
      </c>
      <c r="J1934" s="32">
        <v>49</v>
      </c>
      <c r="K1934" s="17" t="s">
        <v>31</v>
      </c>
      <c r="L1934" s="24">
        <v>4264.46</v>
      </c>
      <c r="M1934" s="24">
        <v>4315.5200000000004</v>
      </c>
      <c r="N1934" s="34">
        <f>((sales_data_1[[#This Row],[Unit_Price]]*(1-sales_data_1[[#This Row],[Discount]]))-sales_data_1[[#This Row],[Unit_Cost]])*sales_data_1[[#This Row],[Quantity_Sold]]</f>
        <v>2501.9400000000196</v>
      </c>
      <c r="O1934" s="17" t="s">
        <v>27</v>
      </c>
      <c r="P1934" s="26">
        <v>0</v>
      </c>
      <c r="Q1934" s="17" t="s">
        <v>18</v>
      </c>
      <c r="R1934" s="17" t="s">
        <v>21</v>
      </c>
      <c r="S1934" s="50" t="str">
        <f t="shared" si="92"/>
        <v>Eve-West</v>
      </c>
      <c r="T1934" s="59" t="str">
        <f>IF(ROUND(sales_data_1[[#This Row],[Profit_Margin]],2)=ROUND((sales_data_1[[#This Row],[Unit_Price]]*(1-sales_data_1[[#This Row],[Discount]]) - sales_data_1[[#This Row],[Unit_Cost]])*sales_data_1[[#This Row],[Quantity_Sold]],2), "PASS", "CHECK")</f>
        <v>PASS</v>
      </c>
    </row>
    <row r="1935" spans="1:20" x14ac:dyDescent="0.35">
      <c r="A1935" s="7">
        <v>1934</v>
      </c>
      <c r="B1935" s="9">
        <v>1049</v>
      </c>
      <c r="C1935" s="14" t="str">
        <f>IFERROR(_xlfn.TEXTJOIN("-", TRUE, _xlfn.XLOOKUP(K1935, product_category_id_lookup!$A$2:$A$5, product_category_id_lookup!$B$2:$B$5), B1935), "Unknown Category")</f>
        <v>fd-1049</v>
      </c>
      <c r="D1935" s="8">
        <v>45229</v>
      </c>
      <c r="E1935" s="14">
        <f t="shared" si="90"/>
        <v>2023</v>
      </c>
      <c r="F1935" s="29" t="str">
        <f t="shared" si="91"/>
        <v>Oct</v>
      </c>
      <c r="G1935" s="17" t="s">
        <v>33</v>
      </c>
      <c r="H1935" s="17" t="s">
        <v>30</v>
      </c>
      <c r="I1935" s="24">
        <v>168331.06619999997</v>
      </c>
      <c r="J1935" s="32">
        <v>38</v>
      </c>
      <c r="K1935" s="17" t="s">
        <v>24</v>
      </c>
      <c r="L1935" s="24">
        <v>4243.9799999999996</v>
      </c>
      <c r="M1935" s="24">
        <v>4474.5099999999993</v>
      </c>
      <c r="N1935" s="34">
        <f>((sales_data_1[[#This Row],[Unit_Price]]*(1-sales_data_1[[#This Row],[Discount]]))-sales_data_1[[#This Row],[Unit_Cost]])*sales_data_1[[#This Row],[Quantity_Sold]]</f>
        <v>7059.8261999999868</v>
      </c>
      <c r="O1935" s="17" t="s">
        <v>27</v>
      </c>
      <c r="P1935" s="26">
        <v>0.01</v>
      </c>
      <c r="Q1935" s="17" t="s">
        <v>28</v>
      </c>
      <c r="R1935" s="17" t="s">
        <v>19</v>
      </c>
      <c r="S1935" s="50" t="str">
        <f t="shared" si="92"/>
        <v>Alice-East</v>
      </c>
      <c r="T1935" s="59" t="str">
        <f>IF(ROUND(sales_data_1[[#This Row],[Profit_Margin]],2)=ROUND((sales_data_1[[#This Row],[Unit_Price]]*(1-sales_data_1[[#This Row],[Discount]]) - sales_data_1[[#This Row],[Unit_Cost]])*sales_data_1[[#This Row],[Quantity_Sold]],2), "PASS", "CHECK")</f>
        <v>PASS</v>
      </c>
    </row>
    <row r="1936" spans="1:20" x14ac:dyDescent="0.35">
      <c r="A1936" s="7">
        <v>1935</v>
      </c>
      <c r="B1936" s="9">
        <v>1071</v>
      </c>
      <c r="C1936" s="14" t="str">
        <f>IFERROR(_xlfn.TEXTJOIN("-", TRUE, _xlfn.XLOOKUP(K1936, product_category_id_lookup!$A$2:$A$5, product_category_id_lookup!$B$2:$B$5), B1936), "Unknown Category")</f>
        <v>etc-1071</v>
      </c>
      <c r="D1936" s="8">
        <v>45229</v>
      </c>
      <c r="E1936" s="14">
        <f t="shared" si="90"/>
        <v>2023</v>
      </c>
      <c r="F1936" s="29" t="str">
        <f t="shared" si="91"/>
        <v>Oct</v>
      </c>
      <c r="G1936" s="17" t="s">
        <v>33</v>
      </c>
      <c r="H1936" s="17" t="s">
        <v>20</v>
      </c>
      <c r="I1936" s="24">
        <v>69386.941800000001</v>
      </c>
      <c r="J1936" s="32">
        <v>22</v>
      </c>
      <c r="K1936" s="17" t="s">
        <v>31</v>
      </c>
      <c r="L1936" s="24">
        <v>2701.39</v>
      </c>
      <c r="M1936" s="24">
        <v>3185.81</v>
      </c>
      <c r="N1936" s="34">
        <f>((sales_data_1[[#This Row],[Unit_Price]]*(1-sales_data_1[[#This Row],[Discount]]))-sales_data_1[[#This Row],[Unit_Cost]])*sales_data_1[[#This Row],[Quantity_Sold]]</f>
        <v>9956.3618000000024</v>
      </c>
      <c r="O1936" s="17" t="s">
        <v>27</v>
      </c>
      <c r="P1936" s="26">
        <v>0.01</v>
      </c>
      <c r="Q1936" s="17" t="s">
        <v>25</v>
      </c>
      <c r="R1936" s="17" t="s">
        <v>19</v>
      </c>
      <c r="S1936" s="50" t="str">
        <f t="shared" si="92"/>
        <v>Alice-West</v>
      </c>
      <c r="T1936" s="59" t="str">
        <f>IF(ROUND(sales_data_1[[#This Row],[Profit_Margin]],2)=ROUND((sales_data_1[[#This Row],[Unit_Price]]*(1-sales_data_1[[#This Row],[Discount]]) - sales_data_1[[#This Row],[Unit_Cost]])*sales_data_1[[#This Row],[Quantity_Sold]],2), "PASS", "CHECK")</f>
        <v>PASS</v>
      </c>
    </row>
    <row r="1937" spans="1:20" x14ac:dyDescent="0.35">
      <c r="A1937" s="7">
        <v>1936</v>
      </c>
      <c r="B1937" s="9">
        <v>1033</v>
      </c>
      <c r="C1937" s="14" t="str">
        <f>IFERROR(_xlfn.TEXTJOIN("-", TRUE, _xlfn.XLOOKUP(K1937, product_category_id_lookup!$A$2:$A$5, product_category_id_lookup!$B$2:$B$5), B1937), "Unknown Category")</f>
        <v>fnt-1033</v>
      </c>
      <c r="D1937" s="8">
        <v>45230</v>
      </c>
      <c r="E1937" s="14">
        <f t="shared" si="90"/>
        <v>2023</v>
      </c>
      <c r="F1937" s="29" t="str">
        <f t="shared" si="91"/>
        <v>Oct</v>
      </c>
      <c r="G1937" s="17" t="s">
        <v>32</v>
      </c>
      <c r="H1937" s="17" t="s">
        <v>30</v>
      </c>
      <c r="I1937" s="24">
        <v>56283.796799999996</v>
      </c>
      <c r="J1937" s="32">
        <v>18</v>
      </c>
      <c r="K1937" s="17" t="s">
        <v>16</v>
      </c>
      <c r="L1937" s="24">
        <v>3124.48</v>
      </c>
      <c r="M1937" s="24">
        <v>3553.27</v>
      </c>
      <c r="N1937" s="34">
        <f>((sales_data_1[[#This Row],[Unit_Price]]*(1-sales_data_1[[#This Row],[Discount]]))-sales_data_1[[#This Row],[Unit_Cost]])*sales_data_1[[#This Row],[Quantity_Sold]]</f>
        <v>43.15679999999611</v>
      </c>
      <c r="O1937" s="17" t="s">
        <v>17</v>
      </c>
      <c r="P1937" s="26">
        <v>0.12</v>
      </c>
      <c r="Q1937" s="17" t="s">
        <v>18</v>
      </c>
      <c r="R1937" s="17" t="s">
        <v>21</v>
      </c>
      <c r="S1937" s="50" t="str">
        <f t="shared" si="92"/>
        <v>Eve-East</v>
      </c>
      <c r="T1937" s="59" t="str">
        <f>IF(ROUND(sales_data_1[[#This Row],[Profit_Margin]],2)=ROUND((sales_data_1[[#This Row],[Unit_Price]]*(1-sales_data_1[[#This Row],[Discount]]) - sales_data_1[[#This Row],[Unit_Cost]])*sales_data_1[[#This Row],[Quantity_Sold]],2), "PASS", "CHECK")</f>
        <v>PASS</v>
      </c>
    </row>
    <row r="1938" spans="1:20" x14ac:dyDescent="0.35">
      <c r="A1938" s="7">
        <v>1937</v>
      </c>
      <c r="B1938" s="9">
        <v>1028</v>
      </c>
      <c r="C1938" s="14" t="str">
        <f>IFERROR(_xlfn.TEXTJOIN("-", TRUE, _xlfn.XLOOKUP(K1938, product_category_id_lookup!$A$2:$A$5, product_category_id_lookup!$B$2:$B$5), B1938), "Unknown Category")</f>
        <v>fd-1028</v>
      </c>
      <c r="D1938" s="8">
        <v>45231</v>
      </c>
      <c r="E1938" s="14">
        <f t="shared" si="90"/>
        <v>2023</v>
      </c>
      <c r="F1938" s="29" t="str">
        <f t="shared" si="91"/>
        <v>Nov</v>
      </c>
      <c r="G1938" s="17" t="s">
        <v>14</v>
      </c>
      <c r="H1938" s="17" t="s">
        <v>30</v>
      </c>
      <c r="I1938" s="24">
        <v>22736.563200000001</v>
      </c>
      <c r="J1938" s="32">
        <v>24</v>
      </c>
      <c r="K1938" s="17" t="s">
        <v>24</v>
      </c>
      <c r="L1938" s="24">
        <v>911.11</v>
      </c>
      <c r="M1938" s="24">
        <v>1214.56</v>
      </c>
      <c r="N1938" s="34">
        <f>((sales_data_1[[#This Row],[Unit_Price]]*(1-sales_data_1[[#This Row],[Discount]]))-sales_data_1[[#This Row],[Unit_Cost]])*sales_data_1[[#This Row],[Quantity_Sold]]</f>
        <v>869.92320000000018</v>
      </c>
      <c r="O1938" s="17" t="s">
        <v>27</v>
      </c>
      <c r="P1938" s="26">
        <v>0.22</v>
      </c>
      <c r="Q1938" s="17" t="s">
        <v>25</v>
      </c>
      <c r="R1938" s="17" t="s">
        <v>19</v>
      </c>
      <c r="S1938" s="50" t="str">
        <f t="shared" si="92"/>
        <v>Bob-East</v>
      </c>
      <c r="T1938" s="59" t="str">
        <f>IF(ROUND(sales_data_1[[#This Row],[Profit_Margin]],2)=ROUND((sales_data_1[[#This Row],[Unit_Price]]*(1-sales_data_1[[#This Row],[Discount]]) - sales_data_1[[#This Row],[Unit_Cost]])*sales_data_1[[#This Row],[Quantity_Sold]],2), "PASS", "CHECK")</f>
        <v>PASS</v>
      </c>
    </row>
    <row r="1939" spans="1:20" x14ac:dyDescent="0.35">
      <c r="A1939" s="7">
        <v>1938</v>
      </c>
      <c r="B1939" s="9">
        <v>1096</v>
      </c>
      <c r="C1939" s="14" t="str">
        <f>IFERROR(_xlfn.TEXTJOIN("-", TRUE, _xlfn.XLOOKUP(K1939, product_category_id_lookup!$A$2:$A$5, product_category_id_lookup!$B$2:$B$5), B1939), "Unknown Category")</f>
        <v>fd-1096</v>
      </c>
      <c r="D1939" s="8">
        <v>45231</v>
      </c>
      <c r="E1939" s="14">
        <f t="shared" si="90"/>
        <v>2023</v>
      </c>
      <c r="F1939" s="29" t="str">
        <f t="shared" si="91"/>
        <v>Nov</v>
      </c>
      <c r="G1939" s="17" t="s">
        <v>14</v>
      </c>
      <c r="H1939" s="17" t="s">
        <v>23</v>
      </c>
      <c r="I1939" s="24">
        <v>49903.62800265925</v>
      </c>
      <c r="J1939" s="32">
        <v>17</v>
      </c>
      <c r="K1939" s="17" t="s">
        <v>24</v>
      </c>
      <c r="L1939" s="24">
        <v>2774.24</v>
      </c>
      <c r="M1939" s="24">
        <v>3069.9399999999996</v>
      </c>
      <c r="N1939" s="34">
        <f>((sales_data_1[[#This Row],[Unit_Price]]*(1-sales_data_1[[#This Row],[Discount]]))-sales_data_1[[#This Row],[Unit_Cost]])*sales_data_1[[#This Row],[Quantity_Sold]]</f>
        <v>2939.340799999999</v>
      </c>
      <c r="O1939" s="17" t="s">
        <v>17</v>
      </c>
      <c r="P1939" s="26">
        <v>0.04</v>
      </c>
      <c r="Q1939" s="17" t="s">
        <v>25</v>
      </c>
      <c r="R1939" s="17" t="s">
        <v>21</v>
      </c>
      <c r="S1939" s="50" t="str">
        <f t="shared" si="92"/>
        <v>Bob-South</v>
      </c>
      <c r="T1939" s="59" t="str">
        <f>IF(ROUND(sales_data_1[[#This Row],[Profit_Margin]],2)=ROUND((sales_data_1[[#This Row],[Unit_Price]]*(1-sales_data_1[[#This Row],[Discount]]) - sales_data_1[[#This Row],[Unit_Cost]])*sales_data_1[[#This Row],[Quantity_Sold]],2), "PASS", "CHECK")</f>
        <v>PASS</v>
      </c>
    </row>
    <row r="1940" spans="1:20" x14ac:dyDescent="0.35">
      <c r="A1940" s="7">
        <v>1939</v>
      </c>
      <c r="B1940" s="9">
        <v>1062</v>
      </c>
      <c r="C1940" s="14" t="str">
        <f>IFERROR(_xlfn.TEXTJOIN("-", TRUE, _xlfn.XLOOKUP(K1940, product_category_id_lookup!$A$2:$A$5, product_category_id_lookup!$B$2:$B$5), B1940), "Unknown Category")</f>
        <v>fd-1062</v>
      </c>
      <c r="D1940" s="8">
        <v>45231</v>
      </c>
      <c r="E1940" s="14">
        <f t="shared" si="90"/>
        <v>2023</v>
      </c>
      <c r="F1940" s="29" t="str">
        <f t="shared" si="91"/>
        <v>Nov</v>
      </c>
      <c r="G1940" s="17" t="s">
        <v>14</v>
      </c>
      <c r="H1940" s="17" t="s">
        <v>30</v>
      </c>
      <c r="I1940" s="24">
        <v>41831.503299459386</v>
      </c>
      <c r="J1940" s="32">
        <v>36</v>
      </c>
      <c r="K1940" s="17" t="s">
        <v>24</v>
      </c>
      <c r="L1940" s="24">
        <v>1050.6400000000001</v>
      </c>
      <c r="M1940" s="24">
        <v>1167.3300000000002</v>
      </c>
      <c r="N1940" s="34">
        <f>((sales_data_1[[#This Row],[Unit_Price]]*(1-sales_data_1[[#This Row],[Discount]]))-sales_data_1[[#This Row],[Unit_Cost]])*sales_data_1[[#This Row],[Quantity_Sold]]</f>
        <v>4200.840000000002</v>
      </c>
      <c r="O1940" s="17" t="s">
        <v>27</v>
      </c>
      <c r="P1940" s="26">
        <v>0</v>
      </c>
      <c r="Q1940" s="17" t="s">
        <v>18</v>
      </c>
      <c r="R1940" s="17" t="s">
        <v>19</v>
      </c>
      <c r="S1940" s="50" t="str">
        <f t="shared" si="92"/>
        <v>Bob-East</v>
      </c>
      <c r="T1940" s="59" t="str">
        <f>IF(ROUND(sales_data_1[[#This Row],[Profit_Margin]],2)=ROUND((sales_data_1[[#This Row],[Unit_Price]]*(1-sales_data_1[[#This Row],[Discount]]) - sales_data_1[[#This Row],[Unit_Cost]])*sales_data_1[[#This Row],[Quantity_Sold]],2), "PASS", "CHECK")</f>
        <v>PASS</v>
      </c>
    </row>
    <row r="1941" spans="1:20" x14ac:dyDescent="0.35">
      <c r="A1941" s="7">
        <v>1940</v>
      </c>
      <c r="B1941" s="9">
        <v>1009</v>
      </c>
      <c r="C1941" s="14" t="str">
        <f>IFERROR(_xlfn.TEXTJOIN("-", TRUE, _xlfn.XLOOKUP(K1941, product_category_id_lookup!$A$2:$A$5, product_category_id_lookup!$B$2:$B$5), B1941), "Unknown Category")</f>
        <v>fd-1009</v>
      </c>
      <c r="D1941" s="8">
        <v>45231</v>
      </c>
      <c r="E1941" s="14">
        <f t="shared" si="90"/>
        <v>2023</v>
      </c>
      <c r="F1941" s="29" t="str">
        <f t="shared" si="91"/>
        <v>Nov</v>
      </c>
      <c r="G1941" s="17" t="s">
        <v>14</v>
      </c>
      <c r="H1941" s="17" t="s">
        <v>23</v>
      </c>
      <c r="I1941" s="24">
        <v>12483.055199999999</v>
      </c>
      <c r="J1941" s="32">
        <v>14</v>
      </c>
      <c r="K1941" s="17" t="s">
        <v>24</v>
      </c>
      <c r="L1941" s="24">
        <v>547.79</v>
      </c>
      <c r="M1941" s="24">
        <v>958.76</v>
      </c>
      <c r="N1941" s="34">
        <f>((sales_data_1[[#This Row],[Unit_Price]]*(1-sales_data_1[[#This Row],[Discount]]))-sales_data_1[[#This Row],[Unit_Cost]])*sales_data_1[[#This Row],[Quantity_Sold]]</f>
        <v>4813.9952000000003</v>
      </c>
      <c r="O1941" s="17" t="s">
        <v>17</v>
      </c>
      <c r="P1941" s="26">
        <v>7.0000000000000007E-2</v>
      </c>
      <c r="Q1941" s="17" t="s">
        <v>28</v>
      </c>
      <c r="R1941" s="17" t="s">
        <v>21</v>
      </c>
      <c r="S1941" s="50" t="str">
        <f t="shared" si="92"/>
        <v>Bob-South</v>
      </c>
      <c r="T1941" s="59" t="str">
        <f>IF(ROUND(sales_data_1[[#This Row],[Profit_Margin]],2)=ROUND((sales_data_1[[#This Row],[Unit_Price]]*(1-sales_data_1[[#This Row],[Discount]]) - sales_data_1[[#This Row],[Unit_Cost]])*sales_data_1[[#This Row],[Quantity_Sold]],2), "PASS", "CHECK")</f>
        <v>PASS</v>
      </c>
    </row>
    <row r="1942" spans="1:20" x14ac:dyDescent="0.35">
      <c r="A1942" s="7">
        <v>1941</v>
      </c>
      <c r="B1942" s="9">
        <v>1093</v>
      </c>
      <c r="C1942" s="14" t="str">
        <f>IFERROR(_xlfn.TEXTJOIN("-", TRUE, _xlfn.XLOOKUP(K1942, product_category_id_lookup!$A$2:$A$5, product_category_id_lookup!$B$2:$B$5), B1942), "Unknown Category")</f>
        <v>ctg-1093</v>
      </c>
      <c r="D1942" s="8">
        <v>45231</v>
      </c>
      <c r="E1942" s="14">
        <f t="shared" si="90"/>
        <v>2023</v>
      </c>
      <c r="F1942" s="29" t="str">
        <f t="shared" si="91"/>
        <v>Nov</v>
      </c>
      <c r="G1942" s="17" t="s">
        <v>29</v>
      </c>
      <c r="H1942" s="17" t="s">
        <v>15</v>
      </c>
      <c r="I1942" s="24">
        <v>27518.828400000002</v>
      </c>
      <c r="J1942" s="32">
        <v>46</v>
      </c>
      <c r="K1942" s="17" t="s">
        <v>26</v>
      </c>
      <c r="L1942" s="24">
        <v>401.64</v>
      </c>
      <c r="M1942" s="24">
        <v>757.26</v>
      </c>
      <c r="N1942" s="34">
        <f>((sales_data_1[[#This Row],[Unit_Price]]*(1-sales_data_1[[#This Row],[Discount]]))-sales_data_1[[#This Row],[Unit_Cost]])*sales_data_1[[#This Row],[Quantity_Sold]]</f>
        <v>9043.3884000000016</v>
      </c>
      <c r="O1942" s="17" t="s">
        <v>27</v>
      </c>
      <c r="P1942" s="26">
        <v>0.21</v>
      </c>
      <c r="Q1942" s="17" t="s">
        <v>28</v>
      </c>
      <c r="R1942" s="17" t="s">
        <v>21</v>
      </c>
      <c r="S1942" s="50" t="str">
        <f t="shared" si="92"/>
        <v>Charlie-North</v>
      </c>
      <c r="T1942" s="59" t="str">
        <f>IF(ROUND(sales_data_1[[#This Row],[Profit_Margin]],2)=ROUND((sales_data_1[[#This Row],[Unit_Price]]*(1-sales_data_1[[#This Row],[Discount]]) - sales_data_1[[#This Row],[Unit_Cost]])*sales_data_1[[#This Row],[Quantity_Sold]],2), "PASS", "CHECK")</f>
        <v>PASS</v>
      </c>
    </row>
    <row r="1943" spans="1:20" x14ac:dyDescent="0.35">
      <c r="A1943" s="7">
        <v>1942</v>
      </c>
      <c r="B1943" s="9">
        <v>1026</v>
      </c>
      <c r="C1943" s="14" t="str">
        <f>IFERROR(_xlfn.TEXTJOIN("-", TRUE, _xlfn.XLOOKUP(K1943, product_category_id_lookup!$A$2:$A$5, product_category_id_lookup!$B$2:$B$5), B1943), "Unknown Category")</f>
        <v>ctg-1026</v>
      </c>
      <c r="D1943" s="8">
        <v>45231</v>
      </c>
      <c r="E1943" s="14">
        <f t="shared" si="90"/>
        <v>2023</v>
      </c>
      <c r="F1943" s="29" t="str">
        <f t="shared" si="91"/>
        <v>Nov</v>
      </c>
      <c r="G1943" s="17" t="s">
        <v>33</v>
      </c>
      <c r="H1943" s="17" t="s">
        <v>23</v>
      </c>
      <c r="I1943" s="24">
        <v>119982.5551362861</v>
      </c>
      <c r="J1943" s="32">
        <v>36</v>
      </c>
      <c r="K1943" s="17" t="s">
        <v>26</v>
      </c>
      <c r="L1943" s="24">
        <v>3067.05</v>
      </c>
      <c r="M1943" s="24">
        <v>3386.33</v>
      </c>
      <c r="N1943" s="34">
        <f>((sales_data_1[[#This Row],[Unit_Price]]*(1-sales_data_1[[#This Row],[Discount]]))-sales_data_1[[#This Row],[Unit_Cost]])*sales_data_1[[#This Row],[Quantity_Sold]]</f>
        <v>9055.9223999999922</v>
      </c>
      <c r="O1943" s="17" t="s">
        <v>27</v>
      </c>
      <c r="P1943" s="26">
        <v>0.02</v>
      </c>
      <c r="Q1943" s="17" t="s">
        <v>25</v>
      </c>
      <c r="R1943" s="17" t="s">
        <v>19</v>
      </c>
      <c r="S1943" s="50" t="str">
        <f t="shared" si="92"/>
        <v>Alice-South</v>
      </c>
      <c r="T1943" s="59" t="str">
        <f>IF(ROUND(sales_data_1[[#This Row],[Profit_Margin]],2)=ROUND((sales_data_1[[#This Row],[Unit_Price]]*(1-sales_data_1[[#This Row],[Discount]]) - sales_data_1[[#This Row],[Unit_Cost]])*sales_data_1[[#This Row],[Quantity_Sold]],2), "PASS", "CHECK")</f>
        <v>PASS</v>
      </c>
    </row>
    <row r="1944" spans="1:20" x14ac:dyDescent="0.35">
      <c r="A1944" s="7">
        <v>1943</v>
      </c>
      <c r="B1944" s="9">
        <v>1069</v>
      </c>
      <c r="C1944" s="14" t="str">
        <f>IFERROR(_xlfn.TEXTJOIN("-", TRUE, _xlfn.XLOOKUP(K1944, product_category_id_lookup!$A$2:$A$5, product_category_id_lookup!$B$2:$B$5), B1944), "Unknown Category")</f>
        <v>fnt-1069</v>
      </c>
      <c r="D1944" s="8">
        <v>45232</v>
      </c>
      <c r="E1944" s="14">
        <f t="shared" si="90"/>
        <v>2023</v>
      </c>
      <c r="F1944" s="29" t="str">
        <f t="shared" si="91"/>
        <v>Nov</v>
      </c>
      <c r="G1944" s="17" t="s">
        <v>29</v>
      </c>
      <c r="H1944" s="17" t="s">
        <v>15</v>
      </c>
      <c r="I1944" s="24">
        <v>17487.031100000004</v>
      </c>
      <c r="J1944" s="32">
        <v>23</v>
      </c>
      <c r="K1944" s="17" t="s">
        <v>16</v>
      </c>
      <c r="L1944" s="24">
        <v>530.24</v>
      </c>
      <c r="M1944" s="24">
        <v>987.41000000000008</v>
      </c>
      <c r="N1944" s="34">
        <f>((sales_data_1[[#This Row],[Unit_Price]]*(1-sales_data_1[[#This Row],[Discount]]))-sales_data_1[[#This Row],[Unit_Cost]])*sales_data_1[[#This Row],[Quantity_Sold]]</f>
        <v>5291.5111000000024</v>
      </c>
      <c r="O1944" s="17" t="s">
        <v>17</v>
      </c>
      <c r="P1944" s="26">
        <v>0.23</v>
      </c>
      <c r="Q1944" s="17" t="s">
        <v>28</v>
      </c>
      <c r="R1944" s="17" t="s">
        <v>19</v>
      </c>
      <c r="S1944" s="50" t="str">
        <f t="shared" si="92"/>
        <v>Charlie-North</v>
      </c>
      <c r="T1944" s="59" t="str">
        <f>IF(ROUND(sales_data_1[[#This Row],[Profit_Margin]],2)=ROUND((sales_data_1[[#This Row],[Unit_Price]]*(1-sales_data_1[[#This Row],[Discount]]) - sales_data_1[[#This Row],[Unit_Cost]])*sales_data_1[[#This Row],[Quantity_Sold]],2), "PASS", "CHECK")</f>
        <v>PASS</v>
      </c>
    </row>
    <row r="1945" spans="1:20" x14ac:dyDescent="0.35">
      <c r="A1945" s="7">
        <v>1944</v>
      </c>
      <c r="B1945" s="9">
        <v>1058</v>
      </c>
      <c r="C1945" s="14" t="str">
        <f>IFERROR(_xlfn.TEXTJOIN("-", TRUE, _xlfn.XLOOKUP(K1945, product_category_id_lookup!$A$2:$A$5, product_category_id_lookup!$B$2:$B$5), B1945), "Unknown Category")</f>
        <v>ctg-1058</v>
      </c>
      <c r="D1945" s="8">
        <v>45233</v>
      </c>
      <c r="E1945" s="14">
        <f t="shared" si="90"/>
        <v>2023</v>
      </c>
      <c r="F1945" s="29" t="str">
        <f t="shared" si="91"/>
        <v>Nov</v>
      </c>
      <c r="G1945" s="17" t="s">
        <v>22</v>
      </c>
      <c r="H1945" s="17" t="s">
        <v>20</v>
      </c>
      <c r="I1945" s="24">
        <v>153964.08719999998</v>
      </c>
      <c r="J1945" s="32">
        <v>42</v>
      </c>
      <c r="K1945" s="17" t="s">
        <v>26</v>
      </c>
      <c r="L1945" s="24">
        <v>3600.95</v>
      </c>
      <c r="M1945" s="24">
        <v>3702.8399999999997</v>
      </c>
      <c r="N1945" s="34">
        <f>((sales_data_1[[#This Row],[Unit_Price]]*(1-sales_data_1[[#This Row],[Discount]]))-sales_data_1[[#This Row],[Unit_Cost]])*sales_data_1[[#This Row],[Quantity_Sold]]</f>
        <v>2724.1871999999885</v>
      </c>
      <c r="O1945" s="17" t="s">
        <v>17</v>
      </c>
      <c r="P1945" s="26">
        <v>0.01</v>
      </c>
      <c r="Q1945" s="17" t="s">
        <v>18</v>
      </c>
      <c r="R1945" s="17" t="s">
        <v>21</v>
      </c>
      <c r="S1945" s="50" t="str">
        <f t="shared" si="92"/>
        <v>David-West</v>
      </c>
      <c r="T1945" s="59" t="str">
        <f>IF(ROUND(sales_data_1[[#This Row],[Profit_Margin]],2)=ROUND((sales_data_1[[#This Row],[Unit_Price]]*(1-sales_data_1[[#This Row],[Discount]]) - sales_data_1[[#This Row],[Unit_Cost]])*sales_data_1[[#This Row],[Quantity_Sold]],2), "PASS", "CHECK")</f>
        <v>PASS</v>
      </c>
    </row>
    <row r="1946" spans="1:20" x14ac:dyDescent="0.35">
      <c r="A1946" s="7">
        <v>1945</v>
      </c>
      <c r="B1946" s="9">
        <v>1028</v>
      </c>
      <c r="C1946" s="14" t="str">
        <f>IFERROR(_xlfn.TEXTJOIN("-", TRUE, _xlfn.XLOOKUP(K1946, product_category_id_lookup!$A$2:$A$5, product_category_id_lookup!$B$2:$B$5), B1946), "Unknown Category")</f>
        <v>ctg-1028</v>
      </c>
      <c r="D1946" s="8">
        <v>45233</v>
      </c>
      <c r="E1946" s="14">
        <f t="shared" si="90"/>
        <v>2023</v>
      </c>
      <c r="F1946" s="29" t="str">
        <f t="shared" si="91"/>
        <v>Nov</v>
      </c>
      <c r="G1946" s="17" t="s">
        <v>33</v>
      </c>
      <c r="H1946" s="17" t="s">
        <v>15</v>
      </c>
      <c r="I1946" s="24">
        <v>51685.092000000004</v>
      </c>
      <c r="J1946" s="32">
        <v>38</v>
      </c>
      <c r="K1946" s="17" t="s">
        <v>26</v>
      </c>
      <c r="L1946" s="24">
        <v>1234.69</v>
      </c>
      <c r="M1946" s="24">
        <v>1511.26</v>
      </c>
      <c r="N1946" s="34">
        <f>((sales_data_1[[#This Row],[Unit_Price]]*(1-sales_data_1[[#This Row],[Discount]]))-sales_data_1[[#This Row],[Unit_Cost]])*sales_data_1[[#This Row],[Quantity_Sold]]</f>
        <v>4766.8719999999985</v>
      </c>
      <c r="O1946" s="17" t="s">
        <v>27</v>
      </c>
      <c r="P1946" s="26">
        <v>0.1</v>
      </c>
      <c r="Q1946" s="17" t="s">
        <v>25</v>
      </c>
      <c r="R1946" s="17" t="s">
        <v>19</v>
      </c>
      <c r="S1946" s="50" t="str">
        <f t="shared" si="92"/>
        <v>Alice-North</v>
      </c>
      <c r="T1946" s="59" t="str">
        <f>IF(ROUND(sales_data_1[[#This Row],[Profit_Margin]],2)=ROUND((sales_data_1[[#This Row],[Unit_Price]]*(1-sales_data_1[[#This Row],[Discount]]) - sales_data_1[[#This Row],[Unit_Cost]])*sales_data_1[[#This Row],[Quantity_Sold]],2), "PASS", "CHECK")</f>
        <v>PASS</v>
      </c>
    </row>
    <row r="1947" spans="1:20" x14ac:dyDescent="0.35">
      <c r="A1947" s="7">
        <v>1946</v>
      </c>
      <c r="B1947" s="9">
        <v>1065</v>
      </c>
      <c r="C1947" s="14" t="str">
        <f>IFERROR(_xlfn.TEXTJOIN("-", TRUE, _xlfn.XLOOKUP(K1947, product_category_id_lookup!$A$2:$A$5, product_category_id_lookup!$B$2:$B$5), B1947), "Unknown Category")</f>
        <v>fnt-1065</v>
      </c>
      <c r="D1947" s="8">
        <v>45235</v>
      </c>
      <c r="E1947" s="14">
        <f t="shared" si="90"/>
        <v>2023</v>
      </c>
      <c r="F1947" s="29" t="str">
        <f t="shared" si="91"/>
        <v>Nov</v>
      </c>
      <c r="G1947" s="17" t="s">
        <v>33</v>
      </c>
      <c r="H1947" s="17" t="s">
        <v>30</v>
      </c>
      <c r="I1947" s="24">
        <v>12921.774634939724</v>
      </c>
      <c r="J1947" s="32">
        <v>3</v>
      </c>
      <c r="K1947" s="17" t="s">
        <v>16</v>
      </c>
      <c r="L1947" s="24">
        <v>4173.04</v>
      </c>
      <c r="M1947" s="24">
        <v>4362.4399999999996</v>
      </c>
      <c r="N1947" s="34">
        <f>((sales_data_1[[#This Row],[Unit_Price]]*(1-sales_data_1[[#This Row],[Discount]]))-sales_data_1[[#This Row],[Unit_Cost]])*sales_data_1[[#This Row],[Quantity_Sold]]</f>
        <v>437.32679999999982</v>
      </c>
      <c r="O1947" s="17" t="s">
        <v>27</v>
      </c>
      <c r="P1947" s="26">
        <v>0.01</v>
      </c>
      <c r="Q1947" s="17" t="s">
        <v>25</v>
      </c>
      <c r="R1947" s="17" t="s">
        <v>21</v>
      </c>
      <c r="S1947" s="50" t="str">
        <f t="shared" si="92"/>
        <v>Alice-East</v>
      </c>
      <c r="T1947" s="59" t="str">
        <f>IF(ROUND(sales_data_1[[#This Row],[Profit_Margin]],2)=ROUND((sales_data_1[[#This Row],[Unit_Price]]*(1-sales_data_1[[#This Row],[Discount]]) - sales_data_1[[#This Row],[Unit_Cost]])*sales_data_1[[#This Row],[Quantity_Sold]],2), "PASS", "CHECK")</f>
        <v>PASS</v>
      </c>
    </row>
    <row r="1948" spans="1:20" x14ac:dyDescent="0.35">
      <c r="A1948" s="7">
        <v>1947</v>
      </c>
      <c r="B1948" s="9">
        <v>1087</v>
      </c>
      <c r="C1948" s="14" t="str">
        <f>IFERROR(_xlfn.TEXTJOIN("-", TRUE, _xlfn.XLOOKUP(K1948, product_category_id_lookup!$A$2:$A$5, product_category_id_lookup!$B$2:$B$5), B1948), "Unknown Category")</f>
        <v>etc-1087</v>
      </c>
      <c r="D1948" s="8">
        <v>45235</v>
      </c>
      <c r="E1948" s="14">
        <f t="shared" si="90"/>
        <v>2023</v>
      </c>
      <c r="F1948" s="29" t="str">
        <f t="shared" si="91"/>
        <v>Nov</v>
      </c>
      <c r="G1948" s="17" t="s">
        <v>32</v>
      </c>
      <c r="H1948" s="17" t="s">
        <v>30</v>
      </c>
      <c r="I1948" s="24">
        <v>22498.14</v>
      </c>
      <c r="J1948" s="32">
        <v>30</v>
      </c>
      <c r="K1948" s="17" t="s">
        <v>31</v>
      </c>
      <c r="L1948" s="24">
        <v>698.74</v>
      </c>
      <c r="M1948" s="24">
        <v>882.28</v>
      </c>
      <c r="N1948" s="34">
        <f>((sales_data_1[[#This Row],[Unit_Price]]*(1-sales_data_1[[#This Row],[Discount]]))-sales_data_1[[#This Row],[Unit_Cost]])*sales_data_1[[#This Row],[Quantity_Sold]]</f>
        <v>1535.9399999999994</v>
      </c>
      <c r="O1948" s="17" t="s">
        <v>17</v>
      </c>
      <c r="P1948" s="26">
        <v>0.15</v>
      </c>
      <c r="Q1948" s="17" t="s">
        <v>28</v>
      </c>
      <c r="R1948" s="17" t="s">
        <v>19</v>
      </c>
      <c r="S1948" s="50" t="str">
        <f t="shared" si="92"/>
        <v>Eve-East</v>
      </c>
      <c r="T1948" s="59" t="str">
        <f>IF(ROUND(sales_data_1[[#This Row],[Profit_Margin]],2)=ROUND((sales_data_1[[#This Row],[Unit_Price]]*(1-sales_data_1[[#This Row],[Discount]]) - sales_data_1[[#This Row],[Unit_Cost]])*sales_data_1[[#This Row],[Quantity_Sold]],2), "PASS", "CHECK")</f>
        <v>PASS</v>
      </c>
    </row>
    <row r="1949" spans="1:20" x14ac:dyDescent="0.35">
      <c r="A1949" s="7">
        <v>1948</v>
      </c>
      <c r="B1949" s="9">
        <v>1086</v>
      </c>
      <c r="C1949" s="14" t="str">
        <f>IFERROR(_xlfn.TEXTJOIN("-", TRUE, _xlfn.XLOOKUP(K1949, product_category_id_lookup!$A$2:$A$5, product_category_id_lookup!$B$2:$B$5), B1949), "Unknown Category")</f>
        <v>fnt-1086</v>
      </c>
      <c r="D1949" s="8">
        <v>45235</v>
      </c>
      <c r="E1949" s="14">
        <f t="shared" si="90"/>
        <v>2023</v>
      </c>
      <c r="F1949" s="29" t="str">
        <f t="shared" si="91"/>
        <v>Nov</v>
      </c>
      <c r="G1949" s="17" t="s">
        <v>33</v>
      </c>
      <c r="H1949" s="17" t="s">
        <v>23</v>
      </c>
      <c r="I1949" s="24">
        <v>24794.639806413776</v>
      </c>
      <c r="J1949" s="32">
        <v>10</v>
      </c>
      <c r="K1949" s="17" t="s">
        <v>16</v>
      </c>
      <c r="L1949" s="24">
        <v>2273.91</v>
      </c>
      <c r="M1949" s="24">
        <v>2578.7999999999997</v>
      </c>
      <c r="N1949" s="34">
        <f>((sales_data_1[[#This Row],[Unit_Price]]*(1-sales_data_1[[#This Row],[Discount]]))-sales_data_1[[#This Row],[Unit_Cost]])*sales_data_1[[#This Row],[Quantity_Sold]]</f>
        <v>2017.3799999999983</v>
      </c>
      <c r="O1949" s="17" t="s">
        <v>27</v>
      </c>
      <c r="P1949" s="26">
        <v>0.04</v>
      </c>
      <c r="Q1949" s="17" t="s">
        <v>18</v>
      </c>
      <c r="R1949" s="17" t="s">
        <v>19</v>
      </c>
      <c r="S1949" s="50" t="str">
        <f t="shared" si="92"/>
        <v>Alice-South</v>
      </c>
      <c r="T1949" s="59" t="str">
        <f>IF(ROUND(sales_data_1[[#This Row],[Profit_Margin]],2)=ROUND((sales_data_1[[#This Row],[Unit_Price]]*(1-sales_data_1[[#This Row],[Discount]]) - sales_data_1[[#This Row],[Unit_Cost]])*sales_data_1[[#This Row],[Quantity_Sold]],2), "PASS", "CHECK")</f>
        <v>PASS</v>
      </c>
    </row>
    <row r="1950" spans="1:20" x14ac:dyDescent="0.35">
      <c r="A1950" s="7">
        <v>1949</v>
      </c>
      <c r="B1950" s="9">
        <v>1072</v>
      </c>
      <c r="C1950" s="14" t="str">
        <f>IFERROR(_xlfn.TEXTJOIN("-", TRUE, _xlfn.XLOOKUP(K1950, product_category_id_lookup!$A$2:$A$5, product_category_id_lookup!$B$2:$B$5), B1950), "Unknown Category")</f>
        <v>ctg-1072</v>
      </c>
      <c r="D1950" s="8">
        <v>45235</v>
      </c>
      <c r="E1950" s="14">
        <f t="shared" si="90"/>
        <v>2023</v>
      </c>
      <c r="F1950" s="29" t="str">
        <f t="shared" si="91"/>
        <v>Nov</v>
      </c>
      <c r="G1950" s="17" t="s">
        <v>22</v>
      </c>
      <c r="H1950" s="17" t="s">
        <v>20</v>
      </c>
      <c r="I1950" s="24">
        <v>26956.394399999997</v>
      </c>
      <c r="J1950" s="32">
        <v>39</v>
      </c>
      <c r="K1950" s="17" t="s">
        <v>26</v>
      </c>
      <c r="L1950" s="24">
        <v>591.98</v>
      </c>
      <c r="M1950" s="24">
        <v>934.04</v>
      </c>
      <c r="N1950" s="34">
        <f>((sales_data_1[[#This Row],[Unit_Price]]*(1-sales_data_1[[#This Row],[Discount]]))-sales_data_1[[#This Row],[Unit_Cost]])*sales_data_1[[#This Row],[Quantity_Sold]]</f>
        <v>3869.1743999999962</v>
      </c>
      <c r="O1950" s="17" t="s">
        <v>27</v>
      </c>
      <c r="P1950" s="26">
        <v>0.26</v>
      </c>
      <c r="Q1950" s="17" t="s">
        <v>25</v>
      </c>
      <c r="R1950" s="17" t="s">
        <v>21</v>
      </c>
      <c r="S1950" s="50" t="str">
        <f t="shared" si="92"/>
        <v>David-West</v>
      </c>
      <c r="T1950" s="59" t="str">
        <f>IF(ROUND(sales_data_1[[#This Row],[Profit_Margin]],2)=ROUND((sales_data_1[[#This Row],[Unit_Price]]*(1-sales_data_1[[#This Row],[Discount]]) - sales_data_1[[#This Row],[Unit_Cost]])*sales_data_1[[#This Row],[Quantity_Sold]],2), "PASS", "CHECK")</f>
        <v>PASS</v>
      </c>
    </row>
    <row r="1951" spans="1:20" x14ac:dyDescent="0.35">
      <c r="A1951" s="7">
        <v>1950</v>
      </c>
      <c r="B1951" s="9">
        <v>1075</v>
      </c>
      <c r="C1951" s="14" t="str">
        <f>IFERROR(_xlfn.TEXTJOIN("-", TRUE, _xlfn.XLOOKUP(K1951, product_category_id_lookup!$A$2:$A$5, product_category_id_lookup!$B$2:$B$5), B1951), "Unknown Category")</f>
        <v>fd-1075</v>
      </c>
      <c r="D1951" s="8">
        <v>45235</v>
      </c>
      <c r="E1951" s="14">
        <f t="shared" si="90"/>
        <v>2023</v>
      </c>
      <c r="F1951" s="29" t="str">
        <f t="shared" si="91"/>
        <v>Nov</v>
      </c>
      <c r="G1951" s="17" t="s">
        <v>14</v>
      </c>
      <c r="H1951" s="17" t="s">
        <v>30</v>
      </c>
      <c r="I1951" s="24">
        <v>69825.437524443361</v>
      </c>
      <c r="J1951" s="32">
        <v>37</v>
      </c>
      <c r="K1951" s="17" t="s">
        <v>24</v>
      </c>
      <c r="L1951" s="24">
        <v>1675.51</v>
      </c>
      <c r="M1951" s="24">
        <v>1906.6399999999999</v>
      </c>
      <c r="N1951" s="34">
        <f>((sales_data_1[[#This Row],[Unit_Price]]*(1-sales_data_1[[#This Row],[Discount]]))-sales_data_1[[#This Row],[Unit_Cost]])*sales_data_1[[#This Row],[Quantity_Sold]]</f>
        <v>7846.3531999999977</v>
      </c>
      <c r="O1951" s="17" t="s">
        <v>27</v>
      </c>
      <c r="P1951" s="26">
        <v>0.01</v>
      </c>
      <c r="Q1951" s="17" t="s">
        <v>25</v>
      </c>
      <c r="R1951" s="17" t="s">
        <v>19</v>
      </c>
      <c r="S1951" s="50" t="str">
        <f t="shared" si="92"/>
        <v>Bob-East</v>
      </c>
      <c r="T1951" s="59" t="str">
        <f>IF(ROUND(sales_data_1[[#This Row],[Profit_Margin]],2)=ROUND((sales_data_1[[#This Row],[Unit_Price]]*(1-sales_data_1[[#This Row],[Discount]]) - sales_data_1[[#This Row],[Unit_Cost]])*sales_data_1[[#This Row],[Quantity_Sold]],2), "PASS", "CHECK")</f>
        <v>PASS</v>
      </c>
    </row>
    <row r="1952" spans="1:20" x14ac:dyDescent="0.35">
      <c r="A1952" s="7">
        <v>1951</v>
      </c>
      <c r="B1952" s="9">
        <v>1088</v>
      </c>
      <c r="C1952" s="14" t="str">
        <f>IFERROR(_xlfn.TEXTJOIN("-", TRUE, _xlfn.XLOOKUP(K1952, product_category_id_lookup!$A$2:$A$5, product_category_id_lookup!$B$2:$B$5), B1952), "Unknown Category")</f>
        <v>fd-1088</v>
      </c>
      <c r="D1952" s="8">
        <v>45236</v>
      </c>
      <c r="E1952" s="14">
        <f t="shared" si="90"/>
        <v>2023</v>
      </c>
      <c r="F1952" s="29" t="str">
        <f t="shared" si="91"/>
        <v>Nov</v>
      </c>
      <c r="G1952" s="17" t="s">
        <v>22</v>
      </c>
      <c r="H1952" s="17" t="s">
        <v>23</v>
      </c>
      <c r="I1952" s="24">
        <v>14863.027199999999</v>
      </c>
      <c r="J1952" s="32">
        <v>8</v>
      </c>
      <c r="K1952" s="17" t="s">
        <v>24</v>
      </c>
      <c r="L1952" s="24">
        <v>1786.35</v>
      </c>
      <c r="M1952" s="24">
        <v>1935.29</v>
      </c>
      <c r="N1952" s="34">
        <f>((sales_data_1[[#This Row],[Unit_Price]]*(1-sales_data_1[[#This Row],[Discount]]))-sales_data_1[[#This Row],[Unit_Cost]])*sales_data_1[[#This Row],[Quantity_Sold]]</f>
        <v>572.22719999999936</v>
      </c>
      <c r="O1952" s="17" t="s">
        <v>27</v>
      </c>
      <c r="P1952" s="26">
        <v>0.04</v>
      </c>
      <c r="Q1952" s="17" t="s">
        <v>18</v>
      </c>
      <c r="R1952" s="17" t="s">
        <v>19</v>
      </c>
      <c r="S1952" s="50" t="str">
        <f t="shared" si="92"/>
        <v>David-South</v>
      </c>
      <c r="T1952" s="59" t="str">
        <f>IF(ROUND(sales_data_1[[#This Row],[Profit_Margin]],2)=ROUND((sales_data_1[[#This Row],[Unit_Price]]*(1-sales_data_1[[#This Row],[Discount]]) - sales_data_1[[#This Row],[Unit_Cost]])*sales_data_1[[#This Row],[Quantity_Sold]],2), "PASS", "CHECK")</f>
        <v>PASS</v>
      </c>
    </row>
    <row r="1953" spans="1:20" x14ac:dyDescent="0.35">
      <c r="A1953" s="7">
        <v>1952</v>
      </c>
      <c r="B1953" s="9">
        <v>1006</v>
      </c>
      <c r="C1953" s="14" t="str">
        <f>IFERROR(_xlfn.TEXTJOIN("-", TRUE, _xlfn.XLOOKUP(K1953, product_category_id_lookup!$A$2:$A$5, product_category_id_lookup!$B$2:$B$5), B1953), "Unknown Category")</f>
        <v>fd-1006</v>
      </c>
      <c r="D1953" s="8">
        <v>45236</v>
      </c>
      <c r="E1953" s="14">
        <f t="shared" si="90"/>
        <v>2023</v>
      </c>
      <c r="F1953" s="29" t="str">
        <f t="shared" si="91"/>
        <v>Nov</v>
      </c>
      <c r="G1953" s="17" t="s">
        <v>14</v>
      </c>
      <c r="H1953" s="17" t="s">
        <v>23</v>
      </c>
      <c r="I1953" s="24">
        <v>20067.192199999998</v>
      </c>
      <c r="J1953" s="32">
        <v>22</v>
      </c>
      <c r="K1953" s="17" t="s">
        <v>24</v>
      </c>
      <c r="L1953" s="24">
        <v>834.32</v>
      </c>
      <c r="M1953" s="24">
        <v>1098.97</v>
      </c>
      <c r="N1953" s="34">
        <f>((sales_data_1[[#This Row],[Unit_Price]]*(1-sales_data_1[[#This Row],[Discount]]))-sales_data_1[[#This Row],[Unit_Cost]])*sales_data_1[[#This Row],[Quantity_Sold]]</f>
        <v>1712.1521999999979</v>
      </c>
      <c r="O1953" s="17" t="s">
        <v>17</v>
      </c>
      <c r="P1953" s="26">
        <v>0.17</v>
      </c>
      <c r="Q1953" s="17" t="s">
        <v>18</v>
      </c>
      <c r="R1953" s="17" t="s">
        <v>19</v>
      </c>
      <c r="S1953" s="50" t="str">
        <f t="shared" si="92"/>
        <v>Bob-South</v>
      </c>
      <c r="T1953" s="59" t="str">
        <f>IF(ROUND(sales_data_1[[#This Row],[Profit_Margin]],2)=ROUND((sales_data_1[[#This Row],[Unit_Price]]*(1-sales_data_1[[#This Row],[Discount]]) - sales_data_1[[#This Row],[Unit_Cost]])*sales_data_1[[#This Row],[Quantity_Sold]],2), "PASS", "CHECK")</f>
        <v>PASS</v>
      </c>
    </row>
    <row r="1954" spans="1:20" x14ac:dyDescent="0.35">
      <c r="A1954" s="7">
        <v>1953</v>
      </c>
      <c r="B1954" s="9">
        <v>1071</v>
      </c>
      <c r="C1954" s="14" t="str">
        <f>IFERROR(_xlfn.TEXTJOIN("-", TRUE, _xlfn.XLOOKUP(K1954, product_category_id_lookup!$A$2:$A$5, product_category_id_lookup!$B$2:$B$5), B1954), "Unknown Category")</f>
        <v>fd-1071</v>
      </c>
      <c r="D1954" s="8">
        <v>45236</v>
      </c>
      <c r="E1954" s="14">
        <f t="shared" si="90"/>
        <v>2023</v>
      </c>
      <c r="F1954" s="29" t="str">
        <f t="shared" si="91"/>
        <v>Nov</v>
      </c>
      <c r="G1954" s="17" t="s">
        <v>22</v>
      </c>
      <c r="H1954" s="17" t="s">
        <v>15</v>
      </c>
      <c r="I1954" s="24">
        <v>188837.88310000001</v>
      </c>
      <c r="J1954" s="32">
        <v>47</v>
      </c>
      <c r="K1954" s="17" t="s">
        <v>24</v>
      </c>
      <c r="L1954" s="24">
        <v>3942.34</v>
      </c>
      <c r="M1954" s="24">
        <v>4142.09</v>
      </c>
      <c r="N1954" s="34">
        <f>((sales_data_1[[#This Row],[Unit_Price]]*(1-sales_data_1[[#This Row],[Discount]]))-sales_data_1[[#This Row],[Unit_Cost]])*sales_data_1[[#This Row],[Quantity_Sold]]</f>
        <v>3547.9030999999895</v>
      </c>
      <c r="O1954" s="17" t="s">
        <v>17</v>
      </c>
      <c r="P1954" s="26">
        <v>0.03</v>
      </c>
      <c r="Q1954" s="17" t="s">
        <v>28</v>
      </c>
      <c r="R1954" s="17" t="s">
        <v>21</v>
      </c>
      <c r="S1954" s="50" t="str">
        <f t="shared" si="92"/>
        <v>David-North</v>
      </c>
      <c r="T1954" s="59" t="str">
        <f>IF(ROUND(sales_data_1[[#This Row],[Profit_Margin]],2)=ROUND((sales_data_1[[#This Row],[Unit_Price]]*(1-sales_data_1[[#This Row],[Discount]]) - sales_data_1[[#This Row],[Unit_Cost]])*sales_data_1[[#This Row],[Quantity_Sold]],2), "PASS", "CHECK")</f>
        <v>PASS</v>
      </c>
    </row>
    <row r="1955" spans="1:20" x14ac:dyDescent="0.35">
      <c r="A1955" s="7">
        <v>1954</v>
      </c>
      <c r="B1955" s="9">
        <v>1062</v>
      </c>
      <c r="C1955" s="14" t="str">
        <f>IFERROR(_xlfn.TEXTJOIN("-", TRUE, _xlfn.XLOOKUP(K1955, product_category_id_lookup!$A$2:$A$5, product_category_id_lookup!$B$2:$B$5), B1955), "Unknown Category")</f>
        <v>fd-1062</v>
      </c>
      <c r="D1955" s="8">
        <v>45236</v>
      </c>
      <c r="E1955" s="14">
        <f t="shared" si="90"/>
        <v>2023</v>
      </c>
      <c r="F1955" s="29" t="str">
        <f t="shared" si="91"/>
        <v>Nov</v>
      </c>
      <c r="G1955" s="17" t="s">
        <v>22</v>
      </c>
      <c r="H1955" s="17" t="s">
        <v>30</v>
      </c>
      <c r="I1955" s="24">
        <v>65015.383258563103</v>
      </c>
      <c r="J1955" s="32">
        <v>25</v>
      </c>
      <c r="K1955" s="17" t="s">
        <v>24</v>
      </c>
      <c r="L1955" s="24">
        <v>2361.0500000000002</v>
      </c>
      <c r="M1955" s="24">
        <v>2616.19</v>
      </c>
      <c r="N1955" s="34">
        <f>((sales_data_1[[#This Row],[Unit_Price]]*(1-sales_data_1[[#This Row],[Discount]]))-sales_data_1[[#This Row],[Unit_Cost]])*sales_data_1[[#This Row],[Quantity_Sold]]</f>
        <v>5724.4524999999958</v>
      </c>
      <c r="O1955" s="17" t="s">
        <v>27</v>
      </c>
      <c r="P1955" s="26">
        <v>0.01</v>
      </c>
      <c r="Q1955" s="17" t="s">
        <v>25</v>
      </c>
      <c r="R1955" s="17" t="s">
        <v>21</v>
      </c>
      <c r="S1955" s="50" t="str">
        <f t="shared" si="92"/>
        <v>David-East</v>
      </c>
      <c r="T1955" s="59" t="str">
        <f>IF(ROUND(sales_data_1[[#This Row],[Profit_Margin]],2)=ROUND((sales_data_1[[#This Row],[Unit_Price]]*(1-sales_data_1[[#This Row],[Discount]]) - sales_data_1[[#This Row],[Unit_Cost]])*sales_data_1[[#This Row],[Quantity_Sold]],2), "PASS", "CHECK")</f>
        <v>PASS</v>
      </c>
    </row>
    <row r="1956" spans="1:20" x14ac:dyDescent="0.35">
      <c r="A1956" s="7">
        <v>1955</v>
      </c>
      <c r="B1956" s="9">
        <v>1057</v>
      </c>
      <c r="C1956" s="14" t="str">
        <f>IFERROR(_xlfn.TEXTJOIN("-", TRUE, _xlfn.XLOOKUP(K1956, product_category_id_lookup!$A$2:$A$5, product_category_id_lookup!$B$2:$B$5), B1956), "Unknown Category")</f>
        <v>ctg-1057</v>
      </c>
      <c r="D1956" s="8">
        <v>45237</v>
      </c>
      <c r="E1956" s="14">
        <f t="shared" si="90"/>
        <v>2023</v>
      </c>
      <c r="F1956" s="29" t="str">
        <f t="shared" si="91"/>
        <v>Nov</v>
      </c>
      <c r="G1956" s="17" t="s">
        <v>14</v>
      </c>
      <c r="H1956" s="17" t="s">
        <v>30</v>
      </c>
      <c r="I1956" s="24">
        <v>33691.555048269838</v>
      </c>
      <c r="J1956" s="32">
        <v>26</v>
      </c>
      <c r="K1956" s="17" t="s">
        <v>26</v>
      </c>
      <c r="L1956" s="24">
        <v>1291.82</v>
      </c>
      <c r="M1956" s="24">
        <v>1308.4399999999998</v>
      </c>
      <c r="N1956" s="34">
        <f>((sales_data_1[[#This Row],[Unit_Price]]*(1-sales_data_1[[#This Row],[Discount]]))-sales_data_1[[#This Row],[Unit_Cost]])*sales_data_1[[#This Row],[Quantity_Sold]]</f>
        <v>91.925599999998212</v>
      </c>
      <c r="O1956" s="17" t="s">
        <v>17</v>
      </c>
      <c r="P1956" s="26">
        <v>0.01</v>
      </c>
      <c r="Q1956" s="17" t="s">
        <v>28</v>
      </c>
      <c r="R1956" s="17" t="s">
        <v>19</v>
      </c>
      <c r="S1956" s="50" t="str">
        <f t="shared" si="92"/>
        <v>Bob-East</v>
      </c>
      <c r="T1956" s="59" t="str">
        <f>IF(ROUND(sales_data_1[[#This Row],[Profit_Margin]],2)=ROUND((sales_data_1[[#This Row],[Unit_Price]]*(1-sales_data_1[[#This Row],[Discount]]) - sales_data_1[[#This Row],[Unit_Cost]])*sales_data_1[[#This Row],[Quantity_Sold]],2), "PASS", "CHECK")</f>
        <v>PASS</v>
      </c>
    </row>
    <row r="1957" spans="1:20" x14ac:dyDescent="0.35">
      <c r="A1957" s="7">
        <v>1956</v>
      </c>
      <c r="B1957" s="9">
        <v>1098</v>
      </c>
      <c r="C1957" s="14" t="str">
        <f>IFERROR(_xlfn.TEXTJOIN("-", TRUE, _xlfn.XLOOKUP(K1957, product_category_id_lookup!$A$2:$A$5, product_category_id_lookup!$B$2:$B$5), B1957), "Unknown Category")</f>
        <v>fd-1098</v>
      </c>
      <c r="D1957" s="8">
        <v>45237</v>
      </c>
      <c r="E1957" s="14">
        <f t="shared" si="90"/>
        <v>2023</v>
      </c>
      <c r="F1957" s="29" t="str">
        <f t="shared" si="91"/>
        <v>Nov</v>
      </c>
      <c r="G1957" s="17" t="s">
        <v>33</v>
      </c>
      <c r="H1957" s="17" t="s">
        <v>20</v>
      </c>
      <c r="I1957" s="24">
        <v>74822.206975016583</v>
      </c>
      <c r="J1957" s="32">
        <v>31</v>
      </c>
      <c r="K1957" s="17" t="s">
        <v>24</v>
      </c>
      <c r="L1957" s="24">
        <v>2407.8000000000002</v>
      </c>
      <c r="M1957" s="24">
        <v>2502.7600000000002</v>
      </c>
      <c r="N1957" s="34">
        <f>((sales_data_1[[#This Row],[Unit_Price]]*(1-sales_data_1[[#This Row],[Discount]]))-sales_data_1[[#This Row],[Unit_Cost]])*sales_data_1[[#This Row],[Quantity_Sold]]</f>
        <v>-159.66239999999971</v>
      </c>
      <c r="O1957" s="17" t="s">
        <v>17</v>
      </c>
      <c r="P1957" s="26">
        <v>0.04</v>
      </c>
      <c r="Q1957" s="17" t="s">
        <v>18</v>
      </c>
      <c r="R1957" s="17" t="s">
        <v>21</v>
      </c>
      <c r="S1957" s="50" t="str">
        <f t="shared" si="92"/>
        <v>Alice-West</v>
      </c>
      <c r="T1957" s="59" t="str">
        <f>IF(ROUND(sales_data_1[[#This Row],[Profit_Margin]],2)=ROUND((sales_data_1[[#This Row],[Unit_Price]]*(1-sales_data_1[[#This Row],[Discount]]) - sales_data_1[[#This Row],[Unit_Cost]])*sales_data_1[[#This Row],[Quantity_Sold]],2), "PASS", "CHECK")</f>
        <v>PASS</v>
      </c>
    </row>
    <row r="1958" spans="1:20" x14ac:dyDescent="0.35">
      <c r="A1958" s="7">
        <v>1957</v>
      </c>
      <c r="B1958" s="9">
        <v>1095</v>
      </c>
      <c r="C1958" s="14" t="str">
        <f>IFERROR(_xlfn.TEXTJOIN("-", TRUE, _xlfn.XLOOKUP(K1958, product_category_id_lookup!$A$2:$A$5, product_category_id_lookup!$B$2:$B$5), B1958), "Unknown Category")</f>
        <v>ctg-1095</v>
      </c>
      <c r="D1958" s="8">
        <v>45237</v>
      </c>
      <c r="E1958" s="14">
        <f t="shared" si="90"/>
        <v>2023</v>
      </c>
      <c r="F1958" s="29" t="str">
        <f t="shared" si="91"/>
        <v>Nov</v>
      </c>
      <c r="G1958" s="17" t="s">
        <v>29</v>
      </c>
      <c r="H1958" s="17" t="s">
        <v>20</v>
      </c>
      <c r="I1958" s="24">
        <v>142863.44486100404</v>
      </c>
      <c r="J1958" s="32">
        <v>32</v>
      </c>
      <c r="K1958" s="17" t="s">
        <v>26</v>
      </c>
      <c r="L1958" s="24">
        <v>4266.6400000000003</v>
      </c>
      <c r="M1958" s="24">
        <v>4523.3600000000006</v>
      </c>
      <c r="N1958" s="34">
        <f>((sales_data_1[[#This Row],[Unit_Price]]*(1-sales_data_1[[#This Row],[Discount]]))-sales_data_1[[#This Row],[Unit_Cost]])*sales_data_1[[#This Row],[Quantity_Sold]]</f>
        <v>6767.5647999999928</v>
      </c>
      <c r="O1958" s="17" t="s">
        <v>27</v>
      </c>
      <c r="P1958" s="26">
        <v>0.01</v>
      </c>
      <c r="Q1958" s="17" t="s">
        <v>25</v>
      </c>
      <c r="R1958" s="17" t="s">
        <v>21</v>
      </c>
      <c r="S1958" s="50" t="str">
        <f t="shared" si="92"/>
        <v>Charlie-West</v>
      </c>
      <c r="T1958" s="59" t="str">
        <f>IF(ROUND(sales_data_1[[#This Row],[Profit_Margin]],2)=ROUND((sales_data_1[[#This Row],[Unit_Price]]*(1-sales_data_1[[#This Row],[Discount]]) - sales_data_1[[#This Row],[Unit_Cost]])*sales_data_1[[#This Row],[Quantity_Sold]],2), "PASS", "CHECK")</f>
        <v>PASS</v>
      </c>
    </row>
    <row r="1959" spans="1:20" x14ac:dyDescent="0.35">
      <c r="A1959" s="7">
        <v>1958</v>
      </c>
      <c r="B1959" s="9">
        <v>1089</v>
      </c>
      <c r="C1959" s="14" t="str">
        <f>IFERROR(_xlfn.TEXTJOIN("-", TRUE, _xlfn.XLOOKUP(K1959, product_category_id_lookup!$A$2:$A$5, product_category_id_lookup!$B$2:$B$5), B1959), "Unknown Category")</f>
        <v>fnt-1089</v>
      </c>
      <c r="D1959" s="8">
        <v>45237</v>
      </c>
      <c r="E1959" s="14">
        <f t="shared" si="90"/>
        <v>2023</v>
      </c>
      <c r="F1959" s="29" t="str">
        <f t="shared" si="91"/>
        <v>Nov</v>
      </c>
      <c r="G1959" s="17" t="s">
        <v>14</v>
      </c>
      <c r="H1959" s="17" t="s">
        <v>20</v>
      </c>
      <c r="I1959" s="24">
        <v>202182.36363413394</v>
      </c>
      <c r="J1959" s="32">
        <v>47</v>
      </c>
      <c r="K1959" s="17" t="s">
        <v>16</v>
      </c>
      <c r="L1959" s="24">
        <v>4157.62</v>
      </c>
      <c r="M1959" s="24">
        <v>4314.5599999999995</v>
      </c>
      <c r="N1959" s="34">
        <f>((sales_data_1[[#This Row],[Unit_Price]]*(1-sales_data_1[[#This Row],[Discount]]))-sales_data_1[[#This Row],[Unit_Cost]])*sales_data_1[[#This Row],[Quantity_Sold]]</f>
        <v>7376.1799999999812</v>
      </c>
      <c r="O1959" s="17" t="s">
        <v>27</v>
      </c>
      <c r="P1959" s="26">
        <v>0</v>
      </c>
      <c r="Q1959" s="17" t="s">
        <v>25</v>
      </c>
      <c r="R1959" s="17" t="s">
        <v>21</v>
      </c>
      <c r="S1959" s="50" t="str">
        <f t="shared" si="92"/>
        <v>Bob-West</v>
      </c>
      <c r="T1959" s="59" t="str">
        <f>IF(ROUND(sales_data_1[[#This Row],[Profit_Margin]],2)=ROUND((sales_data_1[[#This Row],[Unit_Price]]*(1-sales_data_1[[#This Row],[Discount]]) - sales_data_1[[#This Row],[Unit_Cost]])*sales_data_1[[#This Row],[Quantity_Sold]],2), "PASS", "CHECK")</f>
        <v>PASS</v>
      </c>
    </row>
    <row r="1960" spans="1:20" x14ac:dyDescent="0.35">
      <c r="A1960" s="7">
        <v>1959</v>
      </c>
      <c r="B1960" s="9">
        <v>1059</v>
      </c>
      <c r="C1960" s="14" t="str">
        <f>IFERROR(_xlfn.TEXTJOIN("-", TRUE, _xlfn.XLOOKUP(K1960, product_category_id_lookup!$A$2:$A$5, product_category_id_lookup!$B$2:$B$5), B1960), "Unknown Category")</f>
        <v>ctg-1059</v>
      </c>
      <c r="D1960" s="8">
        <v>45238</v>
      </c>
      <c r="E1960" s="14">
        <f t="shared" si="90"/>
        <v>2023</v>
      </c>
      <c r="F1960" s="29" t="str">
        <f t="shared" si="91"/>
        <v>Nov</v>
      </c>
      <c r="G1960" s="17" t="s">
        <v>22</v>
      </c>
      <c r="H1960" s="17" t="s">
        <v>23</v>
      </c>
      <c r="I1960" s="24">
        <v>31579.319</v>
      </c>
      <c r="J1960" s="32">
        <v>17</v>
      </c>
      <c r="K1960" s="17" t="s">
        <v>26</v>
      </c>
      <c r="L1960" s="24">
        <v>1780.14</v>
      </c>
      <c r="M1960" s="24">
        <v>2185.42</v>
      </c>
      <c r="N1960" s="34">
        <f>((sales_data_1[[#This Row],[Unit_Price]]*(1-sales_data_1[[#This Row],[Discount]]))-sales_data_1[[#This Row],[Unit_Cost]])*sales_data_1[[#This Row],[Quantity_Sold]]</f>
        <v>1316.9389999999978</v>
      </c>
      <c r="O1960" s="17" t="s">
        <v>17</v>
      </c>
      <c r="P1960" s="26">
        <v>0.15</v>
      </c>
      <c r="Q1960" s="17" t="s">
        <v>28</v>
      </c>
      <c r="R1960" s="17" t="s">
        <v>21</v>
      </c>
      <c r="S1960" s="50" t="str">
        <f t="shared" si="92"/>
        <v>David-South</v>
      </c>
      <c r="T1960" s="59" t="str">
        <f>IF(ROUND(sales_data_1[[#This Row],[Profit_Margin]],2)=ROUND((sales_data_1[[#This Row],[Unit_Price]]*(1-sales_data_1[[#This Row],[Discount]]) - sales_data_1[[#This Row],[Unit_Cost]])*sales_data_1[[#This Row],[Quantity_Sold]],2), "PASS", "CHECK")</f>
        <v>PASS</v>
      </c>
    </row>
    <row r="1961" spans="1:20" x14ac:dyDescent="0.35">
      <c r="A1961" s="7">
        <v>1960</v>
      </c>
      <c r="B1961" s="9">
        <v>1052</v>
      </c>
      <c r="C1961" s="14" t="str">
        <f>IFERROR(_xlfn.TEXTJOIN("-", TRUE, _xlfn.XLOOKUP(K1961, product_category_id_lookup!$A$2:$A$5, product_category_id_lookup!$B$2:$B$5), B1961), "Unknown Category")</f>
        <v>fnt-1052</v>
      </c>
      <c r="D1961" s="8">
        <v>45238</v>
      </c>
      <c r="E1961" s="14">
        <f t="shared" si="90"/>
        <v>2023</v>
      </c>
      <c r="F1961" s="29" t="str">
        <f t="shared" si="91"/>
        <v>Nov</v>
      </c>
      <c r="G1961" s="17" t="s">
        <v>29</v>
      </c>
      <c r="H1961" s="17" t="s">
        <v>30</v>
      </c>
      <c r="I1961" s="24">
        <v>66168.993401810789</v>
      </c>
      <c r="J1961" s="32">
        <v>18</v>
      </c>
      <c r="K1961" s="17" t="s">
        <v>16</v>
      </c>
      <c r="L1961" s="24">
        <v>3271.62</v>
      </c>
      <c r="M1961" s="24">
        <v>3722.38</v>
      </c>
      <c r="N1961" s="34">
        <f>((sales_data_1[[#This Row],[Unit_Price]]*(1-sales_data_1[[#This Row],[Discount]]))-sales_data_1[[#This Row],[Unit_Cost]])*sales_data_1[[#This Row],[Quantity_Sold]]</f>
        <v>7443.6516000000001</v>
      </c>
      <c r="O1961" s="17" t="s">
        <v>17</v>
      </c>
      <c r="P1961" s="26">
        <v>0.01</v>
      </c>
      <c r="Q1961" s="17" t="s">
        <v>25</v>
      </c>
      <c r="R1961" s="17" t="s">
        <v>21</v>
      </c>
      <c r="S1961" s="50" t="str">
        <f t="shared" si="92"/>
        <v>Charlie-East</v>
      </c>
      <c r="T1961" s="59" t="str">
        <f>IF(ROUND(sales_data_1[[#This Row],[Profit_Margin]],2)=ROUND((sales_data_1[[#This Row],[Unit_Price]]*(1-sales_data_1[[#This Row],[Discount]]) - sales_data_1[[#This Row],[Unit_Cost]])*sales_data_1[[#This Row],[Quantity_Sold]],2), "PASS", "CHECK")</f>
        <v>PASS</v>
      </c>
    </row>
    <row r="1962" spans="1:20" x14ac:dyDescent="0.35">
      <c r="A1962" s="7">
        <v>1961</v>
      </c>
      <c r="B1962" s="9">
        <v>1038</v>
      </c>
      <c r="C1962" s="14" t="str">
        <f>IFERROR(_xlfn.TEXTJOIN("-", TRUE, _xlfn.XLOOKUP(K1962, product_category_id_lookup!$A$2:$A$5, product_category_id_lookup!$B$2:$B$5), B1962), "Unknown Category")</f>
        <v>fd-1038</v>
      </c>
      <c r="D1962" s="8">
        <v>45239</v>
      </c>
      <c r="E1962" s="14">
        <f t="shared" si="90"/>
        <v>2023</v>
      </c>
      <c r="F1962" s="29" t="str">
        <f t="shared" si="91"/>
        <v>Nov</v>
      </c>
      <c r="G1962" s="17" t="s">
        <v>22</v>
      </c>
      <c r="H1962" s="17" t="s">
        <v>30</v>
      </c>
      <c r="I1962" s="24">
        <v>1470.3506</v>
      </c>
      <c r="J1962" s="32">
        <v>1</v>
      </c>
      <c r="K1962" s="17" t="s">
        <v>24</v>
      </c>
      <c r="L1962" s="24">
        <v>1281.6500000000001</v>
      </c>
      <c r="M1962" s="24">
        <v>1709.71</v>
      </c>
      <c r="N1962" s="34">
        <f>((sales_data_1[[#This Row],[Unit_Price]]*(1-sales_data_1[[#This Row],[Discount]]))-sales_data_1[[#This Row],[Unit_Cost]])*sales_data_1[[#This Row],[Quantity_Sold]]</f>
        <v>188.70059999999989</v>
      </c>
      <c r="O1962" s="17" t="s">
        <v>17</v>
      </c>
      <c r="P1962" s="26">
        <v>0.14000000000000001</v>
      </c>
      <c r="Q1962" s="17" t="s">
        <v>28</v>
      </c>
      <c r="R1962" s="17" t="s">
        <v>19</v>
      </c>
      <c r="S1962" s="50" t="str">
        <f t="shared" si="92"/>
        <v>David-East</v>
      </c>
      <c r="T1962" s="59" t="str">
        <f>IF(ROUND(sales_data_1[[#This Row],[Profit_Margin]],2)=ROUND((sales_data_1[[#This Row],[Unit_Price]]*(1-sales_data_1[[#This Row],[Discount]]) - sales_data_1[[#This Row],[Unit_Cost]])*sales_data_1[[#This Row],[Quantity_Sold]],2), "PASS", "CHECK")</f>
        <v>PASS</v>
      </c>
    </row>
    <row r="1963" spans="1:20" x14ac:dyDescent="0.35">
      <c r="A1963" s="7">
        <v>1962</v>
      </c>
      <c r="B1963" s="9">
        <v>1033</v>
      </c>
      <c r="C1963" s="14" t="str">
        <f>IFERROR(_xlfn.TEXTJOIN("-", TRUE, _xlfn.XLOOKUP(K1963, product_category_id_lookup!$A$2:$A$5, product_category_id_lookup!$B$2:$B$5), B1963), "Unknown Category")</f>
        <v>ctg-1033</v>
      </c>
      <c r="D1963" s="8">
        <v>45239</v>
      </c>
      <c r="E1963" s="14">
        <f t="shared" si="90"/>
        <v>2023</v>
      </c>
      <c r="F1963" s="29" t="str">
        <f t="shared" si="91"/>
        <v>Nov</v>
      </c>
      <c r="G1963" s="17" t="s">
        <v>22</v>
      </c>
      <c r="H1963" s="17" t="s">
        <v>30</v>
      </c>
      <c r="I1963" s="24">
        <v>10003.899347752733</v>
      </c>
      <c r="J1963" s="32">
        <v>6</v>
      </c>
      <c r="K1963" s="17" t="s">
        <v>26</v>
      </c>
      <c r="L1963" s="24">
        <v>1621.07</v>
      </c>
      <c r="M1963" s="24">
        <v>1687.5</v>
      </c>
      <c r="N1963" s="34">
        <f>((sales_data_1[[#This Row],[Unit_Price]]*(1-sales_data_1[[#This Row],[Discount]]))-sales_data_1[[#This Row],[Unit_Cost]])*sales_data_1[[#This Row],[Quantity_Sold]]</f>
        <v>297.33000000000038</v>
      </c>
      <c r="O1963" s="17" t="s">
        <v>17</v>
      </c>
      <c r="P1963" s="26">
        <v>0.01</v>
      </c>
      <c r="Q1963" s="17" t="s">
        <v>28</v>
      </c>
      <c r="R1963" s="17" t="s">
        <v>19</v>
      </c>
      <c r="S1963" s="50" t="str">
        <f t="shared" si="92"/>
        <v>David-East</v>
      </c>
      <c r="T1963" s="59" t="str">
        <f>IF(ROUND(sales_data_1[[#This Row],[Profit_Margin]],2)=ROUND((sales_data_1[[#This Row],[Unit_Price]]*(1-sales_data_1[[#This Row],[Discount]]) - sales_data_1[[#This Row],[Unit_Cost]])*sales_data_1[[#This Row],[Quantity_Sold]],2), "PASS", "CHECK")</f>
        <v>PASS</v>
      </c>
    </row>
    <row r="1964" spans="1:20" x14ac:dyDescent="0.35">
      <c r="A1964" s="7">
        <v>1963</v>
      </c>
      <c r="B1964" s="9">
        <v>1014</v>
      </c>
      <c r="C1964" s="14" t="str">
        <f>IFERROR(_xlfn.TEXTJOIN("-", TRUE, _xlfn.XLOOKUP(K1964, product_category_id_lookup!$A$2:$A$5, product_category_id_lookup!$B$2:$B$5), B1964), "Unknown Category")</f>
        <v>etc-1014</v>
      </c>
      <c r="D1964" s="8">
        <v>45239</v>
      </c>
      <c r="E1964" s="14">
        <f t="shared" si="90"/>
        <v>2023</v>
      </c>
      <c r="F1964" s="29" t="str">
        <f t="shared" si="91"/>
        <v>Nov</v>
      </c>
      <c r="G1964" s="17" t="s">
        <v>22</v>
      </c>
      <c r="H1964" s="17" t="s">
        <v>15</v>
      </c>
      <c r="I1964" s="24">
        <v>2448.8586</v>
      </c>
      <c r="J1964" s="32">
        <v>9</v>
      </c>
      <c r="K1964" s="17" t="s">
        <v>31</v>
      </c>
      <c r="L1964" s="24">
        <v>132.47</v>
      </c>
      <c r="M1964" s="24">
        <v>316.39</v>
      </c>
      <c r="N1964" s="34">
        <f>((sales_data_1[[#This Row],[Unit_Price]]*(1-sales_data_1[[#This Row],[Discount]]))-sales_data_1[[#This Row],[Unit_Cost]])*sales_data_1[[#This Row],[Quantity_Sold]]</f>
        <v>1256.6285999999998</v>
      </c>
      <c r="O1964" s="17" t="s">
        <v>27</v>
      </c>
      <c r="P1964" s="26">
        <v>0.14000000000000001</v>
      </c>
      <c r="Q1964" s="17" t="s">
        <v>28</v>
      </c>
      <c r="R1964" s="17" t="s">
        <v>19</v>
      </c>
      <c r="S1964" s="50" t="str">
        <f t="shared" si="92"/>
        <v>David-North</v>
      </c>
      <c r="T1964" s="59" t="str">
        <f>IF(ROUND(sales_data_1[[#This Row],[Profit_Margin]],2)=ROUND((sales_data_1[[#This Row],[Unit_Price]]*(1-sales_data_1[[#This Row],[Discount]]) - sales_data_1[[#This Row],[Unit_Cost]])*sales_data_1[[#This Row],[Quantity_Sold]],2), "PASS", "CHECK")</f>
        <v>PASS</v>
      </c>
    </row>
    <row r="1965" spans="1:20" x14ac:dyDescent="0.35">
      <c r="A1965" s="7">
        <v>1964</v>
      </c>
      <c r="B1965" s="9">
        <v>1016</v>
      </c>
      <c r="C1965" s="14" t="str">
        <f>IFERROR(_xlfn.TEXTJOIN("-", TRUE, _xlfn.XLOOKUP(K1965, product_category_id_lookup!$A$2:$A$5, product_category_id_lookup!$B$2:$B$5), B1965), "Unknown Category")</f>
        <v>fnt-1016</v>
      </c>
      <c r="D1965" s="8">
        <v>45239</v>
      </c>
      <c r="E1965" s="14">
        <f t="shared" si="90"/>
        <v>2023</v>
      </c>
      <c r="F1965" s="29" t="str">
        <f t="shared" si="91"/>
        <v>Nov</v>
      </c>
      <c r="G1965" s="17" t="s">
        <v>29</v>
      </c>
      <c r="H1965" s="17" t="s">
        <v>23</v>
      </c>
      <c r="I1965" s="24">
        <v>5775.5375999999997</v>
      </c>
      <c r="J1965" s="32">
        <v>24</v>
      </c>
      <c r="K1965" s="17" t="s">
        <v>16</v>
      </c>
      <c r="L1965" s="24">
        <v>88.44</v>
      </c>
      <c r="M1965" s="24">
        <v>338.94</v>
      </c>
      <c r="N1965" s="34">
        <f>((sales_data_1[[#This Row],[Unit_Price]]*(1-sales_data_1[[#This Row],[Discount]]))-sales_data_1[[#This Row],[Unit_Cost]])*sales_data_1[[#This Row],[Quantity_Sold]]</f>
        <v>3652.9775999999993</v>
      </c>
      <c r="O1965" s="17" t="s">
        <v>27</v>
      </c>
      <c r="P1965" s="26">
        <v>0.28999999999999998</v>
      </c>
      <c r="Q1965" s="17" t="s">
        <v>18</v>
      </c>
      <c r="R1965" s="17" t="s">
        <v>19</v>
      </c>
      <c r="S1965" s="50" t="str">
        <f t="shared" si="92"/>
        <v>Charlie-South</v>
      </c>
      <c r="T1965" s="59" t="str">
        <f>IF(ROUND(sales_data_1[[#This Row],[Profit_Margin]],2)=ROUND((sales_data_1[[#This Row],[Unit_Price]]*(1-sales_data_1[[#This Row],[Discount]]) - sales_data_1[[#This Row],[Unit_Cost]])*sales_data_1[[#This Row],[Quantity_Sold]],2), "PASS", "CHECK")</f>
        <v>PASS</v>
      </c>
    </row>
    <row r="1966" spans="1:20" x14ac:dyDescent="0.35">
      <c r="A1966" s="7">
        <v>1965</v>
      </c>
      <c r="B1966" s="9">
        <v>1032</v>
      </c>
      <c r="C1966" s="14" t="str">
        <f>IFERROR(_xlfn.TEXTJOIN("-", TRUE, _xlfn.XLOOKUP(K1966, product_category_id_lookup!$A$2:$A$5, product_category_id_lookup!$B$2:$B$5), B1966), "Unknown Category")</f>
        <v>etc-1032</v>
      </c>
      <c r="D1966" s="8">
        <v>45239</v>
      </c>
      <c r="E1966" s="14">
        <f t="shared" si="90"/>
        <v>2023</v>
      </c>
      <c r="F1966" s="29" t="str">
        <f t="shared" si="91"/>
        <v>Nov</v>
      </c>
      <c r="G1966" s="17" t="s">
        <v>14</v>
      </c>
      <c r="H1966" s="17" t="s">
        <v>30</v>
      </c>
      <c r="I1966" s="24">
        <v>83293.980261538803</v>
      </c>
      <c r="J1966" s="32">
        <v>25</v>
      </c>
      <c r="K1966" s="17" t="s">
        <v>31</v>
      </c>
      <c r="L1966" s="24">
        <v>2934.3</v>
      </c>
      <c r="M1966" s="24">
        <v>3337.4</v>
      </c>
      <c r="N1966" s="34">
        <f>((sales_data_1[[#This Row],[Unit_Price]]*(1-sales_data_1[[#This Row],[Discount]]))-sales_data_1[[#This Row],[Unit_Cost]])*sales_data_1[[#This Row],[Quantity_Sold]]</f>
        <v>10077.499999999998</v>
      </c>
      <c r="O1966" s="17" t="s">
        <v>17</v>
      </c>
      <c r="P1966" s="26">
        <v>0</v>
      </c>
      <c r="Q1966" s="17" t="s">
        <v>28</v>
      </c>
      <c r="R1966" s="17" t="s">
        <v>21</v>
      </c>
      <c r="S1966" s="50" t="str">
        <f t="shared" si="92"/>
        <v>Bob-East</v>
      </c>
      <c r="T1966" s="59" t="str">
        <f>IF(ROUND(sales_data_1[[#This Row],[Profit_Margin]],2)=ROUND((sales_data_1[[#This Row],[Unit_Price]]*(1-sales_data_1[[#This Row],[Discount]]) - sales_data_1[[#This Row],[Unit_Cost]])*sales_data_1[[#This Row],[Quantity_Sold]],2), "PASS", "CHECK")</f>
        <v>PASS</v>
      </c>
    </row>
    <row r="1967" spans="1:20" x14ac:dyDescent="0.35">
      <c r="A1967" s="7">
        <v>1966</v>
      </c>
      <c r="B1967" s="9">
        <v>1090</v>
      </c>
      <c r="C1967" s="14" t="str">
        <f>IFERROR(_xlfn.TEXTJOIN("-", TRUE, _xlfn.XLOOKUP(K1967, product_category_id_lookup!$A$2:$A$5, product_category_id_lookup!$B$2:$B$5), B1967), "Unknown Category")</f>
        <v>ctg-1090</v>
      </c>
      <c r="D1967" s="8">
        <v>45240</v>
      </c>
      <c r="E1967" s="14">
        <f t="shared" si="90"/>
        <v>2023</v>
      </c>
      <c r="F1967" s="29" t="str">
        <f t="shared" si="91"/>
        <v>Nov</v>
      </c>
      <c r="G1967" s="17" t="s">
        <v>33</v>
      </c>
      <c r="H1967" s="17" t="s">
        <v>15</v>
      </c>
      <c r="I1967" s="24">
        <v>36213.759999999995</v>
      </c>
      <c r="J1967" s="32">
        <v>16</v>
      </c>
      <c r="K1967" s="17" t="s">
        <v>26</v>
      </c>
      <c r="L1967" s="24">
        <v>2183.37</v>
      </c>
      <c r="M1967" s="24">
        <v>2263.3599999999997</v>
      </c>
      <c r="N1967" s="34">
        <f>((sales_data_1[[#This Row],[Unit_Price]]*(1-sales_data_1[[#This Row],[Discount]]))-sales_data_1[[#This Row],[Unit_Cost]])*sales_data_1[[#This Row],[Quantity_Sold]]</f>
        <v>1279.8399999999965</v>
      </c>
      <c r="O1967" s="17" t="s">
        <v>17</v>
      </c>
      <c r="P1967" s="26">
        <v>0</v>
      </c>
      <c r="Q1967" s="17" t="s">
        <v>25</v>
      </c>
      <c r="R1967" s="17" t="s">
        <v>21</v>
      </c>
      <c r="S1967" s="50" t="str">
        <f t="shared" si="92"/>
        <v>Alice-North</v>
      </c>
      <c r="T1967" s="59" t="str">
        <f>IF(ROUND(sales_data_1[[#This Row],[Profit_Margin]],2)=ROUND((sales_data_1[[#This Row],[Unit_Price]]*(1-sales_data_1[[#This Row],[Discount]]) - sales_data_1[[#This Row],[Unit_Cost]])*sales_data_1[[#This Row],[Quantity_Sold]],2), "PASS", "CHECK")</f>
        <v>PASS</v>
      </c>
    </row>
    <row r="1968" spans="1:20" x14ac:dyDescent="0.35">
      <c r="A1968" s="7">
        <v>1967</v>
      </c>
      <c r="B1968" s="9">
        <v>1019</v>
      </c>
      <c r="C1968" s="14" t="str">
        <f>IFERROR(_xlfn.TEXTJOIN("-", TRUE, _xlfn.XLOOKUP(K1968, product_category_id_lookup!$A$2:$A$5, product_category_id_lookup!$B$2:$B$5), B1968), "Unknown Category")</f>
        <v>fnt-1019</v>
      </c>
      <c r="D1968" s="8">
        <v>45240</v>
      </c>
      <c r="E1968" s="14">
        <f t="shared" si="90"/>
        <v>2023</v>
      </c>
      <c r="F1968" s="29" t="str">
        <f t="shared" si="91"/>
        <v>Nov</v>
      </c>
      <c r="G1968" s="17" t="s">
        <v>14</v>
      </c>
      <c r="H1968" s="17" t="s">
        <v>30</v>
      </c>
      <c r="I1968" s="24">
        <v>47870.747691606557</v>
      </c>
      <c r="J1968" s="32">
        <v>33</v>
      </c>
      <c r="K1968" s="17" t="s">
        <v>16</v>
      </c>
      <c r="L1968" s="24">
        <v>1362.31</v>
      </c>
      <c r="M1968" s="24">
        <v>1486.29</v>
      </c>
      <c r="N1968" s="34">
        <f>((sales_data_1[[#This Row],[Unit_Price]]*(1-sales_data_1[[#This Row],[Discount]]))-sales_data_1[[#This Row],[Unit_Cost]])*sales_data_1[[#This Row],[Quantity_Sold]]</f>
        <v>3110.388600000003</v>
      </c>
      <c r="O1968" s="17" t="s">
        <v>17</v>
      </c>
      <c r="P1968" s="26">
        <v>0.02</v>
      </c>
      <c r="Q1968" s="17" t="s">
        <v>28</v>
      </c>
      <c r="R1968" s="17" t="s">
        <v>21</v>
      </c>
      <c r="S1968" s="50" t="str">
        <f t="shared" si="92"/>
        <v>Bob-East</v>
      </c>
      <c r="T1968" s="59" t="str">
        <f>IF(ROUND(sales_data_1[[#This Row],[Profit_Margin]],2)=ROUND((sales_data_1[[#This Row],[Unit_Price]]*(1-sales_data_1[[#This Row],[Discount]]) - sales_data_1[[#This Row],[Unit_Cost]])*sales_data_1[[#This Row],[Quantity_Sold]],2), "PASS", "CHECK")</f>
        <v>PASS</v>
      </c>
    </row>
    <row r="1969" spans="1:20" x14ac:dyDescent="0.35">
      <c r="A1969" s="7">
        <v>1968</v>
      </c>
      <c r="B1969" s="9">
        <v>1024</v>
      </c>
      <c r="C1969" s="14" t="str">
        <f>IFERROR(_xlfn.TEXTJOIN("-", TRUE, _xlfn.XLOOKUP(K1969, product_category_id_lookup!$A$2:$A$5, product_category_id_lookup!$B$2:$B$5), B1969), "Unknown Category")</f>
        <v>fd-1024</v>
      </c>
      <c r="D1969" s="8">
        <v>45241</v>
      </c>
      <c r="E1969" s="14">
        <f t="shared" si="90"/>
        <v>2023</v>
      </c>
      <c r="F1969" s="29" t="str">
        <f t="shared" si="91"/>
        <v>Nov</v>
      </c>
      <c r="G1969" s="17" t="s">
        <v>32</v>
      </c>
      <c r="H1969" s="17" t="s">
        <v>20</v>
      </c>
      <c r="I1969" s="24">
        <v>13462.890000000001</v>
      </c>
      <c r="J1969" s="32">
        <v>21</v>
      </c>
      <c r="K1969" s="17" t="s">
        <v>24</v>
      </c>
      <c r="L1969" s="24">
        <v>622.01</v>
      </c>
      <c r="M1969" s="24">
        <v>641.09</v>
      </c>
      <c r="N1969" s="34">
        <f>((sales_data_1[[#This Row],[Unit_Price]]*(1-sales_data_1[[#This Row],[Discount]]))-sales_data_1[[#This Row],[Unit_Cost]])*sales_data_1[[#This Row],[Quantity_Sold]]</f>
        <v>400.68000000000086</v>
      </c>
      <c r="O1969" s="17" t="s">
        <v>17</v>
      </c>
      <c r="P1969" s="26">
        <v>0</v>
      </c>
      <c r="Q1969" s="17" t="s">
        <v>25</v>
      </c>
      <c r="R1969" s="17" t="s">
        <v>21</v>
      </c>
      <c r="S1969" s="50" t="str">
        <f t="shared" si="92"/>
        <v>Eve-West</v>
      </c>
      <c r="T1969" s="59" t="str">
        <f>IF(ROUND(sales_data_1[[#This Row],[Profit_Margin]],2)=ROUND((sales_data_1[[#This Row],[Unit_Price]]*(1-sales_data_1[[#This Row],[Discount]]) - sales_data_1[[#This Row],[Unit_Cost]])*sales_data_1[[#This Row],[Quantity_Sold]],2), "PASS", "CHECK")</f>
        <v>PASS</v>
      </c>
    </row>
    <row r="1970" spans="1:20" x14ac:dyDescent="0.35">
      <c r="A1970" s="7">
        <v>1969</v>
      </c>
      <c r="B1970" s="9">
        <v>1080</v>
      </c>
      <c r="C1970" s="14" t="str">
        <f>IFERROR(_xlfn.TEXTJOIN("-", TRUE, _xlfn.XLOOKUP(K1970, product_category_id_lookup!$A$2:$A$5, product_category_id_lookup!$B$2:$B$5), B1970), "Unknown Category")</f>
        <v>etc-1080</v>
      </c>
      <c r="D1970" s="8">
        <v>45241</v>
      </c>
      <c r="E1970" s="14">
        <f t="shared" si="90"/>
        <v>2023</v>
      </c>
      <c r="F1970" s="29" t="str">
        <f t="shared" si="91"/>
        <v>Nov</v>
      </c>
      <c r="G1970" s="17" t="s">
        <v>33</v>
      </c>
      <c r="H1970" s="17" t="s">
        <v>30</v>
      </c>
      <c r="I1970" s="24">
        <v>119877.85315466484</v>
      </c>
      <c r="J1970" s="32">
        <v>32</v>
      </c>
      <c r="K1970" s="17" t="s">
        <v>31</v>
      </c>
      <c r="L1970" s="24">
        <v>3414.54</v>
      </c>
      <c r="M1970" s="24">
        <v>3753.83</v>
      </c>
      <c r="N1970" s="34">
        <f>((sales_data_1[[#This Row],[Unit_Price]]*(1-sales_data_1[[#This Row],[Discount]]))-sales_data_1[[#This Row],[Unit_Cost]])*sales_data_1[[#This Row],[Quantity_Sold]]</f>
        <v>10857.279999999999</v>
      </c>
      <c r="O1970" s="17" t="s">
        <v>27</v>
      </c>
      <c r="P1970" s="26">
        <v>0</v>
      </c>
      <c r="Q1970" s="17" t="s">
        <v>18</v>
      </c>
      <c r="R1970" s="17" t="s">
        <v>21</v>
      </c>
      <c r="S1970" s="50" t="str">
        <f t="shared" si="92"/>
        <v>Alice-East</v>
      </c>
      <c r="T1970" s="59" t="str">
        <f>IF(ROUND(sales_data_1[[#This Row],[Profit_Margin]],2)=ROUND((sales_data_1[[#This Row],[Unit_Price]]*(1-sales_data_1[[#This Row],[Discount]]) - sales_data_1[[#This Row],[Unit_Cost]])*sales_data_1[[#This Row],[Quantity_Sold]],2), "PASS", "CHECK")</f>
        <v>PASS</v>
      </c>
    </row>
    <row r="1971" spans="1:20" x14ac:dyDescent="0.35">
      <c r="A1971" s="7">
        <v>1970</v>
      </c>
      <c r="B1971" s="9">
        <v>1001</v>
      </c>
      <c r="C1971" s="14" t="str">
        <f>IFERROR(_xlfn.TEXTJOIN("-", TRUE, _xlfn.XLOOKUP(K1971, product_category_id_lookup!$A$2:$A$5, product_category_id_lookup!$B$2:$B$5), B1971), "Unknown Category")</f>
        <v>etc-1001</v>
      </c>
      <c r="D1971" s="8">
        <v>45242</v>
      </c>
      <c r="E1971" s="14">
        <f t="shared" si="90"/>
        <v>2023</v>
      </c>
      <c r="F1971" s="29" t="str">
        <f t="shared" si="91"/>
        <v>Nov</v>
      </c>
      <c r="G1971" s="17" t="s">
        <v>33</v>
      </c>
      <c r="H1971" s="17" t="s">
        <v>15</v>
      </c>
      <c r="I1971" s="24">
        <v>29726.897046592127</v>
      </c>
      <c r="J1971" s="32">
        <v>8</v>
      </c>
      <c r="K1971" s="17" t="s">
        <v>31</v>
      </c>
      <c r="L1971" s="24">
        <v>3657.91</v>
      </c>
      <c r="M1971" s="24">
        <v>3729.27</v>
      </c>
      <c r="N1971" s="34">
        <f>((sales_data_1[[#This Row],[Unit_Price]]*(1-sales_data_1[[#This Row],[Discount]]))-sales_data_1[[#This Row],[Unit_Cost]])*sales_data_1[[#This Row],[Quantity_Sold]]</f>
        <v>570.88000000000102</v>
      </c>
      <c r="O1971" s="17" t="s">
        <v>27</v>
      </c>
      <c r="P1971" s="26">
        <v>0</v>
      </c>
      <c r="Q1971" s="17" t="s">
        <v>25</v>
      </c>
      <c r="R1971" s="17" t="s">
        <v>21</v>
      </c>
      <c r="S1971" s="50" t="str">
        <f t="shared" si="92"/>
        <v>Alice-North</v>
      </c>
      <c r="T1971" s="59" t="str">
        <f>IF(ROUND(sales_data_1[[#This Row],[Profit_Margin]],2)=ROUND((sales_data_1[[#This Row],[Unit_Price]]*(1-sales_data_1[[#This Row],[Discount]]) - sales_data_1[[#This Row],[Unit_Cost]])*sales_data_1[[#This Row],[Quantity_Sold]],2), "PASS", "CHECK")</f>
        <v>PASS</v>
      </c>
    </row>
    <row r="1972" spans="1:20" x14ac:dyDescent="0.35">
      <c r="A1972" s="7">
        <v>1971</v>
      </c>
      <c r="B1972" s="9">
        <v>1062</v>
      </c>
      <c r="C1972" s="14" t="str">
        <f>IFERROR(_xlfn.TEXTJOIN("-", TRUE, _xlfn.XLOOKUP(K1972, product_category_id_lookup!$A$2:$A$5, product_category_id_lookup!$B$2:$B$5), B1972), "Unknown Category")</f>
        <v>etc-1062</v>
      </c>
      <c r="D1972" s="8">
        <v>45242</v>
      </c>
      <c r="E1972" s="14">
        <f t="shared" si="90"/>
        <v>2023</v>
      </c>
      <c r="F1972" s="29" t="str">
        <f t="shared" si="91"/>
        <v>Nov</v>
      </c>
      <c r="G1972" s="17" t="s">
        <v>32</v>
      </c>
      <c r="H1972" s="17" t="s">
        <v>23</v>
      </c>
      <c r="I1972" s="24">
        <v>14062.306499999999</v>
      </c>
      <c r="J1972" s="32">
        <v>9</v>
      </c>
      <c r="K1972" s="17" t="s">
        <v>31</v>
      </c>
      <c r="L1972" s="24">
        <v>1468.05</v>
      </c>
      <c r="M1972" s="24">
        <v>1838.21</v>
      </c>
      <c r="N1972" s="34">
        <f>((sales_data_1[[#This Row],[Unit_Price]]*(1-sales_data_1[[#This Row],[Discount]]))-sales_data_1[[#This Row],[Unit_Cost]])*sales_data_1[[#This Row],[Quantity_Sold]]</f>
        <v>849.85649999999987</v>
      </c>
      <c r="O1972" s="17" t="s">
        <v>27</v>
      </c>
      <c r="P1972" s="26">
        <v>0.15</v>
      </c>
      <c r="Q1972" s="17" t="s">
        <v>25</v>
      </c>
      <c r="R1972" s="17" t="s">
        <v>21</v>
      </c>
      <c r="S1972" s="50" t="str">
        <f t="shared" si="92"/>
        <v>Eve-South</v>
      </c>
      <c r="T1972" s="59" t="str">
        <f>IF(ROUND(sales_data_1[[#This Row],[Profit_Margin]],2)=ROUND((sales_data_1[[#This Row],[Unit_Price]]*(1-sales_data_1[[#This Row],[Discount]]) - sales_data_1[[#This Row],[Unit_Cost]])*sales_data_1[[#This Row],[Quantity_Sold]],2), "PASS", "CHECK")</f>
        <v>PASS</v>
      </c>
    </row>
    <row r="1973" spans="1:20" x14ac:dyDescent="0.35">
      <c r="A1973" s="7">
        <v>1972</v>
      </c>
      <c r="B1973" s="9">
        <v>1070</v>
      </c>
      <c r="C1973" s="14" t="str">
        <f>IFERROR(_xlfn.TEXTJOIN("-", TRUE, _xlfn.XLOOKUP(K1973, product_category_id_lookup!$A$2:$A$5, product_category_id_lookup!$B$2:$B$5), B1973), "Unknown Category")</f>
        <v>etc-1070</v>
      </c>
      <c r="D1973" s="8">
        <v>45242</v>
      </c>
      <c r="E1973" s="14">
        <f t="shared" si="90"/>
        <v>2023</v>
      </c>
      <c r="F1973" s="29" t="str">
        <f t="shared" si="91"/>
        <v>Nov</v>
      </c>
      <c r="G1973" s="17" t="s">
        <v>14</v>
      </c>
      <c r="H1973" s="17" t="s">
        <v>23</v>
      </c>
      <c r="I1973" s="24">
        <v>3659.6610000000001</v>
      </c>
      <c r="J1973" s="32">
        <v>9</v>
      </c>
      <c r="K1973" s="17" t="s">
        <v>31</v>
      </c>
      <c r="L1973" s="24">
        <v>310.24</v>
      </c>
      <c r="M1973" s="24">
        <v>451.81</v>
      </c>
      <c r="N1973" s="34">
        <f>((sales_data_1[[#This Row],[Unit_Price]]*(1-sales_data_1[[#This Row],[Discount]]))-sales_data_1[[#This Row],[Unit_Cost]])*sales_data_1[[#This Row],[Quantity_Sold]]</f>
        <v>867.50100000000009</v>
      </c>
      <c r="O1973" s="17" t="s">
        <v>17</v>
      </c>
      <c r="P1973" s="26">
        <v>0.1</v>
      </c>
      <c r="Q1973" s="17" t="s">
        <v>18</v>
      </c>
      <c r="R1973" s="17" t="s">
        <v>21</v>
      </c>
      <c r="S1973" s="50" t="str">
        <f t="shared" si="92"/>
        <v>Bob-South</v>
      </c>
      <c r="T1973" s="59" t="str">
        <f>IF(ROUND(sales_data_1[[#This Row],[Profit_Margin]],2)=ROUND((sales_data_1[[#This Row],[Unit_Price]]*(1-sales_data_1[[#This Row],[Discount]]) - sales_data_1[[#This Row],[Unit_Cost]])*sales_data_1[[#This Row],[Quantity_Sold]],2), "PASS", "CHECK")</f>
        <v>PASS</v>
      </c>
    </row>
    <row r="1974" spans="1:20" x14ac:dyDescent="0.35">
      <c r="A1974" s="7">
        <v>1973</v>
      </c>
      <c r="B1974" s="9">
        <v>1005</v>
      </c>
      <c r="C1974" s="14" t="str">
        <f>IFERROR(_xlfn.TEXTJOIN("-", TRUE, _xlfn.XLOOKUP(K1974, product_category_id_lookup!$A$2:$A$5, product_category_id_lookup!$B$2:$B$5), B1974), "Unknown Category")</f>
        <v>ctg-1005</v>
      </c>
      <c r="D1974" s="8">
        <v>45242</v>
      </c>
      <c r="E1974" s="14">
        <f t="shared" si="90"/>
        <v>2023</v>
      </c>
      <c r="F1974" s="29" t="str">
        <f t="shared" si="91"/>
        <v>Nov</v>
      </c>
      <c r="G1974" s="17" t="s">
        <v>32</v>
      </c>
      <c r="H1974" s="17" t="s">
        <v>30</v>
      </c>
      <c r="I1974" s="24">
        <v>102286.07698514432</v>
      </c>
      <c r="J1974" s="32">
        <v>28</v>
      </c>
      <c r="K1974" s="17" t="s">
        <v>26</v>
      </c>
      <c r="L1974" s="24">
        <v>3592.32</v>
      </c>
      <c r="M1974" s="24">
        <v>3813.48</v>
      </c>
      <c r="N1974" s="34">
        <f>((sales_data_1[[#This Row],[Unit_Price]]*(1-sales_data_1[[#This Row],[Discount]]))-sales_data_1[[#This Row],[Unit_Cost]])*sales_data_1[[#This Row],[Quantity_Sold]]</f>
        <v>1921.3823999999913</v>
      </c>
      <c r="O1974" s="17" t="s">
        <v>27</v>
      </c>
      <c r="P1974" s="26">
        <v>0.04</v>
      </c>
      <c r="Q1974" s="17" t="s">
        <v>28</v>
      </c>
      <c r="R1974" s="17" t="s">
        <v>21</v>
      </c>
      <c r="S1974" s="50" t="str">
        <f t="shared" si="92"/>
        <v>Eve-East</v>
      </c>
      <c r="T1974" s="59" t="str">
        <f>IF(ROUND(sales_data_1[[#This Row],[Profit_Margin]],2)=ROUND((sales_data_1[[#This Row],[Unit_Price]]*(1-sales_data_1[[#This Row],[Discount]]) - sales_data_1[[#This Row],[Unit_Cost]])*sales_data_1[[#This Row],[Quantity_Sold]],2), "PASS", "CHECK")</f>
        <v>PASS</v>
      </c>
    </row>
    <row r="1975" spans="1:20" x14ac:dyDescent="0.35">
      <c r="A1975" s="7">
        <v>1974</v>
      </c>
      <c r="B1975" s="9">
        <v>1050</v>
      </c>
      <c r="C1975" s="14" t="str">
        <f>IFERROR(_xlfn.TEXTJOIN("-", TRUE, _xlfn.XLOOKUP(K1975, product_category_id_lookup!$A$2:$A$5, product_category_id_lookup!$B$2:$B$5), B1975), "Unknown Category")</f>
        <v>fd-1050</v>
      </c>
      <c r="D1975" s="8">
        <v>45243</v>
      </c>
      <c r="E1975" s="14">
        <f t="shared" si="90"/>
        <v>2023</v>
      </c>
      <c r="F1975" s="29" t="str">
        <f t="shared" si="91"/>
        <v>Nov</v>
      </c>
      <c r="G1975" s="17" t="s">
        <v>33</v>
      </c>
      <c r="H1975" s="17" t="s">
        <v>15</v>
      </c>
      <c r="I1975" s="24">
        <v>52358.848191765588</v>
      </c>
      <c r="J1975" s="32">
        <v>28</v>
      </c>
      <c r="K1975" s="17" t="s">
        <v>24</v>
      </c>
      <c r="L1975" s="24">
        <v>1711.63</v>
      </c>
      <c r="M1975" s="24">
        <v>1951.2400000000002</v>
      </c>
      <c r="N1975" s="34">
        <f>((sales_data_1[[#This Row],[Unit_Price]]*(1-sales_data_1[[#This Row],[Discount]]))-sales_data_1[[#This Row],[Unit_Cost]])*sales_data_1[[#This Row],[Quantity_Sold]]</f>
        <v>4523.691200000002</v>
      </c>
      <c r="O1975" s="17" t="s">
        <v>27</v>
      </c>
      <c r="P1975" s="26">
        <v>0.04</v>
      </c>
      <c r="Q1975" s="17" t="s">
        <v>18</v>
      </c>
      <c r="R1975" s="17" t="s">
        <v>19</v>
      </c>
      <c r="S1975" s="50" t="str">
        <f t="shared" si="92"/>
        <v>Alice-North</v>
      </c>
      <c r="T1975" s="59" t="str">
        <f>IF(ROUND(sales_data_1[[#This Row],[Profit_Margin]],2)=ROUND((sales_data_1[[#This Row],[Unit_Price]]*(1-sales_data_1[[#This Row],[Discount]]) - sales_data_1[[#This Row],[Unit_Cost]])*sales_data_1[[#This Row],[Quantity_Sold]],2), "PASS", "CHECK")</f>
        <v>PASS</v>
      </c>
    </row>
    <row r="1976" spans="1:20" x14ac:dyDescent="0.35">
      <c r="A1976" s="7">
        <v>1975</v>
      </c>
      <c r="B1976" s="9">
        <v>1090</v>
      </c>
      <c r="C1976" s="14" t="str">
        <f>IFERROR(_xlfn.TEXTJOIN("-", TRUE, _xlfn.XLOOKUP(K1976, product_category_id_lookup!$A$2:$A$5, product_category_id_lookup!$B$2:$B$5), B1976), "Unknown Category")</f>
        <v>ctg-1090</v>
      </c>
      <c r="D1976" s="8">
        <v>45244</v>
      </c>
      <c r="E1976" s="14">
        <f t="shared" si="90"/>
        <v>2023</v>
      </c>
      <c r="F1976" s="29" t="str">
        <f t="shared" si="91"/>
        <v>Nov</v>
      </c>
      <c r="G1976" s="17" t="s">
        <v>14</v>
      </c>
      <c r="H1976" s="17" t="s">
        <v>30</v>
      </c>
      <c r="I1976" s="24">
        <v>216.4059</v>
      </c>
      <c r="J1976" s="32">
        <v>1</v>
      </c>
      <c r="K1976" s="17" t="s">
        <v>26</v>
      </c>
      <c r="L1976" s="24">
        <v>60.28</v>
      </c>
      <c r="M1976" s="24">
        <v>260.73</v>
      </c>
      <c r="N1976" s="34">
        <f>((sales_data_1[[#This Row],[Unit_Price]]*(1-sales_data_1[[#This Row],[Discount]]))-sales_data_1[[#This Row],[Unit_Cost]])*sales_data_1[[#This Row],[Quantity_Sold]]</f>
        <v>156.1259</v>
      </c>
      <c r="O1976" s="17" t="s">
        <v>17</v>
      </c>
      <c r="P1976" s="26">
        <v>0.17</v>
      </c>
      <c r="Q1976" s="17" t="s">
        <v>18</v>
      </c>
      <c r="R1976" s="17" t="s">
        <v>19</v>
      </c>
      <c r="S1976" s="50" t="str">
        <f t="shared" si="92"/>
        <v>Bob-East</v>
      </c>
      <c r="T1976" s="59" t="str">
        <f>IF(ROUND(sales_data_1[[#This Row],[Profit_Margin]],2)=ROUND((sales_data_1[[#This Row],[Unit_Price]]*(1-sales_data_1[[#This Row],[Discount]]) - sales_data_1[[#This Row],[Unit_Cost]])*sales_data_1[[#This Row],[Quantity_Sold]],2), "PASS", "CHECK")</f>
        <v>PASS</v>
      </c>
    </row>
    <row r="1977" spans="1:20" x14ac:dyDescent="0.35">
      <c r="A1977" s="7">
        <v>1976</v>
      </c>
      <c r="B1977" s="9">
        <v>1001</v>
      </c>
      <c r="C1977" s="14" t="str">
        <f>IFERROR(_xlfn.TEXTJOIN("-", TRUE, _xlfn.XLOOKUP(K1977, product_category_id_lookup!$A$2:$A$5, product_category_id_lookup!$B$2:$B$5), B1977), "Unknown Category")</f>
        <v>fnt-1001</v>
      </c>
      <c r="D1977" s="8">
        <v>45244</v>
      </c>
      <c r="E1977" s="14">
        <f t="shared" si="90"/>
        <v>2023</v>
      </c>
      <c r="F1977" s="29" t="str">
        <f t="shared" si="91"/>
        <v>Nov</v>
      </c>
      <c r="G1977" s="17" t="s">
        <v>22</v>
      </c>
      <c r="H1977" s="17" t="s">
        <v>15</v>
      </c>
      <c r="I1977" s="24">
        <v>24401.974342868431</v>
      </c>
      <c r="J1977" s="32">
        <v>36</v>
      </c>
      <c r="K1977" s="17" t="s">
        <v>16</v>
      </c>
      <c r="L1977" s="24">
        <v>666.84</v>
      </c>
      <c r="M1977" s="24">
        <v>682.24</v>
      </c>
      <c r="N1977" s="34">
        <f>((sales_data_1[[#This Row],[Unit_Price]]*(1-sales_data_1[[#This Row],[Discount]]))-sales_data_1[[#This Row],[Unit_Cost]])*sales_data_1[[#This Row],[Quantity_Sold]]</f>
        <v>308.79359999999861</v>
      </c>
      <c r="O1977" s="17" t="s">
        <v>27</v>
      </c>
      <c r="P1977" s="26">
        <v>0.01</v>
      </c>
      <c r="Q1977" s="17" t="s">
        <v>25</v>
      </c>
      <c r="R1977" s="17" t="s">
        <v>21</v>
      </c>
      <c r="S1977" s="50" t="str">
        <f t="shared" si="92"/>
        <v>David-North</v>
      </c>
      <c r="T1977" s="59" t="str">
        <f>IF(ROUND(sales_data_1[[#This Row],[Profit_Margin]],2)=ROUND((sales_data_1[[#This Row],[Unit_Price]]*(1-sales_data_1[[#This Row],[Discount]]) - sales_data_1[[#This Row],[Unit_Cost]])*sales_data_1[[#This Row],[Quantity_Sold]],2), "PASS", "CHECK")</f>
        <v>PASS</v>
      </c>
    </row>
    <row r="1978" spans="1:20" x14ac:dyDescent="0.35">
      <c r="A1978" s="7">
        <v>1977</v>
      </c>
      <c r="B1978" s="9">
        <v>1012</v>
      </c>
      <c r="C1978" s="14" t="str">
        <f>IFERROR(_xlfn.TEXTJOIN("-", TRUE, _xlfn.XLOOKUP(K1978, product_category_id_lookup!$A$2:$A$5, product_category_id_lookup!$B$2:$B$5), B1978), "Unknown Category")</f>
        <v>etc-1012</v>
      </c>
      <c r="D1978" s="8">
        <v>45244</v>
      </c>
      <c r="E1978" s="14">
        <f t="shared" si="90"/>
        <v>2023</v>
      </c>
      <c r="F1978" s="29" t="str">
        <f t="shared" si="91"/>
        <v>Nov</v>
      </c>
      <c r="G1978" s="17" t="s">
        <v>22</v>
      </c>
      <c r="H1978" s="17" t="s">
        <v>15</v>
      </c>
      <c r="I1978" s="24">
        <v>17266.290999999997</v>
      </c>
      <c r="J1978" s="32">
        <v>14</v>
      </c>
      <c r="K1978" s="17" t="s">
        <v>31</v>
      </c>
      <c r="L1978" s="24">
        <v>1185.5</v>
      </c>
      <c r="M1978" s="24">
        <v>1271.45</v>
      </c>
      <c r="N1978" s="34">
        <f>((sales_data_1[[#This Row],[Unit_Price]]*(1-sales_data_1[[#This Row],[Discount]]))-sales_data_1[[#This Row],[Unit_Cost]])*sales_data_1[[#This Row],[Quantity_Sold]]</f>
        <v>669.2909999999988</v>
      </c>
      <c r="O1978" s="17" t="s">
        <v>17</v>
      </c>
      <c r="P1978" s="26">
        <v>0.03</v>
      </c>
      <c r="Q1978" s="17" t="s">
        <v>25</v>
      </c>
      <c r="R1978" s="17" t="s">
        <v>21</v>
      </c>
      <c r="S1978" s="50" t="str">
        <f t="shared" si="92"/>
        <v>David-North</v>
      </c>
      <c r="T1978" s="59" t="str">
        <f>IF(ROUND(sales_data_1[[#This Row],[Profit_Margin]],2)=ROUND((sales_data_1[[#This Row],[Unit_Price]]*(1-sales_data_1[[#This Row],[Discount]]) - sales_data_1[[#This Row],[Unit_Cost]])*sales_data_1[[#This Row],[Quantity_Sold]],2), "PASS", "CHECK")</f>
        <v>PASS</v>
      </c>
    </row>
    <row r="1979" spans="1:20" x14ac:dyDescent="0.35">
      <c r="A1979" s="7">
        <v>1978</v>
      </c>
      <c r="B1979" s="9">
        <v>1012</v>
      </c>
      <c r="C1979" s="14" t="str">
        <f>IFERROR(_xlfn.TEXTJOIN("-", TRUE, _xlfn.XLOOKUP(K1979, product_category_id_lookup!$A$2:$A$5, product_category_id_lookup!$B$2:$B$5), B1979), "Unknown Category")</f>
        <v>ctg-1012</v>
      </c>
      <c r="D1979" s="8">
        <v>45244</v>
      </c>
      <c r="E1979" s="14">
        <f t="shared" si="90"/>
        <v>2023</v>
      </c>
      <c r="F1979" s="29" t="str">
        <f t="shared" si="91"/>
        <v>Nov</v>
      </c>
      <c r="G1979" s="17" t="s">
        <v>32</v>
      </c>
      <c r="H1979" s="17" t="s">
        <v>15</v>
      </c>
      <c r="I1979" s="24">
        <v>23953.31479030729</v>
      </c>
      <c r="J1979" s="32">
        <v>6</v>
      </c>
      <c r="K1979" s="17" t="s">
        <v>26</v>
      </c>
      <c r="L1979" s="24">
        <v>3609.42</v>
      </c>
      <c r="M1979" s="24">
        <v>4082.62</v>
      </c>
      <c r="N1979" s="34">
        <f>((sales_data_1[[#This Row],[Unit_Price]]*(1-sales_data_1[[#This Row],[Discount]]))-sales_data_1[[#This Row],[Unit_Cost]])*sales_data_1[[#This Row],[Quantity_Sold]]</f>
        <v>2349.2855999999992</v>
      </c>
      <c r="O1979" s="17" t="s">
        <v>17</v>
      </c>
      <c r="P1979" s="26">
        <v>0.02</v>
      </c>
      <c r="Q1979" s="17" t="s">
        <v>25</v>
      </c>
      <c r="R1979" s="17" t="s">
        <v>21</v>
      </c>
      <c r="S1979" s="50" t="str">
        <f t="shared" si="92"/>
        <v>Eve-North</v>
      </c>
      <c r="T1979" s="59" t="str">
        <f>IF(ROUND(sales_data_1[[#This Row],[Profit_Margin]],2)=ROUND((sales_data_1[[#This Row],[Unit_Price]]*(1-sales_data_1[[#This Row],[Discount]]) - sales_data_1[[#This Row],[Unit_Cost]])*sales_data_1[[#This Row],[Quantity_Sold]],2), "PASS", "CHECK")</f>
        <v>PASS</v>
      </c>
    </row>
    <row r="1980" spans="1:20" x14ac:dyDescent="0.35">
      <c r="A1980" s="7">
        <v>1979</v>
      </c>
      <c r="B1980" s="9">
        <v>1092</v>
      </c>
      <c r="C1980" s="14" t="str">
        <f>IFERROR(_xlfn.TEXTJOIN("-", TRUE, _xlfn.XLOOKUP(K1980, product_category_id_lookup!$A$2:$A$5, product_category_id_lookup!$B$2:$B$5), B1980), "Unknown Category")</f>
        <v>ctg-1092</v>
      </c>
      <c r="D1980" s="8">
        <v>45244</v>
      </c>
      <c r="E1980" s="14">
        <f t="shared" si="90"/>
        <v>2023</v>
      </c>
      <c r="F1980" s="29" t="str">
        <f t="shared" si="91"/>
        <v>Nov</v>
      </c>
      <c r="G1980" s="17" t="s">
        <v>32</v>
      </c>
      <c r="H1980" s="17" t="s">
        <v>30</v>
      </c>
      <c r="I1980" s="24">
        <v>113599.7604</v>
      </c>
      <c r="J1980" s="32">
        <v>28</v>
      </c>
      <c r="K1980" s="17" t="s">
        <v>26</v>
      </c>
      <c r="L1980" s="24">
        <v>3936.69</v>
      </c>
      <c r="M1980" s="24">
        <v>4362.51</v>
      </c>
      <c r="N1980" s="34">
        <f>((sales_data_1[[#This Row],[Unit_Price]]*(1-sales_data_1[[#This Row],[Discount]]))-sales_data_1[[#This Row],[Unit_Cost]])*sales_data_1[[#This Row],[Quantity_Sold]]</f>
        <v>3372.4403999999904</v>
      </c>
      <c r="O1980" s="17" t="s">
        <v>17</v>
      </c>
      <c r="P1980" s="26">
        <v>7.0000000000000007E-2</v>
      </c>
      <c r="Q1980" s="17" t="s">
        <v>28</v>
      </c>
      <c r="R1980" s="17" t="s">
        <v>21</v>
      </c>
      <c r="S1980" s="50" t="str">
        <f t="shared" si="92"/>
        <v>Eve-East</v>
      </c>
      <c r="T1980" s="59" t="str">
        <f>IF(ROUND(sales_data_1[[#This Row],[Profit_Margin]],2)=ROUND((sales_data_1[[#This Row],[Unit_Price]]*(1-sales_data_1[[#This Row],[Discount]]) - sales_data_1[[#This Row],[Unit_Cost]])*sales_data_1[[#This Row],[Quantity_Sold]],2), "PASS", "CHECK")</f>
        <v>PASS</v>
      </c>
    </row>
    <row r="1981" spans="1:20" x14ac:dyDescent="0.35">
      <c r="A1981" s="7">
        <v>1980</v>
      </c>
      <c r="B1981" s="9">
        <v>1033</v>
      </c>
      <c r="C1981" s="14" t="str">
        <f>IFERROR(_xlfn.TEXTJOIN("-", TRUE, _xlfn.XLOOKUP(K1981, product_category_id_lookup!$A$2:$A$5, product_category_id_lookup!$B$2:$B$5), B1981), "Unknown Category")</f>
        <v>fnt-1033</v>
      </c>
      <c r="D1981" s="8">
        <v>45244</v>
      </c>
      <c r="E1981" s="14">
        <f t="shared" si="90"/>
        <v>2023</v>
      </c>
      <c r="F1981" s="29" t="str">
        <f t="shared" si="91"/>
        <v>Nov</v>
      </c>
      <c r="G1981" s="17" t="s">
        <v>22</v>
      </c>
      <c r="H1981" s="17" t="s">
        <v>23</v>
      </c>
      <c r="I1981" s="24">
        <v>76974.582403666194</v>
      </c>
      <c r="J1981" s="32">
        <v>23</v>
      </c>
      <c r="K1981" s="17" t="s">
        <v>16</v>
      </c>
      <c r="L1981" s="24">
        <v>2981.5</v>
      </c>
      <c r="M1981" s="24">
        <v>3360.4</v>
      </c>
      <c r="N1981" s="34">
        <f>((sales_data_1[[#This Row],[Unit_Price]]*(1-sales_data_1[[#This Row],[Discount]]))-sales_data_1[[#This Row],[Unit_Cost]])*sales_data_1[[#This Row],[Quantity_Sold]]</f>
        <v>8714.7000000000025</v>
      </c>
      <c r="O1981" s="17" t="s">
        <v>17</v>
      </c>
      <c r="P1981" s="26">
        <v>0</v>
      </c>
      <c r="Q1981" s="17" t="s">
        <v>25</v>
      </c>
      <c r="R1981" s="17" t="s">
        <v>21</v>
      </c>
      <c r="S1981" s="50" t="str">
        <f t="shared" si="92"/>
        <v>David-South</v>
      </c>
      <c r="T1981" s="59" t="str">
        <f>IF(ROUND(sales_data_1[[#This Row],[Profit_Margin]],2)=ROUND((sales_data_1[[#This Row],[Unit_Price]]*(1-sales_data_1[[#This Row],[Discount]]) - sales_data_1[[#This Row],[Unit_Cost]])*sales_data_1[[#This Row],[Quantity_Sold]],2), "PASS", "CHECK")</f>
        <v>PASS</v>
      </c>
    </row>
    <row r="1982" spans="1:20" x14ac:dyDescent="0.35">
      <c r="A1982" s="7">
        <v>1981</v>
      </c>
      <c r="B1982" s="9">
        <v>1085</v>
      </c>
      <c r="C1982" s="14" t="str">
        <f>IFERROR(_xlfn.TEXTJOIN("-", TRUE, _xlfn.XLOOKUP(K1982, product_category_id_lookup!$A$2:$A$5, product_category_id_lookup!$B$2:$B$5), B1982), "Unknown Category")</f>
        <v>fnt-1085</v>
      </c>
      <c r="D1982" s="8">
        <v>45244</v>
      </c>
      <c r="E1982" s="14">
        <f t="shared" si="90"/>
        <v>2023</v>
      </c>
      <c r="F1982" s="29" t="str">
        <f t="shared" si="91"/>
        <v>Nov</v>
      </c>
      <c r="G1982" s="17" t="s">
        <v>29</v>
      </c>
      <c r="H1982" s="17" t="s">
        <v>23</v>
      </c>
      <c r="I1982" s="24">
        <v>45848.9856</v>
      </c>
      <c r="J1982" s="32">
        <v>32</v>
      </c>
      <c r="K1982" s="17" t="s">
        <v>16</v>
      </c>
      <c r="L1982" s="24">
        <v>1074.93</v>
      </c>
      <c r="M1982" s="24">
        <v>1492.48</v>
      </c>
      <c r="N1982" s="34">
        <f>((sales_data_1[[#This Row],[Unit_Price]]*(1-sales_data_1[[#This Row],[Discount]]))-sales_data_1[[#This Row],[Unit_Cost]])*sales_data_1[[#This Row],[Quantity_Sold]]</f>
        <v>11451.225599999998</v>
      </c>
      <c r="O1982" s="17" t="s">
        <v>17</v>
      </c>
      <c r="P1982" s="26">
        <v>0.04</v>
      </c>
      <c r="Q1982" s="17" t="s">
        <v>28</v>
      </c>
      <c r="R1982" s="17" t="s">
        <v>21</v>
      </c>
      <c r="S1982" s="50" t="str">
        <f t="shared" si="92"/>
        <v>Charlie-South</v>
      </c>
      <c r="T1982" s="59" t="str">
        <f>IF(ROUND(sales_data_1[[#This Row],[Profit_Margin]],2)=ROUND((sales_data_1[[#This Row],[Unit_Price]]*(1-sales_data_1[[#This Row],[Discount]]) - sales_data_1[[#This Row],[Unit_Cost]])*sales_data_1[[#This Row],[Quantity_Sold]],2), "PASS", "CHECK")</f>
        <v>PASS</v>
      </c>
    </row>
    <row r="1983" spans="1:20" x14ac:dyDescent="0.35">
      <c r="A1983" s="7">
        <v>1982</v>
      </c>
      <c r="B1983" s="9">
        <v>1068</v>
      </c>
      <c r="C1983" s="14" t="str">
        <f>IFERROR(_xlfn.TEXTJOIN("-", TRUE, _xlfn.XLOOKUP(K1983, product_category_id_lookup!$A$2:$A$5, product_category_id_lookup!$B$2:$B$5), B1983), "Unknown Category")</f>
        <v>ctg-1068</v>
      </c>
      <c r="D1983" s="8">
        <v>45244</v>
      </c>
      <c r="E1983" s="14">
        <f t="shared" si="90"/>
        <v>2023</v>
      </c>
      <c r="F1983" s="29" t="str">
        <f t="shared" si="91"/>
        <v>Nov</v>
      </c>
      <c r="G1983" s="17" t="s">
        <v>29</v>
      </c>
      <c r="H1983" s="17" t="s">
        <v>20</v>
      </c>
      <c r="I1983" s="24">
        <v>63813.506400000006</v>
      </c>
      <c r="J1983" s="32">
        <v>42</v>
      </c>
      <c r="K1983" s="17" t="s">
        <v>26</v>
      </c>
      <c r="L1983" s="24">
        <v>1218.18</v>
      </c>
      <c r="M1983" s="24">
        <v>1566.3600000000001</v>
      </c>
      <c r="N1983" s="34">
        <f>((sales_data_1[[#This Row],[Unit_Price]]*(1-sales_data_1[[#This Row],[Discount]]))-sales_data_1[[#This Row],[Unit_Cost]])*sales_data_1[[#This Row],[Quantity_Sold]]</f>
        <v>12649.946400000001</v>
      </c>
      <c r="O1983" s="17" t="s">
        <v>17</v>
      </c>
      <c r="P1983" s="26">
        <v>0.03</v>
      </c>
      <c r="Q1983" s="17" t="s">
        <v>28</v>
      </c>
      <c r="R1983" s="17" t="s">
        <v>21</v>
      </c>
      <c r="S1983" s="50" t="str">
        <f t="shared" si="92"/>
        <v>Charlie-West</v>
      </c>
      <c r="T1983" s="59" t="str">
        <f>IF(ROUND(sales_data_1[[#This Row],[Profit_Margin]],2)=ROUND((sales_data_1[[#This Row],[Unit_Price]]*(1-sales_data_1[[#This Row],[Discount]]) - sales_data_1[[#This Row],[Unit_Cost]])*sales_data_1[[#This Row],[Quantity_Sold]],2), "PASS", "CHECK")</f>
        <v>PASS</v>
      </c>
    </row>
    <row r="1984" spans="1:20" x14ac:dyDescent="0.35">
      <c r="A1984" s="7">
        <v>1983</v>
      </c>
      <c r="B1984" s="9">
        <v>1032</v>
      </c>
      <c r="C1984" s="14" t="str">
        <f>IFERROR(_xlfn.TEXTJOIN("-", TRUE, _xlfn.XLOOKUP(K1984, product_category_id_lookup!$A$2:$A$5, product_category_id_lookup!$B$2:$B$5), B1984), "Unknown Category")</f>
        <v>fd-1032</v>
      </c>
      <c r="D1984" s="8">
        <v>45245</v>
      </c>
      <c r="E1984" s="14">
        <f t="shared" si="90"/>
        <v>2023</v>
      </c>
      <c r="F1984" s="29" t="str">
        <f t="shared" si="91"/>
        <v>Nov</v>
      </c>
      <c r="G1984" s="17" t="s">
        <v>33</v>
      </c>
      <c r="H1984" s="17" t="s">
        <v>20</v>
      </c>
      <c r="I1984" s="24">
        <v>787.84159999999997</v>
      </c>
      <c r="J1984" s="32">
        <v>1</v>
      </c>
      <c r="K1984" s="17" t="s">
        <v>24</v>
      </c>
      <c r="L1984" s="24">
        <v>651</v>
      </c>
      <c r="M1984" s="24">
        <v>865.76</v>
      </c>
      <c r="N1984" s="34">
        <f>((sales_data_1[[#This Row],[Unit_Price]]*(1-sales_data_1[[#This Row],[Discount]]))-sales_data_1[[#This Row],[Unit_Cost]])*sales_data_1[[#This Row],[Quantity_Sold]]</f>
        <v>136.84159999999997</v>
      </c>
      <c r="O1984" s="17" t="s">
        <v>17</v>
      </c>
      <c r="P1984" s="26">
        <v>0.09</v>
      </c>
      <c r="Q1984" s="17" t="s">
        <v>25</v>
      </c>
      <c r="R1984" s="17" t="s">
        <v>21</v>
      </c>
      <c r="S1984" s="50" t="str">
        <f t="shared" si="92"/>
        <v>Alice-West</v>
      </c>
      <c r="T1984" s="59" t="str">
        <f>IF(ROUND(sales_data_1[[#This Row],[Profit_Margin]],2)=ROUND((sales_data_1[[#This Row],[Unit_Price]]*(1-sales_data_1[[#This Row],[Discount]]) - sales_data_1[[#This Row],[Unit_Cost]])*sales_data_1[[#This Row],[Quantity_Sold]],2), "PASS", "CHECK")</f>
        <v>PASS</v>
      </c>
    </row>
    <row r="1985" spans="1:20" x14ac:dyDescent="0.35">
      <c r="A1985" s="7">
        <v>1984</v>
      </c>
      <c r="B1985" s="9">
        <v>1100</v>
      </c>
      <c r="C1985" s="14" t="str">
        <f>IFERROR(_xlfn.TEXTJOIN("-", TRUE, _xlfn.XLOOKUP(K1985, product_category_id_lookup!$A$2:$A$5, product_category_id_lookup!$B$2:$B$5), B1985), "Unknown Category")</f>
        <v>fnt-1100</v>
      </c>
      <c r="D1985" s="8">
        <v>45245</v>
      </c>
      <c r="E1985" s="14">
        <f t="shared" si="90"/>
        <v>2023</v>
      </c>
      <c r="F1985" s="29" t="str">
        <f t="shared" si="91"/>
        <v>Nov</v>
      </c>
      <c r="G1985" s="17" t="s">
        <v>32</v>
      </c>
      <c r="H1985" s="17" t="s">
        <v>30</v>
      </c>
      <c r="I1985" s="24">
        <v>2295.1437378553314</v>
      </c>
      <c r="J1985" s="32">
        <v>2</v>
      </c>
      <c r="K1985" s="17" t="s">
        <v>16</v>
      </c>
      <c r="L1985" s="24">
        <v>1036.76</v>
      </c>
      <c r="M1985" s="24">
        <v>1189.3499999999999</v>
      </c>
      <c r="N1985" s="34">
        <f>((sales_data_1[[#This Row],[Unit_Price]]*(1-sales_data_1[[#This Row],[Discount]]))-sales_data_1[[#This Row],[Unit_Cost]])*sales_data_1[[#This Row],[Quantity_Sold]]</f>
        <v>210.0319999999997</v>
      </c>
      <c r="O1985" s="17" t="s">
        <v>27</v>
      </c>
      <c r="P1985" s="26">
        <v>0.04</v>
      </c>
      <c r="Q1985" s="17" t="s">
        <v>25</v>
      </c>
      <c r="R1985" s="17" t="s">
        <v>19</v>
      </c>
      <c r="S1985" s="50" t="str">
        <f t="shared" si="92"/>
        <v>Eve-East</v>
      </c>
      <c r="T1985" s="59" t="str">
        <f>IF(ROUND(sales_data_1[[#This Row],[Profit_Margin]],2)=ROUND((sales_data_1[[#This Row],[Unit_Price]]*(1-sales_data_1[[#This Row],[Discount]]) - sales_data_1[[#This Row],[Unit_Cost]])*sales_data_1[[#This Row],[Quantity_Sold]],2), "PASS", "CHECK")</f>
        <v>PASS</v>
      </c>
    </row>
    <row r="1986" spans="1:20" x14ac:dyDescent="0.35">
      <c r="A1986" s="7">
        <v>1985</v>
      </c>
      <c r="B1986" s="9">
        <v>1030</v>
      </c>
      <c r="C1986" s="14" t="str">
        <f>IFERROR(_xlfn.TEXTJOIN("-", TRUE, _xlfn.XLOOKUP(K1986, product_category_id_lookup!$A$2:$A$5, product_category_id_lookup!$B$2:$B$5), B1986), "Unknown Category")</f>
        <v>ctg-1030</v>
      </c>
      <c r="D1986" s="8">
        <v>45245</v>
      </c>
      <c r="E1986" s="14">
        <f t="shared" ref="E1986:E2049" si="93">YEAR(D1986)</f>
        <v>2023</v>
      </c>
      <c r="F1986" s="29" t="str">
        <f t="shared" ref="F1986:F2049" si="94">LEFT(TEXT(D1986,"mmmm"),3)</f>
        <v>Nov</v>
      </c>
      <c r="G1986" s="17" t="s">
        <v>32</v>
      </c>
      <c r="H1986" s="17" t="s">
        <v>30</v>
      </c>
      <c r="I1986" s="24">
        <v>34400.25566498682</v>
      </c>
      <c r="J1986" s="32">
        <v>24</v>
      </c>
      <c r="K1986" s="17" t="s">
        <v>26</v>
      </c>
      <c r="L1986" s="24">
        <v>1370.52</v>
      </c>
      <c r="M1986" s="24">
        <v>1482.58</v>
      </c>
      <c r="N1986" s="34">
        <f>((sales_data_1[[#This Row],[Unit_Price]]*(1-sales_data_1[[#This Row],[Discount]]))-sales_data_1[[#This Row],[Unit_Cost]])*sales_data_1[[#This Row],[Quantity_Sold]]</f>
        <v>1621.982399999999</v>
      </c>
      <c r="O1986" s="17" t="s">
        <v>17</v>
      </c>
      <c r="P1986" s="26">
        <v>0.03</v>
      </c>
      <c r="Q1986" s="17" t="s">
        <v>28</v>
      </c>
      <c r="R1986" s="17" t="s">
        <v>21</v>
      </c>
      <c r="S1986" s="50" t="str">
        <f t="shared" ref="S1986:S2049" si="95">_xlfn.CONCAT(G1986,"-",H1986)</f>
        <v>Eve-East</v>
      </c>
      <c r="T1986" s="59" t="str">
        <f>IF(ROUND(sales_data_1[[#This Row],[Profit_Margin]],2)=ROUND((sales_data_1[[#This Row],[Unit_Price]]*(1-sales_data_1[[#This Row],[Discount]]) - sales_data_1[[#This Row],[Unit_Cost]])*sales_data_1[[#This Row],[Quantity_Sold]],2), "PASS", "CHECK")</f>
        <v>PASS</v>
      </c>
    </row>
    <row r="1987" spans="1:20" x14ac:dyDescent="0.35">
      <c r="A1987" s="7">
        <v>1986</v>
      </c>
      <c r="B1987" s="9">
        <v>1036</v>
      </c>
      <c r="C1987" s="14" t="str">
        <f>IFERROR(_xlfn.TEXTJOIN("-", TRUE, _xlfn.XLOOKUP(K1987, product_category_id_lookup!$A$2:$A$5, product_category_id_lookup!$B$2:$B$5), B1987), "Unknown Category")</f>
        <v>fnt-1036</v>
      </c>
      <c r="D1987" s="8">
        <v>45245</v>
      </c>
      <c r="E1987" s="14">
        <f t="shared" si="93"/>
        <v>2023</v>
      </c>
      <c r="F1987" s="29" t="str">
        <f t="shared" si="94"/>
        <v>Nov</v>
      </c>
      <c r="G1987" s="17" t="s">
        <v>14</v>
      </c>
      <c r="H1987" s="17" t="s">
        <v>20</v>
      </c>
      <c r="I1987" s="24">
        <v>55587.35</v>
      </c>
      <c r="J1987" s="32">
        <v>19</v>
      </c>
      <c r="K1987" s="17" t="s">
        <v>16</v>
      </c>
      <c r="L1987" s="24">
        <v>2844.97</v>
      </c>
      <c r="M1987" s="24">
        <v>3215</v>
      </c>
      <c r="N1987" s="34">
        <f>((sales_data_1[[#This Row],[Unit_Price]]*(1-sales_data_1[[#This Row],[Discount]]))-sales_data_1[[#This Row],[Unit_Cost]])*sales_data_1[[#This Row],[Quantity_Sold]]</f>
        <v>1532.9200000000055</v>
      </c>
      <c r="O1987" s="17" t="s">
        <v>17</v>
      </c>
      <c r="P1987" s="26">
        <v>0.09</v>
      </c>
      <c r="Q1987" s="17" t="s">
        <v>28</v>
      </c>
      <c r="R1987" s="17" t="s">
        <v>21</v>
      </c>
      <c r="S1987" s="50" t="str">
        <f t="shared" si="95"/>
        <v>Bob-West</v>
      </c>
      <c r="T1987" s="59" t="str">
        <f>IF(ROUND(sales_data_1[[#This Row],[Profit_Margin]],2)=ROUND((sales_data_1[[#This Row],[Unit_Price]]*(1-sales_data_1[[#This Row],[Discount]]) - sales_data_1[[#This Row],[Unit_Cost]])*sales_data_1[[#This Row],[Quantity_Sold]],2), "PASS", "CHECK")</f>
        <v>PASS</v>
      </c>
    </row>
    <row r="1988" spans="1:20" x14ac:dyDescent="0.35">
      <c r="A1988" s="7">
        <v>1987</v>
      </c>
      <c r="B1988" s="9">
        <v>1051</v>
      </c>
      <c r="C1988" s="14" t="str">
        <f>IFERROR(_xlfn.TEXTJOIN("-", TRUE, _xlfn.XLOOKUP(K1988, product_category_id_lookup!$A$2:$A$5, product_category_id_lookup!$B$2:$B$5), B1988), "Unknown Category")</f>
        <v>etc-1051</v>
      </c>
      <c r="D1988" s="8">
        <v>45245</v>
      </c>
      <c r="E1988" s="14">
        <f t="shared" si="93"/>
        <v>2023</v>
      </c>
      <c r="F1988" s="29" t="str">
        <f t="shared" si="94"/>
        <v>Nov</v>
      </c>
      <c r="G1988" s="17" t="s">
        <v>33</v>
      </c>
      <c r="H1988" s="17" t="s">
        <v>15</v>
      </c>
      <c r="I1988" s="24">
        <v>40713.265999999996</v>
      </c>
      <c r="J1988" s="32">
        <v>23</v>
      </c>
      <c r="K1988" s="17" t="s">
        <v>31</v>
      </c>
      <c r="L1988" s="24">
        <v>1676.42</v>
      </c>
      <c r="M1988" s="24">
        <v>2082.52</v>
      </c>
      <c r="N1988" s="34">
        <f>((sales_data_1[[#This Row],[Unit_Price]]*(1-sales_data_1[[#This Row],[Discount]]))-sales_data_1[[#This Row],[Unit_Cost]])*sales_data_1[[#This Row],[Quantity_Sold]]</f>
        <v>2155.6059999999943</v>
      </c>
      <c r="O1988" s="17" t="s">
        <v>27</v>
      </c>
      <c r="P1988" s="26">
        <v>0.15</v>
      </c>
      <c r="Q1988" s="17" t="s">
        <v>25</v>
      </c>
      <c r="R1988" s="17" t="s">
        <v>21</v>
      </c>
      <c r="S1988" s="50" t="str">
        <f t="shared" si="95"/>
        <v>Alice-North</v>
      </c>
      <c r="T1988" s="59" t="str">
        <f>IF(ROUND(sales_data_1[[#This Row],[Profit_Margin]],2)=ROUND((sales_data_1[[#This Row],[Unit_Price]]*(1-sales_data_1[[#This Row],[Discount]]) - sales_data_1[[#This Row],[Unit_Cost]])*sales_data_1[[#This Row],[Quantity_Sold]],2), "PASS", "CHECK")</f>
        <v>PASS</v>
      </c>
    </row>
    <row r="1989" spans="1:20" x14ac:dyDescent="0.35">
      <c r="A1989" s="7">
        <v>1988</v>
      </c>
      <c r="B1989" s="9">
        <v>1092</v>
      </c>
      <c r="C1989" s="14" t="str">
        <f>IFERROR(_xlfn.TEXTJOIN("-", TRUE, _xlfn.XLOOKUP(K1989, product_category_id_lookup!$A$2:$A$5, product_category_id_lookup!$B$2:$B$5), B1989), "Unknown Category")</f>
        <v>etc-1092</v>
      </c>
      <c r="D1989" s="8">
        <v>45245</v>
      </c>
      <c r="E1989" s="14">
        <f t="shared" si="93"/>
        <v>2023</v>
      </c>
      <c r="F1989" s="29" t="str">
        <f t="shared" si="94"/>
        <v>Nov</v>
      </c>
      <c r="G1989" s="17" t="s">
        <v>22</v>
      </c>
      <c r="H1989" s="17" t="s">
        <v>30</v>
      </c>
      <c r="I1989" s="24">
        <v>158494.23081359366</v>
      </c>
      <c r="J1989" s="32">
        <v>47</v>
      </c>
      <c r="K1989" s="17" t="s">
        <v>31</v>
      </c>
      <c r="L1989" s="24">
        <v>3034.32</v>
      </c>
      <c r="M1989" s="24">
        <v>3375.79</v>
      </c>
      <c r="N1989" s="34">
        <f>((sales_data_1[[#This Row],[Unit_Price]]*(1-sales_data_1[[#This Row],[Discount]]))-sales_data_1[[#This Row],[Unit_Cost]])*sales_data_1[[#This Row],[Quantity_Sold]]</f>
        <v>16049.089999999991</v>
      </c>
      <c r="O1989" s="17" t="s">
        <v>27</v>
      </c>
      <c r="P1989" s="26">
        <v>0</v>
      </c>
      <c r="Q1989" s="17" t="s">
        <v>28</v>
      </c>
      <c r="R1989" s="17" t="s">
        <v>19</v>
      </c>
      <c r="S1989" s="50" t="str">
        <f t="shared" si="95"/>
        <v>David-East</v>
      </c>
      <c r="T1989" s="59" t="str">
        <f>IF(ROUND(sales_data_1[[#This Row],[Profit_Margin]],2)=ROUND((sales_data_1[[#This Row],[Unit_Price]]*(1-sales_data_1[[#This Row],[Discount]]) - sales_data_1[[#This Row],[Unit_Cost]])*sales_data_1[[#This Row],[Quantity_Sold]],2), "PASS", "CHECK")</f>
        <v>PASS</v>
      </c>
    </row>
    <row r="1990" spans="1:20" x14ac:dyDescent="0.35">
      <c r="A1990" s="7">
        <v>1989</v>
      </c>
      <c r="B1990" s="9">
        <v>1015</v>
      </c>
      <c r="C1990" s="14" t="str">
        <f>IFERROR(_xlfn.TEXTJOIN("-", TRUE, _xlfn.XLOOKUP(K1990, product_category_id_lookup!$A$2:$A$5, product_category_id_lookup!$B$2:$B$5), B1990), "Unknown Category")</f>
        <v>fnt-1015</v>
      </c>
      <c r="D1990" s="8">
        <v>45246</v>
      </c>
      <c r="E1990" s="14">
        <f t="shared" si="93"/>
        <v>2023</v>
      </c>
      <c r="F1990" s="29" t="str">
        <f t="shared" si="94"/>
        <v>Nov</v>
      </c>
      <c r="G1990" s="17" t="s">
        <v>32</v>
      </c>
      <c r="H1990" s="17" t="s">
        <v>30</v>
      </c>
      <c r="I1990" s="24">
        <v>2973.6602245789295</v>
      </c>
      <c r="J1990" s="32">
        <v>1</v>
      </c>
      <c r="K1990" s="17" t="s">
        <v>16</v>
      </c>
      <c r="L1990" s="24">
        <v>2928.74</v>
      </c>
      <c r="M1990" s="24">
        <v>3027.74</v>
      </c>
      <c r="N1990" s="34">
        <f>((sales_data_1[[#This Row],[Unit_Price]]*(1-sales_data_1[[#This Row],[Discount]]))-sales_data_1[[#This Row],[Unit_Cost]])*sales_data_1[[#This Row],[Quantity_Sold]]</f>
        <v>38.445200000000114</v>
      </c>
      <c r="O1990" s="17" t="s">
        <v>27</v>
      </c>
      <c r="P1990" s="26">
        <v>0.02</v>
      </c>
      <c r="Q1990" s="17" t="s">
        <v>25</v>
      </c>
      <c r="R1990" s="17" t="s">
        <v>21</v>
      </c>
      <c r="S1990" s="50" t="str">
        <f t="shared" si="95"/>
        <v>Eve-East</v>
      </c>
      <c r="T1990" s="59" t="str">
        <f>IF(ROUND(sales_data_1[[#This Row],[Profit_Margin]],2)=ROUND((sales_data_1[[#This Row],[Unit_Price]]*(1-sales_data_1[[#This Row],[Discount]]) - sales_data_1[[#This Row],[Unit_Cost]])*sales_data_1[[#This Row],[Quantity_Sold]],2), "PASS", "CHECK")</f>
        <v>PASS</v>
      </c>
    </row>
    <row r="1991" spans="1:20" x14ac:dyDescent="0.35">
      <c r="A1991" s="7">
        <v>1990</v>
      </c>
      <c r="B1991" s="9">
        <v>1051</v>
      </c>
      <c r="C1991" s="14" t="str">
        <f>IFERROR(_xlfn.TEXTJOIN("-", TRUE, _xlfn.XLOOKUP(K1991, product_category_id_lookup!$A$2:$A$5, product_category_id_lookup!$B$2:$B$5), B1991), "Unknown Category")</f>
        <v>fnt-1051</v>
      </c>
      <c r="D1991" s="8">
        <v>45246</v>
      </c>
      <c r="E1991" s="14">
        <f t="shared" si="93"/>
        <v>2023</v>
      </c>
      <c r="F1991" s="29" t="str">
        <f t="shared" si="94"/>
        <v>Nov</v>
      </c>
      <c r="G1991" s="17" t="s">
        <v>14</v>
      </c>
      <c r="H1991" s="17" t="s">
        <v>20</v>
      </c>
      <c r="I1991" s="24">
        <v>5053.6106999999993</v>
      </c>
      <c r="J1991" s="32">
        <v>31</v>
      </c>
      <c r="K1991" s="17" t="s">
        <v>16</v>
      </c>
      <c r="L1991" s="24">
        <v>144.88</v>
      </c>
      <c r="M1991" s="24">
        <v>175.29</v>
      </c>
      <c r="N1991" s="34">
        <f>((sales_data_1[[#This Row],[Unit_Price]]*(1-sales_data_1[[#This Row],[Discount]]))-sales_data_1[[#This Row],[Unit_Cost]])*sales_data_1[[#This Row],[Quantity_Sold]]</f>
        <v>562.3306999999993</v>
      </c>
      <c r="O1991" s="17" t="s">
        <v>27</v>
      </c>
      <c r="P1991" s="26">
        <v>7.0000000000000007E-2</v>
      </c>
      <c r="Q1991" s="17" t="s">
        <v>25</v>
      </c>
      <c r="R1991" s="17" t="s">
        <v>19</v>
      </c>
      <c r="S1991" s="50" t="str">
        <f t="shared" si="95"/>
        <v>Bob-West</v>
      </c>
      <c r="T1991" s="59" t="str">
        <f>IF(ROUND(sales_data_1[[#This Row],[Profit_Margin]],2)=ROUND((sales_data_1[[#This Row],[Unit_Price]]*(1-sales_data_1[[#This Row],[Discount]]) - sales_data_1[[#This Row],[Unit_Cost]])*sales_data_1[[#This Row],[Quantity_Sold]],2), "PASS", "CHECK")</f>
        <v>PASS</v>
      </c>
    </row>
    <row r="1992" spans="1:20" x14ac:dyDescent="0.35">
      <c r="A1992" s="7">
        <v>1991</v>
      </c>
      <c r="B1992" s="9">
        <v>1078</v>
      </c>
      <c r="C1992" s="14" t="str">
        <f>IFERROR(_xlfn.TEXTJOIN("-", TRUE, _xlfn.XLOOKUP(K1992, product_category_id_lookup!$A$2:$A$5, product_category_id_lookup!$B$2:$B$5), B1992), "Unknown Category")</f>
        <v>fnt-1078</v>
      </c>
      <c r="D1992" s="8">
        <v>45246</v>
      </c>
      <c r="E1992" s="14">
        <f t="shared" si="93"/>
        <v>2023</v>
      </c>
      <c r="F1992" s="29" t="str">
        <f t="shared" si="94"/>
        <v>Nov</v>
      </c>
      <c r="G1992" s="17" t="s">
        <v>22</v>
      </c>
      <c r="H1992" s="17" t="s">
        <v>30</v>
      </c>
      <c r="I1992" s="24">
        <v>28380.104800000001</v>
      </c>
      <c r="J1992" s="32">
        <v>8</v>
      </c>
      <c r="K1992" s="17" t="s">
        <v>16</v>
      </c>
      <c r="L1992" s="24">
        <v>3459.61</v>
      </c>
      <c r="M1992" s="24">
        <v>3657.23</v>
      </c>
      <c r="N1992" s="34">
        <f>((sales_data_1[[#This Row],[Unit_Price]]*(1-sales_data_1[[#This Row],[Discount]]))-sales_data_1[[#This Row],[Unit_Cost]])*sales_data_1[[#This Row],[Quantity_Sold]]</f>
        <v>703.22479999999996</v>
      </c>
      <c r="O1992" s="17" t="s">
        <v>17</v>
      </c>
      <c r="P1992" s="26">
        <v>0.03</v>
      </c>
      <c r="Q1992" s="17" t="s">
        <v>25</v>
      </c>
      <c r="R1992" s="17" t="s">
        <v>19</v>
      </c>
      <c r="S1992" s="50" t="str">
        <f t="shared" si="95"/>
        <v>David-East</v>
      </c>
      <c r="T1992" s="59" t="str">
        <f>IF(ROUND(sales_data_1[[#This Row],[Profit_Margin]],2)=ROUND((sales_data_1[[#This Row],[Unit_Price]]*(1-sales_data_1[[#This Row],[Discount]]) - sales_data_1[[#This Row],[Unit_Cost]])*sales_data_1[[#This Row],[Quantity_Sold]],2), "PASS", "CHECK")</f>
        <v>PASS</v>
      </c>
    </row>
    <row r="1993" spans="1:20" x14ac:dyDescent="0.35">
      <c r="A1993" s="7">
        <v>1992</v>
      </c>
      <c r="B1993" s="9">
        <v>1088</v>
      </c>
      <c r="C1993" s="14" t="str">
        <f>IFERROR(_xlfn.TEXTJOIN("-", TRUE, _xlfn.XLOOKUP(K1993, product_category_id_lookup!$A$2:$A$5, product_category_id_lookup!$B$2:$B$5), B1993), "Unknown Category")</f>
        <v>fnt-1088</v>
      </c>
      <c r="D1993" s="8">
        <v>45246</v>
      </c>
      <c r="E1993" s="14">
        <f t="shared" si="93"/>
        <v>2023</v>
      </c>
      <c r="F1993" s="29" t="str">
        <f t="shared" si="94"/>
        <v>Nov</v>
      </c>
      <c r="G1993" s="17" t="s">
        <v>32</v>
      </c>
      <c r="H1993" s="17" t="s">
        <v>15</v>
      </c>
      <c r="I1993" s="24">
        <v>32645.555059148468</v>
      </c>
      <c r="J1993" s="32">
        <v>13</v>
      </c>
      <c r="K1993" s="17" t="s">
        <v>16</v>
      </c>
      <c r="L1993" s="24">
        <v>2440.11</v>
      </c>
      <c r="M1993" s="24">
        <v>2517.6</v>
      </c>
      <c r="N1993" s="34">
        <f>((sales_data_1[[#This Row],[Unit_Price]]*(1-sales_data_1[[#This Row],[Discount]]))-sales_data_1[[#This Row],[Unit_Cost]])*sales_data_1[[#This Row],[Quantity_Sold]]</f>
        <v>1007.3699999999972</v>
      </c>
      <c r="O1993" s="17" t="s">
        <v>27</v>
      </c>
      <c r="P1993" s="26">
        <v>0</v>
      </c>
      <c r="Q1993" s="17" t="s">
        <v>25</v>
      </c>
      <c r="R1993" s="17" t="s">
        <v>21</v>
      </c>
      <c r="S1993" s="50" t="str">
        <f t="shared" si="95"/>
        <v>Eve-North</v>
      </c>
      <c r="T1993" s="59" t="str">
        <f>IF(ROUND(sales_data_1[[#This Row],[Profit_Margin]],2)=ROUND((sales_data_1[[#This Row],[Unit_Price]]*(1-sales_data_1[[#This Row],[Discount]]) - sales_data_1[[#This Row],[Unit_Cost]])*sales_data_1[[#This Row],[Quantity_Sold]],2), "PASS", "CHECK")</f>
        <v>PASS</v>
      </c>
    </row>
    <row r="1994" spans="1:20" x14ac:dyDescent="0.35">
      <c r="A1994" s="7">
        <v>1993</v>
      </c>
      <c r="B1994" s="9">
        <v>1073</v>
      </c>
      <c r="C1994" s="14" t="str">
        <f>IFERROR(_xlfn.TEXTJOIN("-", TRUE, _xlfn.XLOOKUP(K1994, product_category_id_lookup!$A$2:$A$5, product_category_id_lookup!$B$2:$B$5), B1994), "Unknown Category")</f>
        <v>ctg-1073</v>
      </c>
      <c r="D1994" s="8">
        <v>45246</v>
      </c>
      <c r="E1994" s="14">
        <f t="shared" si="93"/>
        <v>2023</v>
      </c>
      <c r="F1994" s="29" t="str">
        <f t="shared" si="94"/>
        <v>Nov</v>
      </c>
      <c r="G1994" s="17" t="s">
        <v>22</v>
      </c>
      <c r="H1994" s="17" t="s">
        <v>23</v>
      </c>
      <c r="I1994" s="24">
        <v>130694.06853221025</v>
      </c>
      <c r="J1994" s="32">
        <v>48</v>
      </c>
      <c r="K1994" s="17" t="s">
        <v>26</v>
      </c>
      <c r="L1994" s="24">
        <v>2658.9</v>
      </c>
      <c r="M1994" s="24">
        <v>2838.27</v>
      </c>
      <c r="N1994" s="34">
        <f>((sales_data_1[[#This Row],[Unit_Price]]*(1-sales_data_1[[#This Row],[Discount]]))-sales_data_1[[#This Row],[Unit_Cost]])*sales_data_1[[#This Row],[Quantity_Sold]]</f>
        <v>3160.2815999999948</v>
      </c>
      <c r="O1994" s="17" t="s">
        <v>27</v>
      </c>
      <c r="P1994" s="26">
        <v>0.04</v>
      </c>
      <c r="Q1994" s="17" t="s">
        <v>28</v>
      </c>
      <c r="R1994" s="17" t="s">
        <v>19</v>
      </c>
      <c r="S1994" s="50" t="str">
        <f t="shared" si="95"/>
        <v>David-South</v>
      </c>
      <c r="T1994" s="59" t="str">
        <f>IF(ROUND(sales_data_1[[#This Row],[Profit_Margin]],2)=ROUND((sales_data_1[[#This Row],[Unit_Price]]*(1-sales_data_1[[#This Row],[Discount]]) - sales_data_1[[#This Row],[Unit_Cost]])*sales_data_1[[#This Row],[Quantity_Sold]],2), "PASS", "CHECK")</f>
        <v>PASS</v>
      </c>
    </row>
    <row r="1995" spans="1:20" x14ac:dyDescent="0.35">
      <c r="A1995" s="7">
        <v>1994</v>
      </c>
      <c r="B1995" s="9">
        <v>1041</v>
      </c>
      <c r="C1995" s="14" t="str">
        <f>IFERROR(_xlfn.TEXTJOIN("-", TRUE, _xlfn.XLOOKUP(K1995, product_category_id_lookup!$A$2:$A$5, product_category_id_lookup!$B$2:$B$5), B1995), "Unknown Category")</f>
        <v>fd-1041</v>
      </c>
      <c r="D1995" s="8">
        <v>45246</v>
      </c>
      <c r="E1995" s="14">
        <f t="shared" si="93"/>
        <v>2023</v>
      </c>
      <c r="F1995" s="29" t="str">
        <f t="shared" si="94"/>
        <v>Nov</v>
      </c>
      <c r="G1995" s="17" t="s">
        <v>22</v>
      </c>
      <c r="H1995" s="17" t="s">
        <v>23</v>
      </c>
      <c r="I1995" s="24">
        <v>35014.984000000004</v>
      </c>
      <c r="J1995" s="32">
        <v>40</v>
      </c>
      <c r="K1995" s="17" t="s">
        <v>24</v>
      </c>
      <c r="L1995" s="24">
        <v>601.86</v>
      </c>
      <c r="M1995" s="24">
        <v>1067.53</v>
      </c>
      <c r="N1995" s="34">
        <f>((sales_data_1[[#This Row],[Unit_Price]]*(1-sales_data_1[[#This Row],[Discount]]))-sales_data_1[[#This Row],[Unit_Cost]])*sales_data_1[[#This Row],[Quantity_Sold]]</f>
        <v>10940.584000000003</v>
      </c>
      <c r="O1995" s="17" t="s">
        <v>27</v>
      </c>
      <c r="P1995" s="26">
        <v>0.18</v>
      </c>
      <c r="Q1995" s="17" t="s">
        <v>18</v>
      </c>
      <c r="R1995" s="17" t="s">
        <v>19</v>
      </c>
      <c r="S1995" s="50" t="str">
        <f t="shared" si="95"/>
        <v>David-South</v>
      </c>
      <c r="T1995" s="59" t="str">
        <f>IF(ROUND(sales_data_1[[#This Row],[Profit_Margin]],2)=ROUND((sales_data_1[[#This Row],[Unit_Price]]*(1-sales_data_1[[#This Row],[Discount]]) - sales_data_1[[#This Row],[Unit_Cost]])*sales_data_1[[#This Row],[Quantity_Sold]],2), "PASS", "CHECK")</f>
        <v>PASS</v>
      </c>
    </row>
    <row r="1996" spans="1:20" x14ac:dyDescent="0.35">
      <c r="A1996" s="7">
        <v>1995</v>
      </c>
      <c r="B1996" s="9">
        <v>1062</v>
      </c>
      <c r="C1996" s="14" t="str">
        <f>IFERROR(_xlfn.TEXTJOIN("-", TRUE, _xlfn.XLOOKUP(K1996, product_category_id_lookup!$A$2:$A$5, product_category_id_lookup!$B$2:$B$5), B1996), "Unknown Category")</f>
        <v>ctg-1062</v>
      </c>
      <c r="D1996" s="8">
        <v>45247</v>
      </c>
      <c r="E1996" s="14">
        <f t="shared" si="93"/>
        <v>2023</v>
      </c>
      <c r="F1996" s="29" t="str">
        <f t="shared" si="94"/>
        <v>Nov</v>
      </c>
      <c r="G1996" s="17" t="s">
        <v>29</v>
      </c>
      <c r="H1996" s="17" t="s">
        <v>15</v>
      </c>
      <c r="I1996" s="24">
        <v>60412.427207873894</v>
      </c>
      <c r="J1996" s="32">
        <v>28</v>
      </c>
      <c r="K1996" s="17" t="s">
        <v>26</v>
      </c>
      <c r="L1996" s="24">
        <v>2094.88</v>
      </c>
      <c r="M1996" s="24">
        <v>2168.9100000000003</v>
      </c>
      <c r="N1996" s="34">
        <f>((sales_data_1[[#This Row],[Unit_Price]]*(1-sales_data_1[[#This Row],[Discount]]))-sales_data_1[[#This Row],[Unit_Cost]])*sales_data_1[[#This Row],[Quantity_Sold]]</f>
        <v>1465.5452000000041</v>
      </c>
      <c r="O1996" s="17" t="s">
        <v>17</v>
      </c>
      <c r="P1996" s="26">
        <v>0.01</v>
      </c>
      <c r="Q1996" s="17" t="s">
        <v>18</v>
      </c>
      <c r="R1996" s="17" t="s">
        <v>21</v>
      </c>
      <c r="S1996" s="50" t="str">
        <f t="shared" si="95"/>
        <v>Charlie-North</v>
      </c>
      <c r="T1996" s="59" t="str">
        <f>IF(ROUND(sales_data_1[[#This Row],[Profit_Margin]],2)=ROUND((sales_data_1[[#This Row],[Unit_Price]]*(1-sales_data_1[[#This Row],[Discount]]) - sales_data_1[[#This Row],[Unit_Cost]])*sales_data_1[[#This Row],[Quantity_Sold]],2), "PASS", "CHECK")</f>
        <v>PASS</v>
      </c>
    </row>
    <row r="1997" spans="1:20" x14ac:dyDescent="0.35">
      <c r="A1997" s="7">
        <v>1996</v>
      </c>
      <c r="B1997" s="9">
        <v>1100</v>
      </c>
      <c r="C1997" s="14" t="str">
        <f>IFERROR(_xlfn.TEXTJOIN("-", TRUE, _xlfn.XLOOKUP(K1997, product_category_id_lookup!$A$2:$A$5, product_category_id_lookup!$B$2:$B$5), B1997), "Unknown Category")</f>
        <v>fd-1100</v>
      </c>
      <c r="D1997" s="8">
        <v>45247</v>
      </c>
      <c r="E1997" s="14">
        <f t="shared" si="93"/>
        <v>2023</v>
      </c>
      <c r="F1997" s="29" t="str">
        <f t="shared" si="94"/>
        <v>Nov</v>
      </c>
      <c r="G1997" s="17" t="s">
        <v>14</v>
      </c>
      <c r="H1997" s="17" t="s">
        <v>30</v>
      </c>
      <c r="I1997" s="24">
        <v>9143.9712000000018</v>
      </c>
      <c r="J1997" s="32">
        <v>13</v>
      </c>
      <c r="K1997" s="17" t="s">
        <v>24</v>
      </c>
      <c r="L1997" s="24">
        <v>366.2</v>
      </c>
      <c r="M1997" s="24">
        <v>732.69</v>
      </c>
      <c r="N1997" s="34">
        <f>((sales_data_1[[#This Row],[Unit_Price]]*(1-sales_data_1[[#This Row],[Discount]]))-sales_data_1[[#This Row],[Unit_Cost]])*sales_data_1[[#This Row],[Quantity_Sold]]</f>
        <v>4383.3712000000014</v>
      </c>
      <c r="O1997" s="17" t="s">
        <v>27</v>
      </c>
      <c r="P1997" s="26">
        <v>0.04</v>
      </c>
      <c r="Q1997" s="17" t="s">
        <v>18</v>
      </c>
      <c r="R1997" s="17" t="s">
        <v>21</v>
      </c>
      <c r="S1997" s="50" t="str">
        <f t="shared" si="95"/>
        <v>Bob-East</v>
      </c>
      <c r="T1997" s="59" t="str">
        <f>IF(ROUND(sales_data_1[[#This Row],[Profit_Margin]],2)=ROUND((sales_data_1[[#This Row],[Unit_Price]]*(1-sales_data_1[[#This Row],[Discount]]) - sales_data_1[[#This Row],[Unit_Cost]])*sales_data_1[[#This Row],[Quantity_Sold]],2), "PASS", "CHECK")</f>
        <v>PASS</v>
      </c>
    </row>
    <row r="1998" spans="1:20" x14ac:dyDescent="0.35">
      <c r="A1998" s="7">
        <v>1997</v>
      </c>
      <c r="B1998" s="9">
        <v>1004</v>
      </c>
      <c r="C1998" s="14" t="str">
        <f>IFERROR(_xlfn.TEXTJOIN("-", TRUE, _xlfn.XLOOKUP(K1998, product_category_id_lookup!$A$2:$A$5, product_category_id_lookup!$B$2:$B$5), B1998), "Unknown Category")</f>
        <v>fd-1004</v>
      </c>
      <c r="D1998" s="8">
        <v>45248</v>
      </c>
      <c r="E1998" s="14">
        <f t="shared" si="93"/>
        <v>2023</v>
      </c>
      <c r="F1998" s="29" t="str">
        <f t="shared" si="94"/>
        <v>Nov</v>
      </c>
      <c r="G1998" s="17" t="s">
        <v>33</v>
      </c>
      <c r="H1998" s="17" t="s">
        <v>30</v>
      </c>
      <c r="I1998" s="24">
        <v>208.54516960520419</v>
      </c>
      <c r="J1998" s="32">
        <v>1</v>
      </c>
      <c r="K1998" s="17" t="s">
        <v>24</v>
      </c>
      <c r="L1998" s="24">
        <v>182.99</v>
      </c>
      <c r="M1998" s="24">
        <v>211.18</v>
      </c>
      <c r="N1998" s="34">
        <f>((sales_data_1[[#This Row],[Unit_Price]]*(1-sales_data_1[[#This Row],[Discount]]))-sales_data_1[[#This Row],[Unit_Cost]])*sales_data_1[[#This Row],[Quantity_Sold]]</f>
        <v>26.07820000000001</v>
      </c>
      <c r="O1998" s="17" t="s">
        <v>17</v>
      </c>
      <c r="P1998" s="26">
        <v>0.01</v>
      </c>
      <c r="Q1998" s="17" t="s">
        <v>25</v>
      </c>
      <c r="R1998" s="17" t="s">
        <v>21</v>
      </c>
      <c r="S1998" s="50" t="str">
        <f t="shared" si="95"/>
        <v>Alice-East</v>
      </c>
      <c r="T1998" s="59" t="str">
        <f>IF(ROUND(sales_data_1[[#This Row],[Profit_Margin]],2)=ROUND((sales_data_1[[#This Row],[Unit_Price]]*(1-sales_data_1[[#This Row],[Discount]]) - sales_data_1[[#This Row],[Unit_Cost]])*sales_data_1[[#This Row],[Quantity_Sold]],2), "PASS", "CHECK")</f>
        <v>PASS</v>
      </c>
    </row>
    <row r="1999" spans="1:20" x14ac:dyDescent="0.35">
      <c r="A1999" s="7">
        <v>1998</v>
      </c>
      <c r="B1999" s="9">
        <v>1062</v>
      </c>
      <c r="C1999" s="14" t="str">
        <f>IFERROR(_xlfn.TEXTJOIN("-", TRUE, _xlfn.XLOOKUP(K1999, product_category_id_lookup!$A$2:$A$5, product_category_id_lookup!$B$2:$B$5), B1999), "Unknown Category")</f>
        <v>fnt-1062</v>
      </c>
      <c r="D1999" s="8">
        <v>45248</v>
      </c>
      <c r="E1999" s="14">
        <f t="shared" si="93"/>
        <v>2023</v>
      </c>
      <c r="F1999" s="29" t="str">
        <f t="shared" si="94"/>
        <v>Nov</v>
      </c>
      <c r="G1999" s="17" t="s">
        <v>33</v>
      </c>
      <c r="H1999" s="17" t="s">
        <v>30</v>
      </c>
      <c r="I1999" s="24">
        <v>17798.400000000001</v>
      </c>
      <c r="J1999" s="32">
        <v>12</v>
      </c>
      <c r="K1999" s="17" t="s">
        <v>16</v>
      </c>
      <c r="L1999" s="24">
        <v>1088.99</v>
      </c>
      <c r="M1999" s="24">
        <v>1545</v>
      </c>
      <c r="N1999" s="34">
        <f>((sales_data_1[[#This Row],[Unit_Price]]*(1-sales_data_1[[#This Row],[Discount]]))-sales_data_1[[#This Row],[Unit_Cost]])*sales_data_1[[#This Row],[Quantity_Sold]]</f>
        <v>4730.5200000000004</v>
      </c>
      <c r="O1999" s="17" t="s">
        <v>17</v>
      </c>
      <c r="P1999" s="26">
        <v>0.04</v>
      </c>
      <c r="Q1999" s="17" t="s">
        <v>25</v>
      </c>
      <c r="R1999" s="17" t="s">
        <v>21</v>
      </c>
      <c r="S1999" s="50" t="str">
        <f t="shared" si="95"/>
        <v>Alice-East</v>
      </c>
      <c r="T1999" s="59" t="str">
        <f>IF(ROUND(sales_data_1[[#This Row],[Profit_Margin]],2)=ROUND((sales_data_1[[#This Row],[Unit_Price]]*(1-sales_data_1[[#This Row],[Discount]]) - sales_data_1[[#This Row],[Unit_Cost]])*sales_data_1[[#This Row],[Quantity_Sold]],2), "PASS", "CHECK")</f>
        <v>PASS</v>
      </c>
    </row>
    <row r="2000" spans="1:20" x14ac:dyDescent="0.35">
      <c r="A2000" s="7">
        <v>1999</v>
      </c>
      <c r="B2000" s="9">
        <v>1045</v>
      </c>
      <c r="C2000" s="14" t="str">
        <f>IFERROR(_xlfn.TEXTJOIN("-", TRUE, _xlfn.XLOOKUP(K2000, product_category_id_lookup!$A$2:$A$5, product_category_id_lookup!$B$2:$B$5), B2000), "Unknown Category")</f>
        <v>etc-1045</v>
      </c>
      <c r="D2000" s="8">
        <v>45249</v>
      </c>
      <c r="E2000" s="14">
        <f t="shared" si="93"/>
        <v>2023</v>
      </c>
      <c r="F2000" s="29" t="str">
        <f t="shared" si="94"/>
        <v>Nov</v>
      </c>
      <c r="G2000" s="17" t="s">
        <v>14</v>
      </c>
      <c r="H2000" s="17" t="s">
        <v>15</v>
      </c>
      <c r="I2000" s="24">
        <v>1940.2042188788869</v>
      </c>
      <c r="J2000" s="32">
        <v>2</v>
      </c>
      <c r="K2000" s="17" t="s">
        <v>31</v>
      </c>
      <c r="L2000" s="24">
        <v>912.08</v>
      </c>
      <c r="M2000" s="24">
        <v>993.24</v>
      </c>
      <c r="N2000" s="34">
        <f>((sales_data_1[[#This Row],[Unit_Price]]*(1-sales_data_1[[#This Row],[Discount]]))-sales_data_1[[#This Row],[Unit_Cost]])*sales_data_1[[#This Row],[Quantity_Sold]]</f>
        <v>122.59039999999982</v>
      </c>
      <c r="O2000" s="17" t="s">
        <v>17</v>
      </c>
      <c r="P2000" s="26">
        <v>0.02</v>
      </c>
      <c r="Q2000" s="17" t="s">
        <v>28</v>
      </c>
      <c r="R2000" s="17" t="s">
        <v>19</v>
      </c>
      <c r="S2000" s="50" t="str">
        <f t="shared" si="95"/>
        <v>Bob-North</v>
      </c>
      <c r="T2000" s="59" t="str">
        <f>IF(ROUND(sales_data_1[[#This Row],[Profit_Margin]],2)=ROUND((sales_data_1[[#This Row],[Unit_Price]]*(1-sales_data_1[[#This Row],[Discount]]) - sales_data_1[[#This Row],[Unit_Cost]])*sales_data_1[[#This Row],[Quantity_Sold]],2), "PASS", "CHECK")</f>
        <v>PASS</v>
      </c>
    </row>
    <row r="2001" spans="1:20" x14ac:dyDescent="0.35">
      <c r="A2001" s="7">
        <v>2000</v>
      </c>
      <c r="B2001" s="9">
        <v>1033</v>
      </c>
      <c r="C2001" s="14" t="str">
        <f>IFERROR(_xlfn.TEXTJOIN("-", TRUE, _xlfn.XLOOKUP(K2001, product_category_id_lookup!$A$2:$A$5, product_category_id_lookup!$B$2:$B$5), B2001), "Unknown Category")</f>
        <v>etc-1033</v>
      </c>
      <c r="D2001" s="8">
        <v>45249</v>
      </c>
      <c r="E2001" s="14">
        <f t="shared" si="93"/>
        <v>2023</v>
      </c>
      <c r="F2001" s="29" t="str">
        <f t="shared" si="94"/>
        <v>Nov</v>
      </c>
      <c r="G2001" s="17" t="s">
        <v>22</v>
      </c>
      <c r="H2001" s="17" t="s">
        <v>15</v>
      </c>
      <c r="I2001" s="24">
        <v>108554.44994439161</v>
      </c>
      <c r="J2001" s="32">
        <v>37</v>
      </c>
      <c r="K2001" s="17" t="s">
        <v>31</v>
      </c>
      <c r="L2001" s="24">
        <v>2600.7600000000002</v>
      </c>
      <c r="M2001" s="24">
        <v>2937.57</v>
      </c>
      <c r="N2001" s="34">
        <f>((sales_data_1[[#This Row],[Unit_Price]]*(1-sales_data_1[[#This Row],[Discount]]))-sales_data_1[[#This Row],[Unit_Cost]])*sales_data_1[[#This Row],[Quantity_Sold]]</f>
        <v>12461.969999999998</v>
      </c>
      <c r="O2001" s="17" t="s">
        <v>27</v>
      </c>
      <c r="P2001" s="26">
        <v>0</v>
      </c>
      <c r="Q2001" s="17" t="s">
        <v>28</v>
      </c>
      <c r="R2001" s="17" t="s">
        <v>21</v>
      </c>
      <c r="S2001" s="50" t="str">
        <f t="shared" si="95"/>
        <v>David-North</v>
      </c>
      <c r="T2001" s="59" t="str">
        <f>IF(ROUND(sales_data_1[[#This Row],[Profit_Margin]],2)=ROUND((sales_data_1[[#This Row],[Unit_Price]]*(1-sales_data_1[[#This Row],[Discount]]) - sales_data_1[[#This Row],[Unit_Cost]])*sales_data_1[[#This Row],[Quantity_Sold]],2), "PASS", "CHECK")</f>
        <v>PASS</v>
      </c>
    </row>
    <row r="2002" spans="1:20" x14ac:dyDescent="0.35">
      <c r="A2002" s="7">
        <v>2001</v>
      </c>
      <c r="B2002" s="9">
        <v>1040</v>
      </c>
      <c r="C2002" s="14" t="str">
        <f>IFERROR(_xlfn.TEXTJOIN("-", TRUE, _xlfn.XLOOKUP(K2002, product_category_id_lookup!$A$2:$A$5, product_category_id_lookup!$B$2:$B$5), B2002), "Unknown Category")</f>
        <v>etc-1040</v>
      </c>
      <c r="D2002" s="8">
        <v>45249</v>
      </c>
      <c r="E2002" s="14">
        <f t="shared" si="93"/>
        <v>2023</v>
      </c>
      <c r="F2002" s="29" t="str">
        <f t="shared" si="94"/>
        <v>Nov</v>
      </c>
      <c r="G2002" s="17" t="s">
        <v>22</v>
      </c>
      <c r="H2002" s="17" t="s">
        <v>15</v>
      </c>
      <c r="I2002" s="24">
        <v>121769.01</v>
      </c>
      <c r="J2002" s="32">
        <v>47</v>
      </c>
      <c r="K2002" s="17" t="s">
        <v>31</v>
      </c>
      <c r="L2002" s="24">
        <v>2189.54</v>
      </c>
      <c r="M2002" s="24">
        <v>2617</v>
      </c>
      <c r="N2002" s="34">
        <f>((sales_data_1[[#This Row],[Unit_Price]]*(1-sales_data_1[[#This Row],[Discount]]))-sales_data_1[[#This Row],[Unit_Cost]])*sales_data_1[[#This Row],[Quantity_Sold]]</f>
        <v>18860.629999999997</v>
      </c>
      <c r="O2002" s="17" t="s">
        <v>27</v>
      </c>
      <c r="P2002" s="26">
        <v>0.01</v>
      </c>
      <c r="Q2002" s="17" t="s">
        <v>25</v>
      </c>
      <c r="R2002" s="17" t="s">
        <v>19</v>
      </c>
      <c r="S2002" s="50" t="str">
        <f t="shared" si="95"/>
        <v>David-North</v>
      </c>
      <c r="T2002" s="59" t="str">
        <f>IF(ROUND(sales_data_1[[#This Row],[Profit_Margin]],2)=ROUND((sales_data_1[[#This Row],[Unit_Price]]*(1-sales_data_1[[#This Row],[Discount]]) - sales_data_1[[#This Row],[Unit_Cost]])*sales_data_1[[#This Row],[Quantity_Sold]],2), "PASS", "CHECK")</f>
        <v>PASS</v>
      </c>
    </row>
    <row r="2003" spans="1:20" x14ac:dyDescent="0.35">
      <c r="A2003" s="7">
        <v>2002</v>
      </c>
      <c r="B2003" s="9">
        <v>1028</v>
      </c>
      <c r="C2003" s="14" t="str">
        <f>IFERROR(_xlfn.TEXTJOIN("-", TRUE, _xlfn.XLOOKUP(K2003, product_category_id_lookup!$A$2:$A$5, product_category_id_lookup!$B$2:$B$5), B2003), "Unknown Category")</f>
        <v>fd-1028</v>
      </c>
      <c r="D2003" s="8">
        <v>45250</v>
      </c>
      <c r="E2003" s="14">
        <f t="shared" si="93"/>
        <v>2023</v>
      </c>
      <c r="F2003" s="29" t="str">
        <f t="shared" si="94"/>
        <v>Nov</v>
      </c>
      <c r="G2003" s="17" t="s">
        <v>33</v>
      </c>
      <c r="H2003" s="17" t="s">
        <v>30</v>
      </c>
      <c r="I2003" s="24">
        <v>3915.2795000000006</v>
      </c>
      <c r="J2003" s="32">
        <v>5</v>
      </c>
      <c r="K2003" s="17" t="s">
        <v>24</v>
      </c>
      <c r="L2003" s="24">
        <v>734.92</v>
      </c>
      <c r="M2003" s="24">
        <v>991.21</v>
      </c>
      <c r="N2003" s="34">
        <f>((sales_data_1[[#This Row],[Unit_Price]]*(1-sales_data_1[[#This Row],[Discount]]))-sales_data_1[[#This Row],[Unit_Cost]])*sales_data_1[[#This Row],[Quantity_Sold]]</f>
        <v>240.67950000000053</v>
      </c>
      <c r="O2003" s="17" t="s">
        <v>17</v>
      </c>
      <c r="P2003" s="26">
        <v>0.21</v>
      </c>
      <c r="Q2003" s="17" t="s">
        <v>28</v>
      </c>
      <c r="R2003" s="17" t="s">
        <v>19</v>
      </c>
      <c r="S2003" s="50" t="str">
        <f t="shared" si="95"/>
        <v>Alice-East</v>
      </c>
      <c r="T2003" s="59" t="str">
        <f>IF(ROUND(sales_data_1[[#This Row],[Profit_Margin]],2)=ROUND((sales_data_1[[#This Row],[Unit_Price]]*(1-sales_data_1[[#This Row],[Discount]]) - sales_data_1[[#This Row],[Unit_Cost]])*sales_data_1[[#This Row],[Quantity_Sold]],2), "PASS", "CHECK")</f>
        <v>PASS</v>
      </c>
    </row>
    <row r="2004" spans="1:20" x14ac:dyDescent="0.35">
      <c r="A2004" s="7">
        <v>2003</v>
      </c>
      <c r="B2004" s="9">
        <v>1012</v>
      </c>
      <c r="C2004" s="14" t="str">
        <f>IFERROR(_xlfn.TEXTJOIN("-", TRUE, _xlfn.XLOOKUP(K2004, product_category_id_lookup!$A$2:$A$5, product_category_id_lookup!$B$2:$B$5), B2004), "Unknown Category")</f>
        <v>fd-1012</v>
      </c>
      <c r="D2004" s="8">
        <v>45250</v>
      </c>
      <c r="E2004" s="14">
        <f t="shared" si="93"/>
        <v>2023</v>
      </c>
      <c r="F2004" s="29" t="str">
        <f t="shared" si="94"/>
        <v>Nov</v>
      </c>
      <c r="G2004" s="17" t="s">
        <v>14</v>
      </c>
      <c r="H2004" s="17" t="s">
        <v>15</v>
      </c>
      <c r="I2004" s="24">
        <v>4504.2105268878486</v>
      </c>
      <c r="J2004" s="32">
        <v>1</v>
      </c>
      <c r="K2004" s="17" t="s">
        <v>24</v>
      </c>
      <c r="L2004" s="24">
        <v>4190.83</v>
      </c>
      <c r="M2004" s="24">
        <v>4528.7699999999995</v>
      </c>
      <c r="N2004" s="34">
        <f>((sales_data_1[[#This Row],[Unit_Price]]*(1-sales_data_1[[#This Row],[Discount]]))-sales_data_1[[#This Row],[Unit_Cost]])*sales_data_1[[#This Row],[Quantity_Sold]]</f>
        <v>292.65229999999974</v>
      </c>
      <c r="O2004" s="17" t="s">
        <v>17</v>
      </c>
      <c r="P2004" s="26">
        <v>0.01</v>
      </c>
      <c r="Q2004" s="17" t="s">
        <v>25</v>
      </c>
      <c r="R2004" s="17" t="s">
        <v>19</v>
      </c>
      <c r="S2004" s="50" t="str">
        <f t="shared" si="95"/>
        <v>Bob-North</v>
      </c>
      <c r="T2004" s="59" t="str">
        <f>IF(ROUND(sales_data_1[[#This Row],[Profit_Margin]],2)=ROUND((sales_data_1[[#This Row],[Unit_Price]]*(1-sales_data_1[[#This Row],[Discount]]) - sales_data_1[[#This Row],[Unit_Cost]])*sales_data_1[[#This Row],[Quantity_Sold]],2), "PASS", "CHECK")</f>
        <v>PASS</v>
      </c>
    </row>
    <row r="2005" spans="1:20" x14ac:dyDescent="0.35">
      <c r="A2005" s="7">
        <v>2004</v>
      </c>
      <c r="B2005" s="9">
        <v>1084</v>
      </c>
      <c r="C2005" s="14" t="str">
        <f>IFERROR(_xlfn.TEXTJOIN("-", TRUE, _xlfn.XLOOKUP(K2005, product_category_id_lookup!$A$2:$A$5, product_category_id_lookup!$B$2:$B$5), B2005), "Unknown Category")</f>
        <v>fnt-1084</v>
      </c>
      <c r="D2005" s="8">
        <v>45250</v>
      </c>
      <c r="E2005" s="14">
        <f t="shared" si="93"/>
        <v>2023</v>
      </c>
      <c r="F2005" s="29" t="str">
        <f t="shared" si="94"/>
        <v>Nov</v>
      </c>
      <c r="G2005" s="17" t="s">
        <v>14</v>
      </c>
      <c r="H2005" s="17" t="s">
        <v>23</v>
      </c>
      <c r="I2005" s="24">
        <v>51651.977999999996</v>
      </c>
      <c r="J2005" s="32">
        <v>15</v>
      </c>
      <c r="K2005" s="17" t="s">
        <v>16</v>
      </c>
      <c r="L2005" s="24">
        <v>3420.72</v>
      </c>
      <c r="M2005" s="24">
        <v>3513.74</v>
      </c>
      <c r="N2005" s="34">
        <f>((sales_data_1[[#This Row],[Unit_Price]]*(1-sales_data_1[[#This Row],[Discount]]))-sales_data_1[[#This Row],[Unit_Cost]])*sales_data_1[[#This Row],[Quantity_Sold]]</f>
        <v>341.17799999999761</v>
      </c>
      <c r="O2005" s="17" t="s">
        <v>27</v>
      </c>
      <c r="P2005" s="26">
        <v>0.02</v>
      </c>
      <c r="Q2005" s="17" t="s">
        <v>18</v>
      </c>
      <c r="R2005" s="17" t="s">
        <v>19</v>
      </c>
      <c r="S2005" s="50" t="str">
        <f t="shared" si="95"/>
        <v>Bob-South</v>
      </c>
      <c r="T2005" s="59" t="str">
        <f>IF(ROUND(sales_data_1[[#This Row],[Profit_Margin]],2)=ROUND((sales_data_1[[#This Row],[Unit_Price]]*(1-sales_data_1[[#This Row],[Discount]]) - sales_data_1[[#This Row],[Unit_Cost]])*sales_data_1[[#This Row],[Quantity_Sold]],2), "PASS", "CHECK")</f>
        <v>PASS</v>
      </c>
    </row>
    <row r="2006" spans="1:20" x14ac:dyDescent="0.35">
      <c r="A2006" s="7">
        <v>2005</v>
      </c>
      <c r="B2006" s="9">
        <v>1036</v>
      </c>
      <c r="C2006" s="14" t="str">
        <f>IFERROR(_xlfn.TEXTJOIN("-", TRUE, _xlfn.XLOOKUP(K2006, product_category_id_lookup!$A$2:$A$5, product_category_id_lookup!$B$2:$B$5), B2006), "Unknown Category")</f>
        <v>ctg-1036</v>
      </c>
      <c r="D2006" s="8">
        <v>45250</v>
      </c>
      <c r="E2006" s="14">
        <f t="shared" si="93"/>
        <v>2023</v>
      </c>
      <c r="F2006" s="29" t="str">
        <f t="shared" si="94"/>
        <v>Nov</v>
      </c>
      <c r="G2006" s="17" t="s">
        <v>33</v>
      </c>
      <c r="H2006" s="17" t="s">
        <v>30</v>
      </c>
      <c r="I2006" s="24">
        <v>25594.534399999997</v>
      </c>
      <c r="J2006" s="32">
        <v>32</v>
      </c>
      <c r="K2006" s="17" t="s">
        <v>26</v>
      </c>
      <c r="L2006" s="24">
        <v>700.49</v>
      </c>
      <c r="M2006" s="24">
        <v>1126.52</v>
      </c>
      <c r="N2006" s="34">
        <f>((sales_data_1[[#This Row],[Unit_Price]]*(1-sales_data_1[[#This Row],[Discount]]))-sales_data_1[[#This Row],[Unit_Cost]])*sales_data_1[[#This Row],[Quantity_Sold]]</f>
        <v>3178.8543999999965</v>
      </c>
      <c r="O2006" s="17" t="s">
        <v>27</v>
      </c>
      <c r="P2006" s="26">
        <v>0.28999999999999998</v>
      </c>
      <c r="Q2006" s="17" t="s">
        <v>28</v>
      </c>
      <c r="R2006" s="17" t="s">
        <v>21</v>
      </c>
      <c r="S2006" s="50" t="str">
        <f t="shared" si="95"/>
        <v>Alice-East</v>
      </c>
      <c r="T2006" s="59" t="str">
        <f>IF(ROUND(sales_data_1[[#This Row],[Profit_Margin]],2)=ROUND((sales_data_1[[#This Row],[Unit_Price]]*(1-sales_data_1[[#This Row],[Discount]]) - sales_data_1[[#This Row],[Unit_Cost]])*sales_data_1[[#This Row],[Quantity_Sold]],2), "PASS", "CHECK")</f>
        <v>PASS</v>
      </c>
    </row>
    <row r="2007" spans="1:20" x14ac:dyDescent="0.35">
      <c r="A2007" s="7">
        <v>2006</v>
      </c>
      <c r="B2007" s="9">
        <v>1090</v>
      </c>
      <c r="C2007" s="14" t="str">
        <f>IFERROR(_xlfn.TEXTJOIN("-", TRUE, _xlfn.XLOOKUP(K2007, product_category_id_lookup!$A$2:$A$5, product_category_id_lookup!$B$2:$B$5), B2007), "Unknown Category")</f>
        <v>etc-1090</v>
      </c>
      <c r="D2007" s="8">
        <v>45250</v>
      </c>
      <c r="E2007" s="14">
        <f t="shared" si="93"/>
        <v>2023</v>
      </c>
      <c r="F2007" s="29" t="str">
        <f t="shared" si="94"/>
        <v>Nov</v>
      </c>
      <c r="G2007" s="17" t="s">
        <v>33</v>
      </c>
      <c r="H2007" s="17" t="s">
        <v>20</v>
      </c>
      <c r="I2007" s="24">
        <v>97508.687520046471</v>
      </c>
      <c r="J2007" s="32">
        <v>32</v>
      </c>
      <c r="K2007" s="17" t="s">
        <v>31</v>
      </c>
      <c r="L2007" s="24">
        <v>2678.99</v>
      </c>
      <c r="M2007" s="24">
        <v>3152.2799999999997</v>
      </c>
      <c r="N2007" s="34">
        <f>((sales_data_1[[#This Row],[Unit_Price]]*(1-sales_data_1[[#This Row],[Discount]]))-sales_data_1[[#This Row],[Unit_Cost]])*sales_data_1[[#This Row],[Quantity_Sold]]</f>
        <v>12119.091199999995</v>
      </c>
      <c r="O2007" s="17" t="s">
        <v>17</v>
      </c>
      <c r="P2007" s="26">
        <v>0.03</v>
      </c>
      <c r="Q2007" s="17" t="s">
        <v>18</v>
      </c>
      <c r="R2007" s="17" t="s">
        <v>21</v>
      </c>
      <c r="S2007" s="50" t="str">
        <f t="shared" si="95"/>
        <v>Alice-West</v>
      </c>
      <c r="T2007" s="59" t="str">
        <f>IF(ROUND(sales_data_1[[#This Row],[Profit_Margin]],2)=ROUND((sales_data_1[[#This Row],[Unit_Price]]*(1-sales_data_1[[#This Row],[Discount]]) - sales_data_1[[#This Row],[Unit_Cost]])*sales_data_1[[#This Row],[Quantity_Sold]],2), "PASS", "CHECK")</f>
        <v>PASS</v>
      </c>
    </row>
    <row r="2008" spans="1:20" x14ac:dyDescent="0.35">
      <c r="A2008" s="7">
        <v>2007</v>
      </c>
      <c r="B2008" s="9">
        <v>1014</v>
      </c>
      <c r="C2008" s="14" t="str">
        <f>IFERROR(_xlfn.TEXTJOIN("-", TRUE, _xlfn.XLOOKUP(K2008, product_category_id_lookup!$A$2:$A$5, product_category_id_lookup!$B$2:$B$5), B2008), "Unknown Category")</f>
        <v>fd-1014</v>
      </c>
      <c r="D2008" s="8">
        <v>45252</v>
      </c>
      <c r="E2008" s="14">
        <f t="shared" si="93"/>
        <v>2023</v>
      </c>
      <c r="F2008" s="29" t="str">
        <f t="shared" si="94"/>
        <v>Nov</v>
      </c>
      <c r="G2008" s="17" t="s">
        <v>22</v>
      </c>
      <c r="H2008" s="17" t="s">
        <v>20</v>
      </c>
      <c r="I2008" s="24">
        <v>54246.305002368324</v>
      </c>
      <c r="J2008" s="32">
        <v>17</v>
      </c>
      <c r="K2008" s="17" t="s">
        <v>24</v>
      </c>
      <c r="L2008" s="24">
        <v>3184.65</v>
      </c>
      <c r="M2008" s="24">
        <v>3204.01</v>
      </c>
      <c r="N2008" s="34">
        <f>((sales_data_1[[#This Row],[Unit_Price]]*(1-sales_data_1[[#This Row],[Discount]]))-sales_data_1[[#This Row],[Unit_Cost]])*sales_data_1[[#This Row],[Quantity_Sold]]</f>
        <v>329.12000000000216</v>
      </c>
      <c r="O2008" s="17" t="s">
        <v>27</v>
      </c>
      <c r="P2008" s="26">
        <v>0</v>
      </c>
      <c r="Q2008" s="17" t="s">
        <v>25</v>
      </c>
      <c r="R2008" s="17" t="s">
        <v>19</v>
      </c>
      <c r="S2008" s="50" t="str">
        <f t="shared" si="95"/>
        <v>David-West</v>
      </c>
      <c r="T2008" s="59" t="str">
        <f>IF(ROUND(sales_data_1[[#This Row],[Profit_Margin]],2)=ROUND((sales_data_1[[#This Row],[Unit_Price]]*(1-sales_data_1[[#This Row],[Discount]]) - sales_data_1[[#This Row],[Unit_Cost]])*sales_data_1[[#This Row],[Quantity_Sold]],2), "PASS", "CHECK")</f>
        <v>PASS</v>
      </c>
    </row>
    <row r="2009" spans="1:20" x14ac:dyDescent="0.35">
      <c r="A2009" s="7">
        <v>2008</v>
      </c>
      <c r="B2009" s="9">
        <v>1058</v>
      </c>
      <c r="C2009" s="14" t="str">
        <f>IFERROR(_xlfn.TEXTJOIN("-", TRUE, _xlfn.XLOOKUP(K2009, product_category_id_lookup!$A$2:$A$5, product_category_id_lookup!$B$2:$B$5), B2009), "Unknown Category")</f>
        <v>ctg-1058</v>
      </c>
      <c r="D2009" s="8">
        <v>45252</v>
      </c>
      <c r="E2009" s="14">
        <f t="shared" si="93"/>
        <v>2023</v>
      </c>
      <c r="F2009" s="29" t="str">
        <f t="shared" si="94"/>
        <v>Nov</v>
      </c>
      <c r="G2009" s="17" t="s">
        <v>33</v>
      </c>
      <c r="H2009" s="17" t="s">
        <v>20</v>
      </c>
      <c r="I2009" s="24">
        <v>14833.706999999999</v>
      </c>
      <c r="J2009" s="32">
        <v>15</v>
      </c>
      <c r="K2009" s="17" t="s">
        <v>26</v>
      </c>
      <c r="L2009" s="24">
        <v>894.48</v>
      </c>
      <c r="M2009" s="24">
        <v>1336.37</v>
      </c>
      <c r="N2009" s="34">
        <f>((sales_data_1[[#This Row],[Unit_Price]]*(1-sales_data_1[[#This Row],[Discount]]))-sales_data_1[[#This Row],[Unit_Cost]])*sales_data_1[[#This Row],[Quantity_Sold]]</f>
        <v>1416.5069999999987</v>
      </c>
      <c r="O2009" s="17" t="s">
        <v>17</v>
      </c>
      <c r="P2009" s="26">
        <v>0.26</v>
      </c>
      <c r="Q2009" s="17" t="s">
        <v>18</v>
      </c>
      <c r="R2009" s="17" t="s">
        <v>21</v>
      </c>
      <c r="S2009" s="50" t="str">
        <f t="shared" si="95"/>
        <v>Alice-West</v>
      </c>
      <c r="T2009" s="59" t="str">
        <f>IF(ROUND(sales_data_1[[#This Row],[Profit_Margin]],2)=ROUND((sales_data_1[[#This Row],[Unit_Price]]*(1-sales_data_1[[#This Row],[Discount]]) - sales_data_1[[#This Row],[Unit_Cost]])*sales_data_1[[#This Row],[Quantity_Sold]],2), "PASS", "CHECK")</f>
        <v>PASS</v>
      </c>
    </row>
    <row r="2010" spans="1:20" x14ac:dyDescent="0.35">
      <c r="A2010" s="7">
        <v>2009</v>
      </c>
      <c r="B2010" s="9">
        <v>1093</v>
      </c>
      <c r="C2010" s="14" t="str">
        <f>IFERROR(_xlfn.TEXTJOIN("-", TRUE, _xlfn.XLOOKUP(K2010, product_category_id_lookup!$A$2:$A$5, product_category_id_lookup!$B$2:$B$5), B2010), "Unknown Category")</f>
        <v>fnt-1093</v>
      </c>
      <c r="D2010" s="8">
        <v>45252</v>
      </c>
      <c r="E2010" s="14">
        <f t="shared" si="93"/>
        <v>2023</v>
      </c>
      <c r="F2010" s="29" t="str">
        <f t="shared" si="94"/>
        <v>Nov</v>
      </c>
      <c r="G2010" s="17" t="s">
        <v>29</v>
      </c>
      <c r="H2010" s="17" t="s">
        <v>15</v>
      </c>
      <c r="I2010" s="24">
        <v>77023.986078679824</v>
      </c>
      <c r="J2010" s="32">
        <v>22</v>
      </c>
      <c r="K2010" s="17" t="s">
        <v>16</v>
      </c>
      <c r="L2010" s="24">
        <v>3285.25</v>
      </c>
      <c r="M2010" s="24">
        <v>3634.58</v>
      </c>
      <c r="N2010" s="34">
        <f>((sales_data_1[[#This Row],[Unit_Price]]*(1-sales_data_1[[#This Row],[Discount]]))-sales_data_1[[#This Row],[Unit_Cost]])*sales_data_1[[#This Row],[Quantity_Sold]]</f>
        <v>4486.8295999999937</v>
      </c>
      <c r="O2010" s="17" t="s">
        <v>27</v>
      </c>
      <c r="P2010" s="26">
        <v>0.04</v>
      </c>
      <c r="Q2010" s="17" t="s">
        <v>25</v>
      </c>
      <c r="R2010" s="17" t="s">
        <v>19</v>
      </c>
      <c r="S2010" s="50" t="str">
        <f t="shared" si="95"/>
        <v>Charlie-North</v>
      </c>
      <c r="T2010" s="59" t="str">
        <f>IF(ROUND(sales_data_1[[#This Row],[Profit_Margin]],2)=ROUND((sales_data_1[[#This Row],[Unit_Price]]*(1-sales_data_1[[#This Row],[Discount]]) - sales_data_1[[#This Row],[Unit_Cost]])*sales_data_1[[#This Row],[Quantity_Sold]],2), "PASS", "CHECK")</f>
        <v>PASS</v>
      </c>
    </row>
    <row r="2011" spans="1:20" x14ac:dyDescent="0.35">
      <c r="A2011" s="7">
        <v>2010</v>
      </c>
      <c r="B2011" s="9">
        <v>1016</v>
      </c>
      <c r="C2011" s="14" t="str">
        <f>IFERROR(_xlfn.TEXTJOIN("-", TRUE, _xlfn.XLOOKUP(K2011, product_category_id_lookup!$A$2:$A$5, product_category_id_lookup!$B$2:$B$5), B2011), "Unknown Category")</f>
        <v>ctg-1016</v>
      </c>
      <c r="D2011" s="8">
        <v>45253</v>
      </c>
      <c r="E2011" s="14">
        <f t="shared" si="93"/>
        <v>2023</v>
      </c>
      <c r="F2011" s="29" t="str">
        <f t="shared" si="94"/>
        <v>Nov</v>
      </c>
      <c r="G2011" s="17" t="s">
        <v>32</v>
      </c>
      <c r="H2011" s="17" t="s">
        <v>30</v>
      </c>
      <c r="I2011" s="24">
        <v>128247.92179051605</v>
      </c>
      <c r="J2011" s="32">
        <v>26</v>
      </c>
      <c r="K2011" s="17" t="s">
        <v>26</v>
      </c>
      <c r="L2011" s="24">
        <v>4906.8500000000004</v>
      </c>
      <c r="M2011" s="24">
        <v>4954.3900000000003</v>
      </c>
      <c r="N2011" s="34">
        <f>((sales_data_1[[#This Row],[Unit_Price]]*(1-sales_data_1[[#This Row],[Discount]]))-sales_data_1[[#This Row],[Unit_Cost]])*sales_data_1[[#This Row],[Quantity_Sold]]</f>
        <v>1236.0399999999991</v>
      </c>
      <c r="O2011" s="17" t="s">
        <v>27</v>
      </c>
      <c r="P2011" s="26">
        <v>0</v>
      </c>
      <c r="Q2011" s="17" t="s">
        <v>25</v>
      </c>
      <c r="R2011" s="17" t="s">
        <v>19</v>
      </c>
      <c r="S2011" s="50" t="str">
        <f t="shared" si="95"/>
        <v>Eve-East</v>
      </c>
      <c r="T2011" s="59" t="str">
        <f>IF(ROUND(sales_data_1[[#This Row],[Profit_Margin]],2)=ROUND((sales_data_1[[#This Row],[Unit_Price]]*(1-sales_data_1[[#This Row],[Discount]]) - sales_data_1[[#This Row],[Unit_Cost]])*sales_data_1[[#This Row],[Quantity_Sold]],2), "PASS", "CHECK")</f>
        <v>PASS</v>
      </c>
    </row>
    <row r="2012" spans="1:20" x14ac:dyDescent="0.35">
      <c r="A2012" s="7">
        <v>2011</v>
      </c>
      <c r="B2012" s="9">
        <v>1065</v>
      </c>
      <c r="C2012" s="14" t="str">
        <f>IFERROR(_xlfn.TEXTJOIN("-", TRUE, _xlfn.XLOOKUP(K2012, product_category_id_lookup!$A$2:$A$5, product_category_id_lookup!$B$2:$B$5), B2012), "Unknown Category")</f>
        <v>fd-1065</v>
      </c>
      <c r="D2012" s="8">
        <v>45254</v>
      </c>
      <c r="E2012" s="14">
        <f t="shared" si="93"/>
        <v>2023</v>
      </c>
      <c r="F2012" s="29" t="str">
        <f t="shared" si="94"/>
        <v>Nov</v>
      </c>
      <c r="G2012" s="17" t="s">
        <v>14</v>
      </c>
      <c r="H2012" s="17" t="s">
        <v>30</v>
      </c>
      <c r="I2012" s="24">
        <v>22473.0072</v>
      </c>
      <c r="J2012" s="32">
        <v>18</v>
      </c>
      <c r="K2012" s="17" t="s">
        <v>24</v>
      </c>
      <c r="L2012" s="24">
        <v>1239.0899999999999</v>
      </c>
      <c r="M2012" s="24">
        <v>1273.98</v>
      </c>
      <c r="N2012" s="34">
        <f>((sales_data_1[[#This Row],[Unit_Price]]*(1-sales_data_1[[#This Row],[Discount]]))-sales_data_1[[#This Row],[Unit_Cost]])*sales_data_1[[#This Row],[Quantity_Sold]]</f>
        <v>169.38719999999967</v>
      </c>
      <c r="O2012" s="17" t="s">
        <v>27</v>
      </c>
      <c r="P2012" s="26">
        <v>0.02</v>
      </c>
      <c r="Q2012" s="17" t="s">
        <v>25</v>
      </c>
      <c r="R2012" s="17" t="s">
        <v>21</v>
      </c>
      <c r="S2012" s="50" t="str">
        <f t="shared" si="95"/>
        <v>Bob-East</v>
      </c>
      <c r="T2012" s="59" t="str">
        <f>IF(ROUND(sales_data_1[[#This Row],[Profit_Margin]],2)=ROUND((sales_data_1[[#This Row],[Unit_Price]]*(1-sales_data_1[[#This Row],[Discount]]) - sales_data_1[[#This Row],[Unit_Cost]])*sales_data_1[[#This Row],[Quantity_Sold]],2), "PASS", "CHECK")</f>
        <v>PASS</v>
      </c>
    </row>
    <row r="2013" spans="1:20" x14ac:dyDescent="0.35">
      <c r="A2013" s="7">
        <v>2012</v>
      </c>
      <c r="B2013" s="9">
        <v>1024</v>
      </c>
      <c r="C2013" s="14" t="str">
        <f>IFERROR(_xlfn.TEXTJOIN("-", TRUE, _xlfn.XLOOKUP(K2013, product_category_id_lookup!$A$2:$A$5, product_category_id_lookup!$B$2:$B$5), B2013), "Unknown Category")</f>
        <v>fd-1024</v>
      </c>
      <c r="D2013" s="8">
        <v>45254</v>
      </c>
      <c r="E2013" s="14">
        <f t="shared" si="93"/>
        <v>2023</v>
      </c>
      <c r="F2013" s="29" t="str">
        <f t="shared" si="94"/>
        <v>Nov</v>
      </c>
      <c r="G2013" s="17" t="s">
        <v>33</v>
      </c>
      <c r="H2013" s="17" t="s">
        <v>23</v>
      </c>
      <c r="I2013" s="24">
        <v>103558.59956353124</v>
      </c>
      <c r="J2013" s="32">
        <v>22</v>
      </c>
      <c r="K2013" s="17" t="s">
        <v>24</v>
      </c>
      <c r="L2013" s="24">
        <v>4691.32</v>
      </c>
      <c r="M2013" s="24">
        <v>4752.88</v>
      </c>
      <c r="N2013" s="34">
        <f>((sales_data_1[[#This Row],[Unit_Price]]*(1-sales_data_1[[#This Row],[Discount]]))-sales_data_1[[#This Row],[Unit_Cost]])*sales_data_1[[#This Row],[Quantity_Sold]]</f>
        <v>308.68640000000778</v>
      </c>
      <c r="O2013" s="17" t="s">
        <v>17</v>
      </c>
      <c r="P2013" s="26">
        <v>0.01</v>
      </c>
      <c r="Q2013" s="17" t="s">
        <v>25</v>
      </c>
      <c r="R2013" s="17" t="s">
        <v>21</v>
      </c>
      <c r="S2013" s="50" t="str">
        <f t="shared" si="95"/>
        <v>Alice-South</v>
      </c>
      <c r="T2013" s="59" t="str">
        <f>IF(ROUND(sales_data_1[[#This Row],[Profit_Margin]],2)=ROUND((sales_data_1[[#This Row],[Unit_Price]]*(1-sales_data_1[[#This Row],[Discount]]) - sales_data_1[[#This Row],[Unit_Cost]])*sales_data_1[[#This Row],[Quantity_Sold]],2), "PASS", "CHECK")</f>
        <v>PASS</v>
      </c>
    </row>
    <row r="2014" spans="1:20" x14ac:dyDescent="0.35">
      <c r="A2014" s="7">
        <v>2013</v>
      </c>
      <c r="B2014" s="9">
        <v>1003</v>
      </c>
      <c r="C2014" s="14" t="str">
        <f>IFERROR(_xlfn.TEXTJOIN("-", TRUE, _xlfn.XLOOKUP(K2014, product_category_id_lookup!$A$2:$A$5, product_category_id_lookup!$B$2:$B$5), B2014), "Unknown Category")</f>
        <v>fd-1003</v>
      </c>
      <c r="D2014" s="8">
        <v>45254</v>
      </c>
      <c r="E2014" s="14">
        <f t="shared" si="93"/>
        <v>2023</v>
      </c>
      <c r="F2014" s="29" t="str">
        <f t="shared" si="94"/>
        <v>Nov</v>
      </c>
      <c r="G2014" s="17" t="s">
        <v>32</v>
      </c>
      <c r="H2014" s="17" t="s">
        <v>30</v>
      </c>
      <c r="I2014" s="24">
        <v>41136.062363362194</v>
      </c>
      <c r="J2014" s="32">
        <v>11</v>
      </c>
      <c r="K2014" s="17" t="s">
        <v>24</v>
      </c>
      <c r="L2014" s="24">
        <v>3706.78</v>
      </c>
      <c r="M2014" s="24">
        <v>3862.26</v>
      </c>
      <c r="N2014" s="34">
        <f>((sales_data_1[[#This Row],[Unit_Price]]*(1-sales_data_1[[#This Row],[Discount]]))-sales_data_1[[#This Row],[Unit_Cost]])*sales_data_1[[#This Row],[Quantity_Sold]]</f>
        <v>435.73420000000033</v>
      </c>
      <c r="O2014" s="17" t="s">
        <v>27</v>
      </c>
      <c r="P2014" s="26">
        <v>0.03</v>
      </c>
      <c r="Q2014" s="17" t="s">
        <v>28</v>
      </c>
      <c r="R2014" s="17" t="s">
        <v>21</v>
      </c>
      <c r="S2014" s="50" t="str">
        <f t="shared" si="95"/>
        <v>Eve-East</v>
      </c>
      <c r="T2014" s="59" t="str">
        <f>IF(ROUND(sales_data_1[[#This Row],[Profit_Margin]],2)=ROUND((sales_data_1[[#This Row],[Unit_Price]]*(1-sales_data_1[[#This Row],[Discount]]) - sales_data_1[[#This Row],[Unit_Cost]])*sales_data_1[[#This Row],[Quantity_Sold]],2), "PASS", "CHECK")</f>
        <v>PASS</v>
      </c>
    </row>
    <row r="2015" spans="1:20" x14ac:dyDescent="0.35">
      <c r="A2015" s="7">
        <v>2014</v>
      </c>
      <c r="B2015" s="9">
        <v>1072</v>
      </c>
      <c r="C2015" s="14" t="str">
        <f>IFERROR(_xlfn.TEXTJOIN("-", TRUE, _xlfn.XLOOKUP(K2015, product_category_id_lookup!$A$2:$A$5, product_category_id_lookup!$B$2:$B$5), B2015), "Unknown Category")</f>
        <v>ctg-1072</v>
      </c>
      <c r="D2015" s="8">
        <v>45254</v>
      </c>
      <c r="E2015" s="14">
        <f t="shared" si="93"/>
        <v>2023</v>
      </c>
      <c r="F2015" s="29" t="str">
        <f t="shared" si="94"/>
        <v>Nov</v>
      </c>
      <c r="G2015" s="17" t="s">
        <v>33</v>
      </c>
      <c r="H2015" s="17" t="s">
        <v>30</v>
      </c>
      <c r="I2015" s="24">
        <v>12654.55</v>
      </c>
      <c r="J2015" s="32">
        <v>25</v>
      </c>
      <c r="K2015" s="17" t="s">
        <v>26</v>
      </c>
      <c r="L2015" s="24">
        <v>481.19</v>
      </c>
      <c r="M2015" s="24">
        <v>693.4</v>
      </c>
      <c r="N2015" s="34">
        <f>((sales_data_1[[#This Row],[Unit_Price]]*(1-sales_data_1[[#This Row],[Discount]]))-sales_data_1[[#This Row],[Unit_Cost]])*sales_data_1[[#This Row],[Quantity_Sold]]</f>
        <v>624.79999999999905</v>
      </c>
      <c r="O2015" s="17" t="s">
        <v>27</v>
      </c>
      <c r="P2015" s="26">
        <v>0.27</v>
      </c>
      <c r="Q2015" s="17" t="s">
        <v>28</v>
      </c>
      <c r="R2015" s="17" t="s">
        <v>21</v>
      </c>
      <c r="S2015" s="50" t="str">
        <f t="shared" si="95"/>
        <v>Alice-East</v>
      </c>
      <c r="T2015" s="59" t="str">
        <f>IF(ROUND(sales_data_1[[#This Row],[Profit_Margin]],2)=ROUND((sales_data_1[[#This Row],[Unit_Price]]*(1-sales_data_1[[#This Row],[Discount]]) - sales_data_1[[#This Row],[Unit_Cost]])*sales_data_1[[#This Row],[Quantity_Sold]],2), "PASS", "CHECK")</f>
        <v>PASS</v>
      </c>
    </row>
    <row r="2016" spans="1:20" x14ac:dyDescent="0.35">
      <c r="A2016" s="7">
        <v>2015</v>
      </c>
      <c r="B2016" s="9">
        <v>1071</v>
      </c>
      <c r="C2016" s="14" t="str">
        <f>IFERROR(_xlfn.TEXTJOIN("-", TRUE, _xlfn.XLOOKUP(K2016, product_category_id_lookup!$A$2:$A$5, product_category_id_lookup!$B$2:$B$5), B2016), "Unknown Category")</f>
        <v>fd-1071</v>
      </c>
      <c r="D2016" s="8">
        <v>45254</v>
      </c>
      <c r="E2016" s="14">
        <f t="shared" si="93"/>
        <v>2023</v>
      </c>
      <c r="F2016" s="29" t="str">
        <f t="shared" si="94"/>
        <v>Nov</v>
      </c>
      <c r="G2016" s="17" t="s">
        <v>33</v>
      </c>
      <c r="H2016" s="17" t="s">
        <v>20</v>
      </c>
      <c r="I2016" s="24">
        <v>53402.973996040804</v>
      </c>
      <c r="J2016" s="32">
        <v>12</v>
      </c>
      <c r="K2016" s="17" t="s">
        <v>24</v>
      </c>
      <c r="L2016" s="24">
        <v>4317.95</v>
      </c>
      <c r="M2016" s="24">
        <v>4636.59</v>
      </c>
      <c r="N2016" s="34">
        <f>((sales_data_1[[#This Row],[Unit_Price]]*(1-sales_data_1[[#This Row],[Discount]]))-sales_data_1[[#This Row],[Unit_Cost]])*sales_data_1[[#This Row],[Quantity_Sold]]</f>
        <v>1598.1168000000034</v>
      </c>
      <c r="O2016" s="17" t="s">
        <v>27</v>
      </c>
      <c r="P2016" s="26">
        <v>0.04</v>
      </c>
      <c r="Q2016" s="17" t="s">
        <v>28</v>
      </c>
      <c r="R2016" s="17" t="s">
        <v>21</v>
      </c>
      <c r="S2016" s="50" t="str">
        <f t="shared" si="95"/>
        <v>Alice-West</v>
      </c>
      <c r="T2016" s="59" t="str">
        <f>IF(ROUND(sales_data_1[[#This Row],[Profit_Margin]],2)=ROUND((sales_data_1[[#This Row],[Unit_Price]]*(1-sales_data_1[[#This Row],[Discount]]) - sales_data_1[[#This Row],[Unit_Cost]])*sales_data_1[[#This Row],[Quantity_Sold]],2), "PASS", "CHECK")</f>
        <v>PASS</v>
      </c>
    </row>
    <row r="2017" spans="1:20" x14ac:dyDescent="0.35">
      <c r="A2017" s="7">
        <v>2016</v>
      </c>
      <c r="B2017" s="9">
        <v>1021</v>
      </c>
      <c r="C2017" s="14" t="str">
        <f>IFERROR(_xlfn.TEXTJOIN("-", TRUE, _xlfn.XLOOKUP(K2017, product_category_id_lookup!$A$2:$A$5, product_category_id_lookup!$B$2:$B$5), B2017), "Unknown Category")</f>
        <v>fd-1021</v>
      </c>
      <c r="D2017" s="8">
        <v>45254</v>
      </c>
      <c r="E2017" s="14">
        <f t="shared" si="93"/>
        <v>2023</v>
      </c>
      <c r="F2017" s="29" t="str">
        <f t="shared" si="94"/>
        <v>Nov</v>
      </c>
      <c r="G2017" s="17" t="s">
        <v>32</v>
      </c>
      <c r="H2017" s="17" t="s">
        <v>15</v>
      </c>
      <c r="I2017" s="24">
        <v>62686.962592000571</v>
      </c>
      <c r="J2017" s="32">
        <v>15</v>
      </c>
      <c r="K2017" s="17" t="s">
        <v>24</v>
      </c>
      <c r="L2017" s="24">
        <v>3771.27</v>
      </c>
      <c r="M2017" s="24">
        <v>4212.55</v>
      </c>
      <c r="N2017" s="34">
        <f>((sales_data_1[[#This Row],[Unit_Price]]*(1-sales_data_1[[#This Row],[Discount]]))-sales_data_1[[#This Row],[Unit_Cost]])*sales_data_1[[#This Row],[Quantity_Sold]]</f>
        <v>5987.317500000001</v>
      </c>
      <c r="O2017" s="17" t="s">
        <v>17</v>
      </c>
      <c r="P2017" s="26">
        <v>0.01</v>
      </c>
      <c r="Q2017" s="17" t="s">
        <v>28</v>
      </c>
      <c r="R2017" s="17" t="s">
        <v>21</v>
      </c>
      <c r="S2017" s="50" t="str">
        <f t="shared" si="95"/>
        <v>Eve-North</v>
      </c>
      <c r="T2017" s="59" t="str">
        <f>IF(ROUND(sales_data_1[[#This Row],[Profit_Margin]],2)=ROUND((sales_data_1[[#This Row],[Unit_Price]]*(1-sales_data_1[[#This Row],[Discount]]) - sales_data_1[[#This Row],[Unit_Cost]])*sales_data_1[[#This Row],[Quantity_Sold]],2), "PASS", "CHECK")</f>
        <v>PASS</v>
      </c>
    </row>
    <row r="2018" spans="1:20" x14ac:dyDescent="0.35">
      <c r="A2018" s="7">
        <v>2017</v>
      </c>
      <c r="B2018" s="9">
        <v>1022</v>
      </c>
      <c r="C2018" s="14" t="str">
        <f>IFERROR(_xlfn.TEXTJOIN("-", TRUE, _xlfn.XLOOKUP(K2018, product_category_id_lookup!$A$2:$A$5, product_category_id_lookup!$B$2:$B$5), B2018), "Unknown Category")</f>
        <v>fnt-1022</v>
      </c>
      <c r="D2018" s="8">
        <v>45254</v>
      </c>
      <c r="E2018" s="14">
        <f t="shared" si="93"/>
        <v>2023</v>
      </c>
      <c r="F2018" s="29" t="str">
        <f t="shared" si="94"/>
        <v>Nov</v>
      </c>
      <c r="G2018" s="17" t="s">
        <v>32</v>
      </c>
      <c r="H2018" s="17" t="s">
        <v>20</v>
      </c>
      <c r="I2018" s="24">
        <v>22956.272399999998</v>
      </c>
      <c r="J2018" s="32">
        <v>29</v>
      </c>
      <c r="K2018" s="17" t="s">
        <v>16</v>
      </c>
      <c r="L2018" s="24">
        <v>479.58</v>
      </c>
      <c r="M2018" s="24">
        <v>909.88</v>
      </c>
      <c r="N2018" s="34">
        <f>((sales_data_1[[#This Row],[Unit_Price]]*(1-sales_data_1[[#This Row],[Discount]]))-sales_data_1[[#This Row],[Unit_Cost]])*sales_data_1[[#This Row],[Quantity_Sold]]</f>
        <v>9048.4524000000001</v>
      </c>
      <c r="O2018" s="17" t="s">
        <v>17</v>
      </c>
      <c r="P2018" s="26">
        <v>0.13</v>
      </c>
      <c r="Q2018" s="17" t="s">
        <v>28</v>
      </c>
      <c r="R2018" s="17" t="s">
        <v>21</v>
      </c>
      <c r="S2018" s="50" t="str">
        <f t="shared" si="95"/>
        <v>Eve-West</v>
      </c>
      <c r="T2018" s="59" t="str">
        <f>IF(ROUND(sales_data_1[[#This Row],[Profit_Margin]],2)=ROUND((sales_data_1[[#This Row],[Unit_Price]]*(1-sales_data_1[[#This Row],[Discount]]) - sales_data_1[[#This Row],[Unit_Cost]])*sales_data_1[[#This Row],[Quantity_Sold]],2), "PASS", "CHECK")</f>
        <v>PASS</v>
      </c>
    </row>
    <row r="2019" spans="1:20" x14ac:dyDescent="0.35">
      <c r="A2019" s="7">
        <v>2018</v>
      </c>
      <c r="B2019" s="9">
        <v>1095</v>
      </c>
      <c r="C2019" s="14" t="str">
        <f>IFERROR(_xlfn.TEXTJOIN("-", TRUE, _xlfn.XLOOKUP(K2019, product_category_id_lookup!$A$2:$A$5, product_category_id_lookup!$B$2:$B$5), B2019), "Unknown Category")</f>
        <v>etc-1095</v>
      </c>
      <c r="D2019" s="8">
        <v>45255</v>
      </c>
      <c r="E2019" s="14">
        <f t="shared" si="93"/>
        <v>2023</v>
      </c>
      <c r="F2019" s="29" t="str">
        <f t="shared" si="94"/>
        <v>Nov</v>
      </c>
      <c r="G2019" s="17" t="s">
        <v>33</v>
      </c>
      <c r="H2019" s="17" t="s">
        <v>30</v>
      </c>
      <c r="I2019" s="24">
        <v>28669.635000000002</v>
      </c>
      <c r="J2019" s="32">
        <v>37</v>
      </c>
      <c r="K2019" s="17" t="s">
        <v>31</v>
      </c>
      <c r="L2019" s="24">
        <v>407.77</v>
      </c>
      <c r="M2019" s="24">
        <v>860.95</v>
      </c>
      <c r="N2019" s="34">
        <f>((sales_data_1[[#This Row],[Unit_Price]]*(1-sales_data_1[[#This Row],[Discount]]))-sales_data_1[[#This Row],[Unit_Cost]])*sales_data_1[[#This Row],[Quantity_Sold]]</f>
        <v>13582.145</v>
      </c>
      <c r="O2019" s="17" t="s">
        <v>27</v>
      </c>
      <c r="P2019" s="26">
        <v>0.1</v>
      </c>
      <c r="Q2019" s="17" t="s">
        <v>28</v>
      </c>
      <c r="R2019" s="17" t="s">
        <v>21</v>
      </c>
      <c r="S2019" s="50" t="str">
        <f t="shared" si="95"/>
        <v>Alice-East</v>
      </c>
      <c r="T2019" s="59" t="str">
        <f>IF(ROUND(sales_data_1[[#This Row],[Profit_Margin]],2)=ROUND((sales_data_1[[#This Row],[Unit_Price]]*(1-sales_data_1[[#This Row],[Discount]]) - sales_data_1[[#This Row],[Unit_Cost]])*sales_data_1[[#This Row],[Quantity_Sold]],2), "PASS", "CHECK")</f>
        <v>PASS</v>
      </c>
    </row>
    <row r="2020" spans="1:20" x14ac:dyDescent="0.35">
      <c r="A2020" s="7">
        <v>2019</v>
      </c>
      <c r="B2020" s="9">
        <v>1074</v>
      </c>
      <c r="C2020" s="14" t="str">
        <f>IFERROR(_xlfn.TEXTJOIN("-", TRUE, _xlfn.XLOOKUP(K2020, product_category_id_lookup!$A$2:$A$5, product_category_id_lookup!$B$2:$B$5), B2020), "Unknown Category")</f>
        <v>fnt-1074</v>
      </c>
      <c r="D2020" s="8">
        <v>45255</v>
      </c>
      <c r="E2020" s="14">
        <f t="shared" si="93"/>
        <v>2023</v>
      </c>
      <c r="F2020" s="29" t="str">
        <f t="shared" si="94"/>
        <v>Nov</v>
      </c>
      <c r="G2020" s="17" t="s">
        <v>32</v>
      </c>
      <c r="H2020" s="17" t="s">
        <v>15</v>
      </c>
      <c r="I2020" s="24">
        <v>107333.81830453471</v>
      </c>
      <c r="J2020" s="32">
        <v>42</v>
      </c>
      <c r="K2020" s="17" t="s">
        <v>16</v>
      </c>
      <c r="L2020" s="24">
        <v>2120.81</v>
      </c>
      <c r="M2020" s="24">
        <v>2611.94</v>
      </c>
      <c r="N2020" s="34">
        <f>((sales_data_1[[#This Row],[Unit_Price]]*(1-sales_data_1[[#This Row],[Discount]]))-sales_data_1[[#This Row],[Unit_Cost]])*sales_data_1[[#This Row],[Quantity_Sold]]</f>
        <v>18433.430400000001</v>
      </c>
      <c r="O2020" s="17" t="s">
        <v>17</v>
      </c>
      <c r="P2020" s="26">
        <v>0.02</v>
      </c>
      <c r="Q2020" s="17" t="s">
        <v>18</v>
      </c>
      <c r="R2020" s="17" t="s">
        <v>19</v>
      </c>
      <c r="S2020" s="50" t="str">
        <f t="shared" si="95"/>
        <v>Eve-North</v>
      </c>
      <c r="T2020" s="59" t="str">
        <f>IF(ROUND(sales_data_1[[#This Row],[Profit_Margin]],2)=ROUND((sales_data_1[[#This Row],[Unit_Price]]*(1-sales_data_1[[#This Row],[Discount]]) - sales_data_1[[#This Row],[Unit_Cost]])*sales_data_1[[#This Row],[Quantity_Sold]],2), "PASS", "CHECK")</f>
        <v>PASS</v>
      </c>
    </row>
    <row r="2021" spans="1:20" x14ac:dyDescent="0.35">
      <c r="A2021" s="7">
        <v>2020</v>
      </c>
      <c r="B2021" s="9">
        <v>1043</v>
      </c>
      <c r="C2021" s="14" t="str">
        <f>IFERROR(_xlfn.TEXTJOIN("-", TRUE, _xlfn.XLOOKUP(K2021, product_category_id_lookup!$A$2:$A$5, product_category_id_lookup!$B$2:$B$5), B2021), "Unknown Category")</f>
        <v>etc-1043</v>
      </c>
      <c r="D2021" s="8">
        <v>45256</v>
      </c>
      <c r="E2021" s="14">
        <f t="shared" si="93"/>
        <v>2023</v>
      </c>
      <c r="F2021" s="29" t="str">
        <f t="shared" si="94"/>
        <v>Nov</v>
      </c>
      <c r="G2021" s="17" t="s">
        <v>14</v>
      </c>
      <c r="H2021" s="17" t="s">
        <v>23</v>
      </c>
      <c r="I2021" s="24">
        <v>6468.7883953729652</v>
      </c>
      <c r="J2021" s="32">
        <v>3</v>
      </c>
      <c r="K2021" s="17" t="s">
        <v>31</v>
      </c>
      <c r="L2021" s="24">
        <v>2009.1</v>
      </c>
      <c r="M2021" s="24">
        <v>2186.42</v>
      </c>
      <c r="N2021" s="34">
        <f>((sales_data_1[[#This Row],[Unit_Price]]*(1-sales_data_1[[#This Row],[Discount]]))-sales_data_1[[#This Row],[Unit_Cost]])*sales_data_1[[#This Row],[Quantity_Sold]]</f>
        <v>466.36740000000054</v>
      </c>
      <c r="O2021" s="17" t="s">
        <v>27</v>
      </c>
      <c r="P2021" s="26">
        <v>0.01</v>
      </c>
      <c r="Q2021" s="17" t="s">
        <v>25</v>
      </c>
      <c r="R2021" s="17" t="s">
        <v>19</v>
      </c>
      <c r="S2021" s="50" t="str">
        <f t="shared" si="95"/>
        <v>Bob-South</v>
      </c>
      <c r="T2021" s="59" t="str">
        <f>IF(ROUND(sales_data_1[[#This Row],[Profit_Margin]],2)=ROUND((sales_data_1[[#This Row],[Unit_Price]]*(1-sales_data_1[[#This Row],[Discount]]) - sales_data_1[[#This Row],[Unit_Cost]])*sales_data_1[[#This Row],[Quantity_Sold]],2), "PASS", "CHECK")</f>
        <v>PASS</v>
      </c>
    </row>
    <row r="2022" spans="1:20" x14ac:dyDescent="0.35">
      <c r="A2022" s="7">
        <v>2021</v>
      </c>
      <c r="B2022" s="9">
        <v>1095</v>
      </c>
      <c r="C2022" s="14" t="str">
        <f>IFERROR(_xlfn.TEXTJOIN("-", TRUE, _xlfn.XLOOKUP(K2022, product_category_id_lookup!$A$2:$A$5, product_category_id_lookup!$B$2:$B$5), B2022), "Unknown Category")</f>
        <v>fd-1095</v>
      </c>
      <c r="D2022" s="8">
        <v>45256</v>
      </c>
      <c r="E2022" s="14">
        <f t="shared" si="93"/>
        <v>2023</v>
      </c>
      <c r="F2022" s="29" t="str">
        <f t="shared" si="94"/>
        <v>Nov</v>
      </c>
      <c r="G2022" s="17" t="s">
        <v>29</v>
      </c>
      <c r="H2022" s="17" t="s">
        <v>20</v>
      </c>
      <c r="I2022" s="24">
        <v>30337.488328924996</v>
      </c>
      <c r="J2022" s="32">
        <v>7</v>
      </c>
      <c r="K2022" s="17" t="s">
        <v>24</v>
      </c>
      <c r="L2022" s="24">
        <v>4257.24</v>
      </c>
      <c r="M2022" s="24">
        <v>4355.87</v>
      </c>
      <c r="N2022" s="34">
        <f>((sales_data_1[[#This Row],[Unit_Price]]*(1-sales_data_1[[#This Row],[Discount]]))-sales_data_1[[#This Row],[Unit_Cost]])*sales_data_1[[#This Row],[Quantity_Sold]]</f>
        <v>385.49910000000364</v>
      </c>
      <c r="O2022" s="17" t="s">
        <v>17</v>
      </c>
      <c r="P2022" s="26">
        <v>0.01</v>
      </c>
      <c r="Q2022" s="17" t="s">
        <v>25</v>
      </c>
      <c r="R2022" s="17" t="s">
        <v>19</v>
      </c>
      <c r="S2022" s="50" t="str">
        <f t="shared" si="95"/>
        <v>Charlie-West</v>
      </c>
      <c r="T2022" s="59" t="str">
        <f>IF(ROUND(sales_data_1[[#This Row],[Profit_Margin]],2)=ROUND((sales_data_1[[#This Row],[Unit_Price]]*(1-sales_data_1[[#This Row],[Discount]]) - sales_data_1[[#This Row],[Unit_Cost]])*sales_data_1[[#This Row],[Quantity_Sold]],2), "PASS", "CHECK")</f>
        <v>PASS</v>
      </c>
    </row>
    <row r="2023" spans="1:20" x14ac:dyDescent="0.35">
      <c r="A2023" s="7">
        <v>2022</v>
      </c>
      <c r="B2023" s="9">
        <v>1051</v>
      </c>
      <c r="C2023" s="14" t="str">
        <f>IFERROR(_xlfn.TEXTJOIN("-", TRUE, _xlfn.XLOOKUP(K2023, product_category_id_lookup!$A$2:$A$5, product_category_id_lookup!$B$2:$B$5), B2023), "Unknown Category")</f>
        <v>fd-1051</v>
      </c>
      <c r="D2023" s="8">
        <v>45256</v>
      </c>
      <c r="E2023" s="14">
        <f t="shared" si="93"/>
        <v>2023</v>
      </c>
      <c r="F2023" s="29" t="str">
        <f t="shared" si="94"/>
        <v>Nov</v>
      </c>
      <c r="G2023" s="17" t="s">
        <v>32</v>
      </c>
      <c r="H2023" s="17" t="s">
        <v>23</v>
      </c>
      <c r="I2023" s="24">
        <v>33629.646981436657</v>
      </c>
      <c r="J2023" s="32">
        <v>8</v>
      </c>
      <c r="K2023" s="17" t="s">
        <v>24</v>
      </c>
      <c r="L2023" s="24">
        <v>3970.37</v>
      </c>
      <c r="M2023" s="24">
        <v>4257.5199999999995</v>
      </c>
      <c r="N2023" s="34">
        <f>((sales_data_1[[#This Row],[Unit_Price]]*(1-sales_data_1[[#This Row],[Discount]]))-sales_data_1[[#This Row],[Unit_Cost]])*sales_data_1[[#This Row],[Quantity_Sold]]</f>
        <v>1956.5983999999953</v>
      </c>
      <c r="O2023" s="17" t="s">
        <v>27</v>
      </c>
      <c r="P2023" s="26">
        <v>0.01</v>
      </c>
      <c r="Q2023" s="17" t="s">
        <v>18</v>
      </c>
      <c r="R2023" s="17" t="s">
        <v>21</v>
      </c>
      <c r="S2023" s="50" t="str">
        <f t="shared" si="95"/>
        <v>Eve-South</v>
      </c>
      <c r="T2023" s="59" t="str">
        <f>IF(ROUND(sales_data_1[[#This Row],[Profit_Margin]],2)=ROUND((sales_data_1[[#This Row],[Unit_Price]]*(1-sales_data_1[[#This Row],[Discount]]) - sales_data_1[[#This Row],[Unit_Cost]])*sales_data_1[[#This Row],[Quantity_Sold]],2), "PASS", "CHECK")</f>
        <v>PASS</v>
      </c>
    </row>
    <row r="2024" spans="1:20" x14ac:dyDescent="0.35">
      <c r="A2024" s="7">
        <v>2023</v>
      </c>
      <c r="B2024" s="9">
        <v>1070</v>
      </c>
      <c r="C2024" s="14" t="str">
        <f>IFERROR(_xlfn.TEXTJOIN("-", TRUE, _xlfn.XLOOKUP(K2024, product_category_id_lookup!$A$2:$A$5, product_category_id_lookup!$B$2:$B$5), B2024), "Unknown Category")</f>
        <v>fnt-1070</v>
      </c>
      <c r="D2024" s="8">
        <v>45256</v>
      </c>
      <c r="E2024" s="14">
        <f t="shared" si="93"/>
        <v>2023</v>
      </c>
      <c r="F2024" s="29" t="str">
        <f t="shared" si="94"/>
        <v>Nov</v>
      </c>
      <c r="G2024" s="17" t="s">
        <v>22</v>
      </c>
      <c r="H2024" s="17" t="s">
        <v>15</v>
      </c>
      <c r="I2024" s="24">
        <v>128614.404370776</v>
      </c>
      <c r="J2024" s="32">
        <v>40</v>
      </c>
      <c r="K2024" s="17" t="s">
        <v>16</v>
      </c>
      <c r="L2024" s="24">
        <v>3089.96</v>
      </c>
      <c r="M2024" s="24">
        <v>3258.45</v>
      </c>
      <c r="N2024" s="34">
        <f>((sales_data_1[[#This Row],[Unit_Price]]*(1-sales_data_1[[#This Row],[Discount]]))-sales_data_1[[#This Row],[Unit_Cost]])*sales_data_1[[#This Row],[Quantity_Sold]]</f>
        <v>5436.2199999999939</v>
      </c>
      <c r="O2024" s="17" t="s">
        <v>27</v>
      </c>
      <c r="P2024" s="26">
        <v>0.01</v>
      </c>
      <c r="Q2024" s="17" t="s">
        <v>18</v>
      </c>
      <c r="R2024" s="17" t="s">
        <v>19</v>
      </c>
      <c r="S2024" s="50" t="str">
        <f t="shared" si="95"/>
        <v>David-North</v>
      </c>
      <c r="T2024" s="59" t="str">
        <f>IF(ROUND(sales_data_1[[#This Row],[Profit_Margin]],2)=ROUND((sales_data_1[[#This Row],[Unit_Price]]*(1-sales_data_1[[#This Row],[Discount]]) - sales_data_1[[#This Row],[Unit_Cost]])*sales_data_1[[#This Row],[Quantity_Sold]],2), "PASS", "CHECK")</f>
        <v>PASS</v>
      </c>
    </row>
    <row r="2025" spans="1:20" x14ac:dyDescent="0.35">
      <c r="A2025" s="7">
        <v>2024</v>
      </c>
      <c r="B2025" s="9">
        <v>1030</v>
      </c>
      <c r="C2025" s="14" t="str">
        <f>IFERROR(_xlfn.TEXTJOIN("-", TRUE, _xlfn.XLOOKUP(K2025, product_category_id_lookup!$A$2:$A$5, product_category_id_lookup!$B$2:$B$5), B2025), "Unknown Category")</f>
        <v>etc-1030</v>
      </c>
      <c r="D2025" s="8">
        <v>45256</v>
      </c>
      <c r="E2025" s="14">
        <f t="shared" si="93"/>
        <v>2023</v>
      </c>
      <c r="F2025" s="29" t="str">
        <f t="shared" si="94"/>
        <v>Nov</v>
      </c>
      <c r="G2025" s="17" t="s">
        <v>33</v>
      </c>
      <c r="H2025" s="17" t="s">
        <v>20</v>
      </c>
      <c r="I2025" s="24">
        <v>88712.438255114292</v>
      </c>
      <c r="J2025" s="32">
        <v>39</v>
      </c>
      <c r="K2025" s="17" t="s">
        <v>31</v>
      </c>
      <c r="L2025" s="24">
        <v>2041.75</v>
      </c>
      <c r="M2025" s="24">
        <v>2299.37</v>
      </c>
      <c r="N2025" s="34">
        <f>((sales_data_1[[#This Row],[Unit_Price]]*(1-sales_data_1[[#This Row],[Discount]]))-sales_data_1[[#This Row],[Unit_Cost]])*sales_data_1[[#This Row],[Quantity_Sold]]</f>
        <v>9150.4256999999961</v>
      </c>
      <c r="O2025" s="17" t="s">
        <v>17</v>
      </c>
      <c r="P2025" s="26">
        <v>0.01</v>
      </c>
      <c r="Q2025" s="17" t="s">
        <v>25</v>
      </c>
      <c r="R2025" s="17" t="s">
        <v>21</v>
      </c>
      <c r="S2025" s="50" t="str">
        <f t="shared" si="95"/>
        <v>Alice-West</v>
      </c>
      <c r="T2025" s="59" t="str">
        <f>IF(ROUND(sales_data_1[[#This Row],[Profit_Margin]],2)=ROUND((sales_data_1[[#This Row],[Unit_Price]]*(1-sales_data_1[[#This Row],[Discount]]) - sales_data_1[[#This Row],[Unit_Cost]])*sales_data_1[[#This Row],[Quantity_Sold]],2), "PASS", "CHECK")</f>
        <v>PASS</v>
      </c>
    </row>
    <row r="2026" spans="1:20" x14ac:dyDescent="0.35">
      <c r="A2026" s="7">
        <v>2025</v>
      </c>
      <c r="B2026" s="9">
        <v>1021</v>
      </c>
      <c r="C2026" s="14" t="str">
        <f>IFERROR(_xlfn.TEXTJOIN("-", TRUE, _xlfn.XLOOKUP(K2026, product_category_id_lookup!$A$2:$A$5, product_category_id_lookup!$B$2:$B$5), B2026), "Unknown Category")</f>
        <v>fnt-1021</v>
      </c>
      <c r="D2026" s="8">
        <v>45257</v>
      </c>
      <c r="E2026" s="14">
        <f t="shared" si="93"/>
        <v>2023</v>
      </c>
      <c r="F2026" s="29" t="str">
        <f t="shared" si="94"/>
        <v>Nov</v>
      </c>
      <c r="G2026" s="17" t="s">
        <v>33</v>
      </c>
      <c r="H2026" s="17" t="s">
        <v>23</v>
      </c>
      <c r="I2026" s="24">
        <v>74511.494088667256</v>
      </c>
      <c r="J2026" s="32">
        <v>31</v>
      </c>
      <c r="K2026" s="17" t="s">
        <v>16</v>
      </c>
      <c r="L2026" s="24">
        <v>2254.9899999999998</v>
      </c>
      <c r="M2026" s="24">
        <v>2441.79</v>
      </c>
      <c r="N2026" s="34">
        <f>((sales_data_1[[#This Row],[Unit_Price]]*(1-sales_data_1[[#This Row],[Discount]]))-sales_data_1[[#This Row],[Unit_Cost]])*sales_data_1[[#This Row],[Quantity_Sold]]</f>
        <v>4276.8902000000107</v>
      </c>
      <c r="O2026" s="17" t="s">
        <v>17</v>
      </c>
      <c r="P2026" s="26">
        <v>0.02</v>
      </c>
      <c r="Q2026" s="17" t="s">
        <v>25</v>
      </c>
      <c r="R2026" s="17" t="s">
        <v>19</v>
      </c>
      <c r="S2026" s="50" t="str">
        <f t="shared" si="95"/>
        <v>Alice-South</v>
      </c>
      <c r="T2026" s="59" t="str">
        <f>IF(ROUND(sales_data_1[[#This Row],[Profit_Margin]],2)=ROUND((sales_data_1[[#This Row],[Unit_Price]]*(1-sales_data_1[[#This Row],[Discount]]) - sales_data_1[[#This Row],[Unit_Cost]])*sales_data_1[[#This Row],[Quantity_Sold]],2), "PASS", "CHECK")</f>
        <v>PASS</v>
      </c>
    </row>
    <row r="2027" spans="1:20" x14ac:dyDescent="0.35">
      <c r="A2027" s="7">
        <v>2026</v>
      </c>
      <c r="B2027" s="9">
        <v>1044</v>
      </c>
      <c r="C2027" s="14" t="str">
        <f>IFERROR(_xlfn.TEXTJOIN("-", TRUE, _xlfn.XLOOKUP(K2027, product_category_id_lookup!$A$2:$A$5, product_category_id_lookup!$B$2:$B$5), B2027), "Unknown Category")</f>
        <v>etc-1044</v>
      </c>
      <c r="D2027" s="8">
        <v>45258</v>
      </c>
      <c r="E2027" s="14">
        <f t="shared" si="93"/>
        <v>2023</v>
      </c>
      <c r="F2027" s="29" t="str">
        <f t="shared" si="94"/>
        <v>Nov</v>
      </c>
      <c r="G2027" s="17" t="s">
        <v>29</v>
      </c>
      <c r="H2027" s="17" t="s">
        <v>20</v>
      </c>
      <c r="I2027" s="24">
        <v>22989.957608871355</v>
      </c>
      <c r="J2027" s="32">
        <v>6</v>
      </c>
      <c r="K2027" s="17" t="s">
        <v>31</v>
      </c>
      <c r="L2027" s="24">
        <v>3703.93</v>
      </c>
      <c r="M2027" s="24">
        <v>3840.24</v>
      </c>
      <c r="N2027" s="34">
        <f>((sales_data_1[[#This Row],[Unit_Price]]*(1-sales_data_1[[#This Row],[Discount]]))-sales_data_1[[#This Row],[Unit_Cost]])*sales_data_1[[#This Row],[Quantity_Sold]]</f>
        <v>817.85999999999967</v>
      </c>
      <c r="O2027" s="17" t="s">
        <v>27</v>
      </c>
      <c r="P2027" s="26">
        <v>0</v>
      </c>
      <c r="Q2027" s="17" t="s">
        <v>28</v>
      </c>
      <c r="R2027" s="17" t="s">
        <v>19</v>
      </c>
      <c r="S2027" s="50" t="str">
        <f t="shared" si="95"/>
        <v>Charlie-West</v>
      </c>
      <c r="T2027" s="59" t="str">
        <f>IF(ROUND(sales_data_1[[#This Row],[Profit_Margin]],2)=ROUND((sales_data_1[[#This Row],[Unit_Price]]*(1-sales_data_1[[#This Row],[Discount]]) - sales_data_1[[#This Row],[Unit_Cost]])*sales_data_1[[#This Row],[Quantity_Sold]],2), "PASS", "CHECK")</f>
        <v>PASS</v>
      </c>
    </row>
    <row r="2028" spans="1:20" x14ac:dyDescent="0.35">
      <c r="A2028" s="7">
        <v>2027</v>
      </c>
      <c r="B2028" s="9">
        <v>1089</v>
      </c>
      <c r="C2028" s="14" t="str">
        <f>IFERROR(_xlfn.TEXTJOIN("-", TRUE, _xlfn.XLOOKUP(K2028, product_category_id_lookup!$A$2:$A$5, product_category_id_lookup!$B$2:$B$5), B2028), "Unknown Category")</f>
        <v>fnt-1089</v>
      </c>
      <c r="D2028" s="8">
        <v>45258</v>
      </c>
      <c r="E2028" s="14">
        <f t="shared" si="93"/>
        <v>2023</v>
      </c>
      <c r="F2028" s="29" t="str">
        <f t="shared" si="94"/>
        <v>Nov</v>
      </c>
      <c r="G2028" s="17" t="s">
        <v>22</v>
      </c>
      <c r="H2028" s="17" t="s">
        <v>20</v>
      </c>
      <c r="I2028" s="24">
        <v>36669.441600000006</v>
      </c>
      <c r="J2028" s="32">
        <v>8</v>
      </c>
      <c r="K2028" s="17" t="s">
        <v>16</v>
      </c>
      <c r="L2028" s="24">
        <v>4349.34</v>
      </c>
      <c r="M2028" s="24">
        <v>4629.9800000000005</v>
      </c>
      <c r="N2028" s="34">
        <f>((sales_data_1[[#This Row],[Unit_Price]]*(1-sales_data_1[[#This Row],[Discount]]))-sales_data_1[[#This Row],[Unit_Cost]])*sales_data_1[[#This Row],[Quantity_Sold]]</f>
        <v>1874.7216000000044</v>
      </c>
      <c r="O2028" s="17" t="s">
        <v>17</v>
      </c>
      <c r="P2028" s="26">
        <v>0.01</v>
      </c>
      <c r="Q2028" s="17" t="s">
        <v>28</v>
      </c>
      <c r="R2028" s="17" t="s">
        <v>19</v>
      </c>
      <c r="S2028" s="50" t="str">
        <f t="shared" si="95"/>
        <v>David-West</v>
      </c>
      <c r="T2028" s="59" t="str">
        <f>IF(ROUND(sales_data_1[[#This Row],[Profit_Margin]],2)=ROUND((sales_data_1[[#This Row],[Unit_Price]]*(1-sales_data_1[[#This Row],[Discount]]) - sales_data_1[[#This Row],[Unit_Cost]])*sales_data_1[[#This Row],[Quantity_Sold]],2), "PASS", "CHECK")</f>
        <v>PASS</v>
      </c>
    </row>
    <row r="2029" spans="1:20" x14ac:dyDescent="0.35">
      <c r="A2029" s="7">
        <v>2028</v>
      </c>
      <c r="B2029" s="9">
        <v>1005</v>
      </c>
      <c r="C2029" s="14" t="str">
        <f>IFERROR(_xlfn.TEXTJOIN("-", TRUE, _xlfn.XLOOKUP(K2029, product_category_id_lookup!$A$2:$A$5, product_category_id_lookup!$B$2:$B$5), B2029), "Unknown Category")</f>
        <v>fnt-1005</v>
      </c>
      <c r="D2029" s="8">
        <v>45258</v>
      </c>
      <c r="E2029" s="14">
        <f t="shared" si="93"/>
        <v>2023</v>
      </c>
      <c r="F2029" s="29" t="str">
        <f t="shared" si="94"/>
        <v>Nov</v>
      </c>
      <c r="G2029" s="17" t="s">
        <v>22</v>
      </c>
      <c r="H2029" s="17" t="s">
        <v>20</v>
      </c>
      <c r="I2029" s="24">
        <v>56588.602000000006</v>
      </c>
      <c r="J2029" s="32">
        <v>43</v>
      </c>
      <c r="K2029" s="17" t="s">
        <v>16</v>
      </c>
      <c r="L2029" s="24">
        <v>1200.4000000000001</v>
      </c>
      <c r="M2029" s="24">
        <v>1430.45</v>
      </c>
      <c r="N2029" s="34">
        <f>((sales_data_1[[#This Row],[Unit_Price]]*(1-sales_data_1[[#This Row],[Discount]]))-sales_data_1[[#This Row],[Unit_Cost]])*sales_data_1[[#This Row],[Quantity_Sold]]</f>
        <v>4971.4020000000019</v>
      </c>
      <c r="O2029" s="17" t="s">
        <v>27</v>
      </c>
      <c r="P2029" s="26">
        <v>0.08</v>
      </c>
      <c r="Q2029" s="17" t="s">
        <v>25</v>
      </c>
      <c r="R2029" s="17" t="s">
        <v>21</v>
      </c>
      <c r="S2029" s="50" t="str">
        <f t="shared" si="95"/>
        <v>David-West</v>
      </c>
      <c r="T2029" s="59" t="str">
        <f>IF(ROUND(sales_data_1[[#This Row],[Profit_Margin]],2)=ROUND((sales_data_1[[#This Row],[Unit_Price]]*(1-sales_data_1[[#This Row],[Discount]]) - sales_data_1[[#This Row],[Unit_Cost]])*sales_data_1[[#This Row],[Quantity_Sold]],2), "PASS", "CHECK")</f>
        <v>PASS</v>
      </c>
    </row>
    <row r="2030" spans="1:20" x14ac:dyDescent="0.35">
      <c r="A2030" s="7">
        <v>2029</v>
      </c>
      <c r="B2030" s="9">
        <v>1086</v>
      </c>
      <c r="C2030" s="14" t="str">
        <f>IFERROR(_xlfn.TEXTJOIN("-", TRUE, _xlfn.XLOOKUP(K2030, product_category_id_lookup!$A$2:$A$5, product_category_id_lookup!$B$2:$B$5), B2030), "Unknown Category")</f>
        <v>fd-1086</v>
      </c>
      <c r="D2030" s="8">
        <v>45259</v>
      </c>
      <c r="E2030" s="14">
        <f t="shared" si="93"/>
        <v>2023</v>
      </c>
      <c r="F2030" s="29" t="str">
        <f t="shared" si="94"/>
        <v>Nov</v>
      </c>
      <c r="G2030" s="17" t="s">
        <v>14</v>
      </c>
      <c r="H2030" s="17" t="s">
        <v>20</v>
      </c>
      <c r="I2030" s="24">
        <v>6370.98</v>
      </c>
      <c r="J2030" s="32">
        <v>7</v>
      </c>
      <c r="K2030" s="17" t="s">
        <v>24</v>
      </c>
      <c r="L2030" s="24">
        <v>737.9</v>
      </c>
      <c r="M2030" s="24">
        <v>1182</v>
      </c>
      <c r="N2030" s="34">
        <f>((sales_data_1[[#This Row],[Unit_Price]]*(1-sales_data_1[[#This Row],[Discount]]))-sales_data_1[[#This Row],[Unit_Cost]])*sales_data_1[[#This Row],[Quantity_Sold]]</f>
        <v>1205.68</v>
      </c>
      <c r="O2030" s="17" t="s">
        <v>27</v>
      </c>
      <c r="P2030" s="26">
        <v>0.23</v>
      </c>
      <c r="Q2030" s="17" t="s">
        <v>28</v>
      </c>
      <c r="R2030" s="17" t="s">
        <v>21</v>
      </c>
      <c r="S2030" s="50" t="str">
        <f t="shared" si="95"/>
        <v>Bob-West</v>
      </c>
      <c r="T2030" s="59" t="str">
        <f>IF(ROUND(sales_data_1[[#This Row],[Profit_Margin]],2)=ROUND((sales_data_1[[#This Row],[Unit_Price]]*(1-sales_data_1[[#This Row],[Discount]]) - sales_data_1[[#This Row],[Unit_Cost]])*sales_data_1[[#This Row],[Quantity_Sold]],2), "PASS", "CHECK")</f>
        <v>PASS</v>
      </c>
    </row>
    <row r="2031" spans="1:20" x14ac:dyDescent="0.35">
      <c r="A2031" s="7">
        <v>2030</v>
      </c>
      <c r="B2031" s="9">
        <v>1002</v>
      </c>
      <c r="C2031" s="14" t="str">
        <f>IFERROR(_xlfn.TEXTJOIN("-", TRUE, _xlfn.XLOOKUP(K2031, product_category_id_lookup!$A$2:$A$5, product_category_id_lookup!$B$2:$B$5), B2031), "Unknown Category")</f>
        <v>fnt-1002</v>
      </c>
      <c r="D2031" s="8">
        <v>45259</v>
      </c>
      <c r="E2031" s="14">
        <f t="shared" si="93"/>
        <v>2023</v>
      </c>
      <c r="F2031" s="29" t="str">
        <f t="shared" si="94"/>
        <v>Nov</v>
      </c>
      <c r="G2031" s="17" t="s">
        <v>22</v>
      </c>
      <c r="H2031" s="17" t="s">
        <v>15</v>
      </c>
      <c r="I2031" s="24">
        <v>83427.243563777331</v>
      </c>
      <c r="J2031" s="32">
        <v>24</v>
      </c>
      <c r="K2031" s="17" t="s">
        <v>16</v>
      </c>
      <c r="L2031" s="24">
        <v>3305.94</v>
      </c>
      <c r="M2031" s="24">
        <v>3599.27</v>
      </c>
      <c r="N2031" s="34">
        <f>((sales_data_1[[#This Row],[Unit_Price]]*(1-sales_data_1[[#This Row],[Discount]]))-sales_data_1[[#This Row],[Unit_Cost]])*sales_data_1[[#This Row],[Quantity_Sold]]</f>
        <v>4448.4455999999918</v>
      </c>
      <c r="O2031" s="17" t="s">
        <v>27</v>
      </c>
      <c r="P2031" s="26">
        <v>0.03</v>
      </c>
      <c r="Q2031" s="17" t="s">
        <v>28</v>
      </c>
      <c r="R2031" s="17" t="s">
        <v>21</v>
      </c>
      <c r="S2031" s="50" t="str">
        <f t="shared" si="95"/>
        <v>David-North</v>
      </c>
      <c r="T2031" s="59" t="str">
        <f>IF(ROUND(sales_data_1[[#This Row],[Profit_Margin]],2)=ROUND((sales_data_1[[#This Row],[Unit_Price]]*(1-sales_data_1[[#This Row],[Discount]]) - sales_data_1[[#This Row],[Unit_Cost]])*sales_data_1[[#This Row],[Quantity_Sold]],2), "PASS", "CHECK")</f>
        <v>PASS</v>
      </c>
    </row>
    <row r="2032" spans="1:20" x14ac:dyDescent="0.35">
      <c r="A2032" s="7">
        <v>2031</v>
      </c>
      <c r="B2032" s="9">
        <v>1082</v>
      </c>
      <c r="C2032" s="14" t="str">
        <f>IFERROR(_xlfn.TEXTJOIN("-", TRUE, _xlfn.XLOOKUP(K2032, product_category_id_lookup!$A$2:$A$5, product_category_id_lookup!$B$2:$B$5), B2032), "Unknown Category")</f>
        <v>etc-1082</v>
      </c>
      <c r="D2032" s="8">
        <v>45260</v>
      </c>
      <c r="E2032" s="14">
        <f t="shared" si="93"/>
        <v>2023</v>
      </c>
      <c r="F2032" s="29" t="str">
        <f t="shared" si="94"/>
        <v>Nov</v>
      </c>
      <c r="G2032" s="17" t="s">
        <v>33</v>
      </c>
      <c r="H2032" s="17" t="s">
        <v>23</v>
      </c>
      <c r="I2032" s="24">
        <v>57027.729304144013</v>
      </c>
      <c r="J2032" s="32">
        <v>41</v>
      </c>
      <c r="K2032" s="17" t="s">
        <v>31</v>
      </c>
      <c r="L2032" s="24">
        <v>1196.42</v>
      </c>
      <c r="M2032" s="24">
        <v>1444.97</v>
      </c>
      <c r="N2032" s="34">
        <f>((sales_data_1[[#This Row],[Unit_Price]]*(1-sales_data_1[[#This Row],[Discount]]))-sales_data_1[[#This Row],[Unit_Cost]])*sales_data_1[[#This Row],[Quantity_Sold]]</f>
        <v>7820.7991999999967</v>
      </c>
      <c r="O2032" s="17" t="s">
        <v>17</v>
      </c>
      <c r="P2032" s="26">
        <v>0.04</v>
      </c>
      <c r="Q2032" s="17" t="s">
        <v>25</v>
      </c>
      <c r="R2032" s="17" t="s">
        <v>19</v>
      </c>
      <c r="S2032" s="50" t="str">
        <f t="shared" si="95"/>
        <v>Alice-South</v>
      </c>
      <c r="T2032" s="59" t="str">
        <f>IF(ROUND(sales_data_1[[#This Row],[Profit_Margin]],2)=ROUND((sales_data_1[[#This Row],[Unit_Price]]*(1-sales_data_1[[#This Row],[Discount]]) - sales_data_1[[#This Row],[Unit_Cost]])*sales_data_1[[#This Row],[Quantity_Sold]],2), "PASS", "CHECK")</f>
        <v>PASS</v>
      </c>
    </row>
    <row r="2033" spans="1:20" x14ac:dyDescent="0.35">
      <c r="A2033" s="7">
        <v>2032</v>
      </c>
      <c r="B2033" s="9">
        <v>1096</v>
      </c>
      <c r="C2033" s="14" t="str">
        <f>IFERROR(_xlfn.TEXTJOIN("-", TRUE, _xlfn.XLOOKUP(K2033, product_category_id_lookup!$A$2:$A$5, product_category_id_lookup!$B$2:$B$5), B2033), "Unknown Category")</f>
        <v>fnt-1096</v>
      </c>
      <c r="D2033" s="8">
        <v>45261</v>
      </c>
      <c r="E2033" s="14">
        <f t="shared" si="93"/>
        <v>2023</v>
      </c>
      <c r="F2033" s="29" t="str">
        <f t="shared" si="94"/>
        <v>Dec</v>
      </c>
      <c r="G2033" s="17" t="s">
        <v>14</v>
      </c>
      <c r="H2033" s="17" t="s">
        <v>30</v>
      </c>
      <c r="I2033" s="24">
        <v>41209.644931951159</v>
      </c>
      <c r="J2033" s="32">
        <v>20</v>
      </c>
      <c r="K2033" s="17" t="s">
        <v>16</v>
      </c>
      <c r="L2033" s="24">
        <v>1994.9</v>
      </c>
      <c r="M2033" s="24">
        <v>2066.5</v>
      </c>
      <c r="N2033" s="34">
        <f>((sales_data_1[[#This Row],[Unit_Price]]*(1-sales_data_1[[#This Row],[Discount]]))-sales_data_1[[#This Row],[Unit_Cost]])*sales_data_1[[#This Row],[Quantity_Sold]]</f>
        <v>1431.9999999999982</v>
      </c>
      <c r="O2033" s="17" t="s">
        <v>17</v>
      </c>
      <c r="P2033" s="26">
        <v>0</v>
      </c>
      <c r="Q2033" s="17" t="s">
        <v>25</v>
      </c>
      <c r="R2033" s="17" t="s">
        <v>19</v>
      </c>
      <c r="S2033" s="50" t="str">
        <f t="shared" si="95"/>
        <v>Bob-East</v>
      </c>
      <c r="T2033" s="59" t="str">
        <f>IF(ROUND(sales_data_1[[#This Row],[Profit_Margin]],2)=ROUND((sales_data_1[[#This Row],[Unit_Price]]*(1-sales_data_1[[#This Row],[Discount]]) - sales_data_1[[#This Row],[Unit_Cost]])*sales_data_1[[#This Row],[Quantity_Sold]],2), "PASS", "CHECK")</f>
        <v>PASS</v>
      </c>
    </row>
    <row r="2034" spans="1:20" x14ac:dyDescent="0.35">
      <c r="A2034" s="7">
        <v>2033</v>
      </c>
      <c r="B2034" s="9">
        <v>1055</v>
      </c>
      <c r="C2034" s="14" t="str">
        <f>IFERROR(_xlfn.TEXTJOIN("-", TRUE, _xlfn.XLOOKUP(K2034, product_category_id_lookup!$A$2:$A$5, product_category_id_lookup!$B$2:$B$5), B2034), "Unknown Category")</f>
        <v>fnt-1055</v>
      </c>
      <c r="D2034" s="8">
        <v>45261</v>
      </c>
      <c r="E2034" s="14">
        <f t="shared" si="93"/>
        <v>2023</v>
      </c>
      <c r="F2034" s="29" t="str">
        <f t="shared" si="94"/>
        <v>Dec</v>
      </c>
      <c r="G2034" s="17" t="s">
        <v>29</v>
      </c>
      <c r="H2034" s="17" t="s">
        <v>20</v>
      </c>
      <c r="I2034" s="24">
        <v>30467.831450799327</v>
      </c>
      <c r="J2034" s="32">
        <v>8</v>
      </c>
      <c r="K2034" s="17" t="s">
        <v>16</v>
      </c>
      <c r="L2034" s="24">
        <v>3513</v>
      </c>
      <c r="M2034" s="24">
        <v>3838.42</v>
      </c>
      <c r="N2034" s="34">
        <f>((sales_data_1[[#This Row],[Unit_Price]]*(1-sales_data_1[[#This Row],[Discount]]))-sales_data_1[[#This Row],[Unit_Cost]])*sales_data_1[[#This Row],[Quantity_Sold]]</f>
        <v>2296.2864000000009</v>
      </c>
      <c r="O2034" s="17" t="s">
        <v>17</v>
      </c>
      <c r="P2034" s="26">
        <v>0.01</v>
      </c>
      <c r="Q2034" s="17" t="s">
        <v>25</v>
      </c>
      <c r="R2034" s="17" t="s">
        <v>19</v>
      </c>
      <c r="S2034" s="50" t="str">
        <f t="shared" si="95"/>
        <v>Charlie-West</v>
      </c>
      <c r="T2034" s="59" t="str">
        <f>IF(ROUND(sales_data_1[[#This Row],[Profit_Margin]],2)=ROUND((sales_data_1[[#This Row],[Unit_Price]]*(1-sales_data_1[[#This Row],[Discount]]) - sales_data_1[[#This Row],[Unit_Cost]])*sales_data_1[[#This Row],[Quantity_Sold]],2), "PASS", "CHECK")</f>
        <v>PASS</v>
      </c>
    </row>
    <row r="2035" spans="1:20" x14ac:dyDescent="0.35">
      <c r="A2035" s="7">
        <v>2034</v>
      </c>
      <c r="B2035" s="9">
        <v>1100</v>
      </c>
      <c r="C2035" s="14" t="str">
        <f>IFERROR(_xlfn.TEXTJOIN("-", TRUE, _xlfn.XLOOKUP(K2035, product_category_id_lookup!$A$2:$A$5, product_category_id_lookup!$B$2:$B$5), B2035), "Unknown Category")</f>
        <v>fnt-1100</v>
      </c>
      <c r="D2035" s="8">
        <v>45261</v>
      </c>
      <c r="E2035" s="14">
        <f t="shared" si="93"/>
        <v>2023</v>
      </c>
      <c r="F2035" s="29" t="str">
        <f t="shared" si="94"/>
        <v>Dec</v>
      </c>
      <c r="G2035" s="17" t="s">
        <v>33</v>
      </c>
      <c r="H2035" s="17" t="s">
        <v>30</v>
      </c>
      <c r="I2035" s="24">
        <v>183677.52</v>
      </c>
      <c r="J2035" s="32">
        <v>34</v>
      </c>
      <c r="K2035" s="17" t="s">
        <v>16</v>
      </c>
      <c r="L2035" s="24">
        <v>4991.09</v>
      </c>
      <c r="M2035" s="24">
        <v>5402.28</v>
      </c>
      <c r="N2035" s="34">
        <f>((sales_data_1[[#This Row],[Unit_Price]]*(1-sales_data_1[[#This Row],[Discount]]))-sales_data_1[[#This Row],[Unit_Cost]])*sales_data_1[[#This Row],[Quantity_Sold]]</f>
        <v>13980.459999999986</v>
      </c>
      <c r="O2035" s="17" t="s">
        <v>17</v>
      </c>
      <c r="P2035" s="26">
        <v>0</v>
      </c>
      <c r="Q2035" s="17" t="s">
        <v>18</v>
      </c>
      <c r="R2035" s="17" t="s">
        <v>21</v>
      </c>
      <c r="S2035" s="50" t="str">
        <f t="shared" si="95"/>
        <v>Alice-East</v>
      </c>
      <c r="T2035" s="59" t="str">
        <f>IF(ROUND(sales_data_1[[#This Row],[Profit_Margin]],2)=ROUND((sales_data_1[[#This Row],[Unit_Price]]*(1-sales_data_1[[#This Row],[Discount]]) - sales_data_1[[#This Row],[Unit_Cost]])*sales_data_1[[#This Row],[Quantity_Sold]],2), "PASS", "CHECK")</f>
        <v>PASS</v>
      </c>
    </row>
    <row r="2036" spans="1:20" x14ac:dyDescent="0.35">
      <c r="A2036" s="7">
        <v>2035</v>
      </c>
      <c r="B2036" s="9">
        <v>1073</v>
      </c>
      <c r="C2036" s="14" t="str">
        <f>IFERROR(_xlfn.TEXTJOIN("-", TRUE, _xlfn.XLOOKUP(K2036, product_category_id_lookup!$A$2:$A$5, product_category_id_lookup!$B$2:$B$5), B2036), "Unknown Category")</f>
        <v>fnt-1073</v>
      </c>
      <c r="D2036" s="8">
        <v>45261</v>
      </c>
      <c r="E2036" s="14">
        <f t="shared" si="93"/>
        <v>2023</v>
      </c>
      <c r="F2036" s="29" t="str">
        <f t="shared" si="94"/>
        <v>Dec</v>
      </c>
      <c r="G2036" s="17" t="s">
        <v>22</v>
      </c>
      <c r="H2036" s="17" t="s">
        <v>20</v>
      </c>
      <c r="I2036" s="24">
        <v>117646.52671861343</v>
      </c>
      <c r="J2036" s="32">
        <v>40</v>
      </c>
      <c r="K2036" s="17" t="s">
        <v>16</v>
      </c>
      <c r="L2036" s="24">
        <v>2565.3000000000002</v>
      </c>
      <c r="M2036" s="24">
        <v>3007.4700000000003</v>
      </c>
      <c r="N2036" s="34">
        <f>((sales_data_1[[#This Row],[Unit_Price]]*(1-sales_data_1[[#This Row],[Discount]]))-sales_data_1[[#This Row],[Unit_Cost]])*sales_data_1[[#This Row],[Quantity_Sold]]</f>
        <v>15280.823999999993</v>
      </c>
      <c r="O2036" s="17" t="s">
        <v>17</v>
      </c>
      <c r="P2036" s="26">
        <v>0.02</v>
      </c>
      <c r="Q2036" s="17" t="s">
        <v>28</v>
      </c>
      <c r="R2036" s="17" t="s">
        <v>21</v>
      </c>
      <c r="S2036" s="50" t="str">
        <f t="shared" si="95"/>
        <v>David-West</v>
      </c>
      <c r="T2036" s="59" t="str">
        <f>IF(ROUND(sales_data_1[[#This Row],[Profit_Margin]],2)=ROUND((sales_data_1[[#This Row],[Unit_Price]]*(1-sales_data_1[[#This Row],[Discount]]) - sales_data_1[[#This Row],[Unit_Cost]])*sales_data_1[[#This Row],[Quantity_Sold]],2), "PASS", "CHECK")</f>
        <v>PASS</v>
      </c>
    </row>
    <row r="2037" spans="1:20" x14ac:dyDescent="0.35">
      <c r="A2037" s="7">
        <v>2036</v>
      </c>
      <c r="B2037" s="9">
        <v>1077</v>
      </c>
      <c r="C2037" s="14" t="str">
        <f>IFERROR(_xlfn.TEXTJOIN("-", TRUE, _xlfn.XLOOKUP(K2037, product_category_id_lookup!$A$2:$A$5, product_category_id_lookup!$B$2:$B$5), B2037), "Unknown Category")</f>
        <v>etc-1077</v>
      </c>
      <c r="D2037" s="8">
        <v>45262</v>
      </c>
      <c r="E2037" s="14">
        <f t="shared" si="93"/>
        <v>2023</v>
      </c>
      <c r="F2037" s="29" t="str">
        <f t="shared" si="94"/>
        <v>Dec</v>
      </c>
      <c r="G2037" s="17" t="s">
        <v>22</v>
      </c>
      <c r="H2037" s="17" t="s">
        <v>30</v>
      </c>
      <c r="I2037" s="24">
        <v>56186.397118732471</v>
      </c>
      <c r="J2037" s="32">
        <v>24</v>
      </c>
      <c r="K2037" s="17" t="s">
        <v>31</v>
      </c>
      <c r="L2037" s="24">
        <v>2258.54</v>
      </c>
      <c r="M2037" s="24">
        <v>2439.4899999999998</v>
      </c>
      <c r="N2037" s="34">
        <f>((sales_data_1[[#This Row],[Unit_Price]]*(1-sales_data_1[[#This Row],[Discount]]))-sales_data_1[[#This Row],[Unit_Cost]])*sales_data_1[[#This Row],[Quantity_Sold]]</f>
        <v>2000.889599999995</v>
      </c>
      <c r="O2037" s="17" t="s">
        <v>17</v>
      </c>
      <c r="P2037" s="26">
        <v>0.04</v>
      </c>
      <c r="Q2037" s="17" t="s">
        <v>28</v>
      </c>
      <c r="R2037" s="17" t="s">
        <v>21</v>
      </c>
      <c r="S2037" s="50" t="str">
        <f t="shared" si="95"/>
        <v>David-East</v>
      </c>
      <c r="T2037" s="59" t="str">
        <f>IF(ROUND(sales_data_1[[#This Row],[Profit_Margin]],2)=ROUND((sales_data_1[[#This Row],[Unit_Price]]*(1-sales_data_1[[#This Row],[Discount]]) - sales_data_1[[#This Row],[Unit_Cost]])*sales_data_1[[#This Row],[Quantity_Sold]],2), "PASS", "CHECK")</f>
        <v>PASS</v>
      </c>
    </row>
    <row r="2038" spans="1:20" x14ac:dyDescent="0.35">
      <c r="A2038" s="7">
        <v>2037</v>
      </c>
      <c r="B2038" s="9">
        <v>1092</v>
      </c>
      <c r="C2038" s="14" t="str">
        <f>IFERROR(_xlfn.TEXTJOIN("-", TRUE, _xlfn.XLOOKUP(K2038, product_category_id_lookup!$A$2:$A$5, product_category_id_lookup!$B$2:$B$5), B2038), "Unknown Category")</f>
        <v>ctg-1092</v>
      </c>
      <c r="D2038" s="8">
        <v>45263</v>
      </c>
      <c r="E2038" s="14">
        <f t="shared" si="93"/>
        <v>2023</v>
      </c>
      <c r="F2038" s="29" t="str">
        <f t="shared" si="94"/>
        <v>Dec</v>
      </c>
      <c r="G2038" s="17" t="s">
        <v>22</v>
      </c>
      <c r="H2038" s="17" t="s">
        <v>30</v>
      </c>
      <c r="I2038" s="24">
        <v>3584.2014000000008</v>
      </c>
      <c r="J2038" s="32">
        <v>6</v>
      </c>
      <c r="K2038" s="17" t="s">
        <v>26</v>
      </c>
      <c r="L2038" s="24">
        <v>422.74</v>
      </c>
      <c r="M2038" s="24">
        <v>737.49</v>
      </c>
      <c r="N2038" s="34">
        <f>((sales_data_1[[#This Row],[Unit_Price]]*(1-sales_data_1[[#This Row],[Discount]]))-sales_data_1[[#This Row],[Unit_Cost]])*sales_data_1[[#This Row],[Quantity_Sold]]</f>
        <v>1047.7614000000005</v>
      </c>
      <c r="O2038" s="17" t="s">
        <v>17</v>
      </c>
      <c r="P2038" s="26">
        <v>0.19</v>
      </c>
      <c r="Q2038" s="17" t="s">
        <v>28</v>
      </c>
      <c r="R2038" s="17" t="s">
        <v>21</v>
      </c>
      <c r="S2038" s="50" t="str">
        <f t="shared" si="95"/>
        <v>David-East</v>
      </c>
      <c r="T2038" s="59" t="str">
        <f>IF(ROUND(sales_data_1[[#This Row],[Profit_Margin]],2)=ROUND((sales_data_1[[#This Row],[Unit_Price]]*(1-sales_data_1[[#This Row],[Discount]]) - sales_data_1[[#This Row],[Unit_Cost]])*sales_data_1[[#This Row],[Quantity_Sold]],2), "PASS", "CHECK")</f>
        <v>PASS</v>
      </c>
    </row>
    <row r="2039" spans="1:20" x14ac:dyDescent="0.35">
      <c r="A2039" s="7">
        <v>2038</v>
      </c>
      <c r="B2039" s="9">
        <v>1011</v>
      </c>
      <c r="C2039" s="14" t="str">
        <f>IFERROR(_xlfn.TEXTJOIN("-", TRUE, _xlfn.XLOOKUP(K2039, product_category_id_lookup!$A$2:$A$5, product_category_id_lookup!$B$2:$B$5), B2039), "Unknown Category")</f>
        <v>etc-1011</v>
      </c>
      <c r="D2039" s="8">
        <v>45263</v>
      </c>
      <c r="E2039" s="14">
        <f t="shared" si="93"/>
        <v>2023</v>
      </c>
      <c r="F2039" s="29" t="str">
        <f t="shared" si="94"/>
        <v>Dec</v>
      </c>
      <c r="G2039" s="17" t="s">
        <v>14</v>
      </c>
      <c r="H2039" s="17" t="s">
        <v>30</v>
      </c>
      <c r="I2039" s="24">
        <v>23620.812676790396</v>
      </c>
      <c r="J2039" s="32">
        <v>13</v>
      </c>
      <c r="K2039" s="17" t="s">
        <v>31</v>
      </c>
      <c r="L2039" s="24">
        <v>1442.69</v>
      </c>
      <c r="M2039" s="24">
        <v>1882.5700000000002</v>
      </c>
      <c r="N2039" s="34">
        <f>((sales_data_1[[#This Row],[Unit_Price]]*(1-sales_data_1[[#This Row],[Discount]]))-sales_data_1[[#This Row],[Unit_Cost]])*sales_data_1[[#This Row],[Quantity_Sold]]</f>
        <v>4984.2377000000006</v>
      </c>
      <c r="O2039" s="17" t="s">
        <v>17</v>
      </c>
      <c r="P2039" s="26">
        <v>0.03</v>
      </c>
      <c r="Q2039" s="17" t="s">
        <v>18</v>
      </c>
      <c r="R2039" s="17" t="s">
        <v>19</v>
      </c>
      <c r="S2039" s="50" t="str">
        <f t="shared" si="95"/>
        <v>Bob-East</v>
      </c>
      <c r="T2039" s="59" t="str">
        <f>IF(ROUND(sales_data_1[[#This Row],[Profit_Margin]],2)=ROUND((sales_data_1[[#This Row],[Unit_Price]]*(1-sales_data_1[[#This Row],[Discount]]) - sales_data_1[[#This Row],[Unit_Cost]])*sales_data_1[[#This Row],[Quantity_Sold]],2), "PASS", "CHECK")</f>
        <v>PASS</v>
      </c>
    </row>
    <row r="2040" spans="1:20" x14ac:dyDescent="0.35">
      <c r="A2040" s="7">
        <v>2039</v>
      </c>
      <c r="B2040" s="9">
        <v>1069</v>
      </c>
      <c r="C2040" s="14" t="str">
        <f>IFERROR(_xlfn.TEXTJOIN("-", TRUE, _xlfn.XLOOKUP(K2040, product_category_id_lookup!$A$2:$A$5, product_category_id_lookup!$B$2:$B$5), B2040), "Unknown Category")</f>
        <v>etc-1069</v>
      </c>
      <c r="D2040" s="8">
        <v>45263</v>
      </c>
      <c r="E2040" s="14">
        <f t="shared" si="93"/>
        <v>2023</v>
      </c>
      <c r="F2040" s="29" t="str">
        <f t="shared" si="94"/>
        <v>Dec</v>
      </c>
      <c r="G2040" s="17" t="s">
        <v>22</v>
      </c>
      <c r="H2040" s="17" t="s">
        <v>15</v>
      </c>
      <c r="I2040" s="24">
        <v>107927.52096745027</v>
      </c>
      <c r="J2040" s="32">
        <v>35</v>
      </c>
      <c r="K2040" s="17" t="s">
        <v>31</v>
      </c>
      <c r="L2040" s="24">
        <v>2885.16</v>
      </c>
      <c r="M2040" s="24">
        <v>3224.8399999999997</v>
      </c>
      <c r="N2040" s="34">
        <f>((sales_data_1[[#This Row],[Unit_Price]]*(1-sales_data_1[[#This Row],[Discount]]))-sales_data_1[[#This Row],[Unit_Cost]])*sales_data_1[[#This Row],[Quantity_Sold]]</f>
        <v>7374.0239999999858</v>
      </c>
      <c r="O2040" s="17" t="s">
        <v>27</v>
      </c>
      <c r="P2040" s="26">
        <v>0.04</v>
      </c>
      <c r="Q2040" s="17" t="s">
        <v>18</v>
      </c>
      <c r="R2040" s="17" t="s">
        <v>19</v>
      </c>
      <c r="S2040" s="50" t="str">
        <f t="shared" si="95"/>
        <v>David-North</v>
      </c>
      <c r="T2040" s="59" t="str">
        <f>IF(ROUND(sales_data_1[[#This Row],[Profit_Margin]],2)=ROUND((sales_data_1[[#This Row],[Unit_Price]]*(1-sales_data_1[[#This Row],[Discount]]) - sales_data_1[[#This Row],[Unit_Cost]])*sales_data_1[[#This Row],[Quantity_Sold]],2), "PASS", "CHECK")</f>
        <v>PASS</v>
      </c>
    </row>
    <row r="2041" spans="1:20" x14ac:dyDescent="0.35">
      <c r="A2041" s="7">
        <v>2040</v>
      </c>
      <c r="B2041" s="9">
        <v>1063</v>
      </c>
      <c r="C2041" s="14" t="str">
        <f>IFERROR(_xlfn.TEXTJOIN("-", TRUE, _xlfn.XLOOKUP(K2041, product_category_id_lookup!$A$2:$A$5, product_category_id_lookup!$B$2:$B$5), B2041), "Unknown Category")</f>
        <v>ctg-1063</v>
      </c>
      <c r="D2041" s="8">
        <v>45264</v>
      </c>
      <c r="E2041" s="14">
        <f t="shared" si="93"/>
        <v>2023</v>
      </c>
      <c r="F2041" s="29" t="str">
        <f t="shared" si="94"/>
        <v>Dec</v>
      </c>
      <c r="G2041" s="17" t="s">
        <v>22</v>
      </c>
      <c r="H2041" s="17" t="s">
        <v>23</v>
      </c>
      <c r="I2041" s="24">
        <v>34741.577276649601</v>
      </c>
      <c r="J2041" s="32">
        <v>14</v>
      </c>
      <c r="K2041" s="17" t="s">
        <v>26</v>
      </c>
      <c r="L2041" s="24">
        <v>2188.35</v>
      </c>
      <c r="M2041" s="24">
        <v>2605.3599999999997</v>
      </c>
      <c r="N2041" s="34">
        <f>((sales_data_1[[#This Row],[Unit_Price]]*(1-sales_data_1[[#This Row],[Discount]]))-sales_data_1[[#This Row],[Unit_Cost]])*sales_data_1[[#This Row],[Quantity_Sold]]</f>
        <v>4014.3879999999963</v>
      </c>
      <c r="O2041" s="17" t="s">
        <v>17</v>
      </c>
      <c r="P2041" s="26">
        <v>0.05</v>
      </c>
      <c r="Q2041" s="17" t="s">
        <v>28</v>
      </c>
      <c r="R2041" s="17" t="s">
        <v>21</v>
      </c>
      <c r="S2041" s="50" t="str">
        <f t="shared" si="95"/>
        <v>David-South</v>
      </c>
      <c r="T2041" s="59" t="str">
        <f>IF(ROUND(sales_data_1[[#This Row],[Profit_Margin]],2)=ROUND((sales_data_1[[#This Row],[Unit_Price]]*(1-sales_data_1[[#This Row],[Discount]]) - sales_data_1[[#This Row],[Unit_Cost]])*sales_data_1[[#This Row],[Quantity_Sold]],2), "PASS", "CHECK")</f>
        <v>PASS</v>
      </c>
    </row>
    <row r="2042" spans="1:20" x14ac:dyDescent="0.35">
      <c r="A2042" s="7">
        <v>2041</v>
      </c>
      <c r="B2042" s="9">
        <v>1014</v>
      </c>
      <c r="C2042" s="14" t="str">
        <f>IFERROR(_xlfn.TEXTJOIN("-", TRUE, _xlfn.XLOOKUP(K2042, product_category_id_lookup!$A$2:$A$5, product_category_id_lookup!$B$2:$B$5), B2042), "Unknown Category")</f>
        <v>fnt-1014</v>
      </c>
      <c r="D2042" s="8">
        <v>45264</v>
      </c>
      <c r="E2042" s="14">
        <f t="shared" si="93"/>
        <v>2023</v>
      </c>
      <c r="F2042" s="29" t="str">
        <f t="shared" si="94"/>
        <v>Dec</v>
      </c>
      <c r="G2042" s="17" t="s">
        <v>14</v>
      </c>
      <c r="H2042" s="17" t="s">
        <v>20</v>
      </c>
      <c r="I2042" s="24">
        <v>35247.807000000001</v>
      </c>
      <c r="J2042" s="32">
        <v>49</v>
      </c>
      <c r="K2042" s="17" t="s">
        <v>16</v>
      </c>
      <c r="L2042" s="24">
        <v>493.35</v>
      </c>
      <c r="M2042" s="24">
        <v>799.27</v>
      </c>
      <c r="N2042" s="34">
        <f>((sales_data_1[[#This Row],[Unit_Price]]*(1-sales_data_1[[#This Row],[Discount]]))-sales_data_1[[#This Row],[Unit_Cost]])*sales_data_1[[#This Row],[Quantity_Sold]]</f>
        <v>11073.656999999997</v>
      </c>
      <c r="O2042" s="17" t="s">
        <v>27</v>
      </c>
      <c r="P2042" s="26">
        <v>0.1</v>
      </c>
      <c r="Q2042" s="17" t="s">
        <v>25</v>
      </c>
      <c r="R2042" s="17" t="s">
        <v>19</v>
      </c>
      <c r="S2042" s="50" t="str">
        <f t="shared" si="95"/>
        <v>Bob-West</v>
      </c>
      <c r="T2042" s="59" t="str">
        <f>IF(ROUND(sales_data_1[[#This Row],[Profit_Margin]],2)=ROUND((sales_data_1[[#This Row],[Unit_Price]]*(1-sales_data_1[[#This Row],[Discount]]) - sales_data_1[[#This Row],[Unit_Cost]])*sales_data_1[[#This Row],[Quantity_Sold]],2), "PASS", "CHECK")</f>
        <v>PASS</v>
      </c>
    </row>
    <row r="2043" spans="1:20" x14ac:dyDescent="0.35">
      <c r="A2043" s="7">
        <v>2042</v>
      </c>
      <c r="B2043" s="9">
        <v>1094</v>
      </c>
      <c r="C2043" s="14" t="str">
        <f>IFERROR(_xlfn.TEXTJOIN("-", TRUE, _xlfn.XLOOKUP(K2043, product_category_id_lookup!$A$2:$A$5, product_category_id_lookup!$B$2:$B$5), B2043), "Unknown Category")</f>
        <v>fnt-1094</v>
      </c>
      <c r="D2043" s="8">
        <v>45265</v>
      </c>
      <c r="E2043" s="14">
        <f t="shared" si="93"/>
        <v>2023</v>
      </c>
      <c r="F2043" s="29" t="str">
        <f t="shared" si="94"/>
        <v>Dec</v>
      </c>
      <c r="G2043" s="17" t="s">
        <v>32</v>
      </c>
      <c r="H2043" s="17" t="s">
        <v>30</v>
      </c>
      <c r="I2043" s="24">
        <v>7226.58</v>
      </c>
      <c r="J2043" s="32">
        <v>12</v>
      </c>
      <c r="K2043" s="17" t="s">
        <v>16</v>
      </c>
      <c r="L2043" s="24">
        <v>333.32</v>
      </c>
      <c r="M2043" s="24">
        <v>700.25</v>
      </c>
      <c r="N2043" s="34">
        <f>((sales_data_1[[#This Row],[Unit_Price]]*(1-sales_data_1[[#This Row],[Discount]]))-sales_data_1[[#This Row],[Unit_Cost]])*sales_data_1[[#This Row],[Quantity_Sold]]</f>
        <v>3226.7400000000007</v>
      </c>
      <c r="O2043" s="17" t="s">
        <v>17</v>
      </c>
      <c r="P2043" s="26">
        <v>0.14000000000000001</v>
      </c>
      <c r="Q2043" s="17" t="s">
        <v>18</v>
      </c>
      <c r="R2043" s="17" t="s">
        <v>19</v>
      </c>
      <c r="S2043" s="50" t="str">
        <f t="shared" si="95"/>
        <v>Eve-East</v>
      </c>
      <c r="T2043" s="59" t="str">
        <f>IF(ROUND(sales_data_1[[#This Row],[Profit_Margin]],2)=ROUND((sales_data_1[[#This Row],[Unit_Price]]*(1-sales_data_1[[#This Row],[Discount]]) - sales_data_1[[#This Row],[Unit_Cost]])*sales_data_1[[#This Row],[Quantity_Sold]],2), "PASS", "CHECK")</f>
        <v>PASS</v>
      </c>
    </row>
    <row r="2044" spans="1:20" x14ac:dyDescent="0.35">
      <c r="A2044" s="7">
        <v>2043</v>
      </c>
      <c r="B2044" s="9">
        <v>1008</v>
      </c>
      <c r="C2044" s="14" t="str">
        <f>IFERROR(_xlfn.TEXTJOIN("-", TRUE, _xlfn.XLOOKUP(K2044, product_category_id_lookup!$A$2:$A$5, product_category_id_lookup!$B$2:$B$5), B2044), "Unknown Category")</f>
        <v>etc-1008</v>
      </c>
      <c r="D2044" s="8">
        <v>45265</v>
      </c>
      <c r="E2044" s="14">
        <f t="shared" si="93"/>
        <v>2023</v>
      </c>
      <c r="F2044" s="29" t="str">
        <f t="shared" si="94"/>
        <v>Dec</v>
      </c>
      <c r="G2044" s="17" t="s">
        <v>29</v>
      </c>
      <c r="H2044" s="17" t="s">
        <v>30</v>
      </c>
      <c r="I2044" s="24">
        <v>9504.4806000000008</v>
      </c>
      <c r="J2044" s="32">
        <v>27</v>
      </c>
      <c r="K2044" s="17" t="s">
        <v>31</v>
      </c>
      <c r="L2044" s="24">
        <v>68.989999999999995</v>
      </c>
      <c r="M2044" s="24">
        <v>429.29</v>
      </c>
      <c r="N2044" s="34">
        <f>((sales_data_1[[#This Row],[Unit_Price]]*(1-sales_data_1[[#This Row],[Discount]]))-sales_data_1[[#This Row],[Unit_Cost]])*sales_data_1[[#This Row],[Quantity_Sold]]</f>
        <v>7641.7506000000003</v>
      </c>
      <c r="O2044" s="17" t="s">
        <v>17</v>
      </c>
      <c r="P2044" s="26">
        <v>0.18</v>
      </c>
      <c r="Q2044" s="17" t="s">
        <v>28</v>
      </c>
      <c r="R2044" s="17" t="s">
        <v>21</v>
      </c>
      <c r="S2044" s="50" t="str">
        <f t="shared" si="95"/>
        <v>Charlie-East</v>
      </c>
      <c r="T2044" s="59" t="str">
        <f>IF(ROUND(sales_data_1[[#This Row],[Profit_Margin]],2)=ROUND((sales_data_1[[#This Row],[Unit_Price]]*(1-sales_data_1[[#This Row],[Discount]]) - sales_data_1[[#This Row],[Unit_Cost]])*sales_data_1[[#This Row],[Quantity_Sold]],2), "PASS", "CHECK")</f>
        <v>PASS</v>
      </c>
    </row>
    <row r="2045" spans="1:20" x14ac:dyDescent="0.35">
      <c r="A2045" s="7">
        <v>2044</v>
      </c>
      <c r="B2045" s="9">
        <v>1085</v>
      </c>
      <c r="C2045" s="14" t="str">
        <f>IFERROR(_xlfn.TEXTJOIN("-", TRUE, _xlfn.XLOOKUP(K2045, product_category_id_lookup!$A$2:$A$5, product_category_id_lookup!$B$2:$B$5), B2045), "Unknown Category")</f>
        <v>etc-1085</v>
      </c>
      <c r="D2045" s="8">
        <v>45266</v>
      </c>
      <c r="E2045" s="14">
        <f t="shared" si="93"/>
        <v>2023</v>
      </c>
      <c r="F2045" s="29" t="str">
        <f t="shared" si="94"/>
        <v>Dec</v>
      </c>
      <c r="G2045" s="17" t="s">
        <v>32</v>
      </c>
      <c r="H2045" s="17" t="s">
        <v>15</v>
      </c>
      <c r="I2045" s="24">
        <v>132058.89628833215</v>
      </c>
      <c r="J2045" s="32">
        <v>42</v>
      </c>
      <c r="K2045" s="17" t="s">
        <v>31</v>
      </c>
      <c r="L2045" s="24">
        <v>3117.75</v>
      </c>
      <c r="M2045" s="24">
        <v>3159.88</v>
      </c>
      <c r="N2045" s="34">
        <f>((sales_data_1[[#This Row],[Unit_Price]]*(1-sales_data_1[[#This Row],[Discount]]))-sales_data_1[[#This Row],[Unit_Cost]])*sales_data_1[[#This Row],[Quantity_Sold]]</f>
        <v>1769.4600000000046</v>
      </c>
      <c r="O2045" s="17" t="s">
        <v>27</v>
      </c>
      <c r="P2045" s="26">
        <v>0</v>
      </c>
      <c r="Q2045" s="17" t="s">
        <v>18</v>
      </c>
      <c r="R2045" s="17" t="s">
        <v>21</v>
      </c>
      <c r="S2045" s="50" t="str">
        <f t="shared" si="95"/>
        <v>Eve-North</v>
      </c>
      <c r="T2045" s="59" t="str">
        <f>IF(ROUND(sales_data_1[[#This Row],[Profit_Margin]],2)=ROUND((sales_data_1[[#This Row],[Unit_Price]]*(1-sales_data_1[[#This Row],[Discount]]) - sales_data_1[[#This Row],[Unit_Cost]])*sales_data_1[[#This Row],[Quantity_Sold]],2), "PASS", "CHECK")</f>
        <v>PASS</v>
      </c>
    </row>
    <row r="2046" spans="1:20" x14ac:dyDescent="0.35">
      <c r="A2046" s="7">
        <v>2045</v>
      </c>
      <c r="B2046" s="9">
        <v>1073</v>
      </c>
      <c r="C2046" s="14" t="str">
        <f>IFERROR(_xlfn.TEXTJOIN("-", TRUE, _xlfn.XLOOKUP(K2046, product_category_id_lookup!$A$2:$A$5, product_category_id_lookup!$B$2:$B$5), B2046), "Unknown Category")</f>
        <v>fd-1073</v>
      </c>
      <c r="D2046" s="8">
        <v>45266</v>
      </c>
      <c r="E2046" s="14">
        <f t="shared" si="93"/>
        <v>2023</v>
      </c>
      <c r="F2046" s="29" t="str">
        <f t="shared" si="94"/>
        <v>Dec</v>
      </c>
      <c r="G2046" s="17" t="s">
        <v>33</v>
      </c>
      <c r="H2046" s="17" t="s">
        <v>15</v>
      </c>
      <c r="I2046" s="24">
        <v>142605.32666289774</v>
      </c>
      <c r="J2046" s="32">
        <v>31</v>
      </c>
      <c r="K2046" s="17" t="s">
        <v>24</v>
      </c>
      <c r="L2046" s="24">
        <v>4368.97</v>
      </c>
      <c r="M2046" s="24">
        <v>4696.8500000000004</v>
      </c>
      <c r="N2046" s="34">
        <f>((sales_data_1[[#This Row],[Unit_Price]]*(1-sales_data_1[[#This Row],[Discount]]))-sales_data_1[[#This Row],[Unit_Cost]])*sales_data_1[[#This Row],[Quantity_Sold]]</f>
        <v>7252.2330000000065</v>
      </c>
      <c r="O2046" s="17" t="s">
        <v>17</v>
      </c>
      <c r="P2046" s="26">
        <v>0.02</v>
      </c>
      <c r="Q2046" s="17" t="s">
        <v>25</v>
      </c>
      <c r="R2046" s="17" t="s">
        <v>21</v>
      </c>
      <c r="S2046" s="50" t="str">
        <f t="shared" si="95"/>
        <v>Alice-North</v>
      </c>
      <c r="T2046" s="59" t="str">
        <f>IF(ROUND(sales_data_1[[#This Row],[Profit_Margin]],2)=ROUND((sales_data_1[[#This Row],[Unit_Price]]*(1-sales_data_1[[#This Row],[Discount]]) - sales_data_1[[#This Row],[Unit_Cost]])*sales_data_1[[#This Row],[Quantity_Sold]],2), "PASS", "CHECK")</f>
        <v>PASS</v>
      </c>
    </row>
    <row r="2047" spans="1:20" x14ac:dyDescent="0.35">
      <c r="A2047" s="7">
        <v>2046</v>
      </c>
      <c r="B2047" s="9">
        <v>1099</v>
      </c>
      <c r="C2047" s="14" t="str">
        <f>IFERROR(_xlfn.TEXTJOIN("-", TRUE, _xlfn.XLOOKUP(K2047, product_category_id_lookup!$A$2:$A$5, product_category_id_lookup!$B$2:$B$5), B2047), "Unknown Category")</f>
        <v>fnt-1099</v>
      </c>
      <c r="D2047" s="8">
        <v>45267</v>
      </c>
      <c r="E2047" s="14">
        <f t="shared" si="93"/>
        <v>2023</v>
      </c>
      <c r="F2047" s="29" t="str">
        <f t="shared" si="94"/>
        <v>Dec</v>
      </c>
      <c r="G2047" s="17" t="s">
        <v>14</v>
      </c>
      <c r="H2047" s="17" t="s">
        <v>30</v>
      </c>
      <c r="I2047" s="24">
        <v>54612.342399999994</v>
      </c>
      <c r="J2047" s="32">
        <v>22</v>
      </c>
      <c r="K2047" s="17" t="s">
        <v>16</v>
      </c>
      <c r="L2047" s="24">
        <v>2471.67</v>
      </c>
      <c r="M2047" s="24">
        <v>2533.04</v>
      </c>
      <c r="N2047" s="34">
        <f>((sales_data_1[[#This Row],[Unit_Price]]*(1-sales_data_1[[#This Row],[Discount]]))-sales_data_1[[#This Row],[Unit_Cost]])*sales_data_1[[#This Row],[Quantity_Sold]]</f>
        <v>235.60239999999521</v>
      </c>
      <c r="O2047" s="17" t="s">
        <v>17</v>
      </c>
      <c r="P2047" s="26">
        <v>0.02</v>
      </c>
      <c r="Q2047" s="17" t="s">
        <v>25</v>
      </c>
      <c r="R2047" s="17" t="s">
        <v>21</v>
      </c>
      <c r="S2047" s="50" t="str">
        <f t="shared" si="95"/>
        <v>Bob-East</v>
      </c>
      <c r="T2047" s="59" t="str">
        <f>IF(ROUND(sales_data_1[[#This Row],[Profit_Margin]],2)=ROUND((sales_data_1[[#This Row],[Unit_Price]]*(1-sales_data_1[[#This Row],[Discount]]) - sales_data_1[[#This Row],[Unit_Cost]])*sales_data_1[[#This Row],[Quantity_Sold]],2), "PASS", "CHECK")</f>
        <v>PASS</v>
      </c>
    </row>
    <row r="2048" spans="1:20" x14ac:dyDescent="0.35">
      <c r="A2048" s="7">
        <v>2047</v>
      </c>
      <c r="B2048" s="9">
        <v>1095</v>
      </c>
      <c r="C2048" s="14" t="str">
        <f>IFERROR(_xlfn.TEXTJOIN("-", TRUE, _xlfn.XLOOKUP(K2048, product_category_id_lookup!$A$2:$A$5, product_category_id_lookup!$B$2:$B$5), B2048), "Unknown Category")</f>
        <v>ctg-1095</v>
      </c>
      <c r="D2048" s="8">
        <v>45268</v>
      </c>
      <c r="E2048" s="14">
        <f t="shared" si="93"/>
        <v>2023</v>
      </c>
      <c r="F2048" s="29" t="str">
        <f t="shared" si="94"/>
        <v>Dec</v>
      </c>
      <c r="G2048" s="17" t="s">
        <v>32</v>
      </c>
      <c r="H2048" s="17" t="s">
        <v>30</v>
      </c>
      <c r="I2048" s="24">
        <v>13798.628605552818</v>
      </c>
      <c r="J2048" s="32">
        <v>4</v>
      </c>
      <c r="K2048" s="17" t="s">
        <v>26</v>
      </c>
      <c r="L2048" s="24">
        <v>3191.05</v>
      </c>
      <c r="M2048" s="24">
        <v>3555.3500000000004</v>
      </c>
      <c r="N2048" s="34">
        <f>((sales_data_1[[#This Row],[Unit_Price]]*(1-sales_data_1[[#This Row],[Discount]]))-sales_data_1[[#This Row],[Unit_Cost]])*sales_data_1[[#This Row],[Quantity_Sold]]</f>
        <v>1030.5580000000009</v>
      </c>
      <c r="O2048" s="17" t="s">
        <v>27</v>
      </c>
      <c r="P2048" s="26">
        <v>0.03</v>
      </c>
      <c r="Q2048" s="17" t="s">
        <v>28</v>
      </c>
      <c r="R2048" s="17" t="s">
        <v>19</v>
      </c>
      <c r="S2048" s="50" t="str">
        <f t="shared" si="95"/>
        <v>Eve-East</v>
      </c>
      <c r="T2048" s="59" t="str">
        <f>IF(ROUND(sales_data_1[[#This Row],[Profit_Margin]],2)=ROUND((sales_data_1[[#This Row],[Unit_Price]]*(1-sales_data_1[[#This Row],[Discount]]) - sales_data_1[[#This Row],[Unit_Cost]])*sales_data_1[[#This Row],[Quantity_Sold]],2), "PASS", "CHECK")</f>
        <v>PASS</v>
      </c>
    </row>
    <row r="2049" spans="1:20" x14ac:dyDescent="0.35">
      <c r="A2049" s="7">
        <v>2048</v>
      </c>
      <c r="B2049" s="9">
        <v>1008</v>
      </c>
      <c r="C2049" s="14" t="str">
        <f>IFERROR(_xlfn.TEXTJOIN("-", TRUE, _xlfn.XLOOKUP(K2049, product_category_id_lookup!$A$2:$A$5, product_category_id_lookup!$B$2:$B$5), B2049), "Unknown Category")</f>
        <v>etc-1008</v>
      </c>
      <c r="D2049" s="8">
        <v>45268</v>
      </c>
      <c r="E2049" s="14">
        <f t="shared" si="93"/>
        <v>2023</v>
      </c>
      <c r="F2049" s="29" t="str">
        <f t="shared" si="94"/>
        <v>Dec</v>
      </c>
      <c r="G2049" s="17" t="s">
        <v>33</v>
      </c>
      <c r="H2049" s="17" t="s">
        <v>23</v>
      </c>
      <c r="I2049" s="24">
        <v>144328.55429999999</v>
      </c>
      <c r="J2049" s="32">
        <v>49</v>
      </c>
      <c r="K2049" s="17" t="s">
        <v>31</v>
      </c>
      <c r="L2049" s="24">
        <v>2907.22</v>
      </c>
      <c r="M2049" s="24">
        <v>3385.6099999999997</v>
      </c>
      <c r="N2049" s="34">
        <f>((sales_data_1[[#This Row],[Unit_Price]]*(1-sales_data_1[[#This Row],[Discount]]))-sales_data_1[[#This Row],[Unit_Cost]])*sales_data_1[[#This Row],[Quantity_Sold]]</f>
        <v>1874.7742999999909</v>
      </c>
      <c r="O2049" s="17" t="s">
        <v>27</v>
      </c>
      <c r="P2049" s="26">
        <v>0.13</v>
      </c>
      <c r="Q2049" s="17" t="s">
        <v>18</v>
      </c>
      <c r="R2049" s="17" t="s">
        <v>19</v>
      </c>
      <c r="S2049" s="50" t="str">
        <f t="shared" si="95"/>
        <v>Alice-South</v>
      </c>
      <c r="T2049" s="59" t="str">
        <f>IF(ROUND(sales_data_1[[#This Row],[Profit_Margin]],2)=ROUND((sales_data_1[[#This Row],[Unit_Price]]*(1-sales_data_1[[#This Row],[Discount]]) - sales_data_1[[#This Row],[Unit_Cost]])*sales_data_1[[#This Row],[Quantity_Sold]],2), "PASS", "CHECK")</f>
        <v>PASS</v>
      </c>
    </row>
    <row r="2050" spans="1:20" x14ac:dyDescent="0.35">
      <c r="A2050" s="7">
        <v>2049</v>
      </c>
      <c r="B2050" s="9">
        <v>1031</v>
      </c>
      <c r="C2050" s="14" t="str">
        <f>IFERROR(_xlfn.TEXTJOIN("-", TRUE, _xlfn.XLOOKUP(K2050, product_category_id_lookup!$A$2:$A$5, product_category_id_lookup!$B$2:$B$5), B2050), "Unknown Category")</f>
        <v>fd-1031</v>
      </c>
      <c r="D2050" s="8">
        <v>45268</v>
      </c>
      <c r="E2050" s="14">
        <f t="shared" ref="E2050:E2113" si="96">YEAR(D2050)</f>
        <v>2023</v>
      </c>
      <c r="F2050" s="29" t="str">
        <f t="shared" ref="F2050:F2113" si="97">LEFT(TEXT(D2050,"mmmm"),3)</f>
        <v>Dec</v>
      </c>
      <c r="G2050" s="17" t="s">
        <v>22</v>
      </c>
      <c r="H2050" s="17" t="s">
        <v>15</v>
      </c>
      <c r="I2050" s="24">
        <v>95713.452286452797</v>
      </c>
      <c r="J2050" s="32">
        <v>22</v>
      </c>
      <c r="K2050" s="17" t="s">
        <v>24</v>
      </c>
      <c r="L2050" s="24">
        <v>4236.05</v>
      </c>
      <c r="M2050" s="24">
        <v>4382.3200000000006</v>
      </c>
      <c r="N2050" s="34">
        <f>((sales_data_1[[#This Row],[Unit_Price]]*(1-sales_data_1[[#This Row],[Discount]]))-sales_data_1[[#This Row],[Unit_Cost]])*sales_data_1[[#This Row],[Quantity_Sold]]</f>
        <v>2253.8296000000137</v>
      </c>
      <c r="O2050" s="17" t="s">
        <v>27</v>
      </c>
      <c r="P2050" s="26">
        <v>0.01</v>
      </c>
      <c r="Q2050" s="17" t="s">
        <v>25</v>
      </c>
      <c r="R2050" s="17" t="s">
        <v>19</v>
      </c>
      <c r="S2050" s="50" t="str">
        <f t="shared" ref="S2050:S2113" si="98">_xlfn.CONCAT(G2050,"-",H2050)</f>
        <v>David-North</v>
      </c>
      <c r="T2050" s="59" t="str">
        <f>IF(ROUND(sales_data_1[[#This Row],[Profit_Margin]],2)=ROUND((sales_data_1[[#This Row],[Unit_Price]]*(1-sales_data_1[[#This Row],[Discount]]) - sales_data_1[[#This Row],[Unit_Cost]])*sales_data_1[[#This Row],[Quantity_Sold]],2), "PASS", "CHECK")</f>
        <v>PASS</v>
      </c>
    </row>
    <row r="2051" spans="1:20" x14ac:dyDescent="0.35">
      <c r="A2051" s="7">
        <v>2050</v>
      </c>
      <c r="B2051" s="9">
        <v>1036</v>
      </c>
      <c r="C2051" s="14" t="str">
        <f>IFERROR(_xlfn.TEXTJOIN("-", TRUE, _xlfn.XLOOKUP(K2051, product_category_id_lookup!$A$2:$A$5, product_category_id_lookup!$B$2:$B$5), B2051), "Unknown Category")</f>
        <v>fd-1036</v>
      </c>
      <c r="D2051" s="8">
        <v>45270</v>
      </c>
      <c r="E2051" s="14">
        <f t="shared" si="96"/>
        <v>2023</v>
      </c>
      <c r="F2051" s="29" t="str">
        <f t="shared" si="97"/>
        <v>Dec</v>
      </c>
      <c r="G2051" s="17" t="s">
        <v>22</v>
      </c>
      <c r="H2051" s="17" t="s">
        <v>15</v>
      </c>
      <c r="I2051" s="24">
        <v>21038.605</v>
      </c>
      <c r="J2051" s="32">
        <v>7</v>
      </c>
      <c r="K2051" s="17" t="s">
        <v>24</v>
      </c>
      <c r="L2051" s="24">
        <v>2882.25</v>
      </c>
      <c r="M2051" s="24">
        <v>3163.7</v>
      </c>
      <c r="N2051" s="34">
        <f>((sales_data_1[[#This Row],[Unit_Price]]*(1-sales_data_1[[#This Row],[Discount]]))-sales_data_1[[#This Row],[Unit_Cost]])*sales_data_1[[#This Row],[Quantity_Sold]]</f>
        <v>862.85499999999911</v>
      </c>
      <c r="O2051" s="17" t="s">
        <v>17</v>
      </c>
      <c r="P2051" s="26">
        <v>0.05</v>
      </c>
      <c r="Q2051" s="17" t="s">
        <v>18</v>
      </c>
      <c r="R2051" s="17" t="s">
        <v>21</v>
      </c>
      <c r="S2051" s="50" t="str">
        <f t="shared" si="98"/>
        <v>David-North</v>
      </c>
      <c r="T2051" s="59" t="str">
        <f>IF(ROUND(sales_data_1[[#This Row],[Profit_Margin]],2)=ROUND((sales_data_1[[#This Row],[Unit_Price]]*(1-sales_data_1[[#This Row],[Discount]]) - sales_data_1[[#This Row],[Unit_Cost]])*sales_data_1[[#This Row],[Quantity_Sold]],2), "PASS", "CHECK")</f>
        <v>PASS</v>
      </c>
    </row>
    <row r="2052" spans="1:20" x14ac:dyDescent="0.35">
      <c r="A2052" s="7">
        <v>2051</v>
      </c>
      <c r="B2052" s="9">
        <v>1062</v>
      </c>
      <c r="C2052" s="14" t="str">
        <f>IFERROR(_xlfn.TEXTJOIN("-", TRUE, _xlfn.XLOOKUP(K2052, product_category_id_lookup!$A$2:$A$5, product_category_id_lookup!$B$2:$B$5), B2052), "Unknown Category")</f>
        <v>etc-1062</v>
      </c>
      <c r="D2052" s="8">
        <v>45270</v>
      </c>
      <c r="E2052" s="14">
        <f t="shared" si="96"/>
        <v>2023</v>
      </c>
      <c r="F2052" s="29" t="str">
        <f t="shared" si="97"/>
        <v>Dec</v>
      </c>
      <c r="G2052" s="17" t="s">
        <v>22</v>
      </c>
      <c r="H2052" s="17" t="s">
        <v>20</v>
      </c>
      <c r="I2052" s="24">
        <v>13974.93993894618</v>
      </c>
      <c r="J2052" s="32">
        <v>11</v>
      </c>
      <c r="K2052" s="17" t="s">
        <v>31</v>
      </c>
      <c r="L2052" s="24">
        <v>1190.08</v>
      </c>
      <c r="M2052" s="24">
        <v>1292.9399999999998</v>
      </c>
      <c r="N2052" s="34">
        <f>((sales_data_1[[#This Row],[Unit_Price]]*(1-sales_data_1[[#This Row],[Discount]]))-sales_data_1[[#This Row],[Unit_Cost]])*sales_data_1[[#This Row],[Quantity_Sold]]</f>
        <v>847.01319999999919</v>
      </c>
      <c r="O2052" s="17" t="s">
        <v>17</v>
      </c>
      <c r="P2052" s="26">
        <v>0.02</v>
      </c>
      <c r="Q2052" s="17" t="s">
        <v>18</v>
      </c>
      <c r="R2052" s="17" t="s">
        <v>21</v>
      </c>
      <c r="S2052" s="50" t="str">
        <f t="shared" si="98"/>
        <v>David-West</v>
      </c>
      <c r="T2052" s="59" t="str">
        <f>IF(ROUND(sales_data_1[[#This Row],[Profit_Margin]],2)=ROUND((sales_data_1[[#This Row],[Unit_Price]]*(1-sales_data_1[[#This Row],[Discount]]) - sales_data_1[[#This Row],[Unit_Cost]])*sales_data_1[[#This Row],[Quantity_Sold]],2), "PASS", "CHECK")</f>
        <v>PASS</v>
      </c>
    </row>
    <row r="2053" spans="1:20" x14ac:dyDescent="0.35">
      <c r="A2053" s="7">
        <v>2052</v>
      </c>
      <c r="B2053" s="9">
        <v>1098</v>
      </c>
      <c r="C2053" s="14" t="str">
        <f>IFERROR(_xlfn.TEXTJOIN("-", TRUE, _xlfn.XLOOKUP(K2053, product_category_id_lookup!$A$2:$A$5, product_category_id_lookup!$B$2:$B$5), B2053), "Unknown Category")</f>
        <v>etc-1098</v>
      </c>
      <c r="D2053" s="8">
        <v>45270</v>
      </c>
      <c r="E2053" s="14">
        <f t="shared" si="96"/>
        <v>2023</v>
      </c>
      <c r="F2053" s="29" t="str">
        <f t="shared" si="97"/>
        <v>Dec</v>
      </c>
      <c r="G2053" s="17" t="s">
        <v>32</v>
      </c>
      <c r="H2053" s="17" t="s">
        <v>30</v>
      </c>
      <c r="I2053" s="24">
        <v>110145.7504</v>
      </c>
      <c r="J2053" s="32">
        <v>28</v>
      </c>
      <c r="K2053" s="17" t="s">
        <v>31</v>
      </c>
      <c r="L2053" s="24">
        <v>3895.62</v>
      </c>
      <c r="M2053" s="24">
        <v>4055.44</v>
      </c>
      <c r="N2053" s="34">
        <f>((sales_data_1[[#This Row],[Unit_Price]]*(1-sales_data_1[[#This Row],[Discount]]))-sales_data_1[[#This Row],[Unit_Cost]])*sales_data_1[[#This Row],[Quantity_Sold]]</f>
        <v>1068.3904000000057</v>
      </c>
      <c r="O2053" s="17" t="s">
        <v>27</v>
      </c>
      <c r="P2053" s="26">
        <v>0.03</v>
      </c>
      <c r="Q2053" s="17" t="s">
        <v>25</v>
      </c>
      <c r="R2053" s="17" t="s">
        <v>21</v>
      </c>
      <c r="S2053" s="50" t="str">
        <f t="shared" si="98"/>
        <v>Eve-East</v>
      </c>
      <c r="T2053" s="59" t="str">
        <f>IF(ROUND(sales_data_1[[#This Row],[Profit_Margin]],2)=ROUND((sales_data_1[[#This Row],[Unit_Price]]*(1-sales_data_1[[#This Row],[Discount]]) - sales_data_1[[#This Row],[Unit_Cost]])*sales_data_1[[#This Row],[Quantity_Sold]],2), "PASS", "CHECK")</f>
        <v>PASS</v>
      </c>
    </row>
    <row r="2054" spans="1:20" x14ac:dyDescent="0.35">
      <c r="A2054" s="7">
        <v>2053</v>
      </c>
      <c r="B2054" s="9">
        <v>1037</v>
      </c>
      <c r="C2054" s="14" t="str">
        <f>IFERROR(_xlfn.TEXTJOIN("-", TRUE, _xlfn.XLOOKUP(K2054, product_category_id_lookup!$A$2:$A$5, product_category_id_lookup!$B$2:$B$5), B2054), "Unknown Category")</f>
        <v>etc-1037</v>
      </c>
      <c r="D2054" s="8">
        <v>45270</v>
      </c>
      <c r="E2054" s="14">
        <f t="shared" si="96"/>
        <v>2023</v>
      </c>
      <c r="F2054" s="29" t="str">
        <f t="shared" si="97"/>
        <v>Dec</v>
      </c>
      <c r="G2054" s="17" t="s">
        <v>14</v>
      </c>
      <c r="H2054" s="17" t="s">
        <v>15</v>
      </c>
      <c r="I2054" s="24">
        <v>84612.716800000009</v>
      </c>
      <c r="J2054" s="32">
        <v>32</v>
      </c>
      <c r="K2054" s="17" t="s">
        <v>31</v>
      </c>
      <c r="L2054" s="24">
        <v>2594.08</v>
      </c>
      <c r="M2054" s="24">
        <v>3074.59</v>
      </c>
      <c r="N2054" s="34">
        <f>((sales_data_1[[#This Row],[Unit_Price]]*(1-sales_data_1[[#This Row],[Discount]]))-sales_data_1[[#This Row],[Unit_Cost]])*sales_data_1[[#This Row],[Quantity_Sold]]</f>
        <v>1602.1568000000116</v>
      </c>
      <c r="O2054" s="17" t="s">
        <v>27</v>
      </c>
      <c r="P2054" s="26">
        <v>0.14000000000000001</v>
      </c>
      <c r="Q2054" s="17" t="s">
        <v>18</v>
      </c>
      <c r="R2054" s="17" t="s">
        <v>21</v>
      </c>
      <c r="S2054" s="50" t="str">
        <f t="shared" si="98"/>
        <v>Bob-North</v>
      </c>
      <c r="T2054" s="59" t="str">
        <f>IF(ROUND(sales_data_1[[#This Row],[Profit_Margin]],2)=ROUND((sales_data_1[[#This Row],[Unit_Price]]*(1-sales_data_1[[#This Row],[Discount]]) - sales_data_1[[#This Row],[Unit_Cost]])*sales_data_1[[#This Row],[Quantity_Sold]],2), "PASS", "CHECK")</f>
        <v>PASS</v>
      </c>
    </row>
    <row r="2055" spans="1:20" x14ac:dyDescent="0.35">
      <c r="A2055" s="7">
        <v>2054</v>
      </c>
      <c r="B2055" s="9">
        <v>1020</v>
      </c>
      <c r="C2055" s="14" t="str">
        <f>IFERROR(_xlfn.TEXTJOIN("-", TRUE, _xlfn.XLOOKUP(K2055, product_category_id_lookup!$A$2:$A$5, product_category_id_lookup!$B$2:$B$5), B2055), "Unknown Category")</f>
        <v>etc-1020</v>
      </c>
      <c r="D2055" s="8">
        <v>45270</v>
      </c>
      <c r="E2055" s="14">
        <f t="shared" si="96"/>
        <v>2023</v>
      </c>
      <c r="F2055" s="29" t="str">
        <f t="shared" si="97"/>
        <v>Dec</v>
      </c>
      <c r="G2055" s="17" t="s">
        <v>14</v>
      </c>
      <c r="H2055" s="17" t="s">
        <v>15</v>
      </c>
      <c r="I2055" s="24">
        <v>201772.20186080592</v>
      </c>
      <c r="J2055" s="32">
        <v>45</v>
      </c>
      <c r="K2055" s="17" t="s">
        <v>31</v>
      </c>
      <c r="L2055" s="24">
        <v>4268.45</v>
      </c>
      <c r="M2055" s="24">
        <v>4551.5999999999995</v>
      </c>
      <c r="N2055" s="34">
        <f>((sales_data_1[[#This Row],[Unit_Price]]*(1-sales_data_1[[#This Row],[Discount]]))-sales_data_1[[#This Row],[Unit_Cost]])*sales_data_1[[#This Row],[Quantity_Sold]]</f>
        <v>10693.53</v>
      </c>
      <c r="O2055" s="17" t="s">
        <v>27</v>
      </c>
      <c r="P2055" s="26">
        <v>0.01</v>
      </c>
      <c r="Q2055" s="17" t="s">
        <v>25</v>
      </c>
      <c r="R2055" s="17" t="s">
        <v>19</v>
      </c>
      <c r="S2055" s="50" t="str">
        <f t="shared" si="98"/>
        <v>Bob-North</v>
      </c>
      <c r="T2055" s="59" t="str">
        <f>IF(ROUND(sales_data_1[[#This Row],[Profit_Margin]],2)=ROUND((sales_data_1[[#This Row],[Unit_Price]]*(1-sales_data_1[[#This Row],[Discount]]) - sales_data_1[[#This Row],[Unit_Cost]])*sales_data_1[[#This Row],[Quantity_Sold]],2), "PASS", "CHECK")</f>
        <v>PASS</v>
      </c>
    </row>
    <row r="2056" spans="1:20" x14ac:dyDescent="0.35">
      <c r="A2056" s="7">
        <v>2055</v>
      </c>
      <c r="B2056" s="9">
        <v>1045</v>
      </c>
      <c r="C2056" s="14" t="str">
        <f>IFERROR(_xlfn.TEXTJOIN("-", TRUE, _xlfn.XLOOKUP(K2056, product_category_id_lookup!$A$2:$A$5, product_category_id_lookup!$B$2:$B$5), B2056), "Unknown Category")</f>
        <v>ctg-1045</v>
      </c>
      <c r="D2056" s="8">
        <v>45271</v>
      </c>
      <c r="E2056" s="14">
        <f t="shared" si="96"/>
        <v>2023</v>
      </c>
      <c r="F2056" s="29" t="str">
        <f t="shared" si="97"/>
        <v>Dec</v>
      </c>
      <c r="G2056" s="17" t="s">
        <v>33</v>
      </c>
      <c r="H2056" s="17" t="s">
        <v>20</v>
      </c>
      <c r="I2056" s="24">
        <v>12678.701200000001</v>
      </c>
      <c r="J2056" s="32">
        <v>22</v>
      </c>
      <c r="K2056" s="17" t="s">
        <v>26</v>
      </c>
      <c r="L2056" s="24">
        <v>241.85</v>
      </c>
      <c r="M2056" s="24">
        <v>613.09</v>
      </c>
      <c r="N2056" s="34">
        <f>((sales_data_1[[#This Row],[Unit_Price]]*(1-sales_data_1[[#This Row],[Discount]]))-sales_data_1[[#This Row],[Unit_Cost]])*sales_data_1[[#This Row],[Quantity_Sold]]</f>
        <v>7358.0012000000006</v>
      </c>
      <c r="O2056" s="17" t="s">
        <v>17</v>
      </c>
      <c r="P2056" s="26">
        <v>0.06</v>
      </c>
      <c r="Q2056" s="17" t="s">
        <v>18</v>
      </c>
      <c r="R2056" s="17" t="s">
        <v>19</v>
      </c>
      <c r="S2056" s="50" t="str">
        <f t="shared" si="98"/>
        <v>Alice-West</v>
      </c>
      <c r="T2056" s="59" t="str">
        <f>IF(ROUND(sales_data_1[[#This Row],[Profit_Margin]],2)=ROUND((sales_data_1[[#This Row],[Unit_Price]]*(1-sales_data_1[[#This Row],[Discount]]) - sales_data_1[[#This Row],[Unit_Cost]])*sales_data_1[[#This Row],[Quantity_Sold]],2), "PASS", "CHECK")</f>
        <v>PASS</v>
      </c>
    </row>
    <row r="2057" spans="1:20" x14ac:dyDescent="0.35">
      <c r="A2057" s="7">
        <v>2056</v>
      </c>
      <c r="B2057" s="9">
        <v>1051</v>
      </c>
      <c r="C2057" s="14" t="str">
        <f>IFERROR(_xlfn.TEXTJOIN("-", TRUE, _xlfn.XLOOKUP(K2057, product_category_id_lookup!$A$2:$A$5, product_category_id_lookup!$B$2:$B$5), B2057), "Unknown Category")</f>
        <v>ctg-1051</v>
      </c>
      <c r="D2057" s="8">
        <v>45272</v>
      </c>
      <c r="E2057" s="14">
        <f t="shared" si="96"/>
        <v>2023</v>
      </c>
      <c r="F2057" s="29" t="str">
        <f t="shared" si="97"/>
        <v>Dec</v>
      </c>
      <c r="G2057" s="17" t="s">
        <v>32</v>
      </c>
      <c r="H2057" s="17" t="s">
        <v>15</v>
      </c>
      <c r="I2057" s="24">
        <v>5070.1440000000002</v>
      </c>
      <c r="J2057" s="32">
        <v>8</v>
      </c>
      <c r="K2057" s="17" t="s">
        <v>26</v>
      </c>
      <c r="L2057" s="24">
        <v>467.11</v>
      </c>
      <c r="M2057" s="24">
        <v>792.21</v>
      </c>
      <c r="N2057" s="34">
        <f>((sales_data_1[[#This Row],[Unit_Price]]*(1-sales_data_1[[#This Row],[Discount]]))-sales_data_1[[#This Row],[Unit_Cost]])*sales_data_1[[#This Row],[Quantity_Sold]]</f>
        <v>1333.2640000000001</v>
      </c>
      <c r="O2057" s="17" t="s">
        <v>27</v>
      </c>
      <c r="P2057" s="26">
        <v>0.2</v>
      </c>
      <c r="Q2057" s="17" t="s">
        <v>28</v>
      </c>
      <c r="R2057" s="17" t="s">
        <v>19</v>
      </c>
      <c r="S2057" s="50" t="str">
        <f t="shared" si="98"/>
        <v>Eve-North</v>
      </c>
      <c r="T2057" s="59" t="str">
        <f>IF(ROUND(sales_data_1[[#This Row],[Profit_Margin]],2)=ROUND((sales_data_1[[#This Row],[Unit_Price]]*(1-sales_data_1[[#This Row],[Discount]]) - sales_data_1[[#This Row],[Unit_Cost]])*sales_data_1[[#This Row],[Quantity_Sold]],2), "PASS", "CHECK")</f>
        <v>PASS</v>
      </c>
    </row>
    <row r="2058" spans="1:20" x14ac:dyDescent="0.35">
      <c r="A2058" s="7">
        <v>2057</v>
      </c>
      <c r="B2058" s="9">
        <v>1053</v>
      </c>
      <c r="C2058" s="14" t="str">
        <f>IFERROR(_xlfn.TEXTJOIN("-", TRUE, _xlfn.XLOOKUP(K2058, product_category_id_lookup!$A$2:$A$5, product_category_id_lookup!$B$2:$B$5), B2058), "Unknown Category")</f>
        <v>etc-1053</v>
      </c>
      <c r="D2058" s="8">
        <v>45272</v>
      </c>
      <c r="E2058" s="14">
        <f t="shared" si="96"/>
        <v>2023</v>
      </c>
      <c r="F2058" s="29" t="str">
        <f t="shared" si="97"/>
        <v>Dec</v>
      </c>
      <c r="G2058" s="17" t="s">
        <v>33</v>
      </c>
      <c r="H2058" s="17" t="s">
        <v>23</v>
      </c>
      <c r="I2058" s="24">
        <v>172396.11532501967</v>
      </c>
      <c r="J2058" s="32">
        <v>47</v>
      </c>
      <c r="K2058" s="17" t="s">
        <v>31</v>
      </c>
      <c r="L2058" s="24">
        <v>3551.76</v>
      </c>
      <c r="M2058" s="24">
        <v>3696.1000000000004</v>
      </c>
      <c r="N2058" s="34">
        <f>((sales_data_1[[#This Row],[Unit_Price]]*(1-sales_data_1[[#This Row],[Discount]]))-sales_data_1[[#This Row],[Unit_Cost]])*sales_data_1[[#This Row],[Quantity_Sold]]</f>
        <v>5046.8129999999956</v>
      </c>
      <c r="O2058" s="17" t="s">
        <v>17</v>
      </c>
      <c r="P2058" s="26">
        <v>0.01</v>
      </c>
      <c r="Q2058" s="17" t="s">
        <v>25</v>
      </c>
      <c r="R2058" s="17" t="s">
        <v>21</v>
      </c>
      <c r="S2058" s="50" t="str">
        <f t="shared" si="98"/>
        <v>Alice-South</v>
      </c>
      <c r="T2058" s="59" t="str">
        <f>IF(ROUND(sales_data_1[[#This Row],[Profit_Margin]],2)=ROUND((sales_data_1[[#This Row],[Unit_Price]]*(1-sales_data_1[[#This Row],[Discount]]) - sales_data_1[[#This Row],[Unit_Cost]])*sales_data_1[[#This Row],[Quantity_Sold]],2), "PASS", "CHECK")</f>
        <v>PASS</v>
      </c>
    </row>
    <row r="2059" spans="1:20" x14ac:dyDescent="0.35">
      <c r="A2059" s="7">
        <v>2058</v>
      </c>
      <c r="B2059" s="9">
        <v>1070</v>
      </c>
      <c r="C2059" s="14" t="str">
        <f>IFERROR(_xlfn.TEXTJOIN("-", TRUE, _xlfn.XLOOKUP(K2059, product_category_id_lookup!$A$2:$A$5, product_category_id_lookup!$B$2:$B$5), B2059), "Unknown Category")</f>
        <v>ctg-1070</v>
      </c>
      <c r="D2059" s="8">
        <v>45273</v>
      </c>
      <c r="E2059" s="14">
        <f t="shared" si="96"/>
        <v>2023</v>
      </c>
      <c r="F2059" s="29" t="str">
        <f t="shared" si="97"/>
        <v>Dec</v>
      </c>
      <c r="G2059" s="17" t="s">
        <v>33</v>
      </c>
      <c r="H2059" s="17" t="s">
        <v>20</v>
      </c>
      <c r="I2059" s="24">
        <v>32311.502323347417</v>
      </c>
      <c r="J2059" s="32">
        <v>8</v>
      </c>
      <c r="K2059" s="17" t="s">
        <v>26</v>
      </c>
      <c r="L2059" s="24">
        <v>3762.27</v>
      </c>
      <c r="M2059" s="24">
        <v>4166.95</v>
      </c>
      <c r="N2059" s="34">
        <f>((sales_data_1[[#This Row],[Unit_Price]]*(1-sales_data_1[[#This Row],[Discount]]))-sales_data_1[[#This Row],[Unit_Cost]])*sales_data_1[[#This Row],[Quantity_Sold]]</f>
        <v>2237.3719999999994</v>
      </c>
      <c r="O2059" s="17" t="s">
        <v>17</v>
      </c>
      <c r="P2059" s="26">
        <v>0.03</v>
      </c>
      <c r="Q2059" s="17" t="s">
        <v>25</v>
      </c>
      <c r="R2059" s="17" t="s">
        <v>19</v>
      </c>
      <c r="S2059" s="50" t="str">
        <f t="shared" si="98"/>
        <v>Alice-West</v>
      </c>
      <c r="T2059" s="59" t="str">
        <f>IF(ROUND(sales_data_1[[#This Row],[Profit_Margin]],2)=ROUND((sales_data_1[[#This Row],[Unit_Price]]*(1-sales_data_1[[#This Row],[Discount]]) - sales_data_1[[#This Row],[Unit_Cost]])*sales_data_1[[#This Row],[Quantity_Sold]],2), "PASS", "CHECK")</f>
        <v>PASS</v>
      </c>
    </row>
    <row r="2060" spans="1:20" x14ac:dyDescent="0.35">
      <c r="A2060" s="7">
        <v>2059</v>
      </c>
      <c r="B2060" s="9">
        <v>1092</v>
      </c>
      <c r="C2060" s="14" t="str">
        <f>IFERROR(_xlfn.TEXTJOIN("-", TRUE, _xlfn.XLOOKUP(K2060, product_category_id_lookup!$A$2:$A$5, product_category_id_lookup!$B$2:$B$5), B2060), "Unknown Category")</f>
        <v>ctg-1092</v>
      </c>
      <c r="D2060" s="8">
        <v>45273</v>
      </c>
      <c r="E2060" s="14">
        <f t="shared" si="96"/>
        <v>2023</v>
      </c>
      <c r="F2060" s="29" t="str">
        <f t="shared" si="97"/>
        <v>Dec</v>
      </c>
      <c r="G2060" s="17" t="s">
        <v>29</v>
      </c>
      <c r="H2060" s="17" t="s">
        <v>15</v>
      </c>
      <c r="I2060" s="24">
        <v>40017.938630993522</v>
      </c>
      <c r="J2060" s="32">
        <v>15</v>
      </c>
      <c r="K2060" s="17" t="s">
        <v>26</v>
      </c>
      <c r="L2060" s="24">
        <v>2273.88</v>
      </c>
      <c r="M2060" s="24">
        <v>2696.02</v>
      </c>
      <c r="N2060" s="34">
        <f>((sales_data_1[[#This Row],[Unit_Price]]*(1-sales_data_1[[#This Row],[Discount]]))-sales_data_1[[#This Row],[Unit_Cost]])*sales_data_1[[#This Row],[Quantity_Sold]]</f>
        <v>5927.6969999999983</v>
      </c>
      <c r="O2060" s="17" t="s">
        <v>27</v>
      </c>
      <c r="P2060" s="26">
        <v>0.01</v>
      </c>
      <c r="Q2060" s="17" t="s">
        <v>18</v>
      </c>
      <c r="R2060" s="17" t="s">
        <v>19</v>
      </c>
      <c r="S2060" s="50" t="str">
        <f t="shared" si="98"/>
        <v>Charlie-North</v>
      </c>
      <c r="T2060" s="59" t="str">
        <f>IF(ROUND(sales_data_1[[#This Row],[Profit_Margin]],2)=ROUND((sales_data_1[[#This Row],[Unit_Price]]*(1-sales_data_1[[#This Row],[Discount]]) - sales_data_1[[#This Row],[Unit_Cost]])*sales_data_1[[#This Row],[Quantity_Sold]],2), "PASS", "CHECK")</f>
        <v>PASS</v>
      </c>
    </row>
    <row r="2061" spans="1:20" x14ac:dyDescent="0.35">
      <c r="A2061" s="7">
        <v>2060</v>
      </c>
      <c r="B2061" s="9">
        <v>1070</v>
      </c>
      <c r="C2061" s="14" t="str">
        <f>IFERROR(_xlfn.TEXTJOIN("-", TRUE, _xlfn.XLOOKUP(K2061, product_category_id_lookup!$A$2:$A$5, product_category_id_lookup!$B$2:$B$5), B2061), "Unknown Category")</f>
        <v>fd-1070</v>
      </c>
      <c r="D2061" s="8">
        <v>45274</v>
      </c>
      <c r="E2061" s="14">
        <f t="shared" si="96"/>
        <v>2023</v>
      </c>
      <c r="F2061" s="29" t="str">
        <f t="shared" si="97"/>
        <v>Dec</v>
      </c>
      <c r="G2061" s="17" t="s">
        <v>29</v>
      </c>
      <c r="H2061" s="17" t="s">
        <v>23</v>
      </c>
      <c r="I2061" s="24">
        <v>28980.39897288162</v>
      </c>
      <c r="J2061" s="32">
        <v>33</v>
      </c>
      <c r="K2061" s="17" t="s">
        <v>24</v>
      </c>
      <c r="L2061" s="24">
        <v>866.42</v>
      </c>
      <c r="M2061" s="24">
        <v>878.43</v>
      </c>
      <c r="N2061" s="34">
        <f>((sales_data_1[[#This Row],[Unit_Price]]*(1-sales_data_1[[#This Row],[Discount]]))-sales_data_1[[#This Row],[Unit_Cost]])*sales_data_1[[#This Row],[Quantity_Sold]]</f>
        <v>396.3299999999997</v>
      </c>
      <c r="O2061" s="17" t="s">
        <v>27</v>
      </c>
      <c r="P2061" s="26">
        <v>0</v>
      </c>
      <c r="Q2061" s="17" t="s">
        <v>18</v>
      </c>
      <c r="R2061" s="17" t="s">
        <v>21</v>
      </c>
      <c r="S2061" s="50" t="str">
        <f t="shared" si="98"/>
        <v>Charlie-South</v>
      </c>
      <c r="T2061" s="59" t="str">
        <f>IF(ROUND(sales_data_1[[#This Row],[Profit_Margin]],2)=ROUND((sales_data_1[[#This Row],[Unit_Price]]*(1-sales_data_1[[#This Row],[Discount]]) - sales_data_1[[#This Row],[Unit_Cost]])*sales_data_1[[#This Row],[Quantity_Sold]],2), "PASS", "CHECK")</f>
        <v>PASS</v>
      </c>
    </row>
    <row r="2062" spans="1:20" x14ac:dyDescent="0.35">
      <c r="A2062" s="7">
        <v>2061</v>
      </c>
      <c r="B2062" s="9">
        <v>1043</v>
      </c>
      <c r="C2062" s="14" t="str">
        <f>IFERROR(_xlfn.TEXTJOIN("-", TRUE, _xlfn.XLOOKUP(K2062, product_category_id_lookup!$A$2:$A$5, product_category_id_lookup!$B$2:$B$5), B2062), "Unknown Category")</f>
        <v>ctg-1043</v>
      </c>
      <c r="D2062" s="8">
        <v>45275</v>
      </c>
      <c r="E2062" s="14">
        <f t="shared" si="96"/>
        <v>2023</v>
      </c>
      <c r="F2062" s="29" t="str">
        <f t="shared" si="97"/>
        <v>Dec</v>
      </c>
      <c r="G2062" s="17" t="s">
        <v>22</v>
      </c>
      <c r="H2062" s="17" t="s">
        <v>20</v>
      </c>
      <c r="I2062" s="24">
        <v>4178.0706</v>
      </c>
      <c r="J2062" s="32">
        <v>6</v>
      </c>
      <c r="K2062" s="17" t="s">
        <v>26</v>
      </c>
      <c r="L2062" s="24">
        <v>563.59</v>
      </c>
      <c r="M2062" s="24">
        <v>838.97</v>
      </c>
      <c r="N2062" s="34">
        <f>((sales_data_1[[#This Row],[Unit_Price]]*(1-sales_data_1[[#This Row],[Discount]]))-sales_data_1[[#This Row],[Unit_Cost]])*sales_data_1[[#This Row],[Quantity_Sold]]</f>
        <v>796.53059999999982</v>
      </c>
      <c r="O2062" s="17" t="s">
        <v>27</v>
      </c>
      <c r="P2062" s="26">
        <v>0.17</v>
      </c>
      <c r="Q2062" s="17" t="s">
        <v>28</v>
      </c>
      <c r="R2062" s="17" t="s">
        <v>19</v>
      </c>
      <c r="S2062" s="50" t="str">
        <f t="shared" si="98"/>
        <v>David-West</v>
      </c>
      <c r="T2062" s="59" t="str">
        <f>IF(ROUND(sales_data_1[[#This Row],[Profit_Margin]],2)=ROUND((sales_data_1[[#This Row],[Unit_Price]]*(1-sales_data_1[[#This Row],[Discount]]) - sales_data_1[[#This Row],[Unit_Cost]])*sales_data_1[[#This Row],[Quantity_Sold]],2), "PASS", "CHECK")</f>
        <v>PASS</v>
      </c>
    </row>
    <row r="2063" spans="1:20" x14ac:dyDescent="0.35">
      <c r="A2063" s="7">
        <v>2062</v>
      </c>
      <c r="B2063" s="9">
        <v>1076</v>
      </c>
      <c r="C2063" s="14" t="str">
        <f>IFERROR(_xlfn.TEXTJOIN("-", TRUE, _xlfn.XLOOKUP(K2063, product_category_id_lookup!$A$2:$A$5, product_category_id_lookup!$B$2:$B$5), B2063), "Unknown Category")</f>
        <v>fd-1076</v>
      </c>
      <c r="D2063" s="8">
        <v>45275</v>
      </c>
      <c r="E2063" s="14">
        <f t="shared" si="96"/>
        <v>2023</v>
      </c>
      <c r="F2063" s="29" t="str">
        <f t="shared" si="97"/>
        <v>Dec</v>
      </c>
      <c r="G2063" s="17" t="s">
        <v>14</v>
      </c>
      <c r="H2063" s="17" t="s">
        <v>20</v>
      </c>
      <c r="I2063" s="24">
        <v>85621.983968719913</v>
      </c>
      <c r="J2063" s="32">
        <v>32</v>
      </c>
      <c r="K2063" s="17" t="s">
        <v>24</v>
      </c>
      <c r="L2063" s="24">
        <v>2636.36</v>
      </c>
      <c r="M2063" s="24">
        <v>2696.78</v>
      </c>
      <c r="N2063" s="34">
        <f>((sales_data_1[[#This Row],[Unit_Price]]*(1-sales_data_1[[#This Row],[Discount]]))-sales_data_1[[#This Row],[Unit_Cost]])*sales_data_1[[#This Row],[Quantity_Sold]]</f>
        <v>1070.4704000000056</v>
      </c>
      <c r="O2063" s="17" t="s">
        <v>27</v>
      </c>
      <c r="P2063" s="26">
        <v>0.01</v>
      </c>
      <c r="Q2063" s="17" t="s">
        <v>18</v>
      </c>
      <c r="R2063" s="17" t="s">
        <v>21</v>
      </c>
      <c r="S2063" s="50" t="str">
        <f t="shared" si="98"/>
        <v>Bob-West</v>
      </c>
      <c r="T2063" s="59" t="str">
        <f>IF(ROUND(sales_data_1[[#This Row],[Profit_Margin]],2)=ROUND((sales_data_1[[#This Row],[Unit_Price]]*(1-sales_data_1[[#This Row],[Discount]]) - sales_data_1[[#This Row],[Unit_Cost]])*sales_data_1[[#This Row],[Quantity_Sold]],2), "PASS", "CHECK")</f>
        <v>PASS</v>
      </c>
    </row>
    <row r="2064" spans="1:20" x14ac:dyDescent="0.35">
      <c r="A2064" s="7">
        <v>2063</v>
      </c>
      <c r="B2064" s="9">
        <v>1012</v>
      </c>
      <c r="C2064" s="14" t="str">
        <f>IFERROR(_xlfn.TEXTJOIN("-", TRUE, _xlfn.XLOOKUP(K2064, product_category_id_lookup!$A$2:$A$5, product_category_id_lookup!$B$2:$B$5), B2064), "Unknown Category")</f>
        <v>etc-1012</v>
      </c>
      <c r="D2064" s="8">
        <v>45275</v>
      </c>
      <c r="E2064" s="14">
        <f t="shared" si="96"/>
        <v>2023</v>
      </c>
      <c r="F2064" s="29" t="str">
        <f t="shared" si="97"/>
        <v>Dec</v>
      </c>
      <c r="G2064" s="17" t="s">
        <v>14</v>
      </c>
      <c r="H2064" s="17" t="s">
        <v>20</v>
      </c>
      <c r="I2064" s="24">
        <v>30717.896299999997</v>
      </c>
      <c r="J2064" s="32">
        <v>13</v>
      </c>
      <c r="K2064" s="17" t="s">
        <v>31</v>
      </c>
      <c r="L2064" s="24">
        <v>2231.66</v>
      </c>
      <c r="M2064" s="24">
        <v>2596.6099999999997</v>
      </c>
      <c r="N2064" s="34">
        <f>((sales_data_1[[#This Row],[Unit_Price]]*(1-sales_data_1[[#This Row],[Discount]]))-sales_data_1[[#This Row],[Unit_Cost]])*sales_data_1[[#This Row],[Quantity_Sold]]</f>
        <v>1706.3162999999981</v>
      </c>
      <c r="O2064" s="17" t="s">
        <v>17</v>
      </c>
      <c r="P2064" s="26">
        <v>0.09</v>
      </c>
      <c r="Q2064" s="17" t="s">
        <v>25</v>
      </c>
      <c r="R2064" s="17" t="s">
        <v>21</v>
      </c>
      <c r="S2064" s="50" t="str">
        <f t="shared" si="98"/>
        <v>Bob-West</v>
      </c>
      <c r="T2064" s="59" t="str">
        <f>IF(ROUND(sales_data_1[[#This Row],[Profit_Margin]],2)=ROUND((sales_data_1[[#This Row],[Unit_Price]]*(1-sales_data_1[[#This Row],[Discount]]) - sales_data_1[[#This Row],[Unit_Cost]])*sales_data_1[[#This Row],[Quantity_Sold]],2), "PASS", "CHECK")</f>
        <v>PASS</v>
      </c>
    </row>
    <row r="2065" spans="1:20" x14ac:dyDescent="0.35">
      <c r="A2065" s="7">
        <v>2064</v>
      </c>
      <c r="B2065" s="9">
        <v>1045</v>
      </c>
      <c r="C2065" s="14" t="str">
        <f>IFERROR(_xlfn.TEXTJOIN("-", TRUE, _xlfn.XLOOKUP(K2065, product_category_id_lookup!$A$2:$A$5, product_category_id_lookup!$B$2:$B$5), B2065), "Unknown Category")</f>
        <v>ctg-1045</v>
      </c>
      <c r="D2065" s="8">
        <v>45275</v>
      </c>
      <c r="E2065" s="14">
        <f t="shared" si="96"/>
        <v>2023</v>
      </c>
      <c r="F2065" s="29" t="str">
        <f t="shared" si="97"/>
        <v>Dec</v>
      </c>
      <c r="G2065" s="17" t="s">
        <v>22</v>
      </c>
      <c r="H2065" s="17" t="s">
        <v>23</v>
      </c>
      <c r="I2065" s="24">
        <v>153076.37004213006</v>
      </c>
      <c r="J2065" s="32">
        <v>42</v>
      </c>
      <c r="K2065" s="17" t="s">
        <v>26</v>
      </c>
      <c r="L2065" s="24">
        <v>3587.74</v>
      </c>
      <c r="M2065" s="24">
        <v>3745.91</v>
      </c>
      <c r="N2065" s="34">
        <f>((sales_data_1[[#This Row],[Unit_Price]]*(1-sales_data_1[[#This Row],[Discount]]))-sales_data_1[[#This Row],[Unit_Cost]])*sales_data_1[[#This Row],[Quantity_Sold]]</f>
        <v>1923.2933999999987</v>
      </c>
      <c r="O2065" s="17" t="s">
        <v>17</v>
      </c>
      <c r="P2065" s="26">
        <v>0.03</v>
      </c>
      <c r="Q2065" s="17" t="s">
        <v>18</v>
      </c>
      <c r="R2065" s="17" t="s">
        <v>19</v>
      </c>
      <c r="S2065" s="50" t="str">
        <f t="shared" si="98"/>
        <v>David-South</v>
      </c>
      <c r="T2065" s="59" t="str">
        <f>IF(ROUND(sales_data_1[[#This Row],[Profit_Margin]],2)=ROUND((sales_data_1[[#This Row],[Unit_Price]]*(1-sales_data_1[[#This Row],[Discount]]) - sales_data_1[[#This Row],[Unit_Cost]])*sales_data_1[[#This Row],[Quantity_Sold]],2), "PASS", "CHECK")</f>
        <v>PASS</v>
      </c>
    </row>
    <row r="2066" spans="1:20" x14ac:dyDescent="0.35">
      <c r="A2066" s="7">
        <v>2065</v>
      </c>
      <c r="B2066" s="9">
        <v>1019</v>
      </c>
      <c r="C2066" s="14" t="str">
        <f>IFERROR(_xlfn.TEXTJOIN("-", TRUE, _xlfn.XLOOKUP(K2066, product_category_id_lookup!$A$2:$A$5, product_category_id_lookup!$B$2:$B$5), B2066), "Unknown Category")</f>
        <v>ctg-1019</v>
      </c>
      <c r="D2066" s="8">
        <v>45275</v>
      </c>
      <c r="E2066" s="14">
        <f t="shared" si="96"/>
        <v>2023</v>
      </c>
      <c r="F2066" s="29" t="str">
        <f t="shared" si="97"/>
        <v>Dec</v>
      </c>
      <c r="G2066" s="17" t="s">
        <v>22</v>
      </c>
      <c r="H2066" s="17" t="s">
        <v>30</v>
      </c>
      <c r="I2066" s="24">
        <v>55908.781860090981</v>
      </c>
      <c r="J2066" s="32">
        <v>36</v>
      </c>
      <c r="K2066" s="17" t="s">
        <v>26</v>
      </c>
      <c r="L2066" s="24">
        <v>1340.51</v>
      </c>
      <c r="M2066" s="24">
        <v>1567.92</v>
      </c>
      <c r="N2066" s="34">
        <f>((sales_data_1[[#This Row],[Unit_Price]]*(1-sales_data_1[[#This Row],[Discount]]))-sales_data_1[[#This Row],[Unit_Cost]])*sales_data_1[[#This Row],[Quantity_Sold]]</f>
        <v>7622.3088000000016</v>
      </c>
      <c r="O2066" s="17" t="s">
        <v>27</v>
      </c>
      <c r="P2066" s="26">
        <v>0.01</v>
      </c>
      <c r="Q2066" s="17" t="s">
        <v>18</v>
      </c>
      <c r="R2066" s="17" t="s">
        <v>19</v>
      </c>
      <c r="S2066" s="50" t="str">
        <f t="shared" si="98"/>
        <v>David-East</v>
      </c>
      <c r="T2066" s="59" t="str">
        <f>IF(ROUND(sales_data_1[[#This Row],[Profit_Margin]],2)=ROUND((sales_data_1[[#This Row],[Unit_Price]]*(1-sales_data_1[[#This Row],[Discount]]) - sales_data_1[[#This Row],[Unit_Cost]])*sales_data_1[[#This Row],[Quantity_Sold]],2), "PASS", "CHECK")</f>
        <v>PASS</v>
      </c>
    </row>
    <row r="2067" spans="1:20" x14ac:dyDescent="0.35">
      <c r="A2067" s="7">
        <v>2066</v>
      </c>
      <c r="B2067" s="9">
        <v>1061</v>
      </c>
      <c r="C2067" s="14" t="str">
        <f>IFERROR(_xlfn.TEXTJOIN("-", TRUE, _xlfn.XLOOKUP(K2067, product_category_id_lookup!$A$2:$A$5, product_category_id_lookup!$B$2:$B$5), B2067), "Unknown Category")</f>
        <v>fd-1061</v>
      </c>
      <c r="D2067" s="8">
        <v>45275</v>
      </c>
      <c r="E2067" s="14">
        <f t="shared" si="96"/>
        <v>2023</v>
      </c>
      <c r="F2067" s="29" t="str">
        <f t="shared" si="97"/>
        <v>Dec</v>
      </c>
      <c r="G2067" s="17" t="s">
        <v>33</v>
      </c>
      <c r="H2067" s="17" t="s">
        <v>15</v>
      </c>
      <c r="I2067" s="24">
        <v>100514.73260322418</v>
      </c>
      <c r="J2067" s="32">
        <v>32</v>
      </c>
      <c r="K2067" s="17" t="s">
        <v>24</v>
      </c>
      <c r="L2067" s="24">
        <v>2759.26</v>
      </c>
      <c r="M2067" s="24">
        <v>3193.25</v>
      </c>
      <c r="N2067" s="34">
        <f>((sales_data_1[[#This Row],[Unit_Price]]*(1-sales_data_1[[#This Row],[Discount]]))-sales_data_1[[#This Row],[Unit_Cost]])*sales_data_1[[#This Row],[Quantity_Sold]]</f>
        <v>11843.999999999985</v>
      </c>
      <c r="O2067" s="17" t="s">
        <v>27</v>
      </c>
      <c r="P2067" s="26">
        <v>0.02</v>
      </c>
      <c r="Q2067" s="17" t="s">
        <v>25</v>
      </c>
      <c r="R2067" s="17" t="s">
        <v>19</v>
      </c>
      <c r="S2067" s="50" t="str">
        <f t="shared" si="98"/>
        <v>Alice-North</v>
      </c>
      <c r="T2067" s="59" t="str">
        <f>IF(ROUND(sales_data_1[[#This Row],[Profit_Margin]],2)=ROUND((sales_data_1[[#This Row],[Unit_Price]]*(1-sales_data_1[[#This Row],[Discount]]) - sales_data_1[[#This Row],[Unit_Cost]])*sales_data_1[[#This Row],[Quantity_Sold]],2), "PASS", "CHECK")</f>
        <v>PASS</v>
      </c>
    </row>
    <row r="2068" spans="1:20" x14ac:dyDescent="0.35">
      <c r="A2068" s="7">
        <v>2067</v>
      </c>
      <c r="B2068" s="9">
        <v>1074</v>
      </c>
      <c r="C2068" s="14" t="str">
        <f>IFERROR(_xlfn.TEXTJOIN("-", TRUE, _xlfn.XLOOKUP(K2068, product_category_id_lookup!$A$2:$A$5, product_category_id_lookup!$B$2:$B$5), B2068), "Unknown Category")</f>
        <v>fnt-1074</v>
      </c>
      <c r="D2068" s="8">
        <v>45276</v>
      </c>
      <c r="E2068" s="14">
        <f t="shared" si="96"/>
        <v>2023</v>
      </c>
      <c r="F2068" s="29" t="str">
        <f t="shared" si="97"/>
        <v>Dec</v>
      </c>
      <c r="G2068" s="17" t="s">
        <v>14</v>
      </c>
      <c r="H2068" s="17" t="s">
        <v>15</v>
      </c>
      <c r="I2068" s="24">
        <v>6109.9971999999998</v>
      </c>
      <c r="J2068" s="32">
        <v>19</v>
      </c>
      <c r="K2068" s="17" t="s">
        <v>16</v>
      </c>
      <c r="L2068" s="24">
        <v>278.67</v>
      </c>
      <c r="M2068" s="24">
        <v>423.13</v>
      </c>
      <c r="N2068" s="34">
        <f>((sales_data_1[[#This Row],[Unit_Price]]*(1-sales_data_1[[#This Row],[Discount]]))-sales_data_1[[#This Row],[Unit_Cost]])*sales_data_1[[#This Row],[Quantity_Sold]]</f>
        <v>815.26719999999978</v>
      </c>
      <c r="O2068" s="17" t="s">
        <v>27</v>
      </c>
      <c r="P2068" s="26">
        <v>0.24</v>
      </c>
      <c r="Q2068" s="17" t="s">
        <v>28</v>
      </c>
      <c r="R2068" s="17" t="s">
        <v>19</v>
      </c>
      <c r="S2068" s="50" t="str">
        <f t="shared" si="98"/>
        <v>Bob-North</v>
      </c>
      <c r="T2068" s="59" t="str">
        <f>IF(ROUND(sales_data_1[[#This Row],[Profit_Margin]],2)=ROUND((sales_data_1[[#This Row],[Unit_Price]]*(1-sales_data_1[[#This Row],[Discount]]) - sales_data_1[[#This Row],[Unit_Cost]])*sales_data_1[[#This Row],[Quantity_Sold]],2), "PASS", "CHECK")</f>
        <v>PASS</v>
      </c>
    </row>
    <row r="2069" spans="1:20" x14ac:dyDescent="0.35">
      <c r="A2069" s="7">
        <v>2068</v>
      </c>
      <c r="B2069" s="9">
        <v>1076</v>
      </c>
      <c r="C2069" s="14" t="str">
        <f>IFERROR(_xlfn.TEXTJOIN("-", TRUE, _xlfn.XLOOKUP(K2069, product_category_id_lookup!$A$2:$A$5, product_category_id_lookup!$B$2:$B$5), B2069), "Unknown Category")</f>
        <v>ctg-1076</v>
      </c>
      <c r="D2069" s="8">
        <v>45276</v>
      </c>
      <c r="E2069" s="14">
        <f t="shared" si="96"/>
        <v>2023</v>
      </c>
      <c r="F2069" s="29" t="str">
        <f t="shared" si="97"/>
        <v>Dec</v>
      </c>
      <c r="G2069" s="17" t="s">
        <v>32</v>
      </c>
      <c r="H2069" s="17" t="s">
        <v>30</v>
      </c>
      <c r="I2069" s="24">
        <v>107805.38461693148</v>
      </c>
      <c r="J2069" s="32">
        <v>30</v>
      </c>
      <c r="K2069" s="17" t="s">
        <v>26</v>
      </c>
      <c r="L2069" s="24">
        <v>3519.63</v>
      </c>
      <c r="M2069" s="24">
        <v>3774.65</v>
      </c>
      <c r="N2069" s="34">
        <f>((sales_data_1[[#This Row],[Unit_Price]]*(1-sales_data_1[[#This Row],[Discount]]))-sales_data_1[[#This Row],[Unit_Cost]])*sales_data_1[[#This Row],[Quantity_Sold]]</f>
        <v>1988.6249999999973</v>
      </c>
      <c r="O2069" s="17" t="s">
        <v>27</v>
      </c>
      <c r="P2069" s="26">
        <v>0.05</v>
      </c>
      <c r="Q2069" s="17" t="s">
        <v>28</v>
      </c>
      <c r="R2069" s="17" t="s">
        <v>21</v>
      </c>
      <c r="S2069" s="50" t="str">
        <f t="shared" si="98"/>
        <v>Eve-East</v>
      </c>
      <c r="T2069" s="59" t="str">
        <f>IF(ROUND(sales_data_1[[#This Row],[Profit_Margin]],2)=ROUND((sales_data_1[[#This Row],[Unit_Price]]*(1-sales_data_1[[#This Row],[Discount]]) - sales_data_1[[#This Row],[Unit_Cost]])*sales_data_1[[#This Row],[Quantity_Sold]],2), "PASS", "CHECK")</f>
        <v>PASS</v>
      </c>
    </row>
    <row r="2070" spans="1:20" x14ac:dyDescent="0.35">
      <c r="A2070" s="7">
        <v>2069</v>
      </c>
      <c r="B2070" s="9">
        <v>1060</v>
      </c>
      <c r="C2070" s="14" t="str">
        <f>IFERROR(_xlfn.TEXTJOIN("-", TRUE, _xlfn.XLOOKUP(K2070, product_category_id_lookup!$A$2:$A$5, product_category_id_lookup!$B$2:$B$5), B2070), "Unknown Category")</f>
        <v>ctg-1060</v>
      </c>
      <c r="D2070" s="8">
        <v>45276</v>
      </c>
      <c r="E2070" s="14">
        <f t="shared" si="96"/>
        <v>2023</v>
      </c>
      <c r="F2070" s="29" t="str">
        <f t="shared" si="97"/>
        <v>Dec</v>
      </c>
      <c r="G2070" s="17" t="s">
        <v>32</v>
      </c>
      <c r="H2070" s="17" t="s">
        <v>30</v>
      </c>
      <c r="I2070" s="24">
        <v>176896.3064</v>
      </c>
      <c r="J2070" s="32">
        <v>44</v>
      </c>
      <c r="K2070" s="17" t="s">
        <v>26</v>
      </c>
      <c r="L2070" s="24">
        <v>3784.96</v>
      </c>
      <c r="M2070" s="24">
        <v>4276.99</v>
      </c>
      <c r="N2070" s="34">
        <f>((sales_data_1[[#This Row],[Unit_Price]]*(1-sales_data_1[[#This Row],[Discount]]))-sales_data_1[[#This Row],[Unit_Cost]])*sales_data_1[[#This Row],[Quantity_Sold]]</f>
        <v>10358.066399999987</v>
      </c>
      <c r="O2070" s="17" t="s">
        <v>27</v>
      </c>
      <c r="P2070" s="26">
        <v>0.06</v>
      </c>
      <c r="Q2070" s="17" t="s">
        <v>25</v>
      </c>
      <c r="R2070" s="17" t="s">
        <v>21</v>
      </c>
      <c r="S2070" s="50" t="str">
        <f t="shared" si="98"/>
        <v>Eve-East</v>
      </c>
      <c r="T2070" s="59" t="str">
        <f>IF(ROUND(sales_data_1[[#This Row],[Profit_Margin]],2)=ROUND((sales_data_1[[#This Row],[Unit_Price]]*(1-sales_data_1[[#This Row],[Discount]]) - sales_data_1[[#This Row],[Unit_Cost]])*sales_data_1[[#This Row],[Quantity_Sold]],2), "PASS", "CHECK")</f>
        <v>PASS</v>
      </c>
    </row>
    <row r="2071" spans="1:20" x14ac:dyDescent="0.35">
      <c r="A2071" s="7">
        <v>2070</v>
      </c>
      <c r="B2071" s="9">
        <v>1014</v>
      </c>
      <c r="C2071" s="14" t="str">
        <f>IFERROR(_xlfn.TEXTJOIN("-", TRUE, _xlfn.XLOOKUP(K2071, product_category_id_lookup!$A$2:$A$5, product_category_id_lookup!$B$2:$B$5), B2071), "Unknown Category")</f>
        <v>fnt-1014</v>
      </c>
      <c r="D2071" s="8">
        <v>45278</v>
      </c>
      <c r="E2071" s="14">
        <f t="shared" si="96"/>
        <v>2023</v>
      </c>
      <c r="F2071" s="29" t="str">
        <f t="shared" si="97"/>
        <v>Dec</v>
      </c>
      <c r="G2071" s="17" t="s">
        <v>22</v>
      </c>
      <c r="H2071" s="17" t="s">
        <v>30</v>
      </c>
      <c r="I2071" s="24">
        <v>4410.551249890862</v>
      </c>
      <c r="J2071" s="32">
        <v>4</v>
      </c>
      <c r="K2071" s="17" t="s">
        <v>16</v>
      </c>
      <c r="L2071" s="24">
        <v>854.68</v>
      </c>
      <c r="M2071" s="24">
        <v>1115.24</v>
      </c>
      <c r="N2071" s="34">
        <f>((sales_data_1[[#This Row],[Unit_Price]]*(1-sales_data_1[[#This Row],[Discount]]))-sales_data_1[[#This Row],[Unit_Cost]])*sales_data_1[[#This Row],[Quantity_Sold]]</f>
        <v>997.63040000000046</v>
      </c>
      <c r="O2071" s="17" t="s">
        <v>27</v>
      </c>
      <c r="P2071" s="26">
        <v>0.01</v>
      </c>
      <c r="Q2071" s="17" t="s">
        <v>28</v>
      </c>
      <c r="R2071" s="17" t="s">
        <v>21</v>
      </c>
      <c r="S2071" s="50" t="str">
        <f t="shared" si="98"/>
        <v>David-East</v>
      </c>
      <c r="T2071" s="59" t="str">
        <f>IF(ROUND(sales_data_1[[#This Row],[Profit_Margin]],2)=ROUND((sales_data_1[[#This Row],[Unit_Price]]*(1-sales_data_1[[#This Row],[Discount]]) - sales_data_1[[#This Row],[Unit_Cost]])*sales_data_1[[#This Row],[Quantity_Sold]],2), "PASS", "CHECK")</f>
        <v>PASS</v>
      </c>
    </row>
    <row r="2072" spans="1:20" x14ac:dyDescent="0.35">
      <c r="A2072" s="7">
        <v>2071</v>
      </c>
      <c r="B2072" s="9">
        <v>1073</v>
      </c>
      <c r="C2072" s="14" t="str">
        <f>IFERROR(_xlfn.TEXTJOIN("-", TRUE, _xlfn.XLOOKUP(K2072, product_category_id_lookup!$A$2:$A$5, product_category_id_lookup!$B$2:$B$5), B2072), "Unknown Category")</f>
        <v>fd-1073</v>
      </c>
      <c r="D2072" s="8">
        <v>45278</v>
      </c>
      <c r="E2072" s="14">
        <f t="shared" si="96"/>
        <v>2023</v>
      </c>
      <c r="F2072" s="29" t="str">
        <f t="shared" si="97"/>
        <v>Dec</v>
      </c>
      <c r="G2072" s="17" t="s">
        <v>32</v>
      </c>
      <c r="H2072" s="17" t="s">
        <v>20</v>
      </c>
      <c r="I2072" s="24">
        <v>16762.751999999997</v>
      </c>
      <c r="J2072" s="32">
        <v>40</v>
      </c>
      <c r="K2072" s="17" t="s">
        <v>24</v>
      </c>
      <c r="L2072" s="24">
        <v>157.15</v>
      </c>
      <c r="M2072" s="24">
        <v>436.53</v>
      </c>
      <c r="N2072" s="34">
        <f>((sales_data_1[[#This Row],[Unit_Price]]*(1-sales_data_1[[#This Row],[Discount]]))-sales_data_1[[#This Row],[Unit_Cost]])*sales_data_1[[#This Row],[Quantity_Sold]]</f>
        <v>10476.751999999997</v>
      </c>
      <c r="O2072" s="17" t="s">
        <v>27</v>
      </c>
      <c r="P2072" s="26">
        <v>0.04</v>
      </c>
      <c r="Q2072" s="17" t="s">
        <v>18</v>
      </c>
      <c r="R2072" s="17" t="s">
        <v>21</v>
      </c>
      <c r="S2072" s="50" t="str">
        <f t="shared" si="98"/>
        <v>Eve-West</v>
      </c>
      <c r="T2072" s="59" t="str">
        <f>IF(ROUND(sales_data_1[[#This Row],[Profit_Margin]],2)=ROUND((sales_data_1[[#This Row],[Unit_Price]]*(1-sales_data_1[[#This Row],[Discount]]) - sales_data_1[[#This Row],[Unit_Cost]])*sales_data_1[[#This Row],[Quantity_Sold]],2), "PASS", "CHECK")</f>
        <v>PASS</v>
      </c>
    </row>
    <row r="2073" spans="1:20" x14ac:dyDescent="0.35">
      <c r="A2073" s="7">
        <v>2072</v>
      </c>
      <c r="B2073" s="9">
        <v>1029</v>
      </c>
      <c r="C2073" s="14" t="str">
        <f>IFERROR(_xlfn.TEXTJOIN("-", TRUE, _xlfn.XLOOKUP(K2073, product_category_id_lookup!$A$2:$A$5, product_category_id_lookup!$B$2:$B$5), B2073), "Unknown Category")</f>
        <v>fd-1029</v>
      </c>
      <c r="D2073" s="8">
        <v>45279</v>
      </c>
      <c r="E2073" s="14">
        <f t="shared" si="96"/>
        <v>2023</v>
      </c>
      <c r="F2073" s="29" t="str">
        <f t="shared" si="97"/>
        <v>Dec</v>
      </c>
      <c r="G2073" s="17" t="s">
        <v>32</v>
      </c>
      <c r="H2073" s="17" t="s">
        <v>15</v>
      </c>
      <c r="I2073" s="24">
        <v>65941.020001826575</v>
      </c>
      <c r="J2073" s="32">
        <v>21</v>
      </c>
      <c r="K2073" s="17" t="s">
        <v>24</v>
      </c>
      <c r="L2073" s="24">
        <v>3085.1</v>
      </c>
      <c r="M2073" s="24">
        <v>3200.75</v>
      </c>
      <c r="N2073" s="34">
        <f>((sales_data_1[[#This Row],[Unit_Price]]*(1-sales_data_1[[#This Row],[Discount]]))-sales_data_1[[#This Row],[Unit_Cost]])*sales_data_1[[#This Row],[Quantity_Sold]]</f>
        <v>1084.3350000000046</v>
      </c>
      <c r="O2073" s="17" t="s">
        <v>27</v>
      </c>
      <c r="P2073" s="26">
        <v>0.02</v>
      </c>
      <c r="Q2073" s="17" t="s">
        <v>18</v>
      </c>
      <c r="R2073" s="17" t="s">
        <v>21</v>
      </c>
      <c r="S2073" s="50" t="str">
        <f t="shared" si="98"/>
        <v>Eve-North</v>
      </c>
      <c r="T2073" s="59" t="str">
        <f>IF(ROUND(sales_data_1[[#This Row],[Profit_Margin]],2)=ROUND((sales_data_1[[#This Row],[Unit_Price]]*(1-sales_data_1[[#This Row],[Discount]]) - sales_data_1[[#This Row],[Unit_Cost]])*sales_data_1[[#This Row],[Quantity_Sold]],2), "PASS", "CHECK")</f>
        <v>PASS</v>
      </c>
    </row>
    <row r="2074" spans="1:20" x14ac:dyDescent="0.35">
      <c r="A2074" s="7">
        <v>2073</v>
      </c>
      <c r="B2074" s="9">
        <v>1043</v>
      </c>
      <c r="C2074" s="14" t="str">
        <f>IFERROR(_xlfn.TEXTJOIN("-", TRUE, _xlfn.XLOOKUP(K2074, product_category_id_lookup!$A$2:$A$5, product_category_id_lookup!$B$2:$B$5), B2074), "Unknown Category")</f>
        <v>etc-1043</v>
      </c>
      <c r="D2074" s="8">
        <v>45279</v>
      </c>
      <c r="E2074" s="14">
        <f t="shared" si="96"/>
        <v>2023</v>
      </c>
      <c r="F2074" s="29" t="str">
        <f t="shared" si="97"/>
        <v>Dec</v>
      </c>
      <c r="G2074" s="17" t="s">
        <v>32</v>
      </c>
      <c r="H2074" s="17" t="s">
        <v>23</v>
      </c>
      <c r="I2074" s="24">
        <v>60423.386664687423</v>
      </c>
      <c r="J2074" s="32">
        <v>12</v>
      </c>
      <c r="K2074" s="17" t="s">
        <v>31</v>
      </c>
      <c r="L2074" s="24">
        <v>4920.46</v>
      </c>
      <c r="M2074" s="24">
        <v>5079.68</v>
      </c>
      <c r="N2074" s="34">
        <f>((sales_data_1[[#This Row],[Unit_Price]]*(1-sales_data_1[[#This Row],[Discount]]))-sales_data_1[[#This Row],[Unit_Cost]])*sales_data_1[[#This Row],[Quantity_Sold]]</f>
        <v>1301.0784000000021</v>
      </c>
      <c r="O2074" s="17" t="s">
        <v>27</v>
      </c>
      <c r="P2074" s="26">
        <v>0.01</v>
      </c>
      <c r="Q2074" s="17" t="s">
        <v>28</v>
      </c>
      <c r="R2074" s="17" t="s">
        <v>21</v>
      </c>
      <c r="S2074" s="50" t="str">
        <f t="shared" si="98"/>
        <v>Eve-South</v>
      </c>
      <c r="T2074" s="59" t="str">
        <f>IF(ROUND(sales_data_1[[#This Row],[Profit_Margin]],2)=ROUND((sales_data_1[[#This Row],[Unit_Price]]*(1-sales_data_1[[#This Row],[Discount]]) - sales_data_1[[#This Row],[Unit_Cost]])*sales_data_1[[#This Row],[Quantity_Sold]],2), "PASS", "CHECK")</f>
        <v>PASS</v>
      </c>
    </row>
    <row r="2075" spans="1:20" x14ac:dyDescent="0.35">
      <c r="A2075" s="7">
        <v>2074</v>
      </c>
      <c r="B2075" s="9">
        <v>1064</v>
      </c>
      <c r="C2075" s="14" t="str">
        <f>IFERROR(_xlfn.TEXTJOIN("-", TRUE, _xlfn.XLOOKUP(K2075, product_category_id_lookup!$A$2:$A$5, product_category_id_lookup!$B$2:$B$5), B2075), "Unknown Category")</f>
        <v>ctg-1064</v>
      </c>
      <c r="D2075" s="8">
        <v>45279</v>
      </c>
      <c r="E2075" s="14">
        <f t="shared" si="96"/>
        <v>2023</v>
      </c>
      <c r="F2075" s="29" t="str">
        <f t="shared" si="97"/>
        <v>Dec</v>
      </c>
      <c r="G2075" s="17" t="s">
        <v>33</v>
      </c>
      <c r="H2075" s="17" t="s">
        <v>20</v>
      </c>
      <c r="I2075" s="24">
        <v>175120.09983513289</v>
      </c>
      <c r="J2075" s="32">
        <v>35</v>
      </c>
      <c r="K2075" s="17" t="s">
        <v>26</v>
      </c>
      <c r="L2075" s="24">
        <v>4900.03</v>
      </c>
      <c r="M2075" s="24">
        <v>5118.83</v>
      </c>
      <c r="N2075" s="34">
        <f>((sales_data_1[[#This Row],[Unit_Price]]*(1-sales_data_1[[#This Row],[Discount]]))-sales_data_1[[#This Row],[Unit_Cost]])*sales_data_1[[#This Row],[Quantity_Sold]]</f>
        <v>4074.8189999999886</v>
      </c>
      <c r="O2075" s="17" t="s">
        <v>17</v>
      </c>
      <c r="P2075" s="26">
        <v>0.02</v>
      </c>
      <c r="Q2075" s="17" t="s">
        <v>28</v>
      </c>
      <c r="R2075" s="17" t="s">
        <v>21</v>
      </c>
      <c r="S2075" s="50" t="str">
        <f t="shared" si="98"/>
        <v>Alice-West</v>
      </c>
      <c r="T2075" s="59" t="str">
        <f>IF(ROUND(sales_data_1[[#This Row],[Profit_Margin]],2)=ROUND((sales_data_1[[#This Row],[Unit_Price]]*(1-sales_data_1[[#This Row],[Discount]]) - sales_data_1[[#This Row],[Unit_Cost]])*sales_data_1[[#This Row],[Quantity_Sold]],2), "PASS", "CHECK")</f>
        <v>PASS</v>
      </c>
    </row>
    <row r="2076" spans="1:20" x14ac:dyDescent="0.35">
      <c r="A2076" s="7">
        <v>2075</v>
      </c>
      <c r="B2076" s="9">
        <v>1088</v>
      </c>
      <c r="C2076" s="14" t="str">
        <f>IFERROR(_xlfn.TEXTJOIN("-", TRUE, _xlfn.XLOOKUP(K2076, product_category_id_lookup!$A$2:$A$5, product_category_id_lookup!$B$2:$B$5), B2076), "Unknown Category")</f>
        <v>ctg-1088</v>
      </c>
      <c r="D2076" s="8">
        <v>45279</v>
      </c>
      <c r="E2076" s="14">
        <f t="shared" si="96"/>
        <v>2023</v>
      </c>
      <c r="F2076" s="29" t="str">
        <f t="shared" si="97"/>
        <v>Dec</v>
      </c>
      <c r="G2076" s="17" t="s">
        <v>33</v>
      </c>
      <c r="H2076" s="17" t="s">
        <v>30</v>
      </c>
      <c r="I2076" s="24">
        <v>97974.820697484742</v>
      </c>
      <c r="J2076" s="32">
        <v>20</v>
      </c>
      <c r="K2076" s="17" t="s">
        <v>26</v>
      </c>
      <c r="L2076" s="24">
        <v>4590.24</v>
      </c>
      <c r="M2076" s="24">
        <v>5088.28</v>
      </c>
      <c r="N2076" s="34">
        <f>((sales_data_1[[#This Row],[Unit_Price]]*(1-sales_data_1[[#This Row],[Discount]]))-sales_data_1[[#This Row],[Unit_Cost]])*sales_data_1[[#This Row],[Quantity_Sold]]</f>
        <v>5890.1759999999922</v>
      </c>
      <c r="O2076" s="17" t="s">
        <v>27</v>
      </c>
      <c r="P2076" s="26">
        <v>0.04</v>
      </c>
      <c r="Q2076" s="17" t="s">
        <v>25</v>
      </c>
      <c r="R2076" s="17" t="s">
        <v>21</v>
      </c>
      <c r="S2076" s="50" t="str">
        <f t="shared" si="98"/>
        <v>Alice-East</v>
      </c>
      <c r="T2076" s="59" t="str">
        <f>IF(ROUND(sales_data_1[[#This Row],[Profit_Margin]],2)=ROUND((sales_data_1[[#This Row],[Unit_Price]]*(1-sales_data_1[[#This Row],[Discount]]) - sales_data_1[[#This Row],[Unit_Cost]])*sales_data_1[[#This Row],[Quantity_Sold]],2), "PASS", "CHECK")</f>
        <v>PASS</v>
      </c>
    </row>
    <row r="2077" spans="1:20" x14ac:dyDescent="0.35">
      <c r="A2077" s="7">
        <v>2076</v>
      </c>
      <c r="B2077" s="9">
        <v>1063</v>
      </c>
      <c r="C2077" s="14" t="str">
        <f>IFERROR(_xlfn.TEXTJOIN("-", TRUE, _xlfn.XLOOKUP(K2077, product_category_id_lookup!$A$2:$A$5, product_category_id_lookup!$B$2:$B$5), B2077), "Unknown Category")</f>
        <v>fnt-1063</v>
      </c>
      <c r="D2077" s="8">
        <v>45279</v>
      </c>
      <c r="E2077" s="14">
        <f t="shared" si="96"/>
        <v>2023</v>
      </c>
      <c r="F2077" s="29" t="str">
        <f t="shared" si="97"/>
        <v>Dec</v>
      </c>
      <c r="G2077" s="17" t="s">
        <v>29</v>
      </c>
      <c r="H2077" s="17" t="s">
        <v>20</v>
      </c>
      <c r="I2077" s="24">
        <v>120739.05575534902</v>
      </c>
      <c r="J2077" s="32">
        <v>46</v>
      </c>
      <c r="K2077" s="17" t="s">
        <v>16</v>
      </c>
      <c r="L2077" s="24">
        <v>2302.62</v>
      </c>
      <c r="M2077" s="24">
        <v>2740.93</v>
      </c>
      <c r="N2077" s="34">
        <f>((sales_data_1[[#This Row],[Unit_Price]]*(1-sales_data_1[[#This Row],[Discount]]))-sales_data_1[[#This Row],[Unit_Cost]])*sales_data_1[[#This Row],[Quantity_Sold]]</f>
        <v>15118.948799999991</v>
      </c>
      <c r="O2077" s="17" t="s">
        <v>17</v>
      </c>
      <c r="P2077" s="26">
        <v>0.04</v>
      </c>
      <c r="Q2077" s="17" t="s">
        <v>25</v>
      </c>
      <c r="R2077" s="17" t="s">
        <v>19</v>
      </c>
      <c r="S2077" s="50" t="str">
        <f t="shared" si="98"/>
        <v>Charlie-West</v>
      </c>
      <c r="T2077" s="59" t="str">
        <f>IF(ROUND(sales_data_1[[#This Row],[Profit_Margin]],2)=ROUND((sales_data_1[[#This Row],[Unit_Price]]*(1-sales_data_1[[#This Row],[Discount]]) - sales_data_1[[#This Row],[Unit_Cost]])*sales_data_1[[#This Row],[Quantity_Sold]],2), "PASS", "CHECK")</f>
        <v>PASS</v>
      </c>
    </row>
    <row r="2078" spans="1:20" x14ac:dyDescent="0.35">
      <c r="A2078" s="7">
        <v>2077</v>
      </c>
      <c r="B2078" s="9">
        <v>1058</v>
      </c>
      <c r="C2078" s="14" t="str">
        <f>IFERROR(_xlfn.TEXTJOIN("-", TRUE, _xlfn.XLOOKUP(K2078, product_category_id_lookup!$A$2:$A$5, product_category_id_lookup!$B$2:$B$5), B2078), "Unknown Category")</f>
        <v>ctg-1058</v>
      </c>
      <c r="D2078" s="8">
        <v>45280</v>
      </c>
      <c r="E2078" s="14">
        <f t="shared" si="96"/>
        <v>2023</v>
      </c>
      <c r="F2078" s="29" t="str">
        <f t="shared" si="97"/>
        <v>Dec</v>
      </c>
      <c r="G2078" s="17" t="s">
        <v>22</v>
      </c>
      <c r="H2078" s="17" t="s">
        <v>15</v>
      </c>
      <c r="I2078" s="24">
        <v>4656.7975999999999</v>
      </c>
      <c r="J2078" s="32">
        <v>2</v>
      </c>
      <c r="K2078" s="17" t="s">
        <v>26</v>
      </c>
      <c r="L2078" s="24">
        <v>2250.91</v>
      </c>
      <c r="M2078" s="24">
        <v>2558.6799999999998</v>
      </c>
      <c r="N2078" s="34">
        <f>((sales_data_1[[#This Row],[Unit_Price]]*(1-sales_data_1[[#This Row],[Discount]]))-sales_data_1[[#This Row],[Unit_Cost]])*sales_data_1[[#This Row],[Quantity_Sold]]</f>
        <v>154.97760000000017</v>
      </c>
      <c r="O2078" s="17" t="s">
        <v>27</v>
      </c>
      <c r="P2078" s="26">
        <v>0.09</v>
      </c>
      <c r="Q2078" s="17" t="s">
        <v>28</v>
      </c>
      <c r="R2078" s="17" t="s">
        <v>21</v>
      </c>
      <c r="S2078" s="50" t="str">
        <f t="shared" si="98"/>
        <v>David-North</v>
      </c>
      <c r="T2078" s="59" t="str">
        <f>IF(ROUND(sales_data_1[[#This Row],[Profit_Margin]],2)=ROUND((sales_data_1[[#This Row],[Unit_Price]]*(1-sales_data_1[[#This Row],[Discount]]) - sales_data_1[[#This Row],[Unit_Cost]])*sales_data_1[[#This Row],[Quantity_Sold]],2), "PASS", "CHECK")</f>
        <v>PASS</v>
      </c>
    </row>
    <row r="2079" spans="1:20" x14ac:dyDescent="0.35">
      <c r="A2079" s="7">
        <v>2078</v>
      </c>
      <c r="B2079" s="9">
        <v>1008</v>
      </c>
      <c r="C2079" s="14" t="str">
        <f>IFERROR(_xlfn.TEXTJOIN("-", TRUE, _xlfn.XLOOKUP(K2079, product_category_id_lookup!$A$2:$A$5, product_category_id_lookup!$B$2:$B$5), B2079), "Unknown Category")</f>
        <v>ctg-1008</v>
      </c>
      <c r="D2079" s="8">
        <v>45280</v>
      </c>
      <c r="E2079" s="14">
        <f t="shared" si="96"/>
        <v>2023</v>
      </c>
      <c r="F2079" s="29" t="str">
        <f t="shared" si="97"/>
        <v>Dec</v>
      </c>
      <c r="G2079" s="17" t="s">
        <v>29</v>
      </c>
      <c r="H2079" s="17" t="s">
        <v>20</v>
      </c>
      <c r="I2079" s="24">
        <v>53301.800553671033</v>
      </c>
      <c r="J2079" s="32">
        <v>23</v>
      </c>
      <c r="K2079" s="17" t="s">
        <v>26</v>
      </c>
      <c r="L2079" s="24">
        <v>2296.9299999999998</v>
      </c>
      <c r="M2079" s="24">
        <v>2319.62</v>
      </c>
      <c r="N2079" s="34">
        <f>((sales_data_1[[#This Row],[Unit_Price]]*(1-sales_data_1[[#This Row],[Discount]]))-sales_data_1[[#This Row],[Unit_Cost]])*sales_data_1[[#This Row],[Quantity_Sold]]</f>
        <v>521.87000000000126</v>
      </c>
      <c r="O2079" s="17" t="s">
        <v>17</v>
      </c>
      <c r="P2079" s="26">
        <v>0</v>
      </c>
      <c r="Q2079" s="17" t="s">
        <v>25</v>
      </c>
      <c r="R2079" s="17" t="s">
        <v>21</v>
      </c>
      <c r="S2079" s="50" t="str">
        <f t="shared" si="98"/>
        <v>Charlie-West</v>
      </c>
      <c r="T2079" s="59" t="str">
        <f>IF(ROUND(sales_data_1[[#This Row],[Profit_Margin]],2)=ROUND((sales_data_1[[#This Row],[Unit_Price]]*(1-sales_data_1[[#This Row],[Discount]]) - sales_data_1[[#This Row],[Unit_Cost]])*sales_data_1[[#This Row],[Quantity_Sold]],2), "PASS", "CHECK")</f>
        <v>PASS</v>
      </c>
    </row>
    <row r="2080" spans="1:20" x14ac:dyDescent="0.35">
      <c r="A2080" s="7">
        <v>2079</v>
      </c>
      <c r="B2080" s="9">
        <v>1100</v>
      </c>
      <c r="C2080" s="14" t="str">
        <f>IFERROR(_xlfn.TEXTJOIN("-", TRUE, _xlfn.XLOOKUP(K2080, product_category_id_lookup!$A$2:$A$5, product_category_id_lookup!$B$2:$B$5), B2080), "Unknown Category")</f>
        <v>etc-1100</v>
      </c>
      <c r="D2080" s="8">
        <v>45280</v>
      </c>
      <c r="E2080" s="14">
        <f t="shared" si="96"/>
        <v>2023</v>
      </c>
      <c r="F2080" s="29" t="str">
        <f t="shared" si="97"/>
        <v>Dec</v>
      </c>
      <c r="G2080" s="17" t="s">
        <v>22</v>
      </c>
      <c r="H2080" s="17" t="s">
        <v>20</v>
      </c>
      <c r="I2080" s="24">
        <v>144532.28790000002</v>
      </c>
      <c r="J2080" s="32">
        <v>39</v>
      </c>
      <c r="K2080" s="17" t="s">
        <v>31</v>
      </c>
      <c r="L2080" s="24">
        <v>3685.03</v>
      </c>
      <c r="M2080" s="24">
        <v>3743.3900000000003</v>
      </c>
      <c r="N2080" s="34">
        <f>((sales_data_1[[#This Row],[Unit_Price]]*(1-sales_data_1[[#This Row],[Discount]]))-sales_data_1[[#This Row],[Unit_Cost]])*sales_data_1[[#This Row],[Quantity_Sold]]</f>
        <v>816.11790000000519</v>
      </c>
      <c r="O2080" s="17" t="s">
        <v>27</v>
      </c>
      <c r="P2080" s="26">
        <v>0.01</v>
      </c>
      <c r="Q2080" s="17" t="s">
        <v>25</v>
      </c>
      <c r="R2080" s="17" t="s">
        <v>19</v>
      </c>
      <c r="S2080" s="50" t="str">
        <f t="shared" si="98"/>
        <v>David-West</v>
      </c>
      <c r="T2080" s="59" t="str">
        <f>IF(ROUND(sales_data_1[[#This Row],[Profit_Margin]],2)=ROUND((sales_data_1[[#This Row],[Unit_Price]]*(1-sales_data_1[[#This Row],[Discount]]) - sales_data_1[[#This Row],[Unit_Cost]])*sales_data_1[[#This Row],[Quantity_Sold]],2), "PASS", "CHECK")</f>
        <v>PASS</v>
      </c>
    </row>
    <row r="2081" spans="1:20" x14ac:dyDescent="0.35">
      <c r="A2081" s="7">
        <v>2080</v>
      </c>
      <c r="B2081" s="9">
        <v>1069</v>
      </c>
      <c r="C2081" s="14" t="str">
        <f>IFERROR(_xlfn.TEXTJOIN("-", TRUE, _xlfn.XLOOKUP(K2081, product_category_id_lookup!$A$2:$A$5, product_category_id_lookup!$B$2:$B$5), B2081), "Unknown Category")</f>
        <v>fnt-1069</v>
      </c>
      <c r="D2081" s="8">
        <v>45280</v>
      </c>
      <c r="E2081" s="14">
        <f t="shared" si="96"/>
        <v>2023</v>
      </c>
      <c r="F2081" s="29" t="str">
        <f t="shared" si="97"/>
        <v>Dec</v>
      </c>
      <c r="G2081" s="17" t="s">
        <v>32</v>
      </c>
      <c r="H2081" s="17" t="s">
        <v>15</v>
      </c>
      <c r="I2081" s="24">
        <v>59445.865942657852</v>
      </c>
      <c r="J2081" s="32">
        <v>12</v>
      </c>
      <c r="K2081" s="17" t="s">
        <v>16</v>
      </c>
      <c r="L2081" s="24">
        <v>4682.34</v>
      </c>
      <c r="M2081" s="24">
        <v>5036.4000000000015</v>
      </c>
      <c r="N2081" s="34">
        <f>((sales_data_1[[#This Row],[Unit_Price]]*(1-sales_data_1[[#This Row],[Discount]]))-sales_data_1[[#This Row],[Unit_Cost]])*sales_data_1[[#This Row],[Quantity_Sold]]</f>
        <v>3039.9840000000149</v>
      </c>
      <c r="O2081" s="17" t="s">
        <v>27</v>
      </c>
      <c r="P2081" s="26">
        <v>0.02</v>
      </c>
      <c r="Q2081" s="17" t="s">
        <v>25</v>
      </c>
      <c r="R2081" s="17" t="s">
        <v>21</v>
      </c>
      <c r="S2081" s="50" t="str">
        <f t="shared" si="98"/>
        <v>Eve-North</v>
      </c>
      <c r="T2081" s="59" t="str">
        <f>IF(ROUND(sales_data_1[[#This Row],[Profit_Margin]],2)=ROUND((sales_data_1[[#This Row],[Unit_Price]]*(1-sales_data_1[[#This Row],[Discount]]) - sales_data_1[[#This Row],[Unit_Cost]])*sales_data_1[[#This Row],[Quantity_Sold]],2), "PASS", "CHECK")</f>
        <v>PASS</v>
      </c>
    </row>
    <row r="2082" spans="1:20" x14ac:dyDescent="0.35">
      <c r="A2082" s="7">
        <v>2081</v>
      </c>
      <c r="B2082" s="9">
        <v>1053</v>
      </c>
      <c r="C2082" s="14" t="str">
        <f>IFERROR(_xlfn.TEXTJOIN("-", TRUE, _xlfn.XLOOKUP(K2082, product_category_id_lookup!$A$2:$A$5, product_category_id_lookup!$B$2:$B$5), B2082), "Unknown Category")</f>
        <v>fnt-1053</v>
      </c>
      <c r="D2082" s="8">
        <v>45281</v>
      </c>
      <c r="E2082" s="14">
        <f t="shared" si="96"/>
        <v>2023</v>
      </c>
      <c r="F2082" s="29" t="str">
        <f t="shared" si="97"/>
        <v>Dec</v>
      </c>
      <c r="G2082" s="17" t="s">
        <v>14</v>
      </c>
      <c r="H2082" s="17" t="s">
        <v>15</v>
      </c>
      <c r="I2082" s="24">
        <v>93486.452204847505</v>
      </c>
      <c r="J2082" s="32">
        <v>44</v>
      </c>
      <c r="K2082" s="17" t="s">
        <v>16</v>
      </c>
      <c r="L2082" s="24">
        <v>2045</v>
      </c>
      <c r="M2082" s="24">
        <v>2217.5100000000002</v>
      </c>
      <c r="N2082" s="34">
        <f>((sales_data_1[[#This Row],[Unit_Price]]*(1-sales_data_1[[#This Row],[Discount]]))-sales_data_1[[#This Row],[Unit_Cost]])*sales_data_1[[#This Row],[Quantity_Sold]]</f>
        <v>3687.622400000002</v>
      </c>
      <c r="O2082" s="17" t="s">
        <v>17</v>
      </c>
      <c r="P2082" s="26">
        <v>0.04</v>
      </c>
      <c r="Q2082" s="17" t="s">
        <v>28</v>
      </c>
      <c r="R2082" s="17" t="s">
        <v>19</v>
      </c>
      <c r="S2082" s="50" t="str">
        <f t="shared" si="98"/>
        <v>Bob-North</v>
      </c>
      <c r="T2082" s="59" t="str">
        <f>IF(ROUND(sales_data_1[[#This Row],[Profit_Margin]],2)=ROUND((sales_data_1[[#This Row],[Unit_Price]]*(1-sales_data_1[[#This Row],[Discount]]) - sales_data_1[[#This Row],[Unit_Cost]])*sales_data_1[[#This Row],[Quantity_Sold]],2), "PASS", "CHECK")</f>
        <v>PASS</v>
      </c>
    </row>
    <row r="2083" spans="1:20" x14ac:dyDescent="0.35">
      <c r="A2083" s="7">
        <v>2082</v>
      </c>
      <c r="B2083" s="9">
        <v>1052</v>
      </c>
      <c r="C2083" s="14" t="str">
        <f>IFERROR(_xlfn.TEXTJOIN("-", TRUE, _xlfn.XLOOKUP(K2083, product_category_id_lookup!$A$2:$A$5, product_category_id_lookup!$B$2:$B$5), B2083), "Unknown Category")</f>
        <v>fnt-1052</v>
      </c>
      <c r="D2083" s="8">
        <v>45282</v>
      </c>
      <c r="E2083" s="14">
        <f t="shared" si="96"/>
        <v>2023</v>
      </c>
      <c r="F2083" s="29" t="str">
        <f t="shared" si="97"/>
        <v>Dec</v>
      </c>
      <c r="G2083" s="17" t="s">
        <v>29</v>
      </c>
      <c r="H2083" s="17" t="s">
        <v>20</v>
      </c>
      <c r="I2083" s="24">
        <v>7679.416991708049</v>
      </c>
      <c r="J2083" s="32">
        <v>2</v>
      </c>
      <c r="K2083" s="17" t="s">
        <v>16</v>
      </c>
      <c r="L2083" s="24">
        <v>3752.68</v>
      </c>
      <c r="M2083" s="24">
        <v>4017.91</v>
      </c>
      <c r="N2083" s="34">
        <f>((sales_data_1[[#This Row],[Unit_Price]]*(1-sales_data_1[[#This Row],[Discount]]))-sales_data_1[[#This Row],[Unit_Cost]])*sales_data_1[[#This Row],[Quantity_Sold]]</f>
        <v>209.02719999999954</v>
      </c>
      <c r="O2083" s="17" t="s">
        <v>17</v>
      </c>
      <c r="P2083" s="26">
        <v>0.04</v>
      </c>
      <c r="Q2083" s="17" t="s">
        <v>25</v>
      </c>
      <c r="R2083" s="17" t="s">
        <v>19</v>
      </c>
      <c r="S2083" s="50" t="str">
        <f t="shared" si="98"/>
        <v>Charlie-West</v>
      </c>
      <c r="T2083" s="59" t="str">
        <f>IF(ROUND(sales_data_1[[#This Row],[Profit_Margin]],2)=ROUND((sales_data_1[[#This Row],[Unit_Price]]*(1-sales_data_1[[#This Row],[Discount]]) - sales_data_1[[#This Row],[Unit_Cost]])*sales_data_1[[#This Row],[Quantity_Sold]],2), "PASS", "CHECK")</f>
        <v>PASS</v>
      </c>
    </row>
    <row r="2084" spans="1:20" x14ac:dyDescent="0.35">
      <c r="A2084" s="7">
        <v>2083</v>
      </c>
      <c r="B2084" s="9">
        <v>1004</v>
      </c>
      <c r="C2084" s="14" t="str">
        <f>IFERROR(_xlfn.TEXTJOIN("-", TRUE, _xlfn.XLOOKUP(K2084, product_category_id_lookup!$A$2:$A$5, product_category_id_lookup!$B$2:$B$5), B2084), "Unknown Category")</f>
        <v>ctg-1004</v>
      </c>
      <c r="D2084" s="8">
        <v>45282</v>
      </c>
      <c r="E2084" s="14">
        <f t="shared" si="96"/>
        <v>2023</v>
      </c>
      <c r="F2084" s="29" t="str">
        <f t="shared" si="97"/>
        <v>Dec</v>
      </c>
      <c r="G2084" s="17" t="s">
        <v>32</v>
      </c>
      <c r="H2084" s="17" t="s">
        <v>15</v>
      </c>
      <c r="I2084" s="24">
        <v>53580.270162048051</v>
      </c>
      <c r="J2084" s="32">
        <v>11</v>
      </c>
      <c r="K2084" s="17" t="s">
        <v>26</v>
      </c>
      <c r="L2084" s="24">
        <v>4840.33</v>
      </c>
      <c r="M2084" s="24">
        <v>4884.29</v>
      </c>
      <c r="N2084" s="34">
        <f>((sales_data_1[[#This Row],[Unit_Price]]*(1-sales_data_1[[#This Row],[Discount]]))-sales_data_1[[#This Row],[Unit_Cost]])*sales_data_1[[#This Row],[Quantity_Sold]]</f>
        <v>483.5600000000004</v>
      </c>
      <c r="O2084" s="17" t="s">
        <v>27</v>
      </c>
      <c r="P2084" s="26">
        <v>0</v>
      </c>
      <c r="Q2084" s="17" t="s">
        <v>18</v>
      </c>
      <c r="R2084" s="17" t="s">
        <v>19</v>
      </c>
      <c r="S2084" s="50" t="str">
        <f t="shared" si="98"/>
        <v>Eve-North</v>
      </c>
      <c r="T2084" s="59" t="str">
        <f>IF(ROUND(sales_data_1[[#This Row],[Profit_Margin]],2)=ROUND((sales_data_1[[#This Row],[Unit_Price]]*(1-sales_data_1[[#This Row],[Discount]]) - sales_data_1[[#This Row],[Unit_Cost]])*sales_data_1[[#This Row],[Quantity_Sold]],2), "PASS", "CHECK")</f>
        <v>PASS</v>
      </c>
    </row>
    <row r="2085" spans="1:20" x14ac:dyDescent="0.35">
      <c r="A2085" s="7">
        <v>2084</v>
      </c>
      <c r="B2085" s="9">
        <v>1025</v>
      </c>
      <c r="C2085" s="14" t="str">
        <f>IFERROR(_xlfn.TEXTJOIN("-", TRUE, _xlfn.XLOOKUP(K2085, product_category_id_lookup!$A$2:$A$5, product_category_id_lookup!$B$2:$B$5), B2085), "Unknown Category")</f>
        <v>fd-1025</v>
      </c>
      <c r="D2085" s="8">
        <v>45282</v>
      </c>
      <c r="E2085" s="14">
        <f t="shared" si="96"/>
        <v>2023</v>
      </c>
      <c r="F2085" s="29" t="str">
        <f t="shared" si="97"/>
        <v>Dec</v>
      </c>
      <c r="G2085" s="17" t="s">
        <v>14</v>
      </c>
      <c r="H2085" s="17" t="s">
        <v>23</v>
      </c>
      <c r="I2085" s="24">
        <v>16095.224835313025</v>
      </c>
      <c r="J2085" s="32">
        <v>11</v>
      </c>
      <c r="K2085" s="17" t="s">
        <v>24</v>
      </c>
      <c r="L2085" s="24">
        <v>1250.5899999999999</v>
      </c>
      <c r="M2085" s="24">
        <v>1515.4899999999998</v>
      </c>
      <c r="N2085" s="34">
        <f>((sales_data_1[[#This Row],[Unit_Price]]*(1-sales_data_1[[#This Row],[Discount]]))-sales_data_1[[#This Row],[Unit_Cost]])*sales_data_1[[#This Row],[Quantity_Sold]]</f>
        <v>2413.7882999999983</v>
      </c>
      <c r="O2085" s="17" t="s">
        <v>17</v>
      </c>
      <c r="P2085" s="26">
        <v>0.03</v>
      </c>
      <c r="Q2085" s="17" t="s">
        <v>25</v>
      </c>
      <c r="R2085" s="17" t="s">
        <v>21</v>
      </c>
      <c r="S2085" s="50" t="str">
        <f t="shared" si="98"/>
        <v>Bob-South</v>
      </c>
      <c r="T2085" s="59" t="str">
        <f>IF(ROUND(sales_data_1[[#This Row],[Profit_Margin]],2)=ROUND((sales_data_1[[#This Row],[Unit_Price]]*(1-sales_data_1[[#This Row],[Discount]]) - sales_data_1[[#This Row],[Unit_Cost]])*sales_data_1[[#This Row],[Quantity_Sold]],2), "PASS", "CHECK")</f>
        <v>PASS</v>
      </c>
    </row>
    <row r="2086" spans="1:20" x14ac:dyDescent="0.35">
      <c r="A2086" s="7">
        <v>2085</v>
      </c>
      <c r="B2086" s="9">
        <v>1061</v>
      </c>
      <c r="C2086" s="14" t="str">
        <f>IFERROR(_xlfn.TEXTJOIN("-", TRUE, _xlfn.XLOOKUP(K2086, product_category_id_lookup!$A$2:$A$5, product_category_id_lookup!$B$2:$B$5), B2086), "Unknown Category")</f>
        <v>ctg-1061</v>
      </c>
      <c r="D2086" s="8">
        <v>45282</v>
      </c>
      <c r="E2086" s="14">
        <f t="shared" si="96"/>
        <v>2023</v>
      </c>
      <c r="F2086" s="29" t="str">
        <f t="shared" si="97"/>
        <v>Dec</v>
      </c>
      <c r="G2086" s="17" t="s">
        <v>33</v>
      </c>
      <c r="H2086" s="17" t="s">
        <v>15</v>
      </c>
      <c r="I2086" s="24">
        <v>68073.12000000001</v>
      </c>
      <c r="J2086" s="32">
        <v>45</v>
      </c>
      <c r="K2086" s="17" t="s">
        <v>26</v>
      </c>
      <c r="L2086" s="24">
        <v>1364.51</v>
      </c>
      <c r="M2086" s="24">
        <v>1844.8</v>
      </c>
      <c r="N2086" s="34">
        <f>((sales_data_1[[#This Row],[Unit_Price]]*(1-sales_data_1[[#This Row],[Discount]]))-sales_data_1[[#This Row],[Unit_Cost]])*sales_data_1[[#This Row],[Quantity_Sold]]</f>
        <v>6670.1700000000055</v>
      </c>
      <c r="O2086" s="17" t="s">
        <v>17</v>
      </c>
      <c r="P2086" s="26">
        <v>0.18</v>
      </c>
      <c r="Q2086" s="17" t="s">
        <v>18</v>
      </c>
      <c r="R2086" s="17" t="s">
        <v>19</v>
      </c>
      <c r="S2086" s="50" t="str">
        <f t="shared" si="98"/>
        <v>Alice-North</v>
      </c>
      <c r="T2086" s="59" t="str">
        <f>IF(ROUND(sales_data_1[[#This Row],[Profit_Margin]],2)=ROUND((sales_data_1[[#This Row],[Unit_Price]]*(1-sales_data_1[[#This Row],[Discount]]) - sales_data_1[[#This Row],[Unit_Cost]])*sales_data_1[[#This Row],[Quantity_Sold]],2), "PASS", "CHECK")</f>
        <v>PASS</v>
      </c>
    </row>
    <row r="2087" spans="1:20" x14ac:dyDescent="0.35">
      <c r="A2087" s="7">
        <v>2086</v>
      </c>
      <c r="B2087" s="9">
        <v>1052</v>
      </c>
      <c r="C2087" s="14" t="str">
        <f>IFERROR(_xlfn.TEXTJOIN("-", TRUE, _xlfn.XLOOKUP(K2087, product_category_id_lookup!$A$2:$A$5, product_category_id_lookup!$B$2:$B$5), B2087), "Unknown Category")</f>
        <v>fd-1052</v>
      </c>
      <c r="D2087" s="8">
        <v>45282</v>
      </c>
      <c r="E2087" s="14">
        <f t="shared" si="96"/>
        <v>2023</v>
      </c>
      <c r="F2087" s="29" t="str">
        <f t="shared" si="97"/>
        <v>Dec</v>
      </c>
      <c r="G2087" s="17" t="s">
        <v>29</v>
      </c>
      <c r="H2087" s="17" t="s">
        <v>20</v>
      </c>
      <c r="I2087" s="24">
        <v>27411.091199999999</v>
      </c>
      <c r="J2087" s="32">
        <v>18</v>
      </c>
      <c r="K2087" s="17" t="s">
        <v>24</v>
      </c>
      <c r="L2087" s="24">
        <v>1127.8599999999999</v>
      </c>
      <c r="M2087" s="24">
        <v>1586.29</v>
      </c>
      <c r="N2087" s="34">
        <f>((sales_data_1[[#This Row],[Unit_Price]]*(1-sales_data_1[[#This Row],[Discount]]))-sales_data_1[[#This Row],[Unit_Cost]])*sales_data_1[[#This Row],[Quantity_Sold]]</f>
        <v>7109.6111999999994</v>
      </c>
      <c r="O2087" s="17" t="s">
        <v>27</v>
      </c>
      <c r="P2087" s="26">
        <v>0.04</v>
      </c>
      <c r="Q2087" s="17" t="s">
        <v>28</v>
      </c>
      <c r="R2087" s="17" t="s">
        <v>19</v>
      </c>
      <c r="S2087" s="50" t="str">
        <f t="shared" si="98"/>
        <v>Charlie-West</v>
      </c>
      <c r="T2087" s="59" t="str">
        <f>IF(ROUND(sales_data_1[[#This Row],[Profit_Margin]],2)=ROUND((sales_data_1[[#This Row],[Unit_Price]]*(1-sales_data_1[[#This Row],[Discount]]) - sales_data_1[[#This Row],[Unit_Cost]])*sales_data_1[[#This Row],[Quantity_Sold]],2), "PASS", "CHECK")</f>
        <v>PASS</v>
      </c>
    </row>
    <row r="2088" spans="1:20" x14ac:dyDescent="0.35">
      <c r="A2088" s="7">
        <v>2087</v>
      </c>
      <c r="B2088" s="9">
        <v>1001</v>
      </c>
      <c r="C2088" s="14" t="str">
        <f>IFERROR(_xlfn.TEXTJOIN("-", TRUE, _xlfn.XLOOKUP(K2088, product_category_id_lookup!$A$2:$A$5, product_category_id_lookup!$B$2:$B$5), B2088), "Unknown Category")</f>
        <v>ctg-1001</v>
      </c>
      <c r="D2088" s="8">
        <v>45282</v>
      </c>
      <c r="E2088" s="14">
        <f t="shared" si="96"/>
        <v>2023</v>
      </c>
      <c r="F2088" s="29" t="str">
        <f t="shared" si="97"/>
        <v>Dec</v>
      </c>
      <c r="G2088" s="17" t="s">
        <v>22</v>
      </c>
      <c r="H2088" s="17" t="s">
        <v>20</v>
      </c>
      <c r="I2088" s="24">
        <v>74433.303</v>
      </c>
      <c r="J2088" s="32">
        <v>45</v>
      </c>
      <c r="K2088" s="17" t="s">
        <v>26</v>
      </c>
      <c r="L2088" s="24">
        <v>1372.36</v>
      </c>
      <c r="M2088" s="24">
        <v>1687.83</v>
      </c>
      <c r="N2088" s="34">
        <f>((sales_data_1[[#This Row],[Unit_Price]]*(1-sales_data_1[[#This Row],[Discount]]))-sales_data_1[[#This Row],[Unit_Cost]])*sales_data_1[[#This Row],[Quantity_Sold]]</f>
        <v>12677.103000000005</v>
      </c>
      <c r="O2088" s="17" t="s">
        <v>27</v>
      </c>
      <c r="P2088" s="26">
        <v>0.02</v>
      </c>
      <c r="Q2088" s="17" t="s">
        <v>28</v>
      </c>
      <c r="R2088" s="17" t="s">
        <v>19</v>
      </c>
      <c r="S2088" s="50" t="str">
        <f t="shared" si="98"/>
        <v>David-West</v>
      </c>
      <c r="T2088" s="59" t="str">
        <f>IF(ROUND(sales_data_1[[#This Row],[Profit_Margin]],2)=ROUND((sales_data_1[[#This Row],[Unit_Price]]*(1-sales_data_1[[#This Row],[Discount]]) - sales_data_1[[#This Row],[Unit_Cost]])*sales_data_1[[#This Row],[Quantity_Sold]],2), "PASS", "CHECK")</f>
        <v>PASS</v>
      </c>
    </row>
    <row r="2089" spans="1:20" x14ac:dyDescent="0.35">
      <c r="A2089" s="7">
        <v>2088</v>
      </c>
      <c r="B2089" s="9">
        <v>1023</v>
      </c>
      <c r="C2089" s="14" t="str">
        <f>IFERROR(_xlfn.TEXTJOIN("-", TRUE, _xlfn.XLOOKUP(K2089, product_category_id_lookup!$A$2:$A$5, product_category_id_lookup!$B$2:$B$5), B2089), "Unknown Category")</f>
        <v>etc-1023</v>
      </c>
      <c r="D2089" s="8">
        <v>45283</v>
      </c>
      <c r="E2089" s="14">
        <f t="shared" si="96"/>
        <v>2023</v>
      </c>
      <c r="F2089" s="29" t="str">
        <f t="shared" si="97"/>
        <v>Dec</v>
      </c>
      <c r="G2089" s="17" t="s">
        <v>14</v>
      </c>
      <c r="H2089" s="17" t="s">
        <v>30</v>
      </c>
      <c r="I2089" s="24">
        <v>158667.05159583825</v>
      </c>
      <c r="J2089" s="32">
        <v>47</v>
      </c>
      <c r="K2089" s="17" t="s">
        <v>31</v>
      </c>
      <c r="L2089" s="24">
        <v>3374.72</v>
      </c>
      <c r="M2089" s="24">
        <v>3483.1499999999996</v>
      </c>
      <c r="N2089" s="34">
        <f>((sales_data_1[[#This Row],[Unit_Price]]*(1-sales_data_1[[#This Row],[Discount]]))-sales_data_1[[#This Row],[Unit_Cost]])*sales_data_1[[#This Row],[Quantity_Sold]]</f>
        <v>184.96849999998085</v>
      </c>
      <c r="O2089" s="17" t="s">
        <v>17</v>
      </c>
      <c r="P2089" s="26">
        <v>0.03</v>
      </c>
      <c r="Q2089" s="17" t="s">
        <v>18</v>
      </c>
      <c r="R2089" s="17" t="s">
        <v>19</v>
      </c>
      <c r="S2089" s="50" t="str">
        <f t="shared" si="98"/>
        <v>Bob-East</v>
      </c>
      <c r="T2089" s="59" t="str">
        <f>IF(ROUND(sales_data_1[[#This Row],[Profit_Margin]],2)=ROUND((sales_data_1[[#This Row],[Unit_Price]]*(1-sales_data_1[[#This Row],[Discount]]) - sales_data_1[[#This Row],[Unit_Cost]])*sales_data_1[[#This Row],[Quantity_Sold]],2), "PASS", "CHECK")</f>
        <v>PASS</v>
      </c>
    </row>
    <row r="2090" spans="1:20" x14ac:dyDescent="0.35">
      <c r="A2090" s="7">
        <v>2089</v>
      </c>
      <c r="B2090" s="9">
        <v>1017</v>
      </c>
      <c r="C2090" s="14" t="str">
        <f>IFERROR(_xlfn.TEXTJOIN("-", TRUE, _xlfn.XLOOKUP(K2090, product_category_id_lookup!$A$2:$A$5, product_category_id_lookup!$B$2:$B$5), B2090), "Unknown Category")</f>
        <v>fd-1017</v>
      </c>
      <c r="D2090" s="8">
        <v>45283</v>
      </c>
      <c r="E2090" s="14">
        <f t="shared" si="96"/>
        <v>2023</v>
      </c>
      <c r="F2090" s="29" t="str">
        <f t="shared" si="97"/>
        <v>Dec</v>
      </c>
      <c r="G2090" s="17" t="s">
        <v>33</v>
      </c>
      <c r="H2090" s="17" t="s">
        <v>30</v>
      </c>
      <c r="I2090" s="24">
        <v>60538.143599999996</v>
      </c>
      <c r="J2090" s="32">
        <v>33</v>
      </c>
      <c r="K2090" s="17" t="s">
        <v>24</v>
      </c>
      <c r="L2090" s="24">
        <v>1551.25</v>
      </c>
      <c r="M2090" s="24">
        <v>1994.01</v>
      </c>
      <c r="N2090" s="34">
        <f>((sales_data_1[[#This Row],[Unit_Price]]*(1-sales_data_1[[#This Row],[Discount]]))-sales_data_1[[#This Row],[Unit_Cost]])*sales_data_1[[#This Row],[Quantity_Sold]]</f>
        <v>9346.8935999999994</v>
      </c>
      <c r="O2090" s="17" t="s">
        <v>17</v>
      </c>
      <c r="P2090" s="26">
        <v>0.08</v>
      </c>
      <c r="Q2090" s="17" t="s">
        <v>18</v>
      </c>
      <c r="R2090" s="17" t="s">
        <v>19</v>
      </c>
      <c r="S2090" s="50" t="str">
        <f t="shared" si="98"/>
        <v>Alice-East</v>
      </c>
      <c r="T2090" s="59" t="str">
        <f>IF(ROUND(sales_data_1[[#This Row],[Profit_Margin]],2)=ROUND((sales_data_1[[#This Row],[Unit_Price]]*(1-sales_data_1[[#This Row],[Discount]]) - sales_data_1[[#This Row],[Unit_Cost]])*sales_data_1[[#This Row],[Quantity_Sold]],2), "PASS", "CHECK")</f>
        <v>PASS</v>
      </c>
    </row>
    <row r="2091" spans="1:20" x14ac:dyDescent="0.35">
      <c r="A2091" s="7">
        <v>2090</v>
      </c>
      <c r="B2091" s="9">
        <v>1005</v>
      </c>
      <c r="C2091" s="14" t="str">
        <f>IFERROR(_xlfn.TEXTJOIN("-", TRUE, _xlfn.XLOOKUP(K2091, product_category_id_lookup!$A$2:$A$5, product_category_id_lookup!$B$2:$B$5), B2091), "Unknown Category")</f>
        <v>fnt-1005</v>
      </c>
      <c r="D2091" s="8">
        <v>45285</v>
      </c>
      <c r="E2091" s="14">
        <f t="shared" si="96"/>
        <v>2023</v>
      </c>
      <c r="F2091" s="29" t="str">
        <f t="shared" si="97"/>
        <v>Dec</v>
      </c>
      <c r="G2091" s="17" t="s">
        <v>33</v>
      </c>
      <c r="H2091" s="17" t="s">
        <v>23</v>
      </c>
      <c r="I2091" s="24">
        <v>60582.814749960213</v>
      </c>
      <c r="J2091" s="32">
        <v>28</v>
      </c>
      <c r="K2091" s="17" t="s">
        <v>16</v>
      </c>
      <c r="L2091" s="24">
        <v>2146.2399999999998</v>
      </c>
      <c r="M2091" s="24">
        <v>2173.4699999999998</v>
      </c>
      <c r="N2091" s="34">
        <f>((sales_data_1[[#This Row],[Unit_Price]]*(1-sales_data_1[[#This Row],[Discount]]))-sales_data_1[[#This Row],[Unit_Cost]])*sales_data_1[[#This Row],[Quantity_Sold]]</f>
        <v>762.44000000000051</v>
      </c>
      <c r="O2091" s="17" t="s">
        <v>17</v>
      </c>
      <c r="P2091" s="26">
        <v>0</v>
      </c>
      <c r="Q2091" s="17" t="s">
        <v>18</v>
      </c>
      <c r="R2091" s="17" t="s">
        <v>21</v>
      </c>
      <c r="S2091" s="50" t="str">
        <f t="shared" si="98"/>
        <v>Alice-South</v>
      </c>
      <c r="T2091" s="59" t="str">
        <f>IF(ROUND(sales_data_1[[#This Row],[Profit_Margin]],2)=ROUND((sales_data_1[[#This Row],[Unit_Price]]*(1-sales_data_1[[#This Row],[Discount]]) - sales_data_1[[#This Row],[Unit_Cost]])*sales_data_1[[#This Row],[Quantity_Sold]],2), "PASS", "CHECK")</f>
        <v>PASS</v>
      </c>
    </row>
    <row r="2092" spans="1:20" x14ac:dyDescent="0.35">
      <c r="A2092" s="7">
        <v>2091</v>
      </c>
      <c r="B2092" s="9">
        <v>1010</v>
      </c>
      <c r="C2092" s="14" t="str">
        <f>IFERROR(_xlfn.TEXTJOIN("-", TRUE, _xlfn.XLOOKUP(K2092, product_category_id_lookup!$A$2:$A$5, product_category_id_lookup!$B$2:$B$5), B2092), "Unknown Category")</f>
        <v>fd-1010</v>
      </c>
      <c r="D2092" s="8">
        <v>45285</v>
      </c>
      <c r="E2092" s="14">
        <f t="shared" si="96"/>
        <v>2023</v>
      </c>
      <c r="F2092" s="29" t="str">
        <f t="shared" si="97"/>
        <v>Dec</v>
      </c>
      <c r="G2092" s="17" t="s">
        <v>22</v>
      </c>
      <c r="H2092" s="17" t="s">
        <v>23</v>
      </c>
      <c r="I2092" s="24">
        <v>100974.64132736642</v>
      </c>
      <c r="J2092" s="32">
        <v>30</v>
      </c>
      <c r="K2092" s="17" t="s">
        <v>24</v>
      </c>
      <c r="L2092" s="24">
        <v>3289.01</v>
      </c>
      <c r="M2092" s="24">
        <v>3508.1400000000003</v>
      </c>
      <c r="N2092" s="34">
        <f>((sales_data_1[[#This Row],[Unit_Price]]*(1-sales_data_1[[#This Row],[Discount]]))-sales_data_1[[#This Row],[Unit_Cost]])*sales_data_1[[#This Row],[Quantity_Sold]]</f>
        <v>2364.1319999999996</v>
      </c>
      <c r="O2092" s="17" t="s">
        <v>27</v>
      </c>
      <c r="P2092" s="26">
        <v>0.04</v>
      </c>
      <c r="Q2092" s="17" t="s">
        <v>25</v>
      </c>
      <c r="R2092" s="17" t="s">
        <v>21</v>
      </c>
      <c r="S2092" s="50" t="str">
        <f t="shared" si="98"/>
        <v>David-South</v>
      </c>
      <c r="T2092" s="59" t="str">
        <f>IF(ROUND(sales_data_1[[#This Row],[Profit_Margin]],2)=ROUND((sales_data_1[[#This Row],[Unit_Price]]*(1-sales_data_1[[#This Row],[Discount]]) - sales_data_1[[#This Row],[Unit_Cost]])*sales_data_1[[#This Row],[Quantity_Sold]],2), "PASS", "CHECK")</f>
        <v>PASS</v>
      </c>
    </row>
    <row r="2093" spans="1:20" x14ac:dyDescent="0.35">
      <c r="A2093" s="7">
        <v>2092</v>
      </c>
      <c r="B2093" s="9">
        <v>1056</v>
      </c>
      <c r="C2093" s="14" t="str">
        <f>IFERROR(_xlfn.TEXTJOIN("-", TRUE, _xlfn.XLOOKUP(K2093, product_category_id_lookup!$A$2:$A$5, product_category_id_lookup!$B$2:$B$5), B2093), "Unknown Category")</f>
        <v>ctg-1056</v>
      </c>
      <c r="D2093" s="8">
        <v>45285</v>
      </c>
      <c r="E2093" s="14">
        <f t="shared" si="96"/>
        <v>2023</v>
      </c>
      <c r="F2093" s="29" t="str">
        <f t="shared" si="97"/>
        <v>Dec</v>
      </c>
      <c r="G2093" s="17" t="s">
        <v>14</v>
      </c>
      <c r="H2093" s="17" t="s">
        <v>15</v>
      </c>
      <c r="I2093" s="24">
        <v>33756.764822137833</v>
      </c>
      <c r="J2093" s="32">
        <v>25</v>
      </c>
      <c r="K2093" s="17" t="s">
        <v>26</v>
      </c>
      <c r="L2093" s="24">
        <v>1154.28</v>
      </c>
      <c r="M2093" s="24">
        <v>1408.4</v>
      </c>
      <c r="N2093" s="34">
        <f>((sales_data_1[[#This Row],[Unit_Price]]*(1-sales_data_1[[#This Row],[Discount]]))-sales_data_1[[#This Row],[Unit_Cost]])*sales_data_1[[#This Row],[Quantity_Sold]]</f>
        <v>4944.6000000000022</v>
      </c>
      <c r="O2093" s="17" t="s">
        <v>17</v>
      </c>
      <c r="P2093" s="26">
        <v>0.04</v>
      </c>
      <c r="Q2093" s="17" t="s">
        <v>25</v>
      </c>
      <c r="R2093" s="17" t="s">
        <v>21</v>
      </c>
      <c r="S2093" s="50" t="str">
        <f t="shared" si="98"/>
        <v>Bob-North</v>
      </c>
      <c r="T2093" s="59" t="str">
        <f>IF(ROUND(sales_data_1[[#This Row],[Profit_Margin]],2)=ROUND((sales_data_1[[#This Row],[Unit_Price]]*(1-sales_data_1[[#This Row],[Discount]]) - sales_data_1[[#This Row],[Unit_Cost]])*sales_data_1[[#This Row],[Quantity_Sold]],2), "PASS", "CHECK")</f>
        <v>PASS</v>
      </c>
    </row>
    <row r="2094" spans="1:20" x14ac:dyDescent="0.35">
      <c r="A2094" s="7">
        <v>2093</v>
      </c>
      <c r="B2094" s="9">
        <v>1089</v>
      </c>
      <c r="C2094" s="14" t="str">
        <f>IFERROR(_xlfn.TEXTJOIN("-", TRUE, _xlfn.XLOOKUP(K2094, product_category_id_lookup!$A$2:$A$5, product_category_id_lookup!$B$2:$B$5), B2094), "Unknown Category")</f>
        <v>ctg-1089</v>
      </c>
      <c r="D2094" s="8">
        <v>45285</v>
      </c>
      <c r="E2094" s="14">
        <f t="shared" si="96"/>
        <v>2023</v>
      </c>
      <c r="F2094" s="29" t="str">
        <f t="shared" si="97"/>
        <v>Dec</v>
      </c>
      <c r="G2094" s="17" t="s">
        <v>32</v>
      </c>
      <c r="H2094" s="17" t="s">
        <v>23</v>
      </c>
      <c r="I2094" s="24">
        <v>149108.25599999999</v>
      </c>
      <c r="J2094" s="32">
        <v>32</v>
      </c>
      <c r="K2094" s="17" t="s">
        <v>26</v>
      </c>
      <c r="L2094" s="24">
        <v>4248.5</v>
      </c>
      <c r="M2094" s="24">
        <v>4706.7</v>
      </c>
      <c r="N2094" s="34">
        <f>((sales_data_1[[#This Row],[Unit_Price]]*(1-sales_data_1[[#This Row],[Discount]]))-sales_data_1[[#This Row],[Unit_Cost]])*sales_data_1[[#This Row],[Quantity_Sold]]</f>
        <v>13156.255999999994</v>
      </c>
      <c r="O2094" s="17" t="s">
        <v>27</v>
      </c>
      <c r="P2094" s="26">
        <v>0.01</v>
      </c>
      <c r="Q2094" s="17" t="s">
        <v>25</v>
      </c>
      <c r="R2094" s="17" t="s">
        <v>21</v>
      </c>
      <c r="S2094" s="50" t="str">
        <f t="shared" si="98"/>
        <v>Eve-South</v>
      </c>
      <c r="T2094" s="59" t="str">
        <f>IF(ROUND(sales_data_1[[#This Row],[Profit_Margin]],2)=ROUND((sales_data_1[[#This Row],[Unit_Price]]*(1-sales_data_1[[#This Row],[Discount]]) - sales_data_1[[#This Row],[Unit_Cost]])*sales_data_1[[#This Row],[Quantity_Sold]],2), "PASS", "CHECK")</f>
        <v>PASS</v>
      </c>
    </row>
    <row r="2095" spans="1:20" x14ac:dyDescent="0.35">
      <c r="A2095" s="7">
        <v>2094</v>
      </c>
      <c r="B2095" s="9">
        <v>1047</v>
      </c>
      <c r="C2095" s="14" t="str">
        <f>IFERROR(_xlfn.TEXTJOIN("-", TRUE, _xlfn.XLOOKUP(K2095, product_category_id_lookup!$A$2:$A$5, product_category_id_lookup!$B$2:$B$5), B2095), "Unknown Category")</f>
        <v>etc-1047</v>
      </c>
      <c r="D2095" s="8">
        <v>45285</v>
      </c>
      <c r="E2095" s="14">
        <f t="shared" si="96"/>
        <v>2023</v>
      </c>
      <c r="F2095" s="29" t="str">
        <f t="shared" si="97"/>
        <v>Dec</v>
      </c>
      <c r="G2095" s="17" t="s">
        <v>22</v>
      </c>
      <c r="H2095" s="17" t="s">
        <v>15</v>
      </c>
      <c r="I2095" s="24">
        <v>68326.054000000004</v>
      </c>
      <c r="J2095" s="32">
        <v>43</v>
      </c>
      <c r="K2095" s="17" t="s">
        <v>31</v>
      </c>
      <c r="L2095" s="24">
        <v>1249.17</v>
      </c>
      <c r="M2095" s="24">
        <v>1727.15</v>
      </c>
      <c r="N2095" s="34">
        <f>((sales_data_1[[#This Row],[Unit_Price]]*(1-sales_data_1[[#This Row],[Discount]]))-sales_data_1[[#This Row],[Unit_Cost]])*sales_data_1[[#This Row],[Quantity_Sold]]</f>
        <v>14611.743999999999</v>
      </c>
      <c r="O2095" s="17" t="s">
        <v>27</v>
      </c>
      <c r="P2095" s="26">
        <v>0.08</v>
      </c>
      <c r="Q2095" s="17" t="s">
        <v>18</v>
      </c>
      <c r="R2095" s="17" t="s">
        <v>21</v>
      </c>
      <c r="S2095" s="50" t="str">
        <f t="shared" si="98"/>
        <v>David-North</v>
      </c>
      <c r="T2095" s="59" t="str">
        <f>IF(ROUND(sales_data_1[[#This Row],[Profit_Margin]],2)=ROUND((sales_data_1[[#This Row],[Unit_Price]]*(1-sales_data_1[[#This Row],[Discount]]) - sales_data_1[[#This Row],[Unit_Cost]])*sales_data_1[[#This Row],[Quantity_Sold]],2), "PASS", "CHECK")</f>
        <v>PASS</v>
      </c>
    </row>
    <row r="2096" spans="1:20" x14ac:dyDescent="0.35">
      <c r="A2096" s="7">
        <v>2095</v>
      </c>
      <c r="B2096" s="9">
        <v>1032</v>
      </c>
      <c r="C2096" s="14" t="str">
        <f>IFERROR(_xlfn.TEXTJOIN("-", TRUE, _xlfn.XLOOKUP(K2096, product_category_id_lookup!$A$2:$A$5, product_category_id_lookup!$B$2:$B$5), B2096), "Unknown Category")</f>
        <v>ctg-1032</v>
      </c>
      <c r="D2096" s="8">
        <v>45286</v>
      </c>
      <c r="E2096" s="14">
        <f t="shared" si="96"/>
        <v>2023</v>
      </c>
      <c r="F2096" s="29" t="str">
        <f t="shared" si="97"/>
        <v>Dec</v>
      </c>
      <c r="G2096" s="17" t="s">
        <v>22</v>
      </c>
      <c r="H2096" s="17" t="s">
        <v>23</v>
      </c>
      <c r="I2096" s="24">
        <v>46410.974070632212</v>
      </c>
      <c r="J2096" s="32">
        <v>11</v>
      </c>
      <c r="K2096" s="17" t="s">
        <v>26</v>
      </c>
      <c r="L2096" s="24">
        <v>4100.62</v>
      </c>
      <c r="M2096" s="24">
        <v>4230</v>
      </c>
      <c r="N2096" s="34">
        <f>((sales_data_1[[#This Row],[Unit_Price]]*(1-sales_data_1[[#This Row],[Discount]]))-sales_data_1[[#This Row],[Unit_Cost]])*sales_data_1[[#This Row],[Quantity_Sold]]</f>
        <v>1423.1800000000012</v>
      </c>
      <c r="O2096" s="17" t="s">
        <v>27</v>
      </c>
      <c r="P2096" s="26">
        <v>0</v>
      </c>
      <c r="Q2096" s="17" t="s">
        <v>25</v>
      </c>
      <c r="R2096" s="17" t="s">
        <v>19</v>
      </c>
      <c r="S2096" s="50" t="str">
        <f t="shared" si="98"/>
        <v>David-South</v>
      </c>
      <c r="T2096" s="59" t="str">
        <f>IF(ROUND(sales_data_1[[#This Row],[Profit_Margin]],2)=ROUND((sales_data_1[[#This Row],[Unit_Price]]*(1-sales_data_1[[#This Row],[Discount]]) - sales_data_1[[#This Row],[Unit_Cost]])*sales_data_1[[#This Row],[Quantity_Sold]],2), "PASS", "CHECK")</f>
        <v>PASS</v>
      </c>
    </row>
    <row r="2097" spans="1:20" x14ac:dyDescent="0.35">
      <c r="A2097" s="7">
        <v>2096</v>
      </c>
      <c r="B2097" s="9">
        <v>1099</v>
      </c>
      <c r="C2097" s="14" t="str">
        <f>IFERROR(_xlfn.TEXTJOIN("-", TRUE, _xlfn.XLOOKUP(K2097, product_category_id_lookup!$A$2:$A$5, product_category_id_lookup!$B$2:$B$5), B2097), "Unknown Category")</f>
        <v>etc-1099</v>
      </c>
      <c r="D2097" s="8">
        <v>45286</v>
      </c>
      <c r="E2097" s="14">
        <f t="shared" si="96"/>
        <v>2023</v>
      </c>
      <c r="F2097" s="29" t="str">
        <f t="shared" si="97"/>
        <v>Dec</v>
      </c>
      <c r="G2097" s="17" t="s">
        <v>32</v>
      </c>
      <c r="H2097" s="17" t="s">
        <v>20</v>
      </c>
      <c r="I2097" s="24">
        <v>105058.40008977411</v>
      </c>
      <c r="J2097" s="32">
        <v>25</v>
      </c>
      <c r="K2097" s="17" t="s">
        <v>31</v>
      </c>
      <c r="L2097" s="24">
        <v>4148.4799999999996</v>
      </c>
      <c r="M2097" s="24">
        <v>4293.6899999999996</v>
      </c>
      <c r="N2097" s="34">
        <f>((sales_data_1[[#This Row],[Unit_Price]]*(1-sales_data_1[[#This Row],[Discount]]))-sales_data_1[[#This Row],[Unit_Cost]])*sales_data_1[[#This Row],[Quantity_Sold]]</f>
        <v>1483.4049999999934</v>
      </c>
      <c r="O2097" s="17" t="s">
        <v>27</v>
      </c>
      <c r="P2097" s="26">
        <v>0.02</v>
      </c>
      <c r="Q2097" s="17" t="s">
        <v>25</v>
      </c>
      <c r="R2097" s="17" t="s">
        <v>19</v>
      </c>
      <c r="S2097" s="50" t="str">
        <f t="shared" si="98"/>
        <v>Eve-West</v>
      </c>
      <c r="T2097" s="59" t="str">
        <f>IF(ROUND(sales_data_1[[#This Row],[Profit_Margin]],2)=ROUND((sales_data_1[[#This Row],[Unit_Price]]*(1-sales_data_1[[#This Row],[Discount]]) - sales_data_1[[#This Row],[Unit_Cost]])*sales_data_1[[#This Row],[Quantity_Sold]],2), "PASS", "CHECK")</f>
        <v>PASS</v>
      </c>
    </row>
    <row r="2098" spans="1:20" x14ac:dyDescent="0.35">
      <c r="A2098" s="7">
        <v>2097</v>
      </c>
      <c r="B2098" s="9">
        <v>1024</v>
      </c>
      <c r="C2098" s="14" t="str">
        <f>IFERROR(_xlfn.TEXTJOIN("-", TRUE, _xlfn.XLOOKUP(K2098, product_category_id_lookup!$A$2:$A$5, product_category_id_lookup!$B$2:$B$5), B2098), "Unknown Category")</f>
        <v>fnt-1024</v>
      </c>
      <c r="D2098" s="8">
        <v>45286</v>
      </c>
      <c r="E2098" s="14">
        <f t="shared" si="96"/>
        <v>2023</v>
      </c>
      <c r="F2098" s="29" t="str">
        <f t="shared" si="97"/>
        <v>Dec</v>
      </c>
      <c r="G2098" s="17" t="s">
        <v>22</v>
      </c>
      <c r="H2098" s="17" t="s">
        <v>15</v>
      </c>
      <c r="I2098" s="24">
        <v>72387.329789410738</v>
      </c>
      <c r="J2098" s="32">
        <v>17</v>
      </c>
      <c r="K2098" s="17" t="s">
        <v>16</v>
      </c>
      <c r="L2098" s="24">
        <v>4114.66</v>
      </c>
      <c r="M2098" s="24">
        <v>4269.0199999999995</v>
      </c>
      <c r="N2098" s="34">
        <f>((sales_data_1[[#This Row],[Unit_Price]]*(1-sales_data_1[[#This Row],[Discount]]))-sales_data_1[[#This Row],[Unit_Cost]])*sales_data_1[[#This Row],[Quantity_Sold]]</f>
        <v>2624.1199999999944</v>
      </c>
      <c r="O2098" s="17" t="s">
        <v>17</v>
      </c>
      <c r="P2098" s="26">
        <v>0</v>
      </c>
      <c r="Q2098" s="17" t="s">
        <v>25</v>
      </c>
      <c r="R2098" s="17" t="s">
        <v>21</v>
      </c>
      <c r="S2098" s="50" t="str">
        <f t="shared" si="98"/>
        <v>David-North</v>
      </c>
      <c r="T2098" s="59" t="str">
        <f>IF(ROUND(sales_data_1[[#This Row],[Profit_Margin]],2)=ROUND((sales_data_1[[#This Row],[Unit_Price]]*(1-sales_data_1[[#This Row],[Discount]]) - sales_data_1[[#This Row],[Unit_Cost]])*sales_data_1[[#This Row],[Quantity_Sold]],2), "PASS", "CHECK")</f>
        <v>PASS</v>
      </c>
    </row>
    <row r="2099" spans="1:20" x14ac:dyDescent="0.35">
      <c r="A2099" s="7">
        <v>2098</v>
      </c>
      <c r="B2099" s="9">
        <v>1072</v>
      </c>
      <c r="C2099" s="14" t="str">
        <f>IFERROR(_xlfn.TEXTJOIN("-", TRUE, _xlfn.XLOOKUP(K2099, product_category_id_lookup!$A$2:$A$5, product_category_id_lookup!$B$2:$B$5), B2099), "Unknown Category")</f>
        <v>fnt-1072</v>
      </c>
      <c r="D2099" s="8">
        <v>45286</v>
      </c>
      <c r="E2099" s="14">
        <f t="shared" si="96"/>
        <v>2023</v>
      </c>
      <c r="F2099" s="29" t="str">
        <f t="shared" si="97"/>
        <v>Dec</v>
      </c>
      <c r="G2099" s="17" t="s">
        <v>29</v>
      </c>
      <c r="H2099" s="17" t="s">
        <v>15</v>
      </c>
      <c r="I2099" s="24">
        <v>41982.82</v>
      </c>
      <c r="J2099" s="32">
        <v>23</v>
      </c>
      <c r="K2099" s="17" t="s">
        <v>16</v>
      </c>
      <c r="L2099" s="24">
        <v>1662.83</v>
      </c>
      <c r="M2099" s="24">
        <v>2074.25</v>
      </c>
      <c r="N2099" s="34">
        <f>((sales_data_1[[#This Row],[Unit_Price]]*(1-sales_data_1[[#This Row],[Discount]]))-sales_data_1[[#This Row],[Unit_Cost]])*sales_data_1[[#This Row],[Quantity_Sold]]</f>
        <v>3737.7299999999996</v>
      </c>
      <c r="O2099" s="17" t="s">
        <v>27</v>
      </c>
      <c r="P2099" s="26">
        <v>0.12</v>
      </c>
      <c r="Q2099" s="17" t="s">
        <v>25</v>
      </c>
      <c r="R2099" s="17" t="s">
        <v>19</v>
      </c>
      <c r="S2099" s="50" t="str">
        <f t="shared" si="98"/>
        <v>Charlie-North</v>
      </c>
      <c r="T2099" s="59" t="str">
        <f>IF(ROUND(sales_data_1[[#This Row],[Profit_Margin]],2)=ROUND((sales_data_1[[#This Row],[Unit_Price]]*(1-sales_data_1[[#This Row],[Discount]]) - sales_data_1[[#This Row],[Unit_Cost]])*sales_data_1[[#This Row],[Quantity_Sold]],2), "PASS", "CHECK")</f>
        <v>PASS</v>
      </c>
    </row>
    <row r="2100" spans="1:20" x14ac:dyDescent="0.35">
      <c r="A2100" s="7">
        <v>2099</v>
      </c>
      <c r="B2100" s="9">
        <v>1056</v>
      </c>
      <c r="C2100" s="14" t="str">
        <f>IFERROR(_xlfn.TEXTJOIN("-", TRUE, _xlfn.XLOOKUP(K2100, product_category_id_lookup!$A$2:$A$5, product_category_id_lookup!$B$2:$B$5), B2100), "Unknown Category")</f>
        <v>fd-1056</v>
      </c>
      <c r="D2100" s="8">
        <v>45287</v>
      </c>
      <c r="E2100" s="14">
        <f t="shared" si="96"/>
        <v>2023</v>
      </c>
      <c r="F2100" s="29" t="str">
        <f t="shared" si="97"/>
        <v>Dec</v>
      </c>
      <c r="G2100" s="17" t="s">
        <v>14</v>
      </c>
      <c r="H2100" s="17" t="s">
        <v>30</v>
      </c>
      <c r="I2100" s="24">
        <v>6585.0125155553933</v>
      </c>
      <c r="J2100" s="32">
        <v>4</v>
      </c>
      <c r="K2100" s="17" t="s">
        <v>24</v>
      </c>
      <c r="L2100" s="24">
        <v>1612.82</v>
      </c>
      <c r="M2100" s="24">
        <v>1647.25</v>
      </c>
      <c r="N2100" s="34">
        <f>((sales_data_1[[#This Row],[Unit_Price]]*(1-sales_data_1[[#This Row],[Discount]]))-sales_data_1[[#This Row],[Unit_Cost]])*sales_data_1[[#This Row],[Quantity_Sold]]</f>
        <v>137.72000000000025</v>
      </c>
      <c r="O2100" s="17" t="s">
        <v>17</v>
      </c>
      <c r="P2100" s="26">
        <v>0</v>
      </c>
      <c r="Q2100" s="17" t="s">
        <v>28</v>
      </c>
      <c r="R2100" s="17" t="s">
        <v>21</v>
      </c>
      <c r="S2100" s="50" t="str">
        <f t="shared" si="98"/>
        <v>Bob-East</v>
      </c>
      <c r="T2100" s="59" t="str">
        <f>IF(ROUND(sales_data_1[[#This Row],[Profit_Margin]],2)=ROUND((sales_data_1[[#This Row],[Unit_Price]]*(1-sales_data_1[[#This Row],[Discount]]) - sales_data_1[[#This Row],[Unit_Cost]])*sales_data_1[[#This Row],[Quantity_Sold]],2), "PASS", "CHECK")</f>
        <v>PASS</v>
      </c>
    </row>
    <row r="2101" spans="1:20" x14ac:dyDescent="0.35">
      <c r="A2101" s="7">
        <v>2100</v>
      </c>
      <c r="B2101" s="9">
        <v>1057</v>
      </c>
      <c r="C2101" s="14" t="str">
        <f>IFERROR(_xlfn.TEXTJOIN("-", TRUE, _xlfn.XLOOKUP(K2101, product_category_id_lookup!$A$2:$A$5, product_category_id_lookup!$B$2:$B$5), B2101), "Unknown Category")</f>
        <v>fnt-1057</v>
      </c>
      <c r="D2101" s="8">
        <v>45287</v>
      </c>
      <c r="E2101" s="14">
        <f t="shared" si="96"/>
        <v>2023</v>
      </c>
      <c r="F2101" s="29" t="str">
        <f t="shared" si="97"/>
        <v>Dec</v>
      </c>
      <c r="G2101" s="17" t="s">
        <v>14</v>
      </c>
      <c r="H2101" s="17" t="s">
        <v>23</v>
      </c>
      <c r="I2101" s="24">
        <v>75542.417985898122</v>
      </c>
      <c r="J2101" s="32">
        <v>31</v>
      </c>
      <c r="K2101" s="17" t="s">
        <v>16</v>
      </c>
      <c r="L2101" s="24">
        <v>2403.16</v>
      </c>
      <c r="M2101" s="24">
        <v>2453.35</v>
      </c>
      <c r="N2101" s="34">
        <f>((sales_data_1[[#This Row],[Unit_Price]]*(1-sales_data_1[[#This Row],[Discount]]))-sales_data_1[[#This Row],[Unit_Cost]])*sales_data_1[[#This Row],[Quantity_Sold]]</f>
        <v>795.35150000000158</v>
      </c>
      <c r="O2101" s="17" t="s">
        <v>17</v>
      </c>
      <c r="P2101" s="26">
        <v>0.01</v>
      </c>
      <c r="Q2101" s="17" t="s">
        <v>28</v>
      </c>
      <c r="R2101" s="17" t="s">
        <v>19</v>
      </c>
      <c r="S2101" s="50" t="str">
        <f t="shared" si="98"/>
        <v>Bob-South</v>
      </c>
      <c r="T2101" s="59" t="str">
        <f>IF(ROUND(sales_data_1[[#This Row],[Profit_Margin]],2)=ROUND((sales_data_1[[#This Row],[Unit_Price]]*(1-sales_data_1[[#This Row],[Discount]]) - sales_data_1[[#This Row],[Unit_Cost]])*sales_data_1[[#This Row],[Quantity_Sold]],2), "PASS", "CHECK")</f>
        <v>PASS</v>
      </c>
    </row>
    <row r="2102" spans="1:20" x14ac:dyDescent="0.35">
      <c r="A2102" s="7">
        <v>2101</v>
      </c>
      <c r="B2102" s="9">
        <v>1071</v>
      </c>
      <c r="C2102" s="14" t="str">
        <f>IFERROR(_xlfn.TEXTJOIN("-", TRUE, _xlfn.XLOOKUP(K2102, product_category_id_lookup!$A$2:$A$5, product_category_id_lookup!$B$2:$B$5), B2102), "Unknown Category")</f>
        <v>fd-1071</v>
      </c>
      <c r="D2102" s="8">
        <v>45287</v>
      </c>
      <c r="E2102" s="14">
        <f t="shared" si="96"/>
        <v>2023</v>
      </c>
      <c r="F2102" s="29" t="str">
        <f t="shared" si="97"/>
        <v>Dec</v>
      </c>
      <c r="G2102" s="17" t="s">
        <v>22</v>
      </c>
      <c r="H2102" s="17" t="s">
        <v>30</v>
      </c>
      <c r="I2102" s="24">
        <v>65276.1</v>
      </c>
      <c r="J2102" s="32">
        <v>40</v>
      </c>
      <c r="K2102" s="17" t="s">
        <v>24</v>
      </c>
      <c r="L2102" s="24">
        <v>1447.72</v>
      </c>
      <c r="M2102" s="24">
        <v>1875.75</v>
      </c>
      <c r="N2102" s="34">
        <f>((sales_data_1[[#This Row],[Unit_Price]]*(1-sales_data_1[[#This Row],[Discount]]))-sales_data_1[[#This Row],[Unit_Cost]])*sales_data_1[[#This Row],[Quantity_Sold]]</f>
        <v>7367.2999999999956</v>
      </c>
      <c r="O2102" s="17" t="s">
        <v>27</v>
      </c>
      <c r="P2102" s="26">
        <v>0.13</v>
      </c>
      <c r="Q2102" s="17" t="s">
        <v>18</v>
      </c>
      <c r="R2102" s="17" t="s">
        <v>21</v>
      </c>
      <c r="S2102" s="50" t="str">
        <f t="shared" si="98"/>
        <v>David-East</v>
      </c>
      <c r="T2102" s="59" t="str">
        <f>IF(ROUND(sales_data_1[[#This Row],[Profit_Margin]],2)=ROUND((sales_data_1[[#This Row],[Unit_Price]]*(1-sales_data_1[[#This Row],[Discount]]) - sales_data_1[[#This Row],[Unit_Cost]])*sales_data_1[[#This Row],[Quantity_Sold]],2), "PASS", "CHECK")</f>
        <v>PASS</v>
      </c>
    </row>
    <row r="2103" spans="1:20" x14ac:dyDescent="0.35">
      <c r="A2103" s="7">
        <v>2102</v>
      </c>
      <c r="B2103" s="9">
        <v>1065</v>
      </c>
      <c r="C2103" s="14" t="str">
        <f>IFERROR(_xlfn.TEXTJOIN("-", TRUE, _xlfn.XLOOKUP(K2103, product_category_id_lookup!$A$2:$A$5, product_category_id_lookup!$B$2:$B$5), B2103), "Unknown Category")</f>
        <v>fd-1065</v>
      </c>
      <c r="D2103" s="8">
        <v>45288</v>
      </c>
      <c r="E2103" s="14">
        <f t="shared" si="96"/>
        <v>2023</v>
      </c>
      <c r="F2103" s="29" t="str">
        <f t="shared" si="97"/>
        <v>Dec</v>
      </c>
      <c r="G2103" s="17" t="s">
        <v>22</v>
      </c>
      <c r="H2103" s="17" t="s">
        <v>20</v>
      </c>
      <c r="I2103" s="24">
        <v>78163.545600000012</v>
      </c>
      <c r="J2103" s="32">
        <v>18</v>
      </c>
      <c r="K2103" s="17" t="s">
        <v>24</v>
      </c>
      <c r="L2103" s="24">
        <v>4334.58</v>
      </c>
      <c r="M2103" s="24">
        <v>4431.04</v>
      </c>
      <c r="N2103" s="34">
        <f>((sales_data_1[[#This Row],[Unit_Price]]*(1-sales_data_1[[#This Row],[Discount]]))-sales_data_1[[#This Row],[Unit_Cost]])*sales_data_1[[#This Row],[Quantity_Sold]]</f>
        <v>141.10560000000623</v>
      </c>
      <c r="O2103" s="17" t="s">
        <v>27</v>
      </c>
      <c r="P2103" s="26">
        <v>0.02</v>
      </c>
      <c r="Q2103" s="17" t="s">
        <v>25</v>
      </c>
      <c r="R2103" s="17" t="s">
        <v>21</v>
      </c>
      <c r="S2103" s="50" t="str">
        <f t="shared" si="98"/>
        <v>David-West</v>
      </c>
      <c r="T2103" s="59" t="str">
        <f>IF(ROUND(sales_data_1[[#This Row],[Profit_Margin]],2)=ROUND((sales_data_1[[#This Row],[Unit_Price]]*(1-sales_data_1[[#This Row],[Discount]]) - sales_data_1[[#This Row],[Unit_Cost]])*sales_data_1[[#This Row],[Quantity_Sold]],2), "PASS", "CHECK")</f>
        <v>PASS</v>
      </c>
    </row>
    <row r="2104" spans="1:20" x14ac:dyDescent="0.35">
      <c r="A2104" s="7">
        <v>2103</v>
      </c>
      <c r="B2104" s="9">
        <v>1086</v>
      </c>
      <c r="C2104" s="14" t="str">
        <f>IFERROR(_xlfn.TEXTJOIN("-", TRUE, _xlfn.XLOOKUP(K2104, product_category_id_lookup!$A$2:$A$5, product_category_id_lookup!$B$2:$B$5), B2104), "Unknown Category")</f>
        <v>fnt-1086</v>
      </c>
      <c r="D2104" s="8">
        <v>45288</v>
      </c>
      <c r="E2104" s="14">
        <f t="shared" si="96"/>
        <v>2023</v>
      </c>
      <c r="F2104" s="29" t="str">
        <f t="shared" si="97"/>
        <v>Dec</v>
      </c>
      <c r="G2104" s="17" t="s">
        <v>14</v>
      </c>
      <c r="H2104" s="17" t="s">
        <v>20</v>
      </c>
      <c r="I2104" s="24">
        <v>21540.171599999998</v>
      </c>
      <c r="J2104" s="32">
        <v>46</v>
      </c>
      <c r="K2104" s="17" t="s">
        <v>16</v>
      </c>
      <c r="L2104" s="24">
        <v>83.86</v>
      </c>
      <c r="M2104" s="24">
        <v>526.14</v>
      </c>
      <c r="N2104" s="34">
        <f>((sales_data_1[[#This Row],[Unit_Price]]*(1-sales_data_1[[#This Row],[Discount]]))-sales_data_1[[#This Row],[Unit_Cost]])*sales_data_1[[#This Row],[Quantity_Sold]]</f>
        <v>17682.611599999997</v>
      </c>
      <c r="O2104" s="17" t="s">
        <v>17</v>
      </c>
      <c r="P2104" s="26">
        <v>0.11</v>
      </c>
      <c r="Q2104" s="17" t="s">
        <v>28</v>
      </c>
      <c r="R2104" s="17" t="s">
        <v>19</v>
      </c>
      <c r="S2104" s="50" t="str">
        <f t="shared" si="98"/>
        <v>Bob-West</v>
      </c>
      <c r="T2104" s="59" t="str">
        <f>IF(ROUND(sales_data_1[[#This Row],[Profit_Margin]],2)=ROUND((sales_data_1[[#This Row],[Unit_Price]]*(1-sales_data_1[[#This Row],[Discount]]) - sales_data_1[[#This Row],[Unit_Cost]])*sales_data_1[[#This Row],[Quantity_Sold]],2), "PASS", "CHECK")</f>
        <v>PASS</v>
      </c>
    </row>
    <row r="2105" spans="1:20" x14ac:dyDescent="0.35">
      <c r="A2105" s="7">
        <v>2104</v>
      </c>
      <c r="B2105" s="9">
        <v>1024</v>
      </c>
      <c r="C2105" s="14" t="str">
        <f>IFERROR(_xlfn.TEXTJOIN("-", TRUE, _xlfn.XLOOKUP(K2105, product_category_id_lookup!$A$2:$A$5, product_category_id_lookup!$B$2:$B$5), B2105), "Unknown Category")</f>
        <v>fnt-1024</v>
      </c>
      <c r="D2105" s="8">
        <v>45289</v>
      </c>
      <c r="E2105" s="14">
        <f t="shared" si="96"/>
        <v>2023</v>
      </c>
      <c r="F2105" s="29" t="str">
        <f t="shared" si="97"/>
        <v>Dec</v>
      </c>
      <c r="G2105" s="17" t="s">
        <v>32</v>
      </c>
      <c r="H2105" s="17" t="s">
        <v>15</v>
      </c>
      <c r="I2105" s="24">
        <v>17696.293374323857</v>
      </c>
      <c r="J2105" s="32">
        <v>5</v>
      </c>
      <c r="K2105" s="17" t="s">
        <v>16</v>
      </c>
      <c r="L2105" s="24">
        <v>3417.9</v>
      </c>
      <c r="M2105" s="24">
        <v>3714.52</v>
      </c>
      <c r="N2105" s="34">
        <f>((sales_data_1[[#This Row],[Unit_Price]]*(1-sales_data_1[[#This Row],[Discount]]))-sales_data_1[[#This Row],[Unit_Cost]])*sales_data_1[[#This Row],[Quantity_Sold]]</f>
        <v>554.46999999999889</v>
      </c>
      <c r="O2105" s="17" t="s">
        <v>17</v>
      </c>
      <c r="P2105" s="26">
        <v>0.05</v>
      </c>
      <c r="Q2105" s="17" t="s">
        <v>28</v>
      </c>
      <c r="R2105" s="17" t="s">
        <v>21</v>
      </c>
      <c r="S2105" s="50" t="str">
        <f t="shared" si="98"/>
        <v>Eve-North</v>
      </c>
      <c r="T2105" s="59" t="str">
        <f>IF(ROUND(sales_data_1[[#This Row],[Profit_Margin]],2)=ROUND((sales_data_1[[#This Row],[Unit_Price]]*(1-sales_data_1[[#This Row],[Discount]]) - sales_data_1[[#This Row],[Unit_Cost]])*sales_data_1[[#This Row],[Quantity_Sold]],2), "PASS", "CHECK")</f>
        <v>PASS</v>
      </c>
    </row>
    <row r="2106" spans="1:20" x14ac:dyDescent="0.35">
      <c r="A2106" s="7">
        <v>2105</v>
      </c>
      <c r="B2106" s="9">
        <v>1058</v>
      </c>
      <c r="C2106" s="14" t="str">
        <f>IFERROR(_xlfn.TEXTJOIN("-", TRUE, _xlfn.XLOOKUP(K2106, product_category_id_lookup!$A$2:$A$5, product_category_id_lookup!$B$2:$B$5), B2106), "Unknown Category")</f>
        <v>etc-1058</v>
      </c>
      <c r="D2106" s="8">
        <v>45289</v>
      </c>
      <c r="E2106" s="14">
        <f t="shared" si="96"/>
        <v>2023</v>
      </c>
      <c r="F2106" s="29" t="str">
        <f t="shared" si="97"/>
        <v>Dec</v>
      </c>
      <c r="G2106" s="17" t="s">
        <v>22</v>
      </c>
      <c r="H2106" s="17" t="s">
        <v>15</v>
      </c>
      <c r="I2106" s="24">
        <v>108233.24201018574</v>
      </c>
      <c r="J2106" s="32">
        <v>34</v>
      </c>
      <c r="K2106" s="17" t="s">
        <v>31</v>
      </c>
      <c r="L2106" s="24">
        <v>3160.61</v>
      </c>
      <c r="M2106" s="24">
        <v>3273.2200000000003</v>
      </c>
      <c r="N2106" s="34">
        <f>((sales_data_1[[#This Row],[Unit_Price]]*(1-sales_data_1[[#This Row],[Discount]]))-sales_data_1[[#This Row],[Unit_Cost]])*sales_data_1[[#This Row],[Quantity_Sold]]</f>
        <v>490.05559999999696</v>
      </c>
      <c r="O2106" s="17" t="s">
        <v>17</v>
      </c>
      <c r="P2106" s="26">
        <v>0.03</v>
      </c>
      <c r="Q2106" s="17" t="s">
        <v>28</v>
      </c>
      <c r="R2106" s="17" t="s">
        <v>21</v>
      </c>
      <c r="S2106" s="50" t="str">
        <f t="shared" si="98"/>
        <v>David-North</v>
      </c>
      <c r="T2106" s="59" t="str">
        <f>IF(ROUND(sales_data_1[[#This Row],[Profit_Margin]],2)=ROUND((sales_data_1[[#This Row],[Unit_Price]]*(1-sales_data_1[[#This Row],[Discount]]) - sales_data_1[[#This Row],[Unit_Cost]])*sales_data_1[[#This Row],[Quantity_Sold]],2), "PASS", "CHECK")</f>
        <v>PASS</v>
      </c>
    </row>
    <row r="2107" spans="1:20" x14ac:dyDescent="0.35">
      <c r="A2107" s="7">
        <v>2106</v>
      </c>
      <c r="B2107" s="9">
        <v>1022</v>
      </c>
      <c r="C2107" s="14" t="str">
        <f>IFERROR(_xlfn.TEXTJOIN("-", TRUE, _xlfn.XLOOKUP(K2107, product_category_id_lookup!$A$2:$A$5, product_category_id_lookup!$B$2:$B$5), B2107), "Unknown Category")</f>
        <v>fnt-1022</v>
      </c>
      <c r="D2107" s="8">
        <v>45289</v>
      </c>
      <c r="E2107" s="14">
        <f t="shared" si="96"/>
        <v>2023</v>
      </c>
      <c r="F2107" s="29" t="str">
        <f t="shared" si="97"/>
        <v>Dec</v>
      </c>
      <c r="G2107" s="17" t="s">
        <v>22</v>
      </c>
      <c r="H2107" s="17" t="s">
        <v>15</v>
      </c>
      <c r="I2107" s="24">
        <v>19768.598342541598</v>
      </c>
      <c r="J2107" s="32">
        <v>10</v>
      </c>
      <c r="K2107" s="17" t="s">
        <v>16</v>
      </c>
      <c r="L2107" s="24">
        <v>1830.61</v>
      </c>
      <c r="M2107" s="24">
        <v>2044.04</v>
      </c>
      <c r="N2107" s="34">
        <f>((sales_data_1[[#This Row],[Unit_Price]]*(1-sales_data_1[[#This Row],[Discount]]))-sales_data_1[[#This Row],[Unit_Cost]])*sales_data_1[[#This Row],[Quantity_Sold]]</f>
        <v>1521.0879999999997</v>
      </c>
      <c r="O2107" s="17" t="s">
        <v>27</v>
      </c>
      <c r="P2107" s="26">
        <v>0.03</v>
      </c>
      <c r="Q2107" s="17" t="s">
        <v>18</v>
      </c>
      <c r="R2107" s="17" t="s">
        <v>19</v>
      </c>
      <c r="S2107" s="50" t="str">
        <f t="shared" si="98"/>
        <v>David-North</v>
      </c>
      <c r="T2107" s="59" t="str">
        <f>IF(ROUND(sales_data_1[[#This Row],[Profit_Margin]],2)=ROUND((sales_data_1[[#This Row],[Unit_Price]]*(1-sales_data_1[[#This Row],[Discount]]) - sales_data_1[[#This Row],[Unit_Cost]])*sales_data_1[[#This Row],[Quantity_Sold]],2), "PASS", "CHECK")</f>
        <v>PASS</v>
      </c>
    </row>
    <row r="2108" spans="1:20" x14ac:dyDescent="0.35">
      <c r="A2108" s="7">
        <v>2107</v>
      </c>
      <c r="B2108" s="9">
        <v>1049</v>
      </c>
      <c r="C2108" s="14" t="str">
        <f>IFERROR(_xlfn.TEXTJOIN("-", TRUE, _xlfn.XLOOKUP(K2108, product_category_id_lookup!$A$2:$A$5, product_category_id_lookup!$B$2:$B$5), B2108), "Unknown Category")</f>
        <v>fd-1049</v>
      </c>
      <c r="D2108" s="8">
        <v>45289</v>
      </c>
      <c r="E2108" s="14">
        <f t="shared" si="96"/>
        <v>2023</v>
      </c>
      <c r="F2108" s="29" t="str">
        <f t="shared" si="97"/>
        <v>Dec</v>
      </c>
      <c r="G2108" s="17" t="s">
        <v>29</v>
      </c>
      <c r="H2108" s="17" t="s">
        <v>23</v>
      </c>
      <c r="I2108" s="24">
        <v>125527.80059761995</v>
      </c>
      <c r="J2108" s="32">
        <v>38</v>
      </c>
      <c r="K2108" s="17" t="s">
        <v>24</v>
      </c>
      <c r="L2108" s="24">
        <v>2945.92</v>
      </c>
      <c r="M2108" s="24">
        <v>3381.2200000000003</v>
      </c>
      <c r="N2108" s="34">
        <f>((sales_data_1[[#This Row],[Unit_Price]]*(1-sales_data_1[[#This Row],[Discount]]))-sales_data_1[[#This Row],[Unit_Cost]])*sales_data_1[[#This Row],[Quantity_Sold]]</f>
        <v>13971.6728</v>
      </c>
      <c r="O2108" s="17" t="s">
        <v>17</v>
      </c>
      <c r="P2108" s="26">
        <v>0.02</v>
      </c>
      <c r="Q2108" s="17" t="s">
        <v>18</v>
      </c>
      <c r="R2108" s="17" t="s">
        <v>21</v>
      </c>
      <c r="S2108" s="50" t="str">
        <f t="shared" si="98"/>
        <v>Charlie-South</v>
      </c>
      <c r="T2108" s="59" t="str">
        <f>IF(ROUND(sales_data_1[[#This Row],[Profit_Margin]],2)=ROUND((sales_data_1[[#This Row],[Unit_Price]]*(1-sales_data_1[[#This Row],[Discount]]) - sales_data_1[[#This Row],[Unit_Cost]])*sales_data_1[[#This Row],[Quantity_Sold]],2), "PASS", "CHECK")</f>
        <v>PASS</v>
      </c>
    </row>
    <row r="2109" spans="1:20" x14ac:dyDescent="0.35">
      <c r="A2109" s="7">
        <v>2108</v>
      </c>
      <c r="B2109" s="9">
        <v>1065</v>
      </c>
      <c r="C2109" s="14" t="str">
        <f>IFERROR(_xlfn.TEXTJOIN("-", TRUE, _xlfn.XLOOKUP(K2109, product_category_id_lookup!$A$2:$A$5, product_category_id_lookup!$B$2:$B$5), B2109), "Unknown Category")</f>
        <v>ctg-1065</v>
      </c>
      <c r="D2109" s="8">
        <v>45290</v>
      </c>
      <c r="E2109" s="14">
        <f t="shared" si="96"/>
        <v>2023</v>
      </c>
      <c r="F2109" s="29" t="str">
        <f t="shared" si="97"/>
        <v>Dec</v>
      </c>
      <c r="G2109" s="17" t="s">
        <v>22</v>
      </c>
      <c r="H2109" s="17" t="s">
        <v>23</v>
      </c>
      <c r="I2109" s="24">
        <v>3318.7446</v>
      </c>
      <c r="J2109" s="32">
        <v>9</v>
      </c>
      <c r="K2109" s="17" t="s">
        <v>26</v>
      </c>
      <c r="L2109" s="24">
        <v>335.82</v>
      </c>
      <c r="M2109" s="24">
        <v>498.31</v>
      </c>
      <c r="N2109" s="34">
        <f>((sales_data_1[[#This Row],[Unit_Price]]*(1-sales_data_1[[#This Row],[Discount]]))-sales_data_1[[#This Row],[Unit_Cost]])*sales_data_1[[#This Row],[Quantity_Sold]]</f>
        <v>296.36459999999988</v>
      </c>
      <c r="O2109" s="17" t="s">
        <v>27</v>
      </c>
      <c r="P2109" s="26">
        <v>0.26</v>
      </c>
      <c r="Q2109" s="17" t="s">
        <v>18</v>
      </c>
      <c r="R2109" s="17" t="s">
        <v>21</v>
      </c>
      <c r="S2109" s="50" t="str">
        <f t="shared" si="98"/>
        <v>David-South</v>
      </c>
      <c r="T2109" s="59" t="str">
        <f>IF(ROUND(sales_data_1[[#This Row],[Profit_Margin]],2)=ROUND((sales_data_1[[#This Row],[Unit_Price]]*(1-sales_data_1[[#This Row],[Discount]]) - sales_data_1[[#This Row],[Unit_Cost]])*sales_data_1[[#This Row],[Quantity_Sold]],2), "PASS", "CHECK")</f>
        <v>PASS</v>
      </c>
    </row>
    <row r="2110" spans="1:20" x14ac:dyDescent="0.35">
      <c r="A2110" s="7">
        <v>2109</v>
      </c>
      <c r="B2110" s="9">
        <v>1003</v>
      </c>
      <c r="C2110" s="14" t="str">
        <f>IFERROR(_xlfn.TEXTJOIN("-", TRUE, _xlfn.XLOOKUP(K2110, product_category_id_lookup!$A$2:$A$5, product_category_id_lookup!$B$2:$B$5), B2110), "Unknown Category")</f>
        <v>fnt-1003</v>
      </c>
      <c r="D2110" s="8">
        <v>45290</v>
      </c>
      <c r="E2110" s="14">
        <f t="shared" si="96"/>
        <v>2023</v>
      </c>
      <c r="F2110" s="29" t="str">
        <f t="shared" si="97"/>
        <v>Dec</v>
      </c>
      <c r="G2110" s="17" t="s">
        <v>33</v>
      </c>
      <c r="H2110" s="17" t="s">
        <v>30</v>
      </c>
      <c r="I2110" s="24">
        <v>8627.4150000000009</v>
      </c>
      <c r="J2110" s="32">
        <v>17</v>
      </c>
      <c r="K2110" s="17" t="s">
        <v>16</v>
      </c>
      <c r="L2110" s="24">
        <v>395.11</v>
      </c>
      <c r="M2110" s="24">
        <v>676.66000000000008</v>
      </c>
      <c r="N2110" s="34">
        <f>((sales_data_1[[#This Row],[Unit_Price]]*(1-sales_data_1[[#This Row],[Discount]]))-sales_data_1[[#This Row],[Unit_Cost]])*sales_data_1[[#This Row],[Quantity_Sold]]</f>
        <v>1910.5450000000008</v>
      </c>
      <c r="O2110" s="17" t="s">
        <v>17</v>
      </c>
      <c r="P2110" s="26">
        <v>0.25</v>
      </c>
      <c r="Q2110" s="17" t="s">
        <v>18</v>
      </c>
      <c r="R2110" s="17" t="s">
        <v>21</v>
      </c>
      <c r="S2110" s="50" t="str">
        <f t="shared" si="98"/>
        <v>Alice-East</v>
      </c>
      <c r="T2110" s="59" t="str">
        <f>IF(ROUND(sales_data_1[[#This Row],[Profit_Margin]],2)=ROUND((sales_data_1[[#This Row],[Unit_Price]]*(1-sales_data_1[[#This Row],[Discount]]) - sales_data_1[[#This Row],[Unit_Cost]])*sales_data_1[[#This Row],[Quantity_Sold]],2), "PASS", "CHECK")</f>
        <v>PASS</v>
      </c>
    </row>
    <row r="2111" spans="1:20" x14ac:dyDescent="0.35">
      <c r="A2111" s="7">
        <v>2110</v>
      </c>
      <c r="B2111" s="9">
        <v>1099</v>
      </c>
      <c r="C2111" s="14" t="str">
        <f>IFERROR(_xlfn.TEXTJOIN("-", TRUE, _xlfn.XLOOKUP(K2111, product_category_id_lookup!$A$2:$A$5, product_category_id_lookup!$B$2:$B$5), B2111), "Unknown Category")</f>
        <v>etc-1099</v>
      </c>
      <c r="D2111" s="8">
        <v>45290</v>
      </c>
      <c r="E2111" s="14">
        <f t="shared" si="96"/>
        <v>2023</v>
      </c>
      <c r="F2111" s="29" t="str">
        <f t="shared" si="97"/>
        <v>Dec</v>
      </c>
      <c r="G2111" s="17" t="s">
        <v>14</v>
      </c>
      <c r="H2111" s="17" t="s">
        <v>20</v>
      </c>
      <c r="I2111" s="24">
        <v>93220.108500000002</v>
      </c>
      <c r="J2111" s="32">
        <v>29</v>
      </c>
      <c r="K2111" s="17" t="s">
        <v>31</v>
      </c>
      <c r="L2111" s="24">
        <v>3124.87</v>
      </c>
      <c r="M2111" s="24">
        <v>3383.67</v>
      </c>
      <c r="N2111" s="34">
        <f>((sales_data_1[[#This Row],[Unit_Price]]*(1-sales_data_1[[#This Row],[Discount]]))-sales_data_1[[#This Row],[Unit_Cost]])*sales_data_1[[#This Row],[Quantity_Sold]]</f>
        <v>2598.8785000000025</v>
      </c>
      <c r="O2111" s="17" t="s">
        <v>27</v>
      </c>
      <c r="P2111" s="26">
        <v>0.05</v>
      </c>
      <c r="Q2111" s="17" t="s">
        <v>28</v>
      </c>
      <c r="R2111" s="17" t="s">
        <v>21</v>
      </c>
      <c r="S2111" s="50" t="str">
        <f t="shared" si="98"/>
        <v>Bob-West</v>
      </c>
      <c r="T2111" s="59" t="str">
        <f>IF(ROUND(sales_data_1[[#This Row],[Profit_Margin]],2)=ROUND((sales_data_1[[#This Row],[Unit_Price]]*(1-sales_data_1[[#This Row],[Discount]]) - sales_data_1[[#This Row],[Unit_Cost]])*sales_data_1[[#This Row],[Quantity_Sold]],2), "PASS", "CHECK")</f>
        <v>PASS</v>
      </c>
    </row>
    <row r="2112" spans="1:20" x14ac:dyDescent="0.35">
      <c r="A2112" s="7">
        <v>2111</v>
      </c>
      <c r="B2112" s="9">
        <v>1025</v>
      </c>
      <c r="C2112" s="14" t="str">
        <f>IFERROR(_xlfn.TEXTJOIN("-", TRUE, _xlfn.XLOOKUP(K2112, product_category_id_lookup!$A$2:$A$5, product_category_id_lookup!$B$2:$B$5), B2112), "Unknown Category")</f>
        <v>etc-1025</v>
      </c>
      <c r="D2112" s="8">
        <v>45290</v>
      </c>
      <c r="E2112" s="14">
        <f t="shared" si="96"/>
        <v>2023</v>
      </c>
      <c r="F2112" s="29" t="str">
        <f t="shared" si="97"/>
        <v>Dec</v>
      </c>
      <c r="G2112" s="17" t="s">
        <v>22</v>
      </c>
      <c r="H2112" s="17" t="s">
        <v>20</v>
      </c>
      <c r="I2112" s="24">
        <v>61663.5532493559</v>
      </c>
      <c r="J2112" s="32">
        <v>28</v>
      </c>
      <c r="K2112" s="17" t="s">
        <v>31</v>
      </c>
      <c r="L2112" s="24">
        <v>2097.84</v>
      </c>
      <c r="M2112" s="24">
        <v>2270.9900000000002</v>
      </c>
      <c r="N2112" s="34">
        <f>((sales_data_1[[#This Row],[Unit_Price]]*(1-sales_data_1[[#This Row],[Discount]]))-sales_data_1[[#This Row],[Unit_Cost]])*sales_data_1[[#This Row],[Quantity_Sold]]</f>
        <v>2940.5684000000037</v>
      </c>
      <c r="O2112" s="17" t="s">
        <v>27</v>
      </c>
      <c r="P2112" s="26">
        <v>0.03</v>
      </c>
      <c r="Q2112" s="17" t="s">
        <v>28</v>
      </c>
      <c r="R2112" s="17" t="s">
        <v>21</v>
      </c>
      <c r="S2112" s="50" t="str">
        <f t="shared" si="98"/>
        <v>David-West</v>
      </c>
      <c r="T2112" s="59" t="str">
        <f>IF(ROUND(sales_data_1[[#This Row],[Profit_Margin]],2)=ROUND((sales_data_1[[#This Row],[Unit_Price]]*(1-sales_data_1[[#This Row],[Discount]]) - sales_data_1[[#This Row],[Unit_Cost]])*sales_data_1[[#This Row],[Quantity_Sold]],2), "PASS", "CHECK")</f>
        <v>PASS</v>
      </c>
    </row>
    <row r="2113" spans="1:20" x14ac:dyDescent="0.35">
      <c r="A2113" s="7">
        <v>2112</v>
      </c>
      <c r="B2113" s="9">
        <v>1090</v>
      </c>
      <c r="C2113" s="14" t="str">
        <f>IFERROR(_xlfn.TEXTJOIN("-", TRUE, _xlfn.XLOOKUP(K2113, product_category_id_lookup!$A$2:$A$5, product_category_id_lookup!$B$2:$B$5), B2113), "Unknown Category")</f>
        <v>ctg-1090</v>
      </c>
      <c r="D2113" s="8">
        <v>45291</v>
      </c>
      <c r="E2113" s="14">
        <f t="shared" si="96"/>
        <v>2023</v>
      </c>
      <c r="F2113" s="29" t="str">
        <f t="shared" si="97"/>
        <v>Dec</v>
      </c>
      <c r="G2113" s="17" t="s">
        <v>32</v>
      </c>
      <c r="H2113" s="17" t="s">
        <v>20</v>
      </c>
      <c r="I2113" s="24">
        <v>214889.57936841101</v>
      </c>
      <c r="J2113" s="32">
        <v>46</v>
      </c>
      <c r="K2113" s="17" t="s">
        <v>26</v>
      </c>
      <c r="L2113" s="24">
        <v>4665.12</v>
      </c>
      <c r="M2113" s="24">
        <v>4675.8999999999996</v>
      </c>
      <c r="N2113" s="34">
        <f>((sales_data_1[[#This Row],[Unit_Price]]*(1-sales_data_1[[#This Row],[Discount]]))-sales_data_1[[#This Row],[Unit_Cost]])*sales_data_1[[#This Row],[Quantity_Sold]]</f>
        <v>495.87999999998829</v>
      </c>
      <c r="O2113" s="17" t="s">
        <v>27</v>
      </c>
      <c r="P2113" s="26">
        <v>0</v>
      </c>
      <c r="Q2113" s="17" t="s">
        <v>18</v>
      </c>
      <c r="R2113" s="17" t="s">
        <v>21</v>
      </c>
      <c r="S2113" s="50" t="str">
        <f t="shared" si="98"/>
        <v>Eve-West</v>
      </c>
      <c r="T2113" s="59" t="str">
        <f>IF(ROUND(sales_data_1[[#This Row],[Profit_Margin]],2)=ROUND((sales_data_1[[#This Row],[Unit_Price]]*(1-sales_data_1[[#This Row],[Discount]]) - sales_data_1[[#This Row],[Unit_Cost]])*sales_data_1[[#This Row],[Quantity_Sold]],2), "PASS", "CHECK")</f>
        <v>PASS</v>
      </c>
    </row>
    <row r="2114" spans="1:20" x14ac:dyDescent="0.35">
      <c r="A2114" s="7">
        <v>2113</v>
      </c>
      <c r="B2114" s="9">
        <v>1003</v>
      </c>
      <c r="C2114" s="14" t="str">
        <f>IFERROR(_xlfn.TEXTJOIN("-", TRUE, _xlfn.XLOOKUP(K2114, product_category_id_lookup!$A$2:$A$5, product_category_id_lookup!$B$2:$B$5), B2114), "Unknown Category")</f>
        <v>fnt-1003</v>
      </c>
      <c r="D2114" s="8">
        <v>45291</v>
      </c>
      <c r="E2114" s="14">
        <f t="shared" ref="E2114:E2177" si="99">YEAR(D2114)</f>
        <v>2023</v>
      </c>
      <c r="F2114" s="29" t="str">
        <f t="shared" ref="F2114:F2177" si="100">LEFT(TEXT(D2114,"mmmm"),3)</f>
        <v>Dec</v>
      </c>
      <c r="G2114" s="17" t="s">
        <v>33</v>
      </c>
      <c r="H2114" s="17" t="s">
        <v>23</v>
      </c>
      <c r="I2114" s="24">
        <v>127071.15526961461</v>
      </c>
      <c r="J2114" s="32">
        <v>30</v>
      </c>
      <c r="K2114" s="17" t="s">
        <v>16</v>
      </c>
      <c r="L2114" s="24">
        <v>4190.28</v>
      </c>
      <c r="M2114" s="24">
        <v>4270.6499999999996</v>
      </c>
      <c r="N2114" s="34">
        <f>((sales_data_1[[#This Row],[Unit_Price]]*(1-sales_data_1[[#This Row],[Discount]]))-sales_data_1[[#This Row],[Unit_Cost]])*sales_data_1[[#This Row],[Quantity_Sold]]</f>
        <v>1129.9049999999897</v>
      </c>
      <c r="O2114" s="17" t="s">
        <v>27</v>
      </c>
      <c r="P2114" s="26">
        <v>0.01</v>
      </c>
      <c r="Q2114" s="17" t="s">
        <v>18</v>
      </c>
      <c r="R2114" s="17" t="s">
        <v>19</v>
      </c>
      <c r="S2114" s="50" t="str">
        <f t="shared" ref="S2114:S2177" si="101">_xlfn.CONCAT(G2114,"-",H2114)</f>
        <v>Alice-South</v>
      </c>
      <c r="T2114" s="59" t="str">
        <f>IF(ROUND(sales_data_1[[#This Row],[Profit_Margin]],2)=ROUND((sales_data_1[[#This Row],[Unit_Price]]*(1-sales_data_1[[#This Row],[Discount]]) - sales_data_1[[#This Row],[Unit_Cost]])*sales_data_1[[#This Row],[Quantity_Sold]],2), "PASS", "CHECK")</f>
        <v>PASS</v>
      </c>
    </row>
    <row r="2115" spans="1:20" x14ac:dyDescent="0.35">
      <c r="A2115" s="7">
        <v>2114</v>
      </c>
      <c r="B2115" s="9">
        <v>1094</v>
      </c>
      <c r="C2115" s="14" t="str">
        <f>IFERROR(_xlfn.TEXTJOIN("-", TRUE, _xlfn.XLOOKUP(K2115, product_category_id_lookup!$A$2:$A$5, product_category_id_lookup!$B$2:$B$5), B2115), "Unknown Category")</f>
        <v>fd-1094</v>
      </c>
      <c r="D2115" s="8">
        <v>45291</v>
      </c>
      <c r="E2115" s="14">
        <f t="shared" si="99"/>
        <v>2023</v>
      </c>
      <c r="F2115" s="29" t="str">
        <f t="shared" si="100"/>
        <v>Dec</v>
      </c>
      <c r="G2115" s="17" t="s">
        <v>14</v>
      </c>
      <c r="H2115" s="17" t="s">
        <v>23</v>
      </c>
      <c r="I2115" s="24">
        <v>63364.089602610235</v>
      </c>
      <c r="J2115" s="32">
        <v>15</v>
      </c>
      <c r="K2115" s="17" t="s">
        <v>24</v>
      </c>
      <c r="L2115" s="24">
        <v>4111.93</v>
      </c>
      <c r="M2115" s="24">
        <v>4338.67</v>
      </c>
      <c r="N2115" s="34">
        <f>((sales_data_1[[#This Row],[Unit_Price]]*(1-sales_data_1[[#This Row],[Discount]]))-sales_data_1[[#This Row],[Unit_Cost]])*sales_data_1[[#This Row],[Quantity_Sold]]</f>
        <v>1448.6984999999959</v>
      </c>
      <c r="O2115" s="17" t="s">
        <v>17</v>
      </c>
      <c r="P2115" s="26">
        <v>0.03</v>
      </c>
      <c r="Q2115" s="17" t="s">
        <v>28</v>
      </c>
      <c r="R2115" s="17" t="s">
        <v>19</v>
      </c>
      <c r="S2115" s="50" t="str">
        <f t="shared" si="101"/>
        <v>Bob-South</v>
      </c>
      <c r="T2115" s="59" t="str">
        <f>IF(ROUND(sales_data_1[[#This Row],[Profit_Margin]],2)=ROUND((sales_data_1[[#This Row],[Unit_Price]]*(1-sales_data_1[[#This Row],[Discount]]) - sales_data_1[[#This Row],[Unit_Cost]])*sales_data_1[[#This Row],[Quantity_Sold]],2), "PASS", "CHECK")</f>
        <v>PASS</v>
      </c>
    </row>
    <row r="2116" spans="1:20" x14ac:dyDescent="0.35">
      <c r="A2116" s="7">
        <v>2115</v>
      </c>
      <c r="B2116" s="9">
        <v>1058</v>
      </c>
      <c r="C2116" s="14" t="str">
        <f>IFERROR(_xlfn.TEXTJOIN("-", TRUE, _xlfn.XLOOKUP(K2116, product_category_id_lookup!$A$2:$A$5, product_category_id_lookup!$B$2:$B$5), B2116), "Unknown Category")</f>
        <v>ctg-1058</v>
      </c>
      <c r="D2116" s="8">
        <v>45291</v>
      </c>
      <c r="E2116" s="14">
        <f t="shared" si="99"/>
        <v>2023</v>
      </c>
      <c r="F2116" s="29" t="str">
        <f t="shared" si="100"/>
        <v>Dec</v>
      </c>
      <c r="G2116" s="17" t="s">
        <v>33</v>
      </c>
      <c r="H2116" s="17" t="s">
        <v>20</v>
      </c>
      <c r="I2116" s="24">
        <v>94386.465209570189</v>
      </c>
      <c r="J2116" s="32">
        <v>44</v>
      </c>
      <c r="K2116" s="17" t="s">
        <v>26</v>
      </c>
      <c r="L2116" s="24">
        <v>1910.47</v>
      </c>
      <c r="M2116" s="24">
        <v>2217.8000000000002</v>
      </c>
      <c r="N2116" s="34">
        <f>((sales_data_1[[#This Row],[Unit_Price]]*(1-sales_data_1[[#This Row],[Discount]]))-sales_data_1[[#This Row],[Unit_Cost]])*sales_data_1[[#This Row],[Quantity_Sold]]</f>
        <v>10595.024000000001</v>
      </c>
      <c r="O2116" s="17" t="s">
        <v>27</v>
      </c>
      <c r="P2116" s="26">
        <v>0.03</v>
      </c>
      <c r="Q2116" s="17" t="s">
        <v>25</v>
      </c>
      <c r="R2116" s="17" t="s">
        <v>19</v>
      </c>
      <c r="S2116" s="50" t="str">
        <f t="shared" si="101"/>
        <v>Alice-West</v>
      </c>
      <c r="T2116" s="59" t="str">
        <f>IF(ROUND(sales_data_1[[#This Row],[Profit_Margin]],2)=ROUND((sales_data_1[[#This Row],[Unit_Price]]*(1-sales_data_1[[#This Row],[Discount]]) - sales_data_1[[#This Row],[Unit_Cost]])*sales_data_1[[#This Row],[Quantity_Sold]],2), "PASS", "CHECK")</f>
        <v>PASS</v>
      </c>
    </row>
    <row r="2117" spans="1:20" x14ac:dyDescent="0.35">
      <c r="A2117" s="7">
        <v>2116</v>
      </c>
      <c r="B2117" s="9">
        <v>1086</v>
      </c>
      <c r="C2117" s="14" t="str">
        <f>IFERROR(_xlfn.TEXTJOIN("-", TRUE, _xlfn.XLOOKUP(K2117, product_category_id_lookup!$A$2:$A$5, product_category_id_lookup!$B$2:$B$5), B2117), "Unknown Category")</f>
        <v>ctg-1086</v>
      </c>
      <c r="D2117" s="8">
        <v>45291</v>
      </c>
      <c r="E2117" s="14">
        <f t="shared" si="99"/>
        <v>2023</v>
      </c>
      <c r="F2117" s="29" t="str">
        <f t="shared" si="100"/>
        <v>Dec</v>
      </c>
      <c r="G2117" s="17" t="s">
        <v>33</v>
      </c>
      <c r="H2117" s="17" t="s">
        <v>23</v>
      </c>
      <c r="I2117" s="24">
        <v>124540.84730669482</v>
      </c>
      <c r="J2117" s="32">
        <v>33</v>
      </c>
      <c r="K2117" s="17" t="s">
        <v>26</v>
      </c>
      <c r="L2117" s="24">
        <v>3419.33</v>
      </c>
      <c r="M2117" s="24">
        <v>3890.3599999999997</v>
      </c>
      <c r="N2117" s="34">
        <f>((sales_data_1[[#This Row],[Unit_Price]]*(1-sales_data_1[[#This Row],[Discount]]))-sales_data_1[[#This Row],[Unit_Cost]])*sales_data_1[[#This Row],[Quantity_Sold]]</f>
        <v>11692.533599999982</v>
      </c>
      <c r="O2117" s="17" t="s">
        <v>17</v>
      </c>
      <c r="P2117" s="26">
        <v>0.03</v>
      </c>
      <c r="Q2117" s="17" t="s">
        <v>18</v>
      </c>
      <c r="R2117" s="17" t="s">
        <v>21</v>
      </c>
      <c r="S2117" s="50" t="str">
        <f t="shared" si="101"/>
        <v>Alice-South</v>
      </c>
      <c r="T2117" s="59" t="str">
        <f>IF(ROUND(sales_data_1[[#This Row],[Profit_Margin]],2)=ROUND((sales_data_1[[#This Row],[Unit_Price]]*(1-sales_data_1[[#This Row],[Discount]]) - sales_data_1[[#This Row],[Unit_Cost]])*sales_data_1[[#This Row],[Quantity_Sold]],2), "PASS", "CHECK")</f>
        <v>PASS</v>
      </c>
    </row>
    <row r="2118" spans="1:20" x14ac:dyDescent="0.35">
      <c r="A2118" s="7">
        <v>2117</v>
      </c>
      <c r="B2118" s="9">
        <v>1098</v>
      </c>
      <c r="C2118" s="14" t="str">
        <f>IFERROR(_xlfn.TEXTJOIN("-", TRUE, _xlfn.XLOOKUP(K2118, product_category_id_lookup!$A$2:$A$5, product_category_id_lookup!$B$2:$B$5), B2118), "Unknown Category")</f>
        <v>ctg-1098</v>
      </c>
      <c r="D2118" s="8">
        <v>45292</v>
      </c>
      <c r="E2118" s="14">
        <f t="shared" si="99"/>
        <v>2024</v>
      </c>
      <c r="F2118" s="29" t="str">
        <f t="shared" si="100"/>
        <v>Jan</v>
      </c>
      <c r="G2118" s="17" t="s">
        <v>14</v>
      </c>
      <c r="H2118" s="17" t="s">
        <v>23</v>
      </c>
      <c r="I2118" s="24">
        <v>4041.9808000000003</v>
      </c>
      <c r="J2118" s="32">
        <v>11</v>
      </c>
      <c r="K2118" s="17" t="s">
        <v>26</v>
      </c>
      <c r="L2118" s="24">
        <v>213.41</v>
      </c>
      <c r="M2118" s="24">
        <v>503.36</v>
      </c>
      <c r="N2118" s="34">
        <f>((sales_data_1[[#This Row],[Unit_Price]]*(1-sales_data_1[[#This Row],[Discount]]))-sales_data_1[[#This Row],[Unit_Cost]])*sales_data_1[[#This Row],[Quantity_Sold]]</f>
        <v>1694.4708000000003</v>
      </c>
      <c r="O2118" s="17" t="s">
        <v>17</v>
      </c>
      <c r="P2118" s="26">
        <v>0.27</v>
      </c>
      <c r="Q2118" s="17" t="s">
        <v>25</v>
      </c>
      <c r="R2118" s="17" t="s">
        <v>19</v>
      </c>
      <c r="S2118" s="50" t="str">
        <f t="shared" si="101"/>
        <v>Bob-South</v>
      </c>
      <c r="T2118" s="59" t="str">
        <f>IF(ROUND(sales_data_1[[#This Row],[Profit_Margin]],2)=ROUND((sales_data_1[[#This Row],[Unit_Price]]*(1-sales_data_1[[#This Row],[Discount]]) - sales_data_1[[#This Row],[Unit_Cost]])*sales_data_1[[#This Row],[Quantity_Sold]],2), "PASS", "CHECK")</f>
        <v>PASS</v>
      </c>
    </row>
    <row r="2119" spans="1:20" x14ac:dyDescent="0.35">
      <c r="A2119" s="7">
        <v>2118</v>
      </c>
      <c r="B2119" s="9">
        <v>1018</v>
      </c>
      <c r="C2119" s="14" t="str">
        <f>IFERROR(_xlfn.TEXTJOIN("-", TRUE, _xlfn.XLOOKUP(K2119, product_category_id_lookup!$A$2:$A$5, product_category_id_lookup!$B$2:$B$5), B2119), "Unknown Category")</f>
        <v>etc-1018</v>
      </c>
      <c r="D2119" s="8">
        <v>45292</v>
      </c>
      <c r="E2119" s="14">
        <f t="shared" si="99"/>
        <v>2024</v>
      </c>
      <c r="F2119" s="29" t="str">
        <f t="shared" si="100"/>
        <v>Jan</v>
      </c>
      <c r="G2119" s="17" t="s">
        <v>33</v>
      </c>
      <c r="H2119" s="17" t="s">
        <v>20</v>
      </c>
      <c r="I2119" s="24">
        <v>40171.004869973047</v>
      </c>
      <c r="J2119" s="32">
        <v>24</v>
      </c>
      <c r="K2119" s="17" t="s">
        <v>31</v>
      </c>
      <c r="L2119" s="24">
        <v>1362.78</v>
      </c>
      <c r="M2119" s="24">
        <v>1729.81</v>
      </c>
      <c r="N2119" s="34">
        <f>((sales_data_1[[#This Row],[Unit_Price]]*(1-sales_data_1[[#This Row],[Discount]]))-sales_data_1[[#This Row],[Unit_Cost]])*sales_data_1[[#This Row],[Quantity_Sold]]</f>
        <v>7563.2567999999956</v>
      </c>
      <c r="O2119" s="17" t="s">
        <v>27</v>
      </c>
      <c r="P2119" s="26">
        <v>0.03</v>
      </c>
      <c r="Q2119" s="17" t="s">
        <v>25</v>
      </c>
      <c r="R2119" s="17" t="s">
        <v>19</v>
      </c>
      <c r="S2119" s="50" t="str">
        <f t="shared" si="101"/>
        <v>Alice-West</v>
      </c>
      <c r="T2119" s="59" t="str">
        <f>IF(ROUND(sales_data_1[[#This Row],[Profit_Margin]],2)=ROUND((sales_data_1[[#This Row],[Unit_Price]]*(1-sales_data_1[[#This Row],[Discount]]) - sales_data_1[[#This Row],[Unit_Cost]])*sales_data_1[[#This Row],[Quantity_Sold]],2), "PASS", "CHECK")</f>
        <v>PASS</v>
      </c>
    </row>
    <row r="2120" spans="1:20" x14ac:dyDescent="0.35">
      <c r="A2120" s="7">
        <v>2119</v>
      </c>
      <c r="B2120" s="13">
        <v>1081</v>
      </c>
      <c r="C2120" s="14" t="str">
        <f>IFERROR(_xlfn.TEXTJOIN("-", TRUE, _xlfn.XLOOKUP(K2120, product_category_id_lookup!$A$2:$A$5, product_category_id_lookup!$B$2:$B$5), B2120), "Unknown Category")</f>
        <v>fnt-1081</v>
      </c>
      <c r="D2120" s="8">
        <v>45292</v>
      </c>
      <c r="E2120" s="14">
        <f t="shared" si="99"/>
        <v>2024</v>
      </c>
      <c r="F2120" s="29" t="str">
        <f t="shared" si="100"/>
        <v>Jan</v>
      </c>
      <c r="G2120" s="17" t="s">
        <v>14</v>
      </c>
      <c r="H2120" s="17" t="s">
        <v>20</v>
      </c>
      <c r="I2120" s="24">
        <v>12052.04</v>
      </c>
      <c r="J2120" s="32">
        <v>14</v>
      </c>
      <c r="K2120" s="17" t="s">
        <v>16</v>
      </c>
      <c r="L2120" s="24">
        <v>161.72</v>
      </c>
      <c r="M2120" s="24">
        <v>1118</v>
      </c>
      <c r="N2120" s="34">
        <f>((sales_data_1[[#This Row],[Unit_Price]]*(1-sales_data_1[[#This Row],[Discount]]))-sales_data_1[[#This Row],[Unit_Cost]])*sales_data_1[[#This Row],[Quantity_Sold]]</f>
        <v>9787.9599999999991</v>
      </c>
      <c r="O2120" s="17" t="s">
        <v>17</v>
      </c>
      <c r="P2120" s="26">
        <v>0.23</v>
      </c>
      <c r="Q2120" s="17" t="s">
        <v>25</v>
      </c>
      <c r="R2120" s="22" t="s">
        <v>19</v>
      </c>
      <c r="S2120" s="50" t="str">
        <f t="shared" si="101"/>
        <v>Bob-West</v>
      </c>
      <c r="T2120" s="59" t="str">
        <f>IF(ROUND(sales_data_1[[#This Row],[Profit_Margin]],2)=ROUND((sales_data_1[[#This Row],[Unit_Price]]*(1-sales_data_1[[#This Row],[Discount]]) - sales_data_1[[#This Row],[Unit_Cost]])*sales_data_1[[#This Row],[Quantity_Sold]],2), "PASS", "CHECK")</f>
        <v>PASS</v>
      </c>
    </row>
    <row r="2121" spans="1:20" x14ac:dyDescent="0.35">
      <c r="A2121" s="7">
        <v>2120</v>
      </c>
      <c r="B2121" s="9">
        <v>1078</v>
      </c>
      <c r="C2121" s="14" t="str">
        <f>IFERROR(_xlfn.TEXTJOIN("-", TRUE, _xlfn.XLOOKUP(K2121, product_category_id_lookup!$A$2:$A$5, product_category_id_lookup!$B$2:$B$5), B2121), "Unknown Category")</f>
        <v>fd-1078</v>
      </c>
      <c r="D2121" s="8">
        <v>45292</v>
      </c>
      <c r="E2121" s="14">
        <f t="shared" si="99"/>
        <v>2024</v>
      </c>
      <c r="F2121" s="29" t="str">
        <f t="shared" si="100"/>
        <v>Jan</v>
      </c>
      <c r="G2121" s="17" t="s">
        <v>22</v>
      </c>
      <c r="H2121" s="17" t="s">
        <v>30</v>
      </c>
      <c r="I2121" s="24">
        <v>12830.2482</v>
      </c>
      <c r="J2121" s="32">
        <v>42</v>
      </c>
      <c r="K2121" s="17" t="s">
        <v>24</v>
      </c>
      <c r="L2121" s="24">
        <v>63.41</v>
      </c>
      <c r="M2121" s="24">
        <v>314.93</v>
      </c>
      <c r="N2121" s="34">
        <f>((sales_data_1[[#This Row],[Unit_Price]]*(1-sales_data_1[[#This Row],[Discount]]))-sales_data_1[[#This Row],[Unit_Cost]])*sales_data_1[[#This Row],[Quantity_Sold]]</f>
        <v>10167.028200000001</v>
      </c>
      <c r="O2121" s="17" t="s">
        <v>17</v>
      </c>
      <c r="P2121" s="26">
        <v>0.03</v>
      </c>
      <c r="Q2121" s="17" t="s">
        <v>18</v>
      </c>
      <c r="R2121" s="17" t="s">
        <v>21</v>
      </c>
      <c r="S2121" s="50" t="str">
        <f t="shared" si="101"/>
        <v>David-East</v>
      </c>
      <c r="T2121" s="59" t="str">
        <f>IF(ROUND(sales_data_1[[#This Row],[Profit_Margin]],2)=ROUND((sales_data_1[[#This Row],[Unit_Price]]*(1-sales_data_1[[#This Row],[Discount]]) - sales_data_1[[#This Row],[Unit_Cost]])*sales_data_1[[#This Row],[Quantity_Sold]],2), "PASS", "CHECK")</f>
        <v>PASS</v>
      </c>
    </row>
    <row r="2122" spans="1:20" x14ac:dyDescent="0.35">
      <c r="A2122" s="7">
        <v>2121</v>
      </c>
      <c r="B2122" s="9">
        <v>1071</v>
      </c>
      <c r="C2122" s="14" t="str">
        <f>IFERROR(_xlfn.TEXTJOIN("-", TRUE, _xlfn.XLOOKUP(K2122, product_category_id_lookup!$A$2:$A$5, product_category_id_lookup!$B$2:$B$5), B2122), "Unknown Category")</f>
        <v>fd-1071</v>
      </c>
      <c r="D2122" s="8">
        <v>45292</v>
      </c>
      <c r="E2122" s="14">
        <f t="shared" si="99"/>
        <v>2024</v>
      </c>
      <c r="F2122" s="29" t="str">
        <f t="shared" si="100"/>
        <v>Jan</v>
      </c>
      <c r="G2122" s="17" t="s">
        <v>14</v>
      </c>
      <c r="H2122" s="17" t="s">
        <v>20</v>
      </c>
      <c r="I2122" s="24">
        <v>26834.123400000004</v>
      </c>
      <c r="J2122" s="32">
        <v>7</v>
      </c>
      <c r="K2122" s="17" t="s">
        <v>24</v>
      </c>
      <c r="L2122" s="24">
        <v>1561.09</v>
      </c>
      <c r="M2122" s="24">
        <v>4406.26</v>
      </c>
      <c r="N2122" s="34">
        <f>((sales_data_1[[#This Row],[Unit_Price]]*(1-sales_data_1[[#This Row],[Discount]]))-sales_data_1[[#This Row],[Unit_Cost]])*sales_data_1[[#This Row],[Quantity_Sold]]</f>
        <v>15906.493400000001</v>
      </c>
      <c r="O2122" s="17" t="s">
        <v>27</v>
      </c>
      <c r="P2122" s="26">
        <v>0.13</v>
      </c>
      <c r="Q2122" s="17" t="s">
        <v>25</v>
      </c>
      <c r="R2122" s="17" t="s">
        <v>19</v>
      </c>
      <c r="S2122" s="50" t="str">
        <f t="shared" si="101"/>
        <v>Bob-West</v>
      </c>
      <c r="T2122" s="59" t="str">
        <f>IF(ROUND(sales_data_1[[#This Row],[Profit_Margin]],2)=ROUND((sales_data_1[[#This Row],[Unit_Price]]*(1-sales_data_1[[#This Row],[Discount]]) - sales_data_1[[#This Row],[Unit_Cost]])*sales_data_1[[#This Row],[Quantity_Sold]],2), "PASS", "CHECK")</f>
        <v>PASS</v>
      </c>
    </row>
    <row r="2123" spans="1:20" x14ac:dyDescent="0.35">
      <c r="A2123" s="7">
        <v>2122</v>
      </c>
      <c r="B2123" s="9">
        <v>1067</v>
      </c>
      <c r="C2123" s="14" t="str">
        <f>IFERROR(_xlfn.TEXTJOIN("-", TRUE, _xlfn.XLOOKUP(K2123, product_category_id_lookup!$A$2:$A$5, product_category_id_lookup!$B$2:$B$5), B2123), "Unknown Category")</f>
        <v>fd-1067</v>
      </c>
      <c r="D2123" s="8">
        <v>45293</v>
      </c>
      <c r="E2123" s="14">
        <f t="shared" si="99"/>
        <v>2024</v>
      </c>
      <c r="F2123" s="29" t="str">
        <f t="shared" si="100"/>
        <v>Jan</v>
      </c>
      <c r="G2123" s="17" t="s">
        <v>29</v>
      </c>
      <c r="H2123" s="17" t="s">
        <v>30</v>
      </c>
      <c r="I2123" s="24">
        <v>52078.584999999992</v>
      </c>
      <c r="J2123" s="32">
        <v>13</v>
      </c>
      <c r="K2123" s="17" t="s">
        <v>24</v>
      </c>
      <c r="L2123" s="24">
        <v>2328.15</v>
      </c>
      <c r="M2123" s="24">
        <v>4261.75</v>
      </c>
      <c r="N2123" s="34">
        <f>((sales_data_1[[#This Row],[Unit_Price]]*(1-sales_data_1[[#This Row],[Discount]]))-sales_data_1[[#This Row],[Unit_Cost]])*sales_data_1[[#This Row],[Quantity_Sold]]</f>
        <v>21812.634999999995</v>
      </c>
      <c r="O2123" s="17" t="s">
        <v>17</v>
      </c>
      <c r="P2123" s="26">
        <v>0.06</v>
      </c>
      <c r="Q2123" s="17" t="s">
        <v>28</v>
      </c>
      <c r="R2123" s="17" t="s">
        <v>21</v>
      </c>
      <c r="S2123" s="50" t="str">
        <f t="shared" si="101"/>
        <v>Charlie-East</v>
      </c>
      <c r="T2123" s="59" t="str">
        <f>IF(ROUND(sales_data_1[[#This Row],[Profit_Margin]],2)=ROUND((sales_data_1[[#This Row],[Unit_Price]]*(1-sales_data_1[[#This Row],[Discount]]) - sales_data_1[[#This Row],[Unit_Cost]])*sales_data_1[[#This Row],[Quantity_Sold]],2), "PASS", "CHECK")</f>
        <v>PASS</v>
      </c>
    </row>
    <row r="2124" spans="1:20" x14ac:dyDescent="0.35">
      <c r="A2124" s="7">
        <v>2123</v>
      </c>
      <c r="B2124" s="9">
        <v>1091</v>
      </c>
      <c r="C2124" s="14" t="str">
        <f>IFERROR(_xlfn.TEXTJOIN("-", TRUE, _xlfn.XLOOKUP(K2124, product_category_id_lookup!$A$2:$A$5, product_category_id_lookup!$B$2:$B$5), B2124), "Unknown Category")</f>
        <v>fd-1091</v>
      </c>
      <c r="D2124" s="8">
        <v>45293</v>
      </c>
      <c r="E2124" s="14">
        <f t="shared" si="99"/>
        <v>2024</v>
      </c>
      <c r="F2124" s="29" t="str">
        <f t="shared" si="100"/>
        <v>Jan</v>
      </c>
      <c r="G2124" s="17" t="s">
        <v>22</v>
      </c>
      <c r="H2124" s="17" t="s">
        <v>23</v>
      </c>
      <c r="I2124" s="24">
        <v>114819.84</v>
      </c>
      <c r="J2124" s="32">
        <v>24</v>
      </c>
      <c r="K2124" s="17" t="s">
        <v>24</v>
      </c>
      <c r="L2124" s="24">
        <v>3874.59</v>
      </c>
      <c r="M2124" s="24">
        <v>4983.5</v>
      </c>
      <c r="N2124" s="34">
        <f>((sales_data_1[[#This Row],[Unit_Price]]*(1-sales_data_1[[#This Row],[Discount]]))-sales_data_1[[#This Row],[Unit_Cost]])*sales_data_1[[#This Row],[Quantity_Sold]]</f>
        <v>21829.679999999993</v>
      </c>
      <c r="O2124" s="17" t="s">
        <v>17</v>
      </c>
      <c r="P2124" s="26">
        <v>0.04</v>
      </c>
      <c r="Q2124" s="17" t="s">
        <v>25</v>
      </c>
      <c r="R2124" s="17" t="s">
        <v>19</v>
      </c>
      <c r="S2124" s="50" t="str">
        <f t="shared" si="101"/>
        <v>David-South</v>
      </c>
      <c r="T2124" s="59" t="str">
        <f>IF(ROUND(sales_data_1[[#This Row],[Profit_Margin]],2)=ROUND((sales_data_1[[#This Row],[Unit_Price]]*(1-sales_data_1[[#This Row],[Discount]]) - sales_data_1[[#This Row],[Unit_Cost]])*sales_data_1[[#This Row],[Quantity_Sold]],2), "PASS", "CHECK")</f>
        <v>PASS</v>
      </c>
    </row>
    <row r="2125" spans="1:20" x14ac:dyDescent="0.35">
      <c r="A2125" s="7">
        <v>2124</v>
      </c>
      <c r="B2125" s="9">
        <v>1075</v>
      </c>
      <c r="C2125" s="14" t="str">
        <f>IFERROR(_xlfn.TEXTJOIN("-", TRUE, _xlfn.XLOOKUP(K2125, product_category_id_lookup!$A$2:$A$5, product_category_id_lookup!$B$2:$B$5), B2125), "Unknown Category")</f>
        <v>fd-1075</v>
      </c>
      <c r="D2125" s="8">
        <v>45295</v>
      </c>
      <c r="E2125" s="14">
        <f t="shared" si="99"/>
        <v>2024</v>
      </c>
      <c r="F2125" s="29" t="str">
        <f t="shared" si="100"/>
        <v>Jan</v>
      </c>
      <c r="G2125" s="17" t="s">
        <v>14</v>
      </c>
      <c r="H2125" s="17" t="s">
        <v>30</v>
      </c>
      <c r="I2125" s="24">
        <v>1702.5215999999998</v>
      </c>
      <c r="J2125" s="32">
        <v>2</v>
      </c>
      <c r="K2125" s="17" t="s">
        <v>24</v>
      </c>
      <c r="L2125" s="24">
        <v>585.78</v>
      </c>
      <c r="M2125" s="24">
        <v>1091.3599999999999</v>
      </c>
      <c r="N2125" s="34">
        <f>((sales_data_1[[#This Row],[Unit_Price]]*(1-sales_data_1[[#This Row],[Discount]]))-sales_data_1[[#This Row],[Unit_Cost]])*sales_data_1[[#This Row],[Quantity_Sold]]</f>
        <v>530.96159999999986</v>
      </c>
      <c r="O2125" s="17" t="s">
        <v>17</v>
      </c>
      <c r="P2125" s="26">
        <v>0.22</v>
      </c>
      <c r="Q2125" s="17" t="s">
        <v>28</v>
      </c>
      <c r="R2125" s="17" t="s">
        <v>19</v>
      </c>
      <c r="S2125" s="50" t="str">
        <f t="shared" si="101"/>
        <v>Bob-East</v>
      </c>
      <c r="T2125" s="59" t="str">
        <f>IF(ROUND(sales_data_1[[#This Row],[Profit_Margin]],2)=ROUND((sales_data_1[[#This Row],[Unit_Price]]*(1-sales_data_1[[#This Row],[Discount]]) - sales_data_1[[#This Row],[Unit_Cost]])*sales_data_1[[#This Row],[Quantity_Sold]],2), "PASS", "CHECK")</f>
        <v>PASS</v>
      </c>
    </row>
    <row r="2126" spans="1:20" x14ac:dyDescent="0.35">
      <c r="A2126" s="7">
        <v>2125</v>
      </c>
      <c r="B2126" s="9">
        <v>1017</v>
      </c>
      <c r="C2126" s="14" t="str">
        <f>IFERROR(_xlfn.TEXTJOIN("-", TRUE, _xlfn.XLOOKUP(K2126, product_category_id_lookup!$A$2:$A$5, product_category_id_lookup!$B$2:$B$5), B2126), "Unknown Category")</f>
        <v>fd-1017</v>
      </c>
      <c r="D2126" s="8">
        <v>45295</v>
      </c>
      <c r="E2126" s="14">
        <f t="shared" si="99"/>
        <v>2024</v>
      </c>
      <c r="F2126" s="29" t="str">
        <f t="shared" si="100"/>
        <v>Jan</v>
      </c>
      <c r="G2126" s="17" t="s">
        <v>32</v>
      </c>
      <c r="H2126" s="17" t="s">
        <v>23</v>
      </c>
      <c r="I2126" s="24">
        <v>3293.9050000000002</v>
      </c>
      <c r="J2126" s="32">
        <v>1</v>
      </c>
      <c r="K2126" s="17" t="s">
        <v>24</v>
      </c>
      <c r="L2126" s="24">
        <v>267.25</v>
      </c>
      <c r="M2126" s="24">
        <v>4169.5</v>
      </c>
      <c r="N2126" s="34">
        <f>((sales_data_1[[#This Row],[Unit_Price]]*(1-sales_data_1[[#This Row],[Discount]]))-sales_data_1[[#This Row],[Unit_Cost]])*sales_data_1[[#This Row],[Quantity_Sold]]</f>
        <v>3026.6550000000002</v>
      </c>
      <c r="O2126" s="17" t="s">
        <v>27</v>
      </c>
      <c r="P2126" s="26">
        <v>0.21</v>
      </c>
      <c r="Q2126" s="17" t="s">
        <v>25</v>
      </c>
      <c r="R2126" s="17" t="s">
        <v>19</v>
      </c>
      <c r="S2126" s="50" t="str">
        <f t="shared" si="101"/>
        <v>Eve-South</v>
      </c>
      <c r="T2126" s="59" t="str">
        <f>IF(ROUND(sales_data_1[[#This Row],[Profit_Margin]],2)=ROUND((sales_data_1[[#This Row],[Unit_Price]]*(1-sales_data_1[[#This Row],[Discount]]) - sales_data_1[[#This Row],[Unit_Cost]])*sales_data_1[[#This Row],[Quantity_Sold]],2), "PASS", "CHECK")</f>
        <v>PASS</v>
      </c>
    </row>
    <row r="2127" spans="1:20" x14ac:dyDescent="0.35">
      <c r="A2127" s="7">
        <v>2126</v>
      </c>
      <c r="B2127" s="9">
        <v>1041</v>
      </c>
      <c r="C2127" s="14" t="str">
        <f>IFERROR(_xlfn.TEXTJOIN("-", TRUE, _xlfn.XLOOKUP(K2127, product_category_id_lookup!$A$2:$A$5, product_category_id_lookup!$B$2:$B$5), B2127), "Unknown Category")</f>
        <v>ctg-1041</v>
      </c>
      <c r="D2127" s="8">
        <v>45295</v>
      </c>
      <c r="E2127" s="14">
        <f t="shared" si="99"/>
        <v>2024</v>
      </c>
      <c r="F2127" s="29" t="str">
        <f t="shared" si="100"/>
        <v>Jan</v>
      </c>
      <c r="G2127" s="17" t="s">
        <v>14</v>
      </c>
      <c r="H2127" s="17" t="s">
        <v>23</v>
      </c>
      <c r="I2127" s="24">
        <v>78753.153599999991</v>
      </c>
      <c r="J2127" s="32">
        <v>22</v>
      </c>
      <c r="K2127" s="17" t="s">
        <v>26</v>
      </c>
      <c r="L2127" s="24">
        <v>3148.64</v>
      </c>
      <c r="M2127" s="24">
        <v>4971.79</v>
      </c>
      <c r="N2127" s="34">
        <f>((sales_data_1[[#This Row],[Unit_Price]]*(1-sales_data_1[[#This Row],[Discount]]))-sales_data_1[[#This Row],[Unit_Cost]])*sales_data_1[[#This Row],[Quantity_Sold]]</f>
        <v>9483.0735999999997</v>
      </c>
      <c r="O2127" s="17" t="s">
        <v>27</v>
      </c>
      <c r="P2127" s="26">
        <v>0.28000000000000003</v>
      </c>
      <c r="Q2127" s="17" t="s">
        <v>18</v>
      </c>
      <c r="R2127" s="17" t="s">
        <v>21</v>
      </c>
      <c r="S2127" s="50" t="str">
        <f t="shared" si="101"/>
        <v>Bob-South</v>
      </c>
      <c r="T2127" s="59" t="str">
        <f>IF(ROUND(sales_data_1[[#This Row],[Profit_Margin]],2)=ROUND((sales_data_1[[#This Row],[Unit_Price]]*(1-sales_data_1[[#This Row],[Discount]]) - sales_data_1[[#This Row],[Unit_Cost]])*sales_data_1[[#This Row],[Quantity_Sold]],2), "PASS", "CHECK")</f>
        <v>PASS</v>
      </c>
    </row>
    <row r="2128" spans="1:20" x14ac:dyDescent="0.35">
      <c r="A2128" s="7">
        <v>2127</v>
      </c>
      <c r="B2128" s="9">
        <v>1091</v>
      </c>
      <c r="C2128" s="14" t="str">
        <f>IFERROR(_xlfn.TEXTJOIN("-", TRUE, _xlfn.XLOOKUP(K2128, product_category_id_lookup!$A$2:$A$5, product_category_id_lookup!$B$2:$B$5), B2128), "Unknown Category")</f>
        <v>fnt-1091</v>
      </c>
      <c r="D2128" s="8">
        <v>45295</v>
      </c>
      <c r="E2128" s="14">
        <f t="shared" si="99"/>
        <v>2024</v>
      </c>
      <c r="F2128" s="29" t="str">
        <f t="shared" si="100"/>
        <v>Jan</v>
      </c>
      <c r="G2128" s="17" t="s">
        <v>22</v>
      </c>
      <c r="H2128" s="17" t="s">
        <v>23</v>
      </c>
      <c r="I2128" s="24">
        <v>12646.154100000002</v>
      </c>
      <c r="J2128" s="32">
        <v>3</v>
      </c>
      <c r="K2128" s="17" t="s">
        <v>16</v>
      </c>
      <c r="L2128" s="24">
        <v>681.75</v>
      </c>
      <c r="M2128" s="24">
        <v>5335.93</v>
      </c>
      <c r="N2128" s="34">
        <f>((sales_data_1[[#This Row],[Unit_Price]]*(1-sales_data_1[[#This Row],[Discount]]))-sales_data_1[[#This Row],[Unit_Cost]])*sales_data_1[[#This Row],[Quantity_Sold]]</f>
        <v>10600.904100000002</v>
      </c>
      <c r="O2128" s="17" t="s">
        <v>27</v>
      </c>
      <c r="P2128" s="26">
        <v>0.21</v>
      </c>
      <c r="Q2128" s="17" t="s">
        <v>18</v>
      </c>
      <c r="R2128" s="17" t="s">
        <v>21</v>
      </c>
      <c r="S2128" s="50" t="str">
        <f t="shared" si="101"/>
        <v>David-South</v>
      </c>
      <c r="T2128" s="59" t="str">
        <f>IF(ROUND(sales_data_1[[#This Row],[Profit_Margin]],2)=ROUND((sales_data_1[[#This Row],[Unit_Price]]*(1-sales_data_1[[#This Row],[Discount]]) - sales_data_1[[#This Row],[Unit_Cost]])*sales_data_1[[#This Row],[Quantity_Sold]],2), "PASS", "CHECK")</f>
        <v>PASS</v>
      </c>
    </row>
    <row r="2129" spans="1:20" x14ac:dyDescent="0.35">
      <c r="A2129" s="7">
        <v>2128</v>
      </c>
      <c r="B2129" s="9">
        <v>1028</v>
      </c>
      <c r="C2129" s="14" t="str">
        <f>IFERROR(_xlfn.TEXTJOIN("-", TRUE, _xlfn.XLOOKUP(K2129, product_category_id_lookup!$A$2:$A$5, product_category_id_lookup!$B$2:$B$5), B2129), "Unknown Category")</f>
        <v>fd-1028</v>
      </c>
      <c r="D2129" s="8">
        <v>45295</v>
      </c>
      <c r="E2129" s="14">
        <f t="shared" si="99"/>
        <v>2024</v>
      </c>
      <c r="F2129" s="29" t="str">
        <f t="shared" si="100"/>
        <v>Jan</v>
      </c>
      <c r="G2129" s="17" t="s">
        <v>14</v>
      </c>
      <c r="H2129" s="17" t="s">
        <v>23</v>
      </c>
      <c r="I2129" s="24">
        <v>48902.264999999999</v>
      </c>
      <c r="J2129" s="32">
        <v>18</v>
      </c>
      <c r="K2129" s="17" t="s">
        <v>24</v>
      </c>
      <c r="L2129" s="24">
        <v>552.53</v>
      </c>
      <c r="M2129" s="24">
        <v>3622.39</v>
      </c>
      <c r="N2129" s="34">
        <f>((sales_data_1[[#This Row],[Unit_Price]]*(1-sales_data_1[[#This Row],[Discount]]))-sales_data_1[[#This Row],[Unit_Cost]])*sales_data_1[[#This Row],[Quantity_Sold]]</f>
        <v>38956.724999999999</v>
      </c>
      <c r="O2129" s="17" t="s">
        <v>17</v>
      </c>
      <c r="P2129" s="26">
        <v>0.25</v>
      </c>
      <c r="Q2129" s="17" t="s">
        <v>28</v>
      </c>
      <c r="R2129" s="17" t="s">
        <v>21</v>
      </c>
      <c r="S2129" s="50" t="str">
        <f t="shared" si="101"/>
        <v>Bob-South</v>
      </c>
      <c r="T2129" s="59" t="str">
        <f>IF(ROUND(sales_data_1[[#This Row],[Profit_Margin]],2)=ROUND((sales_data_1[[#This Row],[Unit_Price]]*(1-sales_data_1[[#This Row],[Discount]]) - sales_data_1[[#This Row],[Unit_Cost]])*sales_data_1[[#This Row],[Quantity_Sold]],2), "PASS", "CHECK")</f>
        <v>PASS</v>
      </c>
    </row>
    <row r="2130" spans="1:20" x14ac:dyDescent="0.35">
      <c r="A2130" s="7">
        <v>2129</v>
      </c>
      <c r="B2130" s="9">
        <v>1068</v>
      </c>
      <c r="C2130" s="14" t="str">
        <f>IFERROR(_xlfn.TEXTJOIN("-", TRUE, _xlfn.XLOOKUP(K2130, product_category_id_lookup!$A$2:$A$5, product_category_id_lookup!$B$2:$B$5), B2130), "Unknown Category")</f>
        <v>fnt-1068</v>
      </c>
      <c r="D2130" s="8">
        <v>45296</v>
      </c>
      <c r="E2130" s="14">
        <f t="shared" si="99"/>
        <v>2024</v>
      </c>
      <c r="F2130" s="29" t="str">
        <f t="shared" si="100"/>
        <v>Jan</v>
      </c>
      <c r="G2130" s="17" t="s">
        <v>29</v>
      </c>
      <c r="H2130" s="17" t="s">
        <v>20</v>
      </c>
      <c r="I2130" s="24">
        <v>48270.530000000006</v>
      </c>
      <c r="J2130" s="32">
        <v>11</v>
      </c>
      <c r="K2130" s="17" t="s">
        <v>16</v>
      </c>
      <c r="L2130" s="24">
        <v>2473.7800000000002</v>
      </c>
      <c r="M2130" s="24">
        <v>5351.5</v>
      </c>
      <c r="N2130" s="34">
        <f>((sales_data_1[[#This Row],[Unit_Price]]*(1-sales_data_1[[#This Row],[Discount]]))-sales_data_1[[#This Row],[Unit_Cost]])*sales_data_1[[#This Row],[Quantity_Sold]]</f>
        <v>21058.950000000004</v>
      </c>
      <c r="O2130" s="17" t="s">
        <v>27</v>
      </c>
      <c r="P2130" s="26">
        <v>0.18</v>
      </c>
      <c r="Q2130" s="17" t="s">
        <v>25</v>
      </c>
      <c r="R2130" s="17" t="s">
        <v>19</v>
      </c>
      <c r="S2130" s="50" t="str">
        <f t="shared" si="101"/>
        <v>Charlie-West</v>
      </c>
      <c r="T2130" s="59" t="str">
        <f>IF(ROUND(sales_data_1[[#This Row],[Profit_Margin]],2)=ROUND((sales_data_1[[#This Row],[Unit_Price]]*(1-sales_data_1[[#This Row],[Discount]]) - sales_data_1[[#This Row],[Unit_Cost]])*sales_data_1[[#This Row],[Quantity_Sold]],2), "PASS", "CHECK")</f>
        <v>PASS</v>
      </c>
    </row>
    <row r="2131" spans="1:20" x14ac:dyDescent="0.35">
      <c r="A2131" s="7">
        <v>2130</v>
      </c>
      <c r="B2131" s="9">
        <v>1069</v>
      </c>
      <c r="C2131" s="14" t="str">
        <f>IFERROR(_xlfn.TEXTJOIN("-", TRUE, _xlfn.XLOOKUP(K2131, product_category_id_lookup!$A$2:$A$5, product_category_id_lookup!$B$2:$B$5), B2131), "Unknown Category")</f>
        <v>fnt-1069</v>
      </c>
      <c r="D2131" s="8">
        <v>45296</v>
      </c>
      <c r="E2131" s="14">
        <f t="shared" si="99"/>
        <v>2024</v>
      </c>
      <c r="F2131" s="29" t="str">
        <f t="shared" si="100"/>
        <v>Jan</v>
      </c>
      <c r="G2131" s="17" t="s">
        <v>22</v>
      </c>
      <c r="H2131" s="17" t="s">
        <v>15</v>
      </c>
      <c r="I2131" s="24">
        <v>69701.148000000001</v>
      </c>
      <c r="J2131" s="32">
        <v>20</v>
      </c>
      <c r="K2131" s="17" t="s">
        <v>16</v>
      </c>
      <c r="L2131" s="24">
        <v>1215.9000000000001</v>
      </c>
      <c r="M2131" s="24">
        <v>3520.26</v>
      </c>
      <c r="N2131" s="34">
        <f>((sales_data_1[[#This Row],[Unit_Price]]*(1-sales_data_1[[#This Row],[Discount]]))-sales_data_1[[#This Row],[Unit_Cost]])*sales_data_1[[#This Row],[Quantity_Sold]]</f>
        <v>45383.148000000001</v>
      </c>
      <c r="O2131" s="17" t="s">
        <v>27</v>
      </c>
      <c r="P2131" s="26">
        <v>0.01</v>
      </c>
      <c r="Q2131" s="17" t="s">
        <v>28</v>
      </c>
      <c r="R2131" s="17" t="s">
        <v>19</v>
      </c>
      <c r="S2131" s="50" t="str">
        <f t="shared" si="101"/>
        <v>David-North</v>
      </c>
      <c r="T2131" s="59" t="str">
        <f>IF(ROUND(sales_data_1[[#This Row],[Profit_Margin]],2)=ROUND((sales_data_1[[#This Row],[Unit_Price]]*(1-sales_data_1[[#This Row],[Discount]]) - sales_data_1[[#This Row],[Unit_Cost]])*sales_data_1[[#This Row],[Quantity_Sold]],2), "PASS", "CHECK")</f>
        <v>PASS</v>
      </c>
    </row>
    <row r="2132" spans="1:20" x14ac:dyDescent="0.35">
      <c r="A2132" s="7">
        <v>2131</v>
      </c>
      <c r="B2132" s="9">
        <v>1056</v>
      </c>
      <c r="C2132" s="14" t="str">
        <f>IFERROR(_xlfn.TEXTJOIN("-", TRUE, _xlfn.XLOOKUP(K2132, product_category_id_lookup!$A$2:$A$5, product_category_id_lookup!$B$2:$B$5), B2132), "Unknown Category")</f>
        <v>fnt-1056</v>
      </c>
      <c r="D2132" s="8">
        <v>45296</v>
      </c>
      <c r="E2132" s="14">
        <f t="shared" si="99"/>
        <v>2024</v>
      </c>
      <c r="F2132" s="29" t="str">
        <f t="shared" si="100"/>
        <v>Jan</v>
      </c>
      <c r="G2132" s="17" t="s">
        <v>32</v>
      </c>
      <c r="H2132" s="17" t="s">
        <v>30</v>
      </c>
      <c r="I2132" s="24">
        <v>229986.56340000001</v>
      </c>
      <c r="J2132" s="32">
        <v>46</v>
      </c>
      <c r="K2132" s="17" t="s">
        <v>16</v>
      </c>
      <c r="L2132" s="24">
        <v>2460.1799999999998</v>
      </c>
      <c r="M2132" s="24">
        <v>5050.21</v>
      </c>
      <c r="N2132" s="34">
        <f>((sales_data_1[[#This Row],[Unit_Price]]*(1-sales_data_1[[#This Row],[Discount]]))-sales_data_1[[#This Row],[Unit_Cost]])*sales_data_1[[#This Row],[Quantity_Sold]]</f>
        <v>116818.28340000003</v>
      </c>
      <c r="O2132" s="17" t="s">
        <v>17</v>
      </c>
      <c r="P2132" s="26">
        <v>0.01</v>
      </c>
      <c r="Q2132" s="17" t="s">
        <v>18</v>
      </c>
      <c r="R2132" s="17" t="s">
        <v>19</v>
      </c>
      <c r="S2132" s="50" t="str">
        <f t="shared" si="101"/>
        <v>Eve-East</v>
      </c>
      <c r="T2132" s="59" t="str">
        <f>IF(ROUND(sales_data_1[[#This Row],[Profit_Margin]],2)=ROUND((sales_data_1[[#This Row],[Unit_Price]]*(1-sales_data_1[[#This Row],[Discount]]) - sales_data_1[[#This Row],[Unit_Cost]])*sales_data_1[[#This Row],[Quantity_Sold]],2), "PASS", "CHECK")</f>
        <v>PASS</v>
      </c>
    </row>
    <row r="2133" spans="1:20" x14ac:dyDescent="0.35">
      <c r="A2133" s="7">
        <v>2132</v>
      </c>
      <c r="B2133" s="9">
        <v>1025</v>
      </c>
      <c r="C2133" s="14" t="str">
        <f>IFERROR(_xlfn.TEXTJOIN("-", TRUE, _xlfn.XLOOKUP(K2133, product_category_id_lookup!$A$2:$A$5, product_category_id_lookup!$B$2:$B$5), B2133), "Unknown Category")</f>
        <v>fd-1025</v>
      </c>
      <c r="D2133" s="8">
        <v>45297</v>
      </c>
      <c r="E2133" s="14">
        <f t="shared" si="99"/>
        <v>2024</v>
      </c>
      <c r="F2133" s="29" t="str">
        <f t="shared" si="100"/>
        <v>Jan</v>
      </c>
      <c r="G2133" s="17" t="s">
        <v>14</v>
      </c>
      <c r="H2133" s="17" t="s">
        <v>20</v>
      </c>
      <c r="I2133" s="24">
        <v>17703.831600000001</v>
      </c>
      <c r="J2133" s="32">
        <v>36</v>
      </c>
      <c r="K2133" s="17" t="s">
        <v>24</v>
      </c>
      <c r="L2133" s="24">
        <v>310.64</v>
      </c>
      <c r="M2133" s="24">
        <v>540.41</v>
      </c>
      <c r="N2133" s="34">
        <f>((sales_data_1[[#This Row],[Unit_Price]]*(1-sales_data_1[[#This Row],[Discount]]))-sales_data_1[[#This Row],[Unit_Cost]])*sales_data_1[[#This Row],[Quantity_Sold]]</f>
        <v>6520.7916000000005</v>
      </c>
      <c r="O2133" s="17" t="s">
        <v>17</v>
      </c>
      <c r="P2133" s="26">
        <v>0.09</v>
      </c>
      <c r="Q2133" s="17" t="s">
        <v>18</v>
      </c>
      <c r="R2133" s="17" t="s">
        <v>21</v>
      </c>
      <c r="S2133" s="50" t="str">
        <f t="shared" si="101"/>
        <v>Bob-West</v>
      </c>
      <c r="T2133" s="59" t="str">
        <f>IF(ROUND(sales_data_1[[#This Row],[Profit_Margin]],2)=ROUND((sales_data_1[[#This Row],[Unit_Price]]*(1-sales_data_1[[#This Row],[Discount]]) - sales_data_1[[#This Row],[Unit_Cost]])*sales_data_1[[#This Row],[Quantity_Sold]],2), "PASS", "CHECK")</f>
        <v>PASS</v>
      </c>
    </row>
    <row r="2134" spans="1:20" x14ac:dyDescent="0.35">
      <c r="A2134" s="7">
        <v>2133</v>
      </c>
      <c r="B2134" s="9">
        <v>1077</v>
      </c>
      <c r="C2134" s="14" t="str">
        <f>IFERROR(_xlfn.TEXTJOIN("-", TRUE, _xlfn.XLOOKUP(K2134, product_category_id_lookup!$A$2:$A$5, product_category_id_lookup!$B$2:$B$5), B2134), "Unknown Category")</f>
        <v>fd-1077</v>
      </c>
      <c r="D2134" s="8">
        <v>45297</v>
      </c>
      <c r="E2134" s="14">
        <f t="shared" si="99"/>
        <v>2024</v>
      </c>
      <c r="F2134" s="29" t="str">
        <f t="shared" si="100"/>
        <v>Jan</v>
      </c>
      <c r="G2134" s="17" t="s">
        <v>29</v>
      </c>
      <c r="H2134" s="17" t="s">
        <v>20</v>
      </c>
      <c r="I2134" s="24">
        <v>42148.512000000002</v>
      </c>
      <c r="J2134" s="32">
        <v>10</v>
      </c>
      <c r="K2134" s="17" t="s">
        <v>24</v>
      </c>
      <c r="L2134" s="24">
        <v>2608.13</v>
      </c>
      <c r="M2134" s="24">
        <v>4390.47</v>
      </c>
      <c r="N2134" s="34">
        <f>((sales_data_1[[#This Row],[Unit_Price]]*(1-sales_data_1[[#This Row],[Discount]]))-sales_data_1[[#This Row],[Unit_Cost]])*sales_data_1[[#This Row],[Quantity_Sold]]</f>
        <v>16067.212</v>
      </c>
      <c r="O2134" s="17" t="s">
        <v>17</v>
      </c>
      <c r="P2134" s="26">
        <v>0.04</v>
      </c>
      <c r="Q2134" s="17" t="s">
        <v>28</v>
      </c>
      <c r="R2134" s="17" t="s">
        <v>19</v>
      </c>
      <c r="S2134" s="50" t="str">
        <f t="shared" si="101"/>
        <v>Charlie-West</v>
      </c>
      <c r="T2134" s="59" t="str">
        <f>IF(ROUND(sales_data_1[[#This Row],[Profit_Margin]],2)=ROUND((sales_data_1[[#This Row],[Unit_Price]]*(1-sales_data_1[[#This Row],[Discount]]) - sales_data_1[[#This Row],[Unit_Cost]])*sales_data_1[[#This Row],[Quantity_Sold]],2), "PASS", "CHECK")</f>
        <v>PASS</v>
      </c>
    </row>
    <row r="2135" spans="1:20" x14ac:dyDescent="0.35">
      <c r="A2135" s="7">
        <v>2134</v>
      </c>
      <c r="B2135" s="9">
        <v>1024</v>
      </c>
      <c r="C2135" s="14" t="str">
        <f>IFERROR(_xlfn.TEXTJOIN("-", TRUE, _xlfn.XLOOKUP(K2135, product_category_id_lookup!$A$2:$A$5, product_category_id_lookup!$B$2:$B$5), B2135), "Unknown Category")</f>
        <v>fd-1024</v>
      </c>
      <c r="D2135" s="8">
        <v>45297</v>
      </c>
      <c r="E2135" s="14">
        <f t="shared" si="99"/>
        <v>2024</v>
      </c>
      <c r="F2135" s="29" t="str">
        <f t="shared" si="100"/>
        <v>Jan</v>
      </c>
      <c r="G2135" s="17" t="s">
        <v>22</v>
      </c>
      <c r="H2135" s="17" t="s">
        <v>23</v>
      </c>
      <c r="I2135" s="24">
        <v>186144.75599999999</v>
      </c>
      <c r="J2135" s="32">
        <v>42</v>
      </c>
      <c r="K2135" s="17" t="s">
        <v>24</v>
      </c>
      <c r="L2135" s="24">
        <v>3942.28</v>
      </c>
      <c r="M2135" s="24">
        <v>5404.9</v>
      </c>
      <c r="N2135" s="34">
        <f>((sales_data_1[[#This Row],[Unit_Price]]*(1-sales_data_1[[#This Row],[Discount]]))-sales_data_1[[#This Row],[Unit_Cost]])*sales_data_1[[#This Row],[Quantity_Sold]]</f>
        <v>20568.995999999992</v>
      </c>
      <c r="O2135" s="17" t="s">
        <v>17</v>
      </c>
      <c r="P2135" s="26">
        <v>0.18</v>
      </c>
      <c r="Q2135" s="17" t="s">
        <v>18</v>
      </c>
      <c r="R2135" s="17" t="s">
        <v>19</v>
      </c>
      <c r="S2135" s="50" t="str">
        <f t="shared" si="101"/>
        <v>David-South</v>
      </c>
      <c r="T2135" s="59" t="str">
        <f>IF(ROUND(sales_data_1[[#This Row],[Profit_Margin]],2)=ROUND((sales_data_1[[#This Row],[Unit_Price]]*(1-sales_data_1[[#This Row],[Discount]]) - sales_data_1[[#This Row],[Unit_Cost]])*sales_data_1[[#This Row],[Quantity_Sold]],2), "PASS", "CHECK")</f>
        <v>PASS</v>
      </c>
    </row>
    <row r="2136" spans="1:20" x14ac:dyDescent="0.35">
      <c r="A2136" s="7">
        <v>2135</v>
      </c>
      <c r="B2136" s="9">
        <v>1082</v>
      </c>
      <c r="C2136" s="14" t="str">
        <f>IFERROR(_xlfn.TEXTJOIN("-", TRUE, _xlfn.XLOOKUP(K2136, product_category_id_lookup!$A$2:$A$5, product_category_id_lookup!$B$2:$B$5), B2136), "Unknown Category")</f>
        <v>fd-1082</v>
      </c>
      <c r="D2136" s="8">
        <v>45297</v>
      </c>
      <c r="E2136" s="14">
        <f t="shared" si="99"/>
        <v>2024</v>
      </c>
      <c r="F2136" s="29" t="str">
        <f t="shared" si="100"/>
        <v>Jan</v>
      </c>
      <c r="G2136" s="17" t="s">
        <v>32</v>
      </c>
      <c r="H2136" s="17" t="s">
        <v>23</v>
      </c>
      <c r="I2136" s="24">
        <v>87451.794000000009</v>
      </c>
      <c r="J2136" s="32">
        <v>38</v>
      </c>
      <c r="K2136" s="17" t="s">
        <v>24</v>
      </c>
      <c r="L2136" s="24">
        <v>955.27</v>
      </c>
      <c r="M2136" s="24">
        <v>2557.0700000000002</v>
      </c>
      <c r="N2136" s="34">
        <f>((sales_data_1[[#This Row],[Unit_Price]]*(1-sales_data_1[[#This Row],[Discount]]))-sales_data_1[[#This Row],[Unit_Cost]])*sales_data_1[[#This Row],[Quantity_Sold]]</f>
        <v>51151.534000000014</v>
      </c>
      <c r="O2136" s="17" t="s">
        <v>27</v>
      </c>
      <c r="P2136" s="26">
        <v>0.1</v>
      </c>
      <c r="Q2136" s="17" t="s">
        <v>18</v>
      </c>
      <c r="R2136" s="17" t="s">
        <v>21</v>
      </c>
      <c r="S2136" s="50" t="str">
        <f t="shared" si="101"/>
        <v>Eve-South</v>
      </c>
      <c r="T2136" s="59" t="str">
        <f>IF(ROUND(sales_data_1[[#This Row],[Profit_Margin]],2)=ROUND((sales_data_1[[#This Row],[Unit_Price]]*(1-sales_data_1[[#This Row],[Discount]]) - sales_data_1[[#This Row],[Unit_Cost]])*sales_data_1[[#This Row],[Quantity_Sold]],2), "PASS", "CHECK")</f>
        <v>PASS</v>
      </c>
    </row>
    <row r="2137" spans="1:20" x14ac:dyDescent="0.35">
      <c r="A2137" s="7">
        <v>2136</v>
      </c>
      <c r="B2137" s="9">
        <v>1020</v>
      </c>
      <c r="C2137" s="14" t="str">
        <f>IFERROR(_xlfn.TEXTJOIN("-", TRUE, _xlfn.XLOOKUP(K2137, product_category_id_lookup!$A$2:$A$5, product_category_id_lookup!$B$2:$B$5), B2137), "Unknown Category")</f>
        <v>fd-1020</v>
      </c>
      <c r="D2137" s="8">
        <v>45298</v>
      </c>
      <c r="E2137" s="14">
        <f t="shared" si="99"/>
        <v>2024</v>
      </c>
      <c r="F2137" s="29" t="str">
        <f t="shared" si="100"/>
        <v>Jan</v>
      </c>
      <c r="G2137" s="17" t="s">
        <v>14</v>
      </c>
      <c r="H2137" s="17" t="s">
        <v>15</v>
      </c>
      <c r="I2137" s="24">
        <v>7133.8959999999997</v>
      </c>
      <c r="J2137" s="32">
        <v>2</v>
      </c>
      <c r="K2137" s="17" t="s">
        <v>24</v>
      </c>
      <c r="L2137" s="24">
        <v>2841.17</v>
      </c>
      <c r="M2137" s="24">
        <v>4820.2</v>
      </c>
      <c r="N2137" s="34">
        <f>((sales_data_1[[#This Row],[Unit_Price]]*(1-sales_data_1[[#This Row],[Discount]]))-sales_data_1[[#This Row],[Unit_Cost]])*sales_data_1[[#This Row],[Quantity_Sold]]</f>
        <v>1451.5559999999996</v>
      </c>
      <c r="O2137" s="17" t="s">
        <v>17</v>
      </c>
      <c r="P2137" s="26">
        <v>0.26</v>
      </c>
      <c r="Q2137" s="17" t="s">
        <v>18</v>
      </c>
      <c r="R2137" s="17" t="s">
        <v>21</v>
      </c>
      <c r="S2137" s="50" t="str">
        <f t="shared" si="101"/>
        <v>Bob-North</v>
      </c>
      <c r="T2137" s="59" t="str">
        <f>IF(ROUND(sales_data_1[[#This Row],[Profit_Margin]],2)=ROUND((sales_data_1[[#This Row],[Unit_Price]]*(1-sales_data_1[[#This Row],[Discount]]) - sales_data_1[[#This Row],[Unit_Cost]])*sales_data_1[[#This Row],[Quantity_Sold]],2), "PASS", "CHECK")</f>
        <v>PASS</v>
      </c>
    </row>
    <row r="2138" spans="1:20" x14ac:dyDescent="0.35">
      <c r="A2138" s="7">
        <v>2137</v>
      </c>
      <c r="B2138" s="9">
        <v>1075</v>
      </c>
      <c r="C2138" s="14" t="str">
        <f>IFERROR(_xlfn.TEXTJOIN("-", TRUE, _xlfn.XLOOKUP(K2138, product_category_id_lookup!$A$2:$A$5, product_category_id_lookup!$B$2:$B$5), B2138), "Unknown Category")</f>
        <v>fnt-1075</v>
      </c>
      <c r="D2138" s="8">
        <v>45298</v>
      </c>
      <c r="E2138" s="14">
        <f t="shared" si="99"/>
        <v>2024</v>
      </c>
      <c r="F2138" s="29" t="str">
        <f t="shared" si="100"/>
        <v>Jan</v>
      </c>
      <c r="G2138" s="17" t="s">
        <v>33</v>
      </c>
      <c r="H2138" s="17" t="s">
        <v>30</v>
      </c>
      <c r="I2138" s="24">
        <v>34882.689599999998</v>
      </c>
      <c r="J2138" s="32">
        <v>11</v>
      </c>
      <c r="K2138" s="17" t="s">
        <v>16</v>
      </c>
      <c r="L2138" s="24">
        <v>330.76</v>
      </c>
      <c r="M2138" s="24">
        <v>4404.38</v>
      </c>
      <c r="N2138" s="34">
        <f>((sales_data_1[[#This Row],[Unit_Price]]*(1-sales_data_1[[#This Row],[Discount]]))-sales_data_1[[#This Row],[Unit_Cost]])*sales_data_1[[#This Row],[Quantity_Sold]]</f>
        <v>31244.329600000005</v>
      </c>
      <c r="O2138" s="17" t="s">
        <v>17</v>
      </c>
      <c r="P2138" s="26">
        <v>0.28000000000000003</v>
      </c>
      <c r="Q2138" s="17" t="s">
        <v>18</v>
      </c>
      <c r="R2138" s="17" t="s">
        <v>21</v>
      </c>
      <c r="S2138" s="50" t="str">
        <f t="shared" si="101"/>
        <v>Alice-East</v>
      </c>
      <c r="T2138" s="59" t="str">
        <f>IF(ROUND(sales_data_1[[#This Row],[Profit_Margin]],2)=ROUND((sales_data_1[[#This Row],[Unit_Price]]*(1-sales_data_1[[#This Row],[Discount]]) - sales_data_1[[#This Row],[Unit_Cost]])*sales_data_1[[#This Row],[Quantity_Sold]],2), "PASS", "CHECK")</f>
        <v>PASS</v>
      </c>
    </row>
    <row r="2139" spans="1:20" x14ac:dyDescent="0.35">
      <c r="A2139" s="7">
        <v>2138</v>
      </c>
      <c r="B2139" s="9">
        <v>1007</v>
      </c>
      <c r="C2139" s="14" t="str">
        <f>IFERROR(_xlfn.TEXTJOIN("-", TRUE, _xlfn.XLOOKUP(K2139, product_category_id_lookup!$A$2:$A$5, product_category_id_lookup!$B$2:$B$5), B2139), "Unknown Category")</f>
        <v>etc-1007</v>
      </c>
      <c r="D2139" s="8">
        <v>45298</v>
      </c>
      <c r="E2139" s="14">
        <f t="shared" si="99"/>
        <v>2024</v>
      </c>
      <c r="F2139" s="29" t="str">
        <f t="shared" si="100"/>
        <v>Jan</v>
      </c>
      <c r="G2139" s="17" t="s">
        <v>22</v>
      </c>
      <c r="H2139" s="17" t="s">
        <v>15</v>
      </c>
      <c r="I2139" s="24">
        <v>67247.549199999994</v>
      </c>
      <c r="J2139" s="32">
        <v>26</v>
      </c>
      <c r="K2139" s="17" t="s">
        <v>31</v>
      </c>
      <c r="L2139" s="24">
        <v>438.24</v>
      </c>
      <c r="M2139" s="24">
        <v>3273.98</v>
      </c>
      <c r="N2139" s="34">
        <f>((sales_data_1[[#This Row],[Unit_Price]]*(1-sales_data_1[[#This Row],[Discount]]))-sales_data_1[[#This Row],[Unit_Cost]])*sales_data_1[[#This Row],[Quantity_Sold]]</f>
        <v>55853.309200000003</v>
      </c>
      <c r="O2139" s="17" t="s">
        <v>27</v>
      </c>
      <c r="P2139" s="26">
        <v>0.21</v>
      </c>
      <c r="Q2139" s="17" t="s">
        <v>18</v>
      </c>
      <c r="R2139" s="17" t="s">
        <v>21</v>
      </c>
      <c r="S2139" s="50" t="str">
        <f t="shared" si="101"/>
        <v>David-North</v>
      </c>
      <c r="T2139" s="59" t="str">
        <f>IF(ROUND(sales_data_1[[#This Row],[Profit_Margin]],2)=ROUND((sales_data_1[[#This Row],[Unit_Price]]*(1-sales_data_1[[#This Row],[Discount]]) - sales_data_1[[#This Row],[Unit_Cost]])*sales_data_1[[#This Row],[Quantity_Sold]],2), "PASS", "CHECK")</f>
        <v>PASS</v>
      </c>
    </row>
    <row r="2140" spans="1:20" x14ac:dyDescent="0.35">
      <c r="A2140" s="7">
        <v>2139</v>
      </c>
      <c r="B2140" s="9">
        <v>1046</v>
      </c>
      <c r="C2140" s="14" t="str">
        <f>IFERROR(_xlfn.TEXTJOIN("-", TRUE, _xlfn.XLOOKUP(K2140, product_category_id_lookup!$A$2:$A$5, product_category_id_lookup!$B$2:$B$5), B2140), "Unknown Category")</f>
        <v>etc-1046</v>
      </c>
      <c r="D2140" s="8">
        <v>45299</v>
      </c>
      <c r="E2140" s="14">
        <f t="shared" si="99"/>
        <v>2024</v>
      </c>
      <c r="F2140" s="29" t="str">
        <f t="shared" si="100"/>
        <v>Jan</v>
      </c>
      <c r="G2140" s="17" t="s">
        <v>22</v>
      </c>
      <c r="H2140" s="17" t="s">
        <v>30</v>
      </c>
      <c r="I2140" s="24">
        <v>1747.3095000000001</v>
      </c>
      <c r="J2140" s="32">
        <v>3</v>
      </c>
      <c r="K2140" s="17" t="s">
        <v>31</v>
      </c>
      <c r="L2140" s="24">
        <v>110.75</v>
      </c>
      <c r="M2140" s="24">
        <v>600.45000000000005</v>
      </c>
      <c r="N2140" s="34">
        <f>((sales_data_1[[#This Row],[Unit_Price]]*(1-sales_data_1[[#This Row],[Discount]]))-sales_data_1[[#This Row],[Unit_Cost]])*sales_data_1[[#This Row],[Quantity_Sold]]</f>
        <v>1415.0595000000001</v>
      </c>
      <c r="O2140" s="17" t="s">
        <v>27</v>
      </c>
      <c r="P2140" s="26">
        <v>0.03</v>
      </c>
      <c r="Q2140" s="17" t="s">
        <v>25</v>
      </c>
      <c r="R2140" s="17" t="s">
        <v>19</v>
      </c>
      <c r="S2140" s="50" t="str">
        <f t="shared" si="101"/>
        <v>David-East</v>
      </c>
      <c r="T2140" s="59" t="str">
        <f>IF(ROUND(sales_data_1[[#This Row],[Profit_Margin]],2)=ROUND((sales_data_1[[#This Row],[Unit_Price]]*(1-sales_data_1[[#This Row],[Discount]]) - sales_data_1[[#This Row],[Unit_Cost]])*sales_data_1[[#This Row],[Quantity_Sold]],2), "PASS", "CHECK")</f>
        <v>PASS</v>
      </c>
    </row>
    <row r="2141" spans="1:20" x14ac:dyDescent="0.35">
      <c r="A2141" s="7">
        <v>2140</v>
      </c>
      <c r="B2141" s="9">
        <v>1086</v>
      </c>
      <c r="C2141" s="14" t="str">
        <f>IFERROR(_xlfn.TEXTJOIN("-", TRUE, _xlfn.XLOOKUP(K2141, product_category_id_lookup!$A$2:$A$5, product_category_id_lookup!$B$2:$B$5), B2141), "Unknown Category")</f>
        <v>ctg-1086</v>
      </c>
      <c r="D2141" s="8">
        <v>45299</v>
      </c>
      <c r="E2141" s="14">
        <f t="shared" si="99"/>
        <v>2024</v>
      </c>
      <c r="F2141" s="29" t="str">
        <f t="shared" si="100"/>
        <v>Jan</v>
      </c>
      <c r="G2141" s="17" t="s">
        <v>14</v>
      </c>
      <c r="H2141" s="17" t="s">
        <v>30</v>
      </c>
      <c r="I2141" s="24">
        <v>51470.391798856821</v>
      </c>
      <c r="J2141" s="32">
        <v>22</v>
      </c>
      <c r="K2141" s="17" t="s">
        <v>26</v>
      </c>
      <c r="L2141" s="24">
        <v>2176.15</v>
      </c>
      <c r="M2141" s="24">
        <v>2351.34</v>
      </c>
      <c r="N2141" s="34">
        <f>((sales_data_1[[#This Row],[Unit_Price]]*(1-sales_data_1[[#This Row],[Discount]]))-sales_data_1[[#This Row],[Unit_Cost]])*sales_data_1[[#This Row],[Quantity_Sold]]</f>
        <v>3336.8852000000052</v>
      </c>
      <c r="O2141" s="17" t="s">
        <v>17</v>
      </c>
      <c r="P2141" s="26">
        <v>0.01</v>
      </c>
      <c r="Q2141" s="17" t="s">
        <v>28</v>
      </c>
      <c r="R2141" s="17" t="s">
        <v>19</v>
      </c>
      <c r="S2141" s="50" t="str">
        <f t="shared" si="101"/>
        <v>Bob-East</v>
      </c>
      <c r="T2141" s="59" t="str">
        <f>IF(ROUND(sales_data_1[[#This Row],[Profit_Margin]],2)=ROUND((sales_data_1[[#This Row],[Unit_Price]]*(1-sales_data_1[[#This Row],[Discount]]) - sales_data_1[[#This Row],[Unit_Cost]])*sales_data_1[[#This Row],[Quantity_Sold]],2), "PASS", "CHECK")</f>
        <v>PASS</v>
      </c>
    </row>
    <row r="2142" spans="1:20" x14ac:dyDescent="0.35">
      <c r="A2142" s="7">
        <v>2141</v>
      </c>
      <c r="B2142" s="9">
        <v>1030</v>
      </c>
      <c r="C2142" s="14" t="str">
        <f>IFERROR(_xlfn.TEXTJOIN("-", TRUE, _xlfn.XLOOKUP(K2142, product_category_id_lookup!$A$2:$A$5, product_category_id_lookup!$B$2:$B$5), B2142), "Unknown Category")</f>
        <v>fnt-1030</v>
      </c>
      <c r="D2142" s="8">
        <v>45299</v>
      </c>
      <c r="E2142" s="14">
        <f t="shared" si="99"/>
        <v>2024</v>
      </c>
      <c r="F2142" s="29" t="str">
        <f t="shared" si="100"/>
        <v>Jan</v>
      </c>
      <c r="G2142" s="17" t="s">
        <v>14</v>
      </c>
      <c r="H2142" s="17" t="s">
        <v>20</v>
      </c>
      <c r="I2142" s="24">
        <v>40114.396800000002</v>
      </c>
      <c r="J2142" s="32">
        <v>8</v>
      </c>
      <c r="K2142" s="17" t="s">
        <v>16</v>
      </c>
      <c r="L2142" s="24">
        <v>3817.23</v>
      </c>
      <c r="M2142" s="24">
        <v>5391.72</v>
      </c>
      <c r="N2142" s="34">
        <f>((sales_data_1[[#This Row],[Unit_Price]]*(1-sales_data_1[[#This Row],[Discount]]))-sales_data_1[[#This Row],[Unit_Cost]])*sales_data_1[[#This Row],[Quantity_Sold]]</f>
        <v>9576.5568000000021</v>
      </c>
      <c r="O2142" s="17" t="s">
        <v>27</v>
      </c>
      <c r="P2142" s="26">
        <v>7.0000000000000007E-2</v>
      </c>
      <c r="Q2142" s="17" t="s">
        <v>25</v>
      </c>
      <c r="R2142" s="17" t="s">
        <v>19</v>
      </c>
      <c r="S2142" s="50" t="str">
        <f t="shared" si="101"/>
        <v>Bob-West</v>
      </c>
      <c r="T2142" s="59" t="str">
        <f>IF(ROUND(sales_data_1[[#This Row],[Profit_Margin]],2)=ROUND((sales_data_1[[#This Row],[Unit_Price]]*(1-sales_data_1[[#This Row],[Discount]]) - sales_data_1[[#This Row],[Unit_Cost]])*sales_data_1[[#This Row],[Quantity_Sold]],2), "PASS", "CHECK")</f>
        <v>PASS</v>
      </c>
    </row>
    <row r="2143" spans="1:20" x14ac:dyDescent="0.35">
      <c r="A2143" s="7">
        <v>2142</v>
      </c>
      <c r="B2143" s="9">
        <v>1065</v>
      </c>
      <c r="C2143" s="14" t="str">
        <f>IFERROR(_xlfn.TEXTJOIN("-", TRUE, _xlfn.XLOOKUP(K2143, product_category_id_lookup!$A$2:$A$5, product_category_id_lookup!$B$2:$B$5), B2143), "Unknown Category")</f>
        <v>ctg-1065</v>
      </c>
      <c r="D2143" s="8">
        <v>45300</v>
      </c>
      <c r="E2143" s="14">
        <f t="shared" si="99"/>
        <v>2024</v>
      </c>
      <c r="F2143" s="29" t="str">
        <f t="shared" si="100"/>
        <v>Jan</v>
      </c>
      <c r="G2143" s="17" t="s">
        <v>14</v>
      </c>
      <c r="H2143" s="17" t="s">
        <v>30</v>
      </c>
      <c r="I2143" s="24">
        <v>163074.34732814209</v>
      </c>
      <c r="J2143" s="32">
        <v>34</v>
      </c>
      <c r="K2143" s="17" t="s">
        <v>26</v>
      </c>
      <c r="L2143" s="24">
        <v>4638.12</v>
      </c>
      <c r="M2143" s="24">
        <v>4942.3</v>
      </c>
      <c r="N2143" s="34">
        <f>((sales_data_1[[#This Row],[Unit_Price]]*(1-sales_data_1[[#This Row],[Discount]]))-sales_data_1[[#This Row],[Unit_Cost]])*sales_data_1[[#This Row],[Quantity_Sold]]</f>
        <v>5300.974000000002</v>
      </c>
      <c r="O2143" s="17" t="s">
        <v>17</v>
      </c>
      <c r="P2143" s="26">
        <v>0.03</v>
      </c>
      <c r="Q2143" s="17" t="s">
        <v>28</v>
      </c>
      <c r="R2143" s="17" t="s">
        <v>19</v>
      </c>
      <c r="S2143" s="50" t="str">
        <f t="shared" si="101"/>
        <v>Bob-East</v>
      </c>
      <c r="T2143" s="59" t="str">
        <f>IF(ROUND(sales_data_1[[#This Row],[Profit_Margin]],2)=ROUND((sales_data_1[[#This Row],[Unit_Price]]*(1-sales_data_1[[#This Row],[Discount]]) - sales_data_1[[#This Row],[Unit_Cost]])*sales_data_1[[#This Row],[Quantity_Sold]],2), "PASS", "CHECK")</f>
        <v>PASS</v>
      </c>
    </row>
    <row r="2144" spans="1:20" x14ac:dyDescent="0.35">
      <c r="A2144" s="7">
        <v>2143</v>
      </c>
      <c r="B2144" s="9">
        <v>1046</v>
      </c>
      <c r="C2144" s="14" t="str">
        <f>IFERROR(_xlfn.TEXTJOIN("-", TRUE, _xlfn.XLOOKUP(K2144, product_category_id_lookup!$A$2:$A$5, product_category_id_lookup!$B$2:$B$5), B2144), "Unknown Category")</f>
        <v>fd-1046</v>
      </c>
      <c r="D2144" s="8">
        <v>45300</v>
      </c>
      <c r="E2144" s="14">
        <f t="shared" si="99"/>
        <v>2024</v>
      </c>
      <c r="F2144" s="29" t="str">
        <f t="shared" si="100"/>
        <v>Jan</v>
      </c>
      <c r="G2144" s="17" t="s">
        <v>32</v>
      </c>
      <c r="H2144" s="17" t="s">
        <v>15</v>
      </c>
      <c r="I2144" s="24">
        <v>100167.35399999999</v>
      </c>
      <c r="J2144" s="32">
        <v>36</v>
      </c>
      <c r="K2144" s="17" t="s">
        <v>24</v>
      </c>
      <c r="L2144" s="24">
        <v>2202.9299999999998</v>
      </c>
      <c r="M2144" s="24">
        <v>2928.87</v>
      </c>
      <c r="N2144" s="34">
        <f>((sales_data_1[[#This Row],[Unit_Price]]*(1-sales_data_1[[#This Row],[Discount]]))-sales_data_1[[#This Row],[Unit_Cost]])*sales_data_1[[#This Row],[Quantity_Sold]]</f>
        <v>20861.873999999989</v>
      </c>
      <c r="O2144" s="17" t="s">
        <v>27</v>
      </c>
      <c r="P2144" s="26">
        <v>0.05</v>
      </c>
      <c r="Q2144" s="17" t="s">
        <v>28</v>
      </c>
      <c r="R2144" s="17" t="s">
        <v>21</v>
      </c>
      <c r="S2144" s="50" t="str">
        <f t="shared" si="101"/>
        <v>Eve-North</v>
      </c>
      <c r="T2144" s="59" t="str">
        <f>IF(ROUND(sales_data_1[[#This Row],[Profit_Margin]],2)=ROUND((sales_data_1[[#This Row],[Unit_Price]]*(1-sales_data_1[[#This Row],[Discount]]) - sales_data_1[[#This Row],[Unit_Cost]])*sales_data_1[[#This Row],[Quantity_Sold]],2), "PASS", "CHECK")</f>
        <v>PASS</v>
      </c>
    </row>
    <row r="2145" spans="1:20" x14ac:dyDescent="0.35">
      <c r="A2145" s="7">
        <v>2144</v>
      </c>
      <c r="B2145" s="9">
        <v>1003</v>
      </c>
      <c r="C2145" s="14" t="str">
        <f>IFERROR(_xlfn.TEXTJOIN("-", TRUE, _xlfn.XLOOKUP(K2145, product_category_id_lookup!$A$2:$A$5, product_category_id_lookup!$B$2:$B$5), B2145), "Unknown Category")</f>
        <v>ctg-1003</v>
      </c>
      <c r="D2145" s="8">
        <v>45300</v>
      </c>
      <c r="E2145" s="14">
        <f t="shared" si="99"/>
        <v>2024</v>
      </c>
      <c r="F2145" s="29" t="str">
        <f t="shared" si="100"/>
        <v>Jan</v>
      </c>
      <c r="G2145" s="17" t="s">
        <v>29</v>
      </c>
      <c r="H2145" s="17" t="s">
        <v>15</v>
      </c>
      <c r="I2145" s="24">
        <v>69215.047999999995</v>
      </c>
      <c r="J2145" s="32">
        <v>20</v>
      </c>
      <c r="K2145" s="17" t="s">
        <v>26</v>
      </c>
      <c r="L2145" s="24">
        <v>829.87</v>
      </c>
      <c r="M2145" s="24">
        <v>3531.38</v>
      </c>
      <c r="N2145" s="34">
        <f>((sales_data_1[[#This Row],[Unit_Price]]*(1-sales_data_1[[#This Row],[Discount]]))-sales_data_1[[#This Row],[Unit_Cost]])*sales_data_1[[#This Row],[Quantity_Sold]]</f>
        <v>52617.648000000001</v>
      </c>
      <c r="O2145" s="17" t="s">
        <v>27</v>
      </c>
      <c r="P2145" s="26">
        <v>0.02</v>
      </c>
      <c r="Q2145" s="17" t="s">
        <v>28</v>
      </c>
      <c r="R2145" s="17" t="s">
        <v>21</v>
      </c>
      <c r="S2145" s="50" t="str">
        <f t="shared" si="101"/>
        <v>Charlie-North</v>
      </c>
      <c r="T2145" s="59" t="str">
        <f>IF(ROUND(sales_data_1[[#This Row],[Profit_Margin]],2)=ROUND((sales_data_1[[#This Row],[Unit_Price]]*(1-sales_data_1[[#This Row],[Discount]]) - sales_data_1[[#This Row],[Unit_Cost]])*sales_data_1[[#This Row],[Quantity_Sold]],2), "PASS", "CHECK")</f>
        <v>PASS</v>
      </c>
    </row>
    <row r="2146" spans="1:20" x14ac:dyDescent="0.35">
      <c r="A2146" s="7">
        <v>2145</v>
      </c>
      <c r="B2146" s="9">
        <v>1022</v>
      </c>
      <c r="C2146" s="14" t="str">
        <f>IFERROR(_xlfn.TEXTJOIN("-", TRUE, _xlfn.XLOOKUP(K2146, product_category_id_lookup!$A$2:$A$5, product_category_id_lookup!$B$2:$B$5), B2146), "Unknown Category")</f>
        <v>etc-1022</v>
      </c>
      <c r="D2146" s="8">
        <v>45301</v>
      </c>
      <c r="E2146" s="14">
        <f t="shared" si="99"/>
        <v>2024</v>
      </c>
      <c r="F2146" s="29" t="str">
        <f t="shared" si="100"/>
        <v>Jan</v>
      </c>
      <c r="G2146" s="17" t="s">
        <v>33</v>
      </c>
      <c r="H2146" s="17" t="s">
        <v>30</v>
      </c>
      <c r="I2146" s="24">
        <v>22249.483199999999</v>
      </c>
      <c r="J2146" s="32">
        <v>6</v>
      </c>
      <c r="K2146" s="17" t="s">
        <v>31</v>
      </c>
      <c r="L2146" s="24">
        <v>451.19</v>
      </c>
      <c r="M2146" s="24">
        <v>4414.58</v>
      </c>
      <c r="N2146" s="34">
        <f>((sales_data_1[[#This Row],[Unit_Price]]*(1-sales_data_1[[#This Row],[Discount]]))-sales_data_1[[#This Row],[Unit_Cost]])*sales_data_1[[#This Row],[Quantity_Sold]]</f>
        <v>19542.343199999999</v>
      </c>
      <c r="O2146" s="17" t="s">
        <v>27</v>
      </c>
      <c r="P2146" s="26">
        <v>0.16</v>
      </c>
      <c r="Q2146" s="17" t="s">
        <v>28</v>
      </c>
      <c r="R2146" s="17" t="s">
        <v>21</v>
      </c>
      <c r="S2146" s="50" t="str">
        <f t="shared" si="101"/>
        <v>Alice-East</v>
      </c>
      <c r="T2146" s="59" t="str">
        <f>IF(ROUND(sales_data_1[[#This Row],[Profit_Margin]],2)=ROUND((sales_data_1[[#This Row],[Unit_Price]]*(1-sales_data_1[[#This Row],[Discount]]) - sales_data_1[[#This Row],[Unit_Cost]])*sales_data_1[[#This Row],[Quantity_Sold]],2), "PASS", "CHECK")</f>
        <v>PASS</v>
      </c>
    </row>
    <row r="2147" spans="1:20" x14ac:dyDescent="0.35">
      <c r="A2147" s="7">
        <v>2146</v>
      </c>
      <c r="B2147" s="9">
        <v>1009</v>
      </c>
      <c r="C2147" s="14" t="str">
        <f>IFERROR(_xlfn.TEXTJOIN("-", TRUE, _xlfn.XLOOKUP(K2147, product_category_id_lookup!$A$2:$A$5, product_category_id_lookup!$B$2:$B$5), B2147), "Unknown Category")</f>
        <v>fnt-1009</v>
      </c>
      <c r="D2147" s="8">
        <v>45302</v>
      </c>
      <c r="E2147" s="14">
        <f t="shared" si="99"/>
        <v>2024</v>
      </c>
      <c r="F2147" s="29" t="str">
        <f t="shared" si="100"/>
        <v>Jan</v>
      </c>
      <c r="G2147" s="17" t="s">
        <v>22</v>
      </c>
      <c r="H2147" s="17" t="s">
        <v>30</v>
      </c>
      <c r="I2147" s="24">
        <v>80933.965599999996</v>
      </c>
      <c r="J2147" s="32">
        <v>19</v>
      </c>
      <c r="K2147" s="17" t="s">
        <v>16</v>
      </c>
      <c r="L2147" s="24">
        <v>2905.12</v>
      </c>
      <c r="M2147" s="24">
        <v>4786.16</v>
      </c>
      <c r="N2147" s="34">
        <f>((sales_data_1[[#This Row],[Unit_Price]]*(1-sales_data_1[[#This Row],[Discount]]))-sales_data_1[[#This Row],[Unit_Cost]])*sales_data_1[[#This Row],[Quantity_Sold]]</f>
        <v>25736.685599999997</v>
      </c>
      <c r="O2147" s="17" t="s">
        <v>27</v>
      </c>
      <c r="P2147" s="26">
        <v>0.11</v>
      </c>
      <c r="Q2147" s="17" t="s">
        <v>25</v>
      </c>
      <c r="R2147" s="17" t="s">
        <v>21</v>
      </c>
      <c r="S2147" s="50" t="str">
        <f t="shared" si="101"/>
        <v>David-East</v>
      </c>
      <c r="T2147" s="59" t="str">
        <f>IF(ROUND(sales_data_1[[#This Row],[Profit_Margin]],2)=ROUND((sales_data_1[[#This Row],[Unit_Price]]*(1-sales_data_1[[#This Row],[Discount]]) - sales_data_1[[#This Row],[Unit_Cost]])*sales_data_1[[#This Row],[Quantity_Sold]],2), "PASS", "CHECK")</f>
        <v>PASS</v>
      </c>
    </row>
    <row r="2148" spans="1:20" x14ac:dyDescent="0.35">
      <c r="A2148" s="7">
        <v>2147</v>
      </c>
      <c r="B2148" s="9">
        <v>1044</v>
      </c>
      <c r="C2148" s="14" t="str">
        <f>IFERROR(_xlfn.TEXTJOIN("-", TRUE, _xlfn.XLOOKUP(K2148, product_category_id_lookup!$A$2:$A$5, product_category_id_lookup!$B$2:$B$5), B2148), "Unknown Category")</f>
        <v>fnt-1044</v>
      </c>
      <c r="D2148" s="8">
        <v>45302</v>
      </c>
      <c r="E2148" s="14">
        <f t="shared" si="99"/>
        <v>2024</v>
      </c>
      <c r="F2148" s="29" t="str">
        <f t="shared" si="100"/>
        <v>Jan</v>
      </c>
      <c r="G2148" s="17" t="s">
        <v>33</v>
      </c>
      <c r="H2148" s="17" t="s">
        <v>15</v>
      </c>
      <c r="I2148" s="24">
        <v>79630.224999999991</v>
      </c>
      <c r="J2148" s="32">
        <v>50</v>
      </c>
      <c r="K2148" s="17" t="s">
        <v>16</v>
      </c>
      <c r="L2148" s="24">
        <v>1048.07</v>
      </c>
      <c r="M2148" s="24">
        <v>2181.65</v>
      </c>
      <c r="N2148" s="34">
        <f>((sales_data_1[[#This Row],[Unit_Price]]*(1-sales_data_1[[#This Row],[Discount]]))-sales_data_1[[#This Row],[Unit_Cost]])*sales_data_1[[#This Row],[Quantity_Sold]]</f>
        <v>27226.724999999999</v>
      </c>
      <c r="O2148" s="17" t="s">
        <v>17</v>
      </c>
      <c r="P2148" s="26">
        <v>0.27</v>
      </c>
      <c r="Q2148" s="17" t="s">
        <v>18</v>
      </c>
      <c r="R2148" s="17" t="s">
        <v>19</v>
      </c>
      <c r="S2148" s="50" t="str">
        <f t="shared" si="101"/>
        <v>Alice-North</v>
      </c>
      <c r="T2148" s="59" t="str">
        <f>IF(ROUND(sales_data_1[[#This Row],[Profit_Margin]],2)=ROUND((sales_data_1[[#This Row],[Unit_Price]]*(1-sales_data_1[[#This Row],[Discount]]) - sales_data_1[[#This Row],[Unit_Cost]])*sales_data_1[[#This Row],[Quantity_Sold]],2), "PASS", "CHECK")</f>
        <v>PASS</v>
      </c>
    </row>
    <row r="2149" spans="1:20" x14ac:dyDescent="0.35">
      <c r="A2149" s="7">
        <v>2148</v>
      </c>
      <c r="B2149" s="9">
        <v>1100</v>
      </c>
      <c r="C2149" s="14" t="str">
        <f>IFERROR(_xlfn.TEXTJOIN("-", TRUE, _xlfn.XLOOKUP(K2149, product_category_id_lookup!$A$2:$A$5, product_category_id_lookup!$B$2:$B$5), B2149), "Unknown Category")</f>
        <v>ctg-1100</v>
      </c>
      <c r="D2149" s="8">
        <v>45302</v>
      </c>
      <c r="E2149" s="14">
        <f t="shared" si="99"/>
        <v>2024</v>
      </c>
      <c r="F2149" s="29" t="str">
        <f t="shared" si="100"/>
        <v>Jan</v>
      </c>
      <c r="G2149" s="17" t="s">
        <v>29</v>
      </c>
      <c r="H2149" s="17" t="s">
        <v>20</v>
      </c>
      <c r="I2149" s="24">
        <v>80553.989999999991</v>
      </c>
      <c r="J2149" s="32">
        <v>44</v>
      </c>
      <c r="K2149" s="17" t="s">
        <v>26</v>
      </c>
      <c r="L2149" s="24">
        <v>1177.6500000000001</v>
      </c>
      <c r="M2149" s="24">
        <v>2205.75</v>
      </c>
      <c r="N2149" s="34">
        <f>((sales_data_1[[#This Row],[Unit_Price]]*(1-sales_data_1[[#This Row],[Discount]]))-sales_data_1[[#This Row],[Unit_Cost]])*sales_data_1[[#This Row],[Quantity_Sold]]</f>
        <v>28737.389999999989</v>
      </c>
      <c r="O2149" s="17" t="s">
        <v>27</v>
      </c>
      <c r="P2149" s="26">
        <v>0.17</v>
      </c>
      <c r="Q2149" s="17" t="s">
        <v>28</v>
      </c>
      <c r="R2149" s="17" t="s">
        <v>21</v>
      </c>
      <c r="S2149" s="50" t="str">
        <f t="shared" si="101"/>
        <v>Charlie-West</v>
      </c>
      <c r="T2149" s="59" t="str">
        <f>IF(ROUND(sales_data_1[[#This Row],[Profit_Margin]],2)=ROUND((sales_data_1[[#This Row],[Unit_Price]]*(1-sales_data_1[[#This Row],[Discount]]) - sales_data_1[[#This Row],[Unit_Cost]])*sales_data_1[[#This Row],[Quantity_Sold]],2), "PASS", "CHECK")</f>
        <v>PASS</v>
      </c>
    </row>
    <row r="2150" spans="1:20" x14ac:dyDescent="0.35">
      <c r="A2150" s="7">
        <v>2149</v>
      </c>
      <c r="B2150" s="9">
        <v>1032</v>
      </c>
      <c r="C2150" s="14" t="str">
        <f>IFERROR(_xlfn.TEXTJOIN("-", TRUE, _xlfn.XLOOKUP(K2150, product_category_id_lookup!$A$2:$A$5, product_category_id_lookup!$B$2:$B$5), B2150), "Unknown Category")</f>
        <v>fnt-1032</v>
      </c>
      <c r="D2150" s="8">
        <v>45302</v>
      </c>
      <c r="E2150" s="14">
        <f t="shared" si="99"/>
        <v>2024</v>
      </c>
      <c r="F2150" s="29" t="str">
        <f t="shared" si="100"/>
        <v>Jan</v>
      </c>
      <c r="G2150" s="17" t="s">
        <v>14</v>
      </c>
      <c r="H2150" s="17" t="s">
        <v>30</v>
      </c>
      <c r="I2150" s="24">
        <v>66920.363999999987</v>
      </c>
      <c r="J2150" s="32">
        <v>41</v>
      </c>
      <c r="K2150" s="17" t="s">
        <v>16</v>
      </c>
      <c r="L2150" s="24">
        <v>745.94</v>
      </c>
      <c r="M2150" s="24">
        <v>2331.7199999999998</v>
      </c>
      <c r="N2150" s="34">
        <f>((sales_data_1[[#This Row],[Unit_Price]]*(1-sales_data_1[[#This Row],[Discount]]))-sales_data_1[[#This Row],[Unit_Cost]])*sales_data_1[[#This Row],[Quantity_Sold]]</f>
        <v>36336.823999999986</v>
      </c>
      <c r="O2150" s="17" t="s">
        <v>17</v>
      </c>
      <c r="P2150" s="26">
        <v>0.3</v>
      </c>
      <c r="Q2150" s="17" t="s">
        <v>25</v>
      </c>
      <c r="R2150" s="17" t="s">
        <v>19</v>
      </c>
      <c r="S2150" s="50" t="str">
        <f t="shared" si="101"/>
        <v>Bob-East</v>
      </c>
      <c r="T2150" s="59" t="str">
        <f>IF(ROUND(sales_data_1[[#This Row],[Profit_Margin]],2)=ROUND((sales_data_1[[#This Row],[Unit_Price]]*(1-sales_data_1[[#This Row],[Discount]]) - sales_data_1[[#This Row],[Unit_Cost]])*sales_data_1[[#This Row],[Quantity_Sold]],2), "PASS", "CHECK")</f>
        <v>PASS</v>
      </c>
    </row>
    <row r="2151" spans="1:20" x14ac:dyDescent="0.35">
      <c r="A2151" s="7">
        <v>2150</v>
      </c>
      <c r="B2151" s="9">
        <v>1041</v>
      </c>
      <c r="C2151" s="14" t="str">
        <f>IFERROR(_xlfn.TEXTJOIN("-", TRUE, _xlfn.XLOOKUP(K2151, product_category_id_lookup!$A$2:$A$5, product_category_id_lookup!$B$2:$B$5), B2151), "Unknown Category")</f>
        <v>fd-1041</v>
      </c>
      <c r="D2151" s="8">
        <v>45303</v>
      </c>
      <c r="E2151" s="14">
        <f t="shared" si="99"/>
        <v>2024</v>
      </c>
      <c r="F2151" s="29" t="str">
        <f t="shared" si="100"/>
        <v>Jan</v>
      </c>
      <c r="G2151" s="17" t="s">
        <v>33</v>
      </c>
      <c r="H2151" s="17" t="s">
        <v>15</v>
      </c>
      <c r="I2151" s="24">
        <v>26937.171301328508</v>
      </c>
      <c r="J2151" s="32">
        <v>8</v>
      </c>
      <c r="K2151" s="17" t="s">
        <v>24</v>
      </c>
      <c r="L2151" s="24">
        <v>3232.31</v>
      </c>
      <c r="M2151" s="24">
        <v>3380.65</v>
      </c>
      <c r="N2151" s="34">
        <f>((sales_data_1[[#This Row],[Unit_Price]]*(1-sales_data_1[[#This Row],[Discount]]))-sales_data_1[[#This Row],[Unit_Cost]])*sales_data_1[[#This Row],[Quantity_Sold]]</f>
        <v>1186.7200000000012</v>
      </c>
      <c r="O2151" s="17" t="s">
        <v>27</v>
      </c>
      <c r="P2151" s="26">
        <v>0</v>
      </c>
      <c r="Q2151" s="17" t="s">
        <v>18</v>
      </c>
      <c r="R2151" s="17" t="s">
        <v>21</v>
      </c>
      <c r="S2151" s="50" t="str">
        <f t="shared" si="101"/>
        <v>Alice-North</v>
      </c>
      <c r="T2151" s="59" t="str">
        <f>IF(ROUND(sales_data_1[[#This Row],[Profit_Margin]],2)=ROUND((sales_data_1[[#This Row],[Unit_Price]]*(1-sales_data_1[[#This Row],[Discount]]) - sales_data_1[[#This Row],[Unit_Cost]])*sales_data_1[[#This Row],[Quantity_Sold]],2), "PASS", "CHECK")</f>
        <v>PASS</v>
      </c>
    </row>
    <row r="2152" spans="1:20" x14ac:dyDescent="0.35">
      <c r="A2152" s="7">
        <v>2151</v>
      </c>
      <c r="B2152" s="9">
        <v>1079</v>
      </c>
      <c r="C2152" s="14" t="str">
        <f>IFERROR(_xlfn.TEXTJOIN("-", TRUE, _xlfn.XLOOKUP(K2152, product_category_id_lookup!$A$2:$A$5, product_category_id_lookup!$B$2:$B$5), B2152), "Unknown Category")</f>
        <v>ctg-1079</v>
      </c>
      <c r="D2152" s="8">
        <v>45303</v>
      </c>
      <c r="E2152" s="14">
        <f t="shared" si="99"/>
        <v>2024</v>
      </c>
      <c r="F2152" s="29" t="str">
        <f t="shared" si="100"/>
        <v>Jan</v>
      </c>
      <c r="G2152" s="17" t="s">
        <v>29</v>
      </c>
      <c r="H2152" s="17" t="s">
        <v>23</v>
      </c>
      <c r="I2152" s="24">
        <v>3451.6044000000002</v>
      </c>
      <c r="J2152" s="32">
        <v>2</v>
      </c>
      <c r="K2152" s="17" t="s">
        <v>26</v>
      </c>
      <c r="L2152" s="24">
        <v>464.24</v>
      </c>
      <c r="M2152" s="24">
        <v>2130.62</v>
      </c>
      <c r="N2152" s="34">
        <f>((sales_data_1[[#This Row],[Unit_Price]]*(1-sales_data_1[[#This Row],[Discount]]))-sales_data_1[[#This Row],[Unit_Cost]])*sales_data_1[[#This Row],[Quantity_Sold]]</f>
        <v>2523.1244000000002</v>
      </c>
      <c r="O2152" s="17" t="s">
        <v>17</v>
      </c>
      <c r="P2152" s="26">
        <v>0.19</v>
      </c>
      <c r="Q2152" s="17" t="s">
        <v>28</v>
      </c>
      <c r="R2152" s="17" t="s">
        <v>19</v>
      </c>
      <c r="S2152" s="50" t="str">
        <f t="shared" si="101"/>
        <v>Charlie-South</v>
      </c>
      <c r="T2152" s="59" t="str">
        <f>IF(ROUND(sales_data_1[[#This Row],[Profit_Margin]],2)=ROUND((sales_data_1[[#This Row],[Unit_Price]]*(1-sales_data_1[[#This Row],[Discount]]) - sales_data_1[[#This Row],[Unit_Cost]])*sales_data_1[[#This Row],[Quantity_Sold]],2), "PASS", "CHECK")</f>
        <v>PASS</v>
      </c>
    </row>
    <row r="2153" spans="1:20" x14ac:dyDescent="0.35">
      <c r="A2153" s="7">
        <v>2152</v>
      </c>
      <c r="B2153" s="9">
        <v>1034</v>
      </c>
      <c r="C2153" s="14" t="str">
        <f>IFERROR(_xlfn.TEXTJOIN("-", TRUE, _xlfn.XLOOKUP(K2153, product_category_id_lookup!$A$2:$A$5, product_category_id_lookup!$B$2:$B$5), B2153), "Unknown Category")</f>
        <v>etc-1034</v>
      </c>
      <c r="D2153" s="8">
        <v>45303</v>
      </c>
      <c r="E2153" s="14">
        <f t="shared" si="99"/>
        <v>2024</v>
      </c>
      <c r="F2153" s="29" t="str">
        <f t="shared" si="100"/>
        <v>Jan</v>
      </c>
      <c r="G2153" s="17" t="s">
        <v>22</v>
      </c>
      <c r="H2153" s="17" t="s">
        <v>15</v>
      </c>
      <c r="I2153" s="24">
        <v>37118.838899999995</v>
      </c>
      <c r="J2153" s="32">
        <v>13</v>
      </c>
      <c r="K2153" s="17" t="s">
        <v>31</v>
      </c>
      <c r="L2153" s="24">
        <v>731.09</v>
      </c>
      <c r="M2153" s="24">
        <v>3070.21</v>
      </c>
      <c r="N2153" s="34">
        <f>((sales_data_1[[#This Row],[Unit_Price]]*(1-sales_data_1[[#This Row],[Discount]]))-sales_data_1[[#This Row],[Unit_Cost]])*sales_data_1[[#This Row],[Quantity_Sold]]</f>
        <v>27614.668899999997</v>
      </c>
      <c r="O2153" s="17" t="s">
        <v>17</v>
      </c>
      <c r="P2153" s="26">
        <v>7.0000000000000007E-2</v>
      </c>
      <c r="Q2153" s="17" t="s">
        <v>25</v>
      </c>
      <c r="R2153" s="17" t="s">
        <v>19</v>
      </c>
      <c r="S2153" s="50" t="str">
        <f t="shared" si="101"/>
        <v>David-North</v>
      </c>
      <c r="T2153" s="59" t="str">
        <f>IF(ROUND(sales_data_1[[#This Row],[Profit_Margin]],2)=ROUND((sales_data_1[[#This Row],[Unit_Price]]*(1-sales_data_1[[#This Row],[Discount]]) - sales_data_1[[#This Row],[Unit_Cost]])*sales_data_1[[#This Row],[Quantity_Sold]],2), "PASS", "CHECK")</f>
        <v>PASS</v>
      </c>
    </row>
    <row r="2154" spans="1:20" x14ac:dyDescent="0.35">
      <c r="A2154" s="7">
        <v>2153</v>
      </c>
      <c r="B2154" s="9">
        <v>1076</v>
      </c>
      <c r="C2154" s="14" t="str">
        <f>IFERROR(_xlfn.TEXTJOIN("-", TRUE, _xlfn.XLOOKUP(K2154, product_category_id_lookup!$A$2:$A$5, product_category_id_lookup!$B$2:$B$5), B2154), "Unknown Category")</f>
        <v>etc-1076</v>
      </c>
      <c r="D2154" s="8">
        <v>45304</v>
      </c>
      <c r="E2154" s="14">
        <f t="shared" si="99"/>
        <v>2024</v>
      </c>
      <c r="F2154" s="29" t="str">
        <f t="shared" si="100"/>
        <v>Jan</v>
      </c>
      <c r="G2154" s="17" t="s">
        <v>32</v>
      </c>
      <c r="H2154" s="17" t="s">
        <v>20</v>
      </c>
      <c r="I2154" s="24">
        <v>52023.269099999998</v>
      </c>
      <c r="J2154" s="32">
        <v>17</v>
      </c>
      <c r="K2154" s="17" t="s">
        <v>31</v>
      </c>
      <c r="L2154" s="24">
        <v>2562.04</v>
      </c>
      <c r="M2154" s="24">
        <v>4310.13</v>
      </c>
      <c r="N2154" s="34">
        <f>((sales_data_1[[#This Row],[Unit_Price]]*(1-sales_data_1[[#This Row],[Discount]]))-sales_data_1[[#This Row],[Unit_Cost]])*sales_data_1[[#This Row],[Quantity_Sold]]</f>
        <v>8468.5890999999956</v>
      </c>
      <c r="O2154" s="17" t="s">
        <v>17</v>
      </c>
      <c r="P2154" s="26">
        <v>0.28999999999999998</v>
      </c>
      <c r="Q2154" s="17" t="s">
        <v>25</v>
      </c>
      <c r="R2154" s="17" t="s">
        <v>21</v>
      </c>
      <c r="S2154" s="50" t="str">
        <f t="shared" si="101"/>
        <v>Eve-West</v>
      </c>
      <c r="T2154" s="59" t="str">
        <f>IF(ROUND(sales_data_1[[#This Row],[Profit_Margin]],2)=ROUND((sales_data_1[[#This Row],[Unit_Price]]*(1-sales_data_1[[#This Row],[Discount]]) - sales_data_1[[#This Row],[Unit_Cost]])*sales_data_1[[#This Row],[Quantity_Sold]],2), "PASS", "CHECK")</f>
        <v>PASS</v>
      </c>
    </row>
    <row r="2155" spans="1:20" x14ac:dyDescent="0.35">
      <c r="A2155" s="7">
        <v>2154</v>
      </c>
      <c r="B2155" s="9">
        <v>1057</v>
      </c>
      <c r="C2155" s="14" t="str">
        <f>IFERROR(_xlfn.TEXTJOIN("-", TRUE, _xlfn.XLOOKUP(K2155, product_category_id_lookup!$A$2:$A$5, product_category_id_lookup!$B$2:$B$5), B2155), "Unknown Category")</f>
        <v>fnt-1057</v>
      </c>
      <c r="D2155" s="8">
        <v>45304</v>
      </c>
      <c r="E2155" s="14">
        <f t="shared" si="99"/>
        <v>2024</v>
      </c>
      <c r="F2155" s="29" t="str">
        <f t="shared" si="100"/>
        <v>Jan</v>
      </c>
      <c r="G2155" s="17" t="s">
        <v>32</v>
      </c>
      <c r="H2155" s="17" t="s">
        <v>20</v>
      </c>
      <c r="I2155" s="24">
        <v>68509.108800000002</v>
      </c>
      <c r="J2155" s="32">
        <v>16</v>
      </c>
      <c r="K2155" s="17" t="s">
        <v>16</v>
      </c>
      <c r="L2155" s="24">
        <v>3723.52</v>
      </c>
      <c r="M2155" s="24">
        <v>4325.07</v>
      </c>
      <c r="N2155" s="34">
        <f>((sales_data_1[[#This Row],[Unit_Price]]*(1-sales_data_1[[#This Row],[Discount]]))-sales_data_1[[#This Row],[Unit_Cost]])*sales_data_1[[#This Row],[Quantity_Sold]]</f>
        <v>8932.7888000000021</v>
      </c>
      <c r="O2155" s="17" t="s">
        <v>17</v>
      </c>
      <c r="P2155" s="26">
        <v>0.01</v>
      </c>
      <c r="Q2155" s="17" t="s">
        <v>28</v>
      </c>
      <c r="R2155" s="17" t="s">
        <v>21</v>
      </c>
      <c r="S2155" s="50" t="str">
        <f t="shared" si="101"/>
        <v>Eve-West</v>
      </c>
      <c r="T2155" s="59" t="str">
        <f>IF(ROUND(sales_data_1[[#This Row],[Profit_Margin]],2)=ROUND((sales_data_1[[#This Row],[Unit_Price]]*(1-sales_data_1[[#This Row],[Discount]]) - sales_data_1[[#This Row],[Unit_Cost]])*sales_data_1[[#This Row],[Quantity_Sold]],2), "PASS", "CHECK")</f>
        <v>PASS</v>
      </c>
    </row>
    <row r="2156" spans="1:20" x14ac:dyDescent="0.35">
      <c r="A2156" s="7">
        <v>2155</v>
      </c>
      <c r="B2156" s="9">
        <v>1005</v>
      </c>
      <c r="C2156" s="14" t="str">
        <f>IFERROR(_xlfn.TEXTJOIN("-", TRUE, _xlfn.XLOOKUP(K2156, product_category_id_lookup!$A$2:$A$5, product_category_id_lookup!$B$2:$B$5), B2156), "Unknown Category")</f>
        <v>etc-1005</v>
      </c>
      <c r="D2156" s="8">
        <v>45305</v>
      </c>
      <c r="E2156" s="14">
        <f t="shared" si="99"/>
        <v>2024</v>
      </c>
      <c r="F2156" s="29" t="str">
        <f t="shared" si="100"/>
        <v>Jan</v>
      </c>
      <c r="G2156" s="17" t="s">
        <v>22</v>
      </c>
      <c r="H2156" s="17" t="s">
        <v>23</v>
      </c>
      <c r="I2156" s="24">
        <v>43675.632000000005</v>
      </c>
      <c r="J2156" s="32">
        <v>10</v>
      </c>
      <c r="K2156" s="17" t="s">
        <v>31</v>
      </c>
      <c r="L2156" s="24">
        <v>3610.49</v>
      </c>
      <c r="M2156" s="24">
        <v>4799.5200000000004</v>
      </c>
      <c r="N2156" s="34">
        <f>((sales_data_1[[#This Row],[Unit_Price]]*(1-sales_data_1[[#This Row],[Discount]]))-sales_data_1[[#This Row],[Unit_Cost]])*sales_data_1[[#This Row],[Quantity_Sold]]</f>
        <v>7570.7320000000072</v>
      </c>
      <c r="O2156" s="17" t="s">
        <v>27</v>
      </c>
      <c r="P2156" s="26">
        <v>0.09</v>
      </c>
      <c r="Q2156" s="17" t="s">
        <v>25</v>
      </c>
      <c r="R2156" s="17" t="s">
        <v>19</v>
      </c>
      <c r="S2156" s="50" t="str">
        <f t="shared" si="101"/>
        <v>David-South</v>
      </c>
      <c r="T2156" s="59" t="str">
        <f>IF(ROUND(sales_data_1[[#This Row],[Profit_Margin]],2)=ROUND((sales_data_1[[#This Row],[Unit_Price]]*(1-sales_data_1[[#This Row],[Discount]]) - sales_data_1[[#This Row],[Unit_Cost]])*sales_data_1[[#This Row],[Quantity_Sold]],2), "PASS", "CHECK")</f>
        <v>PASS</v>
      </c>
    </row>
    <row r="2157" spans="1:20" x14ac:dyDescent="0.35">
      <c r="A2157" s="7">
        <v>2156</v>
      </c>
      <c r="B2157" s="9">
        <v>1095</v>
      </c>
      <c r="C2157" s="14" t="str">
        <f>IFERROR(_xlfn.TEXTJOIN("-", TRUE, _xlfn.XLOOKUP(K2157, product_category_id_lookup!$A$2:$A$5, product_category_id_lookup!$B$2:$B$5), B2157), "Unknown Category")</f>
        <v>fd-1095</v>
      </c>
      <c r="D2157" s="8">
        <v>45306</v>
      </c>
      <c r="E2157" s="14">
        <f t="shared" si="99"/>
        <v>2024</v>
      </c>
      <c r="F2157" s="29" t="str">
        <f t="shared" si="100"/>
        <v>Jan</v>
      </c>
      <c r="G2157" s="17" t="s">
        <v>32</v>
      </c>
      <c r="H2157" s="17" t="s">
        <v>30</v>
      </c>
      <c r="I2157" s="24">
        <v>6485.268</v>
      </c>
      <c r="J2157" s="32">
        <v>10</v>
      </c>
      <c r="K2157" s="17" t="s">
        <v>24</v>
      </c>
      <c r="L2157" s="24">
        <v>270.22000000000003</v>
      </c>
      <c r="M2157" s="24">
        <v>820.92</v>
      </c>
      <c r="N2157" s="34">
        <f>((sales_data_1[[#This Row],[Unit_Price]]*(1-sales_data_1[[#This Row],[Discount]]))-sales_data_1[[#This Row],[Unit_Cost]])*sales_data_1[[#This Row],[Quantity_Sold]]</f>
        <v>3783.0679999999993</v>
      </c>
      <c r="O2157" s="17" t="s">
        <v>27</v>
      </c>
      <c r="P2157" s="26">
        <v>0.21</v>
      </c>
      <c r="Q2157" s="17" t="s">
        <v>25</v>
      </c>
      <c r="R2157" s="17" t="s">
        <v>21</v>
      </c>
      <c r="S2157" s="50" t="str">
        <f t="shared" si="101"/>
        <v>Eve-East</v>
      </c>
      <c r="T2157" s="59" t="str">
        <f>IF(ROUND(sales_data_1[[#This Row],[Profit_Margin]],2)=ROUND((sales_data_1[[#This Row],[Unit_Price]]*(1-sales_data_1[[#This Row],[Discount]]) - sales_data_1[[#This Row],[Unit_Cost]])*sales_data_1[[#This Row],[Quantity_Sold]],2), "PASS", "CHECK")</f>
        <v>PASS</v>
      </c>
    </row>
    <row r="2158" spans="1:20" x14ac:dyDescent="0.35">
      <c r="A2158" s="7">
        <v>2157</v>
      </c>
      <c r="B2158" s="9">
        <v>1008</v>
      </c>
      <c r="C2158" s="14" t="str">
        <f>IFERROR(_xlfn.TEXTJOIN("-", TRUE, _xlfn.XLOOKUP(K2158, product_category_id_lookup!$A$2:$A$5, product_category_id_lookup!$B$2:$B$5), B2158), "Unknown Category")</f>
        <v>etc-1008</v>
      </c>
      <c r="D2158" s="8">
        <v>45307</v>
      </c>
      <c r="E2158" s="14">
        <f t="shared" si="99"/>
        <v>2024</v>
      </c>
      <c r="F2158" s="29" t="str">
        <f t="shared" si="100"/>
        <v>Jan</v>
      </c>
      <c r="G2158" s="17" t="s">
        <v>29</v>
      </c>
      <c r="H2158" s="17" t="s">
        <v>15</v>
      </c>
      <c r="I2158" s="24">
        <v>136553.3328</v>
      </c>
      <c r="J2158" s="32">
        <v>48</v>
      </c>
      <c r="K2158" s="17" t="s">
        <v>31</v>
      </c>
      <c r="L2158" s="24">
        <v>2789.92</v>
      </c>
      <c r="M2158" s="24">
        <v>3601.09</v>
      </c>
      <c r="N2158" s="34">
        <f>((sales_data_1[[#This Row],[Unit_Price]]*(1-sales_data_1[[#This Row],[Discount]]))-sales_data_1[[#This Row],[Unit_Cost]])*sales_data_1[[#This Row],[Quantity_Sold]]</f>
        <v>2637.1728000000003</v>
      </c>
      <c r="O2158" s="17" t="s">
        <v>27</v>
      </c>
      <c r="P2158" s="26">
        <v>0.21</v>
      </c>
      <c r="Q2158" s="17" t="s">
        <v>18</v>
      </c>
      <c r="R2158" s="17" t="s">
        <v>21</v>
      </c>
      <c r="S2158" s="50" t="str">
        <f t="shared" si="101"/>
        <v>Charlie-North</v>
      </c>
      <c r="T2158" s="59" t="str">
        <f>IF(ROUND(sales_data_1[[#This Row],[Profit_Margin]],2)=ROUND((sales_data_1[[#This Row],[Unit_Price]]*(1-sales_data_1[[#This Row],[Discount]]) - sales_data_1[[#This Row],[Unit_Cost]])*sales_data_1[[#This Row],[Quantity_Sold]],2), "PASS", "CHECK")</f>
        <v>PASS</v>
      </c>
    </row>
    <row r="2159" spans="1:20" x14ac:dyDescent="0.35">
      <c r="A2159" s="7">
        <v>2158</v>
      </c>
      <c r="B2159" s="9">
        <v>1051</v>
      </c>
      <c r="C2159" s="14" t="str">
        <f>IFERROR(_xlfn.TEXTJOIN("-", TRUE, _xlfn.XLOOKUP(K2159, product_category_id_lookup!$A$2:$A$5, product_category_id_lookup!$B$2:$B$5), B2159), "Unknown Category")</f>
        <v>ctg-1051</v>
      </c>
      <c r="D2159" s="8">
        <v>45307</v>
      </c>
      <c r="E2159" s="14">
        <f t="shared" si="99"/>
        <v>2024</v>
      </c>
      <c r="F2159" s="29" t="str">
        <f t="shared" si="100"/>
        <v>Jan</v>
      </c>
      <c r="G2159" s="17" t="s">
        <v>32</v>
      </c>
      <c r="H2159" s="17" t="s">
        <v>20</v>
      </c>
      <c r="I2159" s="24">
        <v>45256.216800000002</v>
      </c>
      <c r="J2159" s="32">
        <v>17</v>
      </c>
      <c r="K2159" s="17" t="s">
        <v>26</v>
      </c>
      <c r="L2159" s="24">
        <v>492.22</v>
      </c>
      <c r="M2159" s="24">
        <v>3059.92</v>
      </c>
      <c r="N2159" s="34">
        <f>((sales_data_1[[#This Row],[Unit_Price]]*(1-sales_data_1[[#This Row],[Discount]]))-sales_data_1[[#This Row],[Unit_Cost]])*sales_data_1[[#This Row],[Quantity_Sold]]</f>
        <v>36888.476799999997</v>
      </c>
      <c r="O2159" s="17" t="s">
        <v>27</v>
      </c>
      <c r="P2159" s="26">
        <v>0.13</v>
      </c>
      <c r="Q2159" s="17" t="s">
        <v>25</v>
      </c>
      <c r="R2159" s="17" t="s">
        <v>19</v>
      </c>
      <c r="S2159" s="50" t="str">
        <f t="shared" si="101"/>
        <v>Eve-West</v>
      </c>
      <c r="T2159" s="59" t="str">
        <f>IF(ROUND(sales_data_1[[#This Row],[Profit_Margin]],2)=ROUND((sales_data_1[[#This Row],[Unit_Price]]*(1-sales_data_1[[#This Row],[Discount]]) - sales_data_1[[#This Row],[Unit_Cost]])*sales_data_1[[#This Row],[Quantity_Sold]],2), "PASS", "CHECK")</f>
        <v>PASS</v>
      </c>
    </row>
    <row r="2160" spans="1:20" x14ac:dyDescent="0.35">
      <c r="A2160" s="7">
        <v>2159</v>
      </c>
      <c r="B2160" s="9">
        <v>1074</v>
      </c>
      <c r="C2160" s="14" t="str">
        <f>IFERROR(_xlfn.TEXTJOIN("-", TRUE, _xlfn.XLOOKUP(K2160, product_category_id_lookup!$A$2:$A$5, product_category_id_lookup!$B$2:$B$5), B2160), "Unknown Category")</f>
        <v>fd-1074</v>
      </c>
      <c r="D2160" s="8">
        <v>45307</v>
      </c>
      <c r="E2160" s="14">
        <f t="shared" si="99"/>
        <v>2024</v>
      </c>
      <c r="F2160" s="29" t="str">
        <f t="shared" si="100"/>
        <v>Jan</v>
      </c>
      <c r="G2160" s="17" t="s">
        <v>32</v>
      </c>
      <c r="H2160" s="17" t="s">
        <v>20</v>
      </c>
      <c r="I2160" s="24">
        <v>120278.35799999999</v>
      </c>
      <c r="J2160" s="32">
        <v>27</v>
      </c>
      <c r="K2160" s="17" t="s">
        <v>24</v>
      </c>
      <c r="L2160" s="24">
        <v>2894.18</v>
      </c>
      <c r="M2160" s="24">
        <v>4739.1000000000004</v>
      </c>
      <c r="N2160" s="34">
        <f>((sales_data_1[[#This Row],[Unit_Price]]*(1-sales_data_1[[#This Row],[Discount]]))-sales_data_1[[#This Row],[Unit_Cost]])*sales_data_1[[#This Row],[Quantity_Sold]]</f>
        <v>42135.498</v>
      </c>
      <c r="O2160" s="17" t="s">
        <v>17</v>
      </c>
      <c r="P2160" s="26">
        <v>0.06</v>
      </c>
      <c r="Q2160" s="17" t="s">
        <v>25</v>
      </c>
      <c r="R2160" s="17" t="s">
        <v>19</v>
      </c>
      <c r="S2160" s="50" t="str">
        <f t="shared" si="101"/>
        <v>Eve-West</v>
      </c>
      <c r="T2160" s="59" t="str">
        <f>IF(ROUND(sales_data_1[[#This Row],[Profit_Margin]],2)=ROUND((sales_data_1[[#This Row],[Unit_Price]]*(1-sales_data_1[[#This Row],[Discount]]) - sales_data_1[[#This Row],[Unit_Cost]])*sales_data_1[[#This Row],[Quantity_Sold]],2), "PASS", "CHECK")</f>
        <v>PASS</v>
      </c>
    </row>
    <row r="2161" spans="1:20" x14ac:dyDescent="0.35">
      <c r="A2161" s="7">
        <v>2160</v>
      </c>
      <c r="B2161" s="9">
        <v>1020</v>
      </c>
      <c r="C2161" s="14" t="str">
        <f>IFERROR(_xlfn.TEXTJOIN("-", TRUE, _xlfn.XLOOKUP(K2161, product_category_id_lookup!$A$2:$A$5, product_category_id_lookup!$B$2:$B$5), B2161), "Unknown Category")</f>
        <v>ctg-1020</v>
      </c>
      <c r="D2161" s="8">
        <v>45308</v>
      </c>
      <c r="E2161" s="14">
        <f t="shared" si="99"/>
        <v>2024</v>
      </c>
      <c r="F2161" s="29" t="str">
        <f t="shared" si="100"/>
        <v>Jan</v>
      </c>
      <c r="G2161" s="17" t="s">
        <v>32</v>
      </c>
      <c r="H2161" s="17" t="s">
        <v>20</v>
      </c>
      <c r="I2161" s="24">
        <v>83250.720000000001</v>
      </c>
      <c r="J2161" s="32">
        <v>50</v>
      </c>
      <c r="K2161" s="17" t="s">
        <v>26</v>
      </c>
      <c r="L2161" s="24">
        <v>1533.93</v>
      </c>
      <c r="M2161" s="24">
        <v>1982.16</v>
      </c>
      <c r="N2161" s="34">
        <f>((sales_data_1[[#This Row],[Unit_Price]]*(1-sales_data_1[[#This Row],[Discount]]))-sales_data_1[[#This Row],[Unit_Cost]])*sales_data_1[[#This Row],[Quantity_Sold]]</f>
        <v>6554.2199999999975</v>
      </c>
      <c r="O2161" s="17" t="s">
        <v>27</v>
      </c>
      <c r="P2161" s="26">
        <v>0.16</v>
      </c>
      <c r="Q2161" s="17" t="s">
        <v>25</v>
      </c>
      <c r="R2161" s="17" t="s">
        <v>19</v>
      </c>
      <c r="S2161" s="50" t="str">
        <f t="shared" si="101"/>
        <v>Eve-West</v>
      </c>
      <c r="T2161" s="59" t="str">
        <f>IF(ROUND(sales_data_1[[#This Row],[Profit_Margin]],2)=ROUND((sales_data_1[[#This Row],[Unit_Price]]*(1-sales_data_1[[#This Row],[Discount]]) - sales_data_1[[#This Row],[Unit_Cost]])*sales_data_1[[#This Row],[Quantity_Sold]],2), "PASS", "CHECK")</f>
        <v>PASS</v>
      </c>
    </row>
    <row r="2162" spans="1:20" x14ac:dyDescent="0.35">
      <c r="A2162" s="7">
        <v>2161</v>
      </c>
      <c r="B2162" s="9">
        <v>1059</v>
      </c>
      <c r="C2162" s="14" t="str">
        <f>IFERROR(_xlfn.TEXTJOIN("-", TRUE, _xlfn.XLOOKUP(K2162, product_category_id_lookup!$A$2:$A$5, product_category_id_lookup!$B$2:$B$5), B2162), "Unknown Category")</f>
        <v>fd-1059</v>
      </c>
      <c r="D2162" s="8">
        <v>45308</v>
      </c>
      <c r="E2162" s="14">
        <f t="shared" si="99"/>
        <v>2024</v>
      </c>
      <c r="F2162" s="29" t="str">
        <f t="shared" si="100"/>
        <v>Jan</v>
      </c>
      <c r="G2162" s="17" t="s">
        <v>29</v>
      </c>
      <c r="H2162" s="17" t="s">
        <v>23</v>
      </c>
      <c r="I2162" s="24">
        <v>61745.805</v>
      </c>
      <c r="J2162" s="32">
        <v>33</v>
      </c>
      <c r="K2162" s="17" t="s">
        <v>24</v>
      </c>
      <c r="L2162" s="24">
        <v>993.19</v>
      </c>
      <c r="M2162" s="24">
        <v>2494.7800000000002</v>
      </c>
      <c r="N2162" s="34">
        <f>((sales_data_1[[#This Row],[Unit_Price]]*(1-sales_data_1[[#This Row],[Discount]]))-sales_data_1[[#This Row],[Unit_Cost]])*sales_data_1[[#This Row],[Quantity_Sold]]</f>
        <v>28970.535</v>
      </c>
      <c r="O2162" s="17" t="s">
        <v>27</v>
      </c>
      <c r="P2162" s="26">
        <v>0.25</v>
      </c>
      <c r="Q2162" s="17" t="s">
        <v>28</v>
      </c>
      <c r="R2162" s="17" t="s">
        <v>19</v>
      </c>
      <c r="S2162" s="50" t="str">
        <f t="shared" si="101"/>
        <v>Charlie-South</v>
      </c>
      <c r="T2162" s="59" t="str">
        <f>IF(ROUND(sales_data_1[[#This Row],[Profit_Margin]],2)=ROUND((sales_data_1[[#This Row],[Unit_Price]]*(1-sales_data_1[[#This Row],[Discount]]) - sales_data_1[[#This Row],[Unit_Cost]])*sales_data_1[[#This Row],[Quantity_Sold]],2), "PASS", "CHECK")</f>
        <v>PASS</v>
      </c>
    </row>
    <row r="2163" spans="1:20" x14ac:dyDescent="0.35">
      <c r="A2163" s="7">
        <v>2162</v>
      </c>
      <c r="B2163" s="9">
        <v>1028</v>
      </c>
      <c r="C2163" s="14" t="str">
        <f>IFERROR(_xlfn.TEXTJOIN("-", TRUE, _xlfn.XLOOKUP(K2163, product_category_id_lookup!$A$2:$A$5, product_category_id_lookup!$B$2:$B$5), B2163), "Unknown Category")</f>
        <v>ctg-1028</v>
      </c>
      <c r="D2163" s="8">
        <v>45308</v>
      </c>
      <c r="E2163" s="14">
        <f t="shared" si="99"/>
        <v>2024</v>
      </c>
      <c r="F2163" s="29" t="str">
        <f t="shared" si="100"/>
        <v>Jan</v>
      </c>
      <c r="G2163" s="17" t="s">
        <v>14</v>
      </c>
      <c r="H2163" s="17" t="s">
        <v>15</v>
      </c>
      <c r="I2163" s="24">
        <v>126713.04000000001</v>
      </c>
      <c r="J2163" s="32">
        <v>24</v>
      </c>
      <c r="K2163" s="17" t="s">
        <v>26</v>
      </c>
      <c r="L2163" s="24">
        <v>1633.24</v>
      </c>
      <c r="M2163" s="24">
        <v>5443</v>
      </c>
      <c r="N2163" s="34">
        <f>((sales_data_1[[#This Row],[Unit_Price]]*(1-sales_data_1[[#This Row],[Discount]]))-sales_data_1[[#This Row],[Unit_Cost]])*sales_data_1[[#This Row],[Quantity_Sold]]</f>
        <v>87515.28</v>
      </c>
      <c r="O2163" s="17" t="s">
        <v>17</v>
      </c>
      <c r="P2163" s="26">
        <v>0.03</v>
      </c>
      <c r="Q2163" s="17" t="s">
        <v>28</v>
      </c>
      <c r="R2163" s="17" t="s">
        <v>21</v>
      </c>
      <c r="S2163" s="50" t="str">
        <f t="shared" si="101"/>
        <v>Bob-North</v>
      </c>
      <c r="T2163" s="59" t="str">
        <f>IF(ROUND(sales_data_1[[#This Row],[Profit_Margin]],2)=ROUND((sales_data_1[[#This Row],[Unit_Price]]*(1-sales_data_1[[#This Row],[Discount]]) - sales_data_1[[#This Row],[Unit_Cost]])*sales_data_1[[#This Row],[Quantity_Sold]],2), "PASS", "CHECK")</f>
        <v>PASS</v>
      </c>
    </row>
    <row r="2164" spans="1:20" x14ac:dyDescent="0.35">
      <c r="A2164" s="7">
        <v>2163</v>
      </c>
      <c r="B2164" s="9">
        <v>1091</v>
      </c>
      <c r="C2164" s="14" t="str">
        <f>IFERROR(_xlfn.TEXTJOIN("-", TRUE, _xlfn.XLOOKUP(K2164, product_category_id_lookup!$A$2:$A$5, product_category_id_lookup!$B$2:$B$5), B2164), "Unknown Category")</f>
        <v>etc-1091</v>
      </c>
      <c r="D2164" s="8">
        <v>45308</v>
      </c>
      <c r="E2164" s="14">
        <f t="shared" si="99"/>
        <v>2024</v>
      </c>
      <c r="F2164" s="29" t="str">
        <f t="shared" si="100"/>
        <v>Jan</v>
      </c>
      <c r="G2164" s="17" t="s">
        <v>22</v>
      </c>
      <c r="H2164" s="17" t="s">
        <v>20</v>
      </c>
      <c r="I2164" s="24">
        <v>158012.34599999999</v>
      </c>
      <c r="J2164" s="32">
        <v>46</v>
      </c>
      <c r="K2164" s="17" t="s">
        <v>31</v>
      </c>
      <c r="L2164" s="24">
        <v>1498.53</v>
      </c>
      <c r="M2164" s="24">
        <v>4838.1000000000004</v>
      </c>
      <c r="N2164" s="34">
        <f>((sales_data_1[[#This Row],[Unit_Price]]*(1-sales_data_1[[#This Row],[Discount]]))-sales_data_1[[#This Row],[Unit_Cost]])*sales_data_1[[#This Row],[Quantity_Sold]]</f>
        <v>89079.966</v>
      </c>
      <c r="O2164" s="17" t="s">
        <v>17</v>
      </c>
      <c r="P2164" s="26">
        <v>0.28999999999999998</v>
      </c>
      <c r="Q2164" s="17" t="s">
        <v>28</v>
      </c>
      <c r="R2164" s="17" t="s">
        <v>19</v>
      </c>
      <c r="S2164" s="50" t="str">
        <f t="shared" si="101"/>
        <v>David-West</v>
      </c>
      <c r="T2164" s="59" t="str">
        <f>IF(ROUND(sales_data_1[[#This Row],[Profit_Margin]],2)=ROUND((sales_data_1[[#This Row],[Unit_Price]]*(1-sales_data_1[[#This Row],[Discount]]) - sales_data_1[[#This Row],[Unit_Cost]])*sales_data_1[[#This Row],[Quantity_Sold]],2), "PASS", "CHECK")</f>
        <v>PASS</v>
      </c>
    </row>
    <row r="2165" spans="1:20" x14ac:dyDescent="0.35">
      <c r="A2165" s="7">
        <v>2164</v>
      </c>
      <c r="B2165" s="9">
        <v>1087</v>
      </c>
      <c r="C2165" s="14" t="str">
        <f>IFERROR(_xlfn.TEXTJOIN("-", TRUE, _xlfn.XLOOKUP(K2165, product_category_id_lookup!$A$2:$A$5, product_category_id_lookup!$B$2:$B$5), B2165), "Unknown Category")</f>
        <v>etc-1087</v>
      </c>
      <c r="D2165" s="8">
        <v>45308</v>
      </c>
      <c r="E2165" s="14">
        <f t="shared" si="99"/>
        <v>2024</v>
      </c>
      <c r="F2165" s="29" t="str">
        <f t="shared" si="100"/>
        <v>Jan</v>
      </c>
      <c r="G2165" s="17" t="s">
        <v>33</v>
      </c>
      <c r="H2165" s="17" t="s">
        <v>15</v>
      </c>
      <c r="I2165" s="24">
        <v>158483.598</v>
      </c>
      <c r="J2165" s="32">
        <v>39</v>
      </c>
      <c r="K2165" s="17" t="s">
        <v>31</v>
      </c>
      <c r="L2165" s="24">
        <v>1680.98</v>
      </c>
      <c r="M2165" s="24">
        <v>4277.5600000000004</v>
      </c>
      <c r="N2165" s="34">
        <f>((sales_data_1[[#This Row],[Unit_Price]]*(1-sales_data_1[[#This Row],[Discount]]))-sales_data_1[[#This Row],[Unit_Cost]])*sales_data_1[[#This Row],[Quantity_Sold]]</f>
        <v>92925.378000000012</v>
      </c>
      <c r="O2165" s="17" t="s">
        <v>17</v>
      </c>
      <c r="P2165" s="26">
        <v>0.05</v>
      </c>
      <c r="Q2165" s="17" t="s">
        <v>25</v>
      </c>
      <c r="R2165" s="17" t="s">
        <v>19</v>
      </c>
      <c r="S2165" s="50" t="str">
        <f t="shared" si="101"/>
        <v>Alice-North</v>
      </c>
      <c r="T2165" s="59" t="str">
        <f>IF(ROUND(sales_data_1[[#This Row],[Profit_Margin]],2)=ROUND((sales_data_1[[#This Row],[Unit_Price]]*(1-sales_data_1[[#This Row],[Discount]]) - sales_data_1[[#This Row],[Unit_Cost]])*sales_data_1[[#This Row],[Quantity_Sold]],2), "PASS", "CHECK")</f>
        <v>PASS</v>
      </c>
    </row>
    <row r="2166" spans="1:20" x14ac:dyDescent="0.35">
      <c r="A2166" s="7">
        <v>2165</v>
      </c>
      <c r="B2166" s="9">
        <v>1050</v>
      </c>
      <c r="C2166" s="14" t="str">
        <f>IFERROR(_xlfn.TEXTJOIN("-", TRUE, _xlfn.XLOOKUP(K2166, product_category_id_lookup!$A$2:$A$5, product_category_id_lookup!$B$2:$B$5), B2166), "Unknown Category")</f>
        <v>fnt-1050</v>
      </c>
      <c r="D2166" s="8">
        <v>45309</v>
      </c>
      <c r="E2166" s="14">
        <f t="shared" si="99"/>
        <v>2024</v>
      </c>
      <c r="F2166" s="29" t="str">
        <f t="shared" si="100"/>
        <v>Jan</v>
      </c>
      <c r="G2166" s="17" t="s">
        <v>22</v>
      </c>
      <c r="H2166" s="17" t="s">
        <v>30</v>
      </c>
      <c r="I2166" s="24">
        <v>10135.640000000001</v>
      </c>
      <c r="J2166" s="32">
        <v>4</v>
      </c>
      <c r="K2166" s="17" t="s">
        <v>16</v>
      </c>
      <c r="L2166" s="24">
        <v>622.91</v>
      </c>
      <c r="M2166" s="24">
        <v>2754.25</v>
      </c>
      <c r="N2166" s="34">
        <f>((sales_data_1[[#This Row],[Unit_Price]]*(1-sales_data_1[[#This Row],[Discount]]))-sales_data_1[[#This Row],[Unit_Cost]])*sales_data_1[[#This Row],[Quantity_Sold]]</f>
        <v>7644.0000000000018</v>
      </c>
      <c r="O2166" s="17" t="s">
        <v>27</v>
      </c>
      <c r="P2166" s="26">
        <v>0.08</v>
      </c>
      <c r="Q2166" s="17" t="s">
        <v>28</v>
      </c>
      <c r="R2166" s="17" t="s">
        <v>21</v>
      </c>
      <c r="S2166" s="50" t="str">
        <f t="shared" si="101"/>
        <v>David-East</v>
      </c>
      <c r="T2166" s="59" t="str">
        <f>IF(ROUND(sales_data_1[[#This Row],[Profit_Margin]],2)=ROUND((sales_data_1[[#This Row],[Unit_Price]]*(1-sales_data_1[[#This Row],[Discount]]) - sales_data_1[[#This Row],[Unit_Cost]])*sales_data_1[[#This Row],[Quantity_Sold]],2), "PASS", "CHECK")</f>
        <v>PASS</v>
      </c>
    </row>
    <row r="2167" spans="1:20" x14ac:dyDescent="0.35">
      <c r="A2167" s="7">
        <v>2166</v>
      </c>
      <c r="B2167" s="9">
        <v>1085</v>
      </c>
      <c r="C2167" s="14" t="str">
        <f>IFERROR(_xlfn.TEXTJOIN("-", TRUE, _xlfn.XLOOKUP(K2167, product_category_id_lookup!$A$2:$A$5, product_category_id_lookup!$B$2:$B$5), B2167), "Unknown Category")</f>
        <v>fnt-1085</v>
      </c>
      <c r="D2167" s="8">
        <v>45309</v>
      </c>
      <c r="E2167" s="14">
        <f t="shared" si="99"/>
        <v>2024</v>
      </c>
      <c r="F2167" s="29" t="str">
        <f t="shared" si="100"/>
        <v>Jan</v>
      </c>
      <c r="G2167" s="17" t="s">
        <v>32</v>
      </c>
      <c r="H2167" s="17" t="s">
        <v>15</v>
      </c>
      <c r="I2167" s="24">
        <v>54269.753199999999</v>
      </c>
      <c r="J2167" s="32">
        <v>31</v>
      </c>
      <c r="K2167" s="17" t="s">
        <v>16</v>
      </c>
      <c r="L2167" s="24">
        <v>1408.72</v>
      </c>
      <c r="M2167" s="24">
        <v>1862.38</v>
      </c>
      <c r="N2167" s="34">
        <f>((sales_data_1[[#This Row],[Unit_Price]]*(1-sales_data_1[[#This Row],[Discount]]))-sales_data_1[[#This Row],[Unit_Cost]])*sales_data_1[[#This Row],[Quantity_Sold]]</f>
        <v>10599.433199999996</v>
      </c>
      <c r="O2167" s="17" t="s">
        <v>27</v>
      </c>
      <c r="P2167" s="26">
        <v>0.06</v>
      </c>
      <c r="Q2167" s="17" t="s">
        <v>25</v>
      </c>
      <c r="R2167" s="17" t="s">
        <v>21</v>
      </c>
      <c r="S2167" s="50" t="str">
        <f t="shared" si="101"/>
        <v>Eve-North</v>
      </c>
      <c r="T2167" s="59" t="str">
        <f>IF(ROUND(sales_data_1[[#This Row],[Profit_Margin]],2)=ROUND((sales_data_1[[#This Row],[Unit_Price]]*(1-sales_data_1[[#This Row],[Discount]]) - sales_data_1[[#This Row],[Unit_Cost]])*sales_data_1[[#This Row],[Quantity_Sold]],2), "PASS", "CHECK")</f>
        <v>PASS</v>
      </c>
    </row>
    <row r="2168" spans="1:20" x14ac:dyDescent="0.35">
      <c r="A2168" s="7">
        <v>2167</v>
      </c>
      <c r="B2168" s="9">
        <v>1010</v>
      </c>
      <c r="C2168" s="14" t="str">
        <f>IFERROR(_xlfn.TEXTJOIN("-", TRUE, _xlfn.XLOOKUP(K2168, product_category_id_lookup!$A$2:$A$5, product_category_id_lookup!$B$2:$B$5), B2168), "Unknown Category")</f>
        <v>ctg-1010</v>
      </c>
      <c r="D2168" s="8">
        <v>45309</v>
      </c>
      <c r="E2168" s="14">
        <f t="shared" si="99"/>
        <v>2024</v>
      </c>
      <c r="F2168" s="29" t="str">
        <f t="shared" si="100"/>
        <v>Jan</v>
      </c>
      <c r="G2168" s="17" t="s">
        <v>33</v>
      </c>
      <c r="H2168" s="17" t="s">
        <v>30</v>
      </c>
      <c r="I2168" s="24">
        <v>54546.531999999999</v>
      </c>
      <c r="J2168" s="32">
        <v>20</v>
      </c>
      <c r="K2168" s="17" t="s">
        <v>26</v>
      </c>
      <c r="L2168" s="24">
        <v>363.61</v>
      </c>
      <c r="M2168" s="24">
        <v>3171.31</v>
      </c>
      <c r="N2168" s="34">
        <f>((sales_data_1[[#This Row],[Unit_Price]]*(1-sales_data_1[[#This Row],[Discount]]))-sales_data_1[[#This Row],[Unit_Cost]])*sales_data_1[[#This Row],[Quantity_Sold]]</f>
        <v>47274.331999999995</v>
      </c>
      <c r="O2168" s="17" t="s">
        <v>17</v>
      </c>
      <c r="P2168" s="26">
        <v>0.14000000000000001</v>
      </c>
      <c r="Q2168" s="17" t="s">
        <v>25</v>
      </c>
      <c r="R2168" s="17" t="s">
        <v>19</v>
      </c>
      <c r="S2168" s="50" t="str">
        <f t="shared" si="101"/>
        <v>Alice-East</v>
      </c>
      <c r="T2168" s="59" t="str">
        <f>IF(ROUND(sales_data_1[[#This Row],[Profit_Margin]],2)=ROUND((sales_data_1[[#This Row],[Unit_Price]]*(1-sales_data_1[[#This Row],[Discount]]) - sales_data_1[[#This Row],[Unit_Cost]])*sales_data_1[[#This Row],[Quantity_Sold]],2), "PASS", "CHECK")</f>
        <v>PASS</v>
      </c>
    </row>
    <row r="2169" spans="1:20" x14ac:dyDescent="0.35">
      <c r="A2169" s="7">
        <v>2168</v>
      </c>
      <c r="B2169" s="9">
        <v>1050</v>
      </c>
      <c r="C2169" s="14" t="str">
        <f>IFERROR(_xlfn.TEXTJOIN("-", TRUE, _xlfn.XLOOKUP(K2169, product_category_id_lookup!$A$2:$A$5, product_category_id_lookup!$B$2:$B$5), B2169), "Unknown Category")</f>
        <v>ctg-1050</v>
      </c>
      <c r="D2169" s="8">
        <v>45309</v>
      </c>
      <c r="E2169" s="14">
        <f t="shared" si="99"/>
        <v>2024</v>
      </c>
      <c r="F2169" s="29" t="str">
        <f t="shared" si="100"/>
        <v>Jan</v>
      </c>
      <c r="G2169" s="17" t="s">
        <v>29</v>
      </c>
      <c r="H2169" s="17" t="s">
        <v>23</v>
      </c>
      <c r="I2169" s="24">
        <v>102461.08950000002</v>
      </c>
      <c r="J2169" s="32">
        <v>45</v>
      </c>
      <c r="K2169" s="17" t="s">
        <v>26</v>
      </c>
      <c r="L2169" s="24">
        <v>1139.97</v>
      </c>
      <c r="M2169" s="24">
        <v>2957.03</v>
      </c>
      <c r="N2169" s="34">
        <f>((sales_data_1[[#This Row],[Unit_Price]]*(1-sales_data_1[[#This Row],[Discount]]))-sales_data_1[[#This Row],[Unit_Cost]])*sales_data_1[[#This Row],[Quantity_Sold]]</f>
        <v>51162.439500000008</v>
      </c>
      <c r="O2169" s="17" t="s">
        <v>27</v>
      </c>
      <c r="P2169" s="26">
        <v>0.23</v>
      </c>
      <c r="Q2169" s="17" t="s">
        <v>25</v>
      </c>
      <c r="R2169" s="17" t="s">
        <v>21</v>
      </c>
      <c r="S2169" s="50" t="str">
        <f t="shared" si="101"/>
        <v>Charlie-South</v>
      </c>
      <c r="T2169" s="59" t="str">
        <f>IF(ROUND(sales_data_1[[#This Row],[Profit_Margin]],2)=ROUND((sales_data_1[[#This Row],[Unit_Price]]*(1-sales_data_1[[#This Row],[Discount]]) - sales_data_1[[#This Row],[Unit_Cost]])*sales_data_1[[#This Row],[Quantity_Sold]],2), "PASS", "CHECK")</f>
        <v>PASS</v>
      </c>
    </row>
    <row r="2170" spans="1:20" x14ac:dyDescent="0.35">
      <c r="A2170" s="7">
        <v>2169</v>
      </c>
      <c r="B2170" s="9">
        <v>1011</v>
      </c>
      <c r="C2170" s="14" t="str">
        <f>IFERROR(_xlfn.TEXTJOIN("-", TRUE, _xlfn.XLOOKUP(K2170, product_category_id_lookup!$A$2:$A$5, product_category_id_lookup!$B$2:$B$5), B2170), "Unknown Category")</f>
        <v>fnt-1011</v>
      </c>
      <c r="D2170" s="8">
        <v>45309</v>
      </c>
      <c r="E2170" s="14">
        <f t="shared" si="99"/>
        <v>2024</v>
      </c>
      <c r="F2170" s="29" t="str">
        <f t="shared" si="100"/>
        <v>Jan</v>
      </c>
      <c r="G2170" s="17" t="s">
        <v>14</v>
      </c>
      <c r="H2170" s="17" t="s">
        <v>20</v>
      </c>
      <c r="I2170" s="24">
        <v>126478.6848</v>
      </c>
      <c r="J2170" s="32">
        <v>39</v>
      </c>
      <c r="K2170" s="17" t="s">
        <v>16</v>
      </c>
      <c r="L2170" s="24">
        <v>1332.37</v>
      </c>
      <c r="M2170" s="24">
        <v>3378.17</v>
      </c>
      <c r="N2170" s="34">
        <f>((sales_data_1[[#This Row],[Unit_Price]]*(1-sales_data_1[[#This Row],[Discount]]))-sales_data_1[[#This Row],[Unit_Cost]])*sales_data_1[[#This Row],[Quantity_Sold]]</f>
        <v>74516.25480000001</v>
      </c>
      <c r="O2170" s="17" t="s">
        <v>27</v>
      </c>
      <c r="P2170" s="26">
        <v>0.04</v>
      </c>
      <c r="Q2170" s="17" t="s">
        <v>18</v>
      </c>
      <c r="R2170" s="17" t="s">
        <v>21</v>
      </c>
      <c r="S2170" s="50" t="str">
        <f t="shared" si="101"/>
        <v>Bob-West</v>
      </c>
      <c r="T2170" s="59" t="str">
        <f>IF(ROUND(sales_data_1[[#This Row],[Profit_Margin]],2)=ROUND((sales_data_1[[#This Row],[Unit_Price]]*(1-sales_data_1[[#This Row],[Discount]]) - sales_data_1[[#This Row],[Unit_Cost]])*sales_data_1[[#This Row],[Quantity_Sold]],2), "PASS", "CHECK")</f>
        <v>PASS</v>
      </c>
    </row>
    <row r="2171" spans="1:20" x14ac:dyDescent="0.35">
      <c r="A2171" s="7">
        <v>2170</v>
      </c>
      <c r="B2171" s="9">
        <v>1031</v>
      </c>
      <c r="C2171" s="14" t="str">
        <f>IFERROR(_xlfn.TEXTJOIN("-", TRUE, _xlfn.XLOOKUP(K2171, product_category_id_lookup!$A$2:$A$5, product_category_id_lookup!$B$2:$B$5), B2171), "Unknown Category")</f>
        <v>ctg-1031</v>
      </c>
      <c r="D2171" s="8">
        <v>45310</v>
      </c>
      <c r="E2171" s="14">
        <f t="shared" si="99"/>
        <v>2024</v>
      </c>
      <c r="F2171" s="29" t="str">
        <f t="shared" si="100"/>
        <v>Jan</v>
      </c>
      <c r="G2171" s="17" t="s">
        <v>32</v>
      </c>
      <c r="H2171" s="17" t="s">
        <v>20</v>
      </c>
      <c r="I2171" s="24">
        <v>16792.184321866116</v>
      </c>
      <c r="J2171" s="32">
        <v>6</v>
      </c>
      <c r="K2171" s="17" t="s">
        <v>26</v>
      </c>
      <c r="L2171" s="24">
        <v>2702.45</v>
      </c>
      <c r="M2171" s="24">
        <v>2810.33</v>
      </c>
      <c r="N2171" s="34">
        <f>((sales_data_1[[#This Row],[Unit_Price]]*(1-sales_data_1[[#This Row],[Discount]]))-sales_data_1[[#This Row],[Unit_Cost]])*sales_data_1[[#This Row],[Quantity_Sold]]</f>
        <v>647.28000000000065</v>
      </c>
      <c r="O2171" s="17" t="s">
        <v>27</v>
      </c>
      <c r="P2171" s="26">
        <v>0</v>
      </c>
      <c r="Q2171" s="17" t="s">
        <v>28</v>
      </c>
      <c r="R2171" s="17" t="s">
        <v>19</v>
      </c>
      <c r="S2171" s="50" t="str">
        <f t="shared" si="101"/>
        <v>Eve-West</v>
      </c>
      <c r="T2171" s="59" t="str">
        <f>IF(ROUND(sales_data_1[[#This Row],[Profit_Margin]],2)=ROUND((sales_data_1[[#This Row],[Unit_Price]]*(1-sales_data_1[[#This Row],[Discount]]) - sales_data_1[[#This Row],[Unit_Cost]])*sales_data_1[[#This Row],[Quantity_Sold]],2), "PASS", "CHECK")</f>
        <v>PASS</v>
      </c>
    </row>
    <row r="2172" spans="1:20" x14ac:dyDescent="0.35">
      <c r="A2172" s="7">
        <v>2171</v>
      </c>
      <c r="B2172" s="9">
        <v>1076</v>
      </c>
      <c r="C2172" s="14" t="str">
        <f>IFERROR(_xlfn.TEXTJOIN("-", TRUE, _xlfn.XLOOKUP(K2172, product_category_id_lookup!$A$2:$A$5, product_category_id_lookup!$B$2:$B$5), B2172), "Unknown Category")</f>
        <v>fd-1076</v>
      </c>
      <c r="D2172" s="8">
        <v>45311</v>
      </c>
      <c r="E2172" s="14">
        <f t="shared" si="99"/>
        <v>2024</v>
      </c>
      <c r="F2172" s="29" t="str">
        <f t="shared" si="100"/>
        <v>Jan</v>
      </c>
      <c r="G2172" s="17" t="s">
        <v>29</v>
      </c>
      <c r="H2172" s="17" t="s">
        <v>30</v>
      </c>
      <c r="I2172" s="24">
        <v>40435.307999999997</v>
      </c>
      <c r="J2172" s="32">
        <v>12</v>
      </c>
      <c r="K2172" s="17" t="s">
        <v>24</v>
      </c>
      <c r="L2172" s="24">
        <v>2509.1</v>
      </c>
      <c r="M2172" s="24">
        <v>3918.15</v>
      </c>
      <c r="N2172" s="34">
        <f>((sales_data_1[[#This Row],[Unit_Price]]*(1-sales_data_1[[#This Row],[Discount]]))-sales_data_1[[#This Row],[Unit_Cost]])*sales_data_1[[#This Row],[Quantity_Sold]]</f>
        <v>10326.108</v>
      </c>
      <c r="O2172" s="17" t="s">
        <v>17</v>
      </c>
      <c r="P2172" s="26">
        <v>0.14000000000000001</v>
      </c>
      <c r="Q2172" s="17" t="s">
        <v>28</v>
      </c>
      <c r="R2172" s="17" t="s">
        <v>19</v>
      </c>
      <c r="S2172" s="50" t="str">
        <f t="shared" si="101"/>
        <v>Charlie-East</v>
      </c>
      <c r="T2172" s="59" t="str">
        <f>IF(ROUND(sales_data_1[[#This Row],[Profit_Margin]],2)=ROUND((sales_data_1[[#This Row],[Unit_Price]]*(1-sales_data_1[[#This Row],[Discount]]) - sales_data_1[[#This Row],[Unit_Cost]])*sales_data_1[[#This Row],[Quantity_Sold]],2), "PASS", "CHECK")</f>
        <v>PASS</v>
      </c>
    </row>
    <row r="2173" spans="1:20" x14ac:dyDescent="0.35">
      <c r="A2173" s="7">
        <v>2172</v>
      </c>
      <c r="B2173" s="9">
        <v>1076</v>
      </c>
      <c r="C2173" s="14" t="str">
        <f>IFERROR(_xlfn.TEXTJOIN("-", TRUE, _xlfn.XLOOKUP(K2173, product_category_id_lookup!$A$2:$A$5, product_category_id_lookup!$B$2:$B$5), B2173), "Unknown Category")</f>
        <v>etc-1076</v>
      </c>
      <c r="D2173" s="8">
        <v>45311</v>
      </c>
      <c r="E2173" s="14">
        <f t="shared" si="99"/>
        <v>2024</v>
      </c>
      <c r="F2173" s="29" t="str">
        <f t="shared" si="100"/>
        <v>Jan</v>
      </c>
      <c r="G2173" s="17" t="s">
        <v>32</v>
      </c>
      <c r="H2173" s="17" t="s">
        <v>15</v>
      </c>
      <c r="I2173" s="24">
        <v>89192.426399999997</v>
      </c>
      <c r="J2173" s="32">
        <v>33</v>
      </c>
      <c r="K2173" s="17" t="s">
        <v>31</v>
      </c>
      <c r="L2173" s="24">
        <v>2359.29</v>
      </c>
      <c r="M2173" s="24">
        <v>2875.32</v>
      </c>
      <c r="N2173" s="34">
        <f>((sales_data_1[[#This Row],[Unit_Price]]*(1-sales_data_1[[#This Row],[Discount]]))-sales_data_1[[#This Row],[Unit_Cost]])*sales_data_1[[#This Row],[Quantity_Sold]]</f>
        <v>11335.856400000001</v>
      </c>
      <c r="O2173" s="17" t="s">
        <v>17</v>
      </c>
      <c r="P2173" s="26">
        <v>0.06</v>
      </c>
      <c r="Q2173" s="17" t="s">
        <v>28</v>
      </c>
      <c r="R2173" s="17" t="s">
        <v>19</v>
      </c>
      <c r="S2173" s="50" t="str">
        <f t="shared" si="101"/>
        <v>Eve-North</v>
      </c>
      <c r="T2173" s="59" t="str">
        <f>IF(ROUND(sales_data_1[[#This Row],[Profit_Margin]],2)=ROUND((sales_data_1[[#This Row],[Unit_Price]]*(1-sales_data_1[[#This Row],[Discount]]) - sales_data_1[[#This Row],[Unit_Cost]])*sales_data_1[[#This Row],[Quantity_Sold]],2), "PASS", "CHECK")</f>
        <v>PASS</v>
      </c>
    </row>
    <row r="2174" spans="1:20" x14ac:dyDescent="0.35">
      <c r="A2174" s="7">
        <v>2173</v>
      </c>
      <c r="B2174" s="9">
        <v>1012</v>
      </c>
      <c r="C2174" s="14" t="str">
        <f>IFERROR(_xlfn.TEXTJOIN("-", TRUE, _xlfn.XLOOKUP(K2174, product_category_id_lookup!$A$2:$A$5, product_category_id_lookup!$B$2:$B$5), B2174), "Unknown Category")</f>
        <v>fd-1012</v>
      </c>
      <c r="D2174" s="8">
        <v>45311</v>
      </c>
      <c r="E2174" s="14">
        <f t="shared" si="99"/>
        <v>2024</v>
      </c>
      <c r="F2174" s="29" t="str">
        <f t="shared" si="100"/>
        <v>Jan</v>
      </c>
      <c r="G2174" s="17" t="s">
        <v>22</v>
      </c>
      <c r="H2174" s="17" t="s">
        <v>23</v>
      </c>
      <c r="I2174" s="24">
        <v>176486.12640000001</v>
      </c>
      <c r="J2174" s="32">
        <v>48</v>
      </c>
      <c r="K2174" s="17" t="s">
        <v>24</v>
      </c>
      <c r="L2174" s="24">
        <v>3238.96</v>
      </c>
      <c r="M2174" s="24">
        <v>4654.17</v>
      </c>
      <c r="N2174" s="34">
        <f>((sales_data_1[[#This Row],[Unit_Price]]*(1-sales_data_1[[#This Row],[Discount]]))-sales_data_1[[#This Row],[Unit_Cost]])*sales_data_1[[#This Row],[Quantity_Sold]]</f>
        <v>21016.046399999999</v>
      </c>
      <c r="O2174" s="17" t="s">
        <v>27</v>
      </c>
      <c r="P2174" s="26">
        <v>0.21</v>
      </c>
      <c r="Q2174" s="17" t="s">
        <v>25</v>
      </c>
      <c r="R2174" s="17" t="s">
        <v>19</v>
      </c>
      <c r="S2174" s="50" t="str">
        <f t="shared" si="101"/>
        <v>David-South</v>
      </c>
      <c r="T2174" s="59" t="str">
        <f>IF(ROUND(sales_data_1[[#This Row],[Profit_Margin]],2)=ROUND((sales_data_1[[#This Row],[Unit_Price]]*(1-sales_data_1[[#This Row],[Discount]]) - sales_data_1[[#This Row],[Unit_Cost]])*sales_data_1[[#This Row],[Quantity_Sold]],2), "PASS", "CHECK")</f>
        <v>PASS</v>
      </c>
    </row>
    <row r="2175" spans="1:20" x14ac:dyDescent="0.35">
      <c r="A2175" s="7">
        <v>2174</v>
      </c>
      <c r="B2175" s="9">
        <v>1011</v>
      </c>
      <c r="C2175" s="14" t="str">
        <f>IFERROR(_xlfn.TEXTJOIN("-", TRUE, _xlfn.XLOOKUP(K2175, product_category_id_lookup!$A$2:$A$5, product_category_id_lookup!$B$2:$B$5), B2175), "Unknown Category")</f>
        <v>fnt-1011</v>
      </c>
      <c r="D2175" s="8">
        <v>45311</v>
      </c>
      <c r="E2175" s="14">
        <f t="shared" si="99"/>
        <v>2024</v>
      </c>
      <c r="F2175" s="29" t="str">
        <f t="shared" si="100"/>
        <v>Jan</v>
      </c>
      <c r="G2175" s="17" t="s">
        <v>22</v>
      </c>
      <c r="H2175" s="17" t="s">
        <v>20</v>
      </c>
      <c r="I2175" s="24">
        <v>64447.392</v>
      </c>
      <c r="J2175" s="32">
        <v>30</v>
      </c>
      <c r="K2175" s="17" t="s">
        <v>16</v>
      </c>
      <c r="L2175" s="24">
        <v>691.78</v>
      </c>
      <c r="M2175" s="24">
        <v>2826.64</v>
      </c>
      <c r="N2175" s="34">
        <f>((sales_data_1[[#This Row],[Unit_Price]]*(1-sales_data_1[[#This Row],[Discount]]))-sales_data_1[[#This Row],[Unit_Cost]])*sales_data_1[[#This Row],[Quantity_Sold]]</f>
        <v>43693.991999999998</v>
      </c>
      <c r="O2175" s="17" t="s">
        <v>27</v>
      </c>
      <c r="P2175" s="26">
        <v>0.24</v>
      </c>
      <c r="Q2175" s="17" t="s">
        <v>18</v>
      </c>
      <c r="R2175" s="17" t="s">
        <v>19</v>
      </c>
      <c r="S2175" s="50" t="str">
        <f t="shared" si="101"/>
        <v>David-West</v>
      </c>
      <c r="T2175" s="59" t="str">
        <f>IF(ROUND(sales_data_1[[#This Row],[Profit_Margin]],2)=ROUND((sales_data_1[[#This Row],[Unit_Price]]*(1-sales_data_1[[#This Row],[Discount]]) - sales_data_1[[#This Row],[Unit_Cost]])*sales_data_1[[#This Row],[Quantity_Sold]],2), "PASS", "CHECK")</f>
        <v>PASS</v>
      </c>
    </row>
    <row r="2176" spans="1:20" x14ac:dyDescent="0.35">
      <c r="A2176" s="7">
        <v>2175</v>
      </c>
      <c r="B2176" s="9">
        <v>1002</v>
      </c>
      <c r="C2176" s="14" t="str">
        <f>IFERROR(_xlfn.TEXTJOIN("-", TRUE, _xlfn.XLOOKUP(K2176, product_category_id_lookup!$A$2:$A$5, product_category_id_lookup!$B$2:$B$5), B2176), "Unknown Category")</f>
        <v>etc-1002</v>
      </c>
      <c r="D2176" s="8">
        <v>45311</v>
      </c>
      <c r="E2176" s="14">
        <f t="shared" si="99"/>
        <v>2024</v>
      </c>
      <c r="F2176" s="29" t="str">
        <f t="shared" si="100"/>
        <v>Jan</v>
      </c>
      <c r="G2176" s="17" t="s">
        <v>33</v>
      </c>
      <c r="H2176" s="17" t="s">
        <v>30</v>
      </c>
      <c r="I2176" s="24">
        <v>57027.885600000001</v>
      </c>
      <c r="J2176" s="32">
        <v>12</v>
      </c>
      <c r="K2176" s="17" t="s">
        <v>31</v>
      </c>
      <c r="L2176" s="24">
        <v>823.94</v>
      </c>
      <c r="M2176" s="24">
        <v>4849.3100000000004</v>
      </c>
      <c r="N2176" s="34">
        <f>((sales_data_1[[#This Row],[Unit_Price]]*(1-sales_data_1[[#This Row],[Discount]]))-sales_data_1[[#This Row],[Unit_Cost]])*sales_data_1[[#This Row],[Quantity_Sold]]</f>
        <v>47140.605600000003</v>
      </c>
      <c r="O2176" s="17" t="s">
        <v>17</v>
      </c>
      <c r="P2176" s="26">
        <v>0.02</v>
      </c>
      <c r="Q2176" s="17" t="s">
        <v>25</v>
      </c>
      <c r="R2176" s="17" t="s">
        <v>19</v>
      </c>
      <c r="S2176" s="50" t="str">
        <f t="shared" si="101"/>
        <v>Alice-East</v>
      </c>
      <c r="T2176" s="59" t="str">
        <f>IF(ROUND(sales_data_1[[#This Row],[Profit_Margin]],2)=ROUND((sales_data_1[[#This Row],[Unit_Price]]*(1-sales_data_1[[#This Row],[Discount]]) - sales_data_1[[#This Row],[Unit_Cost]])*sales_data_1[[#This Row],[Quantity_Sold]],2), "PASS", "CHECK")</f>
        <v>PASS</v>
      </c>
    </row>
    <row r="2177" spans="1:20" x14ac:dyDescent="0.35">
      <c r="A2177" s="7">
        <v>2176</v>
      </c>
      <c r="B2177" s="9">
        <v>1015</v>
      </c>
      <c r="C2177" s="14" t="str">
        <f>IFERROR(_xlfn.TEXTJOIN("-", TRUE, _xlfn.XLOOKUP(K2177, product_category_id_lookup!$A$2:$A$5, product_category_id_lookup!$B$2:$B$5), B2177), "Unknown Category")</f>
        <v>ctg-1015</v>
      </c>
      <c r="D2177" s="8">
        <v>45311</v>
      </c>
      <c r="E2177" s="14">
        <f t="shared" si="99"/>
        <v>2024</v>
      </c>
      <c r="F2177" s="29" t="str">
        <f t="shared" si="100"/>
        <v>Jan</v>
      </c>
      <c r="G2177" s="17" t="s">
        <v>29</v>
      </c>
      <c r="H2177" s="17" t="s">
        <v>15</v>
      </c>
      <c r="I2177" s="24">
        <v>98827.659</v>
      </c>
      <c r="J2177" s="32">
        <v>42</v>
      </c>
      <c r="K2177" s="17" t="s">
        <v>26</v>
      </c>
      <c r="L2177" s="24">
        <v>835.15</v>
      </c>
      <c r="M2177" s="24">
        <v>2530.15</v>
      </c>
      <c r="N2177" s="34">
        <f>((sales_data_1[[#This Row],[Unit_Price]]*(1-sales_data_1[[#This Row],[Discount]]))-sales_data_1[[#This Row],[Unit_Cost]])*sales_data_1[[#This Row],[Quantity_Sold]]</f>
        <v>63751.358999999989</v>
      </c>
      <c r="O2177" s="17" t="s">
        <v>17</v>
      </c>
      <c r="P2177" s="26">
        <v>7.0000000000000007E-2</v>
      </c>
      <c r="Q2177" s="17" t="s">
        <v>28</v>
      </c>
      <c r="R2177" s="17" t="s">
        <v>21</v>
      </c>
      <c r="S2177" s="50" t="str">
        <f t="shared" si="101"/>
        <v>Charlie-North</v>
      </c>
      <c r="T2177" s="59" t="str">
        <f>IF(ROUND(sales_data_1[[#This Row],[Profit_Margin]],2)=ROUND((sales_data_1[[#This Row],[Unit_Price]]*(1-sales_data_1[[#This Row],[Discount]]) - sales_data_1[[#This Row],[Unit_Cost]])*sales_data_1[[#This Row],[Quantity_Sold]],2), "PASS", "CHECK")</f>
        <v>PASS</v>
      </c>
    </row>
    <row r="2178" spans="1:20" x14ac:dyDescent="0.35">
      <c r="A2178" s="7">
        <v>2177</v>
      </c>
      <c r="B2178" s="9">
        <v>1070</v>
      </c>
      <c r="C2178" s="14" t="str">
        <f>IFERROR(_xlfn.TEXTJOIN("-", TRUE, _xlfn.XLOOKUP(K2178, product_category_id_lookup!$A$2:$A$5, product_category_id_lookup!$B$2:$B$5), B2178), "Unknown Category")</f>
        <v>fnt-1070</v>
      </c>
      <c r="D2178" s="8">
        <v>45312</v>
      </c>
      <c r="E2178" s="14">
        <f t="shared" ref="E2178:E2241" si="102">YEAR(D2178)</f>
        <v>2024</v>
      </c>
      <c r="F2178" s="29" t="str">
        <f t="shared" ref="F2178:F2241" si="103">LEFT(TEXT(D2178,"mmmm"),3)</f>
        <v>Jan</v>
      </c>
      <c r="G2178" s="17" t="s">
        <v>14</v>
      </c>
      <c r="H2178" s="17" t="s">
        <v>23</v>
      </c>
      <c r="I2178" s="24">
        <v>33161.410799999998</v>
      </c>
      <c r="J2178" s="32">
        <v>9</v>
      </c>
      <c r="K2178" s="17" t="s">
        <v>16</v>
      </c>
      <c r="L2178" s="24">
        <v>3603.92</v>
      </c>
      <c r="M2178" s="24">
        <v>4284.42</v>
      </c>
      <c r="N2178" s="34">
        <f>((sales_data_1[[#This Row],[Unit_Price]]*(1-sales_data_1[[#This Row],[Discount]]))-sales_data_1[[#This Row],[Unit_Cost]])*sales_data_1[[#This Row],[Quantity_Sold]]</f>
        <v>726.13079999999991</v>
      </c>
      <c r="O2178" s="17" t="s">
        <v>27</v>
      </c>
      <c r="P2178" s="26">
        <v>0.14000000000000001</v>
      </c>
      <c r="Q2178" s="17" t="s">
        <v>28</v>
      </c>
      <c r="R2178" s="17" t="s">
        <v>21</v>
      </c>
      <c r="S2178" s="50" t="str">
        <f t="shared" ref="S2178:S2241" si="104">_xlfn.CONCAT(G2178,"-",H2178)</f>
        <v>Bob-South</v>
      </c>
      <c r="T2178" s="59" t="str">
        <f>IF(ROUND(sales_data_1[[#This Row],[Profit_Margin]],2)=ROUND((sales_data_1[[#This Row],[Unit_Price]]*(1-sales_data_1[[#This Row],[Discount]]) - sales_data_1[[#This Row],[Unit_Cost]])*sales_data_1[[#This Row],[Quantity_Sold]],2), "PASS", "CHECK")</f>
        <v>PASS</v>
      </c>
    </row>
    <row r="2179" spans="1:20" x14ac:dyDescent="0.35">
      <c r="A2179" s="7">
        <v>2178</v>
      </c>
      <c r="B2179" s="9">
        <v>1038</v>
      </c>
      <c r="C2179" s="14" t="str">
        <f>IFERROR(_xlfn.TEXTJOIN("-", TRUE, _xlfn.XLOOKUP(K2179, product_category_id_lookup!$A$2:$A$5, product_category_id_lookup!$B$2:$B$5), B2179), "Unknown Category")</f>
        <v>fnt-1038</v>
      </c>
      <c r="D2179" s="8">
        <v>45312</v>
      </c>
      <c r="E2179" s="14">
        <f t="shared" si="102"/>
        <v>2024</v>
      </c>
      <c r="F2179" s="29" t="str">
        <f t="shared" si="103"/>
        <v>Jan</v>
      </c>
      <c r="G2179" s="17" t="s">
        <v>14</v>
      </c>
      <c r="H2179" s="17" t="s">
        <v>23</v>
      </c>
      <c r="I2179" s="24">
        <v>134930.17200000002</v>
      </c>
      <c r="J2179" s="32">
        <v>38</v>
      </c>
      <c r="K2179" s="17" t="s">
        <v>16</v>
      </c>
      <c r="L2179" s="24">
        <v>3001.49</v>
      </c>
      <c r="M2179" s="24">
        <v>4552.3</v>
      </c>
      <c r="N2179" s="34">
        <f>((sales_data_1[[#This Row],[Unit_Price]]*(1-sales_data_1[[#This Row],[Discount]]))-sales_data_1[[#This Row],[Unit_Cost]])*sales_data_1[[#This Row],[Quantity_Sold]]</f>
        <v>20873.552000000022</v>
      </c>
      <c r="O2179" s="17" t="s">
        <v>27</v>
      </c>
      <c r="P2179" s="26">
        <v>0.22</v>
      </c>
      <c r="Q2179" s="17" t="s">
        <v>25</v>
      </c>
      <c r="R2179" s="17" t="s">
        <v>19</v>
      </c>
      <c r="S2179" s="50" t="str">
        <f t="shared" si="104"/>
        <v>Bob-South</v>
      </c>
      <c r="T2179" s="59" t="str">
        <f>IF(ROUND(sales_data_1[[#This Row],[Profit_Margin]],2)=ROUND((sales_data_1[[#This Row],[Unit_Price]]*(1-sales_data_1[[#This Row],[Discount]]) - sales_data_1[[#This Row],[Unit_Cost]])*sales_data_1[[#This Row],[Quantity_Sold]],2), "PASS", "CHECK")</f>
        <v>PASS</v>
      </c>
    </row>
    <row r="2180" spans="1:20" x14ac:dyDescent="0.35">
      <c r="A2180" s="7">
        <v>2179</v>
      </c>
      <c r="B2180" s="9">
        <v>1019</v>
      </c>
      <c r="C2180" s="14" t="str">
        <f>IFERROR(_xlfn.TEXTJOIN("-", TRUE, _xlfn.XLOOKUP(K2180, product_category_id_lookup!$A$2:$A$5, product_category_id_lookup!$B$2:$B$5), B2180), "Unknown Category")</f>
        <v>ctg-1019</v>
      </c>
      <c r="D2180" s="8">
        <v>45313</v>
      </c>
      <c r="E2180" s="14">
        <f t="shared" si="102"/>
        <v>2024</v>
      </c>
      <c r="F2180" s="29" t="str">
        <f t="shared" si="103"/>
        <v>Jan</v>
      </c>
      <c r="G2180" s="17" t="s">
        <v>32</v>
      </c>
      <c r="H2180" s="17" t="s">
        <v>20</v>
      </c>
      <c r="I2180" s="24">
        <v>89988.7065</v>
      </c>
      <c r="J2180" s="32">
        <v>35</v>
      </c>
      <c r="K2180" s="17" t="s">
        <v>26</v>
      </c>
      <c r="L2180" s="24">
        <v>809.53</v>
      </c>
      <c r="M2180" s="24">
        <v>2764.63</v>
      </c>
      <c r="N2180" s="34">
        <f>((sales_data_1[[#This Row],[Unit_Price]]*(1-sales_data_1[[#This Row],[Discount]]))-sales_data_1[[#This Row],[Unit_Cost]])*sales_data_1[[#This Row],[Quantity_Sold]]</f>
        <v>61655.156500000005</v>
      </c>
      <c r="O2180" s="17" t="s">
        <v>17</v>
      </c>
      <c r="P2180" s="26">
        <v>7.0000000000000007E-2</v>
      </c>
      <c r="Q2180" s="17" t="s">
        <v>18</v>
      </c>
      <c r="R2180" s="17" t="s">
        <v>19</v>
      </c>
      <c r="S2180" s="50" t="str">
        <f t="shared" si="104"/>
        <v>Eve-West</v>
      </c>
      <c r="T2180" s="59" t="str">
        <f>IF(ROUND(sales_data_1[[#This Row],[Profit_Margin]],2)=ROUND((sales_data_1[[#This Row],[Unit_Price]]*(1-sales_data_1[[#This Row],[Discount]]) - sales_data_1[[#This Row],[Unit_Cost]])*sales_data_1[[#This Row],[Quantity_Sold]],2), "PASS", "CHECK")</f>
        <v>PASS</v>
      </c>
    </row>
    <row r="2181" spans="1:20" x14ac:dyDescent="0.35">
      <c r="A2181" s="7">
        <v>2180</v>
      </c>
      <c r="B2181" s="9">
        <v>1050</v>
      </c>
      <c r="C2181" s="14" t="str">
        <f>IFERROR(_xlfn.TEXTJOIN("-", TRUE, _xlfn.XLOOKUP(K2181, product_category_id_lookup!$A$2:$A$5, product_category_id_lookup!$B$2:$B$5), B2181), "Unknown Category")</f>
        <v>etc-1050</v>
      </c>
      <c r="D2181" s="8">
        <v>45314</v>
      </c>
      <c r="E2181" s="14">
        <f t="shared" si="102"/>
        <v>2024</v>
      </c>
      <c r="F2181" s="29" t="str">
        <f t="shared" si="103"/>
        <v>Jan</v>
      </c>
      <c r="G2181" s="17" t="s">
        <v>22</v>
      </c>
      <c r="H2181" s="17" t="s">
        <v>15</v>
      </c>
      <c r="I2181" s="24">
        <v>78199.679999999993</v>
      </c>
      <c r="J2181" s="32">
        <v>26</v>
      </c>
      <c r="K2181" s="17" t="s">
        <v>31</v>
      </c>
      <c r="L2181" s="24">
        <v>2758.45</v>
      </c>
      <c r="M2181" s="24">
        <v>3007.68</v>
      </c>
      <c r="N2181" s="34">
        <f>((sales_data_1[[#This Row],[Unit_Price]]*(1-sales_data_1[[#This Row],[Discount]]))-sales_data_1[[#This Row],[Unit_Cost]])*sales_data_1[[#This Row],[Quantity_Sold]]</f>
        <v>6479.9800000000005</v>
      </c>
      <c r="O2181" s="17" t="s">
        <v>17</v>
      </c>
      <c r="P2181" s="26">
        <v>0</v>
      </c>
      <c r="Q2181" s="17" t="s">
        <v>18</v>
      </c>
      <c r="R2181" s="17" t="s">
        <v>19</v>
      </c>
      <c r="S2181" s="50" t="str">
        <f t="shared" si="104"/>
        <v>David-North</v>
      </c>
      <c r="T2181" s="59" t="str">
        <f>IF(ROUND(sales_data_1[[#This Row],[Profit_Margin]],2)=ROUND((sales_data_1[[#This Row],[Unit_Price]]*(1-sales_data_1[[#This Row],[Discount]]) - sales_data_1[[#This Row],[Unit_Cost]])*sales_data_1[[#This Row],[Quantity_Sold]],2), "PASS", "CHECK")</f>
        <v>PASS</v>
      </c>
    </row>
    <row r="2182" spans="1:20" x14ac:dyDescent="0.35">
      <c r="A2182" s="7">
        <v>2181</v>
      </c>
      <c r="B2182" s="9">
        <v>1055</v>
      </c>
      <c r="C2182" s="14" t="str">
        <f>IFERROR(_xlfn.TEXTJOIN("-", TRUE, _xlfn.XLOOKUP(K2182, product_category_id_lookup!$A$2:$A$5, product_category_id_lookup!$B$2:$B$5), B2182), "Unknown Category")</f>
        <v>etc-1055</v>
      </c>
      <c r="D2182" s="8">
        <v>45314</v>
      </c>
      <c r="E2182" s="14">
        <f t="shared" si="102"/>
        <v>2024</v>
      </c>
      <c r="F2182" s="29" t="str">
        <f t="shared" si="103"/>
        <v>Jan</v>
      </c>
      <c r="G2182" s="17" t="s">
        <v>29</v>
      </c>
      <c r="H2182" s="17" t="s">
        <v>15</v>
      </c>
      <c r="I2182" s="24">
        <v>120543.93944384101</v>
      </c>
      <c r="J2182" s="32">
        <v>33</v>
      </c>
      <c r="K2182" s="17" t="s">
        <v>31</v>
      </c>
      <c r="L2182" s="24">
        <v>3363.26</v>
      </c>
      <c r="M2182" s="24">
        <v>3778.65</v>
      </c>
      <c r="N2182" s="34">
        <f>((sales_data_1[[#This Row],[Unit_Price]]*(1-sales_data_1[[#This Row],[Discount]]))-sales_data_1[[#This Row],[Unit_Cost]])*sales_data_1[[#This Row],[Quantity_Sold]]</f>
        <v>9967.0064999999959</v>
      </c>
      <c r="O2182" s="17" t="s">
        <v>27</v>
      </c>
      <c r="P2182" s="26">
        <v>0.03</v>
      </c>
      <c r="Q2182" s="17" t="s">
        <v>25</v>
      </c>
      <c r="R2182" s="17" t="s">
        <v>19</v>
      </c>
      <c r="S2182" s="50" t="str">
        <f t="shared" si="104"/>
        <v>Charlie-North</v>
      </c>
      <c r="T2182" s="59" t="str">
        <f>IF(ROUND(sales_data_1[[#This Row],[Profit_Margin]],2)=ROUND((sales_data_1[[#This Row],[Unit_Price]]*(1-sales_data_1[[#This Row],[Discount]]) - sales_data_1[[#This Row],[Unit_Cost]])*sales_data_1[[#This Row],[Quantity_Sold]],2), "PASS", "CHECK")</f>
        <v>PASS</v>
      </c>
    </row>
    <row r="2183" spans="1:20" x14ac:dyDescent="0.35">
      <c r="A2183" s="7">
        <v>2182</v>
      </c>
      <c r="B2183" s="9">
        <v>1073</v>
      </c>
      <c r="C2183" s="14" t="str">
        <f>IFERROR(_xlfn.TEXTJOIN("-", TRUE, _xlfn.XLOOKUP(K2183, product_category_id_lookup!$A$2:$A$5, product_category_id_lookup!$B$2:$B$5), B2183), "Unknown Category")</f>
        <v>ctg-1073</v>
      </c>
      <c r="D2183" s="8">
        <v>45314</v>
      </c>
      <c r="E2183" s="14">
        <f t="shared" si="102"/>
        <v>2024</v>
      </c>
      <c r="F2183" s="29" t="str">
        <f t="shared" si="103"/>
        <v>Jan</v>
      </c>
      <c r="G2183" s="17" t="s">
        <v>33</v>
      </c>
      <c r="H2183" s="17" t="s">
        <v>23</v>
      </c>
      <c r="I2183" s="24">
        <v>69758.617499999993</v>
      </c>
      <c r="J2183" s="32">
        <v>39</v>
      </c>
      <c r="K2183" s="17" t="s">
        <v>26</v>
      </c>
      <c r="L2183" s="24">
        <v>1128.08</v>
      </c>
      <c r="M2183" s="24">
        <v>2450.25</v>
      </c>
      <c r="N2183" s="34">
        <f>((sales_data_1[[#This Row],[Unit_Price]]*(1-sales_data_1[[#This Row],[Discount]]))-sales_data_1[[#This Row],[Unit_Cost]])*sales_data_1[[#This Row],[Quantity_Sold]]</f>
        <v>25763.497499999998</v>
      </c>
      <c r="O2183" s="17" t="s">
        <v>27</v>
      </c>
      <c r="P2183" s="26">
        <v>0.27</v>
      </c>
      <c r="Q2183" s="17" t="s">
        <v>25</v>
      </c>
      <c r="R2183" s="17" t="s">
        <v>19</v>
      </c>
      <c r="S2183" s="50" t="str">
        <f t="shared" si="104"/>
        <v>Alice-South</v>
      </c>
      <c r="T2183" s="59" t="str">
        <f>IF(ROUND(sales_data_1[[#This Row],[Profit_Margin]],2)=ROUND((sales_data_1[[#This Row],[Unit_Price]]*(1-sales_data_1[[#This Row],[Discount]]) - sales_data_1[[#This Row],[Unit_Cost]])*sales_data_1[[#This Row],[Quantity_Sold]],2), "PASS", "CHECK")</f>
        <v>PASS</v>
      </c>
    </row>
    <row r="2184" spans="1:20" x14ac:dyDescent="0.35">
      <c r="A2184" s="7">
        <v>2183</v>
      </c>
      <c r="B2184" s="9">
        <v>1052</v>
      </c>
      <c r="C2184" s="14" t="str">
        <f>IFERROR(_xlfn.TEXTJOIN("-", TRUE, _xlfn.XLOOKUP(K2184, product_category_id_lookup!$A$2:$A$5, product_category_id_lookup!$B$2:$B$5), B2184), "Unknown Category")</f>
        <v>fd-1052</v>
      </c>
      <c r="D2184" s="8">
        <v>45314</v>
      </c>
      <c r="E2184" s="14">
        <f t="shared" si="102"/>
        <v>2024</v>
      </c>
      <c r="F2184" s="29" t="str">
        <f t="shared" si="103"/>
        <v>Jan</v>
      </c>
      <c r="G2184" s="17" t="s">
        <v>32</v>
      </c>
      <c r="H2184" s="17" t="s">
        <v>23</v>
      </c>
      <c r="I2184" s="24">
        <v>79205.628599999996</v>
      </c>
      <c r="J2184" s="32">
        <v>27</v>
      </c>
      <c r="K2184" s="17" t="s">
        <v>24</v>
      </c>
      <c r="L2184" s="24">
        <v>1752.85</v>
      </c>
      <c r="M2184" s="24">
        <v>2993.41</v>
      </c>
      <c r="N2184" s="34">
        <f>((sales_data_1[[#This Row],[Unit_Price]]*(1-sales_data_1[[#This Row],[Discount]]))-sales_data_1[[#This Row],[Unit_Cost]])*sales_data_1[[#This Row],[Quantity_Sold]]</f>
        <v>31878.678600000003</v>
      </c>
      <c r="O2184" s="17" t="s">
        <v>27</v>
      </c>
      <c r="P2184" s="26">
        <v>0.02</v>
      </c>
      <c r="Q2184" s="17" t="s">
        <v>18</v>
      </c>
      <c r="R2184" s="17" t="s">
        <v>19</v>
      </c>
      <c r="S2184" s="50" t="str">
        <f t="shared" si="104"/>
        <v>Eve-South</v>
      </c>
      <c r="T2184" s="59" t="str">
        <f>IF(ROUND(sales_data_1[[#This Row],[Profit_Margin]],2)=ROUND((sales_data_1[[#This Row],[Unit_Price]]*(1-sales_data_1[[#This Row],[Discount]]) - sales_data_1[[#This Row],[Unit_Cost]])*sales_data_1[[#This Row],[Quantity_Sold]],2), "PASS", "CHECK")</f>
        <v>PASS</v>
      </c>
    </row>
    <row r="2185" spans="1:20" x14ac:dyDescent="0.35">
      <c r="A2185" s="7">
        <v>2184</v>
      </c>
      <c r="B2185" s="9">
        <v>1038</v>
      </c>
      <c r="C2185" s="14" t="str">
        <f>IFERROR(_xlfn.TEXTJOIN("-", TRUE, _xlfn.XLOOKUP(K2185, product_category_id_lookup!$A$2:$A$5, product_category_id_lookup!$B$2:$B$5), B2185), "Unknown Category")</f>
        <v>fd-1038</v>
      </c>
      <c r="D2185" s="8">
        <v>45314</v>
      </c>
      <c r="E2185" s="14">
        <f t="shared" si="102"/>
        <v>2024</v>
      </c>
      <c r="F2185" s="29" t="str">
        <f t="shared" si="103"/>
        <v>Jan</v>
      </c>
      <c r="G2185" s="17" t="s">
        <v>33</v>
      </c>
      <c r="H2185" s="17" t="s">
        <v>15</v>
      </c>
      <c r="I2185" s="24">
        <v>161206.91999999998</v>
      </c>
      <c r="J2185" s="32">
        <v>40</v>
      </c>
      <c r="K2185" s="17" t="s">
        <v>24</v>
      </c>
      <c r="L2185" s="24">
        <v>613.13</v>
      </c>
      <c r="M2185" s="24">
        <v>4741.38</v>
      </c>
      <c r="N2185" s="34">
        <f>((sales_data_1[[#This Row],[Unit_Price]]*(1-sales_data_1[[#This Row],[Discount]]))-sales_data_1[[#This Row],[Unit_Cost]])*sales_data_1[[#This Row],[Quantity_Sold]]</f>
        <v>136681.71999999997</v>
      </c>
      <c r="O2185" s="17" t="s">
        <v>27</v>
      </c>
      <c r="P2185" s="26">
        <v>0.15</v>
      </c>
      <c r="Q2185" s="17" t="s">
        <v>28</v>
      </c>
      <c r="R2185" s="17" t="s">
        <v>19</v>
      </c>
      <c r="S2185" s="50" t="str">
        <f t="shared" si="104"/>
        <v>Alice-North</v>
      </c>
      <c r="T2185" s="59" t="str">
        <f>IF(ROUND(sales_data_1[[#This Row],[Profit_Margin]],2)=ROUND((sales_data_1[[#This Row],[Unit_Price]]*(1-sales_data_1[[#This Row],[Discount]]) - sales_data_1[[#This Row],[Unit_Cost]])*sales_data_1[[#This Row],[Quantity_Sold]],2), "PASS", "CHECK")</f>
        <v>PASS</v>
      </c>
    </row>
    <row r="2186" spans="1:20" x14ac:dyDescent="0.35">
      <c r="A2186" s="7">
        <v>2185</v>
      </c>
      <c r="B2186" s="9">
        <v>1020</v>
      </c>
      <c r="C2186" s="14" t="str">
        <f>IFERROR(_xlfn.TEXTJOIN("-", TRUE, _xlfn.XLOOKUP(K2186, product_category_id_lookup!$A$2:$A$5, product_category_id_lookup!$B$2:$B$5), B2186), "Unknown Category")</f>
        <v>ctg-1020</v>
      </c>
      <c r="D2186" s="8">
        <v>45315</v>
      </c>
      <c r="E2186" s="14">
        <f t="shared" si="102"/>
        <v>2024</v>
      </c>
      <c r="F2186" s="29" t="str">
        <f t="shared" si="103"/>
        <v>Jan</v>
      </c>
      <c r="G2186" s="17" t="s">
        <v>22</v>
      </c>
      <c r="H2186" s="17" t="s">
        <v>23</v>
      </c>
      <c r="I2186" s="24">
        <v>118523.62600000002</v>
      </c>
      <c r="J2186" s="32">
        <v>26</v>
      </c>
      <c r="K2186" s="17" t="s">
        <v>26</v>
      </c>
      <c r="L2186" s="24">
        <v>1669</v>
      </c>
      <c r="M2186" s="24">
        <v>5363.06</v>
      </c>
      <c r="N2186" s="34">
        <f>((sales_data_1[[#This Row],[Unit_Price]]*(1-sales_data_1[[#This Row],[Discount]]))-sales_data_1[[#This Row],[Unit_Cost]])*sales_data_1[[#This Row],[Quantity_Sold]]</f>
        <v>75129.626000000018</v>
      </c>
      <c r="O2186" s="17" t="s">
        <v>27</v>
      </c>
      <c r="P2186" s="26">
        <v>0.15</v>
      </c>
      <c r="Q2186" s="17" t="s">
        <v>25</v>
      </c>
      <c r="R2186" s="17" t="s">
        <v>19</v>
      </c>
      <c r="S2186" s="50" t="str">
        <f t="shared" si="104"/>
        <v>David-South</v>
      </c>
      <c r="T2186" s="59" t="str">
        <f>IF(ROUND(sales_data_1[[#This Row],[Profit_Margin]],2)=ROUND((sales_data_1[[#This Row],[Unit_Price]]*(1-sales_data_1[[#This Row],[Discount]]) - sales_data_1[[#This Row],[Unit_Cost]])*sales_data_1[[#This Row],[Quantity_Sold]],2), "PASS", "CHECK")</f>
        <v>PASS</v>
      </c>
    </row>
    <row r="2187" spans="1:20" x14ac:dyDescent="0.35">
      <c r="A2187" s="7">
        <v>2186</v>
      </c>
      <c r="B2187" s="9">
        <v>1062</v>
      </c>
      <c r="C2187" s="14" t="str">
        <f>IFERROR(_xlfn.TEXTJOIN("-", TRUE, _xlfn.XLOOKUP(K2187, product_category_id_lookup!$A$2:$A$5, product_category_id_lookup!$B$2:$B$5), B2187), "Unknown Category")</f>
        <v>ctg-1062</v>
      </c>
      <c r="D2187" s="8">
        <v>45315</v>
      </c>
      <c r="E2187" s="14">
        <f t="shared" si="102"/>
        <v>2024</v>
      </c>
      <c r="F2187" s="29" t="str">
        <f t="shared" si="103"/>
        <v>Jan</v>
      </c>
      <c r="G2187" s="17" t="s">
        <v>14</v>
      </c>
      <c r="H2187" s="17" t="s">
        <v>30</v>
      </c>
      <c r="I2187" s="24">
        <v>149269.8744</v>
      </c>
      <c r="J2187" s="32">
        <v>36</v>
      </c>
      <c r="K2187" s="17" t="s">
        <v>26</v>
      </c>
      <c r="L2187" s="24">
        <v>2003.21</v>
      </c>
      <c r="M2187" s="24">
        <v>4658.8599999999997</v>
      </c>
      <c r="N2187" s="34">
        <f>((sales_data_1[[#This Row],[Unit_Price]]*(1-sales_data_1[[#This Row],[Discount]]))-sales_data_1[[#This Row],[Unit_Cost]])*sales_data_1[[#This Row],[Quantity_Sold]]</f>
        <v>77154.314400000003</v>
      </c>
      <c r="O2187" s="17" t="s">
        <v>17</v>
      </c>
      <c r="P2187" s="26">
        <v>0.11</v>
      </c>
      <c r="Q2187" s="17" t="s">
        <v>28</v>
      </c>
      <c r="R2187" s="17" t="s">
        <v>21</v>
      </c>
      <c r="S2187" s="50" t="str">
        <f t="shared" si="104"/>
        <v>Bob-East</v>
      </c>
      <c r="T2187" s="59" t="str">
        <f>IF(ROUND(sales_data_1[[#This Row],[Profit_Margin]],2)=ROUND((sales_data_1[[#This Row],[Unit_Price]]*(1-sales_data_1[[#This Row],[Discount]]) - sales_data_1[[#This Row],[Unit_Cost]])*sales_data_1[[#This Row],[Quantity_Sold]],2), "PASS", "CHECK")</f>
        <v>PASS</v>
      </c>
    </row>
    <row r="2188" spans="1:20" x14ac:dyDescent="0.35">
      <c r="A2188" s="7">
        <v>2187</v>
      </c>
      <c r="B2188" s="9">
        <v>1058</v>
      </c>
      <c r="C2188" s="14" t="str">
        <f>IFERROR(_xlfn.TEXTJOIN("-", TRUE, _xlfn.XLOOKUP(K2188, product_category_id_lookup!$A$2:$A$5, product_category_id_lookup!$B$2:$B$5), B2188), "Unknown Category")</f>
        <v>fd-1058</v>
      </c>
      <c r="D2188" s="8">
        <v>45316</v>
      </c>
      <c r="E2188" s="14">
        <f t="shared" si="102"/>
        <v>2024</v>
      </c>
      <c r="F2188" s="29" t="str">
        <f t="shared" si="103"/>
        <v>Jan</v>
      </c>
      <c r="G2188" s="17" t="s">
        <v>32</v>
      </c>
      <c r="H2188" s="17" t="s">
        <v>15</v>
      </c>
      <c r="I2188" s="24">
        <v>114518.85405968784</v>
      </c>
      <c r="J2188" s="32">
        <v>26</v>
      </c>
      <c r="K2188" s="17" t="s">
        <v>24</v>
      </c>
      <c r="L2188" s="24">
        <v>4314.8</v>
      </c>
      <c r="M2188" s="24">
        <v>4443.6000000000004</v>
      </c>
      <c r="N2188" s="34">
        <f>((sales_data_1[[#This Row],[Unit_Price]]*(1-sales_data_1[[#This Row],[Discount]]))-sales_data_1[[#This Row],[Unit_Cost]])*sales_data_1[[#This Row],[Quantity_Sold]]</f>
        <v>2193.4640000000127</v>
      </c>
      <c r="O2188" s="17" t="s">
        <v>17</v>
      </c>
      <c r="P2188" s="26">
        <v>0.01</v>
      </c>
      <c r="Q2188" s="17" t="s">
        <v>28</v>
      </c>
      <c r="R2188" s="17" t="s">
        <v>19</v>
      </c>
      <c r="S2188" s="50" t="str">
        <f t="shared" si="104"/>
        <v>Eve-North</v>
      </c>
      <c r="T2188" s="59" t="str">
        <f>IF(ROUND(sales_data_1[[#This Row],[Profit_Margin]],2)=ROUND((sales_data_1[[#This Row],[Unit_Price]]*(1-sales_data_1[[#This Row],[Discount]]) - sales_data_1[[#This Row],[Unit_Cost]])*sales_data_1[[#This Row],[Quantity_Sold]],2), "PASS", "CHECK")</f>
        <v>PASS</v>
      </c>
    </row>
    <row r="2189" spans="1:20" x14ac:dyDescent="0.35">
      <c r="A2189" s="7">
        <v>2188</v>
      </c>
      <c r="B2189" s="9">
        <v>1099</v>
      </c>
      <c r="C2189" s="14" t="str">
        <f>IFERROR(_xlfn.TEXTJOIN("-", TRUE, _xlfn.XLOOKUP(K2189, product_category_id_lookup!$A$2:$A$5, product_category_id_lookup!$B$2:$B$5), B2189), "Unknown Category")</f>
        <v>fnt-1099</v>
      </c>
      <c r="D2189" s="8">
        <v>45316</v>
      </c>
      <c r="E2189" s="14">
        <f t="shared" si="102"/>
        <v>2024</v>
      </c>
      <c r="F2189" s="29" t="str">
        <f t="shared" si="103"/>
        <v>Jan</v>
      </c>
      <c r="G2189" s="17" t="s">
        <v>29</v>
      </c>
      <c r="H2189" s="17" t="s">
        <v>23</v>
      </c>
      <c r="I2189" s="24">
        <v>11739.415800000001</v>
      </c>
      <c r="J2189" s="32">
        <v>7</v>
      </c>
      <c r="K2189" s="17" t="s">
        <v>16</v>
      </c>
      <c r="L2189" s="24">
        <v>1172.81</v>
      </c>
      <c r="M2189" s="24">
        <v>2122.86</v>
      </c>
      <c r="N2189" s="34">
        <f>((sales_data_1[[#This Row],[Unit_Price]]*(1-sales_data_1[[#This Row],[Discount]]))-sales_data_1[[#This Row],[Unit_Cost]])*sales_data_1[[#This Row],[Quantity_Sold]]</f>
        <v>3529.7458000000011</v>
      </c>
      <c r="O2189" s="17" t="s">
        <v>17</v>
      </c>
      <c r="P2189" s="26">
        <v>0.21</v>
      </c>
      <c r="Q2189" s="17" t="s">
        <v>18</v>
      </c>
      <c r="R2189" s="17" t="s">
        <v>21</v>
      </c>
      <c r="S2189" s="50" t="str">
        <f t="shared" si="104"/>
        <v>Charlie-South</v>
      </c>
      <c r="T2189" s="59" t="str">
        <f>IF(ROUND(sales_data_1[[#This Row],[Profit_Margin]],2)=ROUND((sales_data_1[[#This Row],[Unit_Price]]*(1-sales_data_1[[#This Row],[Discount]]) - sales_data_1[[#This Row],[Unit_Cost]])*sales_data_1[[#This Row],[Quantity_Sold]],2), "PASS", "CHECK")</f>
        <v>PASS</v>
      </c>
    </row>
    <row r="2190" spans="1:20" x14ac:dyDescent="0.35">
      <c r="A2190" s="7">
        <v>2189</v>
      </c>
      <c r="B2190" s="9">
        <v>1093</v>
      </c>
      <c r="C2190" s="14" t="str">
        <f>IFERROR(_xlfn.TEXTJOIN("-", TRUE, _xlfn.XLOOKUP(K2190, product_category_id_lookup!$A$2:$A$5, product_category_id_lookup!$B$2:$B$5), B2190), "Unknown Category")</f>
        <v>etc-1093</v>
      </c>
      <c r="D2190" s="8">
        <v>45316</v>
      </c>
      <c r="E2190" s="14">
        <f t="shared" si="102"/>
        <v>2024</v>
      </c>
      <c r="F2190" s="29" t="str">
        <f t="shared" si="103"/>
        <v>Jan</v>
      </c>
      <c r="G2190" s="17" t="s">
        <v>22</v>
      </c>
      <c r="H2190" s="17" t="s">
        <v>15</v>
      </c>
      <c r="I2190" s="24">
        <v>88214.431200000006</v>
      </c>
      <c r="J2190" s="32">
        <v>21</v>
      </c>
      <c r="K2190" s="17" t="s">
        <v>31</v>
      </c>
      <c r="L2190" s="24">
        <v>279.52</v>
      </c>
      <c r="M2190" s="24">
        <v>4884.5200000000004</v>
      </c>
      <c r="N2190" s="34">
        <f>((sales_data_1[[#This Row],[Unit_Price]]*(1-sales_data_1[[#This Row],[Discount]]))-sales_data_1[[#This Row],[Unit_Cost]])*sales_data_1[[#This Row],[Quantity_Sold]]</f>
        <v>82344.511200000008</v>
      </c>
      <c r="O2190" s="17" t="s">
        <v>17</v>
      </c>
      <c r="P2190" s="26">
        <v>0.14000000000000001</v>
      </c>
      <c r="Q2190" s="17" t="s">
        <v>28</v>
      </c>
      <c r="R2190" s="17" t="s">
        <v>19</v>
      </c>
      <c r="S2190" s="50" t="str">
        <f t="shared" si="104"/>
        <v>David-North</v>
      </c>
      <c r="T2190" s="59" t="str">
        <f>IF(ROUND(sales_data_1[[#This Row],[Profit_Margin]],2)=ROUND((sales_data_1[[#This Row],[Unit_Price]]*(1-sales_data_1[[#This Row],[Discount]]) - sales_data_1[[#This Row],[Unit_Cost]])*sales_data_1[[#This Row],[Quantity_Sold]],2), "PASS", "CHECK")</f>
        <v>PASS</v>
      </c>
    </row>
    <row r="2191" spans="1:20" x14ac:dyDescent="0.35">
      <c r="A2191" s="7">
        <v>2190</v>
      </c>
      <c r="B2191" s="9">
        <v>1086</v>
      </c>
      <c r="C2191" s="14" t="str">
        <f>IFERROR(_xlfn.TEXTJOIN("-", TRUE, _xlfn.XLOOKUP(K2191, product_category_id_lookup!$A$2:$A$5, product_category_id_lookup!$B$2:$B$5), B2191), "Unknown Category")</f>
        <v>ctg-1086</v>
      </c>
      <c r="D2191" s="8">
        <v>45317</v>
      </c>
      <c r="E2191" s="14">
        <f t="shared" si="102"/>
        <v>2024</v>
      </c>
      <c r="F2191" s="29" t="str">
        <f t="shared" si="103"/>
        <v>Jan</v>
      </c>
      <c r="G2191" s="17" t="s">
        <v>14</v>
      </c>
      <c r="H2191" s="17" t="s">
        <v>20</v>
      </c>
      <c r="I2191" s="24">
        <v>21494.536800000002</v>
      </c>
      <c r="J2191" s="32">
        <v>11</v>
      </c>
      <c r="K2191" s="17" t="s">
        <v>26</v>
      </c>
      <c r="L2191" s="24">
        <v>1097.45</v>
      </c>
      <c r="M2191" s="24">
        <v>2220.5100000000002</v>
      </c>
      <c r="N2191" s="34">
        <f>((sales_data_1[[#This Row],[Unit_Price]]*(1-sales_data_1[[#This Row],[Discount]]))-sales_data_1[[#This Row],[Unit_Cost]])*sales_data_1[[#This Row],[Quantity_Sold]]</f>
        <v>9422.5868000000028</v>
      </c>
      <c r="O2191" s="17" t="s">
        <v>17</v>
      </c>
      <c r="P2191" s="26">
        <v>0.12</v>
      </c>
      <c r="Q2191" s="17" t="s">
        <v>18</v>
      </c>
      <c r="R2191" s="17" t="s">
        <v>19</v>
      </c>
      <c r="S2191" s="50" t="str">
        <f t="shared" si="104"/>
        <v>Bob-West</v>
      </c>
      <c r="T2191" s="59" t="str">
        <f>IF(ROUND(sales_data_1[[#This Row],[Profit_Margin]],2)=ROUND((sales_data_1[[#This Row],[Unit_Price]]*(1-sales_data_1[[#This Row],[Discount]]) - sales_data_1[[#This Row],[Unit_Cost]])*sales_data_1[[#This Row],[Quantity_Sold]],2), "PASS", "CHECK")</f>
        <v>PASS</v>
      </c>
    </row>
    <row r="2192" spans="1:20" x14ac:dyDescent="0.35">
      <c r="A2192" s="7">
        <v>2191</v>
      </c>
      <c r="B2192" s="9">
        <v>1023</v>
      </c>
      <c r="C2192" s="14" t="str">
        <f>IFERROR(_xlfn.TEXTJOIN("-", TRUE, _xlfn.XLOOKUP(K2192, product_category_id_lookup!$A$2:$A$5, product_category_id_lookup!$B$2:$B$5), B2192), "Unknown Category")</f>
        <v>ctg-1023</v>
      </c>
      <c r="D2192" s="8">
        <v>45317</v>
      </c>
      <c r="E2192" s="14">
        <f t="shared" si="102"/>
        <v>2024</v>
      </c>
      <c r="F2192" s="29" t="str">
        <f t="shared" si="103"/>
        <v>Jan</v>
      </c>
      <c r="G2192" s="17" t="s">
        <v>32</v>
      </c>
      <c r="H2192" s="17" t="s">
        <v>20</v>
      </c>
      <c r="I2192" s="24">
        <v>64869.066600000006</v>
      </c>
      <c r="J2192" s="32">
        <v>19</v>
      </c>
      <c r="K2192" s="17" t="s">
        <v>26</v>
      </c>
      <c r="L2192" s="24">
        <v>1255.31</v>
      </c>
      <c r="M2192" s="24">
        <v>4377.13</v>
      </c>
      <c r="N2192" s="34">
        <f>((sales_data_1[[#This Row],[Unit_Price]]*(1-sales_data_1[[#This Row],[Discount]]))-sales_data_1[[#This Row],[Unit_Cost]])*sales_data_1[[#This Row],[Quantity_Sold]]</f>
        <v>41018.176600000006</v>
      </c>
      <c r="O2192" s="17" t="s">
        <v>27</v>
      </c>
      <c r="P2192" s="26">
        <v>0.22</v>
      </c>
      <c r="Q2192" s="17" t="s">
        <v>28</v>
      </c>
      <c r="R2192" s="17" t="s">
        <v>19</v>
      </c>
      <c r="S2192" s="50" t="str">
        <f t="shared" si="104"/>
        <v>Eve-West</v>
      </c>
      <c r="T2192" s="59" t="str">
        <f>IF(ROUND(sales_data_1[[#This Row],[Profit_Margin]],2)=ROUND((sales_data_1[[#This Row],[Unit_Price]]*(1-sales_data_1[[#This Row],[Discount]]) - sales_data_1[[#This Row],[Unit_Cost]])*sales_data_1[[#This Row],[Quantity_Sold]],2), "PASS", "CHECK")</f>
        <v>PASS</v>
      </c>
    </row>
    <row r="2193" spans="1:20" x14ac:dyDescent="0.35">
      <c r="A2193" s="7">
        <v>2192</v>
      </c>
      <c r="B2193" s="9">
        <v>1017</v>
      </c>
      <c r="C2193" s="14" t="str">
        <f>IFERROR(_xlfn.TEXTJOIN("-", TRUE, _xlfn.XLOOKUP(K2193, product_category_id_lookup!$A$2:$A$5, product_category_id_lookup!$B$2:$B$5), B2193), "Unknown Category")</f>
        <v>fd-1017</v>
      </c>
      <c r="D2193" s="8">
        <v>45317</v>
      </c>
      <c r="E2193" s="14">
        <f t="shared" si="102"/>
        <v>2024</v>
      </c>
      <c r="F2193" s="29" t="str">
        <f t="shared" si="103"/>
        <v>Jan</v>
      </c>
      <c r="G2193" s="17" t="s">
        <v>32</v>
      </c>
      <c r="H2193" s="17" t="s">
        <v>30</v>
      </c>
      <c r="I2193" s="24">
        <v>101660.7</v>
      </c>
      <c r="J2193" s="32">
        <v>30</v>
      </c>
      <c r="K2193" s="17" t="s">
        <v>24</v>
      </c>
      <c r="L2193" s="24">
        <v>1083.4100000000001</v>
      </c>
      <c r="M2193" s="24">
        <v>3388.69</v>
      </c>
      <c r="N2193" s="34">
        <f>((sales_data_1[[#This Row],[Unit_Price]]*(1-sales_data_1[[#This Row],[Discount]]))-sales_data_1[[#This Row],[Unit_Cost]])*sales_data_1[[#This Row],[Quantity_Sold]]</f>
        <v>69158.399999999994</v>
      </c>
      <c r="O2193" s="17" t="s">
        <v>17</v>
      </c>
      <c r="P2193" s="26">
        <v>0</v>
      </c>
      <c r="Q2193" s="17" t="s">
        <v>28</v>
      </c>
      <c r="R2193" s="17" t="s">
        <v>21</v>
      </c>
      <c r="S2193" s="50" t="str">
        <f t="shared" si="104"/>
        <v>Eve-East</v>
      </c>
      <c r="T2193" s="59" t="str">
        <f>IF(ROUND(sales_data_1[[#This Row],[Profit_Margin]],2)=ROUND((sales_data_1[[#This Row],[Unit_Price]]*(1-sales_data_1[[#This Row],[Discount]]) - sales_data_1[[#This Row],[Unit_Cost]])*sales_data_1[[#This Row],[Quantity_Sold]],2), "PASS", "CHECK")</f>
        <v>PASS</v>
      </c>
    </row>
    <row r="2194" spans="1:20" x14ac:dyDescent="0.35">
      <c r="A2194" s="7">
        <v>2193</v>
      </c>
      <c r="B2194" s="9">
        <v>1026</v>
      </c>
      <c r="C2194" s="14" t="str">
        <f>IFERROR(_xlfn.TEXTJOIN("-", TRUE, _xlfn.XLOOKUP(K2194, product_category_id_lookup!$A$2:$A$5, product_category_id_lookup!$B$2:$B$5), B2194), "Unknown Category")</f>
        <v>ctg-1026</v>
      </c>
      <c r="D2194" s="8">
        <v>45317</v>
      </c>
      <c r="E2194" s="14">
        <f t="shared" si="102"/>
        <v>2024</v>
      </c>
      <c r="F2194" s="29" t="str">
        <f t="shared" si="103"/>
        <v>Jan</v>
      </c>
      <c r="G2194" s="17" t="s">
        <v>32</v>
      </c>
      <c r="H2194" s="17" t="s">
        <v>15</v>
      </c>
      <c r="I2194" s="24">
        <v>117042.4224</v>
      </c>
      <c r="J2194" s="32">
        <v>43</v>
      </c>
      <c r="K2194" s="17" t="s">
        <v>26</v>
      </c>
      <c r="L2194" s="24">
        <v>842.91</v>
      </c>
      <c r="M2194" s="24">
        <v>3128.64</v>
      </c>
      <c r="N2194" s="34">
        <f>((sales_data_1[[#This Row],[Unit_Price]]*(1-sales_data_1[[#This Row],[Discount]]))-sales_data_1[[#This Row],[Unit_Cost]])*sales_data_1[[#This Row],[Quantity_Sold]]</f>
        <v>80797.292400000006</v>
      </c>
      <c r="O2194" s="17" t="s">
        <v>27</v>
      </c>
      <c r="P2194" s="26">
        <v>0.13</v>
      </c>
      <c r="Q2194" s="17" t="s">
        <v>28</v>
      </c>
      <c r="R2194" s="17" t="s">
        <v>19</v>
      </c>
      <c r="S2194" s="50" t="str">
        <f t="shared" si="104"/>
        <v>Eve-North</v>
      </c>
      <c r="T2194" s="59" t="str">
        <f>IF(ROUND(sales_data_1[[#This Row],[Profit_Margin]],2)=ROUND((sales_data_1[[#This Row],[Unit_Price]]*(1-sales_data_1[[#This Row],[Discount]]) - sales_data_1[[#This Row],[Unit_Cost]])*sales_data_1[[#This Row],[Quantity_Sold]],2), "PASS", "CHECK")</f>
        <v>PASS</v>
      </c>
    </row>
    <row r="2195" spans="1:20" x14ac:dyDescent="0.35">
      <c r="A2195" s="7">
        <v>2194</v>
      </c>
      <c r="B2195" s="9">
        <v>1003</v>
      </c>
      <c r="C2195" s="14" t="str">
        <f>IFERROR(_xlfn.TEXTJOIN("-", TRUE, _xlfn.XLOOKUP(K2195, product_category_id_lookup!$A$2:$A$5, product_category_id_lookup!$B$2:$B$5), B2195), "Unknown Category")</f>
        <v>fd-1003</v>
      </c>
      <c r="D2195" s="8">
        <v>45318</v>
      </c>
      <c r="E2195" s="14">
        <f t="shared" si="102"/>
        <v>2024</v>
      </c>
      <c r="F2195" s="29" t="str">
        <f t="shared" si="103"/>
        <v>Jan</v>
      </c>
      <c r="G2195" s="17" t="s">
        <v>29</v>
      </c>
      <c r="H2195" s="17" t="s">
        <v>20</v>
      </c>
      <c r="I2195" s="24">
        <v>7501.9168000000009</v>
      </c>
      <c r="J2195" s="32">
        <v>2</v>
      </c>
      <c r="K2195" s="17" t="s">
        <v>24</v>
      </c>
      <c r="L2195" s="24">
        <v>756.5</v>
      </c>
      <c r="M2195" s="24">
        <v>4214.5600000000004</v>
      </c>
      <c r="N2195" s="34">
        <f>((sales_data_1[[#This Row],[Unit_Price]]*(1-sales_data_1[[#This Row],[Discount]]))-sales_data_1[[#This Row],[Unit_Cost]])*sales_data_1[[#This Row],[Quantity_Sold]]</f>
        <v>5988.9168000000009</v>
      </c>
      <c r="O2195" s="17" t="s">
        <v>27</v>
      </c>
      <c r="P2195" s="26">
        <v>0.11</v>
      </c>
      <c r="Q2195" s="17" t="s">
        <v>18</v>
      </c>
      <c r="R2195" s="17" t="s">
        <v>21</v>
      </c>
      <c r="S2195" s="50" t="str">
        <f t="shared" si="104"/>
        <v>Charlie-West</v>
      </c>
      <c r="T2195" s="59" t="str">
        <f>IF(ROUND(sales_data_1[[#This Row],[Profit_Margin]],2)=ROUND((sales_data_1[[#This Row],[Unit_Price]]*(1-sales_data_1[[#This Row],[Discount]]) - sales_data_1[[#This Row],[Unit_Cost]])*sales_data_1[[#This Row],[Quantity_Sold]],2), "PASS", "CHECK")</f>
        <v>PASS</v>
      </c>
    </row>
    <row r="2196" spans="1:20" x14ac:dyDescent="0.35">
      <c r="A2196" s="7">
        <v>2195</v>
      </c>
      <c r="B2196" s="9">
        <v>1046</v>
      </c>
      <c r="C2196" s="14" t="str">
        <f>IFERROR(_xlfn.TEXTJOIN("-", TRUE, _xlfn.XLOOKUP(K2196, product_category_id_lookup!$A$2:$A$5, product_category_id_lookup!$B$2:$B$5), B2196), "Unknown Category")</f>
        <v>ctg-1046</v>
      </c>
      <c r="D2196" s="8">
        <v>45318</v>
      </c>
      <c r="E2196" s="14">
        <f t="shared" si="102"/>
        <v>2024</v>
      </c>
      <c r="F2196" s="29" t="str">
        <f t="shared" si="103"/>
        <v>Jan</v>
      </c>
      <c r="G2196" s="17" t="s">
        <v>32</v>
      </c>
      <c r="H2196" s="17" t="s">
        <v>15</v>
      </c>
      <c r="I2196" s="24">
        <v>176856.11696394964</v>
      </c>
      <c r="J2196" s="32">
        <v>46</v>
      </c>
      <c r="K2196" s="17" t="s">
        <v>26</v>
      </c>
      <c r="L2196" s="24">
        <v>3270.07</v>
      </c>
      <c r="M2196" s="24">
        <v>3992.95</v>
      </c>
      <c r="N2196" s="34">
        <f>((sales_data_1[[#This Row],[Unit_Price]]*(1-sales_data_1[[#This Row],[Discount]]))-sales_data_1[[#This Row],[Unit_Cost]])*sales_data_1[[#This Row],[Quantity_Sold]]</f>
        <v>25905.451999999968</v>
      </c>
      <c r="O2196" s="17" t="s">
        <v>17</v>
      </c>
      <c r="P2196" s="26">
        <v>0.04</v>
      </c>
      <c r="Q2196" s="17" t="s">
        <v>28</v>
      </c>
      <c r="R2196" s="17" t="s">
        <v>19</v>
      </c>
      <c r="S2196" s="50" t="str">
        <f t="shared" si="104"/>
        <v>Eve-North</v>
      </c>
      <c r="T2196" s="59" t="str">
        <f>IF(ROUND(sales_data_1[[#This Row],[Profit_Margin]],2)=ROUND((sales_data_1[[#This Row],[Unit_Price]]*(1-sales_data_1[[#This Row],[Discount]]) - sales_data_1[[#This Row],[Unit_Cost]])*sales_data_1[[#This Row],[Quantity_Sold]],2), "PASS", "CHECK")</f>
        <v>PASS</v>
      </c>
    </row>
    <row r="2197" spans="1:20" x14ac:dyDescent="0.35">
      <c r="A2197" s="7">
        <v>2196</v>
      </c>
      <c r="B2197" s="9">
        <v>1048</v>
      </c>
      <c r="C2197" s="14" t="str">
        <f>IFERROR(_xlfn.TEXTJOIN("-", TRUE, _xlfn.XLOOKUP(K2197, product_category_id_lookup!$A$2:$A$5, product_category_id_lookup!$B$2:$B$5), B2197), "Unknown Category")</f>
        <v>ctg-1048</v>
      </c>
      <c r="D2197" s="8">
        <v>45318</v>
      </c>
      <c r="E2197" s="14">
        <f t="shared" si="102"/>
        <v>2024</v>
      </c>
      <c r="F2197" s="29" t="str">
        <f t="shared" si="103"/>
        <v>Jan</v>
      </c>
      <c r="G2197" s="17" t="s">
        <v>29</v>
      </c>
      <c r="H2197" s="17" t="s">
        <v>23</v>
      </c>
      <c r="I2197" s="24">
        <v>137248.50719999999</v>
      </c>
      <c r="J2197" s="32">
        <v>34</v>
      </c>
      <c r="K2197" s="17" t="s">
        <v>26</v>
      </c>
      <c r="L2197" s="24">
        <v>601.62</v>
      </c>
      <c r="M2197" s="24">
        <v>4340.5600000000004</v>
      </c>
      <c r="N2197" s="34">
        <f>((sales_data_1[[#This Row],[Unit_Price]]*(1-sales_data_1[[#This Row],[Discount]]))-sales_data_1[[#This Row],[Unit_Cost]])*sales_data_1[[#This Row],[Quantity_Sold]]</f>
        <v>116793.42720000001</v>
      </c>
      <c r="O2197" s="17" t="s">
        <v>17</v>
      </c>
      <c r="P2197" s="26">
        <v>7.0000000000000007E-2</v>
      </c>
      <c r="Q2197" s="17" t="s">
        <v>18</v>
      </c>
      <c r="R2197" s="17" t="s">
        <v>21</v>
      </c>
      <c r="S2197" s="50" t="str">
        <f t="shared" si="104"/>
        <v>Charlie-South</v>
      </c>
      <c r="T2197" s="59" t="str">
        <f>IF(ROUND(sales_data_1[[#This Row],[Profit_Margin]],2)=ROUND((sales_data_1[[#This Row],[Unit_Price]]*(1-sales_data_1[[#This Row],[Discount]]) - sales_data_1[[#This Row],[Unit_Cost]])*sales_data_1[[#This Row],[Quantity_Sold]],2), "PASS", "CHECK")</f>
        <v>PASS</v>
      </c>
    </row>
    <row r="2198" spans="1:20" x14ac:dyDescent="0.35">
      <c r="A2198" s="7">
        <v>2197</v>
      </c>
      <c r="B2198" s="9">
        <v>1057</v>
      </c>
      <c r="C2198" s="14" t="str">
        <f>IFERROR(_xlfn.TEXTJOIN("-", TRUE, _xlfn.XLOOKUP(K2198, product_category_id_lookup!$A$2:$A$5, product_category_id_lookup!$B$2:$B$5), B2198), "Unknown Category")</f>
        <v>ctg-1057</v>
      </c>
      <c r="D2198" s="8">
        <v>45318</v>
      </c>
      <c r="E2198" s="14">
        <f t="shared" si="102"/>
        <v>2024</v>
      </c>
      <c r="F2198" s="29" t="str">
        <f t="shared" si="103"/>
        <v>Jan</v>
      </c>
      <c r="G2198" s="17" t="s">
        <v>22</v>
      </c>
      <c r="H2198" s="17" t="s">
        <v>15</v>
      </c>
      <c r="I2198" s="24">
        <v>150019.45920000001</v>
      </c>
      <c r="J2198" s="32">
        <v>48</v>
      </c>
      <c r="K2198" s="17" t="s">
        <v>26</v>
      </c>
      <c r="L2198" s="24">
        <v>70.86</v>
      </c>
      <c r="M2198" s="24">
        <v>4006.93</v>
      </c>
      <c r="N2198" s="34">
        <f>((sales_data_1[[#This Row],[Unit_Price]]*(1-sales_data_1[[#This Row],[Discount]]))-sales_data_1[[#This Row],[Unit_Cost]])*sales_data_1[[#This Row],[Quantity_Sold]]</f>
        <v>146618.17920000001</v>
      </c>
      <c r="O2198" s="17" t="s">
        <v>17</v>
      </c>
      <c r="P2198" s="26">
        <v>0.22</v>
      </c>
      <c r="Q2198" s="17" t="s">
        <v>28</v>
      </c>
      <c r="R2198" s="17" t="s">
        <v>21</v>
      </c>
      <c r="S2198" s="50" t="str">
        <f t="shared" si="104"/>
        <v>David-North</v>
      </c>
      <c r="T2198" s="59" t="str">
        <f>IF(ROUND(sales_data_1[[#This Row],[Profit_Margin]],2)=ROUND((sales_data_1[[#This Row],[Unit_Price]]*(1-sales_data_1[[#This Row],[Discount]]) - sales_data_1[[#This Row],[Unit_Cost]])*sales_data_1[[#This Row],[Quantity_Sold]],2), "PASS", "CHECK")</f>
        <v>PASS</v>
      </c>
    </row>
    <row r="2199" spans="1:20" x14ac:dyDescent="0.35">
      <c r="A2199" s="7">
        <v>2198</v>
      </c>
      <c r="B2199" s="9">
        <v>1085</v>
      </c>
      <c r="C2199" s="14" t="str">
        <f>IFERROR(_xlfn.TEXTJOIN("-", TRUE, _xlfn.XLOOKUP(K2199, product_category_id_lookup!$A$2:$A$5, product_category_id_lookup!$B$2:$B$5), B2199), "Unknown Category")</f>
        <v>etc-1085</v>
      </c>
      <c r="D2199" s="8">
        <v>45319</v>
      </c>
      <c r="E2199" s="14">
        <f t="shared" si="102"/>
        <v>2024</v>
      </c>
      <c r="F2199" s="29" t="str">
        <f t="shared" si="103"/>
        <v>Jan</v>
      </c>
      <c r="G2199" s="17" t="s">
        <v>22</v>
      </c>
      <c r="H2199" s="17" t="s">
        <v>15</v>
      </c>
      <c r="I2199" s="24">
        <v>8762.531416965654</v>
      </c>
      <c r="J2199" s="32">
        <v>4</v>
      </c>
      <c r="K2199" s="17" t="s">
        <v>31</v>
      </c>
      <c r="L2199" s="24">
        <v>2011.73</v>
      </c>
      <c r="M2199" s="24">
        <v>2274.56</v>
      </c>
      <c r="N2199" s="34">
        <f>((sales_data_1[[#This Row],[Unit_Price]]*(1-sales_data_1[[#This Row],[Discount]]))-sales_data_1[[#This Row],[Unit_Cost]])*sales_data_1[[#This Row],[Quantity_Sold]]</f>
        <v>687.39040000000023</v>
      </c>
      <c r="O2199" s="17" t="s">
        <v>17</v>
      </c>
      <c r="P2199" s="26">
        <v>0.04</v>
      </c>
      <c r="Q2199" s="17" t="s">
        <v>18</v>
      </c>
      <c r="R2199" s="17" t="s">
        <v>19</v>
      </c>
      <c r="S2199" s="50" t="str">
        <f t="shared" si="104"/>
        <v>David-North</v>
      </c>
      <c r="T2199" s="59" t="str">
        <f>IF(ROUND(sales_data_1[[#This Row],[Profit_Margin]],2)=ROUND((sales_data_1[[#This Row],[Unit_Price]]*(1-sales_data_1[[#This Row],[Discount]]) - sales_data_1[[#This Row],[Unit_Cost]])*sales_data_1[[#This Row],[Quantity_Sold]],2), "PASS", "CHECK")</f>
        <v>PASS</v>
      </c>
    </row>
    <row r="2200" spans="1:20" x14ac:dyDescent="0.35">
      <c r="A2200" s="7">
        <v>2199</v>
      </c>
      <c r="B2200" s="9">
        <v>1044</v>
      </c>
      <c r="C2200" s="14" t="str">
        <f>IFERROR(_xlfn.TEXTJOIN("-", TRUE, _xlfn.XLOOKUP(K2200, product_category_id_lookup!$A$2:$A$5, product_category_id_lookup!$B$2:$B$5), B2200), "Unknown Category")</f>
        <v>etc-1044</v>
      </c>
      <c r="D2200" s="8">
        <v>45319</v>
      </c>
      <c r="E2200" s="14">
        <f t="shared" si="102"/>
        <v>2024</v>
      </c>
      <c r="F2200" s="29" t="str">
        <f t="shared" si="103"/>
        <v>Jan</v>
      </c>
      <c r="G2200" s="17" t="s">
        <v>14</v>
      </c>
      <c r="H2200" s="17" t="s">
        <v>23</v>
      </c>
      <c r="I2200" s="24">
        <v>4852.2864</v>
      </c>
      <c r="J2200" s="32">
        <v>2</v>
      </c>
      <c r="K2200" s="17" t="s">
        <v>31</v>
      </c>
      <c r="L2200" s="24">
        <v>1293.6199999999999</v>
      </c>
      <c r="M2200" s="24">
        <v>3110.44</v>
      </c>
      <c r="N2200" s="34">
        <f>((sales_data_1[[#This Row],[Unit_Price]]*(1-sales_data_1[[#This Row],[Discount]]))-sales_data_1[[#This Row],[Unit_Cost]])*sales_data_1[[#This Row],[Quantity_Sold]]</f>
        <v>2265.0464000000002</v>
      </c>
      <c r="O2200" s="17" t="s">
        <v>17</v>
      </c>
      <c r="P2200" s="26">
        <v>0.22</v>
      </c>
      <c r="Q2200" s="17" t="s">
        <v>28</v>
      </c>
      <c r="R2200" s="17" t="s">
        <v>21</v>
      </c>
      <c r="S2200" s="50" t="str">
        <f t="shared" si="104"/>
        <v>Bob-South</v>
      </c>
      <c r="T2200" s="59" t="str">
        <f>IF(ROUND(sales_data_1[[#This Row],[Profit_Margin]],2)=ROUND((sales_data_1[[#This Row],[Unit_Price]]*(1-sales_data_1[[#This Row],[Discount]]) - sales_data_1[[#This Row],[Unit_Cost]])*sales_data_1[[#This Row],[Quantity_Sold]],2), "PASS", "CHECK")</f>
        <v>PASS</v>
      </c>
    </row>
    <row r="2201" spans="1:20" x14ac:dyDescent="0.35">
      <c r="A2201" s="7">
        <v>2200</v>
      </c>
      <c r="B2201" s="9">
        <v>1023</v>
      </c>
      <c r="C2201" s="14" t="str">
        <f>IFERROR(_xlfn.TEXTJOIN("-", TRUE, _xlfn.XLOOKUP(K2201, product_category_id_lookup!$A$2:$A$5, product_category_id_lookup!$B$2:$B$5), B2201), "Unknown Category")</f>
        <v>fd-1023</v>
      </c>
      <c r="D2201" s="8">
        <v>45319</v>
      </c>
      <c r="E2201" s="14">
        <f t="shared" si="102"/>
        <v>2024</v>
      </c>
      <c r="F2201" s="29" t="str">
        <f t="shared" si="103"/>
        <v>Jan</v>
      </c>
      <c r="G2201" s="17" t="s">
        <v>29</v>
      </c>
      <c r="H2201" s="17" t="s">
        <v>23</v>
      </c>
      <c r="I2201" s="24">
        <v>107024.26800000001</v>
      </c>
      <c r="J2201" s="32">
        <v>30</v>
      </c>
      <c r="K2201" s="17" t="s">
        <v>24</v>
      </c>
      <c r="L2201" s="24">
        <v>3103.75</v>
      </c>
      <c r="M2201" s="24">
        <v>4350.58</v>
      </c>
      <c r="N2201" s="34">
        <f>((sales_data_1[[#This Row],[Unit_Price]]*(1-sales_data_1[[#This Row],[Discount]]))-sales_data_1[[#This Row],[Unit_Cost]])*sales_data_1[[#This Row],[Quantity_Sold]]</f>
        <v>13911.768000000007</v>
      </c>
      <c r="O2201" s="17" t="s">
        <v>17</v>
      </c>
      <c r="P2201" s="26">
        <v>0.18</v>
      </c>
      <c r="Q2201" s="17" t="s">
        <v>18</v>
      </c>
      <c r="R2201" s="17" t="s">
        <v>21</v>
      </c>
      <c r="S2201" s="50" t="str">
        <f t="shared" si="104"/>
        <v>Charlie-South</v>
      </c>
      <c r="T2201" s="59" t="str">
        <f>IF(ROUND(sales_data_1[[#This Row],[Profit_Margin]],2)=ROUND((sales_data_1[[#This Row],[Unit_Price]]*(1-sales_data_1[[#This Row],[Discount]]) - sales_data_1[[#This Row],[Unit_Cost]])*sales_data_1[[#This Row],[Quantity_Sold]],2), "PASS", "CHECK")</f>
        <v>PASS</v>
      </c>
    </row>
    <row r="2202" spans="1:20" x14ac:dyDescent="0.35">
      <c r="A2202" s="7">
        <v>2201</v>
      </c>
      <c r="B2202" s="9">
        <v>1070</v>
      </c>
      <c r="C2202" s="14" t="str">
        <f>IFERROR(_xlfn.TEXTJOIN("-", TRUE, _xlfn.XLOOKUP(K2202, product_category_id_lookup!$A$2:$A$5, product_category_id_lookup!$B$2:$B$5), B2202), "Unknown Category")</f>
        <v>fd-1070</v>
      </c>
      <c r="D2202" s="8">
        <v>45319</v>
      </c>
      <c r="E2202" s="14">
        <f t="shared" si="102"/>
        <v>2024</v>
      </c>
      <c r="F2202" s="29" t="str">
        <f t="shared" si="103"/>
        <v>Jan</v>
      </c>
      <c r="G2202" s="17" t="s">
        <v>29</v>
      </c>
      <c r="H2202" s="17" t="s">
        <v>23</v>
      </c>
      <c r="I2202" s="24">
        <v>60209.238599999997</v>
      </c>
      <c r="J2202" s="32">
        <v>14</v>
      </c>
      <c r="K2202" s="17" t="s">
        <v>24</v>
      </c>
      <c r="L2202" s="24">
        <v>1506.44</v>
      </c>
      <c r="M2202" s="24">
        <v>4433.67</v>
      </c>
      <c r="N2202" s="34">
        <f>((sales_data_1[[#This Row],[Unit_Price]]*(1-sales_data_1[[#This Row],[Discount]]))-sales_data_1[[#This Row],[Unit_Cost]])*sales_data_1[[#This Row],[Quantity_Sold]]</f>
        <v>39119.078599999993</v>
      </c>
      <c r="O2202" s="17" t="s">
        <v>17</v>
      </c>
      <c r="P2202" s="26">
        <v>0.03</v>
      </c>
      <c r="Q2202" s="17" t="s">
        <v>28</v>
      </c>
      <c r="R2202" s="17" t="s">
        <v>21</v>
      </c>
      <c r="S2202" s="50" t="str">
        <f t="shared" si="104"/>
        <v>Charlie-South</v>
      </c>
      <c r="T2202" s="59" t="str">
        <f>IF(ROUND(sales_data_1[[#This Row],[Profit_Margin]],2)=ROUND((sales_data_1[[#This Row],[Unit_Price]]*(1-sales_data_1[[#This Row],[Discount]]) - sales_data_1[[#This Row],[Unit_Cost]])*sales_data_1[[#This Row],[Quantity_Sold]],2), "PASS", "CHECK")</f>
        <v>PASS</v>
      </c>
    </row>
    <row r="2203" spans="1:20" x14ac:dyDescent="0.35">
      <c r="A2203" s="7">
        <v>2202</v>
      </c>
      <c r="B2203" s="9">
        <v>1007</v>
      </c>
      <c r="C2203" s="14" t="str">
        <f>IFERROR(_xlfn.TEXTJOIN("-", TRUE, _xlfn.XLOOKUP(K2203, product_category_id_lookup!$A$2:$A$5, product_category_id_lookup!$B$2:$B$5), B2203), "Unknown Category")</f>
        <v>etc-1007</v>
      </c>
      <c r="D2203" s="8">
        <v>45319</v>
      </c>
      <c r="E2203" s="14">
        <f t="shared" si="102"/>
        <v>2024</v>
      </c>
      <c r="F2203" s="29" t="str">
        <f t="shared" si="103"/>
        <v>Jan</v>
      </c>
      <c r="G2203" s="17" t="s">
        <v>32</v>
      </c>
      <c r="H2203" s="17" t="s">
        <v>20</v>
      </c>
      <c r="I2203" s="24">
        <v>105634.74460000001</v>
      </c>
      <c r="J2203" s="32">
        <v>29</v>
      </c>
      <c r="K2203" s="17" t="s">
        <v>31</v>
      </c>
      <c r="L2203" s="24">
        <v>1213.1099999999999</v>
      </c>
      <c r="M2203" s="24">
        <v>4730.62</v>
      </c>
      <c r="N2203" s="34">
        <f>((sales_data_1[[#This Row],[Unit_Price]]*(1-sales_data_1[[#This Row],[Discount]]))-sales_data_1[[#This Row],[Unit_Cost]])*sales_data_1[[#This Row],[Quantity_Sold]]</f>
        <v>70454.554600000018</v>
      </c>
      <c r="O2203" s="17" t="s">
        <v>17</v>
      </c>
      <c r="P2203" s="26">
        <v>0.23</v>
      </c>
      <c r="Q2203" s="17" t="s">
        <v>18</v>
      </c>
      <c r="R2203" s="17" t="s">
        <v>21</v>
      </c>
      <c r="S2203" s="50" t="str">
        <f t="shared" si="104"/>
        <v>Eve-West</v>
      </c>
      <c r="T2203" s="59" t="str">
        <f>IF(ROUND(sales_data_1[[#This Row],[Profit_Margin]],2)=ROUND((sales_data_1[[#This Row],[Unit_Price]]*(1-sales_data_1[[#This Row],[Discount]]) - sales_data_1[[#This Row],[Unit_Cost]])*sales_data_1[[#This Row],[Quantity_Sold]],2), "PASS", "CHECK")</f>
        <v>PASS</v>
      </c>
    </row>
    <row r="2204" spans="1:20" x14ac:dyDescent="0.35">
      <c r="A2204" s="7">
        <v>2203</v>
      </c>
      <c r="B2204" s="9">
        <v>1036</v>
      </c>
      <c r="C2204" s="14" t="str">
        <f>IFERROR(_xlfn.TEXTJOIN("-", TRUE, _xlfn.XLOOKUP(K2204, product_category_id_lookup!$A$2:$A$5, product_category_id_lookup!$B$2:$B$5), B2204), "Unknown Category")</f>
        <v>fnt-1036</v>
      </c>
      <c r="D2204" s="8">
        <v>45319</v>
      </c>
      <c r="E2204" s="14">
        <f t="shared" si="102"/>
        <v>2024</v>
      </c>
      <c r="F2204" s="29" t="str">
        <f t="shared" si="103"/>
        <v>Jan</v>
      </c>
      <c r="G2204" s="17" t="s">
        <v>22</v>
      </c>
      <c r="H2204" s="17" t="s">
        <v>15</v>
      </c>
      <c r="I2204" s="24">
        <v>198497.2899</v>
      </c>
      <c r="J2204" s="32">
        <v>49</v>
      </c>
      <c r="K2204" s="17" t="s">
        <v>16</v>
      </c>
      <c r="L2204" s="24">
        <v>1300.4000000000001</v>
      </c>
      <c r="M2204" s="24">
        <v>4451.6099999999997</v>
      </c>
      <c r="N2204" s="34">
        <f>((sales_data_1[[#This Row],[Unit_Price]]*(1-sales_data_1[[#This Row],[Discount]]))-sales_data_1[[#This Row],[Unit_Cost]])*sales_data_1[[#This Row],[Quantity_Sold]]</f>
        <v>134777.6899</v>
      </c>
      <c r="O2204" s="17" t="s">
        <v>17</v>
      </c>
      <c r="P2204" s="26">
        <v>0.09</v>
      </c>
      <c r="Q2204" s="17" t="s">
        <v>25</v>
      </c>
      <c r="R2204" s="17" t="s">
        <v>21</v>
      </c>
      <c r="S2204" s="50" t="str">
        <f t="shared" si="104"/>
        <v>David-North</v>
      </c>
      <c r="T2204" s="59" t="str">
        <f>IF(ROUND(sales_data_1[[#This Row],[Profit_Margin]],2)=ROUND((sales_data_1[[#This Row],[Unit_Price]]*(1-sales_data_1[[#This Row],[Discount]]) - sales_data_1[[#This Row],[Unit_Cost]])*sales_data_1[[#This Row],[Quantity_Sold]],2), "PASS", "CHECK")</f>
        <v>PASS</v>
      </c>
    </row>
    <row r="2205" spans="1:20" x14ac:dyDescent="0.35">
      <c r="A2205" s="7">
        <v>2204</v>
      </c>
      <c r="B2205" s="9">
        <v>1045</v>
      </c>
      <c r="C2205" s="14" t="str">
        <f>IFERROR(_xlfn.TEXTJOIN("-", TRUE, _xlfn.XLOOKUP(K2205, product_category_id_lookup!$A$2:$A$5, product_category_id_lookup!$B$2:$B$5), B2205), "Unknown Category")</f>
        <v>fnt-1045</v>
      </c>
      <c r="D2205" s="8">
        <v>45320</v>
      </c>
      <c r="E2205" s="14">
        <f t="shared" si="102"/>
        <v>2024</v>
      </c>
      <c r="F2205" s="29" t="str">
        <f t="shared" si="103"/>
        <v>Jan</v>
      </c>
      <c r="G2205" s="17" t="s">
        <v>32</v>
      </c>
      <c r="H2205" s="17" t="s">
        <v>30</v>
      </c>
      <c r="I2205" s="24">
        <v>158471.07639999999</v>
      </c>
      <c r="J2205" s="32">
        <v>49</v>
      </c>
      <c r="K2205" s="17" t="s">
        <v>16</v>
      </c>
      <c r="L2205" s="24">
        <v>2777.92</v>
      </c>
      <c r="M2205" s="24">
        <v>3515.33</v>
      </c>
      <c r="N2205" s="34">
        <f>((sales_data_1[[#This Row],[Unit_Price]]*(1-sales_data_1[[#This Row],[Discount]]))-sales_data_1[[#This Row],[Unit_Cost]])*sales_data_1[[#This Row],[Quantity_Sold]]</f>
        <v>22352.996399999993</v>
      </c>
      <c r="O2205" s="17" t="s">
        <v>27</v>
      </c>
      <c r="P2205" s="26">
        <v>0.08</v>
      </c>
      <c r="Q2205" s="17" t="s">
        <v>18</v>
      </c>
      <c r="R2205" s="17" t="s">
        <v>19</v>
      </c>
      <c r="S2205" s="50" t="str">
        <f t="shared" si="104"/>
        <v>Eve-East</v>
      </c>
      <c r="T2205" s="59" t="str">
        <f>IF(ROUND(sales_data_1[[#This Row],[Profit_Margin]],2)=ROUND((sales_data_1[[#This Row],[Unit_Price]]*(1-sales_data_1[[#This Row],[Discount]]) - sales_data_1[[#This Row],[Unit_Cost]])*sales_data_1[[#This Row],[Quantity_Sold]],2), "PASS", "CHECK")</f>
        <v>PASS</v>
      </c>
    </row>
    <row r="2206" spans="1:20" x14ac:dyDescent="0.35">
      <c r="A2206" s="7">
        <v>2205</v>
      </c>
      <c r="B2206" s="9">
        <v>1031</v>
      </c>
      <c r="C2206" s="14" t="str">
        <f>IFERROR(_xlfn.TEXTJOIN("-", TRUE, _xlfn.XLOOKUP(K2206, product_category_id_lookup!$A$2:$A$5, product_category_id_lookup!$B$2:$B$5), B2206), "Unknown Category")</f>
        <v>etc-1031</v>
      </c>
      <c r="D2206" s="8">
        <v>45320</v>
      </c>
      <c r="E2206" s="14">
        <f t="shared" si="102"/>
        <v>2024</v>
      </c>
      <c r="F2206" s="29" t="str">
        <f t="shared" si="103"/>
        <v>Jan</v>
      </c>
      <c r="G2206" s="17" t="s">
        <v>32</v>
      </c>
      <c r="H2206" s="17" t="s">
        <v>30</v>
      </c>
      <c r="I2206" s="24">
        <v>65234.294999999991</v>
      </c>
      <c r="J2206" s="32">
        <v>42</v>
      </c>
      <c r="K2206" s="17" t="s">
        <v>31</v>
      </c>
      <c r="L2206" s="24">
        <v>1005.9</v>
      </c>
      <c r="M2206" s="24">
        <v>2070.9299999999998</v>
      </c>
      <c r="N2206" s="34">
        <f>((sales_data_1[[#This Row],[Unit_Price]]*(1-sales_data_1[[#This Row],[Discount]]))-sales_data_1[[#This Row],[Unit_Cost]])*sales_data_1[[#This Row],[Quantity_Sold]]</f>
        <v>22986.494999999992</v>
      </c>
      <c r="O2206" s="17" t="s">
        <v>17</v>
      </c>
      <c r="P2206" s="26">
        <v>0.25</v>
      </c>
      <c r="Q2206" s="17" t="s">
        <v>28</v>
      </c>
      <c r="R2206" s="17" t="s">
        <v>21</v>
      </c>
      <c r="S2206" s="50" t="str">
        <f t="shared" si="104"/>
        <v>Eve-East</v>
      </c>
      <c r="T2206" s="59" t="str">
        <f>IF(ROUND(sales_data_1[[#This Row],[Profit_Margin]],2)=ROUND((sales_data_1[[#This Row],[Unit_Price]]*(1-sales_data_1[[#This Row],[Discount]]) - sales_data_1[[#This Row],[Unit_Cost]])*sales_data_1[[#This Row],[Quantity_Sold]],2), "PASS", "CHECK")</f>
        <v>PASS</v>
      </c>
    </row>
    <row r="2207" spans="1:20" x14ac:dyDescent="0.35">
      <c r="A2207" s="7">
        <v>2206</v>
      </c>
      <c r="B2207" s="9">
        <v>1003</v>
      </c>
      <c r="C2207" s="14" t="str">
        <f>IFERROR(_xlfn.TEXTJOIN("-", TRUE, _xlfn.XLOOKUP(K2207, product_category_id_lookup!$A$2:$A$5, product_category_id_lookup!$B$2:$B$5), B2207), "Unknown Category")</f>
        <v>etc-1003</v>
      </c>
      <c r="D2207" s="8">
        <v>45320</v>
      </c>
      <c r="E2207" s="14">
        <f t="shared" si="102"/>
        <v>2024</v>
      </c>
      <c r="F2207" s="29" t="str">
        <f t="shared" si="103"/>
        <v>Jan</v>
      </c>
      <c r="G2207" s="17" t="s">
        <v>29</v>
      </c>
      <c r="H2207" s="17" t="s">
        <v>23</v>
      </c>
      <c r="I2207" s="24">
        <v>92072.845799999996</v>
      </c>
      <c r="J2207" s="32">
        <v>26</v>
      </c>
      <c r="K2207" s="17" t="s">
        <v>31</v>
      </c>
      <c r="L2207" s="24">
        <v>2586.75</v>
      </c>
      <c r="M2207" s="24">
        <v>3807.81</v>
      </c>
      <c r="N2207" s="34">
        <f>((sales_data_1[[#This Row],[Unit_Price]]*(1-sales_data_1[[#This Row],[Discount]]))-sales_data_1[[#This Row],[Unit_Cost]])*sales_data_1[[#This Row],[Quantity_Sold]]</f>
        <v>24817.345799999988</v>
      </c>
      <c r="O2207" s="17" t="s">
        <v>27</v>
      </c>
      <c r="P2207" s="26">
        <v>7.0000000000000007E-2</v>
      </c>
      <c r="Q2207" s="17" t="s">
        <v>18</v>
      </c>
      <c r="R2207" s="17" t="s">
        <v>21</v>
      </c>
      <c r="S2207" s="50" t="str">
        <f t="shared" si="104"/>
        <v>Charlie-South</v>
      </c>
      <c r="T2207" s="59" t="str">
        <f>IF(ROUND(sales_data_1[[#This Row],[Profit_Margin]],2)=ROUND((sales_data_1[[#This Row],[Unit_Price]]*(1-sales_data_1[[#This Row],[Discount]]) - sales_data_1[[#This Row],[Unit_Cost]])*sales_data_1[[#This Row],[Quantity_Sold]],2), "PASS", "CHECK")</f>
        <v>PASS</v>
      </c>
    </row>
    <row r="2208" spans="1:20" x14ac:dyDescent="0.35">
      <c r="A2208" s="7">
        <v>2207</v>
      </c>
      <c r="B2208" s="9">
        <v>1010</v>
      </c>
      <c r="C2208" s="14" t="str">
        <f>IFERROR(_xlfn.TEXTJOIN("-", TRUE, _xlfn.XLOOKUP(K2208, product_category_id_lookup!$A$2:$A$5, product_category_id_lookup!$B$2:$B$5), B2208), "Unknown Category")</f>
        <v>fd-1010</v>
      </c>
      <c r="D2208" s="8">
        <v>45321</v>
      </c>
      <c r="E2208" s="14">
        <f t="shared" si="102"/>
        <v>2024</v>
      </c>
      <c r="F2208" s="29" t="str">
        <f t="shared" si="103"/>
        <v>Jan</v>
      </c>
      <c r="G2208" s="17" t="s">
        <v>22</v>
      </c>
      <c r="H2208" s="17" t="s">
        <v>23</v>
      </c>
      <c r="I2208" s="24">
        <v>9341.8640000000014</v>
      </c>
      <c r="J2208" s="32">
        <v>4</v>
      </c>
      <c r="K2208" s="17" t="s">
        <v>24</v>
      </c>
      <c r="L2208" s="24">
        <v>527.16999999999996</v>
      </c>
      <c r="M2208" s="24">
        <v>2538.5500000000002</v>
      </c>
      <c r="N2208" s="34">
        <f>((sales_data_1[[#This Row],[Unit_Price]]*(1-sales_data_1[[#This Row],[Discount]]))-sales_data_1[[#This Row],[Unit_Cost]])*sales_data_1[[#This Row],[Quantity_Sold]]</f>
        <v>7233.1840000000011</v>
      </c>
      <c r="O2208" s="17" t="s">
        <v>17</v>
      </c>
      <c r="P2208" s="26">
        <v>0.08</v>
      </c>
      <c r="Q2208" s="17" t="s">
        <v>28</v>
      </c>
      <c r="R2208" s="17" t="s">
        <v>21</v>
      </c>
      <c r="S2208" s="50" t="str">
        <f t="shared" si="104"/>
        <v>David-South</v>
      </c>
      <c r="T2208" s="59" t="str">
        <f>IF(ROUND(sales_data_1[[#This Row],[Profit_Margin]],2)=ROUND((sales_data_1[[#This Row],[Unit_Price]]*(1-sales_data_1[[#This Row],[Discount]]) - sales_data_1[[#This Row],[Unit_Cost]])*sales_data_1[[#This Row],[Quantity_Sold]],2), "PASS", "CHECK")</f>
        <v>PASS</v>
      </c>
    </row>
    <row r="2209" spans="1:20" x14ac:dyDescent="0.35">
      <c r="A2209" s="7">
        <v>2208</v>
      </c>
      <c r="B2209" s="9">
        <v>1048</v>
      </c>
      <c r="C2209" s="14" t="str">
        <f>IFERROR(_xlfn.TEXTJOIN("-", TRUE, _xlfn.XLOOKUP(K2209, product_category_id_lookup!$A$2:$A$5, product_category_id_lookup!$B$2:$B$5), B2209), "Unknown Category")</f>
        <v>fnt-1048</v>
      </c>
      <c r="D2209" s="8">
        <v>45321</v>
      </c>
      <c r="E2209" s="14">
        <f t="shared" si="102"/>
        <v>2024</v>
      </c>
      <c r="F2209" s="29" t="str">
        <f t="shared" si="103"/>
        <v>Jan</v>
      </c>
      <c r="G2209" s="17" t="s">
        <v>14</v>
      </c>
      <c r="H2209" s="17" t="s">
        <v>15</v>
      </c>
      <c r="I2209" s="24">
        <v>111349.78523690875</v>
      </c>
      <c r="J2209" s="32">
        <v>25</v>
      </c>
      <c r="K2209" s="17" t="s">
        <v>16</v>
      </c>
      <c r="L2209" s="24">
        <v>4053.83</v>
      </c>
      <c r="M2209" s="24">
        <v>4566</v>
      </c>
      <c r="N2209" s="34">
        <f>((sales_data_1[[#This Row],[Unit_Price]]*(1-sales_data_1[[#This Row],[Discount]]))-sales_data_1[[#This Row],[Unit_Cost]])*sales_data_1[[#This Row],[Quantity_Sold]]</f>
        <v>10521.250000000009</v>
      </c>
      <c r="O2209" s="17" t="s">
        <v>17</v>
      </c>
      <c r="P2209" s="26">
        <v>0.02</v>
      </c>
      <c r="Q2209" s="17" t="s">
        <v>25</v>
      </c>
      <c r="R2209" s="17" t="s">
        <v>19</v>
      </c>
      <c r="S2209" s="50" t="str">
        <f t="shared" si="104"/>
        <v>Bob-North</v>
      </c>
      <c r="T2209" s="59" t="str">
        <f>IF(ROUND(sales_data_1[[#This Row],[Profit_Margin]],2)=ROUND((sales_data_1[[#This Row],[Unit_Price]]*(1-sales_data_1[[#This Row],[Discount]]) - sales_data_1[[#This Row],[Unit_Cost]])*sales_data_1[[#This Row],[Quantity_Sold]],2), "PASS", "CHECK")</f>
        <v>PASS</v>
      </c>
    </row>
    <row r="2210" spans="1:20" x14ac:dyDescent="0.35">
      <c r="A2210" s="7">
        <v>2209</v>
      </c>
      <c r="B2210" s="9">
        <v>1064</v>
      </c>
      <c r="C2210" s="14" t="str">
        <f>IFERROR(_xlfn.TEXTJOIN("-", TRUE, _xlfn.XLOOKUP(K2210, product_category_id_lookup!$A$2:$A$5, product_category_id_lookup!$B$2:$B$5), B2210), "Unknown Category")</f>
        <v>etc-1064</v>
      </c>
      <c r="D2210" s="8">
        <v>45321</v>
      </c>
      <c r="E2210" s="14">
        <f t="shared" si="102"/>
        <v>2024</v>
      </c>
      <c r="F2210" s="29" t="str">
        <f t="shared" si="103"/>
        <v>Jan</v>
      </c>
      <c r="G2210" s="17" t="s">
        <v>14</v>
      </c>
      <c r="H2210" s="17" t="s">
        <v>30</v>
      </c>
      <c r="I2210" s="24">
        <v>212548.93659999999</v>
      </c>
      <c r="J2210" s="32">
        <v>47</v>
      </c>
      <c r="K2210" s="17" t="s">
        <v>31</v>
      </c>
      <c r="L2210" s="24">
        <v>3643.17</v>
      </c>
      <c r="M2210" s="24">
        <v>4614.6099999999997</v>
      </c>
      <c r="N2210" s="34">
        <f>((sales_data_1[[#This Row],[Unit_Price]]*(1-sales_data_1[[#This Row],[Discount]]))-sales_data_1[[#This Row],[Unit_Cost]])*sales_data_1[[#This Row],[Quantity_Sold]]</f>
        <v>41319.946599999988</v>
      </c>
      <c r="O2210" s="17" t="s">
        <v>27</v>
      </c>
      <c r="P2210" s="26">
        <v>0.02</v>
      </c>
      <c r="Q2210" s="17" t="s">
        <v>25</v>
      </c>
      <c r="R2210" s="17" t="s">
        <v>19</v>
      </c>
      <c r="S2210" s="50" t="str">
        <f t="shared" si="104"/>
        <v>Bob-East</v>
      </c>
      <c r="T2210" s="59" t="str">
        <f>IF(ROUND(sales_data_1[[#This Row],[Profit_Margin]],2)=ROUND((sales_data_1[[#This Row],[Unit_Price]]*(1-sales_data_1[[#This Row],[Discount]]) - sales_data_1[[#This Row],[Unit_Cost]])*sales_data_1[[#This Row],[Quantity_Sold]],2), "PASS", "CHECK")</f>
        <v>PASS</v>
      </c>
    </row>
    <row r="2211" spans="1:20" x14ac:dyDescent="0.35">
      <c r="A2211" s="7">
        <v>2210</v>
      </c>
      <c r="B2211" s="9">
        <v>1057</v>
      </c>
      <c r="C2211" s="14" t="str">
        <f>IFERROR(_xlfn.TEXTJOIN("-", TRUE, _xlfn.XLOOKUP(K2211, product_category_id_lookup!$A$2:$A$5, product_category_id_lookup!$B$2:$B$5), B2211), "Unknown Category")</f>
        <v>etc-1057</v>
      </c>
      <c r="D2211" s="8">
        <v>45321</v>
      </c>
      <c r="E2211" s="14">
        <f t="shared" si="102"/>
        <v>2024</v>
      </c>
      <c r="F2211" s="29" t="str">
        <f t="shared" si="103"/>
        <v>Jan</v>
      </c>
      <c r="G2211" s="17" t="s">
        <v>29</v>
      </c>
      <c r="H2211" s="17" t="s">
        <v>15</v>
      </c>
      <c r="I2211" s="24">
        <v>160789.79840000003</v>
      </c>
      <c r="J2211" s="32">
        <v>46</v>
      </c>
      <c r="K2211" s="17" t="s">
        <v>31</v>
      </c>
      <c r="L2211" s="24">
        <v>934.51</v>
      </c>
      <c r="M2211" s="24">
        <v>4262.72</v>
      </c>
      <c r="N2211" s="34">
        <f>((sales_data_1[[#This Row],[Unit_Price]]*(1-sales_data_1[[#This Row],[Discount]]))-sales_data_1[[#This Row],[Unit_Cost]])*sales_data_1[[#This Row],[Quantity_Sold]]</f>
        <v>117802.33840000004</v>
      </c>
      <c r="O2211" s="17" t="s">
        <v>17</v>
      </c>
      <c r="P2211" s="26">
        <v>0.18</v>
      </c>
      <c r="Q2211" s="17" t="s">
        <v>28</v>
      </c>
      <c r="R2211" s="17" t="s">
        <v>19</v>
      </c>
      <c r="S2211" s="50" t="str">
        <f t="shared" si="104"/>
        <v>Charlie-North</v>
      </c>
      <c r="T2211" s="59" t="str">
        <f>IF(ROUND(sales_data_1[[#This Row],[Profit_Margin]],2)=ROUND((sales_data_1[[#This Row],[Unit_Price]]*(1-sales_data_1[[#This Row],[Discount]]) - sales_data_1[[#This Row],[Unit_Cost]])*sales_data_1[[#This Row],[Quantity_Sold]],2), "PASS", "CHECK")</f>
        <v>PASS</v>
      </c>
    </row>
    <row r="2212" spans="1:20" x14ac:dyDescent="0.35">
      <c r="A2212" s="7">
        <v>2211</v>
      </c>
      <c r="B2212" s="9">
        <v>1045</v>
      </c>
      <c r="C2212" s="14" t="str">
        <f>IFERROR(_xlfn.TEXTJOIN("-", TRUE, _xlfn.XLOOKUP(K2212, product_category_id_lookup!$A$2:$A$5, product_category_id_lookup!$B$2:$B$5), B2212), "Unknown Category")</f>
        <v>etc-1045</v>
      </c>
      <c r="D2212" s="8">
        <v>45322</v>
      </c>
      <c r="E2212" s="14">
        <f t="shared" si="102"/>
        <v>2024</v>
      </c>
      <c r="F2212" s="29" t="str">
        <f t="shared" si="103"/>
        <v>Jan</v>
      </c>
      <c r="G2212" s="17" t="s">
        <v>14</v>
      </c>
      <c r="H2212" s="17" t="s">
        <v>23</v>
      </c>
      <c r="I2212" s="24">
        <v>88967.199798917616</v>
      </c>
      <c r="J2212" s="32">
        <v>43</v>
      </c>
      <c r="K2212" s="17" t="s">
        <v>31</v>
      </c>
      <c r="L2212" s="24">
        <v>2001.89</v>
      </c>
      <c r="M2212" s="24">
        <v>2170.2800000000002</v>
      </c>
      <c r="N2212" s="34">
        <f>((sales_data_1[[#This Row],[Unit_Price]]*(1-sales_data_1[[#This Row],[Discount]]))-sales_data_1[[#This Row],[Unit_Cost]])*sales_data_1[[#This Row],[Quantity_Sold]]</f>
        <v>2574.6679999999988</v>
      </c>
      <c r="O2212" s="17" t="s">
        <v>17</v>
      </c>
      <c r="P2212" s="26">
        <v>0.05</v>
      </c>
      <c r="Q2212" s="17" t="s">
        <v>25</v>
      </c>
      <c r="R2212" s="17" t="s">
        <v>19</v>
      </c>
      <c r="S2212" s="50" t="str">
        <f t="shared" si="104"/>
        <v>Bob-South</v>
      </c>
      <c r="T2212" s="59" t="str">
        <f>IF(ROUND(sales_data_1[[#This Row],[Profit_Margin]],2)=ROUND((sales_data_1[[#This Row],[Unit_Price]]*(1-sales_data_1[[#This Row],[Discount]]) - sales_data_1[[#This Row],[Unit_Cost]])*sales_data_1[[#This Row],[Quantity_Sold]],2), "PASS", "CHECK")</f>
        <v>PASS</v>
      </c>
    </row>
    <row r="2213" spans="1:20" x14ac:dyDescent="0.35">
      <c r="A2213" s="7">
        <v>2212</v>
      </c>
      <c r="B2213" s="9">
        <v>1079</v>
      </c>
      <c r="C2213" s="14" t="str">
        <f>IFERROR(_xlfn.TEXTJOIN("-", TRUE, _xlfn.XLOOKUP(K2213, product_category_id_lookup!$A$2:$A$5, product_category_id_lookup!$B$2:$B$5), B2213), "Unknown Category")</f>
        <v>ctg-1079</v>
      </c>
      <c r="D2213" s="8">
        <v>45322</v>
      </c>
      <c r="E2213" s="14">
        <f t="shared" si="102"/>
        <v>2024</v>
      </c>
      <c r="F2213" s="29" t="str">
        <f t="shared" si="103"/>
        <v>Jan</v>
      </c>
      <c r="G2213" s="17" t="s">
        <v>14</v>
      </c>
      <c r="H2213" s="17" t="s">
        <v>23</v>
      </c>
      <c r="I2213" s="24">
        <v>103104.0653521519</v>
      </c>
      <c r="J2213" s="32">
        <v>39</v>
      </c>
      <c r="K2213" s="17" t="s">
        <v>26</v>
      </c>
      <c r="L2213" s="24">
        <v>2380.12</v>
      </c>
      <c r="M2213" s="24">
        <v>2701.69</v>
      </c>
      <c r="N2213" s="34">
        <f>((sales_data_1[[#This Row],[Unit_Price]]*(1-sales_data_1[[#This Row],[Discount]]))-sales_data_1[[#This Row],[Unit_Cost]])*sales_data_1[[#This Row],[Quantity_Sold]]</f>
        <v>10433.9118</v>
      </c>
      <c r="O2213" s="17" t="s">
        <v>17</v>
      </c>
      <c r="P2213" s="26">
        <v>0.02</v>
      </c>
      <c r="Q2213" s="17" t="s">
        <v>28</v>
      </c>
      <c r="R2213" s="17" t="s">
        <v>19</v>
      </c>
      <c r="S2213" s="50" t="str">
        <f t="shared" si="104"/>
        <v>Bob-South</v>
      </c>
      <c r="T2213" s="59" t="str">
        <f>IF(ROUND(sales_data_1[[#This Row],[Profit_Margin]],2)=ROUND((sales_data_1[[#This Row],[Unit_Price]]*(1-sales_data_1[[#This Row],[Discount]]) - sales_data_1[[#This Row],[Unit_Cost]])*sales_data_1[[#This Row],[Quantity_Sold]],2), "PASS", "CHECK")</f>
        <v>PASS</v>
      </c>
    </row>
    <row r="2214" spans="1:20" x14ac:dyDescent="0.35">
      <c r="A2214" s="7">
        <v>2213</v>
      </c>
      <c r="B2214" s="9">
        <v>1057</v>
      </c>
      <c r="C2214" s="14" t="str">
        <f>IFERROR(_xlfn.TEXTJOIN("-", TRUE, _xlfn.XLOOKUP(K2214, product_category_id_lookup!$A$2:$A$5, product_category_id_lookup!$B$2:$B$5), B2214), "Unknown Category")</f>
        <v>ctg-1057</v>
      </c>
      <c r="D2214" s="8">
        <v>45322</v>
      </c>
      <c r="E2214" s="14">
        <f t="shared" si="102"/>
        <v>2024</v>
      </c>
      <c r="F2214" s="29" t="str">
        <f t="shared" si="103"/>
        <v>Jan</v>
      </c>
      <c r="G2214" s="17" t="s">
        <v>32</v>
      </c>
      <c r="H2214" s="17" t="s">
        <v>20</v>
      </c>
      <c r="I2214" s="24">
        <v>69468.322499999995</v>
      </c>
      <c r="J2214" s="32">
        <v>15</v>
      </c>
      <c r="K2214" s="17" t="s">
        <v>26</v>
      </c>
      <c r="L2214" s="24">
        <v>2479.4499999999998</v>
      </c>
      <c r="M2214" s="24">
        <v>4874.97</v>
      </c>
      <c r="N2214" s="34">
        <f>((sales_data_1[[#This Row],[Unit_Price]]*(1-sales_data_1[[#This Row],[Discount]]))-sales_data_1[[#This Row],[Unit_Cost]])*sales_data_1[[#This Row],[Quantity_Sold]]</f>
        <v>32276.572499999998</v>
      </c>
      <c r="O2214" s="17" t="s">
        <v>27</v>
      </c>
      <c r="P2214" s="26">
        <v>0.05</v>
      </c>
      <c r="Q2214" s="17" t="s">
        <v>28</v>
      </c>
      <c r="R2214" s="17" t="s">
        <v>21</v>
      </c>
      <c r="S2214" s="50" t="str">
        <f t="shared" si="104"/>
        <v>Eve-West</v>
      </c>
      <c r="T2214" s="59" t="str">
        <f>IF(ROUND(sales_data_1[[#This Row],[Profit_Margin]],2)=ROUND((sales_data_1[[#This Row],[Unit_Price]]*(1-sales_data_1[[#This Row],[Discount]]) - sales_data_1[[#This Row],[Unit_Cost]])*sales_data_1[[#This Row],[Quantity_Sold]],2), "PASS", "CHECK")</f>
        <v>PASS</v>
      </c>
    </row>
    <row r="2215" spans="1:20" x14ac:dyDescent="0.35">
      <c r="A2215" s="7">
        <v>2214</v>
      </c>
      <c r="B2215" s="9">
        <v>1005</v>
      </c>
      <c r="C2215" s="14" t="str">
        <f>IFERROR(_xlfn.TEXTJOIN("-", TRUE, _xlfn.XLOOKUP(K2215, product_category_id_lookup!$A$2:$A$5, product_category_id_lookup!$B$2:$B$5), B2215), "Unknown Category")</f>
        <v>fd-1005</v>
      </c>
      <c r="D2215" s="8">
        <v>45322</v>
      </c>
      <c r="E2215" s="14">
        <f t="shared" si="102"/>
        <v>2024</v>
      </c>
      <c r="F2215" s="29" t="str">
        <f t="shared" si="103"/>
        <v>Jan</v>
      </c>
      <c r="G2215" s="17" t="s">
        <v>32</v>
      </c>
      <c r="H2215" s="17" t="s">
        <v>30</v>
      </c>
      <c r="I2215" s="24">
        <v>58419.085200000001</v>
      </c>
      <c r="J2215" s="32">
        <v>14</v>
      </c>
      <c r="K2215" s="17" t="s">
        <v>24</v>
      </c>
      <c r="L2215" s="24">
        <v>1218.5999999999999</v>
      </c>
      <c r="M2215" s="24">
        <v>5027.46</v>
      </c>
      <c r="N2215" s="34">
        <f>((sales_data_1[[#This Row],[Unit_Price]]*(1-sales_data_1[[#This Row],[Discount]]))-sales_data_1[[#This Row],[Unit_Cost]])*sales_data_1[[#This Row],[Quantity_Sold]]</f>
        <v>41358.6852</v>
      </c>
      <c r="O2215" s="17" t="s">
        <v>27</v>
      </c>
      <c r="P2215" s="26">
        <v>0.17</v>
      </c>
      <c r="Q2215" s="17" t="s">
        <v>25</v>
      </c>
      <c r="R2215" s="17" t="s">
        <v>21</v>
      </c>
      <c r="S2215" s="50" t="str">
        <f t="shared" si="104"/>
        <v>Eve-East</v>
      </c>
      <c r="T2215" s="59" t="str">
        <f>IF(ROUND(sales_data_1[[#This Row],[Profit_Margin]],2)=ROUND((sales_data_1[[#This Row],[Unit_Price]]*(1-sales_data_1[[#This Row],[Discount]]) - sales_data_1[[#This Row],[Unit_Cost]])*sales_data_1[[#This Row],[Quantity_Sold]],2), "PASS", "CHECK")</f>
        <v>PASS</v>
      </c>
    </row>
    <row r="2216" spans="1:20" x14ac:dyDescent="0.35">
      <c r="A2216" s="7">
        <v>2215</v>
      </c>
      <c r="B2216" s="9">
        <v>1042</v>
      </c>
      <c r="C2216" s="14" t="str">
        <f>IFERROR(_xlfn.TEXTJOIN("-", TRUE, _xlfn.XLOOKUP(K2216, product_category_id_lookup!$A$2:$A$5, product_category_id_lookup!$B$2:$B$5), B2216), "Unknown Category")</f>
        <v>etc-1042</v>
      </c>
      <c r="D2216" s="8">
        <v>45322</v>
      </c>
      <c r="E2216" s="14">
        <f t="shared" si="102"/>
        <v>2024</v>
      </c>
      <c r="F2216" s="29" t="str">
        <f t="shared" si="103"/>
        <v>Jan</v>
      </c>
      <c r="G2216" s="17" t="s">
        <v>14</v>
      </c>
      <c r="H2216" s="17" t="s">
        <v>20</v>
      </c>
      <c r="I2216" s="24">
        <v>136213.94819999998</v>
      </c>
      <c r="J2216" s="32">
        <v>33</v>
      </c>
      <c r="K2216" s="17" t="s">
        <v>31</v>
      </c>
      <c r="L2216" s="24">
        <v>1964.99</v>
      </c>
      <c r="M2216" s="24">
        <v>4637.8599999999997</v>
      </c>
      <c r="N2216" s="34">
        <f>((sales_data_1[[#This Row],[Unit_Price]]*(1-sales_data_1[[#This Row],[Discount]]))-sales_data_1[[#This Row],[Unit_Cost]])*sales_data_1[[#This Row],[Quantity_Sold]]</f>
        <v>71369.278200000001</v>
      </c>
      <c r="O2216" s="17" t="s">
        <v>17</v>
      </c>
      <c r="P2216" s="26">
        <v>0.11</v>
      </c>
      <c r="Q2216" s="17" t="s">
        <v>25</v>
      </c>
      <c r="R2216" s="17" t="s">
        <v>21</v>
      </c>
      <c r="S2216" s="50" t="str">
        <f t="shared" si="104"/>
        <v>Bob-West</v>
      </c>
      <c r="T2216" s="59" t="str">
        <f>IF(ROUND(sales_data_1[[#This Row],[Profit_Margin]],2)=ROUND((sales_data_1[[#This Row],[Unit_Price]]*(1-sales_data_1[[#This Row],[Discount]]) - sales_data_1[[#This Row],[Unit_Cost]])*sales_data_1[[#This Row],[Quantity_Sold]],2), "PASS", "CHECK")</f>
        <v>PASS</v>
      </c>
    </row>
    <row r="2217" spans="1:20" x14ac:dyDescent="0.35">
      <c r="A2217" s="7">
        <v>2216</v>
      </c>
      <c r="B2217" s="9">
        <v>1084</v>
      </c>
      <c r="C2217" s="14" t="str">
        <f>IFERROR(_xlfn.TEXTJOIN("-", TRUE, _xlfn.XLOOKUP(K2217, product_category_id_lookup!$A$2:$A$5, product_category_id_lookup!$B$2:$B$5), B2217), "Unknown Category")</f>
        <v>ctg-1084</v>
      </c>
      <c r="D2217" s="8">
        <v>45323</v>
      </c>
      <c r="E2217" s="14">
        <f t="shared" si="102"/>
        <v>2024</v>
      </c>
      <c r="F2217" s="29" t="str">
        <f t="shared" si="103"/>
        <v>Feb</v>
      </c>
      <c r="G2217" s="17" t="s">
        <v>14</v>
      </c>
      <c r="H2217" s="17" t="s">
        <v>23</v>
      </c>
      <c r="I2217" s="24">
        <v>4906.8504000000003</v>
      </c>
      <c r="J2217" s="32">
        <v>3</v>
      </c>
      <c r="K2217" s="17" t="s">
        <v>26</v>
      </c>
      <c r="L2217" s="24">
        <v>630.52</v>
      </c>
      <c r="M2217" s="24">
        <v>2271.69</v>
      </c>
      <c r="N2217" s="34">
        <f>((sales_data_1[[#This Row],[Unit_Price]]*(1-sales_data_1[[#This Row],[Discount]]))-sales_data_1[[#This Row],[Unit_Cost]])*sales_data_1[[#This Row],[Quantity_Sold]]</f>
        <v>3015.2903999999999</v>
      </c>
      <c r="O2217" s="17" t="s">
        <v>17</v>
      </c>
      <c r="P2217" s="26">
        <v>0.28000000000000003</v>
      </c>
      <c r="Q2217" s="17" t="s">
        <v>25</v>
      </c>
      <c r="R2217" s="17" t="s">
        <v>19</v>
      </c>
      <c r="S2217" s="50" t="str">
        <f t="shared" si="104"/>
        <v>Bob-South</v>
      </c>
      <c r="T2217" s="59" t="str">
        <f>IF(ROUND(sales_data_1[[#This Row],[Profit_Margin]],2)=ROUND((sales_data_1[[#This Row],[Unit_Price]]*(1-sales_data_1[[#This Row],[Discount]]) - sales_data_1[[#This Row],[Unit_Cost]])*sales_data_1[[#This Row],[Quantity_Sold]],2), "PASS", "CHECK")</f>
        <v>PASS</v>
      </c>
    </row>
    <row r="2218" spans="1:20" x14ac:dyDescent="0.35">
      <c r="A2218" s="7">
        <v>2217</v>
      </c>
      <c r="B2218" s="9">
        <v>1092</v>
      </c>
      <c r="C2218" s="14" t="str">
        <f>IFERROR(_xlfn.TEXTJOIN("-", TRUE, _xlfn.XLOOKUP(K2218, product_category_id_lookup!$A$2:$A$5, product_category_id_lookup!$B$2:$B$5), B2218), "Unknown Category")</f>
        <v>etc-1092</v>
      </c>
      <c r="D2218" s="8">
        <v>45323</v>
      </c>
      <c r="E2218" s="14">
        <f t="shared" si="102"/>
        <v>2024</v>
      </c>
      <c r="F2218" s="29" t="str">
        <f t="shared" si="103"/>
        <v>Feb</v>
      </c>
      <c r="G2218" s="17" t="s">
        <v>22</v>
      </c>
      <c r="H2218" s="17" t="s">
        <v>15</v>
      </c>
      <c r="I2218" s="24">
        <v>71572.95</v>
      </c>
      <c r="J2218" s="32">
        <v>30</v>
      </c>
      <c r="K2218" s="17" t="s">
        <v>31</v>
      </c>
      <c r="L2218" s="24">
        <v>1848.27</v>
      </c>
      <c r="M2218" s="24">
        <v>3181.02</v>
      </c>
      <c r="N2218" s="34">
        <f>((sales_data_1[[#This Row],[Unit_Price]]*(1-sales_data_1[[#This Row],[Discount]]))-sales_data_1[[#This Row],[Unit_Cost]])*sales_data_1[[#This Row],[Quantity_Sold]]</f>
        <v>16124.849999999997</v>
      </c>
      <c r="O2218" s="17" t="s">
        <v>27</v>
      </c>
      <c r="P2218" s="26">
        <v>0.25</v>
      </c>
      <c r="Q2218" s="17" t="s">
        <v>18</v>
      </c>
      <c r="R2218" s="17" t="s">
        <v>19</v>
      </c>
      <c r="S2218" s="50" t="str">
        <f t="shared" si="104"/>
        <v>David-North</v>
      </c>
      <c r="T2218" s="59" t="str">
        <f>IF(ROUND(sales_data_1[[#This Row],[Profit_Margin]],2)=ROUND((sales_data_1[[#This Row],[Unit_Price]]*(1-sales_data_1[[#This Row],[Discount]]) - sales_data_1[[#This Row],[Unit_Cost]])*sales_data_1[[#This Row],[Quantity_Sold]],2), "PASS", "CHECK")</f>
        <v>PASS</v>
      </c>
    </row>
    <row r="2219" spans="1:20" x14ac:dyDescent="0.35">
      <c r="A2219" s="7">
        <v>2218</v>
      </c>
      <c r="B2219" s="9">
        <v>1075</v>
      </c>
      <c r="C2219" s="14" t="str">
        <f>IFERROR(_xlfn.TEXTJOIN("-", TRUE, _xlfn.XLOOKUP(K2219, product_category_id_lookup!$A$2:$A$5, product_category_id_lookup!$B$2:$B$5), B2219), "Unknown Category")</f>
        <v>fnt-1075</v>
      </c>
      <c r="D2219" s="8">
        <v>45324</v>
      </c>
      <c r="E2219" s="14">
        <f t="shared" si="102"/>
        <v>2024</v>
      </c>
      <c r="F2219" s="29" t="str">
        <f t="shared" si="103"/>
        <v>Feb</v>
      </c>
      <c r="G2219" s="17" t="s">
        <v>14</v>
      </c>
      <c r="H2219" s="17" t="s">
        <v>15</v>
      </c>
      <c r="I2219" s="24">
        <v>124877.22600000002</v>
      </c>
      <c r="J2219" s="32">
        <v>30</v>
      </c>
      <c r="K2219" s="17" t="s">
        <v>16</v>
      </c>
      <c r="L2219" s="24">
        <v>3922.85</v>
      </c>
      <c r="M2219" s="24">
        <v>5076.3100000000004</v>
      </c>
      <c r="N2219" s="34">
        <f>((sales_data_1[[#This Row],[Unit_Price]]*(1-sales_data_1[[#This Row],[Discount]]))-sales_data_1[[#This Row],[Unit_Cost]])*sales_data_1[[#This Row],[Quantity_Sold]]</f>
        <v>7191.7260000000306</v>
      </c>
      <c r="O2219" s="17" t="s">
        <v>17</v>
      </c>
      <c r="P2219" s="26">
        <v>0.18</v>
      </c>
      <c r="Q2219" s="17" t="s">
        <v>28</v>
      </c>
      <c r="R2219" s="17" t="s">
        <v>21</v>
      </c>
      <c r="S2219" s="50" t="str">
        <f t="shared" si="104"/>
        <v>Bob-North</v>
      </c>
      <c r="T2219" s="59" t="str">
        <f>IF(ROUND(sales_data_1[[#This Row],[Profit_Margin]],2)=ROUND((sales_data_1[[#This Row],[Unit_Price]]*(1-sales_data_1[[#This Row],[Discount]]) - sales_data_1[[#This Row],[Unit_Cost]])*sales_data_1[[#This Row],[Quantity_Sold]],2), "PASS", "CHECK")</f>
        <v>PASS</v>
      </c>
    </row>
    <row r="2220" spans="1:20" x14ac:dyDescent="0.35">
      <c r="A2220" s="7">
        <v>2219</v>
      </c>
      <c r="B2220" s="9">
        <v>1058</v>
      </c>
      <c r="C2220" s="14" t="str">
        <f>IFERROR(_xlfn.TEXTJOIN("-", TRUE, _xlfn.XLOOKUP(K2220, product_category_id_lookup!$A$2:$A$5, product_category_id_lookup!$B$2:$B$5), B2220), "Unknown Category")</f>
        <v>fnt-1058</v>
      </c>
      <c r="D2220" s="8">
        <v>45324</v>
      </c>
      <c r="E2220" s="14">
        <f t="shared" si="102"/>
        <v>2024</v>
      </c>
      <c r="F2220" s="29" t="str">
        <f t="shared" si="103"/>
        <v>Feb</v>
      </c>
      <c r="G2220" s="17" t="s">
        <v>14</v>
      </c>
      <c r="H2220" s="17" t="s">
        <v>20</v>
      </c>
      <c r="I2220" s="24">
        <v>129568.66650000001</v>
      </c>
      <c r="J2220" s="32">
        <v>35</v>
      </c>
      <c r="K2220" s="17" t="s">
        <v>16</v>
      </c>
      <c r="L2220" s="24">
        <v>3264.24</v>
      </c>
      <c r="M2220" s="24">
        <v>4068.09</v>
      </c>
      <c r="N2220" s="34">
        <f>((sales_data_1[[#This Row],[Unit_Price]]*(1-sales_data_1[[#This Row],[Discount]]))-sales_data_1[[#This Row],[Unit_Cost]])*sales_data_1[[#This Row],[Quantity_Sold]]</f>
        <v>15320.266500000016</v>
      </c>
      <c r="O2220" s="17" t="s">
        <v>27</v>
      </c>
      <c r="P2220" s="26">
        <v>0.09</v>
      </c>
      <c r="Q2220" s="17" t="s">
        <v>28</v>
      </c>
      <c r="R2220" s="17" t="s">
        <v>21</v>
      </c>
      <c r="S2220" s="50" t="str">
        <f t="shared" si="104"/>
        <v>Bob-West</v>
      </c>
      <c r="T2220" s="59" t="str">
        <f>IF(ROUND(sales_data_1[[#This Row],[Profit_Margin]],2)=ROUND((sales_data_1[[#This Row],[Unit_Price]]*(1-sales_data_1[[#This Row],[Discount]]) - sales_data_1[[#This Row],[Unit_Cost]])*sales_data_1[[#This Row],[Quantity_Sold]],2), "PASS", "CHECK")</f>
        <v>PASS</v>
      </c>
    </row>
    <row r="2221" spans="1:20" x14ac:dyDescent="0.35">
      <c r="A2221" s="7">
        <v>2220</v>
      </c>
      <c r="B2221" s="9">
        <v>1095</v>
      </c>
      <c r="C2221" s="14" t="str">
        <f>IFERROR(_xlfn.TEXTJOIN("-", TRUE, _xlfn.XLOOKUP(K2221, product_category_id_lookup!$A$2:$A$5, product_category_id_lookup!$B$2:$B$5), B2221), "Unknown Category")</f>
        <v>fnt-1095</v>
      </c>
      <c r="D2221" s="8">
        <v>45324</v>
      </c>
      <c r="E2221" s="14">
        <f t="shared" si="102"/>
        <v>2024</v>
      </c>
      <c r="F2221" s="29" t="str">
        <f t="shared" si="103"/>
        <v>Feb</v>
      </c>
      <c r="G2221" s="17" t="s">
        <v>22</v>
      </c>
      <c r="H2221" s="17" t="s">
        <v>15</v>
      </c>
      <c r="I2221" s="24">
        <v>36190.3122</v>
      </c>
      <c r="J2221" s="32">
        <v>14</v>
      </c>
      <c r="K2221" s="17" t="s">
        <v>16</v>
      </c>
      <c r="L2221" s="24">
        <v>521.53</v>
      </c>
      <c r="M2221" s="24">
        <v>2971.29</v>
      </c>
      <c r="N2221" s="34">
        <f>((sales_data_1[[#This Row],[Unit_Price]]*(1-sales_data_1[[#This Row],[Discount]]))-sales_data_1[[#This Row],[Unit_Cost]])*sales_data_1[[#This Row],[Quantity_Sold]]</f>
        <v>28888.892199999998</v>
      </c>
      <c r="O2221" s="17" t="s">
        <v>27</v>
      </c>
      <c r="P2221" s="26">
        <v>0.13</v>
      </c>
      <c r="Q2221" s="17" t="s">
        <v>25</v>
      </c>
      <c r="R2221" s="17" t="s">
        <v>21</v>
      </c>
      <c r="S2221" s="50" t="str">
        <f t="shared" si="104"/>
        <v>David-North</v>
      </c>
      <c r="T2221" s="59" t="str">
        <f>IF(ROUND(sales_data_1[[#This Row],[Profit_Margin]],2)=ROUND((sales_data_1[[#This Row],[Unit_Price]]*(1-sales_data_1[[#This Row],[Discount]]) - sales_data_1[[#This Row],[Unit_Cost]])*sales_data_1[[#This Row],[Quantity_Sold]],2), "PASS", "CHECK")</f>
        <v>PASS</v>
      </c>
    </row>
    <row r="2222" spans="1:20" x14ac:dyDescent="0.35">
      <c r="A2222" s="7">
        <v>2221</v>
      </c>
      <c r="B2222" s="9">
        <v>1054</v>
      </c>
      <c r="C2222" s="14" t="str">
        <f>IFERROR(_xlfn.TEXTJOIN("-", TRUE, _xlfn.XLOOKUP(K2222, product_category_id_lookup!$A$2:$A$5, product_category_id_lookup!$B$2:$B$5), B2222), "Unknown Category")</f>
        <v>fnt-1054</v>
      </c>
      <c r="D2222" s="8">
        <v>45324</v>
      </c>
      <c r="E2222" s="14">
        <f t="shared" si="102"/>
        <v>2024</v>
      </c>
      <c r="F2222" s="29" t="str">
        <f t="shared" si="103"/>
        <v>Feb</v>
      </c>
      <c r="G2222" s="17" t="s">
        <v>22</v>
      </c>
      <c r="H2222" s="17" t="s">
        <v>15</v>
      </c>
      <c r="I2222" s="24">
        <v>41711.779199999997</v>
      </c>
      <c r="J2222" s="32">
        <v>13</v>
      </c>
      <c r="K2222" s="17" t="s">
        <v>16</v>
      </c>
      <c r="L2222" s="24">
        <v>404.39</v>
      </c>
      <c r="M2222" s="24">
        <v>3819.76</v>
      </c>
      <c r="N2222" s="34">
        <f>((sales_data_1[[#This Row],[Unit_Price]]*(1-sales_data_1[[#This Row],[Discount]]))-sales_data_1[[#This Row],[Unit_Cost]])*sales_data_1[[#This Row],[Quantity_Sold]]</f>
        <v>36454.709199999998</v>
      </c>
      <c r="O2222" s="17" t="s">
        <v>27</v>
      </c>
      <c r="P2222" s="26">
        <v>0.16</v>
      </c>
      <c r="Q2222" s="17" t="s">
        <v>25</v>
      </c>
      <c r="R2222" s="17" t="s">
        <v>21</v>
      </c>
      <c r="S2222" s="50" t="str">
        <f t="shared" si="104"/>
        <v>David-North</v>
      </c>
      <c r="T2222" s="59" t="str">
        <f>IF(ROUND(sales_data_1[[#This Row],[Profit_Margin]],2)=ROUND((sales_data_1[[#This Row],[Unit_Price]]*(1-sales_data_1[[#This Row],[Discount]]) - sales_data_1[[#This Row],[Unit_Cost]])*sales_data_1[[#This Row],[Quantity_Sold]],2), "PASS", "CHECK")</f>
        <v>PASS</v>
      </c>
    </row>
    <row r="2223" spans="1:20" x14ac:dyDescent="0.35">
      <c r="A2223" s="7">
        <v>2222</v>
      </c>
      <c r="B2223" s="9">
        <v>1099</v>
      </c>
      <c r="C2223" s="14" t="str">
        <f>IFERROR(_xlfn.TEXTJOIN("-", TRUE, _xlfn.XLOOKUP(K2223, product_category_id_lookup!$A$2:$A$5, product_category_id_lookup!$B$2:$B$5), B2223), "Unknown Category")</f>
        <v>fnt-1099</v>
      </c>
      <c r="D2223" s="8">
        <v>45325</v>
      </c>
      <c r="E2223" s="14">
        <f t="shared" si="102"/>
        <v>2024</v>
      </c>
      <c r="F2223" s="29" t="str">
        <f t="shared" si="103"/>
        <v>Feb</v>
      </c>
      <c r="G2223" s="17" t="s">
        <v>32</v>
      </c>
      <c r="H2223" s="17" t="s">
        <v>20</v>
      </c>
      <c r="I2223" s="24">
        <v>47834.215199999999</v>
      </c>
      <c r="J2223" s="32">
        <v>12</v>
      </c>
      <c r="K2223" s="17" t="s">
        <v>16</v>
      </c>
      <c r="L2223" s="24">
        <v>3254.51</v>
      </c>
      <c r="M2223" s="24">
        <v>4286.22</v>
      </c>
      <c r="N2223" s="34">
        <f>((sales_data_1[[#This Row],[Unit_Price]]*(1-sales_data_1[[#This Row],[Discount]]))-sales_data_1[[#This Row],[Unit_Cost]])*sales_data_1[[#This Row],[Quantity_Sold]]</f>
        <v>8780.0951999999979</v>
      </c>
      <c r="O2223" s="17" t="s">
        <v>27</v>
      </c>
      <c r="P2223" s="26">
        <v>7.0000000000000007E-2</v>
      </c>
      <c r="Q2223" s="17" t="s">
        <v>25</v>
      </c>
      <c r="R2223" s="17" t="s">
        <v>21</v>
      </c>
      <c r="S2223" s="50" t="str">
        <f t="shared" si="104"/>
        <v>Eve-West</v>
      </c>
      <c r="T2223" s="59" t="str">
        <f>IF(ROUND(sales_data_1[[#This Row],[Profit_Margin]],2)=ROUND((sales_data_1[[#This Row],[Unit_Price]]*(1-sales_data_1[[#This Row],[Discount]]) - sales_data_1[[#This Row],[Unit_Cost]])*sales_data_1[[#This Row],[Quantity_Sold]],2), "PASS", "CHECK")</f>
        <v>PASS</v>
      </c>
    </row>
    <row r="2224" spans="1:20" x14ac:dyDescent="0.35">
      <c r="A2224" s="7">
        <v>2223</v>
      </c>
      <c r="B2224" s="9">
        <v>1087</v>
      </c>
      <c r="C2224" s="14" t="str">
        <f>IFERROR(_xlfn.TEXTJOIN("-", TRUE, _xlfn.XLOOKUP(K2224, product_category_id_lookup!$A$2:$A$5, product_category_id_lookup!$B$2:$B$5), B2224), "Unknown Category")</f>
        <v>fnt-1087</v>
      </c>
      <c r="D2224" s="8">
        <v>45326</v>
      </c>
      <c r="E2224" s="14">
        <f t="shared" si="102"/>
        <v>2024</v>
      </c>
      <c r="F2224" s="29" t="str">
        <f t="shared" si="103"/>
        <v>Feb</v>
      </c>
      <c r="G2224" s="17" t="s">
        <v>33</v>
      </c>
      <c r="H2224" s="17" t="s">
        <v>23</v>
      </c>
      <c r="I2224" s="24">
        <v>4819.9329336516639</v>
      </c>
      <c r="J2224" s="32">
        <v>3</v>
      </c>
      <c r="K2224" s="17" t="s">
        <v>16</v>
      </c>
      <c r="L2224" s="24">
        <v>1489.81</v>
      </c>
      <c r="M2224" s="24">
        <v>1625.51</v>
      </c>
      <c r="N2224" s="34">
        <f>((sales_data_1[[#This Row],[Unit_Price]]*(1-sales_data_1[[#This Row],[Discount]]))-sales_data_1[[#This Row],[Unit_Cost]])*sales_data_1[[#This Row],[Quantity_Sold]]</f>
        <v>358.33469999999988</v>
      </c>
      <c r="O2224" s="17" t="s">
        <v>27</v>
      </c>
      <c r="P2224" s="26">
        <v>0.01</v>
      </c>
      <c r="Q2224" s="17" t="s">
        <v>25</v>
      </c>
      <c r="R2224" s="17" t="s">
        <v>21</v>
      </c>
      <c r="S2224" s="50" t="str">
        <f t="shared" si="104"/>
        <v>Alice-South</v>
      </c>
      <c r="T2224" s="59" t="str">
        <f>IF(ROUND(sales_data_1[[#This Row],[Profit_Margin]],2)=ROUND((sales_data_1[[#This Row],[Unit_Price]]*(1-sales_data_1[[#This Row],[Discount]]) - sales_data_1[[#This Row],[Unit_Cost]])*sales_data_1[[#This Row],[Quantity_Sold]],2), "PASS", "CHECK")</f>
        <v>PASS</v>
      </c>
    </row>
    <row r="2225" spans="1:20" x14ac:dyDescent="0.35">
      <c r="A2225" s="7">
        <v>2224</v>
      </c>
      <c r="B2225" s="9">
        <v>1091</v>
      </c>
      <c r="C2225" s="14" t="str">
        <f>IFERROR(_xlfn.TEXTJOIN("-", TRUE, _xlfn.XLOOKUP(K2225, product_category_id_lookup!$A$2:$A$5, product_category_id_lookup!$B$2:$B$5), B2225), "Unknown Category")</f>
        <v>ctg-1091</v>
      </c>
      <c r="D2225" s="8">
        <v>45326</v>
      </c>
      <c r="E2225" s="14">
        <f t="shared" si="102"/>
        <v>2024</v>
      </c>
      <c r="F2225" s="29" t="str">
        <f t="shared" si="103"/>
        <v>Feb</v>
      </c>
      <c r="G2225" s="17" t="s">
        <v>14</v>
      </c>
      <c r="H2225" s="17" t="s">
        <v>23</v>
      </c>
      <c r="I2225" s="24">
        <v>102133.06499999999</v>
      </c>
      <c r="J2225" s="32">
        <v>50</v>
      </c>
      <c r="K2225" s="17" t="s">
        <v>26</v>
      </c>
      <c r="L2225" s="24">
        <v>2000.02</v>
      </c>
      <c r="M2225" s="24">
        <v>2196.41</v>
      </c>
      <c r="N2225" s="34">
        <f>((sales_data_1[[#This Row],[Unit_Price]]*(1-sales_data_1[[#This Row],[Discount]]))-sales_data_1[[#This Row],[Unit_Cost]])*sales_data_1[[#This Row],[Quantity_Sold]]</f>
        <v>2132.0649999999887</v>
      </c>
      <c r="O2225" s="17" t="s">
        <v>17</v>
      </c>
      <c r="P2225" s="26">
        <v>7.0000000000000007E-2</v>
      </c>
      <c r="Q2225" s="17" t="s">
        <v>28</v>
      </c>
      <c r="R2225" s="17" t="s">
        <v>19</v>
      </c>
      <c r="S2225" s="50" t="str">
        <f t="shared" si="104"/>
        <v>Bob-South</v>
      </c>
      <c r="T2225" s="59" t="str">
        <f>IF(ROUND(sales_data_1[[#This Row],[Profit_Margin]],2)=ROUND((sales_data_1[[#This Row],[Unit_Price]]*(1-sales_data_1[[#This Row],[Discount]]) - sales_data_1[[#This Row],[Unit_Cost]])*sales_data_1[[#This Row],[Quantity_Sold]],2), "PASS", "CHECK")</f>
        <v>PASS</v>
      </c>
    </row>
    <row r="2226" spans="1:20" x14ac:dyDescent="0.35">
      <c r="A2226" s="7">
        <v>2225</v>
      </c>
      <c r="B2226" s="9">
        <v>1047</v>
      </c>
      <c r="C2226" s="14" t="str">
        <f>IFERROR(_xlfn.TEXTJOIN("-", TRUE, _xlfn.XLOOKUP(K2226, product_category_id_lookup!$A$2:$A$5, product_category_id_lookup!$B$2:$B$5), B2226), "Unknown Category")</f>
        <v>fd-1047</v>
      </c>
      <c r="D2226" s="8">
        <v>45326</v>
      </c>
      <c r="E2226" s="14">
        <f t="shared" si="102"/>
        <v>2024</v>
      </c>
      <c r="F2226" s="29" t="str">
        <f t="shared" si="103"/>
        <v>Feb</v>
      </c>
      <c r="G2226" s="17" t="s">
        <v>32</v>
      </c>
      <c r="H2226" s="17" t="s">
        <v>23</v>
      </c>
      <c r="I2226" s="24">
        <v>50708.736000000004</v>
      </c>
      <c r="J2226" s="32">
        <v>32</v>
      </c>
      <c r="K2226" s="17" t="s">
        <v>24</v>
      </c>
      <c r="L2226" s="24">
        <v>1197</v>
      </c>
      <c r="M2226" s="24">
        <v>1980.81</v>
      </c>
      <c r="N2226" s="34">
        <f>((sales_data_1[[#This Row],[Unit_Price]]*(1-sales_data_1[[#This Row],[Discount]]))-sales_data_1[[#This Row],[Unit_Cost]])*sales_data_1[[#This Row],[Quantity_Sold]]</f>
        <v>12404.736000000004</v>
      </c>
      <c r="O2226" s="17" t="s">
        <v>17</v>
      </c>
      <c r="P2226" s="26">
        <v>0.2</v>
      </c>
      <c r="Q2226" s="17" t="s">
        <v>25</v>
      </c>
      <c r="R2226" s="17" t="s">
        <v>19</v>
      </c>
      <c r="S2226" s="50" t="str">
        <f t="shared" si="104"/>
        <v>Eve-South</v>
      </c>
      <c r="T2226" s="59" t="str">
        <f>IF(ROUND(sales_data_1[[#This Row],[Profit_Margin]],2)=ROUND((sales_data_1[[#This Row],[Unit_Price]]*(1-sales_data_1[[#This Row],[Discount]]) - sales_data_1[[#This Row],[Unit_Cost]])*sales_data_1[[#This Row],[Quantity_Sold]],2), "PASS", "CHECK")</f>
        <v>PASS</v>
      </c>
    </row>
    <row r="2227" spans="1:20" x14ac:dyDescent="0.35">
      <c r="A2227" s="7">
        <v>2226</v>
      </c>
      <c r="B2227" s="9">
        <v>1020</v>
      </c>
      <c r="C2227" s="14" t="str">
        <f>IFERROR(_xlfn.TEXTJOIN("-", TRUE, _xlfn.XLOOKUP(K2227, product_category_id_lookup!$A$2:$A$5, product_category_id_lookup!$B$2:$B$5), B2227), "Unknown Category")</f>
        <v>ctg-1020</v>
      </c>
      <c r="D2227" s="8">
        <v>45326</v>
      </c>
      <c r="E2227" s="14">
        <f t="shared" si="102"/>
        <v>2024</v>
      </c>
      <c r="F2227" s="29" t="str">
        <f t="shared" si="103"/>
        <v>Feb</v>
      </c>
      <c r="G2227" s="17" t="s">
        <v>22</v>
      </c>
      <c r="H2227" s="17" t="s">
        <v>30</v>
      </c>
      <c r="I2227" s="24">
        <v>110635.88814819022</v>
      </c>
      <c r="J2227" s="32">
        <v>24</v>
      </c>
      <c r="K2227" s="17" t="s">
        <v>26</v>
      </c>
      <c r="L2227" s="24">
        <v>4086.84</v>
      </c>
      <c r="M2227" s="24">
        <v>4686.1400000000003</v>
      </c>
      <c r="N2227" s="34">
        <f>((sales_data_1[[#This Row],[Unit_Price]]*(1-sales_data_1[[#This Row],[Discount]]))-sales_data_1[[#This Row],[Unit_Cost]])*sales_data_1[[#This Row],[Quantity_Sold]]</f>
        <v>12133.852799999993</v>
      </c>
      <c r="O2227" s="17" t="s">
        <v>17</v>
      </c>
      <c r="P2227" s="26">
        <v>0.02</v>
      </c>
      <c r="Q2227" s="17" t="s">
        <v>25</v>
      </c>
      <c r="R2227" s="17" t="s">
        <v>19</v>
      </c>
      <c r="S2227" s="50" t="str">
        <f t="shared" si="104"/>
        <v>David-East</v>
      </c>
      <c r="T2227" s="59" t="str">
        <f>IF(ROUND(sales_data_1[[#This Row],[Profit_Margin]],2)=ROUND((sales_data_1[[#This Row],[Unit_Price]]*(1-sales_data_1[[#This Row],[Discount]]) - sales_data_1[[#This Row],[Unit_Cost]])*sales_data_1[[#This Row],[Quantity_Sold]],2), "PASS", "CHECK")</f>
        <v>PASS</v>
      </c>
    </row>
    <row r="2228" spans="1:20" x14ac:dyDescent="0.35">
      <c r="A2228" s="7">
        <v>2227</v>
      </c>
      <c r="B2228" s="9">
        <v>1013</v>
      </c>
      <c r="C2228" s="14" t="str">
        <f>IFERROR(_xlfn.TEXTJOIN("-", TRUE, _xlfn.XLOOKUP(K2228, product_category_id_lookup!$A$2:$A$5, product_category_id_lookup!$B$2:$B$5), B2228), "Unknown Category")</f>
        <v>ctg-1013</v>
      </c>
      <c r="D2228" s="8">
        <v>45326</v>
      </c>
      <c r="E2228" s="14">
        <f t="shared" si="102"/>
        <v>2024</v>
      </c>
      <c r="F2228" s="29" t="str">
        <f t="shared" si="103"/>
        <v>Feb</v>
      </c>
      <c r="G2228" s="17" t="s">
        <v>14</v>
      </c>
      <c r="H2228" s="17" t="s">
        <v>23</v>
      </c>
      <c r="I2228" s="24">
        <v>17137.2264</v>
      </c>
      <c r="J2228" s="32">
        <v>7</v>
      </c>
      <c r="K2228" s="17" t="s">
        <v>26</v>
      </c>
      <c r="L2228" s="24">
        <v>444.3</v>
      </c>
      <c r="M2228" s="24">
        <v>2661.06</v>
      </c>
      <c r="N2228" s="34">
        <f>((sales_data_1[[#This Row],[Unit_Price]]*(1-sales_data_1[[#This Row],[Discount]]))-sales_data_1[[#This Row],[Unit_Cost]])*sales_data_1[[#This Row],[Quantity_Sold]]</f>
        <v>14027.126400000001</v>
      </c>
      <c r="O2228" s="17" t="s">
        <v>17</v>
      </c>
      <c r="P2228" s="26">
        <v>0.08</v>
      </c>
      <c r="Q2228" s="17" t="s">
        <v>28</v>
      </c>
      <c r="R2228" s="17" t="s">
        <v>19</v>
      </c>
      <c r="S2228" s="50" t="str">
        <f t="shared" si="104"/>
        <v>Bob-South</v>
      </c>
      <c r="T2228" s="59" t="str">
        <f>IF(ROUND(sales_data_1[[#This Row],[Profit_Margin]],2)=ROUND((sales_data_1[[#This Row],[Unit_Price]]*(1-sales_data_1[[#This Row],[Discount]]) - sales_data_1[[#This Row],[Unit_Cost]])*sales_data_1[[#This Row],[Quantity_Sold]],2), "PASS", "CHECK")</f>
        <v>PASS</v>
      </c>
    </row>
    <row r="2229" spans="1:20" x14ac:dyDescent="0.35">
      <c r="A2229" s="7">
        <v>2228</v>
      </c>
      <c r="B2229" s="9">
        <v>1039</v>
      </c>
      <c r="C2229" s="14" t="str">
        <f>IFERROR(_xlfn.TEXTJOIN("-", TRUE, _xlfn.XLOOKUP(K2229, product_category_id_lookup!$A$2:$A$5, product_category_id_lookup!$B$2:$B$5), B2229), "Unknown Category")</f>
        <v>fd-1039</v>
      </c>
      <c r="D2229" s="8">
        <v>45326</v>
      </c>
      <c r="E2229" s="14">
        <f t="shared" si="102"/>
        <v>2024</v>
      </c>
      <c r="F2229" s="29" t="str">
        <f t="shared" si="103"/>
        <v>Feb</v>
      </c>
      <c r="G2229" s="17" t="s">
        <v>29</v>
      </c>
      <c r="H2229" s="17" t="s">
        <v>30</v>
      </c>
      <c r="I2229" s="24">
        <v>49038.36</v>
      </c>
      <c r="J2229" s="32">
        <v>21</v>
      </c>
      <c r="K2229" s="17" t="s">
        <v>24</v>
      </c>
      <c r="L2229" s="24">
        <v>1472.55</v>
      </c>
      <c r="M2229" s="24">
        <v>2335.16</v>
      </c>
      <c r="N2229" s="34">
        <f>((sales_data_1[[#This Row],[Unit_Price]]*(1-sales_data_1[[#This Row],[Discount]]))-sales_data_1[[#This Row],[Unit_Cost]])*sales_data_1[[#This Row],[Quantity_Sold]]</f>
        <v>18114.809999999998</v>
      </c>
      <c r="O2229" s="17" t="s">
        <v>27</v>
      </c>
      <c r="P2229" s="26">
        <v>0</v>
      </c>
      <c r="Q2229" s="17" t="s">
        <v>28</v>
      </c>
      <c r="R2229" s="17" t="s">
        <v>19</v>
      </c>
      <c r="S2229" s="50" t="str">
        <f t="shared" si="104"/>
        <v>Charlie-East</v>
      </c>
      <c r="T2229" s="59" t="str">
        <f>IF(ROUND(sales_data_1[[#This Row],[Profit_Margin]],2)=ROUND((sales_data_1[[#This Row],[Unit_Price]]*(1-sales_data_1[[#This Row],[Discount]]) - sales_data_1[[#This Row],[Unit_Cost]])*sales_data_1[[#This Row],[Quantity_Sold]],2), "PASS", "CHECK")</f>
        <v>PASS</v>
      </c>
    </row>
    <row r="2230" spans="1:20" x14ac:dyDescent="0.35">
      <c r="A2230" s="7">
        <v>2229</v>
      </c>
      <c r="B2230" s="9">
        <v>1018</v>
      </c>
      <c r="C2230" s="14" t="str">
        <f>IFERROR(_xlfn.TEXTJOIN("-", TRUE, _xlfn.XLOOKUP(K2230, product_category_id_lookup!$A$2:$A$5, product_category_id_lookup!$B$2:$B$5), B2230), "Unknown Category")</f>
        <v>ctg-1018</v>
      </c>
      <c r="D2230" s="8">
        <v>45326</v>
      </c>
      <c r="E2230" s="14">
        <f t="shared" si="102"/>
        <v>2024</v>
      </c>
      <c r="F2230" s="29" t="str">
        <f t="shared" si="103"/>
        <v>Feb</v>
      </c>
      <c r="G2230" s="17" t="s">
        <v>33</v>
      </c>
      <c r="H2230" s="17" t="s">
        <v>30</v>
      </c>
      <c r="I2230" s="24">
        <v>74092.841653190859</v>
      </c>
      <c r="J2230" s="32">
        <v>23</v>
      </c>
      <c r="K2230" s="17" t="s">
        <v>26</v>
      </c>
      <c r="L2230" s="24">
        <v>2362.2399999999998</v>
      </c>
      <c r="M2230" s="24">
        <v>3326.09</v>
      </c>
      <c r="N2230" s="34">
        <f>((sales_data_1[[#This Row],[Unit_Price]]*(1-sales_data_1[[#This Row],[Discount]]))-sales_data_1[[#This Row],[Unit_Cost]])*sales_data_1[[#This Row],[Quantity_Sold]]</f>
        <v>19873.547900000005</v>
      </c>
      <c r="O2230" s="17" t="s">
        <v>17</v>
      </c>
      <c r="P2230" s="26">
        <v>0.03</v>
      </c>
      <c r="Q2230" s="17" t="s">
        <v>18</v>
      </c>
      <c r="R2230" s="17" t="s">
        <v>19</v>
      </c>
      <c r="S2230" s="50" t="str">
        <f t="shared" si="104"/>
        <v>Alice-East</v>
      </c>
      <c r="T2230" s="59" t="str">
        <f>IF(ROUND(sales_data_1[[#This Row],[Profit_Margin]],2)=ROUND((sales_data_1[[#This Row],[Unit_Price]]*(1-sales_data_1[[#This Row],[Discount]]) - sales_data_1[[#This Row],[Unit_Cost]])*sales_data_1[[#This Row],[Quantity_Sold]],2), "PASS", "CHECK")</f>
        <v>PASS</v>
      </c>
    </row>
    <row r="2231" spans="1:20" x14ac:dyDescent="0.35">
      <c r="A2231" s="7">
        <v>2230</v>
      </c>
      <c r="B2231" s="9">
        <v>1047</v>
      </c>
      <c r="C2231" s="14" t="str">
        <f>IFERROR(_xlfn.TEXTJOIN("-", TRUE, _xlfn.XLOOKUP(K2231, product_category_id_lookup!$A$2:$A$5, product_category_id_lookup!$B$2:$B$5), B2231), "Unknown Category")</f>
        <v>ctg-1047</v>
      </c>
      <c r="D2231" s="8">
        <v>45327</v>
      </c>
      <c r="E2231" s="14">
        <f t="shared" si="102"/>
        <v>2024</v>
      </c>
      <c r="F2231" s="29" t="str">
        <f t="shared" si="103"/>
        <v>Feb</v>
      </c>
      <c r="G2231" s="17" t="s">
        <v>14</v>
      </c>
      <c r="H2231" s="17" t="s">
        <v>23</v>
      </c>
      <c r="I2231" s="24">
        <v>48406.312225979244</v>
      </c>
      <c r="J2231" s="32">
        <v>10</v>
      </c>
      <c r="K2231" s="17" t="s">
        <v>26</v>
      </c>
      <c r="L2231" s="24">
        <v>4817.5200000000004</v>
      </c>
      <c r="M2231" s="24">
        <v>4849.68</v>
      </c>
      <c r="N2231" s="34">
        <f>((sales_data_1[[#This Row],[Unit_Price]]*(1-sales_data_1[[#This Row],[Discount]]))-sales_data_1[[#This Row],[Unit_Cost]])*sales_data_1[[#This Row],[Quantity_Sold]]</f>
        <v>321.59999999999854</v>
      </c>
      <c r="O2231" s="17" t="s">
        <v>17</v>
      </c>
      <c r="P2231" s="26">
        <v>0</v>
      </c>
      <c r="Q2231" s="17" t="s">
        <v>28</v>
      </c>
      <c r="R2231" s="17" t="s">
        <v>21</v>
      </c>
      <c r="S2231" s="50" t="str">
        <f t="shared" si="104"/>
        <v>Bob-South</v>
      </c>
      <c r="T2231" s="59" t="str">
        <f>IF(ROUND(sales_data_1[[#This Row],[Profit_Margin]],2)=ROUND((sales_data_1[[#This Row],[Unit_Price]]*(1-sales_data_1[[#This Row],[Discount]]) - sales_data_1[[#This Row],[Unit_Cost]])*sales_data_1[[#This Row],[Quantity_Sold]],2), "PASS", "CHECK")</f>
        <v>PASS</v>
      </c>
    </row>
    <row r="2232" spans="1:20" x14ac:dyDescent="0.35">
      <c r="A2232" s="7">
        <v>2231</v>
      </c>
      <c r="B2232" s="9">
        <v>1067</v>
      </c>
      <c r="C2232" s="14" t="str">
        <f>IFERROR(_xlfn.TEXTJOIN("-", TRUE, _xlfn.XLOOKUP(K2232, product_category_id_lookup!$A$2:$A$5, product_category_id_lookup!$B$2:$B$5), B2232), "Unknown Category")</f>
        <v>fd-1067</v>
      </c>
      <c r="D2232" s="8">
        <v>45327</v>
      </c>
      <c r="E2232" s="14">
        <f t="shared" si="102"/>
        <v>2024</v>
      </c>
      <c r="F2232" s="29" t="str">
        <f t="shared" si="103"/>
        <v>Feb</v>
      </c>
      <c r="G2232" s="17" t="s">
        <v>32</v>
      </c>
      <c r="H2232" s="17" t="s">
        <v>15</v>
      </c>
      <c r="I2232" s="24">
        <v>5738.5146000000004</v>
      </c>
      <c r="J2232" s="32">
        <v>2</v>
      </c>
      <c r="K2232" s="17" t="s">
        <v>24</v>
      </c>
      <c r="L2232" s="24">
        <v>476.45</v>
      </c>
      <c r="M2232" s="24">
        <v>3153.03</v>
      </c>
      <c r="N2232" s="34">
        <f>((sales_data_1[[#This Row],[Unit_Price]]*(1-sales_data_1[[#This Row],[Discount]]))-sales_data_1[[#This Row],[Unit_Cost]])*sales_data_1[[#This Row],[Quantity_Sold]]</f>
        <v>4785.6146000000008</v>
      </c>
      <c r="O2232" s="17" t="s">
        <v>17</v>
      </c>
      <c r="P2232" s="26">
        <v>0.09</v>
      </c>
      <c r="Q2232" s="17" t="s">
        <v>28</v>
      </c>
      <c r="R2232" s="17" t="s">
        <v>21</v>
      </c>
      <c r="S2232" s="50" t="str">
        <f t="shared" si="104"/>
        <v>Eve-North</v>
      </c>
      <c r="T2232" s="59" t="str">
        <f>IF(ROUND(sales_data_1[[#This Row],[Profit_Margin]],2)=ROUND((sales_data_1[[#This Row],[Unit_Price]]*(1-sales_data_1[[#This Row],[Discount]]) - sales_data_1[[#This Row],[Unit_Cost]])*sales_data_1[[#This Row],[Quantity_Sold]],2), "PASS", "CHECK")</f>
        <v>PASS</v>
      </c>
    </row>
    <row r="2233" spans="1:20" x14ac:dyDescent="0.35">
      <c r="A2233" s="7">
        <v>2232</v>
      </c>
      <c r="B2233" s="9">
        <v>1025</v>
      </c>
      <c r="C2233" s="14" t="str">
        <f>IFERROR(_xlfn.TEXTJOIN("-", TRUE, _xlfn.XLOOKUP(K2233, product_category_id_lookup!$A$2:$A$5, product_category_id_lookup!$B$2:$B$5), B2233), "Unknown Category")</f>
        <v>fnt-1025</v>
      </c>
      <c r="D2233" s="8">
        <v>45327</v>
      </c>
      <c r="E2233" s="14">
        <f t="shared" si="102"/>
        <v>2024</v>
      </c>
      <c r="F2233" s="29" t="str">
        <f t="shared" si="103"/>
        <v>Feb</v>
      </c>
      <c r="G2233" s="17" t="s">
        <v>33</v>
      </c>
      <c r="H2233" s="17" t="s">
        <v>30</v>
      </c>
      <c r="I2233" s="24">
        <v>17230.401000000002</v>
      </c>
      <c r="J2233" s="32">
        <v>5</v>
      </c>
      <c r="K2233" s="17" t="s">
        <v>16</v>
      </c>
      <c r="L2233" s="24">
        <v>1973.25</v>
      </c>
      <c r="M2233" s="24">
        <v>4254.42</v>
      </c>
      <c r="N2233" s="34">
        <f>((sales_data_1[[#This Row],[Unit_Price]]*(1-sales_data_1[[#This Row],[Discount]]))-sales_data_1[[#This Row],[Unit_Cost]])*sales_data_1[[#This Row],[Quantity_Sold]]</f>
        <v>7364.1510000000017</v>
      </c>
      <c r="O2233" s="17" t="s">
        <v>27</v>
      </c>
      <c r="P2233" s="26">
        <v>0.19</v>
      </c>
      <c r="Q2233" s="17" t="s">
        <v>28</v>
      </c>
      <c r="R2233" s="17" t="s">
        <v>19</v>
      </c>
      <c r="S2233" s="50" t="str">
        <f t="shared" si="104"/>
        <v>Alice-East</v>
      </c>
      <c r="T2233" s="59" t="str">
        <f>IF(ROUND(sales_data_1[[#This Row],[Profit_Margin]],2)=ROUND((sales_data_1[[#This Row],[Unit_Price]]*(1-sales_data_1[[#This Row],[Discount]]) - sales_data_1[[#This Row],[Unit_Cost]])*sales_data_1[[#This Row],[Quantity_Sold]],2), "PASS", "CHECK")</f>
        <v>PASS</v>
      </c>
    </row>
    <row r="2234" spans="1:20" x14ac:dyDescent="0.35">
      <c r="A2234" s="7">
        <v>2233</v>
      </c>
      <c r="B2234" s="9">
        <v>1099</v>
      </c>
      <c r="C2234" s="14" t="str">
        <f>IFERROR(_xlfn.TEXTJOIN("-", TRUE, _xlfn.XLOOKUP(K2234, product_category_id_lookup!$A$2:$A$5, product_category_id_lookup!$B$2:$B$5), B2234), "Unknown Category")</f>
        <v>etc-1099</v>
      </c>
      <c r="D2234" s="8">
        <v>45327</v>
      </c>
      <c r="E2234" s="14">
        <f t="shared" si="102"/>
        <v>2024</v>
      </c>
      <c r="F2234" s="29" t="str">
        <f t="shared" si="103"/>
        <v>Feb</v>
      </c>
      <c r="G2234" s="17" t="s">
        <v>32</v>
      </c>
      <c r="H2234" s="17" t="s">
        <v>30</v>
      </c>
      <c r="I2234" s="24">
        <v>17422.4264</v>
      </c>
      <c r="J2234" s="32">
        <v>4</v>
      </c>
      <c r="K2234" s="17" t="s">
        <v>31</v>
      </c>
      <c r="L2234" s="24">
        <v>1630.95</v>
      </c>
      <c r="M2234" s="24">
        <v>4893.9399999999996</v>
      </c>
      <c r="N2234" s="34">
        <f>((sales_data_1[[#This Row],[Unit_Price]]*(1-sales_data_1[[#This Row],[Discount]]))-sales_data_1[[#This Row],[Unit_Cost]])*sales_data_1[[#This Row],[Quantity_Sold]]</f>
        <v>10898.626400000001</v>
      </c>
      <c r="O2234" s="17" t="s">
        <v>27</v>
      </c>
      <c r="P2234" s="26">
        <v>0.11</v>
      </c>
      <c r="Q2234" s="17" t="s">
        <v>18</v>
      </c>
      <c r="R2234" s="17" t="s">
        <v>19</v>
      </c>
      <c r="S2234" s="50" t="str">
        <f t="shared" si="104"/>
        <v>Eve-East</v>
      </c>
      <c r="T2234" s="59" t="str">
        <f>IF(ROUND(sales_data_1[[#This Row],[Profit_Margin]],2)=ROUND((sales_data_1[[#This Row],[Unit_Price]]*(1-sales_data_1[[#This Row],[Discount]]) - sales_data_1[[#This Row],[Unit_Cost]])*sales_data_1[[#This Row],[Quantity_Sold]],2), "PASS", "CHECK")</f>
        <v>PASS</v>
      </c>
    </row>
    <row r="2235" spans="1:20" x14ac:dyDescent="0.35">
      <c r="A2235" s="7">
        <v>2234</v>
      </c>
      <c r="B2235" s="9">
        <v>1002</v>
      </c>
      <c r="C2235" s="14" t="str">
        <f>IFERROR(_xlfn.TEXTJOIN("-", TRUE, _xlfn.XLOOKUP(K2235, product_category_id_lookup!$A$2:$A$5, product_category_id_lookup!$B$2:$B$5), B2235), "Unknown Category")</f>
        <v>etc-1002</v>
      </c>
      <c r="D2235" s="8">
        <v>45327</v>
      </c>
      <c r="E2235" s="14">
        <f t="shared" si="102"/>
        <v>2024</v>
      </c>
      <c r="F2235" s="29" t="str">
        <f t="shared" si="103"/>
        <v>Feb</v>
      </c>
      <c r="G2235" s="17" t="s">
        <v>33</v>
      </c>
      <c r="H2235" s="17" t="s">
        <v>15</v>
      </c>
      <c r="I2235" s="24">
        <v>96584.65</v>
      </c>
      <c r="J2235" s="32">
        <v>50</v>
      </c>
      <c r="K2235" s="17" t="s">
        <v>31</v>
      </c>
      <c r="L2235" s="24">
        <v>940.64</v>
      </c>
      <c r="M2235" s="24">
        <v>2272.58</v>
      </c>
      <c r="N2235" s="34">
        <f>((sales_data_1[[#This Row],[Unit_Price]]*(1-sales_data_1[[#This Row],[Discount]]))-sales_data_1[[#This Row],[Unit_Cost]])*sales_data_1[[#This Row],[Quantity_Sold]]</f>
        <v>49552.65</v>
      </c>
      <c r="O2235" s="17" t="s">
        <v>27</v>
      </c>
      <c r="P2235" s="26">
        <v>0.15</v>
      </c>
      <c r="Q2235" s="17" t="s">
        <v>25</v>
      </c>
      <c r="R2235" s="17" t="s">
        <v>19</v>
      </c>
      <c r="S2235" s="50" t="str">
        <f t="shared" si="104"/>
        <v>Alice-North</v>
      </c>
      <c r="T2235" s="59" t="str">
        <f>IF(ROUND(sales_data_1[[#This Row],[Profit_Margin]],2)=ROUND((sales_data_1[[#This Row],[Unit_Price]]*(1-sales_data_1[[#This Row],[Discount]]) - sales_data_1[[#This Row],[Unit_Cost]])*sales_data_1[[#This Row],[Quantity_Sold]],2), "PASS", "CHECK")</f>
        <v>PASS</v>
      </c>
    </row>
    <row r="2236" spans="1:20" x14ac:dyDescent="0.35">
      <c r="A2236" s="7">
        <v>2235</v>
      </c>
      <c r="B2236" s="9">
        <v>1094</v>
      </c>
      <c r="C2236" s="14" t="str">
        <f>IFERROR(_xlfn.TEXTJOIN("-", TRUE, _xlfn.XLOOKUP(K2236, product_category_id_lookup!$A$2:$A$5, product_category_id_lookup!$B$2:$B$5), B2236), "Unknown Category")</f>
        <v>etc-1094</v>
      </c>
      <c r="D2236" s="8">
        <v>45328</v>
      </c>
      <c r="E2236" s="14">
        <f t="shared" si="102"/>
        <v>2024</v>
      </c>
      <c r="F2236" s="29" t="str">
        <f t="shared" si="103"/>
        <v>Feb</v>
      </c>
      <c r="G2236" s="17" t="s">
        <v>33</v>
      </c>
      <c r="H2236" s="17" t="s">
        <v>30</v>
      </c>
      <c r="I2236" s="24">
        <v>119695.40355102655</v>
      </c>
      <c r="J2236" s="32">
        <v>29</v>
      </c>
      <c r="K2236" s="17" t="s">
        <v>31</v>
      </c>
      <c r="L2236" s="24">
        <v>4065.37</v>
      </c>
      <c r="M2236" s="24">
        <v>4206.54</v>
      </c>
      <c r="N2236" s="34">
        <f>((sales_data_1[[#This Row],[Unit_Price]]*(1-sales_data_1[[#This Row],[Discount]]))-sales_data_1[[#This Row],[Unit_Cost]])*sales_data_1[[#This Row],[Quantity_Sold]]</f>
        <v>1654.1368000000048</v>
      </c>
      <c r="O2236" s="17" t="s">
        <v>17</v>
      </c>
      <c r="P2236" s="26">
        <v>0.02</v>
      </c>
      <c r="Q2236" s="17" t="s">
        <v>25</v>
      </c>
      <c r="R2236" s="17" t="s">
        <v>19</v>
      </c>
      <c r="S2236" s="50" t="str">
        <f t="shared" si="104"/>
        <v>Alice-East</v>
      </c>
      <c r="T2236" s="59" t="str">
        <f>IF(ROUND(sales_data_1[[#This Row],[Profit_Margin]],2)=ROUND((sales_data_1[[#This Row],[Unit_Price]]*(1-sales_data_1[[#This Row],[Discount]]) - sales_data_1[[#This Row],[Unit_Cost]])*sales_data_1[[#This Row],[Quantity_Sold]],2), "PASS", "CHECK")</f>
        <v>PASS</v>
      </c>
    </row>
    <row r="2237" spans="1:20" x14ac:dyDescent="0.35">
      <c r="A2237" s="7">
        <v>2236</v>
      </c>
      <c r="B2237" s="9">
        <v>1038</v>
      </c>
      <c r="C2237" s="14" t="str">
        <f>IFERROR(_xlfn.TEXTJOIN("-", TRUE, _xlfn.XLOOKUP(K2237, product_category_id_lookup!$A$2:$A$5, product_category_id_lookup!$B$2:$B$5), B2237), "Unknown Category")</f>
        <v>fnt-1038</v>
      </c>
      <c r="D2237" s="8">
        <v>45328</v>
      </c>
      <c r="E2237" s="14">
        <f t="shared" si="102"/>
        <v>2024</v>
      </c>
      <c r="F2237" s="29" t="str">
        <f t="shared" si="103"/>
        <v>Feb</v>
      </c>
      <c r="G2237" s="17" t="s">
        <v>33</v>
      </c>
      <c r="H2237" s="17" t="s">
        <v>15</v>
      </c>
      <c r="I2237" s="24">
        <v>82408.320000000007</v>
      </c>
      <c r="J2237" s="32">
        <v>20</v>
      </c>
      <c r="K2237" s="17" t="s">
        <v>16</v>
      </c>
      <c r="L2237" s="24">
        <v>3537.6</v>
      </c>
      <c r="M2237" s="24">
        <v>4578.24</v>
      </c>
      <c r="N2237" s="34">
        <f>((sales_data_1[[#This Row],[Unit_Price]]*(1-sales_data_1[[#This Row],[Discount]]))-sales_data_1[[#This Row],[Unit_Cost]])*sales_data_1[[#This Row],[Quantity_Sold]]</f>
        <v>11656.320000000005</v>
      </c>
      <c r="O2237" s="17" t="s">
        <v>27</v>
      </c>
      <c r="P2237" s="26">
        <v>0.1</v>
      </c>
      <c r="Q2237" s="17" t="s">
        <v>28</v>
      </c>
      <c r="R2237" s="17" t="s">
        <v>19</v>
      </c>
      <c r="S2237" s="50" t="str">
        <f t="shared" si="104"/>
        <v>Alice-North</v>
      </c>
      <c r="T2237" s="59" t="str">
        <f>IF(ROUND(sales_data_1[[#This Row],[Profit_Margin]],2)=ROUND((sales_data_1[[#This Row],[Unit_Price]]*(1-sales_data_1[[#This Row],[Discount]]) - sales_data_1[[#This Row],[Unit_Cost]])*sales_data_1[[#This Row],[Quantity_Sold]],2), "PASS", "CHECK")</f>
        <v>PASS</v>
      </c>
    </row>
    <row r="2238" spans="1:20" x14ac:dyDescent="0.35">
      <c r="A2238" s="7">
        <v>2237</v>
      </c>
      <c r="B2238" s="9">
        <v>1034</v>
      </c>
      <c r="C2238" s="14" t="str">
        <f>IFERROR(_xlfn.TEXTJOIN("-", TRUE, _xlfn.XLOOKUP(K2238, product_category_id_lookup!$A$2:$A$5, product_category_id_lookup!$B$2:$B$5), B2238), "Unknown Category")</f>
        <v>etc-1034</v>
      </c>
      <c r="D2238" s="8">
        <v>45328</v>
      </c>
      <c r="E2238" s="14">
        <f t="shared" si="102"/>
        <v>2024</v>
      </c>
      <c r="F2238" s="29" t="str">
        <f t="shared" si="103"/>
        <v>Feb</v>
      </c>
      <c r="G2238" s="17" t="s">
        <v>32</v>
      </c>
      <c r="H2238" s="17" t="s">
        <v>20</v>
      </c>
      <c r="I2238" s="24">
        <v>85257.813599999994</v>
      </c>
      <c r="J2238" s="32">
        <v>27</v>
      </c>
      <c r="K2238" s="17" t="s">
        <v>31</v>
      </c>
      <c r="L2238" s="24">
        <v>2568.7600000000002</v>
      </c>
      <c r="M2238" s="24">
        <v>4385.6899999999996</v>
      </c>
      <c r="N2238" s="34">
        <f>((sales_data_1[[#This Row],[Unit_Price]]*(1-sales_data_1[[#This Row],[Discount]]))-sales_data_1[[#This Row],[Unit_Cost]])*sales_data_1[[#This Row],[Quantity_Sold]]</f>
        <v>15901.293599999986</v>
      </c>
      <c r="O2238" s="17" t="s">
        <v>27</v>
      </c>
      <c r="P2238" s="26">
        <v>0.28000000000000003</v>
      </c>
      <c r="Q2238" s="17" t="s">
        <v>18</v>
      </c>
      <c r="R2238" s="17" t="s">
        <v>19</v>
      </c>
      <c r="S2238" s="50" t="str">
        <f t="shared" si="104"/>
        <v>Eve-West</v>
      </c>
      <c r="T2238" s="59" t="str">
        <f>IF(ROUND(sales_data_1[[#This Row],[Profit_Margin]],2)=ROUND((sales_data_1[[#This Row],[Unit_Price]]*(1-sales_data_1[[#This Row],[Discount]]) - sales_data_1[[#This Row],[Unit_Cost]])*sales_data_1[[#This Row],[Quantity_Sold]],2), "PASS", "CHECK")</f>
        <v>PASS</v>
      </c>
    </row>
    <row r="2239" spans="1:20" x14ac:dyDescent="0.35">
      <c r="A2239" s="7">
        <v>2238</v>
      </c>
      <c r="B2239" s="9">
        <v>1043</v>
      </c>
      <c r="C2239" s="14" t="str">
        <f>IFERROR(_xlfn.TEXTJOIN("-", TRUE, _xlfn.XLOOKUP(K2239, product_category_id_lookup!$A$2:$A$5, product_category_id_lookup!$B$2:$B$5), B2239), "Unknown Category")</f>
        <v>ctg-1043</v>
      </c>
      <c r="D2239" s="8">
        <v>45329</v>
      </c>
      <c r="E2239" s="14">
        <f t="shared" si="102"/>
        <v>2024</v>
      </c>
      <c r="F2239" s="29" t="str">
        <f t="shared" si="103"/>
        <v>Feb</v>
      </c>
      <c r="G2239" s="17" t="s">
        <v>22</v>
      </c>
      <c r="H2239" s="17" t="s">
        <v>15</v>
      </c>
      <c r="I2239" s="24">
        <v>219416.12</v>
      </c>
      <c r="J2239" s="32">
        <v>49</v>
      </c>
      <c r="K2239" s="17" t="s">
        <v>26</v>
      </c>
      <c r="L2239" s="24">
        <v>4347.1000000000004</v>
      </c>
      <c r="M2239" s="24">
        <v>4477.88</v>
      </c>
      <c r="N2239" s="34">
        <f>((sales_data_1[[#This Row],[Unit_Price]]*(1-sales_data_1[[#This Row],[Discount]]))-sales_data_1[[#This Row],[Unit_Cost]])*sales_data_1[[#This Row],[Quantity_Sold]]</f>
        <v>6408.2199999999875</v>
      </c>
      <c r="O2239" s="17" t="s">
        <v>27</v>
      </c>
      <c r="P2239" s="26">
        <v>0</v>
      </c>
      <c r="Q2239" s="17" t="s">
        <v>25</v>
      </c>
      <c r="R2239" s="17" t="s">
        <v>19</v>
      </c>
      <c r="S2239" s="50" t="str">
        <f t="shared" si="104"/>
        <v>David-North</v>
      </c>
      <c r="T2239" s="59" t="str">
        <f>IF(ROUND(sales_data_1[[#This Row],[Profit_Margin]],2)=ROUND((sales_data_1[[#This Row],[Unit_Price]]*(1-sales_data_1[[#This Row],[Discount]]) - sales_data_1[[#This Row],[Unit_Cost]])*sales_data_1[[#This Row],[Quantity_Sold]],2), "PASS", "CHECK")</f>
        <v>PASS</v>
      </c>
    </row>
    <row r="2240" spans="1:20" x14ac:dyDescent="0.35">
      <c r="A2240" s="7">
        <v>2239</v>
      </c>
      <c r="B2240" s="9">
        <v>1010</v>
      </c>
      <c r="C2240" s="14" t="str">
        <f>IFERROR(_xlfn.TEXTJOIN("-", TRUE, _xlfn.XLOOKUP(K2240, product_category_id_lookup!$A$2:$A$5, product_category_id_lookup!$B$2:$B$5), B2240), "Unknown Category")</f>
        <v>fnt-1010</v>
      </c>
      <c r="D2240" s="8">
        <v>45329</v>
      </c>
      <c r="E2240" s="14">
        <f t="shared" si="102"/>
        <v>2024</v>
      </c>
      <c r="F2240" s="29" t="str">
        <f t="shared" si="103"/>
        <v>Feb</v>
      </c>
      <c r="G2240" s="17" t="s">
        <v>29</v>
      </c>
      <c r="H2240" s="17" t="s">
        <v>23</v>
      </c>
      <c r="I2240" s="24">
        <v>71024.728500000012</v>
      </c>
      <c r="J2240" s="32">
        <v>15</v>
      </c>
      <c r="K2240" s="17" t="s">
        <v>16</v>
      </c>
      <c r="L2240" s="24">
        <v>3526.94</v>
      </c>
      <c r="M2240" s="24">
        <v>4782.8100000000004</v>
      </c>
      <c r="N2240" s="34">
        <f>((sales_data_1[[#This Row],[Unit_Price]]*(1-sales_data_1[[#This Row],[Discount]]))-sales_data_1[[#This Row],[Unit_Cost]])*sales_data_1[[#This Row],[Quantity_Sold]]</f>
        <v>18120.62850000001</v>
      </c>
      <c r="O2240" s="17" t="s">
        <v>27</v>
      </c>
      <c r="P2240" s="26">
        <v>0.01</v>
      </c>
      <c r="Q2240" s="17" t="s">
        <v>18</v>
      </c>
      <c r="R2240" s="17" t="s">
        <v>19</v>
      </c>
      <c r="S2240" s="50" t="str">
        <f t="shared" si="104"/>
        <v>Charlie-South</v>
      </c>
      <c r="T2240" s="59" t="str">
        <f>IF(ROUND(sales_data_1[[#This Row],[Profit_Margin]],2)=ROUND((sales_data_1[[#This Row],[Unit_Price]]*(1-sales_data_1[[#This Row],[Discount]]) - sales_data_1[[#This Row],[Unit_Cost]])*sales_data_1[[#This Row],[Quantity_Sold]],2), "PASS", "CHECK")</f>
        <v>PASS</v>
      </c>
    </row>
    <row r="2241" spans="1:20" x14ac:dyDescent="0.35">
      <c r="A2241" s="7">
        <v>2240</v>
      </c>
      <c r="B2241" s="9">
        <v>1072</v>
      </c>
      <c r="C2241" s="14" t="str">
        <f>IFERROR(_xlfn.TEXTJOIN("-", TRUE, _xlfn.XLOOKUP(K2241, product_category_id_lookup!$A$2:$A$5, product_category_id_lookup!$B$2:$B$5), B2241), "Unknown Category")</f>
        <v>fnt-1072</v>
      </c>
      <c r="D2241" s="8">
        <v>45329</v>
      </c>
      <c r="E2241" s="14">
        <f t="shared" si="102"/>
        <v>2024</v>
      </c>
      <c r="F2241" s="29" t="str">
        <f t="shared" si="103"/>
        <v>Feb</v>
      </c>
      <c r="G2241" s="17" t="s">
        <v>22</v>
      </c>
      <c r="H2241" s="17" t="s">
        <v>30</v>
      </c>
      <c r="I2241" s="24">
        <v>140201.28</v>
      </c>
      <c r="J2241" s="32">
        <v>36</v>
      </c>
      <c r="K2241" s="17" t="s">
        <v>16</v>
      </c>
      <c r="L2241" s="24">
        <v>1600.01</v>
      </c>
      <c r="M2241" s="24">
        <v>4056.75</v>
      </c>
      <c r="N2241" s="34">
        <f>((sales_data_1[[#This Row],[Unit_Price]]*(1-sales_data_1[[#This Row],[Discount]]))-sales_data_1[[#This Row],[Unit_Cost]])*sales_data_1[[#This Row],[Quantity_Sold]]</f>
        <v>82600.920000000013</v>
      </c>
      <c r="O2241" s="17" t="s">
        <v>17</v>
      </c>
      <c r="P2241" s="26">
        <v>0.04</v>
      </c>
      <c r="Q2241" s="17" t="s">
        <v>28</v>
      </c>
      <c r="R2241" s="17" t="s">
        <v>21</v>
      </c>
      <c r="S2241" s="50" t="str">
        <f t="shared" si="104"/>
        <v>David-East</v>
      </c>
      <c r="T2241" s="59" t="str">
        <f>IF(ROUND(sales_data_1[[#This Row],[Profit_Margin]],2)=ROUND((sales_data_1[[#This Row],[Unit_Price]]*(1-sales_data_1[[#This Row],[Discount]]) - sales_data_1[[#This Row],[Unit_Cost]])*sales_data_1[[#This Row],[Quantity_Sold]],2), "PASS", "CHECK")</f>
        <v>PASS</v>
      </c>
    </row>
    <row r="2242" spans="1:20" x14ac:dyDescent="0.35">
      <c r="A2242" s="7">
        <v>2241</v>
      </c>
      <c r="B2242" s="9">
        <v>1065</v>
      </c>
      <c r="C2242" s="14" t="str">
        <f>IFERROR(_xlfn.TEXTJOIN("-", TRUE, _xlfn.XLOOKUP(K2242, product_category_id_lookup!$A$2:$A$5, product_category_id_lookup!$B$2:$B$5), B2242), "Unknown Category")</f>
        <v>fnt-1065</v>
      </c>
      <c r="D2242" s="8">
        <v>45330</v>
      </c>
      <c r="E2242" s="14">
        <f t="shared" ref="E2242:E2305" si="105">YEAR(D2242)</f>
        <v>2024</v>
      </c>
      <c r="F2242" s="29" t="str">
        <f t="shared" ref="F2242:F2305" si="106">LEFT(TEXT(D2242,"mmmm"),3)</f>
        <v>Feb</v>
      </c>
      <c r="G2242" s="17" t="s">
        <v>33</v>
      </c>
      <c r="H2242" s="17" t="s">
        <v>23</v>
      </c>
      <c r="I2242" s="24">
        <v>23158.227599999998</v>
      </c>
      <c r="J2242" s="32">
        <v>6</v>
      </c>
      <c r="K2242" s="17" t="s">
        <v>16</v>
      </c>
      <c r="L2242" s="24">
        <v>1492.56</v>
      </c>
      <c r="M2242" s="24">
        <v>4150.22</v>
      </c>
      <c r="N2242" s="34">
        <f>((sales_data_1[[#This Row],[Unit_Price]]*(1-sales_data_1[[#This Row],[Discount]]))-sales_data_1[[#This Row],[Unit_Cost]])*sales_data_1[[#This Row],[Quantity_Sold]]</f>
        <v>14202.867600000001</v>
      </c>
      <c r="O2242" s="17" t="s">
        <v>27</v>
      </c>
      <c r="P2242" s="26">
        <v>7.0000000000000007E-2</v>
      </c>
      <c r="Q2242" s="17" t="s">
        <v>28</v>
      </c>
      <c r="R2242" s="17" t="s">
        <v>19</v>
      </c>
      <c r="S2242" s="50" t="str">
        <f t="shared" ref="S2242:S2305" si="107">_xlfn.CONCAT(G2242,"-",H2242)</f>
        <v>Alice-South</v>
      </c>
      <c r="T2242" s="59" t="str">
        <f>IF(ROUND(sales_data_1[[#This Row],[Profit_Margin]],2)=ROUND((sales_data_1[[#This Row],[Unit_Price]]*(1-sales_data_1[[#This Row],[Discount]]) - sales_data_1[[#This Row],[Unit_Cost]])*sales_data_1[[#This Row],[Quantity_Sold]],2), "PASS", "CHECK")</f>
        <v>PASS</v>
      </c>
    </row>
    <row r="2243" spans="1:20" x14ac:dyDescent="0.35">
      <c r="A2243" s="7">
        <v>2242</v>
      </c>
      <c r="B2243" s="9">
        <v>1072</v>
      </c>
      <c r="C2243" s="14" t="str">
        <f>IFERROR(_xlfn.TEXTJOIN("-", TRUE, _xlfn.XLOOKUP(K2243, product_category_id_lookup!$A$2:$A$5, product_category_id_lookup!$B$2:$B$5), B2243), "Unknown Category")</f>
        <v>etc-1072</v>
      </c>
      <c r="D2243" s="8">
        <v>45330</v>
      </c>
      <c r="E2243" s="14">
        <f t="shared" si="105"/>
        <v>2024</v>
      </c>
      <c r="F2243" s="29" t="str">
        <f t="shared" si="106"/>
        <v>Feb</v>
      </c>
      <c r="G2243" s="17" t="s">
        <v>14</v>
      </c>
      <c r="H2243" s="17" t="s">
        <v>20</v>
      </c>
      <c r="I2243" s="24">
        <v>36776.207999999999</v>
      </c>
      <c r="J2243" s="32">
        <v>21</v>
      </c>
      <c r="K2243" s="17" t="s">
        <v>31</v>
      </c>
      <c r="L2243" s="24">
        <v>936.27</v>
      </c>
      <c r="M2243" s="24">
        <v>2189.06</v>
      </c>
      <c r="N2243" s="34">
        <f>((sales_data_1[[#This Row],[Unit_Price]]*(1-sales_data_1[[#This Row],[Discount]]))-sales_data_1[[#This Row],[Unit_Cost]])*sales_data_1[[#This Row],[Quantity_Sold]]</f>
        <v>17114.538</v>
      </c>
      <c r="O2243" s="17" t="s">
        <v>17</v>
      </c>
      <c r="P2243" s="26">
        <v>0.2</v>
      </c>
      <c r="Q2243" s="17" t="s">
        <v>28</v>
      </c>
      <c r="R2243" s="17" t="s">
        <v>21</v>
      </c>
      <c r="S2243" s="50" t="str">
        <f t="shared" si="107"/>
        <v>Bob-West</v>
      </c>
      <c r="T2243" s="59" t="str">
        <f>IF(ROUND(sales_data_1[[#This Row],[Profit_Margin]],2)=ROUND((sales_data_1[[#This Row],[Unit_Price]]*(1-sales_data_1[[#This Row],[Discount]]) - sales_data_1[[#This Row],[Unit_Cost]])*sales_data_1[[#This Row],[Quantity_Sold]],2), "PASS", "CHECK")</f>
        <v>PASS</v>
      </c>
    </row>
    <row r="2244" spans="1:20" x14ac:dyDescent="0.35">
      <c r="A2244" s="7">
        <v>2243</v>
      </c>
      <c r="B2244" s="9">
        <v>1054</v>
      </c>
      <c r="C2244" s="14" t="str">
        <f>IFERROR(_xlfn.TEXTJOIN("-", TRUE, _xlfn.XLOOKUP(K2244, product_category_id_lookup!$A$2:$A$5, product_category_id_lookup!$B$2:$B$5), B2244), "Unknown Category")</f>
        <v>fd-1054</v>
      </c>
      <c r="D2244" s="8">
        <v>45330</v>
      </c>
      <c r="E2244" s="14">
        <f t="shared" si="105"/>
        <v>2024</v>
      </c>
      <c r="F2244" s="29" t="str">
        <f t="shared" si="106"/>
        <v>Feb</v>
      </c>
      <c r="G2244" s="17" t="s">
        <v>33</v>
      </c>
      <c r="H2244" s="17" t="s">
        <v>23</v>
      </c>
      <c r="I2244" s="24">
        <v>59412.847999999998</v>
      </c>
      <c r="J2244" s="32">
        <v>20</v>
      </c>
      <c r="K2244" s="17" t="s">
        <v>24</v>
      </c>
      <c r="L2244" s="24">
        <v>1907.22</v>
      </c>
      <c r="M2244" s="24">
        <v>3908.74</v>
      </c>
      <c r="N2244" s="34">
        <f>((sales_data_1[[#This Row],[Unit_Price]]*(1-sales_data_1[[#This Row],[Discount]]))-sales_data_1[[#This Row],[Unit_Cost]])*sales_data_1[[#This Row],[Quantity_Sold]]</f>
        <v>21268.447999999993</v>
      </c>
      <c r="O2244" s="17" t="s">
        <v>17</v>
      </c>
      <c r="P2244" s="26">
        <v>0.24</v>
      </c>
      <c r="Q2244" s="17" t="s">
        <v>25</v>
      </c>
      <c r="R2244" s="17" t="s">
        <v>21</v>
      </c>
      <c r="S2244" s="50" t="str">
        <f t="shared" si="107"/>
        <v>Alice-South</v>
      </c>
      <c r="T2244" s="59" t="str">
        <f>IF(ROUND(sales_data_1[[#This Row],[Profit_Margin]],2)=ROUND((sales_data_1[[#This Row],[Unit_Price]]*(1-sales_data_1[[#This Row],[Discount]]) - sales_data_1[[#This Row],[Unit_Cost]])*sales_data_1[[#This Row],[Quantity_Sold]],2), "PASS", "CHECK")</f>
        <v>PASS</v>
      </c>
    </row>
    <row r="2245" spans="1:20" x14ac:dyDescent="0.35">
      <c r="A2245" s="7">
        <v>2244</v>
      </c>
      <c r="B2245" s="9">
        <v>1083</v>
      </c>
      <c r="C2245" s="14" t="str">
        <f>IFERROR(_xlfn.TEXTJOIN("-", TRUE, _xlfn.XLOOKUP(K2245, product_category_id_lookup!$A$2:$A$5, product_category_id_lookup!$B$2:$B$5), B2245), "Unknown Category")</f>
        <v>fd-1083</v>
      </c>
      <c r="D2245" s="8">
        <v>45331</v>
      </c>
      <c r="E2245" s="14">
        <f t="shared" si="105"/>
        <v>2024</v>
      </c>
      <c r="F2245" s="29" t="str">
        <f t="shared" si="106"/>
        <v>Feb</v>
      </c>
      <c r="G2245" s="17" t="s">
        <v>33</v>
      </c>
      <c r="H2245" s="17" t="s">
        <v>20</v>
      </c>
      <c r="I2245" s="24">
        <v>19053.256321706613</v>
      </c>
      <c r="J2245" s="32">
        <v>4</v>
      </c>
      <c r="K2245" s="17" t="s">
        <v>24</v>
      </c>
      <c r="L2245" s="24">
        <v>4448.95</v>
      </c>
      <c r="M2245" s="24">
        <v>4939.7</v>
      </c>
      <c r="N2245" s="34">
        <f>((sales_data_1[[#This Row],[Unit_Price]]*(1-sales_data_1[[#This Row],[Discount]]))-sales_data_1[[#This Row],[Unit_Cost]])*sales_data_1[[#This Row],[Quantity_Sold]]</f>
        <v>1172.648000000001</v>
      </c>
      <c r="O2245" s="17" t="s">
        <v>17</v>
      </c>
      <c r="P2245" s="26">
        <v>0.04</v>
      </c>
      <c r="Q2245" s="17" t="s">
        <v>18</v>
      </c>
      <c r="R2245" s="17" t="s">
        <v>21</v>
      </c>
      <c r="S2245" s="50" t="str">
        <f t="shared" si="107"/>
        <v>Alice-West</v>
      </c>
      <c r="T2245" s="59" t="str">
        <f>IF(ROUND(sales_data_1[[#This Row],[Profit_Margin]],2)=ROUND((sales_data_1[[#This Row],[Unit_Price]]*(1-sales_data_1[[#This Row],[Discount]]) - sales_data_1[[#This Row],[Unit_Cost]])*sales_data_1[[#This Row],[Quantity_Sold]],2), "PASS", "CHECK")</f>
        <v>PASS</v>
      </c>
    </row>
    <row r="2246" spans="1:20" x14ac:dyDescent="0.35">
      <c r="A2246" s="7">
        <v>2245</v>
      </c>
      <c r="B2246" s="9">
        <v>1016</v>
      </c>
      <c r="C2246" s="14" t="str">
        <f>IFERROR(_xlfn.TEXTJOIN("-", TRUE, _xlfn.XLOOKUP(K2246, product_category_id_lookup!$A$2:$A$5, product_category_id_lookup!$B$2:$B$5), B2246), "Unknown Category")</f>
        <v>fd-1016</v>
      </c>
      <c r="D2246" s="8">
        <v>45331</v>
      </c>
      <c r="E2246" s="14">
        <f t="shared" si="105"/>
        <v>2024</v>
      </c>
      <c r="F2246" s="29" t="str">
        <f t="shared" si="106"/>
        <v>Feb</v>
      </c>
      <c r="G2246" s="17" t="s">
        <v>33</v>
      </c>
      <c r="H2246" s="17" t="s">
        <v>23</v>
      </c>
      <c r="I2246" s="24">
        <v>15365.113499999999</v>
      </c>
      <c r="J2246" s="32">
        <v>5</v>
      </c>
      <c r="K2246" s="17" t="s">
        <v>24</v>
      </c>
      <c r="L2246" s="24">
        <v>1600.5</v>
      </c>
      <c r="M2246" s="24">
        <v>3532.21</v>
      </c>
      <c r="N2246" s="34">
        <f>((sales_data_1[[#This Row],[Unit_Price]]*(1-sales_data_1[[#This Row],[Discount]]))-sales_data_1[[#This Row],[Unit_Cost]])*sales_data_1[[#This Row],[Quantity_Sold]]</f>
        <v>7362.6134999999995</v>
      </c>
      <c r="O2246" s="17" t="s">
        <v>27</v>
      </c>
      <c r="P2246" s="26">
        <v>0.13</v>
      </c>
      <c r="Q2246" s="17" t="s">
        <v>18</v>
      </c>
      <c r="R2246" s="17" t="s">
        <v>19</v>
      </c>
      <c r="S2246" s="50" t="str">
        <f t="shared" si="107"/>
        <v>Alice-South</v>
      </c>
      <c r="T2246" s="59" t="str">
        <f>IF(ROUND(sales_data_1[[#This Row],[Profit_Margin]],2)=ROUND((sales_data_1[[#This Row],[Unit_Price]]*(1-sales_data_1[[#This Row],[Discount]]) - sales_data_1[[#This Row],[Unit_Cost]])*sales_data_1[[#This Row],[Quantity_Sold]],2), "PASS", "CHECK")</f>
        <v>PASS</v>
      </c>
    </row>
    <row r="2247" spans="1:20" x14ac:dyDescent="0.35">
      <c r="A2247" s="7">
        <v>2246</v>
      </c>
      <c r="B2247" s="9">
        <v>1094</v>
      </c>
      <c r="C2247" s="14" t="str">
        <f>IFERROR(_xlfn.TEXTJOIN("-", TRUE, _xlfn.XLOOKUP(K2247, product_category_id_lookup!$A$2:$A$5, product_category_id_lookup!$B$2:$B$5), B2247), "Unknown Category")</f>
        <v>etc-1094</v>
      </c>
      <c r="D2247" s="8">
        <v>45331</v>
      </c>
      <c r="E2247" s="14">
        <f t="shared" si="105"/>
        <v>2024</v>
      </c>
      <c r="F2247" s="29" t="str">
        <f t="shared" si="106"/>
        <v>Feb</v>
      </c>
      <c r="G2247" s="17" t="s">
        <v>22</v>
      </c>
      <c r="H2247" s="17" t="s">
        <v>20</v>
      </c>
      <c r="I2247" s="24">
        <v>95376.317479504534</v>
      </c>
      <c r="J2247" s="32">
        <v>34</v>
      </c>
      <c r="K2247" s="17" t="s">
        <v>31</v>
      </c>
      <c r="L2247" s="24">
        <v>2361.0100000000002</v>
      </c>
      <c r="M2247" s="24">
        <v>2843.12</v>
      </c>
      <c r="N2247" s="34">
        <f>((sales_data_1[[#This Row],[Unit_Price]]*(1-sales_data_1[[#This Row],[Discount]]))-sales_data_1[[#This Row],[Unit_Cost]])*sales_data_1[[#This Row],[Quantity_Sold]]</f>
        <v>15425.079199999989</v>
      </c>
      <c r="O2247" s="17" t="s">
        <v>17</v>
      </c>
      <c r="P2247" s="26">
        <v>0.01</v>
      </c>
      <c r="Q2247" s="17" t="s">
        <v>25</v>
      </c>
      <c r="R2247" s="17" t="s">
        <v>21</v>
      </c>
      <c r="S2247" s="50" t="str">
        <f t="shared" si="107"/>
        <v>David-West</v>
      </c>
      <c r="T2247" s="59" t="str">
        <f>IF(ROUND(sales_data_1[[#This Row],[Profit_Margin]],2)=ROUND((sales_data_1[[#This Row],[Unit_Price]]*(1-sales_data_1[[#This Row],[Discount]]) - sales_data_1[[#This Row],[Unit_Cost]])*sales_data_1[[#This Row],[Quantity_Sold]],2), "PASS", "CHECK")</f>
        <v>PASS</v>
      </c>
    </row>
    <row r="2248" spans="1:20" x14ac:dyDescent="0.35">
      <c r="A2248" s="7">
        <v>2247</v>
      </c>
      <c r="B2248" s="9">
        <v>1069</v>
      </c>
      <c r="C2248" s="14" t="str">
        <f>IFERROR(_xlfn.TEXTJOIN("-", TRUE, _xlfn.XLOOKUP(K2248, product_category_id_lookup!$A$2:$A$5, product_category_id_lookup!$B$2:$B$5), B2248), "Unknown Category")</f>
        <v>fd-1069</v>
      </c>
      <c r="D2248" s="8">
        <v>45332</v>
      </c>
      <c r="E2248" s="14">
        <f t="shared" si="105"/>
        <v>2024</v>
      </c>
      <c r="F2248" s="29" t="str">
        <f t="shared" si="106"/>
        <v>Feb</v>
      </c>
      <c r="G2248" s="17" t="s">
        <v>32</v>
      </c>
      <c r="H2248" s="17" t="s">
        <v>15</v>
      </c>
      <c r="I2248" s="24">
        <v>12543.1065</v>
      </c>
      <c r="J2248" s="32">
        <v>19</v>
      </c>
      <c r="K2248" s="17" t="s">
        <v>24</v>
      </c>
      <c r="L2248" s="24">
        <v>566.91</v>
      </c>
      <c r="M2248" s="24">
        <v>835.65</v>
      </c>
      <c r="N2248" s="34">
        <f>((sales_data_1[[#This Row],[Unit_Price]]*(1-sales_data_1[[#This Row],[Discount]]))-sales_data_1[[#This Row],[Unit_Cost]])*sales_data_1[[#This Row],[Quantity_Sold]]</f>
        <v>1771.8165000000006</v>
      </c>
      <c r="O2248" s="17" t="s">
        <v>17</v>
      </c>
      <c r="P2248" s="26">
        <v>0.21</v>
      </c>
      <c r="Q2248" s="17" t="s">
        <v>18</v>
      </c>
      <c r="R2248" s="17" t="s">
        <v>19</v>
      </c>
      <c r="S2248" s="50" t="str">
        <f t="shared" si="107"/>
        <v>Eve-North</v>
      </c>
      <c r="T2248" s="59" t="str">
        <f>IF(ROUND(sales_data_1[[#This Row],[Profit_Margin]],2)=ROUND((sales_data_1[[#This Row],[Unit_Price]]*(1-sales_data_1[[#This Row],[Discount]]) - sales_data_1[[#This Row],[Unit_Cost]])*sales_data_1[[#This Row],[Quantity_Sold]],2), "PASS", "CHECK")</f>
        <v>PASS</v>
      </c>
    </row>
    <row r="2249" spans="1:20" x14ac:dyDescent="0.35">
      <c r="A2249" s="7">
        <v>2248</v>
      </c>
      <c r="B2249" s="9">
        <v>1034</v>
      </c>
      <c r="C2249" s="14" t="str">
        <f>IFERROR(_xlfn.TEXTJOIN("-", TRUE, _xlfn.XLOOKUP(K2249, product_category_id_lookup!$A$2:$A$5, product_category_id_lookup!$B$2:$B$5), B2249), "Unknown Category")</f>
        <v>fd-1034</v>
      </c>
      <c r="D2249" s="8">
        <v>45332</v>
      </c>
      <c r="E2249" s="14">
        <f t="shared" si="105"/>
        <v>2024</v>
      </c>
      <c r="F2249" s="29" t="str">
        <f t="shared" si="106"/>
        <v>Feb</v>
      </c>
      <c r="G2249" s="17" t="s">
        <v>33</v>
      </c>
      <c r="H2249" s="17" t="s">
        <v>15</v>
      </c>
      <c r="I2249" s="24">
        <v>7783.921800000001</v>
      </c>
      <c r="J2249" s="32">
        <v>2</v>
      </c>
      <c r="K2249" s="17" t="s">
        <v>24</v>
      </c>
      <c r="L2249" s="24">
        <v>2609.5700000000002</v>
      </c>
      <c r="M2249" s="24">
        <v>4804.8900000000003</v>
      </c>
      <c r="N2249" s="34">
        <f>((sales_data_1[[#This Row],[Unit_Price]]*(1-sales_data_1[[#This Row],[Discount]]))-sales_data_1[[#This Row],[Unit_Cost]])*sales_data_1[[#This Row],[Quantity_Sold]]</f>
        <v>2564.7818000000007</v>
      </c>
      <c r="O2249" s="17" t="s">
        <v>27</v>
      </c>
      <c r="P2249" s="26">
        <v>0.19</v>
      </c>
      <c r="Q2249" s="17" t="s">
        <v>25</v>
      </c>
      <c r="R2249" s="17" t="s">
        <v>21</v>
      </c>
      <c r="S2249" s="50" t="str">
        <f t="shared" si="107"/>
        <v>Alice-North</v>
      </c>
      <c r="T2249" s="59" t="str">
        <f>IF(ROUND(sales_data_1[[#This Row],[Profit_Margin]],2)=ROUND((sales_data_1[[#This Row],[Unit_Price]]*(1-sales_data_1[[#This Row],[Discount]]) - sales_data_1[[#This Row],[Unit_Cost]])*sales_data_1[[#This Row],[Quantity_Sold]],2), "PASS", "CHECK")</f>
        <v>PASS</v>
      </c>
    </row>
    <row r="2250" spans="1:20" x14ac:dyDescent="0.35">
      <c r="A2250" s="7">
        <v>2249</v>
      </c>
      <c r="B2250" s="9">
        <v>1025</v>
      </c>
      <c r="C2250" s="14" t="str">
        <f>IFERROR(_xlfn.TEXTJOIN("-", TRUE, _xlfn.XLOOKUP(K2250, product_category_id_lookup!$A$2:$A$5, product_category_id_lookup!$B$2:$B$5), B2250), "Unknown Category")</f>
        <v>etc-1025</v>
      </c>
      <c r="D2250" s="8">
        <v>45332</v>
      </c>
      <c r="E2250" s="14">
        <f t="shared" si="105"/>
        <v>2024</v>
      </c>
      <c r="F2250" s="29" t="str">
        <f t="shared" si="106"/>
        <v>Feb</v>
      </c>
      <c r="G2250" s="17" t="s">
        <v>32</v>
      </c>
      <c r="H2250" s="17" t="s">
        <v>20</v>
      </c>
      <c r="I2250" s="24">
        <v>59336.867720591705</v>
      </c>
      <c r="J2250" s="32">
        <v>15</v>
      </c>
      <c r="K2250" s="17" t="s">
        <v>31</v>
      </c>
      <c r="L2250" s="24">
        <v>3258.02</v>
      </c>
      <c r="M2250" s="24">
        <v>3972.5</v>
      </c>
      <c r="N2250" s="34">
        <f>((sales_data_1[[#This Row],[Unit_Price]]*(1-sales_data_1[[#This Row],[Discount]]))-sales_data_1[[#This Row],[Unit_Cost]])*sales_data_1[[#This Row],[Quantity_Sold]]</f>
        <v>10717.2</v>
      </c>
      <c r="O2250" s="17" t="s">
        <v>17</v>
      </c>
      <c r="P2250" s="26">
        <v>0</v>
      </c>
      <c r="Q2250" s="17" t="s">
        <v>25</v>
      </c>
      <c r="R2250" s="17" t="s">
        <v>21</v>
      </c>
      <c r="S2250" s="50" t="str">
        <f t="shared" si="107"/>
        <v>Eve-West</v>
      </c>
      <c r="T2250" s="59" t="str">
        <f>IF(ROUND(sales_data_1[[#This Row],[Profit_Margin]],2)=ROUND((sales_data_1[[#This Row],[Unit_Price]]*(1-sales_data_1[[#This Row],[Discount]]) - sales_data_1[[#This Row],[Unit_Cost]])*sales_data_1[[#This Row],[Quantity_Sold]],2), "PASS", "CHECK")</f>
        <v>PASS</v>
      </c>
    </row>
    <row r="2251" spans="1:20" x14ac:dyDescent="0.35">
      <c r="A2251" s="7">
        <v>2250</v>
      </c>
      <c r="B2251" s="9">
        <v>1027</v>
      </c>
      <c r="C2251" s="14" t="str">
        <f>IFERROR(_xlfn.TEXTJOIN("-", TRUE, _xlfn.XLOOKUP(K2251, product_category_id_lookup!$A$2:$A$5, product_category_id_lookup!$B$2:$B$5), B2251), "Unknown Category")</f>
        <v>ctg-1027</v>
      </c>
      <c r="D2251" s="8">
        <v>45332</v>
      </c>
      <c r="E2251" s="14">
        <f t="shared" si="105"/>
        <v>2024</v>
      </c>
      <c r="F2251" s="29" t="str">
        <f t="shared" si="106"/>
        <v>Feb</v>
      </c>
      <c r="G2251" s="17" t="s">
        <v>33</v>
      </c>
      <c r="H2251" s="17" t="s">
        <v>15</v>
      </c>
      <c r="I2251" s="24">
        <v>73598.011599999998</v>
      </c>
      <c r="J2251" s="32">
        <v>17</v>
      </c>
      <c r="K2251" s="17" t="s">
        <v>26</v>
      </c>
      <c r="L2251" s="24">
        <v>2434</v>
      </c>
      <c r="M2251" s="24">
        <v>5480.12</v>
      </c>
      <c r="N2251" s="34">
        <f>((sales_data_1[[#This Row],[Unit_Price]]*(1-sales_data_1[[#This Row],[Discount]]))-sales_data_1[[#This Row],[Unit_Cost]])*sales_data_1[[#This Row],[Quantity_Sold]]</f>
        <v>32220.011599999994</v>
      </c>
      <c r="O2251" s="17" t="s">
        <v>17</v>
      </c>
      <c r="P2251" s="26">
        <v>0.21</v>
      </c>
      <c r="Q2251" s="17" t="s">
        <v>25</v>
      </c>
      <c r="R2251" s="17" t="s">
        <v>19</v>
      </c>
      <c r="S2251" s="50" t="str">
        <f t="shared" si="107"/>
        <v>Alice-North</v>
      </c>
      <c r="T2251" s="59" t="str">
        <f>IF(ROUND(sales_data_1[[#This Row],[Profit_Margin]],2)=ROUND((sales_data_1[[#This Row],[Unit_Price]]*(1-sales_data_1[[#This Row],[Discount]]) - sales_data_1[[#This Row],[Unit_Cost]])*sales_data_1[[#This Row],[Quantity_Sold]],2), "PASS", "CHECK")</f>
        <v>PASS</v>
      </c>
    </row>
    <row r="2252" spans="1:20" x14ac:dyDescent="0.35">
      <c r="A2252" s="7">
        <v>2251</v>
      </c>
      <c r="B2252" s="9">
        <v>1018</v>
      </c>
      <c r="C2252" s="14" t="str">
        <f>IFERROR(_xlfn.TEXTJOIN("-", TRUE, _xlfn.XLOOKUP(K2252, product_category_id_lookup!$A$2:$A$5, product_category_id_lookup!$B$2:$B$5), B2252), "Unknown Category")</f>
        <v>fnt-1018</v>
      </c>
      <c r="D2252" s="8">
        <v>45332</v>
      </c>
      <c r="E2252" s="14">
        <f t="shared" si="105"/>
        <v>2024</v>
      </c>
      <c r="F2252" s="29" t="str">
        <f t="shared" si="106"/>
        <v>Feb</v>
      </c>
      <c r="G2252" s="17" t="s">
        <v>33</v>
      </c>
      <c r="H2252" s="17" t="s">
        <v>15</v>
      </c>
      <c r="I2252" s="24">
        <v>66454.403399999996</v>
      </c>
      <c r="J2252" s="32">
        <v>18</v>
      </c>
      <c r="K2252" s="17" t="s">
        <v>16</v>
      </c>
      <c r="L2252" s="24">
        <v>1403.87</v>
      </c>
      <c r="M2252" s="24">
        <v>4794.6899999999996</v>
      </c>
      <c r="N2252" s="34">
        <f>((sales_data_1[[#This Row],[Unit_Price]]*(1-sales_data_1[[#This Row],[Discount]]))-sales_data_1[[#This Row],[Unit_Cost]])*sales_data_1[[#This Row],[Quantity_Sold]]</f>
        <v>41184.743399999999</v>
      </c>
      <c r="O2252" s="17" t="s">
        <v>27</v>
      </c>
      <c r="P2252" s="26">
        <v>0.23</v>
      </c>
      <c r="Q2252" s="17" t="s">
        <v>25</v>
      </c>
      <c r="R2252" s="17" t="s">
        <v>21</v>
      </c>
      <c r="S2252" s="50" t="str">
        <f t="shared" si="107"/>
        <v>Alice-North</v>
      </c>
      <c r="T2252" s="59" t="str">
        <f>IF(ROUND(sales_data_1[[#This Row],[Profit_Margin]],2)=ROUND((sales_data_1[[#This Row],[Unit_Price]]*(1-sales_data_1[[#This Row],[Discount]]) - sales_data_1[[#This Row],[Unit_Cost]])*sales_data_1[[#This Row],[Quantity_Sold]],2), "PASS", "CHECK")</f>
        <v>PASS</v>
      </c>
    </row>
    <row r="2253" spans="1:20" x14ac:dyDescent="0.35">
      <c r="A2253" s="7">
        <v>2252</v>
      </c>
      <c r="B2253" s="9">
        <v>1044</v>
      </c>
      <c r="C2253" s="14" t="str">
        <f>IFERROR(_xlfn.TEXTJOIN("-", TRUE, _xlfn.XLOOKUP(K2253, product_category_id_lookup!$A$2:$A$5, product_category_id_lookup!$B$2:$B$5), B2253), "Unknown Category")</f>
        <v>fnt-1044</v>
      </c>
      <c r="D2253" s="8">
        <v>45333</v>
      </c>
      <c r="E2253" s="14">
        <f t="shared" si="105"/>
        <v>2024</v>
      </c>
      <c r="F2253" s="29" t="str">
        <f t="shared" si="106"/>
        <v>Feb</v>
      </c>
      <c r="G2253" s="17" t="s">
        <v>22</v>
      </c>
      <c r="H2253" s="17" t="s">
        <v>15</v>
      </c>
      <c r="I2253" s="24">
        <v>119480.32607388806</v>
      </c>
      <c r="J2253" s="32">
        <v>45</v>
      </c>
      <c r="K2253" s="17" t="s">
        <v>16</v>
      </c>
      <c r="L2253" s="24">
        <v>2631.62</v>
      </c>
      <c r="M2253" s="24">
        <v>2703.39</v>
      </c>
      <c r="N2253" s="34">
        <f>((sales_data_1[[#This Row],[Unit_Price]]*(1-sales_data_1[[#This Row],[Discount]]))-sales_data_1[[#This Row],[Unit_Cost]])*sales_data_1[[#This Row],[Quantity_Sold]]</f>
        <v>796.59899999998743</v>
      </c>
      <c r="O2253" s="17" t="s">
        <v>27</v>
      </c>
      <c r="P2253" s="26">
        <v>0.02</v>
      </c>
      <c r="Q2253" s="17" t="s">
        <v>28</v>
      </c>
      <c r="R2253" s="17" t="s">
        <v>19</v>
      </c>
      <c r="S2253" s="50" t="str">
        <f t="shared" si="107"/>
        <v>David-North</v>
      </c>
      <c r="T2253" s="59" t="str">
        <f>IF(ROUND(sales_data_1[[#This Row],[Profit_Margin]],2)=ROUND((sales_data_1[[#This Row],[Unit_Price]]*(1-sales_data_1[[#This Row],[Discount]]) - sales_data_1[[#This Row],[Unit_Cost]])*sales_data_1[[#This Row],[Quantity_Sold]],2), "PASS", "CHECK")</f>
        <v>PASS</v>
      </c>
    </row>
    <row r="2254" spans="1:20" x14ac:dyDescent="0.35">
      <c r="A2254" s="7">
        <v>2253</v>
      </c>
      <c r="B2254" s="9">
        <v>1062</v>
      </c>
      <c r="C2254" s="14" t="str">
        <f>IFERROR(_xlfn.TEXTJOIN("-", TRUE, _xlfn.XLOOKUP(K2254, product_category_id_lookup!$A$2:$A$5, product_category_id_lookup!$B$2:$B$5), B2254), "Unknown Category")</f>
        <v>fd-1062</v>
      </c>
      <c r="D2254" s="8">
        <v>45333</v>
      </c>
      <c r="E2254" s="14">
        <f t="shared" si="105"/>
        <v>2024</v>
      </c>
      <c r="F2254" s="29" t="str">
        <f t="shared" si="106"/>
        <v>Feb</v>
      </c>
      <c r="G2254" s="17" t="s">
        <v>33</v>
      </c>
      <c r="H2254" s="17" t="s">
        <v>23</v>
      </c>
      <c r="I2254" s="24">
        <v>5499.893</v>
      </c>
      <c r="J2254" s="32">
        <v>2</v>
      </c>
      <c r="K2254" s="17" t="s">
        <v>24</v>
      </c>
      <c r="L2254" s="24">
        <v>1445.05</v>
      </c>
      <c r="M2254" s="24">
        <v>3767.05</v>
      </c>
      <c r="N2254" s="34">
        <f>((sales_data_1[[#This Row],[Unit_Price]]*(1-sales_data_1[[#This Row],[Discount]]))-sales_data_1[[#This Row],[Unit_Cost]])*sales_data_1[[#This Row],[Quantity_Sold]]</f>
        <v>2609.7930000000001</v>
      </c>
      <c r="O2254" s="17" t="s">
        <v>27</v>
      </c>
      <c r="P2254" s="26">
        <v>0.27</v>
      </c>
      <c r="Q2254" s="17" t="s">
        <v>25</v>
      </c>
      <c r="R2254" s="17" t="s">
        <v>19</v>
      </c>
      <c r="S2254" s="50" t="str">
        <f t="shared" si="107"/>
        <v>Alice-South</v>
      </c>
      <c r="T2254" s="59" t="str">
        <f>IF(ROUND(sales_data_1[[#This Row],[Profit_Margin]],2)=ROUND((sales_data_1[[#This Row],[Unit_Price]]*(1-sales_data_1[[#This Row],[Discount]]) - sales_data_1[[#This Row],[Unit_Cost]])*sales_data_1[[#This Row],[Quantity_Sold]],2), "PASS", "CHECK")</f>
        <v>PASS</v>
      </c>
    </row>
    <row r="2255" spans="1:20" x14ac:dyDescent="0.35">
      <c r="A2255" s="7">
        <v>2254</v>
      </c>
      <c r="B2255" s="9">
        <v>1082</v>
      </c>
      <c r="C2255" s="14" t="str">
        <f>IFERROR(_xlfn.TEXTJOIN("-", TRUE, _xlfn.XLOOKUP(K2255, product_category_id_lookup!$A$2:$A$5, product_category_id_lookup!$B$2:$B$5), B2255), "Unknown Category")</f>
        <v>fd-1082</v>
      </c>
      <c r="D2255" s="8">
        <v>45333</v>
      </c>
      <c r="E2255" s="14">
        <f t="shared" si="105"/>
        <v>2024</v>
      </c>
      <c r="F2255" s="29" t="str">
        <f t="shared" si="106"/>
        <v>Feb</v>
      </c>
      <c r="G2255" s="17" t="s">
        <v>14</v>
      </c>
      <c r="H2255" s="17" t="s">
        <v>23</v>
      </c>
      <c r="I2255" s="24">
        <v>33247.271199999996</v>
      </c>
      <c r="J2255" s="32">
        <v>13</v>
      </c>
      <c r="K2255" s="17" t="s">
        <v>24</v>
      </c>
      <c r="L2255" s="24">
        <v>1817.39</v>
      </c>
      <c r="M2255" s="24">
        <v>2906.23</v>
      </c>
      <c r="N2255" s="34">
        <f>((sales_data_1[[#This Row],[Unit_Price]]*(1-sales_data_1[[#This Row],[Discount]]))-sales_data_1[[#This Row],[Unit_Cost]])*sales_data_1[[#This Row],[Quantity_Sold]]</f>
        <v>9621.2011999999977</v>
      </c>
      <c r="O2255" s="17" t="s">
        <v>17</v>
      </c>
      <c r="P2255" s="26">
        <v>0.12</v>
      </c>
      <c r="Q2255" s="17" t="s">
        <v>28</v>
      </c>
      <c r="R2255" s="17" t="s">
        <v>21</v>
      </c>
      <c r="S2255" s="50" t="str">
        <f t="shared" si="107"/>
        <v>Bob-South</v>
      </c>
      <c r="T2255" s="59" t="str">
        <f>IF(ROUND(sales_data_1[[#This Row],[Profit_Margin]],2)=ROUND((sales_data_1[[#This Row],[Unit_Price]]*(1-sales_data_1[[#This Row],[Discount]]) - sales_data_1[[#This Row],[Unit_Cost]])*sales_data_1[[#This Row],[Quantity_Sold]],2), "PASS", "CHECK")</f>
        <v>PASS</v>
      </c>
    </row>
    <row r="2256" spans="1:20" x14ac:dyDescent="0.35">
      <c r="A2256" s="7">
        <v>2255</v>
      </c>
      <c r="B2256" s="9">
        <v>1045</v>
      </c>
      <c r="C2256" s="14" t="str">
        <f>IFERROR(_xlfn.TEXTJOIN("-", TRUE, _xlfn.XLOOKUP(K2256, product_category_id_lookup!$A$2:$A$5, product_category_id_lookup!$B$2:$B$5), B2256), "Unknown Category")</f>
        <v>etc-1045</v>
      </c>
      <c r="D2256" s="8">
        <v>45333</v>
      </c>
      <c r="E2256" s="14">
        <f t="shared" si="105"/>
        <v>2024</v>
      </c>
      <c r="F2256" s="29" t="str">
        <f t="shared" si="106"/>
        <v>Feb</v>
      </c>
      <c r="G2256" s="17" t="s">
        <v>32</v>
      </c>
      <c r="H2256" s="17" t="s">
        <v>30</v>
      </c>
      <c r="I2256" s="24">
        <v>59078.175000000003</v>
      </c>
      <c r="J2256" s="32">
        <v>26</v>
      </c>
      <c r="K2256" s="17" t="s">
        <v>31</v>
      </c>
      <c r="L2256" s="24">
        <v>346.57</v>
      </c>
      <c r="M2256" s="24">
        <v>3029.65</v>
      </c>
      <c r="N2256" s="34">
        <f>((sales_data_1[[#This Row],[Unit_Price]]*(1-sales_data_1[[#This Row],[Discount]]))-sales_data_1[[#This Row],[Unit_Cost]])*sales_data_1[[#This Row],[Quantity_Sold]]</f>
        <v>50067.355000000003</v>
      </c>
      <c r="O2256" s="17" t="s">
        <v>17</v>
      </c>
      <c r="P2256" s="26">
        <v>0.25</v>
      </c>
      <c r="Q2256" s="17" t="s">
        <v>18</v>
      </c>
      <c r="R2256" s="17" t="s">
        <v>19</v>
      </c>
      <c r="S2256" s="50" t="str">
        <f t="shared" si="107"/>
        <v>Eve-East</v>
      </c>
      <c r="T2256" s="59" t="str">
        <f>IF(ROUND(sales_data_1[[#This Row],[Profit_Margin]],2)=ROUND((sales_data_1[[#This Row],[Unit_Price]]*(1-sales_data_1[[#This Row],[Discount]]) - sales_data_1[[#This Row],[Unit_Cost]])*sales_data_1[[#This Row],[Quantity_Sold]],2), "PASS", "CHECK")</f>
        <v>PASS</v>
      </c>
    </row>
    <row r="2257" spans="1:20" x14ac:dyDescent="0.35">
      <c r="A2257" s="7">
        <v>2256</v>
      </c>
      <c r="B2257" s="9">
        <v>1071</v>
      </c>
      <c r="C2257" s="14" t="str">
        <f>IFERROR(_xlfn.TEXTJOIN("-", TRUE, _xlfn.XLOOKUP(K2257, product_category_id_lookup!$A$2:$A$5, product_category_id_lookup!$B$2:$B$5), B2257), "Unknown Category")</f>
        <v>fd-1071</v>
      </c>
      <c r="D2257" s="8">
        <v>45334</v>
      </c>
      <c r="E2257" s="14">
        <f t="shared" si="105"/>
        <v>2024</v>
      </c>
      <c r="F2257" s="29" t="str">
        <f t="shared" si="106"/>
        <v>Feb</v>
      </c>
      <c r="G2257" s="17" t="s">
        <v>22</v>
      </c>
      <c r="H2257" s="17" t="s">
        <v>20</v>
      </c>
      <c r="I2257" s="24">
        <v>18669.526799999996</v>
      </c>
      <c r="J2257" s="32">
        <v>4</v>
      </c>
      <c r="K2257" s="17" t="s">
        <v>24</v>
      </c>
      <c r="L2257" s="24">
        <v>3967.93</v>
      </c>
      <c r="M2257" s="24">
        <v>5018.6899999999996</v>
      </c>
      <c r="N2257" s="34">
        <f>((sales_data_1[[#This Row],[Unit_Price]]*(1-sales_data_1[[#This Row],[Discount]]))-sales_data_1[[#This Row],[Unit_Cost]])*sales_data_1[[#This Row],[Quantity_Sold]]</f>
        <v>2797.8067999999967</v>
      </c>
      <c r="O2257" s="17" t="s">
        <v>17</v>
      </c>
      <c r="P2257" s="26">
        <v>7.0000000000000007E-2</v>
      </c>
      <c r="Q2257" s="17" t="s">
        <v>25</v>
      </c>
      <c r="R2257" s="17" t="s">
        <v>21</v>
      </c>
      <c r="S2257" s="50" t="str">
        <f t="shared" si="107"/>
        <v>David-West</v>
      </c>
      <c r="T2257" s="59" t="str">
        <f>IF(ROUND(sales_data_1[[#This Row],[Profit_Margin]],2)=ROUND((sales_data_1[[#This Row],[Unit_Price]]*(1-sales_data_1[[#This Row],[Discount]]) - sales_data_1[[#This Row],[Unit_Cost]])*sales_data_1[[#This Row],[Quantity_Sold]],2), "PASS", "CHECK")</f>
        <v>PASS</v>
      </c>
    </row>
    <row r="2258" spans="1:20" x14ac:dyDescent="0.35">
      <c r="A2258" s="7">
        <v>2257</v>
      </c>
      <c r="B2258" s="9">
        <v>1001</v>
      </c>
      <c r="C2258" s="14" t="str">
        <f>IFERROR(_xlfn.TEXTJOIN("-", TRUE, _xlfn.XLOOKUP(K2258, product_category_id_lookup!$A$2:$A$5, product_category_id_lookup!$B$2:$B$5), B2258), "Unknown Category")</f>
        <v>fnt-1001</v>
      </c>
      <c r="D2258" s="8">
        <v>45335</v>
      </c>
      <c r="E2258" s="14">
        <f t="shared" si="105"/>
        <v>2024</v>
      </c>
      <c r="F2258" s="29" t="str">
        <f t="shared" si="106"/>
        <v>Feb</v>
      </c>
      <c r="G2258" s="17" t="s">
        <v>14</v>
      </c>
      <c r="H2258" s="17" t="s">
        <v>20</v>
      </c>
      <c r="I2258" s="24">
        <v>102556.35390000002</v>
      </c>
      <c r="J2258" s="32">
        <v>39</v>
      </c>
      <c r="K2258" s="17" t="s">
        <v>16</v>
      </c>
      <c r="L2258" s="24">
        <v>2552.66</v>
      </c>
      <c r="M2258" s="24">
        <v>3415.13</v>
      </c>
      <c r="N2258" s="34">
        <f>((sales_data_1[[#This Row],[Unit_Price]]*(1-sales_data_1[[#This Row],[Discount]]))-sales_data_1[[#This Row],[Unit_Cost]])*sales_data_1[[#This Row],[Quantity_Sold]]</f>
        <v>3002.6139000000171</v>
      </c>
      <c r="O2258" s="17" t="s">
        <v>27</v>
      </c>
      <c r="P2258" s="26">
        <v>0.23</v>
      </c>
      <c r="Q2258" s="17" t="s">
        <v>18</v>
      </c>
      <c r="R2258" s="17" t="s">
        <v>21</v>
      </c>
      <c r="S2258" s="50" t="str">
        <f t="shared" si="107"/>
        <v>Bob-West</v>
      </c>
      <c r="T2258" s="59" t="str">
        <f>IF(ROUND(sales_data_1[[#This Row],[Profit_Margin]],2)=ROUND((sales_data_1[[#This Row],[Unit_Price]]*(1-sales_data_1[[#This Row],[Discount]]) - sales_data_1[[#This Row],[Unit_Cost]])*sales_data_1[[#This Row],[Quantity_Sold]],2), "PASS", "CHECK")</f>
        <v>PASS</v>
      </c>
    </row>
    <row r="2259" spans="1:20" x14ac:dyDescent="0.35">
      <c r="A2259" s="7">
        <v>2258</v>
      </c>
      <c r="B2259" s="9">
        <v>1016</v>
      </c>
      <c r="C2259" s="14" t="str">
        <f>IFERROR(_xlfn.TEXTJOIN("-", TRUE, _xlfn.XLOOKUP(K2259, product_category_id_lookup!$A$2:$A$5, product_category_id_lookup!$B$2:$B$5), B2259), "Unknown Category")</f>
        <v>fd-1016</v>
      </c>
      <c r="D2259" s="8">
        <v>45335</v>
      </c>
      <c r="E2259" s="14">
        <f t="shared" si="105"/>
        <v>2024</v>
      </c>
      <c r="F2259" s="29" t="str">
        <f t="shared" si="106"/>
        <v>Feb</v>
      </c>
      <c r="G2259" s="17" t="s">
        <v>33</v>
      </c>
      <c r="H2259" s="17" t="s">
        <v>15</v>
      </c>
      <c r="I2259" s="24">
        <v>109516.3524</v>
      </c>
      <c r="J2259" s="32">
        <v>42</v>
      </c>
      <c r="K2259" s="17" t="s">
        <v>24</v>
      </c>
      <c r="L2259" s="24">
        <v>2139.6</v>
      </c>
      <c r="M2259" s="24">
        <v>2865.42</v>
      </c>
      <c r="N2259" s="34">
        <f>((sales_data_1[[#This Row],[Unit_Price]]*(1-sales_data_1[[#This Row],[Discount]]))-sales_data_1[[#This Row],[Unit_Cost]])*sales_data_1[[#This Row],[Quantity_Sold]]</f>
        <v>19653.152400000006</v>
      </c>
      <c r="O2259" s="17" t="s">
        <v>27</v>
      </c>
      <c r="P2259" s="26">
        <v>0.09</v>
      </c>
      <c r="Q2259" s="17" t="s">
        <v>25</v>
      </c>
      <c r="R2259" s="17" t="s">
        <v>19</v>
      </c>
      <c r="S2259" s="50" t="str">
        <f t="shared" si="107"/>
        <v>Alice-North</v>
      </c>
      <c r="T2259" s="59" t="str">
        <f>IF(ROUND(sales_data_1[[#This Row],[Profit_Margin]],2)=ROUND((sales_data_1[[#This Row],[Unit_Price]]*(1-sales_data_1[[#This Row],[Discount]]) - sales_data_1[[#This Row],[Unit_Cost]])*sales_data_1[[#This Row],[Quantity_Sold]],2), "PASS", "CHECK")</f>
        <v>PASS</v>
      </c>
    </row>
    <row r="2260" spans="1:20" x14ac:dyDescent="0.35">
      <c r="A2260" s="7">
        <v>2259</v>
      </c>
      <c r="B2260" s="9">
        <v>1055</v>
      </c>
      <c r="C2260" s="14" t="str">
        <f>IFERROR(_xlfn.TEXTJOIN("-", TRUE, _xlfn.XLOOKUP(K2260, product_category_id_lookup!$A$2:$A$5, product_category_id_lookup!$B$2:$B$5), B2260), "Unknown Category")</f>
        <v>fd-1055</v>
      </c>
      <c r="D2260" s="8">
        <v>45335</v>
      </c>
      <c r="E2260" s="14">
        <f t="shared" si="105"/>
        <v>2024</v>
      </c>
      <c r="F2260" s="29" t="str">
        <f t="shared" si="106"/>
        <v>Feb</v>
      </c>
      <c r="G2260" s="17" t="s">
        <v>32</v>
      </c>
      <c r="H2260" s="17" t="s">
        <v>15</v>
      </c>
      <c r="I2260" s="24">
        <v>86030.603999999992</v>
      </c>
      <c r="J2260" s="32">
        <v>40</v>
      </c>
      <c r="K2260" s="17" t="s">
        <v>24</v>
      </c>
      <c r="L2260" s="24">
        <v>1184.07</v>
      </c>
      <c r="M2260" s="24">
        <v>2172.4899999999998</v>
      </c>
      <c r="N2260" s="34">
        <f>((sales_data_1[[#This Row],[Unit_Price]]*(1-sales_data_1[[#This Row],[Discount]]))-sales_data_1[[#This Row],[Unit_Cost]])*sales_data_1[[#This Row],[Quantity_Sold]]</f>
        <v>38667.803999999989</v>
      </c>
      <c r="O2260" s="17" t="s">
        <v>17</v>
      </c>
      <c r="P2260" s="26">
        <v>0.01</v>
      </c>
      <c r="Q2260" s="17" t="s">
        <v>18</v>
      </c>
      <c r="R2260" s="17" t="s">
        <v>21</v>
      </c>
      <c r="S2260" s="50" t="str">
        <f t="shared" si="107"/>
        <v>Eve-North</v>
      </c>
      <c r="T2260" s="59" t="str">
        <f>IF(ROUND(sales_data_1[[#This Row],[Profit_Margin]],2)=ROUND((sales_data_1[[#This Row],[Unit_Price]]*(1-sales_data_1[[#This Row],[Discount]]) - sales_data_1[[#This Row],[Unit_Cost]])*sales_data_1[[#This Row],[Quantity_Sold]],2), "PASS", "CHECK")</f>
        <v>PASS</v>
      </c>
    </row>
    <row r="2261" spans="1:20" x14ac:dyDescent="0.35">
      <c r="A2261" s="7">
        <v>2260</v>
      </c>
      <c r="B2261" s="9">
        <v>1041</v>
      </c>
      <c r="C2261" s="14" t="str">
        <f>IFERROR(_xlfn.TEXTJOIN("-", TRUE, _xlfn.XLOOKUP(K2261, product_category_id_lookup!$A$2:$A$5, product_category_id_lookup!$B$2:$B$5), B2261), "Unknown Category")</f>
        <v>ctg-1041</v>
      </c>
      <c r="D2261" s="8">
        <v>45335</v>
      </c>
      <c r="E2261" s="14">
        <f t="shared" si="105"/>
        <v>2024</v>
      </c>
      <c r="F2261" s="29" t="str">
        <f t="shared" si="106"/>
        <v>Feb</v>
      </c>
      <c r="G2261" s="17" t="s">
        <v>14</v>
      </c>
      <c r="H2261" s="17" t="s">
        <v>20</v>
      </c>
      <c r="I2261" s="24">
        <v>224106.79500000001</v>
      </c>
      <c r="J2261" s="32">
        <v>50</v>
      </c>
      <c r="K2261" s="17" t="s">
        <v>26</v>
      </c>
      <c r="L2261" s="24">
        <v>3313.87</v>
      </c>
      <c r="M2261" s="24">
        <v>4527.41</v>
      </c>
      <c r="N2261" s="34">
        <f>((sales_data_1[[#This Row],[Unit_Price]]*(1-sales_data_1[[#This Row],[Discount]]))-sales_data_1[[#This Row],[Unit_Cost]])*sales_data_1[[#This Row],[Quantity_Sold]]</f>
        <v>58413.295000000013</v>
      </c>
      <c r="O2261" s="17" t="s">
        <v>27</v>
      </c>
      <c r="P2261" s="26">
        <v>0.01</v>
      </c>
      <c r="Q2261" s="17" t="s">
        <v>28</v>
      </c>
      <c r="R2261" s="17" t="s">
        <v>21</v>
      </c>
      <c r="S2261" s="50" t="str">
        <f t="shared" si="107"/>
        <v>Bob-West</v>
      </c>
      <c r="T2261" s="59" t="str">
        <f>IF(ROUND(sales_data_1[[#This Row],[Profit_Margin]],2)=ROUND((sales_data_1[[#This Row],[Unit_Price]]*(1-sales_data_1[[#This Row],[Discount]]) - sales_data_1[[#This Row],[Unit_Cost]])*sales_data_1[[#This Row],[Quantity_Sold]],2), "PASS", "CHECK")</f>
        <v>PASS</v>
      </c>
    </row>
    <row r="2262" spans="1:20" x14ac:dyDescent="0.35">
      <c r="A2262" s="7">
        <v>2261</v>
      </c>
      <c r="B2262" s="9">
        <v>1030</v>
      </c>
      <c r="C2262" s="14" t="str">
        <f>IFERROR(_xlfn.TEXTJOIN("-", TRUE, _xlfn.XLOOKUP(K2262, product_category_id_lookup!$A$2:$A$5, product_category_id_lookup!$B$2:$B$5), B2262), "Unknown Category")</f>
        <v>etc-1030</v>
      </c>
      <c r="D2262" s="8">
        <v>45337</v>
      </c>
      <c r="E2262" s="14">
        <f t="shared" si="105"/>
        <v>2024</v>
      </c>
      <c r="F2262" s="29" t="str">
        <f t="shared" si="106"/>
        <v>Feb</v>
      </c>
      <c r="G2262" s="17" t="s">
        <v>22</v>
      </c>
      <c r="H2262" s="17" t="s">
        <v>30</v>
      </c>
      <c r="I2262" s="24">
        <v>3947.8672000000001</v>
      </c>
      <c r="J2262" s="32">
        <v>4</v>
      </c>
      <c r="K2262" s="17" t="s">
        <v>31</v>
      </c>
      <c r="L2262" s="24">
        <v>86.42</v>
      </c>
      <c r="M2262" s="24">
        <v>1072.79</v>
      </c>
      <c r="N2262" s="34">
        <f>((sales_data_1[[#This Row],[Unit_Price]]*(1-sales_data_1[[#This Row],[Discount]]))-sales_data_1[[#This Row],[Unit_Cost]])*sales_data_1[[#This Row],[Quantity_Sold]]</f>
        <v>3602.1872000000003</v>
      </c>
      <c r="O2262" s="17" t="s">
        <v>17</v>
      </c>
      <c r="P2262" s="26">
        <v>0.08</v>
      </c>
      <c r="Q2262" s="17" t="s">
        <v>18</v>
      </c>
      <c r="R2262" s="17" t="s">
        <v>19</v>
      </c>
      <c r="S2262" s="50" t="str">
        <f t="shared" si="107"/>
        <v>David-East</v>
      </c>
      <c r="T2262" s="59" t="str">
        <f>IF(ROUND(sales_data_1[[#This Row],[Profit_Margin]],2)=ROUND((sales_data_1[[#This Row],[Unit_Price]]*(1-sales_data_1[[#This Row],[Discount]]) - sales_data_1[[#This Row],[Unit_Cost]])*sales_data_1[[#This Row],[Quantity_Sold]],2), "PASS", "CHECK")</f>
        <v>PASS</v>
      </c>
    </row>
    <row r="2263" spans="1:20" x14ac:dyDescent="0.35">
      <c r="A2263" s="7">
        <v>2262</v>
      </c>
      <c r="B2263" s="9">
        <v>1003</v>
      </c>
      <c r="C2263" s="14" t="str">
        <f>IFERROR(_xlfn.TEXTJOIN("-", TRUE, _xlfn.XLOOKUP(K2263, product_category_id_lookup!$A$2:$A$5, product_category_id_lookup!$B$2:$B$5), B2263), "Unknown Category")</f>
        <v>etc-1003</v>
      </c>
      <c r="D2263" s="8">
        <v>45337</v>
      </c>
      <c r="E2263" s="14">
        <f t="shared" si="105"/>
        <v>2024</v>
      </c>
      <c r="F2263" s="29" t="str">
        <f t="shared" si="106"/>
        <v>Feb</v>
      </c>
      <c r="G2263" s="17" t="s">
        <v>33</v>
      </c>
      <c r="H2263" s="17" t="s">
        <v>15</v>
      </c>
      <c r="I2263" s="24">
        <v>193614.22031575322</v>
      </c>
      <c r="J2263" s="32">
        <v>42</v>
      </c>
      <c r="K2263" s="17" t="s">
        <v>31</v>
      </c>
      <c r="L2263" s="24">
        <v>4230.5200000000004</v>
      </c>
      <c r="M2263" s="24">
        <v>4645.45</v>
      </c>
      <c r="N2263" s="34">
        <f>((sales_data_1[[#This Row],[Unit_Price]]*(1-sales_data_1[[#This Row],[Discount]]))-sales_data_1[[#This Row],[Unit_Cost]])*sales_data_1[[#This Row],[Quantity_Sold]]</f>
        <v>15475.970999999981</v>
      </c>
      <c r="O2263" s="17" t="s">
        <v>27</v>
      </c>
      <c r="P2263" s="26">
        <v>0.01</v>
      </c>
      <c r="Q2263" s="17" t="s">
        <v>28</v>
      </c>
      <c r="R2263" s="17" t="s">
        <v>19</v>
      </c>
      <c r="S2263" s="50" t="str">
        <f t="shared" si="107"/>
        <v>Alice-North</v>
      </c>
      <c r="T2263" s="59" t="str">
        <f>IF(ROUND(sales_data_1[[#This Row],[Profit_Margin]],2)=ROUND((sales_data_1[[#This Row],[Unit_Price]]*(1-sales_data_1[[#This Row],[Discount]]) - sales_data_1[[#This Row],[Unit_Cost]])*sales_data_1[[#This Row],[Quantity_Sold]],2), "PASS", "CHECK")</f>
        <v>PASS</v>
      </c>
    </row>
    <row r="2264" spans="1:20" x14ac:dyDescent="0.35">
      <c r="A2264" s="7">
        <v>2263</v>
      </c>
      <c r="B2264" s="9">
        <v>1080</v>
      </c>
      <c r="C2264" s="14" t="str">
        <f>IFERROR(_xlfn.TEXTJOIN("-", TRUE, _xlfn.XLOOKUP(K2264, product_category_id_lookup!$A$2:$A$5, product_category_id_lookup!$B$2:$B$5), B2264), "Unknown Category")</f>
        <v>etc-1080</v>
      </c>
      <c r="D2264" s="8">
        <v>45338</v>
      </c>
      <c r="E2264" s="14">
        <f t="shared" si="105"/>
        <v>2024</v>
      </c>
      <c r="F2264" s="29" t="str">
        <f t="shared" si="106"/>
        <v>Feb</v>
      </c>
      <c r="G2264" s="17" t="s">
        <v>14</v>
      </c>
      <c r="H2264" s="17" t="s">
        <v>20</v>
      </c>
      <c r="I2264" s="24">
        <v>4787.0370000000003</v>
      </c>
      <c r="J2264" s="32">
        <v>1</v>
      </c>
      <c r="K2264" s="17" t="s">
        <v>31</v>
      </c>
      <c r="L2264" s="24">
        <v>1366.44</v>
      </c>
      <c r="M2264" s="24">
        <v>5318.93</v>
      </c>
      <c r="N2264" s="34">
        <f>((sales_data_1[[#This Row],[Unit_Price]]*(1-sales_data_1[[#This Row],[Discount]]))-sales_data_1[[#This Row],[Unit_Cost]])*sales_data_1[[#This Row],[Quantity_Sold]]</f>
        <v>3420.5970000000002</v>
      </c>
      <c r="O2264" s="17" t="s">
        <v>17</v>
      </c>
      <c r="P2264" s="26">
        <v>0.1</v>
      </c>
      <c r="Q2264" s="17" t="s">
        <v>28</v>
      </c>
      <c r="R2264" s="17" t="s">
        <v>21</v>
      </c>
      <c r="S2264" s="50" t="str">
        <f t="shared" si="107"/>
        <v>Bob-West</v>
      </c>
      <c r="T2264" s="59" t="str">
        <f>IF(ROUND(sales_data_1[[#This Row],[Profit_Margin]],2)=ROUND((sales_data_1[[#This Row],[Unit_Price]]*(1-sales_data_1[[#This Row],[Discount]]) - sales_data_1[[#This Row],[Unit_Cost]])*sales_data_1[[#This Row],[Quantity_Sold]],2), "PASS", "CHECK")</f>
        <v>PASS</v>
      </c>
    </row>
    <row r="2265" spans="1:20" x14ac:dyDescent="0.35">
      <c r="A2265" s="7">
        <v>2264</v>
      </c>
      <c r="B2265" s="9">
        <v>1019</v>
      </c>
      <c r="C2265" s="14" t="str">
        <f>IFERROR(_xlfn.TEXTJOIN("-", TRUE, _xlfn.XLOOKUP(K2265, product_category_id_lookup!$A$2:$A$5, product_category_id_lookup!$B$2:$B$5), B2265), "Unknown Category")</f>
        <v>fnt-1019</v>
      </c>
      <c r="D2265" s="8">
        <v>45338</v>
      </c>
      <c r="E2265" s="14">
        <f t="shared" si="105"/>
        <v>2024</v>
      </c>
      <c r="F2265" s="29" t="str">
        <f t="shared" si="106"/>
        <v>Feb</v>
      </c>
      <c r="G2265" s="17" t="s">
        <v>32</v>
      </c>
      <c r="H2265" s="17" t="s">
        <v>30</v>
      </c>
      <c r="I2265" s="24">
        <v>11872.469700000001</v>
      </c>
      <c r="J2265" s="32">
        <v>21</v>
      </c>
      <c r="K2265" s="17" t="s">
        <v>16</v>
      </c>
      <c r="L2265" s="24">
        <v>355.05</v>
      </c>
      <c r="M2265" s="24">
        <v>697.97</v>
      </c>
      <c r="N2265" s="34">
        <f>((sales_data_1[[#This Row],[Unit_Price]]*(1-sales_data_1[[#This Row],[Discount]]))-sales_data_1[[#This Row],[Unit_Cost]])*sales_data_1[[#This Row],[Quantity_Sold]]</f>
        <v>4416.4197000000013</v>
      </c>
      <c r="O2265" s="17" t="s">
        <v>27</v>
      </c>
      <c r="P2265" s="26">
        <v>0.19</v>
      </c>
      <c r="Q2265" s="17" t="s">
        <v>28</v>
      </c>
      <c r="R2265" s="17" t="s">
        <v>21</v>
      </c>
      <c r="S2265" s="50" t="str">
        <f t="shared" si="107"/>
        <v>Eve-East</v>
      </c>
      <c r="T2265" s="59" t="str">
        <f>IF(ROUND(sales_data_1[[#This Row],[Profit_Margin]],2)=ROUND((sales_data_1[[#This Row],[Unit_Price]]*(1-sales_data_1[[#This Row],[Discount]]) - sales_data_1[[#This Row],[Unit_Cost]])*sales_data_1[[#This Row],[Quantity_Sold]],2), "PASS", "CHECK")</f>
        <v>PASS</v>
      </c>
    </row>
    <row r="2266" spans="1:20" x14ac:dyDescent="0.35">
      <c r="A2266" s="7">
        <v>2265</v>
      </c>
      <c r="B2266" s="9">
        <v>1052</v>
      </c>
      <c r="C2266" s="14" t="str">
        <f>IFERROR(_xlfn.TEXTJOIN("-", TRUE, _xlfn.XLOOKUP(K2266, product_category_id_lookup!$A$2:$A$5, product_category_id_lookup!$B$2:$B$5), B2266), "Unknown Category")</f>
        <v>fd-1052</v>
      </c>
      <c r="D2266" s="8">
        <v>45338</v>
      </c>
      <c r="E2266" s="14">
        <f t="shared" si="105"/>
        <v>2024</v>
      </c>
      <c r="F2266" s="29" t="str">
        <f t="shared" si="106"/>
        <v>Feb</v>
      </c>
      <c r="G2266" s="17" t="s">
        <v>32</v>
      </c>
      <c r="H2266" s="17" t="s">
        <v>15</v>
      </c>
      <c r="I2266" s="24">
        <v>90511.660799999998</v>
      </c>
      <c r="J2266" s="32">
        <v>46</v>
      </c>
      <c r="K2266" s="17" t="s">
        <v>24</v>
      </c>
      <c r="L2266" s="24">
        <v>756.21</v>
      </c>
      <c r="M2266" s="24">
        <v>2235.96</v>
      </c>
      <c r="N2266" s="34">
        <f>((sales_data_1[[#This Row],[Unit_Price]]*(1-sales_data_1[[#This Row],[Discount]]))-sales_data_1[[#This Row],[Unit_Cost]])*sales_data_1[[#This Row],[Quantity_Sold]]</f>
        <v>55726.000800000002</v>
      </c>
      <c r="O2266" s="17" t="s">
        <v>27</v>
      </c>
      <c r="P2266" s="26">
        <v>0.12</v>
      </c>
      <c r="Q2266" s="17" t="s">
        <v>25</v>
      </c>
      <c r="R2266" s="17" t="s">
        <v>19</v>
      </c>
      <c r="S2266" s="50" t="str">
        <f t="shared" si="107"/>
        <v>Eve-North</v>
      </c>
      <c r="T2266" s="59" t="str">
        <f>IF(ROUND(sales_data_1[[#This Row],[Profit_Margin]],2)=ROUND((sales_data_1[[#This Row],[Unit_Price]]*(1-sales_data_1[[#This Row],[Discount]]) - sales_data_1[[#This Row],[Unit_Cost]])*sales_data_1[[#This Row],[Quantity_Sold]],2), "PASS", "CHECK")</f>
        <v>PASS</v>
      </c>
    </row>
    <row r="2267" spans="1:20" x14ac:dyDescent="0.35">
      <c r="A2267" s="7">
        <v>2266</v>
      </c>
      <c r="B2267" s="9">
        <v>1073</v>
      </c>
      <c r="C2267" s="14" t="str">
        <f>IFERROR(_xlfn.TEXTJOIN("-", TRUE, _xlfn.XLOOKUP(K2267, product_category_id_lookup!$A$2:$A$5, product_category_id_lookup!$B$2:$B$5), B2267), "Unknown Category")</f>
        <v>ctg-1073</v>
      </c>
      <c r="D2267" s="8">
        <v>45338</v>
      </c>
      <c r="E2267" s="14">
        <f t="shared" si="105"/>
        <v>2024</v>
      </c>
      <c r="F2267" s="29" t="str">
        <f t="shared" si="106"/>
        <v>Feb</v>
      </c>
      <c r="G2267" s="17" t="s">
        <v>29</v>
      </c>
      <c r="H2267" s="17" t="s">
        <v>23</v>
      </c>
      <c r="I2267" s="24">
        <v>144385.4295</v>
      </c>
      <c r="J2267" s="32">
        <v>39</v>
      </c>
      <c r="K2267" s="17" t="s">
        <v>26</v>
      </c>
      <c r="L2267" s="24">
        <v>1420.6</v>
      </c>
      <c r="M2267" s="24">
        <v>3980.85</v>
      </c>
      <c r="N2267" s="34">
        <f>((sales_data_1[[#This Row],[Unit_Price]]*(1-sales_data_1[[#This Row],[Discount]]))-sales_data_1[[#This Row],[Unit_Cost]])*sales_data_1[[#This Row],[Quantity_Sold]]</f>
        <v>88982.02949999999</v>
      </c>
      <c r="O2267" s="17" t="s">
        <v>17</v>
      </c>
      <c r="P2267" s="26">
        <v>7.0000000000000007E-2</v>
      </c>
      <c r="Q2267" s="17" t="s">
        <v>25</v>
      </c>
      <c r="R2267" s="17" t="s">
        <v>19</v>
      </c>
      <c r="S2267" s="50" t="str">
        <f t="shared" si="107"/>
        <v>Charlie-South</v>
      </c>
      <c r="T2267" s="59" t="str">
        <f>IF(ROUND(sales_data_1[[#This Row],[Profit_Margin]],2)=ROUND((sales_data_1[[#This Row],[Unit_Price]]*(1-sales_data_1[[#This Row],[Discount]]) - sales_data_1[[#This Row],[Unit_Cost]])*sales_data_1[[#This Row],[Quantity_Sold]],2), "PASS", "CHECK")</f>
        <v>PASS</v>
      </c>
    </row>
    <row r="2268" spans="1:20" x14ac:dyDescent="0.35">
      <c r="A2268" s="7">
        <v>2267</v>
      </c>
      <c r="B2268" s="9">
        <v>1052</v>
      </c>
      <c r="C2268" s="14" t="str">
        <f>IFERROR(_xlfn.TEXTJOIN("-", TRUE, _xlfn.XLOOKUP(K2268, product_category_id_lookup!$A$2:$A$5, product_category_id_lookup!$B$2:$B$5), B2268), "Unknown Category")</f>
        <v>etc-1052</v>
      </c>
      <c r="D2268" s="8">
        <v>45339</v>
      </c>
      <c r="E2268" s="14">
        <f t="shared" si="105"/>
        <v>2024</v>
      </c>
      <c r="F2268" s="29" t="str">
        <f t="shared" si="106"/>
        <v>Feb</v>
      </c>
      <c r="G2268" s="17" t="s">
        <v>33</v>
      </c>
      <c r="H2268" s="17" t="s">
        <v>30</v>
      </c>
      <c r="I2268" s="24">
        <v>76065.635999999999</v>
      </c>
      <c r="J2268" s="32">
        <v>20</v>
      </c>
      <c r="K2268" s="17" t="s">
        <v>31</v>
      </c>
      <c r="L2268" s="24">
        <v>2170.15</v>
      </c>
      <c r="M2268" s="24">
        <v>5139.57</v>
      </c>
      <c r="N2268" s="34">
        <f>((sales_data_1[[#This Row],[Unit_Price]]*(1-sales_data_1[[#This Row],[Discount]]))-sales_data_1[[#This Row],[Unit_Cost]])*sales_data_1[[#This Row],[Quantity_Sold]]</f>
        <v>32662.635999999991</v>
      </c>
      <c r="O2268" s="17" t="s">
        <v>17</v>
      </c>
      <c r="P2268" s="26">
        <v>0.26</v>
      </c>
      <c r="Q2268" s="17" t="s">
        <v>18</v>
      </c>
      <c r="R2268" s="17" t="s">
        <v>21</v>
      </c>
      <c r="S2268" s="50" t="str">
        <f t="shared" si="107"/>
        <v>Alice-East</v>
      </c>
      <c r="T2268" s="59" t="str">
        <f>IF(ROUND(sales_data_1[[#This Row],[Profit_Margin]],2)=ROUND((sales_data_1[[#This Row],[Unit_Price]]*(1-sales_data_1[[#This Row],[Discount]]) - sales_data_1[[#This Row],[Unit_Cost]])*sales_data_1[[#This Row],[Quantity_Sold]],2), "PASS", "CHECK")</f>
        <v>PASS</v>
      </c>
    </row>
    <row r="2269" spans="1:20" x14ac:dyDescent="0.35">
      <c r="A2269" s="7">
        <v>2268</v>
      </c>
      <c r="B2269" s="9">
        <v>1052</v>
      </c>
      <c r="C2269" s="14" t="str">
        <f>IFERROR(_xlfn.TEXTJOIN("-", TRUE, _xlfn.XLOOKUP(K2269, product_category_id_lookup!$A$2:$A$5, product_category_id_lookup!$B$2:$B$5), B2269), "Unknown Category")</f>
        <v>ctg-1052</v>
      </c>
      <c r="D2269" s="8">
        <v>45339</v>
      </c>
      <c r="E2269" s="14">
        <f t="shared" si="105"/>
        <v>2024</v>
      </c>
      <c r="F2269" s="29" t="str">
        <f t="shared" si="106"/>
        <v>Feb</v>
      </c>
      <c r="G2269" s="17" t="s">
        <v>32</v>
      </c>
      <c r="H2269" s="17" t="s">
        <v>30</v>
      </c>
      <c r="I2269" s="24">
        <v>102528.7536</v>
      </c>
      <c r="J2269" s="32">
        <v>24</v>
      </c>
      <c r="K2269" s="17" t="s">
        <v>26</v>
      </c>
      <c r="L2269" s="24">
        <v>2066.19</v>
      </c>
      <c r="M2269" s="24">
        <v>4694.54</v>
      </c>
      <c r="N2269" s="34">
        <f>((sales_data_1[[#This Row],[Unit_Price]]*(1-sales_data_1[[#This Row],[Discount]]))-sales_data_1[[#This Row],[Unit_Cost]])*sales_data_1[[#This Row],[Quantity_Sold]]</f>
        <v>52940.193599999999</v>
      </c>
      <c r="O2269" s="17" t="s">
        <v>27</v>
      </c>
      <c r="P2269" s="26">
        <v>0.09</v>
      </c>
      <c r="Q2269" s="17" t="s">
        <v>25</v>
      </c>
      <c r="R2269" s="17" t="s">
        <v>21</v>
      </c>
      <c r="S2269" s="50" t="str">
        <f t="shared" si="107"/>
        <v>Eve-East</v>
      </c>
      <c r="T2269" s="59" t="str">
        <f>IF(ROUND(sales_data_1[[#This Row],[Profit_Margin]],2)=ROUND((sales_data_1[[#This Row],[Unit_Price]]*(1-sales_data_1[[#This Row],[Discount]]) - sales_data_1[[#This Row],[Unit_Cost]])*sales_data_1[[#This Row],[Quantity_Sold]],2), "PASS", "CHECK")</f>
        <v>PASS</v>
      </c>
    </row>
    <row r="2270" spans="1:20" x14ac:dyDescent="0.35">
      <c r="A2270" s="7">
        <v>2269</v>
      </c>
      <c r="B2270" s="9">
        <v>1081</v>
      </c>
      <c r="C2270" s="14" t="str">
        <f>IFERROR(_xlfn.TEXTJOIN("-", TRUE, _xlfn.XLOOKUP(K2270, product_category_id_lookup!$A$2:$A$5, product_category_id_lookup!$B$2:$B$5), B2270), "Unknown Category")</f>
        <v>fd-1081</v>
      </c>
      <c r="D2270" s="8">
        <v>45339</v>
      </c>
      <c r="E2270" s="14">
        <f t="shared" si="105"/>
        <v>2024</v>
      </c>
      <c r="F2270" s="29" t="str">
        <f t="shared" si="106"/>
        <v>Feb</v>
      </c>
      <c r="G2270" s="17" t="s">
        <v>29</v>
      </c>
      <c r="H2270" s="17" t="s">
        <v>20</v>
      </c>
      <c r="I2270" s="24">
        <v>93616.961900000009</v>
      </c>
      <c r="J2270" s="32">
        <v>29</v>
      </c>
      <c r="K2270" s="17" t="s">
        <v>24</v>
      </c>
      <c r="L2270" s="24">
        <v>1051.54</v>
      </c>
      <c r="M2270" s="24">
        <v>4192.43</v>
      </c>
      <c r="N2270" s="34">
        <f>((sales_data_1[[#This Row],[Unit_Price]]*(1-sales_data_1[[#This Row],[Discount]]))-sales_data_1[[#This Row],[Unit_Cost]])*sales_data_1[[#This Row],[Quantity_Sold]]</f>
        <v>63122.301900000013</v>
      </c>
      <c r="O2270" s="17" t="s">
        <v>17</v>
      </c>
      <c r="P2270" s="26">
        <v>0.23</v>
      </c>
      <c r="Q2270" s="17" t="s">
        <v>18</v>
      </c>
      <c r="R2270" s="17" t="s">
        <v>21</v>
      </c>
      <c r="S2270" s="50" t="str">
        <f t="shared" si="107"/>
        <v>Charlie-West</v>
      </c>
      <c r="T2270" s="59" t="str">
        <f>IF(ROUND(sales_data_1[[#This Row],[Profit_Margin]],2)=ROUND((sales_data_1[[#This Row],[Unit_Price]]*(1-sales_data_1[[#This Row],[Discount]]) - sales_data_1[[#This Row],[Unit_Cost]])*sales_data_1[[#This Row],[Quantity_Sold]],2), "PASS", "CHECK")</f>
        <v>PASS</v>
      </c>
    </row>
    <row r="2271" spans="1:20" x14ac:dyDescent="0.35">
      <c r="A2271" s="7">
        <v>2270</v>
      </c>
      <c r="B2271" s="9">
        <v>1020</v>
      </c>
      <c r="C2271" s="14" t="str">
        <f>IFERROR(_xlfn.TEXTJOIN("-", TRUE, _xlfn.XLOOKUP(K2271, product_category_id_lookup!$A$2:$A$5, product_category_id_lookup!$B$2:$B$5), B2271), "Unknown Category")</f>
        <v>fnt-1020</v>
      </c>
      <c r="D2271" s="8">
        <v>45340</v>
      </c>
      <c r="E2271" s="14">
        <f t="shared" si="105"/>
        <v>2024</v>
      </c>
      <c r="F2271" s="29" t="str">
        <f t="shared" si="106"/>
        <v>Feb</v>
      </c>
      <c r="G2271" s="17" t="s">
        <v>14</v>
      </c>
      <c r="H2271" s="17" t="s">
        <v>23</v>
      </c>
      <c r="I2271" s="24">
        <v>26633.089799999998</v>
      </c>
      <c r="J2271" s="32">
        <v>9</v>
      </c>
      <c r="K2271" s="17" t="s">
        <v>16</v>
      </c>
      <c r="L2271" s="24">
        <v>1709.31</v>
      </c>
      <c r="M2271" s="24">
        <v>3324.98</v>
      </c>
      <c r="N2271" s="34">
        <f>((sales_data_1[[#This Row],[Unit_Price]]*(1-sales_data_1[[#This Row],[Discount]]))-sales_data_1[[#This Row],[Unit_Cost]])*sales_data_1[[#This Row],[Quantity_Sold]]</f>
        <v>11249.299800000001</v>
      </c>
      <c r="O2271" s="17" t="s">
        <v>27</v>
      </c>
      <c r="P2271" s="26">
        <v>0.11</v>
      </c>
      <c r="Q2271" s="17" t="s">
        <v>18</v>
      </c>
      <c r="R2271" s="17" t="s">
        <v>21</v>
      </c>
      <c r="S2271" s="50" t="str">
        <f t="shared" si="107"/>
        <v>Bob-South</v>
      </c>
      <c r="T2271" s="59" t="str">
        <f>IF(ROUND(sales_data_1[[#This Row],[Profit_Margin]],2)=ROUND((sales_data_1[[#This Row],[Unit_Price]]*(1-sales_data_1[[#This Row],[Discount]]) - sales_data_1[[#This Row],[Unit_Cost]])*sales_data_1[[#This Row],[Quantity_Sold]],2), "PASS", "CHECK")</f>
        <v>PASS</v>
      </c>
    </row>
    <row r="2272" spans="1:20" x14ac:dyDescent="0.35">
      <c r="A2272" s="7">
        <v>2271</v>
      </c>
      <c r="B2272" s="9">
        <v>1009</v>
      </c>
      <c r="C2272" s="14" t="str">
        <f>IFERROR(_xlfn.TEXTJOIN("-", TRUE, _xlfn.XLOOKUP(K2272, product_category_id_lookup!$A$2:$A$5, product_category_id_lookup!$B$2:$B$5), B2272), "Unknown Category")</f>
        <v>etc-1009</v>
      </c>
      <c r="D2272" s="8">
        <v>45340</v>
      </c>
      <c r="E2272" s="14">
        <f t="shared" si="105"/>
        <v>2024</v>
      </c>
      <c r="F2272" s="29" t="str">
        <f t="shared" si="106"/>
        <v>Feb</v>
      </c>
      <c r="G2272" s="17" t="s">
        <v>29</v>
      </c>
      <c r="H2272" s="17" t="s">
        <v>20</v>
      </c>
      <c r="I2272" s="24">
        <v>130470.27839999998</v>
      </c>
      <c r="J2272" s="32">
        <v>33</v>
      </c>
      <c r="K2272" s="17" t="s">
        <v>31</v>
      </c>
      <c r="L2272" s="24">
        <v>786.51</v>
      </c>
      <c r="M2272" s="24">
        <v>4297.4399999999996</v>
      </c>
      <c r="N2272" s="34">
        <f>((sales_data_1[[#This Row],[Unit_Price]]*(1-sales_data_1[[#This Row],[Discount]]))-sales_data_1[[#This Row],[Unit_Cost]])*sales_data_1[[#This Row],[Quantity_Sold]]</f>
        <v>104515.44839999999</v>
      </c>
      <c r="O2272" s="17" t="s">
        <v>17</v>
      </c>
      <c r="P2272" s="26">
        <v>0.08</v>
      </c>
      <c r="Q2272" s="17" t="s">
        <v>18</v>
      </c>
      <c r="R2272" s="17" t="s">
        <v>21</v>
      </c>
      <c r="S2272" s="50" t="str">
        <f t="shared" si="107"/>
        <v>Charlie-West</v>
      </c>
      <c r="T2272" s="59" t="str">
        <f>IF(ROUND(sales_data_1[[#This Row],[Profit_Margin]],2)=ROUND((sales_data_1[[#This Row],[Unit_Price]]*(1-sales_data_1[[#This Row],[Discount]]) - sales_data_1[[#This Row],[Unit_Cost]])*sales_data_1[[#This Row],[Quantity_Sold]],2), "PASS", "CHECK")</f>
        <v>PASS</v>
      </c>
    </row>
    <row r="2273" spans="1:20" x14ac:dyDescent="0.35">
      <c r="A2273" s="7">
        <v>2272</v>
      </c>
      <c r="B2273" s="9">
        <v>1053</v>
      </c>
      <c r="C2273" s="14" t="str">
        <f>IFERROR(_xlfn.TEXTJOIN("-", TRUE, _xlfn.XLOOKUP(K2273, product_category_id_lookup!$A$2:$A$5, product_category_id_lookup!$B$2:$B$5), B2273), "Unknown Category")</f>
        <v>fnt-1053</v>
      </c>
      <c r="D2273" s="8">
        <v>45341</v>
      </c>
      <c r="E2273" s="14">
        <f t="shared" si="105"/>
        <v>2024</v>
      </c>
      <c r="F2273" s="29" t="str">
        <f t="shared" si="106"/>
        <v>Feb</v>
      </c>
      <c r="G2273" s="17" t="s">
        <v>29</v>
      </c>
      <c r="H2273" s="17" t="s">
        <v>20</v>
      </c>
      <c r="I2273" s="24">
        <v>76438.382400000002</v>
      </c>
      <c r="J2273" s="32">
        <v>18</v>
      </c>
      <c r="K2273" s="17" t="s">
        <v>16</v>
      </c>
      <c r="L2273" s="24">
        <v>3395.23</v>
      </c>
      <c r="M2273" s="24">
        <v>4937.88</v>
      </c>
      <c r="N2273" s="34">
        <f>((sales_data_1[[#This Row],[Unit_Price]]*(1-sales_data_1[[#This Row],[Discount]]))-sales_data_1[[#This Row],[Unit_Cost]])*sales_data_1[[#This Row],[Quantity_Sold]]</f>
        <v>15324.242399999996</v>
      </c>
      <c r="O2273" s="17" t="s">
        <v>17</v>
      </c>
      <c r="P2273" s="26">
        <v>0.14000000000000001</v>
      </c>
      <c r="Q2273" s="17" t="s">
        <v>18</v>
      </c>
      <c r="R2273" s="17" t="s">
        <v>21</v>
      </c>
      <c r="S2273" s="50" t="str">
        <f t="shared" si="107"/>
        <v>Charlie-West</v>
      </c>
      <c r="T2273" s="59" t="str">
        <f>IF(ROUND(sales_data_1[[#This Row],[Profit_Margin]],2)=ROUND((sales_data_1[[#This Row],[Unit_Price]]*(1-sales_data_1[[#This Row],[Discount]]) - sales_data_1[[#This Row],[Unit_Cost]])*sales_data_1[[#This Row],[Quantity_Sold]],2), "PASS", "CHECK")</f>
        <v>PASS</v>
      </c>
    </row>
    <row r="2274" spans="1:20" x14ac:dyDescent="0.35">
      <c r="A2274" s="7">
        <v>2273</v>
      </c>
      <c r="B2274" s="9">
        <v>1017</v>
      </c>
      <c r="C2274" s="14" t="str">
        <f>IFERROR(_xlfn.TEXTJOIN("-", TRUE, _xlfn.XLOOKUP(K2274, product_category_id_lookup!$A$2:$A$5, product_category_id_lookup!$B$2:$B$5), B2274), "Unknown Category")</f>
        <v>ctg-1017</v>
      </c>
      <c r="D2274" s="8">
        <v>45341</v>
      </c>
      <c r="E2274" s="14">
        <f t="shared" si="105"/>
        <v>2024</v>
      </c>
      <c r="F2274" s="29" t="str">
        <f t="shared" si="106"/>
        <v>Feb</v>
      </c>
      <c r="G2274" s="17" t="s">
        <v>33</v>
      </c>
      <c r="H2274" s="17" t="s">
        <v>30</v>
      </c>
      <c r="I2274" s="24">
        <v>131606.89919999999</v>
      </c>
      <c r="J2274" s="32">
        <v>28</v>
      </c>
      <c r="K2274" s="17" t="s">
        <v>26</v>
      </c>
      <c r="L2274" s="24">
        <v>2975.77</v>
      </c>
      <c r="M2274" s="24">
        <v>4896.09</v>
      </c>
      <c r="N2274" s="34">
        <f>((sales_data_1[[#This Row],[Unit_Price]]*(1-sales_data_1[[#This Row],[Discount]]))-sales_data_1[[#This Row],[Unit_Cost]])*sales_data_1[[#This Row],[Quantity_Sold]]</f>
        <v>48285.339200000002</v>
      </c>
      <c r="O2274" s="17" t="s">
        <v>27</v>
      </c>
      <c r="P2274" s="26">
        <v>0.04</v>
      </c>
      <c r="Q2274" s="17" t="s">
        <v>28</v>
      </c>
      <c r="R2274" s="17" t="s">
        <v>21</v>
      </c>
      <c r="S2274" s="50" t="str">
        <f t="shared" si="107"/>
        <v>Alice-East</v>
      </c>
      <c r="T2274" s="59" t="str">
        <f>IF(ROUND(sales_data_1[[#This Row],[Profit_Margin]],2)=ROUND((sales_data_1[[#This Row],[Unit_Price]]*(1-sales_data_1[[#This Row],[Discount]]) - sales_data_1[[#This Row],[Unit_Cost]])*sales_data_1[[#This Row],[Quantity_Sold]],2), "PASS", "CHECK")</f>
        <v>PASS</v>
      </c>
    </row>
    <row r="2275" spans="1:20" x14ac:dyDescent="0.35">
      <c r="A2275" s="7">
        <v>2274</v>
      </c>
      <c r="B2275" s="9">
        <v>1056</v>
      </c>
      <c r="C2275" s="14" t="str">
        <f>IFERROR(_xlfn.TEXTJOIN("-", TRUE, _xlfn.XLOOKUP(K2275, product_category_id_lookup!$A$2:$A$5, product_category_id_lookup!$B$2:$B$5), B2275), "Unknown Category")</f>
        <v>ctg-1056</v>
      </c>
      <c r="D2275" s="8">
        <v>45342</v>
      </c>
      <c r="E2275" s="14">
        <f t="shared" si="105"/>
        <v>2024</v>
      </c>
      <c r="F2275" s="29" t="str">
        <f t="shared" si="106"/>
        <v>Feb</v>
      </c>
      <c r="G2275" s="17" t="s">
        <v>33</v>
      </c>
      <c r="H2275" s="17" t="s">
        <v>15</v>
      </c>
      <c r="I2275" s="24">
        <v>44733.242400000003</v>
      </c>
      <c r="J2275" s="32">
        <v>22</v>
      </c>
      <c r="K2275" s="17" t="s">
        <v>26</v>
      </c>
      <c r="L2275" s="24">
        <v>884.93</v>
      </c>
      <c r="M2275" s="24">
        <v>2420.63</v>
      </c>
      <c r="N2275" s="34">
        <f>((sales_data_1[[#This Row],[Unit_Price]]*(1-sales_data_1[[#This Row],[Discount]]))-sales_data_1[[#This Row],[Unit_Cost]])*sales_data_1[[#This Row],[Quantity_Sold]]</f>
        <v>25264.782400000007</v>
      </c>
      <c r="O2275" s="17" t="s">
        <v>17</v>
      </c>
      <c r="P2275" s="26">
        <v>0.16</v>
      </c>
      <c r="Q2275" s="17" t="s">
        <v>18</v>
      </c>
      <c r="R2275" s="17" t="s">
        <v>21</v>
      </c>
      <c r="S2275" s="50" t="str">
        <f t="shared" si="107"/>
        <v>Alice-North</v>
      </c>
      <c r="T2275" s="59" t="str">
        <f>IF(ROUND(sales_data_1[[#This Row],[Profit_Margin]],2)=ROUND((sales_data_1[[#This Row],[Unit_Price]]*(1-sales_data_1[[#This Row],[Discount]]) - sales_data_1[[#This Row],[Unit_Cost]])*sales_data_1[[#This Row],[Quantity_Sold]],2), "PASS", "CHECK")</f>
        <v>PASS</v>
      </c>
    </row>
    <row r="2276" spans="1:20" x14ac:dyDescent="0.35">
      <c r="A2276" s="7">
        <v>2275</v>
      </c>
      <c r="B2276" s="9">
        <v>1019</v>
      </c>
      <c r="C2276" s="14" t="str">
        <f>IFERROR(_xlfn.TEXTJOIN("-", TRUE, _xlfn.XLOOKUP(K2276, product_category_id_lookup!$A$2:$A$5, product_category_id_lookup!$B$2:$B$5), B2276), "Unknown Category")</f>
        <v>ctg-1019</v>
      </c>
      <c r="D2276" s="8">
        <v>45342</v>
      </c>
      <c r="E2276" s="14">
        <f t="shared" si="105"/>
        <v>2024</v>
      </c>
      <c r="F2276" s="29" t="str">
        <f t="shared" si="106"/>
        <v>Feb</v>
      </c>
      <c r="G2276" s="17" t="s">
        <v>14</v>
      </c>
      <c r="H2276" s="17" t="s">
        <v>20</v>
      </c>
      <c r="I2276" s="24">
        <v>146755.31640000001</v>
      </c>
      <c r="J2276" s="32">
        <v>42</v>
      </c>
      <c r="K2276" s="17" t="s">
        <v>26</v>
      </c>
      <c r="L2276" s="24">
        <v>2422.59</v>
      </c>
      <c r="M2276" s="24">
        <v>4786.54</v>
      </c>
      <c r="N2276" s="34">
        <f>((sales_data_1[[#This Row],[Unit_Price]]*(1-sales_data_1[[#This Row],[Discount]]))-sales_data_1[[#This Row],[Unit_Cost]])*sales_data_1[[#This Row],[Quantity_Sold]]</f>
        <v>45006.53639999999</v>
      </c>
      <c r="O2276" s="17" t="s">
        <v>17</v>
      </c>
      <c r="P2276" s="26">
        <v>0.27</v>
      </c>
      <c r="Q2276" s="17" t="s">
        <v>28</v>
      </c>
      <c r="R2276" s="17" t="s">
        <v>19</v>
      </c>
      <c r="S2276" s="50" t="str">
        <f t="shared" si="107"/>
        <v>Bob-West</v>
      </c>
      <c r="T2276" s="59" t="str">
        <f>IF(ROUND(sales_data_1[[#This Row],[Profit_Margin]],2)=ROUND((sales_data_1[[#This Row],[Unit_Price]]*(1-sales_data_1[[#This Row],[Discount]]) - sales_data_1[[#This Row],[Unit_Cost]])*sales_data_1[[#This Row],[Quantity_Sold]],2), "PASS", "CHECK")</f>
        <v>PASS</v>
      </c>
    </row>
    <row r="2277" spans="1:20" x14ac:dyDescent="0.35">
      <c r="A2277" s="7">
        <v>2276</v>
      </c>
      <c r="B2277" s="9">
        <v>1015</v>
      </c>
      <c r="C2277" s="14" t="str">
        <f>IFERROR(_xlfn.TEXTJOIN("-", TRUE, _xlfn.XLOOKUP(K2277, product_category_id_lookup!$A$2:$A$5, product_category_id_lookup!$B$2:$B$5), B2277), "Unknown Category")</f>
        <v>fd-1015</v>
      </c>
      <c r="D2277" s="8">
        <v>45343</v>
      </c>
      <c r="E2277" s="14">
        <f t="shared" si="105"/>
        <v>2024</v>
      </c>
      <c r="F2277" s="29" t="str">
        <f t="shared" si="106"/>
        <v>Feb</v>
      </c>
      <c r="G2277" s="17" t="s">
        <v>22</v>
      </c>
      <c r="H2277" s="17" t="s">
        <v>23</v>
      </c>
      <c r="I2277" s="24">
        <v>30141.095999999998</v>
      </c>
      <c r="J2277" s="32">
        <v>12</v>
      </c>
      <c r="K2277" s="17" t="s">
        <v>24</v>
      </c>
      <c r="L2277" s="24">
        <v>2099.48</v>
      </c>
      <c r="M2277" s="24">
        <v>2822.2</v>
      </c>
      <c r="N2277" s="34">
        <f>((sales_data_1[[#This Row],[Unit_Price]]*(1-sales_data_1[[#This Row],[Discount]]))-sales_data_1[[#This Row],[Unit_Cost]])*sales_data_1[[#This Row],[Quantity_Sold]]</f>
        <v>4947.3359999999975</v>
      </c>
      <c r="O2277" s="17" t="s">
        <v>27</v>
      </c>
      <c r="P2277" s="26">
        <v>0.11</v>
      </c>
      <c r="Q2277" s="17" t="s">
        <v>25</v>
      </c>
      <c r="R2277" s="17" t="s">
        <v>19</v>
      </c>
      <c r="S2277" s="50" t="str">
        <f t="shared" si="107"/>
        <v>David-South</v>
      </c>
      <c r="T2277" s="59" t="str">
        <f>IF(ROUND(sales_data_1[[#This Row],[Profit_Margin]],2)=ROUND((sales_data_1[[#This Row],[Unit_Price]]*(1-sales_data_1[[#This Row],[Discount]]) - sales_data_1[[#This Row],[Unit_Cost]])*sales_data_1[[#This Row],[Quantity_Sold]],2), "PASS", "CHECK")</f>
        <v>PASS</v>
      </c>
    </row>
    <row r="2278" spans="1:20" x14ac:dyDescent="0.35">
      <c r="A2278" s="7">
        <v>2277</v>
      </c>
      <c r="B2278" s="9">
        <v>1044</v>
      </c>
      <c r="C2278" s="14" t="str">
        <f>IFERROR(_xlfn.TEXTJOIN("-", TRUE, _xlfn.XLOOKUP(K2278, product_category_id_lookup!$A$2:$A$5, product_category_id_lookup!$B$2:$B$5), B2278), "Unknown Category")</f>
        <v>fd-1044</v>
      </c>
      <c r="D2278" s="8">
        <v>45343</v>
      </c>
      <c r="E2278" s="14">
        <f t="shared" si="105"/>
        <v>2024</v>
      </c>
      <c r="F2278" s="29" t="str">
        <f t="shared" si="106"/>
        <v>Feb</v>
      </c>
      <c r="G2278" s="17" t="s">
        <v>22</v>
      </c>
      <c r="H2278" s="17" t="s">
        <v>23</v>
      </c>
      <c r="I2278" s="24">
        <v>64225.953000000001</v>
      </c>
      <c r="J2278" s="32">
        <v>15</v>
      </c>
      <c r="K2278" s="17" t="s">
        <v>24</v>
      </c>
      <c r="L2278" s="24">
        <v>3686.03</v>
      </c>
      <c r="M2278" s="24">
        <v>4324.9799999999996</v>
      </c>
      <c r="N2278" s="34">
        <f>((sales_data_1[[#This Row],[Unit_Price]]*(1-sales_data_1[[#This Row],[Discount]]))-sales_data_1[[#This Row],[Unit_Cost]])*sales_data_1[[#This Row],[Quantity_Sold]]</f>
        <v>8935.502999999997</v>
      </c>
      <c r="O2278" s="17" t="s">
        <v>27</v>
      </c>
      <c r="P2278" s="26">
        <v>0.01</v>
      </c>
      <c r="Q2278" s="17" t="s">
        <v>18</v>
      </c>
      <c r="R2278" s="17" t="s">
        <v>21</v>
      </c>
      <c r="S2278" s="50" t="str">
        <f t="shared" si="107"/>
        <v>David-South</v>
      </c>
      <c r="T2278" s="59" t="str">
        <f>IF(ROUND(sales_data_1[[#This Row],[Profit_Margin]],2)=ROUND((sales_data_1[[#This Row],[Unit_Price]]*(1-sales_data_1[[#This Row],[Discount]]) - sales_data_1[[#This Row],[Unit_Cost]])*sales_data_1[[#This Row],[Quantity_Sold]],2), "PASS", "CHECK")</f>
        <v>PASS</v>
      </c>
    </row>
    <row r="2279" spans="1:20" x14ac:dyDescent="0.35">
      <c r="A2279" s="7">
        <v>2278</v>
      </c>
      <c r="B2279" s="9">
        <v>1060</v>
      </c>
      <c r="C2279" s="14" t="str">
        <f>IFERROR(_xlfn.TEXTJOIN("-", TRUE, _xlfn.XLOOKUP(K2279, product_category_id_lookup!$A$2:$A$5, product_category_id_lookup!$B$2:$B$5), B2279), "Unknown Category")</f>
        <v>etc-1060</v>
      </c>
      <c r="D2279" s="8">
        <v>45343</v>
      </c>
      <c r="E2279" s="14">
        <f t="shared" si="105"/>
        <v>2024</v>
      </c>
      <c r="F2279" s="29" t="str">
        <f t="shared" si="106"/>
        <v>Feb</v>
      </c>
      <c r="G2279" s="17" t="s">
        <v>29</v>
      </c>
      <c r="H2279" s="17" t="s">
        <v>23</v>
      </c>
      <c r="I2279" s="24">
        <v>119943.942</v>
      </c>
      <c r="J2279" s="32">
        <v>30</v>
      </c>
      <c r="K2279" s="17" t="s">
        <v>31</v>
      </c>
      <c r="L2279" s="24">
        <v>2554.27</v>
      </c>
      <c r="M2279" s="24">
        <v>4648.99</v>
      </c>
      <c r="N2279" s="34">
        <f>((sales_data_1[[#This Row],[Unit_Price]]*(1-sales_data_1[[#This Row],[Discount]]))-sales_data_1[[#This Row],[Unit_Cost]])*sales_data_1[[#This Row],[Quantity_Sold]]</f>
        <v>43315.84199999999</v>
      </c>
      <c r="O2279" s="17" t="s">
        <v>27</v>
      </c>
      <c r="P2279" s="26">
        <v>0.14000000000000001</v>
      </c>
      <c r="Q2279" s="17" t="s">
        <v>18</v>
      </c>
      <c r="R2279" s="17" t="s">
        <v>19</v>
      </c>
      <c r="S2279" s="50" t="str">
        <f t="shared" si="107"/>
        <v>Charlie-South</v>
      </c>
      <c r="T2279" s="59" t="str">
        <f>IF(ROUND(sales_data_1[[#This Row],[Profit_Margin]],2)=ROUND((sales_data_1[[#This Row],[Unit_Price]]*(1-sales_data_1[[#This Row],[Discount]]) - sales_data_1[[#This Row],[Unit_Cost]])*sales_data_1[[#This Row],[Quantity_Sold]],2), "PASS", "CHECK")</f>
        <v>PASS</v>
      </c>
    </row>
    <row r="2280" spans="1:20" x14ac:dyDescent="0.35">
      <c r="A2280" s="7">
        <v>2279</v>
      </c>
      <c r="B2280" s="9">
        <v>1017</v>
      </c>
      <c r="C2280" s="14" t="str">
        <f>IFERROR(_xlfn.TEXTJOIN("-", TRUE, _xlfn.XLOOKUP(K2280, product_category_id_lookup!$A$2:$A$5, product_category_id_lookup!$B$2:$B$5), B2280), "Unknown Category")</f>
        <v>fnt-1017</v>
      </c>
      <c r="D2280" s="8">
        <v>45344</v>
      </c>
      <c r="E2280" s="14">
        <f t="shared" si="105"/>
        <v>2024</v>
      </c>
      <c r="F2280" s="29" t="str">
        <f t="shared" si="106"/>
        <v>Feb</v>
      </c>
      <c r="G2280" s="17" t="s">
        <v>29</v>
      </c>
      <c r="H2280" s="17" t="s">
        <v>30</v>
      </c>
      <c r="I2280" s="24">
        <v>98155.233000000007</v>
      </c>
      <c r="J2280" s="32">
        <v>30</v>
      </c>
      <c r="K2280" s="17" t="s">
        <v>16</v>
      </c>
      <c r="L2280" s="24">
        <v>2252.81</v>
      </c>
      <c r="M2280" s="24">
        <v>4039.31</v>
      </c>
      <c r="N2280" s="34">
        <f>((sales_data_1[[#This Row],[Unit_Price]]*(1-sales_data_1[[#This Row],[Discount]]))-sales_data_1[[#This Row],[Unit_Cost]])*sales_data_1[[#This Row],[Quantity_Sold]]</f>
        <v>30570.933000000005</v>
      </c>
      <c r="O2280" s="17" t="s">
        <v>27</v>
      </c>
      <c r="P2280" s="26">
        <v>0.19</v>
      </c>
      <c r="Q2280" s="17" t="s">
        <v>25</v>
      </c>
      <c r="R2280" s="17" t="s">
        <v>21</v>
      </c>
      <c r="S2280" s="50" t="str">
        <f t="shared" si="107"/>
        <v>Charlie-East</v>
      </c>
      <c r="T2280" s="59" t="str">
        <f>IF(ROUND(sales_data_1[[#This Row],[Profit_Margin]],2)=ROUND((sales_data_1[[#This Row],[Unit_Price]]*(1-sales_data_1[[#This Row],[Discount]]) - sales_data_1[[#This Row],[Unit_Cost]])*sales_data_1[[#This Row],[Quantity_Sold]],2), "PASS", "CHECK")</f>
        <v>PASS</v>
      </c>
    </row>
    <row r="2281" spans="1:20" x14ac:dyDescent="0.35">
      <c r="A2281" s="7">
        <v>2280</v>
      </c>
      <c r="B2281" s="9">
        <v>1029</v>
      </c>
      <c r="C2281" s="14" t="str">
        <f>IFERROR(_xlfn.TEXTJOIN("-", TRUE, _xlfn.XLOOKUP(K2281, product_category_id_lookup!$A$2:$A$5, product_category_id_lookup!$B$2:$B$5), B2281), "Unknown Category")</f>
        <v>ctg-1029</v>
      </c>
      <c r="D2281" s="8">
        <v>45344</v>
      </c>
      <c r="E2281" s="14">
        <f t="shared" si="105"/>
        <v>2024</v>
      </c>
      <c r="F2281" s="29" t="str">
        <f t="shared" si="106"/>
        <v>Feb</v>
      </c>
      <c r="G2281" s="17" t="s">
        <v>33</v>
      </c>
      <c r="H2281" s="17" t="s">
        <v>20</v>
      </c>
      <c r="I2281" s="24">
        <v>88124.849999999991</v>
      </c>
      <c r="J2281" s="32">
        <v>45</v>
      </c>
      <c r="K2281" s="17" t="s">
        <v>26</v>
      </c>
      <c r="L2281" s="24">
        <v>741.86</v>
      </c>
      <c r="M2281" s="24">
        <v>2576.75</v>
      </c>
      <c r="N2281" s="34">
        <f>((sales_data_1[[#This Row],[Unit_Price]]*(1-sales_data_1[[#This Row],[Discount]]))-sales_data_1[[#This Row],[Unit_Cost]])*sales_data_1[[#This Row],[Quantity_Sold]]</f>
        <v>54741.149999999994</v>
      </c>
      <c r="O2281" s="17" t="s">
        <v>27</v>
      </c>
      <c r="P2281" s="26">
        <v>0.24</v>
      </c>
      <c r="Q2281" s="17" t="s">
        <v>28</v>
      </c>
      <c r="R2281" s="17" t="s">
        <v>19</v>
      </c>
      <c r="S2281" s="50" t="str">
        <f t="shared" si="107"/>
        <v>Alice-West</v>
      </c>
      <c r="T2281" s="59" t="str">
        <f>IF(ROUND(sales_data_1[[#This Row],[Profit_Margin]],2)=ROUND((sales_data_1[[#This Row],[Unit_Price]]*(1-sales_data_1[[#This Row],[Discount]]) - sales_data_1[[#This Row],[Unit_Cost]])*sales_data_1[[#This Row],[Quantity_Sold]],2), "PASS", "CHECK")</f>
        <v>PASS</v>
      </c>
    </row>
    <row r="2282" spans="1:20" x14ac:dyDescent="0.35">
      <c r="A2282" s="7">
        <v>2281</v>
      </c>
      <c r="B2282" s="9">
        <v>1055</v>
      </c>
      <c r="C2282" s="14" t="str">
        <f>IFERROR(_xlfn.TEXTJOIN("-", TRUE, _xlfn.XLOOKUP(K2282, product_category_id_lookup!$A$2:$A$5, product_category_id_lookup!$B$2:$B$5), B2282), "Unknown Category")</f>
        <v>fd-1055</v>
      </c>
      <c r="D2282" s="8">
        <v>45345</v>
      </c>
      <c r="E2282" s="14">
        <f t="shared" si="105"/>
        <v>2024</v>
      </c>
      <c r="F2282" s="29" t="str">
        <f t="shared" si="106"/>
        <v>Feb</v>
      </c>
      <c r="G2282" s="17" t="s">
        <v>14</v>
      </c>
      <c r="H2282" s="17" t="s">
        <v>23</v>
      </c>
      <c r="I2282" s="24">
        <v>80006.967000000004</v>
      </c>
      <c r="J2282" s="32">
        <v>18</v>
      </c>
      <c r="K2282" s="17" t="s">
        <v>24</v>
      </c>
      <c r="L2282" s="24">
        <v>4444.3500000000004</v>
      </c>
      <c r="M2282" s="24">
        <v>4678.7700000000004</v>
      </c>
      <c r="N2282" s="34">
        <f>((sales_data_1[[#This Row],[Unit_Price]]*(1-sales_data_1[[#This Row],[Discount]]))-sales_data_1[[#This Row],[Unit_Cost]])*sales_data_1[[#This Row],[Quantity_Sold]]</f>
        <v>8.6669999999976426</v>
      </c>
      <c r="O2282" s="17" t="s">
        <v>17</v>
      </c>
      <c r="P2282" s="26">
        <v>0.05</v>
      </c>
      <c r="Q2282" s="17" t="s">
        <v>25</v>
      </c>
      <c r="R2282" s="17" t="s">
        <v>21</v>
      </c>
      <c r="S2282" s="50" t="str">
        <f t="shared" si="107"/>
        <v>Bob-South</v>
      </c>
      <c r="T2282" s="59" t="str">
        <f>IF(ROUND(sales_data_1[[#This Row],[Profit_Margin]],2)=ROUND((sales_data_1[[#This Row],[Unit_Price]]*(1-sales_data_1[[#This Row],[Discount]]) - sales_data_1[[#This Row],[Unit_Cost]])*sales_data_1[[#This Row],[Quantity_Sold]],2), "PASS", "CHECK")</f>
        <v>PASS</v>
      </c>
    </row>
    <row r="2283" spans="1:20" x14ac:dyDescent="0.35">
      <c r="A2283" s="7">
        <v>2282</v>
      </c>
      <c r="B2283" s="9">
        <v>1083</v>
      </c>
      <c r="C2283" s="14" t="str">
        <f>IFERROR(_xlfn.TEXTJOIN("-", TRUE, _xlfn.XLOOKUP(K2283, product_category_id_lookup!$A$2:$A$5, product_category_id_lookup!$B$2:$B$5), B2283), "Unknown Category")</f>
        <v>fnt-1083</v>
      </c>
      <c r="D2283" s="8">
        <v>45345</v>
      </c>
      <c r="E2283" s="14">
        <f t="shared" si="105"/>
        <v>2024</v>
      </c>
      <c r="F2283" s="29" t="str">
        <f t="shared" si="106"/>
        <v>Feb</v>
      </c>
      <c r="G2283" s="17" t="s">
        <v>22</v>
      </c>
      <c r="H2283" s="17" t="s">
        <v>15</v>
      </c>
      <c r="I2283" s="24">
        <v>9602.9793000000009</v>
      </c>
      <c r="J2283" s="32">
        <v>3</v>
      </c>
      <c r="K2283" s="17" t="s">
        <v>16</v>
      </c>
      <c r="L2283" s="24">
        <v>2488.48</v>
      </c>
      <c r="M2283" s="24">
        <v>4051.89</v>
      </c>
      <c r="N2283" s="34">
        <f>((sales_data_1[[#This Row],[Unit_Price]]*(1-sales_data_1[[#This Row],[Discount]]))-sales_data_1[[#This Row],[Unit_Cost]])*sales_data_1[[#This Row],[Quantity_Sold]]</f>
        <v>2137.5393000000004</v>
      </c>
      <c r="O2283" s="17" t="s">
        <v>27</v>
      </c>
      <c r="P2283" s="26">
        <v>0.21</v>
      </c>
      <c r="Q2283" s="17" t="s">
        <v>25</v>
      </c>
      <c r="R2283" s="17" t="s">
        <v>21</v>
      </c>
      <c r="S2283" s="50" t="str">
        <f t="shared" si="107"/>
        <v>David-North</v>
      </c>
      <c r="T2283" s="59" t="str">
        <f>IF(ROUND(sales_data_1[[#This Row],[Profit_Margin]],2)=ROUND((sales_data_1[[#This Row],[Unit_Price]]*(1-sales_data_1[[#This Row],[Discount]]) - sales_data_1[[#This Row],[Unit_Cost]])*sales_data_1[[#This Row],[Quantity_Sold]],2), "PASS", "CHECK")</f>
        <v>PASS</v>
      </c>
    </row>
    <row r="2284" spans="1:20" x14ac:dyDescent="0.35">
      <c r="A2284" s="7">
        <v>2283</v>
      </c>
      <c r="B2284" s="9">
        <v>1016</v>
      </c>
      <c r="C2284" s="14" t="str">
        <f>IFERROR(_xlfn.TEXTJOIN("-", TRUE, _xlfn.XLOOKUP(K2284, product_category_id_lookup!$A$2:$A$5, product_category_id_lookup!$B$2:$B$5), B2284), "Unknown Category")</f>
        <v>fnt-1016</v>
      </c>
      <c r="D2284" s="8">
        <v>45345</v>
      </c>
      <c r="E2284" s="14">
        <f t="shared" si="105"/>
        <v>2024</v>
      </c>
      <c r="F2284" s="29" t="str">
        <f t="shared" si="106"/>
        <v>Feb</v>
      </c>
      <c r="G2284" s="17" t="s">
        <v>29</v>
      </c>
      <c r="H2284" s="17" t="s">
        <v>30</v>
      </c>
      <c r="I2284" s="24">
        <v>158555.75999999998</v>
      </c>
      <c r="J2284" s="32">
        <v>38</v>
      </c>
      <c r="K2284" s="17" t="s">
        <v>16</v>
      </c>
      <c r="L2284" s="24">
        <v>3907.23</v>
      </c>
      <c r="M2284" s="24">
        <v>5215.6499999999996</v>
      </c>
      <c r="N2284" s="34">
        <f>((sales_data_1[[#This Row],[Unit_Price]]*(1-sales_data_1[[#This Row],[Discount]]))-sales_data_1[[#This Row],[Unit_Cost]])*sales_data_1[[#This Row],[Quantity_Sold]]</f>
        <v>10081.019999999982</v>
      </c>
      <c r="O2284" s="17" t="s">
        <v>27</v>
      </c>
      <c r="P2284" s="26">
        <v>0.2</v>
      </c>
      <c r="Q2284" s="17" t="s">
        <v>18</v>
      </c>
      <c r="R2284" s="17" t="s">
        <v>21</v>
      </c>
      <c r="S2284" s="50" t="str">
        <f t="shared" si="107"/>
        <v>Charlie-East</v>
      </c>
      <c r="T2284" s="59" t="str">
        <f>IF(ROUND(sales_data_1[[#This Row],[Profit_Margin]],2)=ROUND((sales_data_1[[#This Row],[Unit_Price]]*(1-sales_data_1[[#This Row],[Discount]]) - sales_data_1[[#This Row],[Unit_Cost]])*sales_data_1[[#This Row],[Quantity_Sold]],2), "PASS", "CHECK")</f>
        <v>PASS</v>
      </c>
    </row>
    <row r="2285" spans="1:20" x14ac:dyDescent="0.35">
      <c r="A2285" s="7">
        <v>2284</v>
      </c>
      <c r="B2285" s="9">
        <v>1031</v>
      </c>
      <c r="C2285" s="14" t="str">
        <f>IFERROR(_xlfn.TEXTJOIN("-", TRUE, _xlfn.XLOOKUP(K2285, product_category_id_lookup!$A$2:$A$5, product_category_id_lookup!$B$2:$B$5), B2285), "Unknown Category")</f>
        <v>etc-1031</v>
      </c>
      <c r="D2285" s="8">
        <v>45345</v>
      </c>
      <c r="E2285" s="14">
        <f t="shared" si="105"/>
        <v>2024</v>
      </c>
      <c r="F2285" s="29" t="str">
        <f t="shared" si="106"/>
        <v>Feb</v>
      </c>
      <c r="G2285" s="17" t="s">
        <v>29</v>
      </c>
      <c r="H2285" s="17" t="s">
        <v>23</v>
      </c>
      <c r="I2285" s="24">
        <v>152782.46320724135</v>
      </c>
      <c r="J2285" s="32">
        <v>35</v>
      </c>
      <c r="K2285" s="17" t="s">
        <v>31</v>
      </c>
      <c r="L2285" s="24">
        <v>3593.08</v>
      </c>
      <c r="M2285" s="24">
        <v>4522.97</v>
      </c>
      <c r="N2285" s="34">
        <f>((sales_data_1[[#This Row],[Unit_Price]]*(1-sales_data_1[[#This Row],[Discount]]))-sales_data_1[[#This Row],[Unit_Cost]])*sales_data_1[[#This Row],[Quantity_Sold]]</f>
        <v>27797.031499999994</v>
      </c>
      <c r="O2285" s="17" t="s">
        <v>17</v>
      </c>
      <c r="P2285" s="26">
        <v>0.03</v>
      </c>
      <c r="Q2285" s="17" t="s">
        <v>18</v>
      </c>
      <c r="R2285" s="17" t="s">
        <v>21</v>
      </c>
      <c r="S2285" s="50" t="str">
        <f t="shared" si="107"/>
        <v>Charlie-South</v>
      </c>
      <c r="T2285" s="59" t="str">
        <f>IF(ROUND(sales_data_1[[#This Row],[Profit_Margin]],2)=ROUND((sales_data_1[[#This Row],[Unit_Price]]*(1-sales_data_1[[#This Row],[Discount]]) - sales_data_1[[#This Row],[Unit_Cost]])*sales_data_1[[#This Row],[Quantity_Sold]],2), "PASS", "CHECK")</f>
        <v>PASS</v>
      </c>
    </row>
    <row r="2286" spans="1:20" x14ac:dyDescent="0.35">
      <c r="A2286" s="7">
        <v>2285</v>
      </c>
      <c r="B2286" s="9">
        <v>1035</v>
      </c>
      <c r="C2286" s="14" t="str">
        <f>IFERROR(_xlfn.TEXTJOIN("-", TRUE, _xlfn.XLOOKUP(K2286, product_category_id_lookup!$A$2:$A$5, product_category_id_lookup!$B$2:$B$5), B2286), "Unknown Category")</f>
        <v>ctg-1035</v>
      </c>
      <c r="D2286" s="8">
        <v>45345</v>
      </c>
      <c r="E2286" s="14">
        <f t="shared" si="105"/>
        <v>2024</v>
      </c>
      <c r="F2286" s="29" t="str">
        <f t="shared" si="106"/>
        <v>Feb</v>
      </c>
      <c r="G2286" s="17" t="s">
        <v>32</v>
      </c>
      <c r="H2286" s="17" t="s">
        <v>30</v>
      </c>
      <c r="I2286" s="24">
        <v>97141.37999999999</v>
      </c>
      <c r="J2286" s="32">
        <v>25</v>
      </c>
      <c r="K2286" s="17" t="s">
        <v>26</v>
      </c>
      <c r="L2286" s="24">
        <v>1456.17</v>
      </c>
      <c r="M2286" s="24">
        <v>4625.78</v>
      </c>
      <c r="N2286" s="34">
        <f>((sales_data_1[[#This Row],[Unit_Price]]*(1-sales_data_1[[#This Row],[Discount]]))-sales_data_1[[#This Row],[Unit_Cost]])*sales_data_1[[#This Row],[Quantity_Sold]]</f>
        <v>60737.12999999999</v>
      </c>
      <c r="O2286" s="17" t="s">
        <v>27</v>
      </c>
      <c r="P2286" s="26">
        <v>0.16</v>
      </c>
      <c r="Q2286" s="17" t="s">
        <v>28</v>
      </c>
      <c r="R2286" s="17" t="s">
        <v>19</v>
      </c>
      <c r="S2286" s="50" t="str">
        <f t="shared" si="107"/>
        <v>Eve-East</v>
      </c>
      <c r="T2286" s="59" t="str">
        <f>IF(ROUND(sales_data_1[[#This Row],[Profit_Margin]],2)=ROUND((sales_data_1[[#This Row],[Unit_Price]]*(1-sales_data_1[[#This Row],[Discount]]) - sales_data_1[[#This Row],[Unit_Cost]])*sales_data_1[[#This Row],[Quantity_Sold]],2), "PASS", "CHECK")</f>
        <v>PASS</v>
      </c>
    </row>
    <row r="2287" spans="1:20" x14ac:dyDescent="0.35">
      <c r="A2287" s="7">
        <v>2286</v>
      </c>
      <c r="B2287" s="9">
        <v>1086</v>
      </c>
      <c r="C2287" s="14" t="str">
        <f>IFERROR(_xlfn.TEXTJOIN("-", TRUE, _xlfn.XLOOKUP(K2287, product_category_id_lookup!$A$2:$A$5, product_category_id_lookup!$B$2:$B$5), B2287), "Unknown Category")</f>
        <v>fnt-1086</v>
      </c>
      <c r="D2287" s="8">
        <v>45346</v>
      </c>
      <c r="E2287" s="14">
        <f t="shared" si="105"/>
        <v>2024</v>
      </c>
      <c r="F2287" s="29" t="str">
        <f t="shared" si="106"/>
        <v>Feb</v>
      </c>
      <c r="G2287" s="17" t="s">
        <v>14</v>
      </c>
      <c r="H2287" s="17" t="s">
        <v>23</v>
      </c>
      <c r="I2287" s="24">
        <v>137596.57487561443</v>
      </c>
      <c r="J2287" s="32">
        <v>32</v>
      </c>
      <c r="K2287" s="17" t="s">
        <v>16</v>
      </c>
      <c r="L2287" s="24">
        <v>4208.83</v>
      </c>
      <c r="M2287" s="24">
        <v>4375.78</v>
      </c>
      <c r="N2287" s="34">
        <f>((sales_data_1[[#This Row],[Unit_Price]]*(1-sales_data_1[[#This Row],[Discount]]))-sales_data_1[[#This Row],[Unit_Cost]])*sales_data_1[[#This Row],[Quantity_Sold]]</f>
        <v>2541.9008000000031</v>
      </c>
      <c r="O2287" s="17" t="s">
        <v>27</v>
      </c>
      <c r="P2287" s="26">
        <v>0.02</v>
      </c>
      <c r="Q2287" s="17" t="s">
        <v>18</v>
      </c>
      <c r="R2287" s="17" t="s">
        <v>19</v>
      </c>
      <c r="S2287" s="50" t="str">
        <f t="shared" si="107"/>
        <v>Bob-South</v>
      </c>
      <c r="T2287" s="59" t="str">
        <f>IF(ROUND(sales_data_1[[#This Row],[Profit_Margin]],2)=ROUND((sales_data_1[[#This Row],[Unit_Price]]*(1-sales_data_1[[#This Row],[Discount]]) - sales_data_1[[#This Row],[Unit_Cost]])*sales_data_1[[#This Row],[Quantity_Sold]],2), "PASS", "CHECK")</f>
        <v>PASS</v>
      </c>
    </row>
    <row r="2288" spans="1:20" x14ac:dyDescent="0.35">
      <c r="A2288" s="7">
        <v>2287</v>
      </c>
      <c r="B2288" s="9">
        <v>1036</v>
      </c>
      <c r="C2288" s="14" t="str">
        <f>IFERROR(_xlfn.TEXTJOIN("-", TRUE, _xlfn.XLOOKUP(K2288, product_category_id_lookup!$A$2:$A$5, product_category_id_lookup!$B$2:$B$5), B2288), "Unknown Category")</f>
        <v>fnt-1036</v>
      </c>
      <c r="D2288" s="8">
        <v>45346</v>
      </c>
      <c r="E2288" s="14">
        <f t="shared" si="105"/>
        <v>2024</v>
      </c>
      <c r="F2288" s="29" t="str">
        <f t="shared" si="106"/>
        <v>Feb</v>
      </c>
      <c r="G2288" s="17" t="s">
        <v>29</v>
      </c>
      <c r="H2288" s="17" t="s">
        <v>15</v>
      </c>
      <c r="I2288" s="24">
        <v>146164</v>
      </c>
      <c r="J2288" s="32">
        <v>50</v>
      </c>
      <c r="K2288" s="17" t="s">
        <v>16</v>
      </c>
      <c r="L2288" s="24">
        <v>2605.16</v>
      </c>
      <c r="M2288" s="24">
        <v>2923.28</v>
      </c>
      <c r="N2288" s="34">
        <f>((sales_data_1[[#This Row],[Unit_Price]]*(1-sales_data_1[[#This Row],[Discount]]))-sales_data_1[[#This Row],[Unit_Cost]])*sales_data_1[[#This Row],[Quantity_Sold]]</f>
        <v>15906.000000000018</v>
      </c>
      <c r="O2288" s="17" t="s">
        <v>17</v>
      </c>
      <c r="P2288" s="26">
        <v>0</v>
      </c>
      <c r="Q2288" s="17" t="s">
        <v>18</v>
      </c>
      <c r="R2288" s="17" t="s">
        <v>21</v>
      </c>
      <c r="S2288" s="50" t="str">
        <f t="shared" si="107"/>
        <v>Charlie-North</v>
      </c>
      <c r="T2288" s="59" t="str">
        <f>IF(ROUND(sales_data_1[[#This Row],[Profit_Margin]],2)=ROUND((sales_data_1[[#This Row],[Unit_Price]]*(1-sales_data_1[[#This Row],[Discount]]) - sales_data_1[[#This Row],[Unit_Cost]])*sales_data_1[[#This Row],[Quantity_Sold]],2), "PASS", "CHECK")</f>
        <v>PASS</v>
      </c>
    </row>
    <row r="2289" spans="1:20" x14ac:dyDescent="0.35">
      <c r="A2289" s="7">
        <v>2288</v>
      </c>
      <c r="B2289" s="9">
        <v>1010</v>
      </c>
      <c r="C2289" s="14" t="str">
        <f>IFERROR(_xlfn.TEXTJOIN("-", TRUE, _xlfn.XLOOKUP(K2289, product_category_id_lookup!$A$2:$A$5, product_category_id_lookup!$B$2:$B$5), B2289), "Unknown Category")</f>
        <v>fnt-1010</v>
      </c>
      <c r="D2289" s="8">
        <v>45346</v>
      </c>
      <c r="E2289" s="14">
        <f t="shared" si="105"/>
        <v>2024</v>
      </c>
      <c r="F2289" s="29" t="str">
        <f t="shared" si="106"/>
        <v>Feb</v>
      </c>
      <c r="G2289" s="17" t="s">
        <v>14</v>
      </c>
      <c r="H2289" s="17" t="s">
        <v>30</v>
      </c>
      <c r="I2289" s="24">
        <v>58922.784</v>
      </c>
      <c r="J2289" s="32">
        <v>30</v>
      </c>
      <c r="K2289" s="17" t="s">
        <v>16</v>
      </c>
      <c r="L2289" s="24">
        <v>966.76</v>
      </c>
      <c r="M2289" s="24">
        <v>2045.93</v>
      </c>
      <c r="N2289" s="34">
        <f>((sales_data_1[[#This Row],[Unit_Price]]*(1-sales_data_1[[#This Row],[Discount]]))-sales_data_1[[#This Row],[Unit_Cost]])*sales_data_1[[#This Row],[Quantity_Sold]]</f>
        <v>29919.983999999997</v>
      </c>
      <c r="O2289" s="17" t="s">
        <v>17</v>
      </c>
      <c r="P2289" s="26">
        <v>0.04</v>
      </c>
      <c r="Q2289" s="17" t="s">
        <v>28</v>
      </c>
      <c r="R2289" s="17" t="s">
        <v>21</v>
      </c>
      <c r="S2289" s="50" t="str">
        <f t="shared" si="107"/>
        <v>Bob-East</v>
      </c>
      <c r="T2289" s="59" t="str">
        <f>IF(ROUND(sales_data_1[[#This Row],[Profit_Margin]],2)=ROUND((sales_data_1[[#This Row],[Unit_Price]]*(1-sales_data_1[[#This Row],[Discount]]) - sales_data_1[[#This Row],[Unit_Cost]])*sales_data_1[[#This Row],[Quantity_Sold]],2), "PASS", "CHECK")</f>
        <v>PASS</v>
      </c>
    </row>
    <row r="2290" spans="1:20" x14ac:dyDescent="0.35">
      <c r="A2290" s="7">
        <v>2289</v>
      </c>
      <c r="B2290" s="9">
        <v>1085</v>
      </c>
      <c r="C2290" s="14" t="str">
        <f>IFERROR(_xlfn.TEXTJOIN("-", TRUE, _xlfn.XLOOKUP(K2290, product_category_id_lookup!$A$2:$A$5, product_category_id_lookup!$B$2:$B$5), B2290), "Unknown Category")</f>
        <v>fnt-1085</v>
      </c>
      <c r="D2290" s="8">
        <v>45346</v>
      </c>
      <c r="E2290" s="14">
        <f t="shared" si="105"/>
        <v>2024</v>
      </c>
      <c r="F2290" s="29" t="str">
        <f t="shared" si="106"/>
        <v>Feb</v>
      </c>
      <c r="G2290" s="17" t="s">
        <v>33</v>
      </c>
      <c r="H2290" s="17" t="s">
        <v>15</v>
      </c>
      <c r="I2290" s="24">
        <v>88325.34060000001</v>
      </c>
      <c r="J2290" s="32">
        <v>23</v>
      </c>
      <c r="K2290" s="17" t="s">
        <v>16</v>
      </c>
      <c r="L2290" s="24">
        <v>1168.71</v>
      </c>
      <c r="M2290" s="24">
        <v>4683.21</v>
      </c>
      <c r="N2290" s="34">
        <f>((sales_data_1[[#This Row],[Unit_Price]]*(1-sales_data_1[[#This Row],[Discount]]))-sales_data_1[[#This Row],[Unit_Cost]])*sales_data_1[[#This Row],[Quantity_Sold]]</f>
        <v>61445.010600000009</v>
      </c>
      <c r="O2290" s="17" t="s">
        <v>17</v>
      </c>
      <c r="P2290" s="26">
        <v>0.18</v>
      </c>
      <c r="Q2290" s="17" t="s">
        <v>18</v>
      </c>
      <c r="R2290" s="17" t="s">
        <v>21</v>
      </c>
      <c r="S2290" s="50" t="str">
        <f t="shared" si="107"/>
        <v>Alice-North</v>
      </c>
      <c r="T2290" s="59" t="str">
        <f>IF(ROUND(sales_data_1[[#This Row],[Profit_Margin]],2)=ROUND((sales_data_1[[#This Row],[Unit_Price]]*(1-sales_data_1[[#This Row],[Discount]]) - sales_data_1[[#This Row],[Unit_Cost]])*sales_data_1[[#This Row],[Quantity_Sold]],2), "PASS", "CHECK")</f>
        <v>PASS</v>
      </c>
    </row>
    <row r="2291" spans="1:20" x14ac:dyDescent="0.35">
      <c r="A2291" s="7">
        <v>2290</v>
      </c>
      <c r="B2291" s="9">
        <v>1072</v>
      </c>
      <c r="C2291" s="14" t="str">
        <f>IFERROR(_xlfn.TEXTJOIN("-", TRUE, _xlfn.XLOOKUP(K2291, product_category_id_lookup!$A$2:$A$5, product_category_id_lookup!$B$2:$B$5), B2291), "Unknown Category")</f>
        <v>ctg-1072</v>
      </c>
      <c r="D2291" s="8">
        <v>45346</v>
      </c>
      <c r="E2291" s="14">
        <f t="shared" si="105"/>
        <v>2024</v>
      </c>
      <c r="F2291" s="29" t="str">
        <f t="shared" si="106"/>
        <v>Feb</v>
      </c>
      <c r="G2291" s="17" t="s">
        <v>14</v>
      </c>
      <c r="H2291" s="17" t="s">
        <v>30</v>
      </c>
      <c r="I2291" s="24">
        <v>92072.331999999995</v>
      </c>
      <c r="J2291" s="32">
        <v>29</v>
      </c>
      <c r="K2291" s="17" t="s">
        <v>26</v>
      </c>
      <c r="L2291" s="24">
        <v>823.81</v>
      </c>
      <c r="M2291" s="24">
        <v>3607.85</v>
      </c>
      <c r="N2291" s="34">
        <f>((sales_data_1[[#This Row],[Unit_Price]]*(1-sales_data_1[[#This Row],[Discount]]))-sales_data_1[[#This Row],[Unit_Cost]])*sales_data_1[[#This Row],[Quantity_Sold]]</f>
        <v>68181.842000000004</v>
      </c>
      <c r="O2291" s="17" t="s">
        <v>27</v>
      </c>
      <c r="P2291" s="26">
        <v>0.12</v>
      </c>
      <c r="Q2291" s="17" t="s">
        <v>25</v>
      </c>
      <c r="R2291" s="17" t="s">
        <v>19</v>
      </c>
      <c r="S2291" s="50" t="str">
        <f t="shared" si="107"/>
        <v>Bob-East</v>
      </c>
      <c r="T2291" s="59" t="str">
        <f>IF(ROUND(sales_data_1[[#This Row],[Profit_Margin]],2)=ROUND((sales_data_1[[#This Row],[Unit_Price]]*(1-sales_data_1[[#This Row],[Discount]]) - sales_data_1[[#This Row],[Unit_Cost]])*sales_data_1[[#This Row],[Quantity_Sold]],2), "PASS", "CHECK")</f>
        <v>PASS</v>
      </c>
    </row>
    <row r="2292" spans="1:20" x14ac:dyDescent="0.35">
      <c r="A2292" s="7">
        <v>2291</v>
      </c>
      <c r="B2292" s="9">
        <v>1089</v>
      </c>
      <c r="C2292" s="14" t="str">
        <f>IFERROR(_xlfn.TEXTJOIN("-", TRUE, _xlfn.XLOOKUP(K2292, product_category_id_lookup!$A$2:$A$5, product_category_id_lookup!$B$2:$B$5), B2292), "Unknown Category")</f>
        <v>fd-1089</v>
      </c>
      <c r="D2292" s="8">
        <v>45347</v>
      </c>
      <c r="E2292" s="14">
        <f t="shared" si="105"/>
        <v>2024</v>
      </c>
      <c r="F2292" s="29" t="str">
        <f t="shared" si="106"/>
        <v>Feb</v>
      </c>
      <c r="G2292" s="17" t="s">
        <v>33</v>
      </c>
      <c r="H2292" s="17" t="s">
        <v>20</v>
      </c>
      <c r="I2292" s="24">
        <v>130003.83216956057</v>
      </c>
      <c r="J2292" s="32">
        <v>34</v>
      </c>
      <c r="K2292" s="17" t="s">
        <v>24</v>
      </c>
      <c r="L2292" s="24">
        <v>3799.82</v>
      </c>
      <c r="M2292" s="24">
        <v>3843.28</v>
      </c>
      <c r="N2292" s="34">
        <f>((sales_data_1[[#This Row],[Unit_Price]]*(1-sales_data_1[[#This Row],[Discount]]))-sales_data_1[[#This Row],[Unit_Cost]])*sales_data_1[[#This Row],[Quantity_Sold]]</f>
        <v>170.92479999999978</v>
      </c>
      <c r="O2292" s="17" t="s">
        <v>17</v>
      </c>
      <c r="P2292" s="26">
        <v>0.01</v>
      </c>
      <c r="Q2292" s="17" t="s">
        <v>28</v>
      </c>
      <c r="R2292" s="17" t="s">
        <v>19</v>
      </c>
      <c r="S2292" s="50" t="str">
        <f t="shared" si="107"/>
        <v>Alice-West</v>
      </c>
      <c r="T2292" s="59" t="str">
        <f>IF(ROUND(sales_data_1[[#This Row],[Profit_Margin]],2)=ROUND((sales_data_1[[#This Row],[Unit_Price]]*(1-sales_data_1[[#This Row],[Discount]]) - sales_data_1[[#This Row],[Unit_Cost]])*sales_data_1[[#This Row],[Quantity_Sold]],2), "PASS", "CHECK")</f>
        <v>PASS</v>
      </c>
    </row>
    <row r="2293" spans="1:20" x14ac:dyDescent="0.35">
      <c r="A2293" s="7">
        <v>2292</v>
      </c>
      <c r="B2293" s="9">
        <v>1078</v>
      </c>
      <c r="C2293" s="14" t="str">
        <f>IFERROR(_xlfn.TEXTJOIN("-", TRUE, _xlfn.XLOOKUP(K2293, product_category_id_lookup!$A$2:$A$5, product_category_id_lookup!$B$2:$B$5), B2293), "Unknown Category")</f>
        <v>ctg-1078</v>
      </c>
      <c r="D2293" s="8">
        <v>45347</v>
      </c>
      <c r="E2293" s="14">
        <f t="shared" si="105"/>
        <v>2024</v>
      </c>
      <c r="F2293" s="29" t="str">
        <f t="shared" si="106"/>
        <v>Feb</v>
      </c>
      <c r="G2293" s="17" t="s">
        <v>32</v>
      </c>
      <c r="H2293" s="17" t="s">
        <v>23</v>
      </c>
      <c r="I2293" s="24">
        <v>150150.26519999999</v>
      </c>
      <c r="J2293" s="32">
        <v>39</v>
      </c>
      <c r="K2293" s="17" t="s">
        <v>26</v>
      </c>
      <c r="L2293" s="24">
        <v>2279.17</v>
      </c>
      <c r="M2293" s="24">
        <v>4184.79</v>
      </c>
      <c r="N2293" s="34">
        <f>((sales_data_1[[#This Row],[Unit_Price]]*(1-sales_data_1[[#This Row],[Discount]]))-sales_data_1[[#This Row],[Unit_Cost]])*sales_data_1[[#This Row],[Quantity_Sold]]</f>
        <v>61262.635200000004</v>
      </c>
      <c r="O2293" s="17" t="s">
        <v>27</v>
      </c>
      <c r="P2293" s="26">
        <v>0.08</v>
      </c>
      <c r="Q2293" s="17" t="s">
        <v>25</v>
      </c>
      <c r="R2293" s="17" t="s">
        <v>19</v>
      </c>
      <c r="S2293" s="50" t="str">
        <f t="shared" si="107"/>
        <v>Eve-South</v>
      </c>
      <c r="T2293" s="59" t="str">
        <f>IF(ROUND(sales_data_1[[#This Row],[Profit_Margin]],2)=ROUND((sales_data_1[[#This Row],[Unit_Price]]*(1-sales_data_1[[#This Row],[Discount]]) - sales_data_1[[#This Row],[Unit_Cost]])*sales_data_1[[#This Row],[Quantity_Sold]],2), "PASS", "CHECK")</f>
        <v>PASS</v>
      </c>
    </row>
    <row r="2294" spans="1:20" x14ac:dyDescent="0.35">
      <c r="A2294" s="7">
        <v>2293</v>
      </c>
      <c r="B2294" s="9">
        <v>1089</v>
      </c>
      <c r="C2294" s="14" t="str">
        <f>IFERROR(_xlfn.TEXTJOIN("-", TRUE, _xlfn.XLOOKUP(K2294, product_category_id_lookup!$A$2:$A$5, product_category_id_lookup!$B$2:$B$5), B2294), "Unknown Category")</f>
        <v>ctg-1089</v>
      </c>
      <c r="D2294" s="8">
        <v>45347</v>
      </c>
      <c r="E2294" s="14">
        <f t="shared" si="105"/>
        <v>2024</v>
      </c>
      <c r="F2294" s="29" t="str">
        <f t="shared" si="106"/>
        <v>Feb</v>
      </c>
      <c r="G2294" s="17" t="s">
        <v>22</v>
      </c>
      <c r="H2294" s="17" t="s">
        <v>15</v>
      </c>
      <c r="I2294" s="24">
        <v>84050.524799999999</v>
      </c>
      <c r="J2294" s="32">
        <v>27</v>
      </c>
      <c r="K2294" s="17" t="s">
        <v>26</v>
      </c>
      <c r="L2294" s="24">
        <v>549.62</v>
      </c>
      <c r="M2294" s="24">
        <v>3537.48</v>
      </c>
      <c r="N2294" s="34">
        <f>((sales_data_1[[#This Row],[Unit_Price]]*(1-sales_data_1[[#This Row],[Discount]]))-sales_data_1[[#This Row],[Unit_Cost]])*sales_data_1[[#This Row],[Quantity_Sold]]</f>
        <v>69210.784799999994</v>
      </c>
      <c r="O2294" s="17" t="s">
        <v>27</v>
      </c>
      <c r="P2294" s="26">
        <v>0.12</v>
      </c>
      <c r="Q2294" s="17" t="s">
        <v>28</v>
      </c>
      <c r="R2294" s="17" t="s">
        <v>21</v>
      </c>
      <c r="S2294" s="50" t="str">
        <f t="shared" si="107"/>
        <v>David-North</v>
      </c>
      <c r="T2294" s="59" t="str">
        <f>IF(ROUND(sales_data_1[[#This Row],[Profit_Margin]],2)=ROUND((sales_data_1[[#This Row],[Unit_Price]]*(1-sales_data_1[[#This Row],[Discount]]) - sales_data_1[[#This Row],[Unit_Cost]])*sales_data_1[[#This Row],[Quantity_Sold]],2), "PASS", "CHECK")</f>
        <v>PASS</v>
      </c>
    </row>
    <row r="2295" spans="1:20" x14ac:dyDescent="0.35">
      <c r="A2295" s="7">
        <v>2294</v>
      </c>
      <c r="B2295" s="9">
        <v>1011</v>
      </c>
      <c r="C2295" s="14" t="str">
        <f>IFERROR(_xlfn.TEXTJOIN("-", TRUE, _xlfn.XLOOKUP(K2295, product_category_id_lookup!$A$2:$A$5, product_category_id_lookup!$B$2:$B$5), B2295), "Unknown Category")</f>
        <v>fd-1011</v>
      </c>
      <c r="D2295" s="8">
        <v>45347</v>
      </c>
      <c r="E2295" s="14">
        <f t="shared" si="105"/>
        <v>2024</v>
      </c>
      <c r="F2295" s="29" t="str">
        <f t="shared" si="106"/>
        <v>Feb</v>
      </c>
      <c r="G2295" s="17" t="s">
        <v>33</v>
      </c>
      <c r="H2295" s="17" t="s">
        <v>20</v>
      </c>
      <c r="I2295" s="24">
        <v>117889.1952</v>
      </c>
      <c r="J2295" s="32">
        <v>42</v>
      </c>
      <c r="K2295" s="17" t="s">
        <v>24</v>
      </c>
      <c r="L2295" s="24">
        <v>736.04</v>
      </c>
      <c r="M2295" s="24">
        <v>3953.36</v>
      </c>
      <c r="N2295" s="34">
        <f>((sales_data_1[[#This Row],[Unit_Price]]*(1-sales_data_1[[#This Row],[Discount]]))-sales_data_1[[#This Row],[Unit_Cost]])*sales_data_1[[#This Row],[Quantity_Sold]]</f>
        <v>86975.515200000009</v>
      </c>
      <c r="O2295" s="17" t="s">
        <v>17</v>
      </c>
      <c r="P2295" s="26">
        <v>0.28999999999999998</v>
      </c>
      <c r="Q2295" s="17" t="s">
        <v>25</v>
      </c>
      <c r="R2295" s="17" t="s">
        <v>19</v>
      </c>
      <c r="S2295" s="50" t="str">
        <f t="shared" si="107"/>
        <v>Alice-West</v>
      </c>
      <c r="T2295" s="59" t="str">
        <f>IF(ROUND(sales_data_1[[#This Row],[Profit_Margin]],2)=ROUND((sales_data_1[[#This Row],[Unit_Price]]*(1-sales_data_1[[#This Row],[Discount]]) - sales_data_1[[#This Row],[Unit_Cost]])*sales_data_1[[#This Row],[Quantity_Sold]],2), "PASS", "CHECK")</f>
        <v>PASS</v>
      </c>
    </row>
    <row r="2296" spans="1:20" x14ac:dyDescent="0.35">
      <c r="A2296" s="7">
        <v>2295</v>
      </c>
      <c r="B2296" s="9">
        <v>1096</v>
      </c>
      <c r="C2296" s="14" t="str">
        <f>IFERROR(_xlfn.TEXTJOIN("-", TRUE, _xlfn.XLOOKUP(K2296, product_category_id_lookup!$A$2:$A$5, product_category_id_lookup!$B$2:$B$5), B2296), "Unknown Category")</f>
        <v>ctg-1096</v>
      </c>
      <c r="D2296" s="8">
        <v>45348</v>
      </c>
      <c r="E2296" s="14">
        <f t="shared" si="105"/>
        <v>2024</v>
      </c>
      <c r="F2296" s="29" t="str">
        <f t="shared" si="106"/>
        <v>Feb</v>
      </c>
      <c r="G2296" s="17" t="s">
        <v>14</v>
      </c>
      <c r="H2296" s="17" t="s">
        <v>30</v>
      </c>
      <c r="I2296" s="24">
        <v>61087.014000000003</v>
      </c>
      <c r="J2296" s="32">
        <v>15</v>
      </c>
      <c r="K2296" s="17" t="s">
        <v>26</v>
      </c>
      <c r="L2296" s="24">
        <v>2994.01</v>
      </c>
      <c r="M2296" s="24">
        <v>5358.51</v>
      </c>
      <c r="N2296" s="34">
        <f>((sales_data_1[[#This Row],[Unit_Price]]*(1-sales_data_1[[#This Row],[Discount]]))-sales_data_1[[#This Row],[Unit_Cost]])*sales_data_1[[#This Row],[Quantity_Sold]]</f>
        <v>16176.864000000003</v>
      </c>
      <c r="O2296" s="17" t="s">
        <v>27</v>
      </c>
      <c r="P2296" s="26">
        <v>0.24</v>
      </c>
      <c r="Q2296" s="17" t="s">
        <v>18</v>
      </c>
      <c r="R2296" s="17" t="s">
        <v>21</v>
      </c>
      <c r="S2296" s="50" t="str">
        <f t="shared" si="107"/>
        <v>Bob-East</v>
      </c>
      <c r="T2296" s="59" t="str">
        <f>IF(ROUND(sales_data_1[[#This Row],[Profit_Margin]],2)=ROUND((sales_data_1[[#This Row],[Unit_Price]]*(1-sales_data_1[[#This Row],[Discount]]) - sales_data_1[[#This Row],[Unit_Cost]])*sales_data_1[[#This Row],[Quantity_Sold]],2), "PASS", "CHECK")</f>
        <v>PASS</v>
      </c>
    </row>
    <row r="2297" spans="1:20" x14ac:dyDescent="0.35">
      <c r="A2297" s="7">
        <v>2296</v>
      </c>
      <c r="B2297" s="9">
        <v>1081</v>
      </c>
      <c r="C2297" s="14" t="str">
        <f>IFERROR(_xlfn.TEXTJOIN("-", TRUE, _xlfn.XLOOKUP(K2297, product_category_id_lookup!$A$2:$A$5, product_category_id_lookup!$B$2:$B$5), B2297), "Unknown Category")</f>
        <v>etc-1081</v>
      </c>
      <c r="D2297" s="8">
        <v>45349</v>
      </c>
      <c r="E2297" s="14">
        <f t="shared" si="105"/>
        <v>2024</v>
      </c>
      <c r="F2297" s="29" t="str">
        <f t="shared" si="106"/>
        <v>Feb</v>
      </c>
      <c r="G2297" s="17" t="s">
        <v>14</v>
      </c>
      <c r="H2297" s="17" t="s">
        <v>23</v>
      </c>
      <c r="I2297" s="24">
        <v>98710.088399999993</v>
      </c>
      <c r="J2297" s="32">
        <v>31</v>
      </c>
      <c r="K2297" s="17" t="s">
        <v>31</v>
      </c>
      <c r="L2297" s="24">
        <v>2759.77</v>
      </c>
      <c r="M2297" s="24">
        <v>4135.32</v>
      </c>
      <c r="N2297" s="34">
        <f>((sales_data_1[[#This Row],[Unit_Price]]*(1-sales_data_1[[#This Row],[Discount]]))-sales_data_1[[#This Row],[Unit_Cost]])*sales_data_1[[#This Row],[Quantity_Sold]]</f>
        <v>13157.218399999994</v>
      </c>
      <c r="O2297" s="17" t="s">
        <v>27</v>
      </c>
      <c r="P2297" s="26">
        <v>0.23</v>
      </c>
      <c r="Q2297" s="17" t="s">
        <v>18</v>
      </c>
      <c r="R2297" s="17" t="s">
        <v>21</v>
      </c>
      <c r="S2297" s="50" t="str">
        <f t="shared" si="107"/>
        <v>Bob-South</v>
      </c>
      <c r="T2297" s="59" t="str">
        <f>IF(ROUND(sales_data_1[[#This Row],[Profit_Margin]],2)=ROUND((sales_data_1[[#This Row],[Unit_Price]]*(1-sales_data_1[[#This Row],[Discount]]) - sales_data_1[[#This Row],[Unit_Cost]])*sales_data_1[[#This Row],[Quantity_Sold]],2), "PASS", "CHECK")</f>
        <v>PASS</v>
      </c>
    </row>
    <row r="2298" spans="1:20" x14ac:dyDescent="0.35">
      <c r="A2298" s="7">
        <v>2297</v>
      </c>
      <c r="B2298" s="9">
        <v>1086</v>
      </c>
      <c r="C2298" s="14" t="str">
        <f>IFERROR(_xlfn.TEXTJOIN("-", TRUE, _xlfn.XLOOKUP(K2298, product_category_id_lookup!$A$2:$A$5, product_category_id_lookup!$B$2:$B$5), B2298), "Unknown Category")</f>
        <v>etc-1086</v>
      </c>
      <c r="D2298" s="8">
        <v>45349</v>
      </c>
      <c r="E2298" s="14">
        <f t="shared" si="105"/>
        <v>2024</v>
      </c>
      <c r="F2298" s="29" t="str">
        <f t="shared" si="106"/>
        <v>Feb</v>
      </c>
      <c r="G2298" s="17" t="s">
        <v>22</v>
      </c>
      <c r="H2298" s="17" t="s">
        <v>20</v>
      </c>
      <c r="I2298" s="24">
        <v>38319.024799999999</v>
      </c>
      <c r="J2298" s="32">
        <v>14</v>
      </c>
      <c r="K2298" s="17" t="s">
        <v>31</v>
      </c>
      <c r="L2298" s="24">
        <v>1010.99</v>
      </c>
      <c r="M2298" s="24">
        <v>2911.78</v>
      </c>
      <c r="N2298" s="34">
        <f>((sales_data_1[[#This Row],[Unit_Price]]*(1-sales_data_1[[#This Row],[Discount]]))-sales_data_1[[#This Row],[Unit_Cost]])*sales_data_1[[#This Row],[Quantity_Sold]]</f>
        <v>24165.164799999999</v>
      </c>
      <c r="O2298" s="17" t="s">
        <v>17</v>
      </c>
      <c r="P2298" s="26">
        <v>0.06</v>
      </c>
      <c r="Q2298" s="17" t="s">
        <v>18</v>
      </c>
      <c r="R2298" s="17" t="s">
        <v>21</v>
      </c>
      <c r="S2298" s="50" t="str">
        <f t="shared" si="107"/>
        <v>David-West</v>
      </c>
      <c r="T2298" s="59" t="str">
        <f>IF(ROUND(sales_data_1[[#This Row],[Profit_Margin]],2)=ROUND((sales_data_1[[#This Row],[Unit_Price]]*(1-sales_data_1[[#This Row],[Discount]]) - sales_data_1[[#This Row],[Unit_Cost]])*sales_data_1[[#This Row],[Quantity_Sold]],2), "PASS", "CHECK")</f>
        <v>PASS</v>
      </c>
    </row>
    <row r="2299" spans="1:20" x14ac:dyDescent="0.35">
      <c r="A2299" s="7">
        <v>2298</v>
      </c>
      <c r="B2299" s="9">
        <v>1087</v>
      </c>
      <c r="C2299" s="14" t="str">
        <f>IFERROR(_xlfn.TEXTJOIN("-", TRUE, _xlfn.XLOOKUP(K2299, product_category_id_lookup!$A$2:$A$5, product_category_id_lookup!$B$2:$B$5), B2299), "Unknown Category")</f>
        <v>fnt-1087</v>
      </c>
      <c r="D2299" s="8">
        <v>45349</v>
      </c>
      <c r="E2299" s="14">
        <f t="shared" si="105"/>
        <v>2024</v>
      </c>
      <c r="F2299" s="29" t="str">
        <f t="shared" si="106"/>
        <v>Feb</v>
      </c>
      <c r="G2299" s="17" t="s">
        <v>33</v>
      </c>
      <c r="H2299" s="17" t="s">
        <v>15</v>
      </c>
      <c r="I2299" s="24">
        <v>117283.67819999999</v>
      </c>
      <c r="J2299" s="32">
        <v>39</v>
      </c>
      <c r="K2299" s="17" t="s">
        <v>16</v>
      </c>
      <c r="L2299" s="24">
        <v>473.09</v>
      </c>
      <c r="M2299" s="24">
        <v>3496.83</v>
      </c>
      <c r="N2299" s="34">
        <f>((sales_data_1[[#This Row],[Unit_Price]]*(1-sales_data_1[[#This Row],[Discount]]))-sales_data_1[[#This Row],[Unit_Cost]])*sales_data_1[[#This Row],[Quantity_Sold]]</f>
        <v>98833.168199999986</v>
      </c>
      <c r="O2299" s="17" t="s">
        <v>17</v>
      </c>
      <c r="P2299" s="26">
        <v>0.14000000000000001</v>
      </c>
      <c r="Q2299" s="17" t="s">
        <v>25</v>
      </c>
      <c r="R2299" s="17" t="s">
        <v>19</v>
      </c>
      <c r="S2299" s="50" t="str">
        <f t="shared" si="107"/>
        <v>Alice-North</v>
      </c>
      <c r="T2299" s="59" t="str">
        <f>IF(ROUND(sales_data_1[[#This Row],[Profit_Margin]],2)=ROUND((sales_data_1[[#This Row],[Unit_Price]]*(1-sales_data_1[[#This Row],[Discount]]) - sales_data_1[[#This Row],[Unit_Cost]])*sales_data_1[[#This Row],[Quantity_Sold]],2), "PASS", "CHECK")</f>
        <v>PASS</v>
      </c>
    </row>
    <row r="2300" spans="1:20" x14ac:dyDescent="0.35">
      <c r="A2300" s="7">
        <v>2299</v>
      </c>
      <c r="B2300" s="9">
        <v>1098</v>
      </c>
      <c r="C2300" s="14" t="str">
        <f>IFERROR(_xlfn.TEXTJOIN("-", TRUE, _xlfn.XLOOKUP(K2300, product_category_id_lookup!$A$2:$A$5, product_category_id_lookup!$B$2:$B$5), B2300), "Unknown Category")</f>
        <v>etc-1098</v>
      </c>
      <c r="D2300" s="8">
        <v>45350</v>
      </c>
      <c r="E2300" s="14">
        <f t="shared" si="105"/>
        <v>2024</v>
      </c>
      <c r="F2300" s="29" t="str">
        <f t="shared" si="106"/>
        <v>Feb</v>
      </c>
      <c r="G2300" s="17" t="s">
        <v>29</v>
      </c>
      <c r="H2300" s="17" t="s">
        <v>20</v>
      </c>
      <c r="I2300" s="24">
        <v>51557.673999999999</v>
      </c>
      <c r="J2300" s="32">
        <v>23</v>
      </c>
      <c r="K2300" s="17" t="s">
        <v>31</v>
      </c>
      <c r="L2300" s="24">
        <v>1735.78</v>
      </c>
      <c r="M2300" s="24">
        <v>3202.34</v>
      </c>
      <c r="N2300" s="34">
        <f>((sales_data_1[[#This Row],[Unit_Price]]*(1-sales_data_1[[#This Row],[Discount]]))-sales_data_1[[#This Row],[Unit_Cost]])*sales_data_1[[#This Row],[Quantity_Sold]]</f>
        <v>11634.733999999999</v>
      </c>
      <c r="O2300" s="17" t="s">
        <v>17</v>
      </c>
      <c r="P2300" s="26">
        <v>0.3</v>
      </c>
      <c r="Q2300" s="17" t="s">
        <v>28</v>
      </c>
      <c r="R2300" s="17" t="s">
        <v>21</v>
      </c>
      <c r="S2300" s="50" t="str">
        <f t="shared" si="107"/>
        <v>Charlie-West</v>
      </c>
      <c r="T2300" s="59" t="str">
        <f>IF(ROUND(sales_data_1[[#This Row],[Profit_Margin]],2)=ROUND((sales_data_1[[#This Row],[Unit_Price]]*(1-sales_data_1[[#This Row],[Discount]]) - sales_data_1[[#This Row],[Unit_Cost]])*sales_data_1[[#This Row],[Quantity_Sold]],2), "PASS", "CHECK")</f>
        <v>PASS</v>
      </c>
    </row>
    <row r="2301" spans="1:20" x14ac:dyDescent="0.35">
      <c r="A2301" s="7">
        <v>2300</v>
      </c>
      <c r="B2301" s="9">
        <v>1014</v>
      </c>
      <c r="C2301" s="14" t="str">
        <f>IFERROR(_xlfn.TEXTJOIN("-", TRUE, _xlfn.XLOOKUP(K2301, product_category_id_lookup!$A$2:$A$5, product_category_id_lookup!$B$2:$B$5), B2301), "Unknown Category")</f>
        <v>etc-1014</v>
      </c>
      <c r="D2301" s="8">
        <v>45350</v>
      </c>
      <c r="E2301" s="14">
        <f t="shared" si="105"/>
        <v>2024</v>
      </c>
      <c r="F2301" s="29" t="str">
        <f t="shared" si="106"/>
        <v>Feb</v>
      </c>
      <c r="G2301" s="17" t="s">
        <v>14</v>
      </c>
      <c r="H2301" s="17" t="s">
        <v>23</v>
      </c>
      <c r="I2301" s="24">
        <v>104170.64840000002</v>
      </c>
      <c r="J2301" s="32">
        <v>34</v>
      </c>
      <c r="K2301" s="17" t="s">
        <v>31</v>
      </c>
      <c r="L2301" s="24">
        <v>148.9</v>
      </c>
      <c r="M2301" s="24">
        <v>3366.86</v>
      </c>
      <c r="N2301" s="34">
        <f>((sales_data_1[[#This Row],[Unit_Price]]*(1-sales_data_1[[#This Row],[Discount]]))-sales_data_1[[#This Row],[Unit_Cost]])*sales_data_1[[#This Row],[Quantity_Sold]]</f>
        <v>99108.048400000014</v>
      </c>
      <c r="O2301" s="17" t="s">
        <v>17</v>
      </c>
      <c r="P2301" s="26">
        <v>0.09</v>
      </c>
      <c r="Q2301" s="17" t="s">
        <v>28</v>
      </c>
      <c r="R2301" s="17" t="s">
        <v>21</v>
      </c>
      <c r="S2301" s="50" t="str">
        <f t="shared" si="107"/>
        <v>Bob-South</v>
      </c>
      <c r="T2301" s="59" t="str">
        <f>IF(ROUND(sales_data_1[[#This Row],[Profit_Margin]],2)=ROUND((sales_data_1[[#This Row],[Unit_Price]]*(1-sales_data_1[[#This Row],[Discount]]) - sales_data_1[[#This Row],[Unit_Cost]])*sales_data_1[[#This Row],[Quantity_Sold]],2), "PASS", "CHECK")</f>
        <v>PASS</v>
      </c>
    </row>
    <row r="2302" spans="1:20" x14ac:dyDescent="0.35">
      <c r="A2302" s="7">
        <v>2301</v>
      </c>
      <c r="B2302" s="9">
        <v>1010</v>
      </c>
      <c r="C2302" s="14" t="str">
        <f>IFERROR(_xlfn.TEXTJOIN("-", TRUE, _xlfn.XLOOKUP(K2302, product_category_id_lookup!$A$2:$A$5, product_category_id_lookup!$B$2:$B$5), B2302), "Unknown Category")</f>
        <v>fnt-1010</v>
      </c>
      <c r="D2302" s="8">
        <v>45351</v>
      </c>
      <c r="E2302" s="14">
        <f t="shared" si="105"/>
        <v>2024</v>
      </c>
      <c r="F2302" s="29" t="str">
        <f t="shared" si="106"/>
        <v>Feb</v>
      </c>
      <c r="G2302" s="17" t="s">
        <v>29</v>
      </c>
      <c r="H2302" s="17" t="s">
        <v>23</v>
      </c>
      <c r="I2302" s="24">
        <v>101815.91419999998</v>
      </c>
      <c r="J2302" s="32">
        <v>49</v>
      </c>
      <c r="K2302" s="17" t="s">
        <v>16</v>
      </c>
      <c r="L2302" s="24">
        <v>1045.25</v>
      </c>
      <c r="M2302" s="24">
        <v>2142.14</v>
      </c>
      <c r="N2302" s="34">
        <f>((sales_data_1[[#This Row],[Unit_Price]]*(1-sales_data_1[[#This Row],[Discount]]))-sales_data_1[[#This Row],[Unit_Cost]])*sales_data_1[[#This Row],[Quantity_Sold]]</f>
        <v>50598.664199999992</v>
      </c>
      <c r="O2302" s="17" t="s">
        <v>17</v>
      </c>
      <c r="P2302" s="26">
        <v>0.03</v>
      </c>
      <c r="Q2302" s="17" t="s">
        <v>25</v>
      </c>
      <c r="R2302" s="17" t="s">
        <v>19</v>
      </c>
      <c r="S2302" s="50" t="str">
        <f t="shared" si="107"/>
        <v>Charlie-South</v>
      </c>
      <c r="T2302" s="59" t="str">
        <f>IF(ROUND(sales_data_1[[#This Row],[Profit_Margin]],2)=ROUND((sales_data_1[[#This Row],[Unit_Price]]*(1-sales_data_1[[#This Row],[Discount]]) - sales_data_1[[#This Row],[Unit_Cost]])*sales_data_1[[#This Row],[Quantity_Sold]],2), "PASS", "CHECK")</f>
        <v>PASS</v>
      </c>
    </row>
    <row r="2303" spans="1:20" x14ac:dyDescent="0.35">
      <c r="A2303" s="7">
        <v>2302</v>
      </c>
      <c r="B2303" s="9">
        <v>1020</v>
      </c>
      <c r="C2303" s="14" t="str">
        <f>IFERROR(_xlfn.TEXTJOIN("-", TRUE, _xlfn.XLOOKUP(K2303, product_category_id_lookup!$A$2:$A$5, product_category_id_lookup!$B$2:$B$5), B2303), "Unknown Category")</f>
        <v>etc-1020</v>
      </c>
      <c r="D2303" s="8">
        <v>45352</v>
      </c>
      <c r="E2303" s="14">
        <f t="shared" si="105"/>
        <v>2024</v>
      </c>
      <c r="F2303" s="29" t="str">
        <f t="shared" si="106"/>
        <v>Mar</v>
      </c>
      <c r="G2303" s="17" t="s">
        <v>29</v>
      </c>
      <c r="H2303" s="17" t="s">
        <v>20</v>
      </c>
      <c r="I2303" s="24">
        <v>99563.837799859306</v>
      </c>
      <c r="J2303" s="32">
        <v>19</v>
      </c>
      <c r="K2303" s="17" t="s">
        <v>31</v>
      </c>
      <c r="L2303" s="24">
        <v>4641.66</v>
      </c>
      <c r="M2303" s="24">
        <v>5498.55</v>
      </c>
      <c r="N2303" s="34">
        <f>((sales_data_1[[#This Row],[Unit_Price]]*(1-sales_data_1[[#This Row],[Discount]]))-sales_data_1[[#This Row],[Unit_Cost]])*sales_data_1[[#This Row],[Quantity_Sold]]</f>
        <v>11057.287499999993</v>
      </c>
      <c r="O2303" s="17" t="s">
        <v>17</v>
      </c>
      <c r="P2303" s="26">
        <v>0.05</v>
      </c>
      <c r="Q2303" s="17" t="s">
        <v>25</v>
      </c>
      <c r="R2303" s="17" t="s">
        <v>19</v>
      </c>
      <c r="S2303" s="50" t="str">
        <f t="shared" si="107"/>
        <v>Charlie-West</v>
      </c>
      <c r="T2303" s="59" t="str">
        <f>IF(ROUND(sales_data_1[[#This Row],[Profit_Margin]],2)=ROUND((sales_data_1[[#This Row],[Unit_Price]]*(1-sales_data_1[[#This Row],[Discount]]) - sales_data_1[[#This Row],[Unit_Cost]])*sales_data_1[[#This Row],[Quantity_Sold]],2), "PASS", "CHECK")</f>
        <v>PASS</v>
      </c>
    </row>
    <row r="2304" spans="1:20" x14ac:dyDescent="0.35">
      <c r="A2304" s="7">
        <v>2303</v>
      </c>
      <c r="B2304" s="9">
        <v>1002</v>
      </c>
      <c r="C2304" s="14" t="str">
        <f>IFERROR(_xlfn.TEXTJOIN("-", TRUE, _xlfn.XLOOKUP(K2304, product_category_id_lookup!$A$2:$A$5, product_category_id_lookup!$B$2:$B$5), B2304), "Unknown Category")</f>
        <v>etc-1002</v>
      </c>
      <c r="D2304" s="8">
        <v>45352</v>
      </c>
      <c r="E2304" s="14">
        <f t="shared" si="105"/>
        <v>2024</v>
      </c>
      <c r="F2304" s="29" t="str">
        <f t="shared" si="106"/>
        <v>Mar</v>
      </c>
      <c r="G2304" s="17" t="s">
        <v>32</v>
      </c>
      <c r="H2304" s="17" t="s">
        <v>23</v>
      </c>
      <c r="I2304" s="24">
        <v>71963.240999999995</v>
      </c>
      <c r="J2304" s="32">
        <v>21</v>
      </c>
      <c r="K2304" s="17" t="s">
        <v>31</v>
      </c>
      <c r="L2304" s="24">
        <v>2372.6999999999998</v>
      </c>
      <c r="M2304" s="24">
        <v>3607.18</v>
      </c>
      <c r="N2304" s="34">
        <f>((sales_data_1[[#This Row],[Unit_Price]]*(1-sales_data_1[[#This Row],[Discount]]))-sales_data_1[[#This Row],[Unit_Cost]])*sales_data_1[[#This Row],[Quantity_Sold]]</f>
        <v>22136.540999999994</v>
      </c>
      <c r="O2304" s="17" t="s">
        <v>17</v>
      </c>
      <c r="P2304" s="26">
        <v>0.05</v>
      </c>
      <c r="Q2304" s="17" t="s">
        <v>28</v>
      </c>
      <c r="R2304" s="17" t="s">
        <v>21</v>
      </c>
      <c r="S2304" s="50" t="str">
        <f t="shared" si="107"/>
        <v>Eve-South</v>
      </c>
      <c r="T2304" s="59" t="str">
        <f>IF(ROUND(sales_data_1[[#This Row],[Profit_Margin]],2)=ROUND((sales_data_1[[#This Row],[Unit_Price]]*(1-sales_data_1[[#This Row],[Discount]]) - sales_data_1[[#This Row],[Unit_Cost]])*sales_data_1[[#This Row],[Quantity_Sold]],2), "PASS", "CHECK")</f>
        <v>PASS</v>
      </c>
    </row>
    <row r="2305" spans="1:20" x14ac:dyDescent="0.35">
      <c r="A2305" s="7">
        <v>2304</v>
      </c>
      <c r="B2305" s="9">
        <v>1043</v>
      </c>
      <c r="C2305" s="14" t="str">
        <f>IFERROR(_xlfn.TEXTJOIN("-", TRUE, _xlfn.XLOOKUP(K2305, product_category_id_lookup!$A$2:$A$5, product_category_id_lookup!$B$2:$B$5), B2305), "Unknown Category")</f>
        <v>fd-1043</v>
      </c>
      <c r="D2305" s="8">
        <v>45352</v>
      </c>
      <c r="E2305" s="14">
        <f t="shared" si="105"/>
        <v>2024</v>
      </c>
      <c r="F2305" s="29" t="str">
        <f t="shared" si="106"/>
        <v>Mar</v>
      </c>
      <c r="G2305" s="17" t="s">
        <v>14</v>
      </c>
      <c r="H2305" s="17" t="s">
        <v>23</v>
      </c>
      <c r="I2305" s="24">
        <v>168191.31599999999</v>
      </c>
      <c r="J2305" s="32">
        <v>45</v>
      </c>
      <c r="K2305" s="17" t="s">
        <v>24</v>
      </c>
      <c r="L2305" s="24">
        <v>3188.73</v>
      </c>
      <c r="M2305" s="24">
        <v>4731.12</v>
      </c>
      <c r="N2305" s="34">
        <f>((sales_data_1[[#This Row],[Unit_Price]]*(1-sales_data_1[[#This Row],[Discount]]))-sales_data_1[[#This Row],[Unit_Cost]])*sales_data_1[[#This Row],[Quantity_Sold]]</f>
        <v>24698.466000000004</v>
      </c>
      <c r="O2305" s="17" t="s">
        <v>17</v>
      </c>
      <c r="P2305" s="26">
        <v>0.21</v>
      </c>
      <c r="Q2305" s="17" t="s">
        <v>25</v>
      </c>
      <c r="R2305" s="17" t="s">
        <v>19</v>
      </c>
      <c r="S2305" s="50" t="str">
        <f t="shared" si="107"/>
        <v>Bob-South</v>
      </c>
      <c r="T2305" s="59" t="str">
        <f>IF(ROUND(sales_data_1[[#This Row],[Profit_Margin]],2)=ROUND((sales_data_1[[#This Row],[Unit_Price]]*(1-sales_data_1[[#This Row],[Discount]]) - sales_data_1[[#This Row],[Unit_Cost]])*sales_data_1[[#This Row],[Quantity_Sold]],2), "PASS", "CHECK")</f>
        <v>PASS</v>
      </c>
    </row>
    <row r="2306" spans="1:20" x14ac:dyDescent="0.35">
      <c r="A2306" s="7">
        <v>2305</v>
      </c>
      <c r="B2306" s="9">
        <v>1038</v>
      </c>
      <c r="C2306" s="14" t="str">
        <f>IFERROR(_xlfn.TEXTJOIN("-", TRUE, _xlfn.XLOOKUP(K2306, product_category_id_lookup!$A$2:$A$5, product_category_id_lookup!$B$2:$B$5), B2306), "Unknown Category")</f>
        <v>fd-1038</v>
      </c>
      <c r="D2306" s="8">
        <v>45352</v>
      </c>
      <c r="E2306" s="14">
        <f t="shared" ref="E2306:E2369" si="108">YEAR(D2306)</f>
        <v>2024</v>
      </c>
      <c r="F2306" s="29" t="str">
        <f t="shared" ref="F2306:F2369" si="109">LEFT(TEXT(D2306,"mmmm"),3)</f>
        <v>Mar</v>
      </c>
      <c r="G2306" s="17" t="s">
        <v>32</v>
      </c>
      <c r="H2306" s="17" t="s">
        <v>20</v>
      </c>
      <c r="I2306" s="24">
        <v>113828.5824</v>
      </c>
      <c r="J2306" s="32">
        <v>23</v>
      </c>
      <c r="K2306" s="17" t="s">
        <v>24</v>
      </c>
      <c r="L2306" s="24">
        <v>3333.47</v>
      </c>
      <c r="M2306" s="24">
        <v>5155.28</v>
      </c>
      <c r="N2306" s="34">
        <f>((sales_data_1[[#This Row],[Unit_Price]]*(1-sales_data_1[[#This Row],[Discount]]))-sales_data_1[[#This Row],[Unit_Cost]])*sales_data_1[[#This Row],[Quantity_Sold]]</f>
        <v>37158.772400000002</v>
      </c>
      <c r="O2306" s="17" t="s">
        <v>27</v>
      </c>
      <c r="P2306" s="26">
        <v>0.04</v>
      </c>
      <c r="Q2306" s="17" t="s">
        <v>28</v>
      </c>
      <c r="R2306" s="17" t="s">
        <v>21</v>
      </c>
      <c r="S2306" s="50" t="str">
        <f t="shared" ref="S2306:S2369" si="110">_xlfn.CONCAT(G2306,"-",H2306)</f>
        <v>Eve-West</v>
      </c>
      <c r="T2306" s="59" t="str">
        <f>IF(ROUND(sales_data_1[[#This Row],[Profit_Margin]],2)=ROUND((sales_data_1[[#This Row],[Unit_Price]]*(1-sales_data_1[[#This Row],[Discount]]) - sales_data_1[[#This Row],[Unit_Cost]])*sales_data_1[[#This Row],[Quantity_Sold]],2), "PASS", "CHECK")</f>
        <v>PASS</v>
      </c>
    </row>
    <row r="2307" spans="1:20" x14ac:dyDescent="0.35">
      <c r="A2307" s="7">
        <v>2306</v>
      </c>
      <c r="B2307" s="9">
        <v>1015</v>
      </c>
      <c r="C2307" s="14" t="str">
        <f>IFERROR(_xlfn.TEXTJOIN("-", TRUE, _xlfn.XLOOKUP(K2307, product_category_id_lookup!$A$2:$A$5, product_category_id_lookup!$B$2:$B$5), B2307), "Unknown Category")</f>
        <v>fnt-1015</v>
      </c>
      <c r="D2307" s="8">
        <v>45352</v>
      </c>
      <c r="E2307" s="14">
        <f t="shared" si="108"/>
        <v>2024</v>
      </c>
      <c r="F2307" s="29" t="str">
        <f t="shared" si="109"/>
        <v>Mar</v>
      </c>
      <c r="G2307" s="17" t="s">
        <v>29</v>
      </c>
      <c r="H2307" s="17" t="s">
        <v>15</v>
      </c>
      <c r="I2307" s="24">
        <v>67164.982500000013</v>
      </c>
      <c r="J2307" s="32">
        <v>25</v>
      </c>
      <c r="K2307" s="17" t="s">
        <v>16</v>
      </c>
      <c r="L2307" s="24">
        <v>575.83000000000004</v>
      </c>
      <c r="M2307" s="24">
        <v>3489.09</v>
      </c>
      <c r="N2307" s="34">
        <f>((sales_data_1[[#This Row],[Unit_Price]]*(1-sales_data_1[[#This Row],[Discount]]))-sales_data_1[[#This Row],[Unit_Cost]])*sales_data_1[[#This Row],[Quantity_Sold]]</f>
        <v>52769.232500000013</v>
      </c>
      <c r="O2307" s="17" t="s">
        <v>17</v>
      </c>
      <c r="P2307" s="26">
        <v>0.23</v>
      </c>
      <c r="Q2307" s="17" t="s">
        <v>28</v>
      </c>
      <c r="R2307" s="17" t="s">
        <v>19</v>
      </c>
      <c r="S2307" s="50" t="str">
        <f t="shared" si="110"/>
        <v>Charlie-North</v>
      </c>
      <c r="T2307" s="59" t="str">
        <f>IF(ROUND(sales_data_1[[#This Row],[Profit_Margin]],2)=ROUND((sales_data_1[[#This Row],[Unit_Price]]*(1-sales_data_1[[#This Row],[Discount]]) - sales_data_1[[#This Row],[Unit_Cost]])*sales_data_1[[#This Row],[Quantity_Sold]],2), "PASS", "CHECK")</f>
        <v>PASS</v>
      </c>
    </row>
    <row r="2308" spans="1:20" x14ac:dyDescent="0.35">
      <c r="A2308" s="7">
        <v>2307</v>
      </c>
      <c r="B2308" s="9">
        <v>1045</v>
      </c>
      <c r="C2308" s="14" t="str">
        <f>IFERROR(_xlfn.TEXTJOIN("-", TRUE, _xlfn.XLOOKUP(K2308, product_category_id_lookup!$A$2:$A$5, product_category_id_lookup!$B$2:$B$5), B2308), "Unknown Category")</f>
        <v>etc-1045</v>
      </c>
      <c r="D2308" s="8">
        <v>45353</v>
      </c>
      <c r="E2308" s="14">
        <f t="shared" si="108"/>
        <v>2024</v>
      </c>
      <c r="F2308" s="29" t="str">
        <f t="shared" si="109"/>
        <v>Mar</v>
      </c>
      <c r="G2308" s="17" t="s">
        <v>29</v>
      </c>
      <c r="H2308" s="17" t="s">
        <v>23</v>
      </c>
      <c r="I2308" s="24">
        <v>186918.40414412497</v>
      </c>
      <c r="J2308" s="32">
        <v>36</v>
      </c>
      <c r="K2308" s="17" t="s">
        <v>31</v>
      </c>
      <c r="L2308" s="24">
        <v>4733.43</v>
      </c>
      <c r="M2308" s="24">
        <v>5264.38</v>
      </c>
      <c r="N2308" s="34">
        <f>((sales_data_1[[#This Row],[Unit_Price]]*(1-sales_data_1[[#This Row],[Discount]]))-sales_data_1[[#This Row],[Unit_Cost]])*sales_data_1[[#This Row],[Quantity_Sold]]</f>
        <v>17219.0232</v>
      </c>
      <c r="O2308" s="17" t="s">
        <v>27</v>
      </c>
      <c r="P2308" s="26">
        <v>0.01</v>
      </c>
      <c r="Q2308" s="17" t="s">
        <v>18</v>
      </c>
      <c r="R2308" s="17" t="s">
        <v>19</v>
      </c>
      <c r="S2308" s="50" t="str">
        <f t="shared" si="110"/>
        <v>Charlie-South</v>
      </c>
      <c r="T2308" s="59" t="str">
        <f>IF(ROUND(sales_data_1[[#This Row],[Profit_Margin]],2)=ROUND((sales_data_1[[#This Row],[Unit_Price]]*(1-sales_data_1[[#This Row],[Discount]]) - sales_data_1[[#This Row],[Unit_Cost]])*sales_data_1[[#This Row],[Quantity_Sold]],2), "PASS", "CHECK")</f>
        <v>PASS</v>
      </c>
    </row>
    <row r="2309" spans="1:20" x14ac:dyDescent="0.35">
      <c r="A2309" s="7">
        <v>2308</v>
      </c>
      <c r="B2309" s="9">
        <v>1050</v>
      </c>
      <c r="C2309" s="14" t="str">
        <f>IFERROR(_xlfn.TEXTJOIN("-", TRUE, _xlfn.XLOOKUP(K2309, product_category_id_lookup!$A$2:$A$5, product_category_id_lookup!$B$2:$B$5), B2309), "Unknown Category")</f>
        <v>fd-1050</v>
      </c>
      <c r="D2309" s="8">
        <v>45353</v>
      </c>
      <c r="E2309" s="14">
        <f t="shared" si="108"/>
        <v>2024</v>
      </c>
      <c r="F2309" s="29" t="str">
        <f t="shared" si="109"/>
        <v>Mar</v>
      </c>
      <c r="G2309" s="17" t="s">
        <v>29</v>
      </c>
      <c r="H2309" s="17" t="s">
        <v>23</v>
      </c>
      <c r="I2309" s="24">
        <v>75068.540800000002</v>
      </c>
      <c r="J2309" s="32">
        <v>44</v>
      </c>
      <c r="K2309" s="17" t="s">
        <v>24</v>
      </c>
      <c r="L2309" s="24">
        <v>1308.46</v>
      </c>
      <c r="M2309" s="24">
        <v>1854.46</v>
      </c>
      <c r="N2309" s="34">
        <f>((sales_data_1[[#This Row],[Unit_Price]]*(1-sales_data_1[[#This Row],[Discount]]))-sales_data_1[[#This Row],[Unit_Cost]])*sales_data_1[[#This Row],[Quantity_Sold]]</f>
        <v>17496.300799999997</v>
      </c>
      <c r="O2309" s="17" t="s">
        <v>17</v>
      </c>
      <c r="P2309" s="26">
        <v>0.08</v>
      </c>
      <c r="Q2309" s="17" t="s">
        <v>18</v>
      </c>
      <c r="R2309" s="17" t="s">
        <v>19</v>
      </c>
      <c r="S2309" s="50" t="str">
        <f t="shared" si="110"/>
        <v>Charlie-South</v>
      </c>
      <c r="T2309" s="59" t="str">
        <f>IF(ROUND(sales_data_1[[#This Row],[Profit_Margin]],2)=ROUND((sales_data_1[[#This Row],[Unit_Price]]*(1-sales_data_1[[#This Row],[Discount]]) - sales_data_1[[#This Row],[Unit_Cost]])*sales_data_1[[#This Row],[Quantity_Sold]],2), "PASS", "CHECK")</f>
        <v>PASS</v>
      </c>
    </row>
    <row r="2310" spans="1:20" x14ac:dyDescent="0.35">
      <c r="A2310" s="7">
        <v>2309</v>
      </c>
      <c r="B2310" s="9">
        <v>1086</v>
      </c>
      <c r="C2310" s="14" t="str">
        <f>IFERROR(_xlfn.TEXTJOIN("-", TRUE, _xlfn.XLOOKUP(K2310, product_category_id_lookup!$A$2:$A$5, product_category_id_lookup!$B$2:$B$5), B2310), "Unknown Category")</f>
        <v>fnt-1086</v>
      </c>
      <c r="D2310" s="8">
        <v>45353</v>
      </c>
      <c r="E2310" s="14">
        <f t="shared" si="108"/>
        <v>2024</v>
      </c>
      <c r="F2310" s="29" t="str">
        <f t="shared" si="109"/>
        <v>Mar</v>
      </c>
      <c r="G2310" s="17" t="s">
        <v>14</v>
      </c>
      <c r="H2310" s="17" t="s">
        <v>15</v>
      </c>
      <c r="I2310" s="24">
        <v>39105.180399999997</v>
      </c>
      <c r="J2310" s="32">
        <v>22</v>
      </c>
      <c r="K2310" s="17" t="s">
        <v>16</v>
      </c>
      <c r="L2310" s="24">
        <v>358.37</v>
      </c>
      <c r="M2310" s="24">
        <v>2066.87</v>
      </c>
      <c r="N2310" s="34">
        <f>((sales_data_1[[#This Row],[Unit_Price]]*(1-sales_data_1[[#This Row],[Discount]]))-sales_data_1[[#This Row],[Unit_Cost]])*sales_data_1[[#This Row],[Quantity_Sold]]</f>
        <v>31221.040399999998</v>
      </c>
      <c r="O2310" s="17" t="s">
        <v>17</v>
      </c>
      <c r="P2310" s="26">
        <v>0.14000000000000001</v>
      </c>
      <c r="Q2310" s="17" t="s">
        <v>25</v>
      </c>
      <c r="R2310" s="17" t="s">
        <v>19</v>
      </c>
      <c r="S2310" s="50" t="str">
        <f t="shared" si="110"/>
        <v>Bob-North</v>
      </c>
      <c r="T2310" s="59" t="str">
        <f>IF(ROUND(sales_data_1[[#This Row],[Profit_Margin]],2)=ROUND((sales_data_1[[#This Row],[Unit_Price]]*(1-sales_data_1[[#This Row],[Discount]]) - sales_data_1[[#This Row],[Unit_Cost]])*sales_data_1[[#This Row],[Quantity_Sold]],2), "PASS", "CHECK")</f>
        <v>PASS</v>
      </c>
    </row>
    <row r="2311" spans="1:20" x14ac:dyDescent="0.35">
      <c r="A2311" s="7">
        <v>2310</v>
      </c>
      <c r="B2311" s="9">
        <v>1033</v>
      </c>
      <c r="C2311" s="14" t="str">
        <f>IFERROR(_xlfn.TEXTJOIN("-", TRUE, _xlfn.XLOOKUP(K2311, product_category_id_lookup!$A$2:$A$5, product_category_id_lookup!$B$2:$B$5), B2311), "Unknown Category")</f>
        <v>fnt-1033</v>
      </c>
      <c r="D2311" s="8">
        <v>45354</v>
      </c>
      <c r="E2311" s="14">
        <f t="shared" si="108"/>
        <v>2024</v>
      </c>
      <c r="F2311" s="29" t="str">
        <f t="shared" si="109"/>
        <v>Mar</v>
      </c>
      <c r="G2311" s="17" t="s">
        <v>14</v>
      </c>
      <c r="H2311" s="17" t="s">
        <v>15</v>
      </c>
      <c r="I2311" s="24">
        <v>94048.01999999999</v>
      </c>
      <c r="J2311" s="32">
        <v>50</v>
      </c>
      <c r="K2311" s="17" t="s">
        <v>16</v>
      </c>
      <c r="L2311" s="24">
        <v>198.58</v>
      </c>
      <c r="M2311" s="24">
        <v>2649.24</v>
      </c>
      <c r="N2311" s="34">
        <f>((sales_data_1[[#This Row],[Unit_Price]]*(1-sales_data_1[[#This Row],[Discount]]))-sales_data_1[[#This Row],[Unit_Cost]])*sales_data_1[[#This Row],[Quantity_Sold]]</f>
        <v>84119.01999999999</v>
      </c>
      <c r="O2311" s="17" t="s">
        <v>17</v>
      </c>
      <c r="P2311" s="26">
        <v>0.28999999999999998</v>
      </c>
      <c r="Q2311" s="17" t="s">
        <v>28</v>
      </c>
      <c r="R2311" s="17" t="s">
        <v>21</v>
      </c>
      <c r="S2311" s="50" t="str">
        <f t="shared" si="110"/>
        <v>Bob-North</v>
      </c>
      <c r="T2311" s="59" t="str">
        <f>IF(ROUND(sales_data_1[[#This Row],[Profit_Margin]],2)=ROUND((sales_data_1[[#This Row],[Unit_Price]]*(1-sales_data_1[[#This Row],[Discount]]) - sales_data_1[[#This Row],[Unit_Cost]])*sales_data_1[[#This Row],[Quantity_Sold]],2), "PASS", "CHECK")</f>
        <v>PASS</v>
      </c>
    </row>
    <row r="2312" spans="1:20" x14ac:dyDescent="0.35">
      <c r="A2312" s="7">
        <v>2311</v>
      </c>
      <c r="B2312" s="9">
        <v>1062</v>
      </c>
      <c r="C2312" s="14" t="str">
        <f>IFERROR(_xlfn.TEXTJOIN("-", TRUE, _xlfn.XLOOKUP(K2312, product_category_id_lookup!$A$2:$A$5, product_category_id_lookup!$B$2:$B$5), B2312), "Unknown Category")</f>
        <v>etc-1062</v>
      </c>
      <c r="D2312" s="8">
        <v>45355</v>
      </c>
      <c r="E2312" s="14">
        <f t="shared" si="108"/>
        <v>2024</v>
      </c>
      <c r="F2312" s="29" t="str">
        <f t="shared" si="109"/>
        <v>Mar</v>
      </c>
      <c r="G2312" s="17" t="s">
        <v>33</v>
      </c>
      <c r="H2312" s="17" t="s">
        <v>15</v>
      </c>
      <c r="I2312" s="24">
        <v>4421.4768000000004</v>
      </c>
      <c r="J2312" s="32">
        <v>6</v>
      </c>
      <c r="K2312" s="17" t="s">
        <v>31</v>
      </c>
      <c r="L2312" s="24">
        <v>588.97</v>
      </c>
      <c r="M2312" s="24">
        <v>944.76</v>
      </c>
      <c r="N2312" s="34">
        <f>((sales_data_1[[#This Row],[Unit_Price]]*(1-sales_data_1[[#This Row],[Discount]]))-sales_data_1[[#This Row],[Unit_Cost]])*sales_data_1[[#This Row],[Quantity_Sold]]</f>
        <v>887.6568000000002</v>
      </c>
      <c r="O2312" s="17" t="s">
        <v>17</v>
      </c>
      <c r="P2312" s="26">
        <v>0.22</v>
      </c>
      <c r="Q2312" s="17" t="s">
        <v>18</v>
      </c>
      <c r="R2312" s="17" t="s">
        <v>19</v>
      </c>
      <c r="S2312" s="50" t="str">
        <f t="shared" si="110"/>
        <v>Alice-North</v>
      </c>
      <c r="T2312" s="59" t="str">
        <f>IF(ROUND(sales_data_1[[#This Row],[Profit_Margin]],2)=ROUND((sales_data_1[[#This Row],[Unit_Price]]*(1-sales_data_1[[#This Row],[Discount]]) - sales_data_1[[#This Row],[Unit_Cost]])*sales_data_1[[#This Row],[Quantity_Sold]],2), "PASS", "CHECK")</f>
        <v>PASS</v>
      </c>
    </row>
    <row r="2313" spans="1:20" x14ac:dyDescent="0.35">
      <c r="A2313" s="7">
        <v>2312</v>
      </c>
      <c r="B2313" s="9">
        <v>1086</v>
      </c>
      <c r="C2313" s="14" t="str">
        <f>IFERROR(_xlfn.TEXTJOIN("-", TRUE, _xlfn.XLOOKUP(K2313, product_category_id_lookup!$A$2:$A$5, product_category_id_lookup!$B$2:$B$5), B2313), "Unknown Category")</f>
        <v>fd-1086</v>
      </c>
      <c r="D2313" s="8">
        <v>45356</v>
      </c>
      <c r="E2313" s="14">
        <f t="shared" si="108"/>
        <v>2024</v>
      </c>
      <c r="F2313" s="29" t="str">
        <f t="shared" si="109"/>
        <v>Mar</v>
      </c>
      <c r="G2313" s="17" t="s">
        <v>32</v>
      </c>
      <c r="H2313" s="17" t="s">
        <v>30</v>
      </c>
      <c r="I2313" s="24">
        <v>19329.621500000001</v>
      </c>
      <c r="J2313" s="32">
        <v>7</v>
      </c>
      <c r="K2313" s="17" t="s">
        <v>24</v>
      </c>
      <c r="L2313" s="24">
        <v>722.41</v>
      </c>
      <c r="M2313" s="24">
        <v>2906.71</v>
      </c>
      <c r="N2313" s="34">
        <f>((sales_data_1[[#This Row],[Unit_Price]]*(1-sales_data_1[[#This Row],[Discount]]))-sales_data_1[[#This Row],[Unit_Cost]])*sales_data_1[[#This Row],[Quantity_Sold]]</f>
        <v>14272.7515</v>
      </c>
      <c r="O2313" s="17" t="s">
        <v>27</v>
      </c>
      <c r="P2313" s="26">
        <v>0.05</v>
      </c>
      <c r="Q2313" s="17" t="s">
        <v>25</v>
      </c>
      <c r="R2313" s="17" t="s">
        <v>19</v>
      </c>
      <c r="S2313" s="50" t="str">
        <f t="shared" si="110"/>
        <v>Eve-East</v>
      </c>
      <c r="T2313" s="59" t="str">
        <f>IF(ROUND(sales_data_1[[#This Row],[Profit_Margin]],2)=ROUND((sales_data_1[[#This Row],[Unit_Price]]*(1-sales_data_1[[#This Row],[Discount]]) - sales_data_1[[#This Row],[Unit_Cost]])*sales_data_1[[#This Row],[Quantity_Sold]],2), "PASS", "CHECK")</f>
        <v>PASS</v>
      </c>
    </row>
    <row r="2314" spans="1:20" x14ac:dyDescent="0.35">
      <c r="A2314" s="7">
        <v>2313</v>
      </c>
      <c r="B2314" s="9">
        <v>1069</v>
      </c>
      <c r="C2314" s="14" t="str">
        <f>IFERROR(_xlfn.TEXTJOIN("-", TRUE, _xlfn.XLOOKUP(K2314, product_category_id_lookup!$A$2:$A$5, product_category_id_lookup!$B$2:$B$5), B2314), "Unknown Category")</f>
        <v>fnt-1069</v>
      </c>
      <c r="D2314" s="8">
        <v>45356</v>
      </c>
      <c r="E2314" s="14">
        <f t="shared" si="108"/>
        <v>2024</v>
      </c>
      <c r="F2314" s="29" t="str">
        <f t="shared" si="109"/>
        <v>Mar</v>
      </c>
      <c r="G2314" s="17" t="s">
        <v>29</v>
      </c>
      <c r="H2314" s="17" t="s">
        <v>20</v>
      </c>
      <c r="I2314" s="24">
        <v>200783.63500000001</v>
      </c>
      <c r="J2314" s="32">
        <v>50</v>
      </c>
      <c r="K2314" s="17" t="s">
        <v>16</v>
      </c>
      <c r="L2314" s="24">
        <v>1601.61</v>
      </c>
      <c r="M2314" s="24">
        <v>5083.13</v>
      </c>
      <c r="N2314" s="34">
        <f>((sales_data_1[[#This Row],[Unit_Price]]*(1-sales_data_1[[#This Row],[Discount]]))-sales_data_1[[#This Row],[Unit_Cost]])*sales_data_1[[#This Row],[Quantity_Sold]]</f>
        <v>120703.13500000002</v>
      </c>
      <c r="O2314" s="17" t="s">
        <v>27</v>
      </c>
      <c r="P2314" s="26">
        <v>0.21</v>
      </c>
      <c r="Q2314" s="17" t="s">
        <v>18</v>
      </c>
      <c r="R2314" s="17" t="s">
        <v>19</v>
      </c>
      <c r="S2314" s="50" t="str">
        <f t="shared" si="110"/>
        <v>Charlie-West</v>
      </c>
      <c r="T2314" s="59" t="str">
        <f>IF(ROUND(sales_data_1[[#This Row],[Profit_Margin]],2)=ROUND((sales_data_1[[#This Row],[Unit_Price]]*(1-sales_data_1[[#This Row],[Discount]]) - sales_data_1[[#This Row],[Unit_Cost]])*sales_data_1[[#This Row],[Quantity_Sold]],2), "PASS", "CHECK")</f>
        <v>PASS</v>
      </c>
    </row>
    <row r="2315" spans="1:20" x14ac:dyDescent="0.35">
      <c r="A2315" s="7">
        <v>2314</v>
      </c>
      <c r="B2315" s="9">
        <v>1059</v>
      </c>
      <c r="C2315" s="14" t="str">
        <f>IFERROR(_xlfn.TEXTJOIN("-", TRUE, _xlfn.XLOOKUP(K2315, product_category_id_lookup!$A$2:$A$5, product_category_id_lookup!$B$2:$B$5), B2315), "Unknown Category")</f>
        <v>etc-1059</v>
      </c>
      <c r="D2315" s="8">
        <v>45357</v>
      </c>
      <c r="E2315" s="14">
        <f t="shared" si="108"/>
        <v>2024</v>
      </c>
      <c r="F2315" s="29" t="str">
        <f t="shared" si="109"/>
        <v>Mar</v>
      </c>
      <c r="G2315" s="17" t="s">
        <v>14</v>
      </c>
      <c r="H2315" s="17" t="s">
        <v>20</v>
      </c>
      <c r="I2315" s="24">
        <v>10012.341899999999</v>
      </c>
      <c r="J2315" s="32">
        <v>11</v>
      </c>
      <c r="K2315" s="17" t="s">
        <v>31</v>
      </c>
      <c r="L2315" s="24">
        <v>866.79</v>
      </c>
      <c r="M2315" s="24">
        <v>1281.99</v>
      </c>
      <c r="N2315" s="34">
        <f>((sales_data_1[[#This Row],[Unit_Price]]*(1-sales_data_1[[#This Row],[Discount]]))-sales_data_1[[#This Row],[Unit_Cost]])*sales_data_1[[#This Row],[Quantity_Sold]]</f>
        <v>477.6519000000003</v>
      </c>
      <c r="O2315" s="17" t="s">
        <v>17</v>
      </c>
      <c r="P2315" s="26">
        <v>0.28999999999999998</v>
      </c>
      <c r="Q2315" s="17" t="s">
        <v>25</v>
      </c>
      <c r="R2315" s="17" t="s">
        <v>21</v>
      </c>
      <c r="S2315" s="50" t="str">
        <f t="shared" si="110"/>
        <v>Bob-West</v>
      </c>
      <c r="T2315" s="59" t="str">
        <f>IF(ROUND(sales_data_1[[#This Row],[Profit_Margin]],2)=ROUND((sales_data_1[[#This Row],[Unit_Price]]*(1-sales_data_1[[#This Row],[Discount]]) - sales_data_1[[#This Row],[Unit_Cost]])*sales_data_1[[#This Row],[Quantity_Sold]],2), "PASS", "CHECK")</f>
        <v>PASS</v>
      </c>
    </row>
    <row r="2316" spans="1:20" x14ac:dyDescent="0.35">
      <c r="A2316" s="7">
        <v>2315</v>
      </c>
      <c r="B2316" s="9">
        <v>1086</v>
      </c>
      <c r="C2316" s="14" t="str">
        <f>IFERROR(_xlfn.TEXTJOIN("-", TRUE, _xlfn.XLOOKUP(K2316, product_category_id_lookup!$A$2:$A$5, product_category_id_lookup!$B$2:$B$5), B2316), "Unknown Category")</f>
        <v>etc-1086</v>
      </c>
      <c r="D2316" s="8">
        <v>45357</v>
      </c>
      <c r="E2316" s="14">
        <f t="shared" si="108"/>
        <v>2024</v>
      </c>
      <c r="F2316" s="29" t="str">
        <f t="shared" si="109"/>
        <v>Mar</v>
      </c>
      <c r="G2316" s="17" t="s">
        <v>33</v>
      </c>
      <c r="H2316" s="17" t="s">
        <v>15</v>
      </c>
      <c r="I2316" s="24">
        <v>19819.865103939119</v>
      </c>
      <c r="J2316" s="32">
        <v>17</v>
      </c>
      <c r="K2316" s="17" t="s">
        <v>31</v>
      </c>
      <c r="L2316" s="24">
        <v>1046.26</v>
      </c>
      <c r="M2316" s="24">
        <v>1183.75</v>
      </c>
      <c r="N2316" s="34">
        <f>((sales_data_1[[#This Row],[Unit_Price]]*(1-sales_data_1[[#This Row],[Discount]]))-sales_data_1[[#This Row],[Unit_Cost]])*sales_data_1[[#This Row],[Quantity_Sold]]</f>
        <v>1934.8550000000009</v>
      </c>
      <c r="O2316" s="17" t="s">
        <v>17</v>
      </c>
      <c r="P2316" s="26">
        <v>0.02</v>
      </c>
      <c r="Q2316" s="17" t="s">
        <v>25</v>
      </c>
      <c r="R2316" s="17" t="s">
        <v>21</v>
      </c>
      <c r="S2316" s="50" t="str">
        <f t="shared" si="110"/>
        <v>Alice-North</v>
      </c>
      <c r="T2316" s="59" t="str">
        <f>IF(ROUND(sales_data_1[[#This Row],[Profit_Margin]],2)=ROUND((sales_data_1[[#This Row],[Unit_Price]]*(1-sales_data_1[[#This Row],[Discount]]) - sales_data_1[[#This Row],[Unit_Cost]])*sales_data_1[[#This Row],[Quantity_Sold]],2), "PASS", "CHECK")</f>
        <v>PASS</v>
      </c>
    </row>
    <row r="2317" spans="1:20" x14ac:dyDescent="0.35">
      <c r="A2317" s="7">
        <v>2316</v>
      </c>
      <c r="B2317" s="9">
        <v>1091</v>
      </c>
      <c r="C2317" s="14" t="str">
        <f>IFERROR(_xlfn.TEXTJOIN("-", TRUE, _xlfn.XLOOKUP(K2317, product_category_id_lookup!$A$2:$A$5, product_category_id_lookup!$B$2:$B$5), B2317), "Unknown Category")</f>
        <v>ctg-1091</v>
      </c>
      <c r="D2317" s="8">
        <v>45357</v>
      </c>
      <c r="E2317" s="14">
        <f t="shared" si="108"/>
        <v>2024</v>
      </c>
      <c r="F2317" s="29" t="str">
        <f t="shared" si="109"/>
        <v>Mar</v>
      </c>
      <c r="G2317" s="17" t="s">
        <v>33</v>
      </c>
      <c r="H2317" s="17" t="s">
        <v>20</v>
      </c>
      <c r="I2317" s="24">
        <v>43813.307999999997</v>
      </c>
      <c r="J2317" s="32">
        <v>10</v>
      </c>
      <c r="K2317" s="17" t="s">
        <v>26</v>
      </c>
      <c r="L2317" s="24">
        <v>739.21</v>
      </c>
      <c r="M2317" s="24">
        <v>5215.87</v>
      </c>
      <c r="N2317" s="34">
        <f>((sales_data_1[[#This Row],[Unit_Price]]*(1-sales_data_1[[#This Row],[Discount]]))-sales_data_1[[#This Row],[Unit_Cost]])*sales_data_1[[#This Row],[Quantity_Sold]]</f>
        <v>36421.207999999999</v>
      </c>
      <c r="O2317" s="17" t="s">
        <v>27</v>
      </c>
      <c r="P2317" s="26">
        <v>0.16</v>
      </c>
      <c r="Q2317" s="17" t="s">
        <v>25</v>
      </c>
      <c r="R2317" s="17" t="s">
        <v>19</v>
      </c>
      <c r="S2317" s="50" t="str">
        <f t="shared" si="110"/>
        <v>Alice-West</v>
      </c>
      <c r="T2317" s="59" t="str">
        <f>IF(ROUND(sales_data_1[[#This Row],[Profit_Margin]],2)=ROUND((sales_data_1[[#This Row],[Unit_Price]]*(1-sales_data_1[[#This Row],[Discount]]) - sales_data_1[[#This Row],[Unit_Cost]])*sales_data_1[[#This Row],[Quantity_Sold]],2), "PASS", "CHECK")</f>
        <v>PASS</v>
      </c>
    </row>
    <row r="2318" spans="1:20" x14ac:dyDescent="0.35">
      <c r="A2318" s="7">
        <v>2317</v>
      </c>
      <c r="B2318" s="9">
        <v>1005</v>
      </c>
      <c r="C2318" s="14" t="str">
        <f>IFERROR(_xlfn.TEXTJOIN("-", TRUE, _xlfn.XLOOKUP(K2318, product_category_id_lookup!$A$2:$A$5, product_category_id_lookup!$B$2:$B$5), B2318), "Unknown Category")</f>
        <v>fnt-1005</v>
      </c>
      <c r="D2318" s="8">
        <v>45358</v>
      </c>
      <c r="E2318" s="14">
        <f t="shared" si="108"/>
        <v>2024</v>
      </c>
      <c r="F2318" s="29" t="str">
        <f t="shared" si="109"/>
        <v>Mar</v>
      </c>
      <c r="G2318" s="17" t="s">
        <v>14</v>
      </c>
      <c r="H2318" s="17" t="s">
        <v>15</v>
      </c>
      <c r="I2318" s="24">
        <v>69757.875</v>
      </c>
      <c r="J2318" s="32">
        <v>15</v>
      </c>
      <c r="K2318" s="17" t="s">
        <v>16</v>
      </c>
      <c r="L2318" s="24">
        <v>4587.26</v>
      </c>
      <c r="M2318" s="24">
        <v>4697.5</v>
      </c>
      <c r="N2318" s="34">
        <f>((sales_data_1[[#This Row],[Unit_Price]]*(1-sales_data_1[[#This Row],[Discount]]))-sales_data_1[[#This Row],[Unit_Cost]])*sales_data_1[[#This Row],[Quantity_Sold]]</f>
        <v>948.97499999999127</v>
      </c>
      <c r="O2318" s="17" t="s">
        <v>27</v>
      </c>
      <c r="P2318" s="26">
        <v>0.01</v>
      </c>
      <c r="Q2318" s="17" t="s">
        <v>28</v>
      </c>
      <c r="R2318" s="17" t="s">
        <v>21</v>
      </c>
      <c r="S2318" s="50" t="str">
        <f t="shared" si="110"/>
        <v>Bob-North</v>
      </c>
      <c r="T2318" s="59" t="str">
        <f>IF(ROUND(sales_data_1[[#This Row],[Profit_Margin]],2)=ROUND((sales_data_1[[#This Row],[Unit_Price]]*(1-sales_data_1[[#This Row],[Discount]]) - sales_data_1[[#This Row],[Unit_Cost]])*sales_data_1[[#This Row],[Quantity_Sold]],2), "PASS", "CHECK")</f>
        <v>PASS</v>
      </c>
    </row>
    <row r="2319" spans="1:20" x14ac:dyDescent="0.35">
      <c r="A2319" s="7">
        <v>2318</v>
      </c>
      <c r="B2319" s="9">
        <v>1070</v>
      </c>
      <c r="C2319" s="14" t="str">
        <f>IFERROR(_xlfn.TEXTJOIN("-", TRUE, _xlfn.XLOOKUP(K2319, product_category_id_lookup!$A$2:$A$5, product_category_id_lookup!$B$2:$B$5), B2319), "Unknown Category")</f>
        <v>etc-1070</v>
      </c>
      <c r="D2319" s="8">
        <v>45358</v>
      </c>
      <c r="E2319" s="14">
        <f t="shared" si="108"/>
        <v>2024</v>
      </c>
      <c r="F2319" s="29" t="str">
        <f t="shared" si="109"/>
        <v>Mar</v>
      </c>
      <c r="G2319" s="17" t="s">
        <v>29</v>
      </c>
      <c r="H2319" s="17" t="s">
        <v>30</v>
      </c>
      <c r="I2319" s="24">
        <v>70662.680000000008</v>
      </c>
      <c r="J2319" s="32">
        <v>22</v>
      </c>
      <c r="K2319" s="17" t="s">
        <v>31</v>
      </c>
      <c r="L2319" s="24">
        <v>2964.29</v>
      </c>
      <c r="M2319" s="24">
        <v>3211.94</v>
      </c>
      <c r="N2319" s="34">
        <f>((sales_data_1[[#This Row],[Unit_Price]]*(1-sales_data_1[[#This Row],[Discount]]))-sales_data_1[[#This Row],[Unit_Cost]])*sales_data_1[[#This Row],[Quantity_Sold]]</f>
        <v>5448.300000000002</v>
      </c>
      <c r="O2319" s="17" t="s">
        <v>27</v>
      </c>
      <c r="P2319" s="26">
        <v>0</v>
      </c>
      <c r="Q2319" s="17" t="s">
        <v>28</v>
      </c>
      <c r="R2319" s="17" t="s">
        <v>19</v>
      </c>
      <c r="S2319" s="50" t="str">
        <f t="shared" si="110"/>
        <v>Charlie-East</v>
      </c>
      <c r="T2319" s="59" t="str">
        <f>IF(ROUND(sales_data_1[[#This Row],[Profit_Margin]],2)=ROUND((sales_data_1[[#This Row],[Unit_Price]]*(1-sales_data_1[[#This Row],[Discount]]) - sales_data_1[[#This Row],[Unit_Cost]])*sales_data_1[[#This Row],[Quantity_Sold]],2), "PASS", "CHECK")</f>
        <v>PASS</v>
      </c>
    </row>
    <row r="2320" spans="1:20" x14ac:dyDescent="0.35">
      <c r="A2320" s="7">
        <v>2319</v>
      </c>
      <c r="B2320" s="9">
        <v>1028</v>
      </c>
      <c r="C2320" s="14" t="str">
        <f>IFERROR(_xlfn.TEXTJOIN("-", TRUE, _xlfn.XLOOKUP(K2320, product_category_id_lookup!$A$2:$A$5, product_category_id_lookup!$B$2:$B$5), B2320), "Unknown Category")</f>
        <v>ctg-1028</v>
      </c>
      <c r="D2320" s="8">
        <v>45358</v>
      </c>
      <c r="E2320" s="14">
        <f t="shared" si="108"/>
        <v>2024</v>
      </c>
      <c r="F2320" s="29" t="str">
        <f t="shared" si="109"/>
        <v>Mar</v>
      </c>
      <c r="G2320" s="17" t="s">
        <v>32</v>
      </c>
      <c r="H2320" s="17" t="s">
        <v>23</v>
      </c>
      <c r="I2320" s="24">
        <v>9955.3343999999997</v>
      </c>
      <c r="J2320" s="32">
        <v>3</v>
      </c>
      <c r="K2320" s="17" t="s">
        <v>26</v>
      </c>
      <c r="L2320" s="24">
        <v>778.44</v>
      </c>
      <c r="M2320" s="24">
        <v>3770.96</v>
      </c>
      <c r="N2320" s="34">
        <f>((sales_data_1[[#This Row],[Unit_Price]]*(1-sales_data_1[[#This Row],[Discount]]))-sales_data_1[[#This Row],[Unit_Cost]])*sales_data_1[[#This Row],[Quantity_Sold]]</f>
        <v>7620.0144</v>
      </c>
      <c r="O2320" s="17" t="s">
        <v>17</v>
      </c>
      <c r="P2320" s="26">
        <v>0.12</v>
      </c>
      <c r="Q2320" s="17" t="s">
        <v>18</v>
      </c>
      <c r="R2320" s="17" t="s">
        <v>19</v>
      </c>
      <c r="S2320" s="50" t="str">
        <f t="shared" si="110"/>
        <v>Eve-South</v>
      </c>
      <c r="T2320" s="59" t="str">
        <f>IF(ROUND(sales_data_1[[#This Row],[Profit_Margin]],2)=ROUND((sales_data_1[[#This Row],[Unit_Price]]*(1-sales_data_1[[#This Row],[Discount]]) - sales_data_1[[#This Row],[Unit_Cost]])*sales_data_1[[#This Row],[Quantity_Sold]],2), "PASS", "CHECK")</f>
        <v>PASS</v>
      </c>
    </row>
    <row r="2321" spans="1:20" x14ac:dyDescent="0.35">
      <c r="A2321" s="7">
        <v>2320</v>
      </c>
      <c r="B2321" s="9">
        <v>1076</v>
      </c>
      <c r="C2321" s="14" t="str">
        <f>IFERROR(_xlfn.TEXTJOIN("-", TRUE, _xlfn.XLOOKUP(K2321, product_category_id_lookup!$A$2:$A$5, product_category_id_lookup!$B$2:$B$5), B2321), "Unknown Category")</f>
        <v>ctg-1076</v>
      </c>
      <c r="D2321" s="8">
        <v>45358</v>
      </c>
      <c r="E2321" s="14">
        <f t="shared" si="108"/>
        <v>2024</v>
      </c>
      <c r="F2321" s="29" t="str">
        <f t="shared" si="109"/>
        <v>Mar</v>
      </c>
      <c r="G2321" s="17" t="s">
        <v>29</v>
      </c>
      <c r="H2321" s="17" t="s">
        <v>30</v>
      </c>
      <c r="I2321" s="24">
        <v>84013.788800000009</v>
      </c>
      <c r="J2321" s="32">
        <v>29</v>
      </c>
      <c r="K2321" s="17" t="s">
        <v>26</v>
      </c>
      <c r="L2321" s="24">
        <v>1384.85</v>
      </c>
      <c r="M2321" s="24">
        <v>3532.96</v>
      </c>
      <c r="N2321" s="34">
        <f>((sales_data_1[[#This Row],[Unit_Price]]*(1-sales_data_1[[#This Row],[Discount]]))-sales_data_1[[#This Row],[Unit_Cost]])*sales_data_1[[#This Row],[Quantity_Sold]]</f>
        <v>43853.138800000015</v>
      </c>
      <c r="O2321" s="17" t="s">
        <v>27</v>
      </c>
      <c r="P2321" s="26">
        <v>0.18</v>
      </c>
      <c r="Q2321" s="17" t="s">
        <v>18</v>
      </c>
      <c r="R2321" s="17" t="s">
        <v>19</v>
      </c>
      <c r="S2321" s="50" t="str">
        <f t="shared" si="110"/>
        <v>Charlie-East</v>
      </c>
      <c r="T2321" s="59" t="str">
        <f>IF(ROUND(sales_data_1[[#This Row],[Profit_Margin]],2)=ROUND((sales_data_1[[#This Row],[Unit_Price]]*(1-sales_data_1[[#This Row],[Discount]]) - sales_data_1[[#This Row],[Unit_Cost]])*sales_data_1[[#This Row],[Quantity_Sold]],2), "PASS", "CHECK")</f>
        <v>PASS</v>
      </c>
    </row>
    <row r="2322" spans="1:20" x14ac:dyDescent="0.35">
      <c r="A2322" s="7">
        <v>2321</v>
      </c>
      <c r="B2322" s="9">
        <v>1058</v>
      </c>
      <c r="C2322" s="14" t="str">
        <f>IFERROR(_xlfn.TEXTJOIN("-", TRUE, _xlfn.XLOOKUP(K2322, product_category_id_lookup!$A$2:$A$5, product_category_id_lookup!$B$2:$B$5), B2322), "Unknown Category")</f>
        <v>fnt-1058</v>
      </c>
      <c r="D2322" s="8">
        <v>45359</v>
      </c>
      <c r="E2322" s="14">
        <f t="shared" si="108"/>
        <v>2024</v>
      </c>
      <c r="F2322" s="29" t="str">
        <f t="shared" si="109"/>
        <v>Mar</v>
      </c>
      <c r="G2322" s="17" t="s">
        <v>29</v>
      </c>
      <c r="H2322" s="17" t="s">
        <v>30</v>
      </c>
      <c r="I2322" s="24">
        <v>32498.502400000001</v>
      </c>
      <c r="J2322" s="32">
        <v>8</v>
      </c>
      <c r="K2322" s="17" t="s">
        <v>16</v>
      </c>
      <c r="L2322" s="24">
        <v>2205.94</v>
      </c>
      <c r="M2322" s="24">
        <v>4464.08</v>
      </c>
      <c r="N2322" s="34">
        <f>((sales_data_1[[#This Row],[Unit_Price]]*(1-sales_data_1[[#This Row],[Discount]]))-sales_data_1[[#This Row],[Unit_Cost]])*sales_data_1[[#This Row],[Quantity_Sold]]</f>
        <v>14850.982400000001</v>
      </c>
      <c r="O2322" s="17" t="s">
        <v>17</v>
      </c>
      <c r="P2322" s="26">
        <v>0.09</v>
      </c>
      <c r="Q2322" s="17" t="s">
        <v>18</v>
      </c>
      <c r="R2322" s="17" t="s">
        <v>19</v>
      </c>
      <c r="S2322" s="50" t="str">
        <f t="shared" si="110"/>
        <v>Charlie-East</v>
      </c>
      <c r="T2322" s="59" t="str">
        <f>IF(ROUND(sales_data_1[[#This Row],[Profit_Margin]],2)=ROUND((sales_data_1[[#This Row],[Unit_Price]]*(1-sales_data_1[[#This Row],[Discount]]) - sales_data_1[[#This Row],[Unit_Cost]])*sales_data_1[[#This Row],[Quantity_Sold]],2), "PASS", "CHECK")</f>
        <v>PASS</v>
      </c>
    </row>
    <row r="2323" spans="1:20" x14ac:dyDescent="0.35">
      <c r="A2323" s="7">
        <v>2322</v>
      </c>
      <c r="B2323" s="9">
        <v>1019</v>
      </c>
      <c r="C2323" s="14" t="str">
        <f>IFERROR(_xlfn.TEXTJOIN("-", TRUE, _xlfn.XLOOKUP(K2323, product_category_id_lookup!$A$2:$A$5, product_category_id_lookup!$B$2:$B$5), B2323), "Unknown Category")</f>
        <v>fd-1019</v>
      </c>
      <c r="D2323" s="8">
        <v>45359</v>
      </c>
      <c r="E2323" s="14">
        <f t="shared" si="108"/>
        <v>2024</v>
      </c>
      <c r="F2323" s="29" t="str">
        <f t="shared" si="109"/>
        <v>Mar</v>
      </c>
      <c r="G2323" s="17" t="s">
        <v>29</v>
      </c>
      <c r="H2323" s="17" t="s">
        <v>30</v>
      </c>
      <c r="I2323" s="24">
        <v>59039.390400000004</v>
      </c>
      <c r="J2323" s="32">
        <v>24</v>
      </c>
      <c r="K2323" s="17" t="s">
        <v>24</v>
      </c>
      <c r="L2323" s="24">
        <v>1105.51</v>
      </c>
      <c r="M2323" s="24">
        <v>3324.29</v>
      </c>
      <c r="N2323" s="34">
        <f>((sales_data_1[[#This Row],[Unit_Price]]*(1-sales_data_1[[#This Row],[Discount]]))-sales_data_1[[#This Row],[Unit_Cost]])*sales_data_1[[#This Row],[Quantity_Sold]]</f>
        <v>32507.150399999999</v>
      </c>
      <c r="O2323" s="17" t="s">
        <v>27</v>
      </c>
      <c r="P2323" s="26">
        <v>0.26</v>
      </c>
      <c r="Q2323" s="17" t="s">
        <v>18</v>
      </c>
      <c r="R2323" s="17" t="s">
        <v>19</v>
      </c>
      <c r="S2323" s="50" t="str">
        <f t="shared" si="110"/>
        <v>Charlie-East</v>
      </c>
      <c r="T2323" s="59" t="str">
        <f>IF(ROUND(sales_data_1[[#This Row],[Profit_Margin]],2)=ROUND((sales_data_1[[#This Row],[Unit_Price]]*(1-sales_data_1[[#This Row],[Discount]]) - sales_data_1[[#This Row],[Unit_Cost]])*sales_data_1[[#This Row],[Quantity_Sold]],2), "PASS", "CHECK")</f>
        <v>PASS</v>
      </c>
    </row>
    <row r="2324" spans="1:20" x14ac:dyDescent="0.35">
      <c r="A2324" s="7">
        <v>2323</v>
      </c>
      <c r="B2324" s="9">
        <v>1059</v>
      </c>
      <c r="C2324" s="14" t="str">
        <f>IFERROR(_xlfn.TEXTJOIN("-", TRUE, _xlfn.XLOOKUP(K2324, product_category_id_lookup!$A$2:$A$5, product_category_id_lookup!$B$2:$B$5), B2324), "Unknown Category")</f>
        <v>etc-1059</v>
      </c>
      <c r="D2324" s="8">
        <v>45359</v>
      </c>
      <c r="E2324" s="14">
        <f t="shared" si="108"/>
        <v>2024</v>
      </c>
      <c r="F2324" s="29" t="str">
        <f t="shared" si="109"/>
        <v>Mar</v>
      </c>
      <c r="G2324" s="17" t="s">
        <v>14</v>
      </c>
      <c r="H2324" s="17" t="s">
        <v>30</v>
      </c>
      <c r="I2324" s="24">
        <v>93592.624500000005</v>
      </c>
      <c r="J2324" s="32">
        <v>27</v>
      </c>
      <c r="K2324" s="17" t="s">
        <v>31</v>
      </c>
      <c r="L2324" s="24">
        <v>1273.79</v>
      </c>
      <c r="M2324" s="24">
        <v>4078.11</v>
      </c>
      <c r="N2324" s="34">
        <f>((sales_data_1[[#This Row],[Unit_Price]]*(1-sales_data_1[[#This Row],[Discount]]))-sales_data_1[[#This Row],[Unit_Cost]])*sales_data_1[[#This Row],[Quantity_Sold]]</f>
        <v>59200.294500000004</v>
      </c>
      <c r="O2324" s="17" t="s">
        <v>17</v>
      </c>
      <c r="P2324" s="26">
        <v>0.15</v>
      </c>
      <c r="Q2324" s="17" t="s">
        <v>28</v>
      </c>
      <c r="R2324" s="17" t="s">
        <v>21</v>
      </c>
      <c r="S2324" s="50" t="str">
        <f t="shared" si="110"/>
        <v>Bob-East</v>
      </c>
      <c r="T2324" s="59" t="str">
        <f>IF(ROUND(sales_data_1[[#This Row],[Profit_Margin]],2)=ROUND((sales_data_1[[#This Row],[Unit_Price]]*(1-sales_data_1[[#This Row],[Discount]]) - sales_data_1[[#This Row],[Unit_Cost]])*sales_data_1[[#This Row],[Quantity_Sold]],2), "PASS", "CHECK")</f>
        <v>PASS</v>
      </c>
    </row>
    <row r="2325" spans="1:20" x14ac:dyDescent="0.35">
      <c r="A2325" s="7">
        <v>2324</v>
      </c>
      <c r="B2325" s="9">
        <v>1088</v>
      </c>
      <c r="C2325" s="14" t="str">
        <f>IFERROR(_xlfn.TEXTJOIN("-", TRUE, _xlfn.XLOOKUP(K2325, product_category_id_lookup!$A$2:$A$5, product_category_id_lookup!$B$2:$B$5), B2325), "Unknown Category")</f>
        <v>ctg-1088</v>
      </c>
      <c r="D2325" s="8">
        <v>45359</v>
      </c>
      <c r="E2325" s="14">
        <f t="shared" si="108"/>
        <v>2024</v>
      </c>
      <c r="F2325" s="29" t="str">
        <f t="shared" si="109"/>
        <v>Mar</v>
      </c>
      <c r="G2325" s="17" t="s">
        <v>32</v>
      </c>
      <c r="H2325" s="17" t="s">
        <v>15</v>
      </c>
      <c r="I2325" s="24">
        <v>125675.12760000001</v>
      </c>
      <c r="J2325" s="32">
        <v>33</v>
      </c>
      <c r="K2325" s="17" t="s">
        <v>26</v>
      </c>
      <c r="L2325" s="24">
        <v>1550.65</v>
      </c>
      <c r="M2325" s="24">
        <v>4820.68</v>
      </c>
      <c r="N2325" s="34">
        <f>((sales_data_1[[#This Row],[Unit_Price]]*(1-sales_data_1[[#This Row],[Discount]]))-sales_data_1[[#This Row],[Unit_Cost]])*sales_data_1[[#This Row],[Quantity_Sold]]</f>
        <v>74503.67760000001</v>
      </c>
      <c r="O2325" s="17" t="s">
        <v>17</v>
      </c>
      <c r="P2325" s="26">
        <v>0.21</v>
      </c>
      <c r="Q2325" s="17" t="s">
        <v>18</v>
      </c>
      <c r="R2325" s="17" t="s">
        <v>21</v>
      </c>
      <c r="S2325" s="50" t="str">
        <f t="shared" si="110"/>
        <v>Eve-North</v>
      </c>
      <c r="T2325" s="59" t="str">
        <f>IF(ROUND(sales_data_1[[#This Row],[Profit_Margin]],2)=ROUND((sales_data_1[[#This Row],[Unit_Price]]*(1-sales_data_1[[#This Row],[Discount]]) - sales_data_1[[#This Row],[Unit_Cost]])*sales_data_1[[#This Row],[Quantity_Sold]],2), "PASS", "CHECK")</f>
        <v>PASS</v>
      </c>
    </row>
    <row r="2326" spans="1:20" x14ac:dyDescent="0.35">
      <c r="A2326" s="7">
        <v>2325</v>
      </c>
      <c r="B2326" s="9">
        <v>1033</v>
      </c>
      <c r="C2326" s="14" t="str">
        <f>IFERROR(_xlfn.TEXTJOIN("-", TRUE, _xlfn.XLOOKUP(K2326, product_category_id_lookup!$A$2:$A$5, product_category_id_lookup!$B$2:$B$5), B2326), "Unknown Category")</f>
        <v>fnt-1033</v>
      </c>
      <c r="D2326" s="8">
        <v>45360</v>
      </c>
      <c r="E2326" s="14">
        <f t="shared" si="108"/>
        <v>2024</v>
      </c>
      <c r="F2326" s="29" t="str">
        <f t="shared" si="109"/>
        <v>Mar</v>
      </c>
      <c r="G2326" s="17" t="s">
        <v>14</v>
      </c>
      <c r="H2326" s="17" t="s">
        <v>20</v>
      </c>
      <c r="I2326" s="24">
        <v>122387.44279999999</v>
      </c>
      <c r="J2326" s="32">
        <v>43</v>
      </c>
      <c r="K2326" s="17" t="s">
        <v>16</v>
      </c>
      <c r="L2326" s="24">
        <v>311.27999999999997</v>
      </c>
      <c r="M2326" s="24">
        <v>4008.76</v>
      </c>
      <c r="N2326" s="34">
        <f>((sales_data_1[[#This Row],[Unit_Price]]*(1-sales_data_1[[#This Row],[Discount]]))-sales_data_1[[#This Row],[Unit_Cost]])*sales_data_1[[#This Row],[Quantity_Sold]]</f>
        <v>109002.40279999998</v>
      </c>
      <c r="O2326" s="17" t="s">
        <v>27</v>
      </c>
      <c r="P2326" s="26">
        <v>0.28999999999999998</v>
      </c>
      <c r="Q2326" s="17" t="s">
        <v>18</v>
      </c>
      <c r="R2326" s="17" t="s">
        <v>19</v>
      </c>
      <c r="S2326" s="50" t="str">
        <f t="shared" si="110"/>
        <v>Bob-West</v>
      </c>
      <c r="T2326" s="59" t="str">
        <f>IF(ROUND(sales_data_1[[#This Row],[Profit_Margin]],2)=ROUND((sales_data_1[[#This Row],[Unit_Price]]*(1-sales_data_1[[#This Row],[Discount]]) - sales_data_1[[#This Row],[Unit_Cost]])*sales_data_1[[#This Row],[Quantity_Sold]],2), "PASS", "CHECK")</f>
        <v>PASS</v>
      </c>
    </row>
    <row r="2327" spans="1:20" x14ac:dyDescent="0.35">
      <c r="A2327" s="7">
        <v>2326</v>
      </c>
      <c r="B2327" s="9">
        <v>1023</v>
      </c>
      <c r="C2327" s="14" t="str">
        <f>IFERROR(_xlfn.TEXTJOIN("-", TRUE, _xlfn.XLOOKUP(K2327, product_category_id_lookup!$A$2:$A$5, product_category_id_lookup!$B$2:$B$5), B2327), "Unknown Category")</f>
        <v>etc-1023</v>
      </c>
      <c r="D2327" s="8">
        <v>45360</v>
      </c>
      <c r="E2327" s="14">
        <f t="shared" si="108"/>
        <v>2024</v>
      </c>
      <c r="F2327" s="29" t="str">
        <f t="shared" si="109"/>
        <v>Mar</v>
      </c>
      <c r="G2327" s="17" t="s">
        <v>32</v>
      </c>
      <c r="H2327" s="17" t="s">
        <v>30</v>
      </c>
      <c r="I2327" s="24">
        <v>155345.48919999998</v>
      </c>
      <c r="J2327" s="32">
        <v>44</v>
      </c>
      <c r="K2327" s="17" t="s">
        <v>31</v>
      </c>
      <c r="L2327" s="24">
        <v>717.52</v>
      </c>
      <c r="M2327" s="24">
        <v>4836.41</v>
      </c>
      <c r="N2327" s="34">
        <f>((sales_data_1[[#This Row],[Unit_Price]]*(1-sales_data_1[[#This Row],[Discount]]))-sales_data_1[[#This Row],[Unit_Cost]])*sales_data_1[[#This Row],[Quantity_Sold]]</f>
        <v>123774.60919999999</v>
      </c>
      <c r="O2327" s="17" t="s">
        <v>27</v>
      </c>
      <c r="P2327" s="26">
        <v>0.27</v>
      </c>
      <c r="Q2327" s="17" t="s">
        <v>28</v>
      </c>
      <c r="R2327" s="17" t="s">
        <v>19</v>
      </c>
      <c r="S2327" s="50" t="str">
        <f t="shared" si="110"/>
        <v>Eve-East</v>
      </c>
      <c r="T2327" s="59" t="str">
        <f>IF(ROUND(sales_data_1[[#This Row],[Profit_Margin]],2)=ROUND((sales_data_1[[#This Row],[Unit_Price]]*(1-sales_data_1[[#This Row],[Discount]]) - sales_data_1[[#This Row],[Unit_Cost]])*sales_data_1[[#This Row],[Quantity_Sold]],2), "PASS", "CHECK")</f>
        <v>PASS</v>
      </c>
    </row>
    <row r="2328" spans="1:20" x14ac:dyDescent="0.35">
      <c r="A2328" s="7">
        <v>2327</v>
      </c>
      <c r="B2328" s="9">
        <v>1004</v>
      </c>
      <c r="C2328" s="14" t="str">
        <f>IFERROR(_xlfn.TEXTJOIN("-", TRUE, _xlfn.XLOOKUP(K2328, product_category_id_lookup!$A$2:$A$5, product_category_id_lookup!$B$2:$B$5), B2328), "Unknown Category")</f>
        <v>ctg-1004</v>
      </c>
      <c r="D2328" s="8">
        <v>45361</v>
      </c>
      <c r="E2328" s="14">
        <f t="shared" si="108"/>
        <v>2024</v>
      </c>
      <c r="F2328" s="29" t="str">
        <f t="shared" si="109"/>
        <v>Mar</v>
      </c>
      <c r="G2328" s="17" t="s">
        <v>14</v>
      </c>
      <c r="H2328" s="17" t="s">
        <v>15</v>
      </c>
      <c r="I2328" s="24">
        <v>4973.027338236664</v>
      </c>
      <c r="J2328" s="32">
        <v>1</v>
      </c>
      <c r="K2328" s="17" t="s">
        <v>26</v>
      </c>
      <c r="L2328" s="24">
        <v>3923.8</v>
      </c>
      <c r="M2328" s="24">
        <v>5081.12</v>
      </c>
      <c r="N2328" s="34">
        <f>((sales_data_1[[#This Row],[Unit_Price]]*(1-sales_data_1[[#This Row],[Discount]]))-sales_data_1[[#This Row],[Unit_Cost]])*sales_data_1[[#This Row],[Quantity_Sold]]</f>
        <v>1055.6975999999995</v>
      </c>
      <c r="O2328" s="17" t="s">
        <v>27</v>
      </c>
      <c r="P2328" s="26">
        <v>0.02</v>
      </c>
      <c r="Q2328" s="17" t="s">
        <v>18</v>
      </c>
      <c r="R2328" s="17" t="s">
        <v>19</v>
      </c>
      <c r="S2328" s="50" t="str">
        <f t="shared" si="110"/>
        <v>Bob-North</v>
      </c>
      <c r="T2328" s="59" t="str">
        <f>IF(ROUND(sales_data_1[[#This Row],[Profit_Margin]],2)=ROUND((sales_data_1[[#This Row],[Unit_Price]]*(1-sales_data_1[[#This Row],[Discount]]) - sales_data_1[[#This Row],[Unit_Cost]])*sales_data_1[[#This Row],[Quantity_Sold]],2), "PASS", "CHECK")</f>
        <v>PASS</v>
      </c>
    </row>
    <row r="2329" spans="1:20" x14ac:dyDescent="0.35">
      <c r="A2329" s="7">
        <v>2328</v>
      </c>
      <c r="B2329" s="9">
        <v>1025</v>
      </c>
      <c r="C2329" s="14" t="str">
        <f>IFERROR(_xlfn.TEXTJOIN("-", TRUE, _xlfn.XLOOKUP(K2329, product_category_id_lookup!$A$2:$A$5, product_category_id_lookup!$B$2:$B$5), B2329), "Unknown Category")</f>
        <v>ctg-1025</v>
      </c>
      <c r="D2329" s="8">
        <v>45361</v>
      </c>
      <c r="E2329" s="14">
        <f t="shared" si="108"/>
        <v>2024</v>
      </c>
      <c r="F2329" s="29" t="str">
        <f t="shared" si="109"/>
        <v>Mar</v>
      </c>
      <c r="G2329" s="17" t="s">
        <v>14</v>
      </c>
      <c r="H2329" s="17" t="s">
        <v>15</v>
      </c>
      <c r="I2329" s="24">
        <v>3343.4483999999998</v>
      </c>
      <c r="J2329" s="32">
        <v>1</v>
      </c>
      <c r="K2329" s="17" t="s">
        <v>26</v>
      </c>
      <c r="L2329" s="24">
        <v>1719.21</v>
      </c>
      <c r="M2329" s="24">
        <v>3556.86</v>
      </c>
      <c r="N2329" s="34">
        <f>((sales_data_1[[#This Row],[Unit_Price]]*(1-sales_data_1[[#This Row],[Discount]]))-sales_data_1[[#This Row],[Unit_Cost]])*sales_data_1[[#This Row],[Quantity_Sold]]</f>
        <v>1624.2383999999997</v>
      </c>
      <c r="O2329" s="17" t="s">
        <v>27</v>
      </c>
      <c r="P2329" s="26">
        <v>0.06</v>
      </c>
      <c r="Q2329" s="17" t="s">
        <v>25</v>
      </c>
      <c r="R2329" s="17" t="s">
        <v>19</v>
      </c>
      <c r="S2329" s="50" t="str">
        <f t="shared" si="110"/>
        <v>Bob-North</v>
      </c>
      <c r="T2329" s="59" t="str">
        <f>IF(ROUND(sales_data_1[[#This Row],[Profit_Margin]],2)=ROUND((sales_data_1[[#This Row],[Unit_Price]]*(1-sales_data_1[[#This Row],[Discount]]) - sales_data_1[[#This Row],[Unit_Cost]])*sales_data_1[[#This Row],[Quantity_Sold]],2), "PASS", "CHECK")</f>
        <v>PASS</v>
      </c>
    </row>
    <row r="2330" spans="1:20" x14ac:dyDescent="0.35">
      <c r="A2330" s="7">
        <v>2329</v>
      </c>
      <c r="B2330" s="9">
        <v>1098</v>
      </c>
      <c r="C2330" s="14" t="str">
        <f>IFERROR(_xlfn.TEXTJOIN("-", TRUE, _xlfn.XLOOKUP(K2330, product_category_id_lookup!$A$2:$A$5, product_category_id_lookup!$B$2:$B$5), B2330), "Unknown Category")</f>
        <v>ctg-1098</v>
      </c>
      <c r="D2330" s="8">
        <v>45361</v>
      </c>
      <c r="E2330" s="14">
        <f t="shared" si="108"/>
        <v>2024</v>
      </c>
      <c r="F2330" s="29" t="str">
        <f t="shared" si="109"/>
        <v>Mar</v>
      </c>
      <c r="G2330" s="17" t="s">
        <v>33</v>
      </c>
      <c r="H2330" s="17" t="s">
        <v>23</v>
      </c>
      <c r="I2330" s="24">
        <v>24571.314053214188</v>
      </c>
      <c r="J2330" s="32">
        <v>9</v>
      </c>
      <c r="K2330" s="17" t="s">
        <v>26</v>
      </c>
      <c r="L2330" s="24">
        <v>2385.35</v>
      </c>
      <c r="M2330" s="24">
        <v>2733.02</v>
      </c>
      <c r="N2330" s="34">
        <f>((sales_data_1[[#This Row],[Unit_Price]]*(1-sales_data_1[[#This Row],[Discount]]))-sales_data_1[[#This Row],[Unit_Cost]])*sales_data_1[[#This Row],[Quantity_Sold]]</f>
        <v>3129.0300000000007</v>
      </c>
      <c r="O2330" s="17" t="s">
        <v>17</v>
      </c>
      <c r="P2330" s="26">
        <v>0</v>
      </c>
      <c r="Q2330" s="17" t="s">
        <v>28</v>
      </c>
      <c r="R2330" s="17" t="s">
        <v>21</v>
      </c>
      <c r="S2330" s="50" t="str">
        <f t="shared" si="110"/>
        <v>Alice-South</v>
      </c>
      <c r="T2330" s="59" t="str">
        <f>IF(ROUND(sales_data_1[[#This Row],[Profit_Margin]],2)=ROUND((sales_data_1[[#This Row],[Unit_Price]]*(1-sales_data_1[[#This Row],[Discount]]) - sales_data_1[[#This Row],[Unit_Cost]])*sales_data_1[[#This Row],[Quantity_Sold]],2), "PASS", "CHECK")</f>
        <v>PASS</v>
      </c>
    </row>
    <row r="2331" spans="1:20" x14ac:dyDescent="0.35">
      <c r="A2331" s="7">
        <v>2330</v>
      </c>
      <c r="B2331" s="9">
        <v>1090</v>
      </c>
      <c r="C2331" s="14" t="str">
        <f>IFERROR(_xlfn.TEXTJOIN("-", TRUE, _xlfn.XLOOKUP(K2331, product_category_id_lookup!$A$2:$A$5, product_category_id_lookup!$B$2:$B$5), B2331), "Unknown Category")</f>
        <v>ctg-1090</v>
      </c>
      <c r="D2331" s="8">
        <v>45361</v>
      </c>
      <c r="E2331" s="14">
        <f t="shared" si="108"/>
        <v>2024</v>
      </c>
      <c r="F2331" s="29" t="str">
        <f t="shared" si="109"/>
        <v>Mar</v>
      </c>
      <c r="G2331" s="17" t="s">
        <v>32</v>
      </c>
      <c r="H2331" s="17" t="s">
        <v>23</v>
      </c>
      <c r="I2331" s="24">
        <v>36612.084599999995</v>
      </c>
      <c r="J2331" s="32">
        <v>21</v>
      </c>
      <c r="K2331" s="17" t="s">
        <v>26</v>
      </c>
      <c r="L2331" s="24">
        <v>1213.4000000000001</v>
      </c>
      <c r="M2331" s="24">
        <v>1915.86</v>
      </c>
      <c r="N2331" s="34">
        <f>((sales_data_1[[#This Row],[Unit_Price]]*(1-sales_data_1[[#This Row],[Discount]]))-sales_data_1[[#This Row],[Unit_Cost]])*sales_data_1[[#This Row],[Quantity_Sold]]</f>
        <v>11130.684599999995</v>
      </c>
      <c r="O2331" s="17" t="s">
        <v>17</v>
      </c>
      <c r="P2331" s="26">
        <v>0.09</v>
      </c>
      <c r="Q2331" s="17" t="s">
        <v>28</v>
      </c>
      <c r="R2331" s="17" t="s">
        <v>21</v>
      </c>
      <c r="S2331" s="50" t="str">
        <f t="shared" si="110"/>
        <v>Eve-South</v>
      </c>
      <c r="T2331" s="59" t="str">
        <f>IF(ROUND(sales_data_1[[#This Row],[Profit_Margin]],2)=ROUND((sales_data_1[[#This Row],[Unit_Price]]*(1-sales_data_1[[#This Row],[Discount]]) - sales_data_1[[#This Row],[Unit_Cost]])*sales_data_1[[#This Row],[Quantity_Sold]],2), "PASS", "CHECK")</f>
        <v>PASS</v>
      </c>
    </row>
    <row r="2332" spans="1:20" x14ac:dyDescent="0.35">
      <c r="A2332" s="7">
        <v>2331</v>
      </c>
      <c r="B2332" s="9">
        <v>1052</v>
      </c>
      <c r="C2332" s="14" t="str">
        <f>IFERROR(_xlfn.TEXTJOIN("-", TRUE, _xlfn.XLOOKUP(K2332, product_category_id_lookup!$A$2:$A$5, product_category_id_lookup!$B$2:$B$5), B2332), "Unknown Category")</f>
        <v>fd-1052</v>
      </c>
      <c r="D2332" s="8">
        <v>45362</v>
      </c>
      <c r="E2332" s="14">
        <f t="shared" si="108"/>
        <v>2024</v>
      </c>
      <c r="F2332" s="29" t="str">
        <f t="shared" si="109"/>
        <v>Mar</v>
      </c>
      <c r="G2332" s="17" t="s">
        <v>22</v>
      </c>
      <c r="H2332" s="17" t="s">
        <v>30</v>
      </c>
      <c r="I2332" s="24">
        <v>38055.81</v>
      </c>
      <c r="J2332" s="32">
        <v>13</v>
      </c>
      <c r="K2332" s="17" t="s">
        <v>24</v>
      </c>
      <c r="L2332" s="24">
        <v>2922.8</v>
      </c>
      <c r="M2332" s="24">
        <v>2927.37</v>
      </c>
      <c r="N2332" s="34">
        <f>((sales_data_1[[#This Row],[Unit_Price]]*(1-sales_data_1[[#This Row],[Discount]]))-sales_data_1[[#This Row],[Unit_Cost]])*sales_data_1[[#This Row],[Quantity_Sold]]</f>
        <v>59.409999999996217</v>
      </c>
      <c r="O2332" s="17" t="s">
        <v>17</v>
      </c>
      <c r="P2332" s="26">
        <v>0</v>
      </c>
      <c r="Q2332" s="17" t="s">
        <v>28</v>
      </c>
      <c r="R2332" s="17" t="s">
        <v>19</v>
      </c>
      <c r="S2332" s="50" t="str">
        <f t="shared" si="110"/>
        <v>David-East</v>
      </c>
      <c r="T2332" s="59" t="str">
        <f>IF(ROUND(sales_data_1[[#This Row],[Profit_Margin]],2)=ROUND((sales_data_1[[#This Row],[Unit_Price]]*(1-sales_data_1[[#This Row],[Discount]]) - sales_data_1[[#This Row],[Unit_Cost]])*sales_data_1[[#This Row],[Quantity_Sold]],2), "PASS", "CHECK")</f>
        <v>PASS</v>
      </c>
    </row>
    <row r="2333" spans="1:20" x14ac:dyDescent="0.35">
      <c r="A2333" s="7">
        <v>2332</v>
      </c>
      <c r="B2333" s="9">
        <v>1007</v>
      </c>
      <c r="C2333" s="14" t="str">
        <f>IFERROR(_xlfn.TEXTJOIN("-", TRUE, _xlfn.XLOOKUP(K2333, product_category_id_lookup!$A$2:$A$5, product_category_id_lookup!$B$2:$B$5), B2333), "Unknown Category")</f>
        <v>ctg-1007</v>
      </c>
      <c r="D2333" s="8">
        <v>45362</v>
      </c>
      <c r="E2333" s="14">
        <f t="shared" si="108"/>
        <v>2024</v>
      </c>
      <c r="F2333" s="29" t="str">
        <f t="shared" si="109"/>
        <v>Mar</v>
      </c>
      <c r="G2333" s="17" t="s">
        <v>14</v>
      </c>
      <c r="H2333" s="17" t="s">
        <v>20</v>
      </c>
      <c r="I2333" s="24">
        <v>2355.0749000000001</v>
      </c>
      <c r="J2333" s="32">
        <v>1</v>
      </c>
      <c r="K2333" s="17" t="s">
        <v>26</v>
      </c>
      <c r="L2333" s="24">
        <v>420.25</v>
      </c>
      <c r="M2333" s="24">
        <v>3226.13</v>
      </c>
      <c r="N2333" s="34">
        <f>((sales_data_1[[#This Row],[Unit_Price]]*(1-sales_data_1[[#This Row],[Discount]]))-sales_data_1[[#This Row],[Unit_Cost]])*sales_data_1[[#This Row],[Quantity_Sold]]</f>
        <v>1934.8249000000001</v>
      </c>
      <c r="O2333" s="17" t="s">
        <v>27</v>
      </c>
      <c r="P2333" s="26">
        <v>0.27</v>
      </c>
      <c r="Q2333" s="17" t="s">
        <v>18</v>
      </c>
      <c r="R2333" s="17" t="s">
        <v>19</v>
      </c>
      <c r="S2333" s="50" t="str">
        <f t="shared" si="110"/>
        <v>Bob-West</v>
      </c>
      <c r="T2333" s="59" t="str">
        <f>IF(ROUND(sales_data_1[[#This Row],[Profit_Margin]],2)=ROUND((sales_data_1[[#This Row],[Unit_Price]]*(1-sales_data_1[[#This Row],[Discount]]) - sales_data_1[[#This Row],[Unit_Cost]])*sales_data_1[[#This Row],[Quantity_Sold]],2), "PASS", "CHECK")</f>
        <v>PASS</v>
      </c>
    </row>
    <row r="2334" spans="1:20" x14ac:dyDescent="0.35">
      <c r="A2334" s="7">
        <v>2333</v>
      </c>
      <c r="B2334" s="9">
        <v>1008</v>
      </c>
      <c r="C2334" s="14" t="str">
        <f>IFERROR(_xlfn.TEXTJOIN("-", TRUE, _xlfn.XLOOKUP(K2334, product_category_id_lookup!$A$2:$A$5, product_category_id_lookup!$B$2:$B$5), B2334), "Unknown Category")</f>
        <v>etc-1008</v>
      </c>
      <c r="D2334" s="8">
        <v>45362</v>
      </c>
      <c r="E2334" s="14">
        <f t="shared" si="108"/>
        <v>2024</v>
      </c>
      <c r="F2334" s="29" t="str">
        <f t="shared" si="109"/>
        <v>Mar</v>
      </c>
      <c r="G2334" s="17" t="s">
        <v>32</v>
      </c>
      <c r="H2334" s="17" t="s">
        <v>20</v>
      </c>
      <c r="I2334" s="24">
        <v>55938.63</v>
      </c>
      <c r="J2334" s="32">
        <v>11</v>
      </c>
      <c r="K2334" s="17" t="s">
        <v>31</v>
      </c>
      <c r="L2334" s="24">
        <v>4112.54</v>
      </c>
      <c r="M2334" s="24">
        <v>5085.33</v>
      </c>
      <c r="N2334" s="34">
        <f>((sales_data_1[[#This Row],[Unit_Price]]*(1-sales_data_1[[#This Row],[Discount]]))-sales_data_1[[#This Row],[Unit_Cost]])*sales_data_1[[#This Row],[Quantity_Sold]]</f>
        <v>10700.689999999999</v>
      </c>
      <c r="O2334" s="17" t="s">
        <v>17</v>
      </c>
      <c r="P2334" s="26">
        <v>0</v>
      </c>
      <c r="Q2334" s="17" t="s">
        <v>28</v>
      </c>
      <c r="R2334" s="17" t="s">
        <v>19</v>
      </c>
      <c r="S2334" s="50" t="str">
        <f t="shared" si="110"/>
        <v>Eve-West</v>
      </c>
      <c r="T2334" s="59" t="str">
        <f>IF(ROUND(sales_data_1[[#This Row],[Profit_Margin]],2)=ROUND((sales_data_1[[#This Row],[Unit_Price]]*(1-sales_data_1[[#This Row],[Discount]]) - sales_data_1[[#This Row],[Unit_Cost]])*sales_data_1[[#This Row],[Quantity_Sold]],2), "PASS", "CHECK")</f>
        <v>PASS</v>
      </c>
    </row>
    <row r="2335" spans="1:20" x14ac:dyDescent="0.35">
      <c r="A2335" s="7">
        <v>2334</v>
      </c>
      <c r="B2335" s="9">
        <v>1088</v>
      </c>
      <c r="C2335" s="14" t="str">
        <f>IFERROR(_xlfn.TEXTJOIN("-", TRUE, _xlfn.XLOOKUP(K2335, product_category_id_lookup!$A$2:$A$5, product_category_id_lookup!$B$2:$B$5), B2335), "Unknown Category")</f>
        <v>ctg-1088</v>
      </c>
      <c r="D2335" s="8">
        <v>45362</v>
      </c>
      <c r="E2335" s="14">
        <f t="shared" si="108"/>
        <v>2024</v>
      </c>
      <c r="F2335" s="29" t="str">
        <f t="shared" si="109"/>
        <v>Mar</v>
      </c>
      <c r="G2335" s="17" t="s">
        <v>32</v>
      </c>
      <c r="H2335" s="17" t="s">
        <v>15</v>
      </c>
      <c r="I2335" s="24">
        <v>55907.627999999997</v>
      </c>
      <c r="J2335" s="32">
        <v>14</v>
      </c>
      <c r="K2335" s="17" t="s">
        <v>26</v>
      </c>
      <c r="L2335" s="24">
        <v>1604.39</v>
      </c>
      <c r="M2335" s="24">
        <v>4074.9</v>
      </c>
      <c r="N2335" s="34">
        <f>((sales_data_1[[#This Row],[Unit_Price]]*(1-sales_data_1[[#This Row],[Discount]]))-sales_data_1[[#This Row],[Unit_Cost]])*sales_data_1[[#This Row],[Quantity_Sold]]</f>
        <v>33446.167999999998</v>
      </c>
      <c r="O2335" s="17" t="s">
        <v>27</v>
      </c>
      <c r="P2335" s="26">
        <v>0.02</v>
      </c>
      <c r="Q2335" s="17" t="s">
        <v>28</v>
      </c>
      <c r="R2335" s="17" t="s">
        <v>19</v>
      </c>
      <c r="S2335" s="50" t="str">
        <f t="shared" si="110"/>
        <v>Eve-North</v>
      </c>
      <c r="T2335" s="59" t="str">
        <f>IF(ROUND(sales_data_1[[#This Row],[Profit_Margin]],2)=ROUND((sales_data_1[[#This Row],[Unit_Price]]*(1-sales_data_1[[#This Row],[Discount]]) - sales_data_1[[#This Row],[Unit_Cost]])*sales_data_1[[#This Row],[Quantity_Sold]],2), "PASS", "CHECK")</f>
        <v>PASS</v>
      </c>
    </row>
    <row r="2336" spans="1:20" x14ac:dyDescent="0.35">
      <c r="A2336" s="7">
        <v>2335</v>
      </c>
      <c r="B2336" s="9">
        <v>1046</v>
      </c>
      <c r="C2336" s="14" t="str">
        <f>IFERROR(_xlfn.TEXTJOIN("-", TRUE, _xlfn.XLOOKUP(K2336, product_category_id_lookup!$A$2:$A$5, product_category_id_lookup!$B$2:$B$5), B2336), "Unknown Category")</f>
        <v>fnt-1046</v>
      </c>
      <c r="D2336" s="8">
        <v>45362</v>
      </c>
      <c r="E2336" s="14">
        <f t="shared" si="108"/>
        <v>2024</v>
      </c>
      <c r="F2336" s="29" t="str">
        <f t="shared" si="109"/>
        <v>Mar</v>
      </c>
      <c r="G2336" s="17" t="s">
        <v>33</v>
      </c>
      <c r="H2336" s="17" t="s">
        <v>23</v>
      </c>
      <c r="I2336" s="24">
        <v>153870.8187</v>
      </c>
      <c r="J2336" s="32">
        <v>29</v>
      </c>
      <c r="K2336" s="17" t="s">
        <v>16</v>
      </c>
      <c r="L2336" s="24">
        <v>1863.82</v>
      </c>
      <c r="M2336" s="24">
        <v>5469.99</v>
      </c>
      <c r="N2336" s="34">
        <f>((sales_data_1[[#This Row],[Unit_Price]]*(1-sales_data_1[[#This Row],[Discount]]))-sales_data_1[[#This Row],[Unit_Cost]])*sales_data_1[[#This Row],[Quantity_Sold]]</f>
        <v>99820.038700000005</v>
      </c>
      <c r="O2336" s="17" t="s">
        <v>17</v>
      </c>
      <c r="P2336" s="26">
        <v>0.03</v>
      </c>
      <c r="Q2336" s="17" t="s">
        <v>28</v>
      </c>
      <c r="R2336" s="17" t="s">
        <v>21</v>
      </c>
      <c r="S2336" s="50" t="str">
        <f t="shared" si="110"/>
        <v>Alice-South</v>
      </c>
      <c r="T2336" s="59" t="str">
        <f>IF(ROUND(sales_data_1[[#This Row],[Profit_Margin]],2)=ROUND((sales_data_1[[#This Row],[Unit_Price]]*(1-sales_data_1[[#This Row],[Discount]]) - sales_data_1[[#This Row],[Unit_Cost]])*sales_data_1[[#This Row],[Quantity_Sold]],2), "PASS", "CHECK")</f>
        <v>PASS</v>
      </c>
    </row>
    <row r="2337" spans="1:20" x14ac:dyDescent="0.35">
      <c r="A2337" s="7">
        <v>2336</v>
      </c>
      <c r="B2337" s="9">
        <v>1007</v>
      </c>
      <c r="C2337" s="14" t="str">
        <f>IFERROR(_xlfn.TEXTJOIN("-", TRUE, _xlfn.XLOOKUP(K2337, product_category_id_lookup!$A$2:$A$5, product_category_id_lookup!$B$2:$B$5), B2337), "Unknown Category")</f>
        <v>ctg-1007</v>
      </c>
      <c r="D2337" s="8">
        <v>45363</v>
      </c>
      <c r="E2337" s="14">
        <f t="shared" si="108"/>
        <v>2024</v>
      </c>
      <c r="F2337" s="29" t="str">
        <f t="shared" si="109"/>
        <v>Mar</v>
      </c>
      <c r="G2337" s="17" t="s">
        <v>32</v>
      </c>
      <c r="H2337" s="17" t="s">
        <v>23</v>
      </c>
      <c r="I2337" s="24">
        <v>147339.99280000001</v>
      </c>
      <c r="J2337" s="32">
        <v>34</v>
      </c>
      <c r="K2337" s="17" t="s">
        <v>26</v>
      </c>
      <c r="L2337" s="24">
        <v>4124.13</v>
      </c>
      <c r="M2337" s="24">
        <v>4762.12</v>
      </c>
      <c r="N2337" s="34">
        <f>((sales_data_1[[#This Row],[Unit_Price]]*(1-sales_data_1[[#This Row],[Discount]]))-sales_data_1[[#This Row],[Unit_Cost]])*sales_data_1[[#This Row],[Quantity_Sold]]</f>
        <v>7119.5727999999945</v>
      </c>
      <c r="O2337" s="17" t="s">
        <v>17</v>
      </c>
      <c r="P2337" s="26">
        <v>0.09</v>
      </c>
      <c r="Q2337" s="17" t="s">
        <v>28</v>
      </c>
      <c r="R2337" s="17" t="s">
        <v>19</v>
      </c>
      <c r="S2337" s="50" t="str">
        <f t="shared" si="110"/>
        <v>Eve-South</v>
      </c>
      <c r="T2337" s="59" t="str">
        <f>IF(ROUND(sales_data_1[[#This Row],[Profit_Margin]],2)=ROUND((sales_data_1[[#This Row],[Unit_Price]]*(1-sales_data_1[[#This Row],[Discount]]) - sales_data_1[[#This Row],[Unit_Cost]])*sales_data_1[[#This Row],[Quantity_Sold]],2), "PASS", "CHECK")</f>
        <v>PASS</v>
      </c>
    </row>
    <row r="2338" spans="1:20" x14ac:dyDescent="0.35">
      <c r="A2338" s="7">
        <v>2337</v>
      </c>
      <c r="B2338" s="9">
        <v>1025</v>
      </c>
      <c r="C2338" s="14" t="str">
        <f>IFERROR(_xlfn.TEXTJOIN("-", TRUE, _xlfn.XLOOKUP(K2338, product_category_id_lookup!$A$2:$A$5, product_category_id_lookup!$B$2:$B$5), B2338), "Unknown Category")</f>
        <v>etc-1025</v>
      </c>
      <c r="D2338" s="8">
        <v>45363</v>
      </c>
      <c r="E2338" s="14">
        <f t="shared" si="108"/>
        <v>2024</v>
      </c>
      <c r="F2338" s="29" t="str">
        <f t="shared" si="109"/>
        <v>Mar</v>
      </c>
      <c r="G2338" s="17" t="s">
        <v>22</v>
      </c>
      <c r="H2338" s="17" t="s">
        <v>15</v>
      </c>
      <c r="I2338" s="24">
        <v>24292.640000000003</v>
      </c>
      <c r="J2338" s="32">
        <v>38</v>
      </c>
      <c r="K2338" s="17" t="s">
        <v>31</v>
      </c>
      <c r="L2338" s="24">
        <v>420.92</v>
      </c>
      <c r="M2338" s="24">
        <v>799.1</v>
      </c>
      <c r="N2338" s="34">
        <f>((sales_data_1[[#This Row],[Unit_Price]]*(1-sales_data_1[[#This Row],[Discount]]))-sales_data_1[[#This Row],[Unit_Cost]])*sales_data_1[[#This Row],[Quantity_Sold]]</f>
        <v>8297.6800000000021</v>
      </c>
      <c r="O2338" s="17" t="s">
        <v>27</v>
      </c>
      <c r="P2338" s="26">
        <v>0.2</v>
      </c>
      <c r="Q2338" s="17" t="s">
        <v>18</v>
      </c>
      <c r="R2338" s="17" t="s">
        <v>19</v>
      </c>
      <c r="S2338" s="50" t="str">
        <f t="shared" si="110"/>
        <v>David-North</v>
      </c>
      <c r="T2338" s="59" t="str">
        <f>IF(ROUND(sales_data_1[[#This Row],[Profit_Margin]],2)=ROUND((sales_data_1[[#This Row],[Unit_Price]]*(1-sales_data_1[[#This Row],[Discount]]) - sales_data_1[[#This Row],[Unit_Cost]])*sales_data_1[[#This Row],[Quantity_Sold]],2), "PASS", "CHECK")</f>
        <v>PASS</v>
      </c>
    </row>
    <row r="2339" spans="1:20" x14ac:dyDescent="0.35">
      <c r="A2339" s="7">
        <v>2338</v>
      </c>
      <c r="B2339" s="9">
        <v>1030</v>
      </c>
      <c r="C2339" s="14" t="str">
        <f>IFERROR(_xlfn.TEXTJOIN("-", TRUE, _xlfn.XLOOKUP(K2339, product_category_id_lookup!$A$2:$A$5, product_category_id_lookup!$B$2:$B$5), B2339), "Unknown Category")</f>
        <v>ctg-1030</v>
      </c>
      <c r="D2339" s="8">
        <v>45363</v>
      </c>
      <c r="E2339" s="14">
        <f t="shared" si="108"/>
        <v>2024</v>
      </c>
      <c r="F2339" s="29" t="str">
        <f t="shared" si="109"/>
        <v>Mar</v>
      </c>
      <c r="G2339" s="17" t="s">
        <v>29</v>
      </c>
      <c r="H2339" s="17" t="s">
        <v>15</v>
      </c>
      <c r="I2339" s="24">
        <v>166618.3536</v>
      </c>
      <c r="J2339" s="32">
        <v>48</v>
      </c>
      <c r="K2339" s="17" t="s">
        <v>26</v>
      </c>
      <c r="L2339" s="24">
        <v>1751.88</v>
      </c>
      <c r="M2339" s="24">
        <v>4755.09</v>
      </c>
      <c r="N2339" s="34">
        <f>((sales_data_1[[#This Row],[Unit_Price]]*(1-sales_data_1[[#This Row],[Discount]]))-sales_data_1[[#This Row],[Unit_Cost]])*sales_data_1[[#This Row],[Quantity_Sold]]</f>
        <v>82528.113600000012</v>
      </c>
      <c r="O2339" s="17" t="s">
        <v>17</v>
      </c>
      <c r="P2339" s="26">
        <v>0.27</v>
      </c>
      <c r="Q2339" s="17" t="s">
        <v>28</v>
      </c>
      <c r="R2339" s="17" t="s">
        <v>21</v>
      </c>
      <c r="S2339" s="50" t="str">
        <f t="shared" si="110"/>
        <v>Charlie-North</v>
      </c>
      <c r="T2339" s="59" t="str">
        <f>IF(ROUND(sales_data_1[[#This Row],[Profit_Margin]],2)=ROUND((sales_data_1[[#This Row],[Unit_Price]]*(1-sales_data_1[[#This Row],[Discount]]) - sales_data_1[[#This Row],[Unit_Cost]])*sales_data_1[[#This Row],[Quantity_Sold]],2), "PASS", "CHECK")</f>
        <v>PASS</v>
      </c>
    </row>
    <row r="2340" spans="1:20" x14ac:dyDescent="0.35">
      <c r="A2340" s="7">
        <v>2339</v>
      </c>
      <c r="B2340" s="9">
        <v>1086</v>
      </c>
      <c r="C2340" s="14" t="str">
        <f>IFERROR(_xlfn.TEXTJOIN("-", TRUE, _xlfn.XLOOKUP(K2340, product_category_id_lookup!$A$2:$A$5, product_category_id_lookup!$B$2:$B$5), B2340), "Unknown Category")</f>
        <v>fd-1086</v>
      </c>
      <c r="D2340" s="8">
        <v>45363</v>
      </c>
      <c r="E2340" s="14">
        <f t="shared" si="108"/>
        <v>2024</v>
      </c>
      <c r="F2340" s="29" t="str">
        <f t="shared" si="109"/>
        <v>Mar</v>
      </c>
      <c r="G2340" s="17" t="s">
        <v>14</v>
      </c>
      <c r="H2340" s="17" t="s">
        <v>20</v>
      </c>
      <c r="I2340" s="24">
        <v>222346.08</v>
      </c>
      <c r="J2340" s="32">
        <v>50</v>
      </c>
      <c r="K2340" s="17" t="s">
        <v>24</v>
      </c>
      <c r="L2340" s="24">
        <v>2657.1</v>
      </c>
      <c r="M2340" s="24">
        <v>5053.32</v>
      </c>
      <c r="N2340" s="34">
        <f>((sales_data_1[[#This Row],[Unit_Price]]*(1-sales_data_1[[#This Row],[Discount]]))-sales_data_1[[#This Row],[Unit_Cost]])*sales_data_1[[#This Row],[Quantity_Sold]]</f>
        <v>89491.079999999987</v>
      </c>
      <c r="O2340" s="17" t="s">
        <v>17</v>
      </c>
      <c r="P2340" s="26">
        <v>0.12</v>
      </c>
      <c r="Q2340" s="17" t="s">
        <v>18</v>
      </c>
      <c r="R2340" s="17" t="s">
        <v>21</v>
      </c>
      <c r="S2340" s="50" t="str">
        <f t="shared" si="110"/>
        <v>Bob-West</v>
      </c>
      <c r="T2340" s="59" t="str">
        <f>IF(ROUND(sales_data_1[[#This Row],[Profit_Margin]],2)=ROUND((sales_data_1[[#This Row],[Unit_Price]]*(1-sales_data_1[[#This Row],[Discount]]) - sales_data_1[[#This Row],[Unit_Cost]])*sales_data_1[[#This Row],[Quantity_Sold]],2), "PASS", "CHECK")</f>
        <v>PASS</v>
      </c>
    </row>
    <row r="2341" spans="1:20" x14ac:dyDescent="0.35">
      <c r="A2341" s="7">
        <v>2340</v>
      </c>
      <c r="B2341" s="9">
        <v>1074</v>
      </c>
      <c r="C2341" s="14" t="str">
        <f>IFERROR(_xlfn.TEXTJOIN("-", TRUE, _xlfn.XLOOKUP(K2341, product_category_id_lookup!$A$2:$A$5, product_category_id_lookup!$B$2:$B$5), B2341), "Unknown Category")</f>
        <v>fnt-1074</v>
      </c>
      <c r="D2341" s="8">
        <v>45363</v>
      </c>
      <c r="E2341" s="14">
        <f t="shared" si="108"/>
        <v>2024</v>
      </c>
      <c r="F2341" s="29" t="str">
        <f t="shared" si="109"/>
        <v>Mar</v>
      </c>
      <c r="G2341" s="17" t="s">
        <v>22</v>
      </c>
      <c r="H2341" s="17" t="s">
        <v>30</v>
      </c>
      <c r="I2341" s="24">
        <v>160689.609</v>
      </c>
      <c r="J2341" s="32">
        <v>45</v>
      </c>
      <c r="K2341" s="17" t="s">
        <v>16</v>
      </c>
      <c r="L2341" s="24">
        <v>414.07</v>
      </c>
      <c r="M2341" s="24">
        <v>4104.46</v>
      </c>
      <c r="N2341" s="34">
        <f>((sales_data_1[[#This Row],[Unit_Price]]*(1-sales_data_1[[#This Row],[Discount]]))-sales_data_1[[#This Row],[Unit_Cost]])*sales_data_1[[#This Row],[Quantity_Sold]]</f>
        <v>142056.459</v>
      </c>
      <c r="O2341" s="17" t="s">
        <v>27</v>
      </c>
      <c r="P2341" s="26">
        <v>0.13</v>
      </c>
      <c r="Q2341" s="17" t="s">
        <v>18</v>
      </c>
      <c r="R2341" s="17" t="s">
        <v>21</v>
      </c>
      <c r="S2341" s="50" t="str">
        <f t="shared" si="110"/>
        <v>David-East</v>
      </c>
      <c r="T2341" s="59" t="str">
        <f>IF(ROUND(sales_data_1[[#This Row],[Profit_Margin]],2)=ROUND((sales_data_1[[#This Row],[Unit_Price]]*(1-sales_data_1[[#This Row],[Discount]]) - sales_data_1[[#This Row],[Unit_Cost]])*sales_data_1[[#This Row],[Quantity_Sold]],2), "PASS", "CHECK")</f>
        <v>PASS</v>
      </c>
    </row>
    <row r="2342" spans="1:20" x14ac:dyDescent="0.35">
      <c r="A2342" s="7">
        <v>2341</v>
      </c>
      <c r="B2342" s="9">
        <v>1086</v>
      </c>
      <c r="C2342" s="14" t="str">
        <f>IFERROR(_xlfn.TEXTJOIN("-", TRUE, _xlfn.XLOOKUP(K2342, product_category_id_lookup!$A$2:$A$5, product_category_id_lookup!$B$2:$B$5), B2342), "Unknown Category")</f>
        <v>ctg-1086</v>
      </c>
      <c r="D2342" s="8">
        <v>45364</v>
      </c>
      <c r="E2342" s="14">
        <f t="shared" si="108"/>
        <v>2024</v>
      </c>
      <c r="F2342" s="29" t="str">
        <f t="shared" si="109"/>
        <v>Mar</v>
      </c>
      <c r="G2342" s="17" t="s">
        <v>29</v>
      </c>
      <c r="H2342" s="17" t="s">
        <v>23</v>
      </c>
      <c r="I2342" s="24">
        <v>30142.3904</v>
      </c>
      <c r="J2342" s="32">
        <v>8</v>
      </c>
      <c r="K2342" s="17" t="s">
        <v>26</v>
      </c>
      <c r="L2342" s="24">
        <v>2292.7600000000002</v>
      </c>
      <c r="M2342" s="24">
        <v>5091.62</v>
      </c>
      <c r="N2342" s="34">
        <f>((sales_data_1[[#This Row],[Unit_Price]]*(1-sales_data_1[[#This Row],[Discount]]))-sales_data_1[[#This Row],[Unit_Cost]])*sales_data_1[[#This Row],[Quantity_Sold]]</f>
        <v>11800.310399999998</v>
      </c>
      <c r="O2342" s="17" t="s">
        <v>27</v>
      </c>
      <c r="P2342" s="26">
        <v>0.26</v>
      </c>
      <c r="Q2342" s="17" t="s">
        <v>18</v>
      </c>
      <c r="R2342" s="17" t="s">
        <v>19</v>
      </c>
      <c r="S2342" s="50" t="str">
        <f t="shared" si="110"/>
        <v>Charlie-South</v>
      </c>
      <c r="T2342" s="59" t="str">
        <f>IF(ROUND(sales_data_1[[#This Row],[Profit_Margin]],2)=ROUND((sales_data_1[[#This Row],[Unit_Price]]*(1-sales_data_1[[#This Row],[Discount]]) - sales_data_1[[#This Row],[Unit_Cost]])*sales_data_1[[#This Row],[Quantity_Sold]],2), "PASS", "CHECK")</f>
        <v>PASS</v>
      </c>
    </row>
    <row r="2343" spans="1:20" x14ac:dyDescent="0.35">
      <c r="A2343" s="7">
        <v>2342</v>
      </c>
      <c r="B2343" s="9">
        <v>1017</v>
      </c>
      <c r="C2343" s="14" t="str">
        <f>IFERROR(_xlfn.TEXTJOIN("-", TRUE, _xlfn.XLOOKUP(K2343, product_category_id_lookup!$A$2:$A$5, product_category_id_lookup!$B$2:$B$5), B2343), "Unknown Category")</f>
        <v>etc-1017</v>
      </c>
      <c r="D2343" s="8">
        <v>45364</v>
      </c>
      <c r="E2343" s="14">
        <f t="shared" si="108"/>
        <v>2024</v>
      </c>
      <c r="F2343" s="29" t="str">
        <f t="shared" si="109"/>
        <v>Mar</v>
      </c>
      <c r="G2343" s="17" t="s">
        <v>29</v>
      </c>
      <c r="H2343" s="17" t="s">
        <v>15</v>
      </c>
      <c r="I2343" s="24">
        <v>119572.49159999998</v>
      </c>
      <c r="J2343" s="32">
        <v>36</v>
      </c>
      <c r="K2343" s="17" t="s">
        <v>31</v>
      </c>
      <c r="L2343" s="24">
        <v>2035.76</v>
      </c>
      <c r="M2343" s="24">
        <v>4678.1099999999997</v>
      </c>
      <c r="N2343" s="34">
        <f>((sales_data_1[[#This Row],[Unit_Price]]*(1-sales_data_1[[#This Row],[Discount]]))-sales_data_1[[#This Row],[Unit_Cost]])*sales_data_1[[#This Row],[Quantity_Sold]]</f>
        <v>46285.131599999979</v>
      </c>
      <c r="O2343" s="17" t="s">
        <v>27</v>
      </c>
      <c r="P2343" s="26">
        <v>0.28999999999999998</v>
      </c>
      <c r="Q2343" s="17" t="s">
        <v>25</v>
      </c>
      <c r="R2343" s="17" t="s">
        <v>21</v>
      </c>
      <c r="S2343" s="50" t="str">
        <f t="shared" si="110"/>
        <v>Charlie-North</v>
      </c>
      <c r="T2343" s="59" t="str">
        <f>IF(ROUND(sales_data_1[[#This Row],[Profit_Margin]],2)=ROUND((sales_data_1[[#This Row],[Unit_Price]]*(1-sales_data_1[[#This Row],[Discount]]) - sales_data_1[[#This Row],[Unit_Cost]])*sales_data_1[[#This Row],[Quantity_Sold]],2), "PASS", "CHECK")</f>
        <v>PASS</v>
      </c>
    </row>
    <row r="2344" spans="1:20" x14ac:dyDescent="0.35">
      <c r="A2344" s="7">
        <v>2343</v>
      </c>
      <c r="B2344" s="9">
        <v>1075</v>
      </c>
      <c r="C2344" s="14" t="str">
        <f>IFERROR(_xlfn.TEXTJOIN("-", TRUE, _xlfn.XLOOKUP(K2344, product_category_id_lookup!$A$2:$A$5, product_category_id_lookup!$B$2:$B$5), B2344), "Unknown Category")</f>
        <v>ctg-1075</v>
      </c>
      <c r="D2344" s="8">
        <v>45364</v>
      </c>
      <c r="E2344" s="14">
        <f t="shared" si="108"/>
        <v>2024</v>
      </c>
      <c r="F2344" s="29" t="str">
        <f t="shared" si="109"/>
        <v>Mar</v>
      </c>
      <c r="G2344" s="17" t="s">
        <v>33</v>
      </c>
      <c r="H2344" s="17" t="s">
        <v>23</v>
      </c>
      <c r="I2344" s="24">
        <v>133185.63</v>
      </c>
      <c r="J2344" s="32">
        <v>41</v>
      </c>
      <c r="K2344" s="17" t="s">
        <v>26</v>
      </c>
      <c r="L2344" s="24">
        <v>1613.68</v>
      </c>
      <c r="M2344" s="24">
        <v>3419.4</v>
      </c>
      <c r="N2344" s="34">
        <f>((sales_data_1[[#This Row],[Unit_Price]]*(1-sales_data_1[[#This Row],[Discount]]))-sales_data_1[[#This Row],[Unit_Cost]])*sales_data_1[[#This Row],[Quantity_Sold]]</f>
        <v>67024.749999999985</v>
      </c>
      <c r="O2344" s="17" t="s">
        <v>27</v>
      </c>
      <c r="P2344" s="26">
        <v>0.05</v>
      </c>
      <c r="Q2344" s="17" t="s">
        <v>28</v>
      </c>
      <c r="R2344" s="17" t="s">
        <v>21</v>
      </c>
      <c r="S2344" s="50" t="str">
        <f t="shared" si="110"/>
        <v>Alice-South</v>
      </c>
      <c r="T2344" s="59" t="str">
        <f>IF(ROUND(sales_data_1[[#This Row],[Profit_Margin]],2)=ROUND((sales_data_1[[#This Row],[Unit_Price]]*(1-sales_data_1[[#This Row],[Discount]]) - sales_data_1[[#This Row],[Unit_Cost]])*sales_data_1[[#This Row],[Quantity_Sold]],2), "PASS", "CHECK")</f>
        <v>PASS</v>
      </c>
    </row>
    <row r="2345" spans="1:20" x14ac:dyDescent="0.35">
      <c r="A2345" s="7">
        <v>2344</v>
      </c>
      <c r="B2345" s="9">
        <v>1076</v>
      </c>
      <c r="C2345" s="14" t="str">
        <f>IFERROR(_xlfn.TEXTJOIN("-", TRUE, _xlfn.XLOOKUP(K2345, product_category_id_lookup!$A$2:$A$5, product_category_id_lookup!$B$2:$B$5), B2345), "Unknown Category")</f>
        <v>fd-1076</v>
      </c>
      <c r="D2345" s="8">
        <v>45364</v>
      </c>
      <c r="E2345" s="14">
        <f t="shared" si="108"/>
        <v>2024</v>
      </c>
      <c r="F2345" s="29" t="str">
        <f t="shared" si="109"/>
        <v>Mar</v>
      </c>
      <c r="G2345" s="17" t="s">
        <v>29</v>
      </c>
      <c r="H2345" s="17" t="s">
        <v>30</v>
      </c>
      <c r="I2345" s="24">
        <v>129551.87059999999</v>
      </c>
      <c r="J2345" s="32">
        <v>31</v>
      </c>
      <c r="K2345" s="17" t="s">
        <v>24</v>
      </c>
      <c r="L2345" s="24">
        <v>1587.56</v>
      </c>
      <c r="M2345" s="24">
        <v>4859.41</v>
      </c>
      <c r="N2345" s="34">
        <f>((sales_data_1[[#This Row],[Unit_Price]]*(1-sales_data_1[[#This Row],[Discount]]))-sales_data_1[[#This Row],[Unit_Cost]])*sales_data_1[[#This Row],[Quantity_Sold]]</f>
        <v>80337.510599999994</v>
      </c>
      <c r="O2345" s="17" t="s">
        <v>17</v>
      </c>
      <c r="P2345" s="26">
        <v>0.14000000000000001</v>
      </c>
      <c r="Q2345" s="17" t="s">
        <v>25</v>
      </c>
      <c r="R2345" s="17" t="s">
        <v>19</v>
      </c>
      <c r="S2345" s="50" t="str">
        <f t="shared" si="110"/>
        <v>Charlie-East</v>
      </c>
      <c r="T2345" s="59" t="str">
        <f>IF(ROUND(sales_data_1[[#This Row],[Profit_Margin]],2)=ROUND((sales_data_1[[#This Row],[Unit_Price]]*(1-sales_data_1[[#This Row],[Discount]]) - sales_data_1[[#This Row],[Unit_Cost]])*sales_data_1[[#This Row],[Quantity_Sold]],2), "PASS", "CHECK")</f>
        <v>PASS</v>
      </c>
    </row>
    <row r="2346" spans="1:20" x14ac:dyDescent="0.35">
      <c r="A2346" s="7">
        <v>2345</v>
      </c>
      <c r="B2346" s="9">
        <v>1077</v>
      </c>
      <c r="C2346" s="14" t="str">
        <f>IFERROR(_xlfn.TEXTJOIN("-", TRUE, _xlfn.XLOOKUP(K2346, product_category_id_lookup!$A$2:$A$5, product_category_id_lookup!$B$2:$B$5), B2346), "Unknown Category")</f>
        <v>ctg-1077</v>
      </c>
      <c r="D2346" s="8">
        <v>45364</v>
      </c>
      <c r="E2346" s="14">
        <f t="shared" si="108"/>
        <v>2024</v>
      </c>
      <c r="F2346" s="29" t="str">
        <f t="shared" si="109"/>
        <v>Mar</v>
      </c>
      <c r="G2346" s="17" t="s">
        <v>14</v>
      </c>
      <c r="H2346" s="17" t="s">
        <v>20</v>
      </c>
      <c r="I2346" s="24">
        <v>153197.5405</v>
      </c>
      <c r="J2346" s="32">
        <v>43</v>
      </c>
      <c r="K2346" s="17" t="s">
        <v>26</v>
      </c>
      <c r="L2346" s="24">
        <v>525.59</v>
      </c>
      <c r="M2346" s="24">
        <v>4292.45</v>
      </c>
      <c r="N2346" s="34">
        <f>((sales_data_1[[#This Row],[Unit_Price]]*(1-sales_data_1[[#This Row],[Discount]]))-sales_data_1[[#This Row],[Unit_Cost]])*sales_data_1[[#This Row],[Quantity_Sold]]</f>
        <v>130597.17049999999</v>
      </c>
      <c r="O2346" s="17" t="s">
        <v>17</v>
      </c>
      <c r="P2346" s="26">
        <v>0.17</v>
      </c>
      <c r="Q2346" s="17" t="s">
        <v>28</v>
      </c>
      <c r="R2346" s="17" t="s">
        <v>19</v>
      </c>
      <c r="S2346" s="50" t="str">
        <f t="shared" si="110"/>
        <v>Bob-West</v>
      </c>
      <c r="T2346" s="59" t="str">
        <f>IF(ROUND(sales_data_1[[#This Row],[Profit_Margin]],2)=ROUND((sales_data_1[[#This Row],[Unit_Price]]*(1-sales_data_1[[#This Row],[Discount]]) - sales_data_1[[#This Row],[Unit_Cost]])*sales_data_1[[#This Row],[Quantity_Sold]],2), "PASS", "CHECK")</f>
        <v>PASS</v>
      </c>
    </row>
    <row r="2347" spans="1:20" x14ac:dyDescent="0.35">
      <c r="A2347" s="7">
        <v>2346</v>
      </c>
      <c r="B2347" s="9">
        <v>1094</v>
      </c>
      <c r="C2347" s="14" t="str">
        <f>IFERROR(_xlfn.TEXTJOIN("-", TRUE, _xlfn.XLOOKUP(K2347, product_category_id_lookup!$A$2:$A$5, product_category_id_lookup!$B$2:$B$5), B2347), "Unknown Category")</f>
        <v>fnt-1094</v>
      </c>
      <c r="D2347" s="8">
        <v>45364</v>
      </c>
      <c r="E2347" s="14">
        <f t="shared" si="108"/>
        <v>2024</v>
      </c>
      <c r="F2347" s="29" t="str">
        <f t="shared" si="109"/>
        <v>Mar</v>
      </c>
      <c r="G2347" s="17" t="s">
        <v>29</v>
      </c>
      <c r="H2347" s="17" t="s">
        <v>15</v>
      </c>
      <c r="I2347" s="24">
        <v>152939.93400000001</v>
      </c>
      <c r="J2347" s="32">
        <v>42</v>
      </c>
      <c r="K2347" s="17" t="s">
        <v>16</v>
      </c>
      <c r="L2347" s="24">
        <v>293.08</v>
      </c>
      <c r="M2347" s="24">
        <v>4046.03</v>
      </c>
      <c r="N2347" s="34">
        <f>((sales_data_1[[#This Row],[Unit_Price]]*(1-sales_data_1[[#This Row],[Discount]]))-sales_data_1[[#This Row],[Unit_Cost]])*sales_data_1[[#This Row],[Quantity_Sold]]</f>
        <v>140630.57400000002</v>
      </c>
      <c r="O2347" s="17" t="s">
        <v>27</v>
      </c>
      <c r="P2347" s="26">
        <v>0.1</v>
      </c>
      <c r="Q2347" s="17" t="s">
        <v>18</v>
      </c>
      <c r="R2347" s="17" t="s">
        <v>21</v>
      </c>
      <c r="S2347" s="50" t="str">
        <f t="shared" si="110"/>
        <v>Charlie-North</v>
      </c>
      <c r="T2347" s="59" t="str">
        <f>IF(ROUND(sales_data_1[[#This Row],[Profit_Margin]],2)=ROUND((sales_data_1[[#This Row],[Unit_Price]]*(1-sales_data_1[[#This Row],[Discount]]) - sales_data_1[[#This Row],[Unit_Cost]])*sales_data_1[[#This Row],[Quantity_Sold]],2), "PASS", "CHECK")</f>
        <v>PASS</v>
      </c>
    </row>
    <row r="2348" spans="1:20" x14ac:dyDescent="0.35">
      <c r="A2348" s="7">
        <v>2347</v>
      </c>
      <c r="B2348" s="9">
        <v>1077</v>
      </c>
      <c r="C2348" s="14" t="str">
        <f>IFERROR(_xlfn.TEXTJOIN("-", TRUE, _xlfn.XLOOKUP(K2348, product_category_id_lookup!$A$2:$A$5, product_category_id_lookup!$B$2:$B$5), B2348), "Unknown Category")</f>
        <v>etc-1077</v>
      </c>
      <c r="D2348" s="8">
        <v>45365</v>
      </c>
      <c r="E2348" s="14">
        <f t="shared" si="108"/>
        <v>2024</v>
      </c>
      <c r="F2348" s="29" t="str">
        <f t="shared" si="109"/>
        <v>Mar</v>
      </c>
      <c r="G2348" s="17" t="s">
        <v>29</v>
      </c>
      <c r="H2348" s="17" t="s">
        <v>30</v>
      </c>
      <c r="I2348" s="24">
        <v>56547.876000000004</v>
      </c>
      <c r="J2348" s="32">
        <v>30</v>
      </c>
      <c r="K2348" s="17" t="s">
        <v>31</v>
      </c>
      <c r="L2348" s="24">
        <v>529.79</v>
      </c>
      <c r="M2348" s="24">
        <v>2480.17</v>
      </c>
      <c r="N2348" s="34">
        <f>((sales_data_1[[#This Row],[Unit_Price]]*(1-sales_data_1[[#This Row],[Discount]]))-sales_data_1[[#This Row],[Unit_Cost]])*sales_data_1[[#This Row],[Quantity_Sold]]</f>
        <v>40654.175999999999</v>
      </c>
      <c r="O2348" s="17" t="s">
        <v>27</v>
      </c>
      <c r="P2348" s="26">
        <v>0.24</v>
      </c>
      <c r="Q2348" s="17" t="s">
        <v>18</v>
      </c>
      <c r="R2348" s="17" t="s">
        <v>21</v>
      </c>
      <c r="S2348" s="50" t="str">
        <f t="shared" si="110"/>
        <v>Charlie-East</v>
      </c>
      <c r="T2348" s="59" t="str">
        <f>IF(ROUND(sales_data_1[[#This Row],[Profit_Margin]],2)=ROUND((sales_data_1[[#This Row],[Unit_Price]]*(1-sales_data_1[[#This Row],[Discount]]) - sales_data_1[[#This Row],[Unit_Cost]])*sales_data_1[[#This Row],[Quantity_Sold]],2), "PASS", "CHECK")</f>
        <v>PASS</v>
      </c>
    </row>
    <row r="2349" spans="1:20" x14ac:dyDescent="0.35">
      <c r="A2349" s="7">
        <v>2348</v>
      </c>
      <c r="B2349" s="9">
        <v>1065</v>
      </c>
      <c r="C2349" s="14" t="str">
        <f>IFERROR(_xlfn.TEXTJOIN("-", TRUE, _xlfn.XLOOKUP(K2349, product_category_id_lookup!$A$2:$A$5, product_category_id_lookup!$B$2:$B$5), B2349), "Unknown Category")</f>
        <v>fnt-1065</v>
      </c>
      <c r="D2349" s="8">
        <v>45366</v>
      </c>
      <c r="E2349" s="14">
        <f t="shared" si="108"/>
        <v>2024</v>
      </c>
      <c r="F2349" s="29" t="str">
        <f t="shared" si="109"/>
        <v>Mar</v>
      </c>
      <c r="G2349" s="17" t="s">
        <v>32</v>
      </c>
      <c r="H2349" s="17" t="s">
        <v>23</v>
      </c>
      <c r="I2349" s="24">
        <v>150408.76259668486</v>
      </c>
      <c r="J2349" s="32">
        <v>32</v>
      </c>
      <c r="K2349" s="17" t="s">
        <v>16</v>
      </c>
      <c r="L2349" s="24">
        <v>4524.57</v>
      </c>
      <c r="M2349" s="24">
        <v>4862.18</v>
      </c>
      <c r="N2349" s="34">
        <f>((sales_data_1[[#This Row],[Unit_Price]]*(1-sales_data_1[[#This Row],[Discount]]))-sales_data_1[[#This Row],[Unit_Cost]])*sales_data_1[[#This Row],[Quantity_Sold]]</f>
        <v>6135.8271999999997</v>
      </c>
      <c r="O2349" s="17" t="s">
        <v>27</v>
      </c>
      <c r="P2349" s="26">
        <v>0.03</v>
      </c>
      <c r="Q2349" s="17" t="s">
        <v>28</v>
      </c>
      <c r="R2349" s="17" t="s">
        <v>19</v>
      </c>
      <c r="S2349" s="50" t="str">
        <f t="shared" si="110"/>
        <v>Eve-South</v>
      </c>
      <c r="T2349" s="59" t="str">
        <f>IF(ROUND(sales_data_1[[#This Row],[Profit_Margin]],2)=ROUND((sales_data_1[[#This Row],[Unit_Price]]*(1-sales_data_1[[#This Row],[Discount]]) - sales_data_1[[#This Row],[Unit_Cost]])*sales_data_1[[#This Row],[Quantity_Sold]],2), "PASS", "CHECK")</f>
        <v>PASS</v>
      </c>
    </row>
    <row r="2350" spans="1:20" x14ac:dyDescent="0.35">
      <c r="A2350" s="7">
        <v>2349</v>
      </c>
      <c r="B2350" s="9">
        <v>1041</v>
      </c>
      <c r="C2350" s="14" t="str">
        <f>IFERROR(_xlfn.TEXTJOIN("-", TRUE, _xlfn.XLOOKUP(K2350, product_category_id_lookup!$A$2:$A$5, product_category_id_lookup!$B$2:$B$5), B2350), "Unknown Category")</f>
        <v>fnt-1041</v>
      </c>
      <c r="D2350" s="8">
        <v>45366</v>
      </c>
      <c r="E2350" s="14">
        <f t="shared" si="108"/>
        <v>2024</v>
      </c>
      <c r="F2350" s="29" t="str">
        <f t="shared" si="109"/>
        <v>Mar</v>
      </c>
      <c r="G2350" s="17" t="s">
        <v>22</v>
      </c>
      <c r="H2350" s="17" t="s">
        <v>20</v>
      </c>
      <c r="I2350" s="24">
        <v>184874.2</v>
      </c>
      <c r="J2350" s="32">
        <v>50</v>
      </c>
      <c r="K2350" s="17" t="s">
        <v>16</v>
      </c>
      <c r="L2350" s="24">
        <v>3396.07</v>
      </c>
      <c r="M2350" s="24">
        <v>4996.6000000000004</v>
      </c>
      <c r="N2350" s="34">
        <f>((sales_data_1[[#This Row],[Unit_Price]]*(1-sales_data_1[[#This Row],[Discount]]))-sales_data_1[[#This Row],[Unit_Cost]])*sales_data_1[[#This Row],[Quantity_Sold]]</f>
        <v>15070.700000000012</v>
      </c>
      <c r="O2350" s="17" t="s">
        <v>27</v>
      </c>
      <c r="P2350" s="26">
        <v>0.26</v>
      </c>
      <c r="Q2350" s="17" t="s">
        <v>18</v>
      </c>
      <c r="R2350" s="17" t="s">
        <v>21</v>
      </c>
      <c r="S2350" s="50" t="str">
        <f t="shared" si="110"/>
        <v>David-West</v>
      </c>
      <c r="T2350" s="59" t="str">
        <f>IF(ROUND(sales_data_1[[#This Row],[Profit_Margin]],2)=ROUND((sales_data_1[[#This Row],[Unit_Price]]*(1-sales_data_1[[#This Row],[Discount]]) - sales_data_1[[#This Row],[Unit_Cost]])*sales_data_1[[#This Row],[Quantity_Sold]],2), "PASS", "CHECK")</f>
        <v>PASS</v>
      </c>
    </row>
    <row r="2351" spans="1:20" x14ac:dyDescent="0.35">
      <c r="A2351" s="7">
        <v>2350</v>
      </c>
      <c r="B2351" s="9">
        <v>1076</v>
      </c>
      <c r="C2351" s="14" t="str">
        <f>IFERROR(_xlfn.TEXTJOIN("-", TRUE, _xlfn.XLOOKUP(K2351, product_category_id_lookup!$A$2:$A$5, product_category_id_lookup!$B$2:$B$5), B2351), "Unknown Category")</f>
        <v>ctg-1076</v>
      </c>
      <c r="D2351" s="8">
        <v>45367</v>
      </c>
      <c r="E2351" s="14">
        <f t="shared" si="108"/>
        <v>2024</v>
      </c>
      <c r="F2351" s="29" t="str">
        <f t="shared" si="109"/>
        <v>Mar</v>
      </c>
      <c r="G2351" s="17" t="s">
        <v>29</v>
      </c>
      <c r="H2351" s="17" t="s">
        <v>23</v>
      </c>
      <c r="I2351" s="24">
        <v>56539.023333618075</v>
      </c>
      <c r="J2351" s="32">
        <v>14</v>
      </c>
      <c r="K2351" s="17" t="s">
        <v>26</v>
      </c>
      <c r="L2351" s="24">
        <v>3803.19</v>
      </c>
      <c r="M2351" s="24">
        <v>4088.59</v>
      </c>
      <c r="N2351" s="34">
        <f>((sales_data_1[[#This Row],[Unit_Price]]*(1-sales_data_1[[#This Row],[Discount]]))-sales_data_1[[#This Row],[Unit_Cost]])*sales_data_1[[#This Row],[Quantity_Sold]]</f>
        <v>3423.1973999999982</v>
      </c>
      <c r="O2351" s="17" t="s">
        <v>27</v>
      </c>
      <c r="P2351" s="26">
        <v>0.01</v>
      </c>
      <c r="Q2351" s="17" t="s">
        <v>25</v>
      </c>
      <c r="R2351" s="17" t="s">
        <v>19</v>
      </c>
      <c r="S2351" s="50" t="str">
        <f t="shared" si="110"/>
        <v>Charlie-South</v>
      </c>
      <c r="T2351" s="59" t="str">
        <f>IF(ROUND(sales_data_1[[#This Row],[Profit_Margin]],2)=ROUND((sales_data_1[[#This Row],[Unit_Price]]*(1-sales_data_1[[#This Row],[Discount]]) - sales_data_1[[#This Row],[Unit_Cost]])*sales_data_1[[#This Row],[Quantity_Sold]],2), "PASS", "CHECK")</f>
        <v>PASS</v>
      </c>
    </row>
    <row r="2352" spans="1:20" x14ac:dyDescent="0.35">
      <c r="A2352" s="7">
        <v>2351</v>
      </c>
      <c r="B2352" s="9">
        <v>1062</v>
      </c>
      <c r="C2352" s="14" t="str">
        <f>IFERROR(_xlfn.TEXTJOIN("-", TRUE, _xlfn.XLOOKUP(K2352, product_category_id_lookup!$A$2:$A$5, product_category_id_lookup!$B$2:$B$5), B2352), "Unknown Category")</f>
        <v>fnt-1062</v>
      </c>
      <c r="D2352" s="8">
        <v>45367</v>
      </c>
      <c r="E2352" s="14">
        <f t="shared" si="108"/>
        <v>2024</v>
      </c>
      <c r="F2352" s="29" t="str">
        <f t="shared" si="109"/>
        <v>Mar</v>
      </c>
      <c r="G2352" s="17" t="s">
        <v>29</v>
      </c>
      <c r="H2352" s="17" t="s">
        <v>30</v>
      </c>
      <c r="I2352" s="24">
        <v>40706.720000000001</v>
      </c>
      <c r="J2352" s="32">
        <v>29</v>
      </c>
      <c r="K2352" s="17" t="s">
        <v>16</v>
      </c>
      <c r="L2352" s="24">
        <v>908.02</v>
      </c>
      <c r="M2352" s="24">
        <v>1754.6</v>
      </c>
      <c r="N2352" s="34">
        <f>((sales_data_1[[#This Row],[Unit_Price]]*(1-sales_data_1[[#This Row],[Discount]]))-sales_data_1[[#This Row],[Unit_Cost]])*sales_data_1[[#This Row],[Quantity_Sold]]</f>
        <v>14374.140000000003</v>
      </c>
      <c r="O2352" s="17" t="s">
        <v>27</v>
      </c>
      <c r="P2352" s="26">
        <v>0.2</v>
      </c>
      <c r="Q2352" s="17" t="s">
        <v>25</v>
      </c>
      <c r="R2352" s="17" t="s">
        <v>21</v>
      </c>
      <c r="S2352" s="50" t="str">
        <f t="shared" si="110"/>
        <v>Charlie-East</v>
      </c>
      <c r="T2352" s="59" t="str">
        <f>IF(ROUND(sales_data_1[[#This Row],[Profit_Margin]],2)=ROUND((sales_data_1[[#This Row],[Unit_Price]]*(1-sales_data_1[[#This Row],[Discount]]) - sales_data_1[[#This Row],[Unit_Cost]])*sales_data_1[[#This Row],[Quantity_Sold]],2), "PASS", "CHECK")</f>
        <v>PASS</v>
      </c>
    </row>
    <row r="2353" spans="1:20" x14ac:dyDescent="0.35">
      <c r="A2353" s="7">
        <v>2352</v>
      </c>
      <c r="B2353" s="9">
        <v>1059</v>
      </c>
      <c r="C2353" s="14" t="str">
        <f>IFERROR(_xlfn.TEXTJOIN("-", TRUE, _xlfn.XLOOKUP(K2353, product_category_id_lookup!$A$2:$A$5, product_category_id_lookup!$B$2:$B$5), B2353), "Unknown Category")</f>
        <v>fd-1059</v>
      </c>
      <c r="D2353" s="8">
        <v>45367</v>
      </c>
      <c r="E2353" s="14">
        <f t="shared" si="108"/>
        <v>2024</v>
      </c>
      <c r="F2353" s="29" t="str">
        <f t="shared" si="109"/>
        <v>Mar</v>
      </c>
      <c r="G2353" s="17" t="s">
        <v>22</v>
      </c>
      <c r="H2353" s="17" t="s">
        <v>30</v>
      </c>
      <c r="I2353" s="24">
        <v>65783.7</v>
      </c>
      <c r="J2353" s="32">
        <v>20</v>
      </c>
      <c r="K2353" s="17" t="s">
        <v>24</v>
      </c>
      <c r="L2353" s="24">
        <v>2307.15</v>
      </c>
      <c r="M2353" s="24">
        <v>4385.58</v>
      </c>
      <c r="N2353" s="34">
        <f>((sales_data_1[[#This Row],[Unit_Price]]*(1-sales_data_1[[#This Row],[Discount]]))-sales_data_1[[#This Row],[Unit_Cost]])*sales_data_1[[#This Row],[Quantity_Sold]]</f>
        <v>19640.699999999997</v>
      </c>
      <c r="O2353" s="17" t="s">
        <v>17</v>
      </c>
      <c r="P2353" s="26">
        <v>0.25</v>
      </c>
      <c r="Q2353" s="17" t="s">
        <v>28</v>
      </c>
      <c r="R2353" s="17" t="s">
        <v>21</v>
      </c>
      <c r="S2353" s="50" t="str">
        <f t="shared" si="110"/>
        <v>David-East</v>
      </c>
      <c r="T2353" s="59" t="str">
        <f>IF(ROUND(sales_data_1[[#This Row],[Profit_Margin]],2)=ROUND((sales_data_1[[#This Row],[Unit_Price]]*(1-sales_data_1[[#This Row],[Discount]]) - sales_data_1[[#This Row],[Unit_Cost]])*sales_data_1[[#This Row],[Quantity_Sold]],2), "PASS", "CHECK")</f>
        <v>PASS</v>
      </c>
    </row>
    <row r="2354" spans="1:20" x14ac:dyDescent="0.35">
      <c r="A2354" s="7">
        <v>2353</v>
      </c>
      <c r="B2354" s="9">
        <v>1073</v>
      </c>
      <c r="C2354" s="14" t="str">
        <f>IFERROR(_xlfn.TEXTJOIN("-", TRUE, _xlfn.XLOOKUP(K2354, product_category_id_lookup!$A$2:$A$5, product_category_id_lookup!$B$2:$B$5), B2354), "Unknown Category")</f>
        <v>fnt-1073</v>
      </c>
      <c r="D2354" s="8">
        <v>45367</v>
      </c>
      <c r="E2354" s="14">
        <f t="shared" si="108"/>
        <v>2024</v>
      </c>
      <c r="F2354" s="29" t="str">
        <f t="shared" si="109"/>
        <v>Mar</v>
      </c>
      <c r="G2354" s="17" t="s">
        <v>22</v>
      </c>
      <c r="H2354" s="17" t="s">
        <v>23</v>
      </c>
      <c r="I2354" s="24">
        <v>28048.729800000001</v>
      </c>
      <c r="J2354" s="32">
        <v>6</v>
      </c>
      <c r="K2354" s="17" t="s">
        <v>16</v>
      </c>
      <c r="L2354" s="24">
        <v>1344.6</v>
      </c>
      <c r="M2354" s="24">
        <v>5137.13</v>
      </c>
      <c r="N2354" s="34">
        <f>((sales_data_1[[#This Row],[Unit_Price]]*(1-sales_data_1[[#This Row],[Discount]]))-sales_data_1[[#This Row],[Unit_Cost]])*sales_data_1[[#This Row],[Quantity_Sold]]</f>
        <v>19981.129800000002</v>
      </c>
      <c r="O2354" s="17" t="s">
        <v>17</v>
      </c>
      <c r="P2354" s="26">
        <v>0.09</v>
      </c>
      <c r="Q2354" s="17" t="s">
        <v>25</v>
      </c>
      <c r="R2354" s="17" t="s">
        <v>21</v>
      </c>
      <c r="S2354" s="50" t="str">
        <f t="shared" si="110"/>
        <v>David-South</v>
      </c>
      <c r="T2354" s="59" t="str">
        <f>IF(ROUND(sales_data_1[[#This Row],[Profit_Margin]],2)=ROUND((sales_data_1[[#This Row],[Unit_Price]]*(1-sales_data_1[[#This Row],[Discount]]) - sales_data_1[[#This Row],[Unit_Cost]])*sales_data_1[[#This Row],[Quantity_Sold]],2), "PASS", "CHECK")</f>
        <v>PASS</v>
      </c>
    </row>
    <row r="2355" spans="1:20" x14ac:dyDescent="0.35">
      <c r="A2355" s="7">
        <v>2354</v>
      </c>
      <c r="B2355" s="9">
        <v>1024</v>
      </c>
      <c r="C2355" s="14" t="str">
        <f>IFERROR(_xlfn.TEXTJOIN("-", TRUE, _xlfn.XLOOKUP(K2355, product_category_id_lookup!$A$2:$A$5, product_category_id_lookup!$B$2:$B$5), B2355), "Unknown Category")</f>
        <v>ctg-1024</v>
      </c>
      <c r="D2355" s="8">
        <v>45367</v>
      </c>
      <c r="E2355" s="14">
        <f t="shared" si="108"/>
        <v>2024</v>
      </c>
      <c r="F2355" s="29" t="str">
        <f t="shared" si="109"/>
        <v>Mar</v>
      </c>
      <c r="G2355" s="17" t="s">
        <v>29</v>
      </c>
      <c r="H2355" s="17" t="s">
        <v>23</v>
      </c>
      <c r="I2355" s="24">
        <v>39703.791599999997</v>
      </c>
      <c r="J2355" s="32">
        <v>12</v>
      </c>
      <c r="K2355" s="17" t="s">
        <v>26</v>
      </c>
      <c r="L2355" s="24">
        <v>777.04</v>
      </c>
      <c r="M2355" s="24">
        <v>3342.07</v>
      </c>
      <c r="N2355" s="34">
        <f>((sales_data_1[[#This Row],[Unit_Price]]*(1-sales_data_1[[#This Row],[Discount]]))-sales_data_1[[#This Row],[Unit_Cost]])*sales_data_1[[#This Row],[Quantity_Sold]]</f>
        <v>30379.311600000001</v>
      </c>
      <c r="O2355" s="17" t="s">
        <v>27</v>
      </c>
      <c r="P2355" s="26">
        <v>0.01</v>
      </c>
      <c r="Q2355" s="17" t="s">
        <v>28</v>
      </c>
      <c r="R2355" s="17" t="s">
        <v>19</v>
      </c>
      <c r="S2355" s="50" t="str">
        <f t="shared" si="110"/>
        <v>Charlie-South</v>
      </c>
      <c r="T2355" s="59" t="str">
        <f>IF(ROUND(sales_data_1[[#This Row],[Profit_Margin]],2)=ROUND((sales_data_1[[#This Row],[Unit_Price]]*(1-sales_data_1[[#This Row],[Discount]]) - sales_data_1[[#This Row],[Unit_Cost]])*sales_data_1[[#This Row],[Quantity_Sold]],2), "PASS", "CHECK")</f>
        <v>PASS</v>
      </c>
    </row>
    <row r="2356" spans="1:20" x14ac:dyDescent="0.35">
      <c r="A2356" s="7">
        <v>2355</v>
      </c>
      <c r="B2356" s="9">
        <v>1024</v>
      </c>
      <c r="C2356" s="14" t="str">
        <f>IFERROR(_xlfn.TEXTJOIN("-", TRUE, _xlfn.XLOOKUP(K2356, product_category_id_lookup!$A$2:$A$5, product_category_id_lookup!$B$2:$B$5), B2356), "Unknown Category")</f>
        <v>etc-1024</v>
      </c>
      <c r="D2356" s="8">
        <v>45367</v>
      </c>
      <c r="E2356" s="14">
        <f t="shared" si="108"/>
        <v>2024</v>
      </c>
      <c r="F2356" s="29" t="str">
        <f t="shared" si="109"/>
        <v>Mar</v>
      </c>
      <c r="G2356" s="17" t="s">
        <v>32</v>
      </c>
      <c r="H2356" s="17" t="s">
        <v>23</v>
      </c>
      <c r="I2356" s="24">
        <v>68630.763599999991</v>
      </c>
      <c r="J2356" s="32">
        <v>31</v>
      </c>
      <c r="K2356" s="17" t="s">
        <v>31</v>
      </c>
      <c r="L2356" s="24">
        <v>691.19</v>
      </c>
      <c r="M2356" s="24">
        <v>2635.59</v>
      </c>
      <c r="N2356" s="34">
        <f>((sales_data_1[[#This Row],[Unit_Price]]*(1-sales_data_1[[#This Row],[Discount]]))-sales_data_1[[#This Row],[Unit_Cost]])*sales_data_1[[#This Row],[Quantity_Sold]]</f>
        <v>47203.873599999992</v>
      </c>
      <c r="O2356" s="17" t="s">
        <v>27</v>
      </c>
      <c r="P2356" s="26">
        <v>0.16</v>
      </c>
      <c r="Q2356" s="17" t="s">
        <v>18</v>
      </c>
      <c r="R2356" s="17" t="s">
        <v>21</v>
      </c>
      <c r="S2356" s="50" t="str">
        <f t="shared" si="110"/>
        <v>Eve-South</v>
      </c>
      <c r="T2356" s="59" t="str">
        <f>IF(ROUND(sales_data_1[[#This Row],[Profit_Margin]],2)=ROUND((sales_data_1[[#This Row],[Unit_Price]]*(1-sales_data_1[[#This Row],[Discount]]) - sales_data_1[[#This Row],[Unit_Cost]])*sales_data_1[[#This Row],[Quantity_Sold]],2), "PASS", "CHECK")</f>
        <v>PASS</v>
      </c>
    </row>
    <row r="2357" spans="1:20" x14ac:dyDescent="0.35">
      <c r="A2357" s="7">
        <v>2356</v>
      </c>
      <c r="B2357" s="9">
        <v>1034</v>
      </c>
      <c r="C2357" s="14" t="str">
        <f>IFERROR(_xlfn.TEXTJOIN("-", TRUE, _xlfn.XLOOKUP(K2357, product_category_id_lookup!$A$2:$A$5, product_category_id_lookup!$B$2:$B$5), B2357), "Unknown Category")</f>
        <v>etc-1034</v>
      </c>
      <c r="D2357" s="8">
        <v>45367</v>
      </c>
      <c r="E2357" s="14">
        <f t="shared" si="108"/>
        <v>2024</v>
      </c>
      <c r="F2357" s="29" t="str">
        <f t="shared" si="109"/>
        <v>Mar</v>
      </c>
      <c r="G2357" s="17" t="s">
        <v>22</v>
      </c>
      <c r="H2357" s="17" t="s">
        <v>30</v>
      </c>
      <c r="I2357" s="24">
        <v>60068.044800000003</v>
      </c>
      <c r="J2357" s="32">
        <v>34</v>
      </c>
      <c r="K2357" s="17" t="s">
        <v>31</v>
      </c>
      <c r="L2357" s="24">
        <v>337.04</v>
      </c>
      <c r="M2357" s="24">
        <v>2488.3200000000002</v>
      </c>
      <c r="N2357" s="34">
        <f>((sales_data_1[[#This Row],[Unit_Price]]*(1-sales_data_1[[#This Row],[Discount]]))-sales_data_1[[#This Row],[Unit_Cost]])*sales_data_1[[#This Row],[Quantity_Sold]]</f>
        <v>48608.684800000003</v>
      </c>
      <c r="O2357" s="17" t="s">
        <v>17</v>
      </c>
      <c r="P2357" s="26">
        <v>0.28999999999999998</v>
      </c>
      <c r="Q2357" s="17" t="s">
        <v>18</v>
      </c>
      <c r="R2357" s="17" t="s">
        <v>21</v>
      </c>
      <c r="S2357" s="50" t="str">
        <f t="shared" si="110"/>
        <v>David-East</v>
      </c>
      <c r="T2357" s="59" t="str">
        <f>IF(ROUND(sales_data_1[[#This Row],[Profit_Margin]],2)=ROUND((sales_data_1[[#This Row],[Unit_Price]]*(1-sales_data_1[[#This Row],[Discount]]) - sales_data_1[[#This Row],[Unit_Cost]])*sales_data_1[[#This Row],[Quantity_Sold]],2), "PASS", "CHECK")</f>
        <v>PASS</v>
      </c>
    </row>
    <row r="2358" spans="1:20" x14ac:dyDescent="0.35">
      <c r="A2358" s="7">
        <v>2357</v>
      </c>
      <c r="B2358" s="9">
        <v>1099</v>
      </c>
      <c r="C2358" s="14" t="str">
        <f>IFERROR(_xlfn.TEXTJOIN("-", TRUE, _xlfn.XLOOKUP(K2358, product_category_id_lookup!$A$2:$A$5, product_category_id_lookup!$B$2:$B$5), B2358), "Unknown Category")</f>
        <v>fnt-1099</v>
      </c>
      <c r="D2358" s="8">
        <v>45367</v>
      </c>
      <c r="E2358" s="14">
        <f t="shared" si="108"/>
        <v>2024</v>
      </c>
      <c r="F2358" s="29" t="str">
        <f t="shared" si="109"/>
        <v>Mar</v>
      </c>
      <c r="G2358" s="17" t="s">
        <v>33</v>
      </c>
      <c r="H2358" s="17" t="s">
        <v>15</v>
      </c>
      <c r="I2358" s="24">
        <v>155485.33600000001</v>
      </c>
      <c r="J2358" s="32">
        <v>31</v>
      </c>
      <c r="K2358" s="17" t="s">
        <v>16</v>
      </c>
      <c r="L2358" s="24">
        <v>1483.08</v>
      </c>
      <c r="M2358" s="24">
        <v>5451.8</v>
      </c>
      <c r="N2358" s="34">
        <f>((sales_data_1[[#This Row],[Unit_Price]]*(1-sales_data_1[[#This Row],[Discount]]))-sales_data_1[[#This Row],[Unit_Cost]])*sales_data_1[[#This Row],[Quantity_Sold]]</f>
        <v>109509.856</v>
      </c>
      <c r="O2358" s="17" t="s">
        <v>27</v>
      </c>
      <c r="P2358" s="26">
        <v>0.08</v>
      </c>
      <c r="Q2358" s="17" t="s">
        <v>25</v>
      </c>
      <c r="R2358" s="17" t="s">
        <v>19</v>
      </c>
      <c r="S2358" s="50" t="str">
        <f t="shared" si="110"/>
        <v>Alice-North</v>
      </c>
      <c r="T2358" s="59" t="str">
        <f>IF(ROUND(sales_data_1[[#This Row],[Profit_Margin]],2)=ROUND((sales_data_1[[#This Row],[Unit_Price]]*(1-sales_data_1[[#This Row],[Discount]]) - sales_data_1[[#This Row],[Unit_Cost]])*sales_data_1[[#This Row],[Quantity_Sold]],2), "PASS", "CHECK")</f>
        <v>PASS</v>
      </c>
    </row>
    <row r="2359" spans="1:20" x14ac:dyDescent="0.35">
      <c r="A2359" s="7">
        <v>2358</v>
      </c>
      <c r="B2359" s="9">
        <v>1014</v>
      </c>
      <c r="C2359" s="14" t="str">
        <f>IFERROR(_xlfn.TEXTJOIN("-", TRUE, _xlfn.XLOOKUP(K2359, product_category_id_lookup!$A$2:$A$5, product_category_id_lookup!$B$2:$B$5), B2359), "Unknown Category")</f>
        <v>fnt-1014</v>
      </c>
      <c r="D2359" s="8">
        <v>45368</v>
      </c>
      <c r="E2359" s="14">
        <f t="shared" si="108"/>
        <v>2024</v>
      </c>
      <c r="F2359" s="29" t="str">
        <f t="shared" si="109"/>
        <v>Mar</v>
      </c>
      <c r="G2359" s="17" t="s">
        <v>32</v>
      </c>
      <c r="H2359" s="17" t="s">
        <v>23</v>
      </c>
      <c r="I2359" s="24">
        <v>138623.73750000002</v>
      </c>
      <c r="J2359" s="32">
        <v>45</v>
      </c>
      <c r="K2359" s="17" t="s">
        <v>16</v>
      </c>
      <c r="L2359" s="24">
        <v>2868.63</v>
      </c>
      <c r="M2359" s="24">
        <v>3624.15</v>
      </c>
      <c r="N2359" s="34">
        <f>((sales_data_1[[#This Row],[Unit_Price]]*(1-sales_data_1[[#This Row],[Discount]]))-sales_data_1[[#This Row],[Unit_Cost]])*sales_data_1[[#This Row],[Quantity_Sold]]</f>
        <v>9535.3875000000007</v>
      </c>
      <c r="O2359" s="17" t="s">
        <v>27</v>
      </c>
      <c r="P2359" s="26">
        <v>0.15</v>
      </c>
      <c r="Q2359" s="17" t="s">
        <v>18</v>
      </c>
      <c r="R2359" s="17" t="s">
        <v>21</v>
      </c>
      <c r="S2359" s="50" t="str">
        <f t="shared" si="110"/>
        <v>Eve-South</v>
      </c>
      <c r="T2359" s="59" t="str">
        <f>IF(ROUND(sales_data_1[[#This Row],[Profit_Margin]],2)=ROUND((sales_data_1[[#This Row],[Unit_Price]]*(1-sales_data_1[[#This Row],[Discount]]) - sales_data_1[[#This Row],[Unit_Cost]])*sales_data_1[[#This Row],[Quantity_Sold]],2), "PASS", "CHECK")</f>
        <v>PASS</v>
      </c>
    </row>
    <row r="2360" spans="1:20" x14ac:dyDescent="0.35">
      <c r="A2360" s="7">
        <v>2359</v>
      </c>
      <c r="B2360" s="9">
        <v>1095</v>
      </c>
      <c r="C2360" s="14" t="str">
        <f>IFERROR(_xlfn.TEXTJOIN("-", TRUE, _xlfn.XLOOKUP(K2360, product_category_id_lookup!$A$2:$A$5, product_category_id_lookup!$B$2:$B$5), B2360), "Unknown Category")</f>
        <v>etc-1095</v>
      </c>
      <c r="D2360" s="8">
        <v>45368</v>
      </c>
      <c r="E2360" s="14">
        <f t="shared" si="108"/>
        <v>2024</v>
      </c>
      <c r="F2360" s="29" t="str">
        <f t="shared" si="109"/>
        <v>Mar</v>
      </c>
      <c r="G2360" s="17" t="s">
        <v>33</v>
      </c>
      <c r="H2360" s="17" t="s">
        <v>30</v>
      </c>
      <c r="I2360" s="24">
        <v>47997.112800000003</v>
      </c>
      <c r="J2360" s="32">
        <v>14</v>
      </c>
      <c r="K2360" s="17" t="s">
        <v>31</v>
      </c>
      <c r="L2360" s="24">
        <v>2355.6799999999998</v>
      </c>
      <c r="M2360" s="24">
        <v>4395.34</v>
      </c>
      <c r="N2360" s="34">
        <f>((sales_data_1[[#This Row],[Unit_Price]]*(1-sales_data_1[[#This Row],[Discount]]))-sales_data_1[[#This Row],[Unit_Cost]])*sales_data_1[[#This Row],[Quantity_Sold]]</f>
        <v>15017.592800000006</v>
      </c>
      <c r="O2360" s="17" t="s">
        <v>17</v>
      </c>
      <c r="P2360" s="26">
        <v>0.22</v>
      </c>
      <c r="Q2360" s="17" t="s">
        <v>28</v>
      </c>
      <c r="R2360" s="17" t="s">
        <v>21</v>
      </c>
      <c r="S2360" s="50" t="str">
        <f t="shared" si="110"/>
        <v>Alice-East</v>
      </c>
      <c r="T2360" s="59" t="str">
        <f>IF(ROUND(sales_data_1[[#This Row],[Profit_Margin]],2)=ROUND((sales_data_1[[#This Row],[Unit_Price]]*(1-sales_data_1[[#This Row],[Discount]]) - sales_data_1[[#This Row],[Unit_Cost]])*sales_data_1[[#This Row],[Quantity_Sold]],2), "PASS", "CHECK")</f>
        <v>PASS</v>
      </c>
    </row>
    <row r="2361" spans="1:20" x14ac:dyDescent="0.35">
      <c r="A2361" s="7">
        <v>2360</v>
      </c>
      <c r="B2361" s="9">
        <v>1052</v>
      </c>
      <c r="C2361" s="14" t="str">
        <f>IFERROR(_xlfn.TEXTJOIN("-", TRUE, _xlfn.XLOOKUP(K2361, product_category_id_lookup!$A$2:$A$5, product_category_id_lookup!$B$2:$B$5), B2361), "Unknown Category")</f>
        <v>etc-1052</v>
      </c>
      <c r="D2361" s="8">
        <v>45368</v>
      </c>
      <c r="E2361" s="14">
        <f t="shared" si="108"/>
        <v>2024</v>
      </c>
      <c r="F2361" s="29" t="str">
        <f t="shared" si="109"/>
        <v>Mar</v>
      </c>
      <c r="G2361" s="17" t="s">
        <v>29</v>
      </c>
      <c r="H2361" s="17" t="s">
        <v>30</v>
      </c>
      <c r="I2361" s="24">
        <v>132305.73300000001</v>
      </c>
      <c r="J2361" s="32">
        <v>45</v>
      </c>
      <c r="K2361" s="17" t="s">
        <v>31</v>
      </c>
      <c r="L2361" s="24">
        <v>950.78</v>
      </c>
      <c r="M2361" s="24">
        <v>3000.13</v>
      </c>
      <c r="N2361" s="34">
        <f>((sales_data_1[[#This Row],[Unit_Price]]*(1-sales_data_1[[#This Row],[Discount]]))-sales_data_1[[#This Row],[Unit_Cost]])*sales_data_1[[#This Row],[Quantity_Sold]]</f>
        <v>89520.633000000002</v>
      </c>
      <c r="O2361" s="17" t="s">
        <v>17</v>
      </c>
      <c r="P2361" s="26">
        <v>0.02</v>
      </c>
      <c r="Q2361" s="17" t="s">
        <v>25</v>
      </c>
      <c r="R2361" s="17" t="s">
        <v>19</v>
      </c>
      <c r="S2361" s="50" t="str">
        <f t="shared" si="110"/>
        <v>Charlie-East</v>
      </c>
      <c r="T2361" s="59" t="str">
        <f>IF(ROUND(sales_data_1[[#This Row],[Profit_Margin]],2)=ROUND((sales_data_1[[#This Row],[Unit_Price]]*(1-sales_data_1[[#This Row],[Discount]]) - sales_data_1[[#This Row],[Unit_Cost]])*sales_data_1[[#This Row],[Quantity_Sold]],2), "PASS", "CHECK")</f>
        <v>PASS</v>
      </c>
    </row>
    <row r="2362" spans="1:20" x14ac:dyDescent="0.35">
      <c r="A2362" s="7">
        <v>2361</v>
      </c>
      <c r="B2362" s="9">
        <v>1064</v>
      </c>
      <c r="C2362" s="14" t="str">
        <f>IFERROR(_xlfn.TEXTJOIN("-", TRUE, _xlfn.XLOOKUP(K2362, product_category_id_lookup!$A$2:$A$5, product_category_id_lookup!$B$2:$B$5), B2362), "Unknown Category")</f>
        <v>ctg-1064</v>
      </c>
      <c r="D2362" s="8">
        <v>45368</v>
      </c>
      <c r="E2362" s="14">
        <f t="shared" si="108"/>
        <v>2024</v>
      </c>
      <c r="F2362" s="29" t="str">
        <f t="shared" si="109"/>
        <v>Mar</v>
      </c>
      <c r="G2362" s="17" t="s">
        <v>14</v>
      </c>
      <c r="H2362" s="17" t="s">
        <v>23</v>
      </c>
      <c r="I2362" s="24">
        <v>144635.63800000004</v>
      </c>
      <c r="J2362" s="32">
        <v>35</v>
      </c>
      <c r="K2362" s="17" t="s">
        <v>26</v>
      </c>
      <c r="L2362" s="24">
        <v>572</v>
      </c>
      <c r="M2362" s="24">
        <v>5437.43</v>
      </c>
      <c r="N2362" s="34">
        <f>((sales_data_1[[#This Row],[Unit_Price]]*(1-sales_data_1[[#This Row],[Discount]]))-sales_data_1[[#This Row],[Unit_Cost]])*sales_data_1[[#This Row],[Quantity_Sold]]</f>
        <v>124615.63800000002</v>
      </c>
      <c r="O2362" s="17" t="s">
        <v>17</v>
      </c>
      <c r="P2362" s="26">
        <v>0.24</v>
      </c>
      <c r="Q2362" s="17" t="s">
        <v>25</v>
      </c>
      <c r="R2362" s="17" t="s">
        <v>19</v>
      </c>
      <c r="S2362" s="50" t="str">
        <f t="shared" si="110"/>
        <v>Bob-South</v>
      </c>
      <c r="T2362" s="59" t="str">
        <f>IF(ROUND(sales_data_1[[#This Row],[Profit_Margin]],2)=ROUND((sales_data_1[[#This Row],[Unit_Price]]*(1-sales_data_1[[#This Row],[Discount]]) - sales_data_1[[#This Row],[Unit_Cost]])*sales_data_1[[#This Row],[Quantity_Sold]],2), "PASS", "CHECK")</f>
        <v>PASS</v>
      </c>
    </row>
    <row r="2363" spans="1:20" x14ac:dyDescent="0.35">
      <c r="A2363" s="7">
        <v>2362</v>
      </c>
      <c r="B2363" s="9">
        <v>1092</v>
      </c>
      <c r="C2363" s="14" t="str">
        <f>IFERROR(_xlfn.TEXTJOIN("-", TRUE, _xlfn.XLOOKUP(K2363, product_category_id_lookup!$A$2:$A$5, product_category_id_lookup!$B$2:$B$5), B2363), "Unknown Category")</f>
        <v>etc-1092</v>
      </c>
      <c r="D2363" s="8">
        <v>45369</v>
      </c>
      <c r="E2363" s="14">
        <f t="shared" si="108"/>
        <v>2024</v>
      </c>
      <c r="F2363" s="29" t="str">
        <f t="shared" si="109"/>
        <v>Mar</v>
      </c>
      <c r="G2363" s="17" t="s">
        <v>14</v>
      </c>
      <c r="H2363" s="17" t="s">
        <v>30</v>
      </c>
      <c r="I2363" s="24">
        <v>4143.6360000000004</v>
      </c>
      <c r="J2363" s="32">
        <v>1</v>
      </c>
      <c r="K2363" s="17" t="s">
        <v>31</v>
      </c>
      <c r="L2363" s="24">
        <v>3219.46</v>
      </c>
      <c r="M2363" s="24">
        <v>4604.04</v>
      </c>
      <c r="N2363" s="34">
        <f>((sales_data_1[[#This Row],[Unit_Price]]*(1-sales_data_1[[#This Row],[Discount]]))-sales_data_1[[#This Row],[Unit_Cost]])*sales_data_1[[#This Row],[Quantity_Sold]]</f>
        <v>924.17600000000039</v>
      </c>
      <c r="O2363" s="17" t="s">
        <v>17</v>
      </c>
      <c r="P2363" s="26">
        <v>0.1</v>
      </c>
      <c r="Q2363" s="17" t="s">
        <v>28</v>
      </c>
      <c r="R2363" s="17" t="s">
        <v>19</v>
      </c>
      <c r="S2363" s="50" t="str">
        <f t="shared" si="110"/>
        <v>Bob-East</v>
      </c>
      <c r="T2363" s="59" t="str">
        <f>IF(ROUND(sales_data_1[[#This Row],[Profit_Margin]],2)=ROUND((sales_data_1[[#This Row],[Unit_Price]]*(1-sales_data_1[[#This Row],[Discount]]) - sales_data_1[[#This Row],[Unit_Cost]])*sales_data_1[[#This Row],[Quantity_Sold]],2), "PASS", "CHECK")</f>
        <v>PASS</v>
      </c>
    </row>
    <row r="2364" spans="1:20" x14ac:dyDescent="0.35">
      <c r="A2364" s="7">
        <v>2363</v>
      </c>
      <c r="B2364" s="9">
        <v>1018</v>
      </c>
      <c r="C2364" s="14" t="str">
        <f>IFERROR(_xlfn.TEXTJOIN("-", TRUE, _xlfn.XLOOKUP(K2364, product_category_id_lookup!$A$2:$A$5, product_category_id_lookup!$B$2:$B$5), B2364), "Unknown Category")</f>
        <v>ctg-1018</v>
      </c>
      <c r="D2364" s="8">
        <v>45369</v>
      </c>
      <c r="E2364" s="14">
        <f t="shared" si="108"/>
        <v>2024</v>
      </c>
      <c r="F2364" s="29" t="str">
        <f t="shared" si="109"/>
        <v>Mar</v>
      </c>
      <c r="G2364" s="17" t="s">
        <v>22</v>
      </c>
      <c r="H2364" s="17" t="s">
        <v>23</v>
      </c>
      <c r="I2364" s="24">
        <v>58150.184399999998</v>
      </c>
      <c r="J2364" s="32">
        <v>14</v>
      </c>
      <c r="K2364" s="17" t="s">
        <v>26</v>
      </c>
      <c r="L2364" s="24">
        <v>3226.69</v>
      </c>
      <c r="M2364" s="24">
        <v>4466.22</v>
      </c>
      <c r="N2364" s="34">
        <f>((sales_data_1[[#This Row],[Unit_Price]]*(1-sales_data_1[[#This Row],[Discount]]))-sales_data_1[[#This Row],[Unit_Cost]])*sales_data_1[[#This Row],[Quantity_Sold]]</f>
        <v>12976.524400000002</v>
      </c>
      <c r="O2364" s="17" t="s">
        <v>27</v>
      </c>
      <c r="P2364" s="26">
        <v>7.0000000000000007E-2</v>
      </c>
      <c r="Q2364" s="17" t="s">
        <v>25</v>
      </c>
      <c r="R2364" s="17" t="s">
        <v>21</v>
      </c>
      <c r="S2364" s="50" t="str">
        <f t="shared" si="110"/>
        <v>David-South</v>
      </c>
      <c r="T2364" s="59" t="str">
        <f>IF(ROUND(sales_data_1[[#This Row],[Profit_Margin]],2)=ROUND((sales_data_1[[#This Row],[Unit_Price]]*(1-sales_data_1[[#This Row],[Discount]]) - sales_data_1[[#This Row],[Unit_Cost]])*sales_data_1[[#This Row],[Quantity_Sold]],2), "PASS", "CHECK")</f>
        <v>PASS</v>
      </c>
    </row>
    <row r="2365" spans="1:20" x14ac:dyDescent="0.35">
      <c r="A2365" s="7">
        <v>2364</v>
      </c>
      <c r="B2365" s="9">
        <v>1060</v>
      </c>
      <c r="C2365" s="14" t="str">
        <f>IFERROR(_xlfn.TEXTJOIN("-", TRUE, _xlfn.XLOOKUP(K2365, product_category_id_lookup!$A$2:$A$5, product_category_id_lookup!$B$2:$B$5), B2365), "Unknown Category")</f>
        <v>etc-1060</v>
      </c>
      <c r="D2365" s="8">
        <v>45369</v>
      </c>
      <c r="E2365" s="14">
        <f t="shared" si="108"/>
        <v>2024</v>
      </c>
      <c r="F2365" s="29" t="str">
        <f t="shared" si="109"/>
        <v>Mar</v>
      </c>
      <c r="G2365" s="17" t="s">
        <v>22</v>
      </c>
      <c r="H2365" s="17" t="s">
        <v>30</v>
      </c>
      <c r="I2365" s="24">
        <v>40554.933999999994</v>
      </c>
      <c r="J2365" s="32">
        <v>29</v>
      </c>
      <c r="K2365" s="17" t="s">
        <v>31</v>
      </c>
      <c r="L2365" s="24">
        <v>271.08</v>
      </c>
      <c r="M2365" s="24">
        <v>1997.78</v>
      </c>
      <c r="N2365" s="34">
        <f>((sales_data_1[[#This Row],[Unit_Price]]*(1-sales_data_1[[#This Row],[Discount]]))-sales_data_1[[#This Row],[Unit_Cost]])*sales_data_1[[#This Row],[Quantity_Sold]]</f>
        <v>32693.614000000001</v>
      </c>
      <c r="O2365" s="17" t="s">
        <v>17</v>
      </c>
      <c r="P2365" s="26">
        <v>0.3</v>
      </c>
      <c r="Q2365" s="17" t="s">
        <v>25</v>
      </c>
      <c r="R2365" s="17" t="s">
        <v>19</v>
      </c>
      <c r="S2365" s="50" t="str">
        <f t="shared" si="110"/>
        <v>David-East</v>
      </c>
      <c r="T2365" s="59" t="str">
        <f>IF(ROUND(sales_data_1[[#This Row],[Profit_Margin]],2)=ROUND((sales_data_1[[#This Row],[Unit_Price]]*(1-sales_data_1[[#This Row],[Discount]]) - sales_data_1[[#This Row],[Unit_Cost]])*sales_data_1[[#This Row],[Quantity_Sold]],2), "PASS", "CHECK")</f>
        <v>PASS</v>
      </c>
    </row>
    <row r="2366" spans="1:20" x14ac:dyDescent="0.35">
      <c r="A2366" s="7">
        <v>2365</v>
      </c>
      <c r="B2366" s="9">
        <v>1031</v>
      </c>
      <c r="C2366" s="14" t="str">
        <f>IFERROR(_xlfn.TEXTJOIN("-", TRUE, _xlfn.XLOOKUP(K2366, product_category_id_lookup!$A$2:$A$5, product_category_id_lookup!$B$2:$B$5), B2366), "Unknown Category")</f>
        <v>fnt-1031</v>
      </c>
      <c r="D2366" s="8">
        <v>45369</v>
      </c>
      <c r="E2366" s="14">
        <f t="shared" si="108"/>
        <v>2024</v>
      </c>
      <c r="F2366" s="29" t="str">
        <f t="shared" si="109"/>
        <v>Mar</v>
      </c>
      <c r="G2366" s="17" t="s">
        <v>29</v>
      </c>
      <c r="H2366" s="17" t="s">
        <v>30</v>
      </c>
      <c r="I2366" s="24">
        <v>124664.1165</v>
      </c>
      <c r="J2366" s="32">
        <v>43</v>
      </c>
      <c r="K2366" s="17" t="s">
        <v>16</v>
      </c>
      <c r="L2366" s="24">
        <v>772</v>
      </c>
      <c r="M2366" s="24">
        <v>3765.15</v>
      </c>
      <c r="N2366" s="34">
        <f>((sales_data_1[[#This Row],[Unit_Price]]*(1-sales_data_1[[#This Row],[Discount]]))-sales_data_1[[#This Row],[Unit_Cost]])*sales_data_1[[#This Row],[Quantity_Sold]]</f>
        <v>91468.116500000004</v>
      </c>
      <c r="O2366" s="17" t="s">
        <v>27</v>
      </c>
      <c r="P2366" s="26">
        <v>0.23</v>
      </c>
      <c r="Q2366" s="17" t="s">
        <v>25</v>
      </c>
      <c r="R2366" s="17" t="s">
        <v>21</v>
      </c>
      <c r="S2366" s="50" t="str">
        <f t="shared" si="110"/>
        <v>Charlie-East</v>
      </c>
      <c r="T2366" s="59" t="str">
        <f>IF(ROUND(sales_data_1[[#This Row],[Profit_Margin]],2)=ROUND((sales_data_1[[#This Row],[Unit_Price]]*(1-sales_data_1[[#This Row],[Discount]]) - sales_data_1[[#This Row],[Unit_Cost]])*sales_data_1[[#This Row],[Quantity_Sold]],2), "PASS", "CHECK")</f>
        <v>PASS</v>
      </c>
    </row>
    <row r="2367" spans="1:20" x14ac:dyDescent="0.35">
      <c r="A2367" s="7">
        <v>2366</v>
      </c>
      <c r="B2367" s="9">
        <v>1076</v>
      </c>
      <c r="C2367" s="14" t="str">
        <f>IFERROR(_xlfn.TEXTJOIN("-", TRUE, _xlfn.XLOOKUP(K2367, product_category_id_lookup!$A$2:$A$5, product_category_id_lookup!$B$2:$B$5), B2367), "Unknown Category")</f>
        <v>etc-1076</v>
      </c>
      <c r="D2367" s="8">
        <v>45370</v>
      </c>
      <c r="E2367" s="14">
        <f t="shared" si="108"/>
        <v>2024</v>
      </c>
      <c r="F2367" s="29" t="str">
        <f t="shared" si="109"/>
        <v>Mar</v>
      </c>
      <c r="G2367" s="17" t="s">
        <v>22</v>
      </c>
      <c r="H2367" s="17" t="s">
        <v>15</v>
      </c>
      <c r="I2367" s="24">
        <v>10275.192000000001</v>
      </c>
      <c r="J2367" s="32">
        <v>3</v>
      </c>
      <c r="K2367" s="17" t="s">
        <v>31</v>
      </c>
      <c r="L2367" s="24">
        <v>1454.71</v>
      </c>
      <c r="M2367" s="24">
        <v>4281.33</v>
      </c>
      <c r="N2367" s="34">
        <f>((sales_data_1[[#This Row],[Unit_Price]]*(1-sales_data_1[[#This Row],[Discount]]))-sales_data_1[[#This Row],[Unit_Cost]])*sales_data_1[[#This Row],[Quantity_Sold]]</f>
        <v>5911.0620000000008</v>
      </c>
      <c r="O2367" s="17" t="s">
        <v>17</v>
      </c>
      <c r="P2367" s="26">
        <v>0.2</v>
      </c>
      <c r="Q2367" s="17" t="s">
        <v>25</v>
      </c>
      <c r="R2367" s="17" t="s">
        <v>19</v>
      </c>
      <c r="S2367" s="50" t="str">
        <f t="shared" si="110"/>
        <v>David-North</v>
      </c>
      <c r="T2367" s="59" t="str">
        <f>IF(ROUND(sales_data_1[[#This Row],[Profit_Margin]],2)=ROUND((sales_data_1[[#This Row],[Unit_Price]]*(1-sales_data_1[[#This Row],[Discount]]) - sales_data_1[[#This Row],[Unit_Cost]])*sales_data_1[[#This Row],[Quantity_Sold]],2), "PASS", "CHECK")</f>
        <v>PASS</v>
      </c>
    </row>
    <row r="2368" spans="1:20" x14ac:dyDescent="0.35">
      <c r="A2368" s="7">
        <v>2367</v>
      </c>
      <c r="B2368" s="9">
        <v>1048</v>
      </c>
      <c r="C2368" s="14" t="str">
        <f>IFERROR(_xlfn.TEXTJOIN("-", TRUE, _xlfn.XLOOKUP(K2368, product_category_id_lookup!$A$2:$A$5, product_category_id_lookup!$B$2:$B$5), B2368), "Unknown Category")</f>
        <v>fd-1048</v>
      </c>
      <c r="D2368" s="8">
        <v>45370</v>
      </c>
      <c r="E2368" s="14">
        <f t="shared" si="108"/>
        <v>2024</v>
      </c>
      <c r="F2368" s="29" t="str">
        <f t="shared" si="109"/>
        <v>Mar</v>
      </c>
      <c r="G2368" s="17" t="s">
        <v>22</v>
      </c>
      <c r="H2368" s="17" t="s">
        <v>30</v>
      </c>
      <c r="I2368" s="24">
        <v>31755.477600000002</v>
      </c>
      <c r="J2368" s="32">
        <v>9</v>
      </c>
      <c r="K2368" s="17" t="s">
        <v>24</v>
      </c>
      <c r="L2368" s="24">
        <v>2406.52</v>
      </c>
      <c r="M2368" s="24">
        <v>4009.53</v>
      </c>
      <c r="N2368" s="34">
        <f>((sales_data_1[[#This Row],[Unit_Price]]*(1-sales_data_1[[#This Row],[Discount]]))-sales_data_1[[#This Row],[Unit_Cost]])*sales_data_1[[#This Row],[Quantity_Sold]]</f>
        <v>10096.797600000004</v>
      </c>
      <c r="O2368" s="17" t="s">
        <v>27</v>
      </c>
      <c r="P2368" s="26">
        <v>0.12</v>
      </c>
      <c r="Q2368" s="17" t="s">
        <v>25</v>
      </c>
      <c r="R2368" s="17" t="s">
        <v>21</v>
      </c>
      <c r="S2368" s="50" t="str">
        <f t="shared" si="110"/>
        <v>David-East</v>
      </c>
      <c r="T2368" s="59" t="str">
        <f>IF(ROUND(sales_data_1[[#This Row],[Profit_Margin]],2)=ROUND((sales_data_1[[#This Row],[Unit_Price]]*(1-sales_data_1[[#This Row],[Discount]]) - sales_data_1[[#This Row],[Unit_Cost]])*sales_data_1[[#This Row],[Quantity_Sold]],2), "PASS", "CHECK")</f>
        <v>PASS</v>
      </c>
    </row>
    <row r="2369" spans="1:20" x14ac:dyDescent="0.35">
      <c r="A2369" s="7">
        <v>2368</v>
      </c>
      <c r="B2369" s="9">
        <v>1081</v>
      </c>
      <c r="C2369" s="14" t="str">
        <f>IFERROR(_xlfn.TEXTJOIN("-", TRUE, _xlfn.XLOOKUP(K2369, product_category_id_lookup!$A$2:$A$5, product_category_id_lookup!$B$2:$B$5), B2369), "Unknown Category")</f>
        <v>fnt-1081</v>
      </c>
      <c r="D2369" s="8">
        <v>45370</v>
      </c>
      <c r="E2369" s="14">
        <f t="shared" si="108"/>
        <v>2024</v>
      </c>
      <c r="F2369" s="29" t="str">
        <f t="shared" si="109"/>
        <v>Mar</v>
      </c>
      <c r="G2369" s="17" t="s">
        <v>33</v>
      </c>
      <c r="H2369" s="17" t="s">
        <v>15</v>
      </c>
      <c r="I2369" s="24">
        <v>28162.5</v>
      </c>
      <c r="J2369" s="32">
        <v>8</v>
      </c>
      <c r="K2369" s="17" t="s">
        <v>16</v>
      </c>
      <c r="L2369" s="24">
        <v>926.69</v>
      </c>
      <c r="M2369" s="24">
        <v>4693.75</v>
      </c>
      <c r="N2369" s="34">
        <f>((sales_data_1[[#This Row],[Unit_Price]]*(1-sales_data_1[[#This Row],[Discount]]))-sales_data_1[[#This Row],[Unit_Cost]])*sales_data_1[[#This Row],[Quantity_Sold]]</f>
        <v>20748.98</v>
      </c>
      <c r="O2369" s="17" t="s">
        <v>17</v>
      </c>
      <c r="P2369" s="26">
        <v>0.25</v>
      </c>
      <c r="Q2369" s="17" t="s">
        <v>25</v>
      </c>
      <c r="R2369" s="17" t="s">
        <v>19</v>
      </c>
      <c r="S2369" s="50" t="str">
        <f t="shared" si="110"/>
        <v>Alice-North</v>
      </c>
      <c r="T2369" s="59" t="str">
        <f>IF(ROUND(sales_data_1[[#This Row],[Profit_Margin]],2)=ROUND((sales_data_1[[#This Row],[Unit_Price]]*(1-sales_data_1[[#This Row],[Discount]]) - sales_data_1[[#This Row],[Unit_Cost]])*sales_data_1[[#This Row],[Quantity_Sold]],2), "PASS", "CHECK")</f>
        <v>PASS</v>
      </c>
    </row>
    <row r="2370" spans="1:20" x14ac:dyDescent="0.35">
      <c r="A2370" s="7">
        <v>2369</v>
      </c>
      <c r="B2370" s="9">
        <v>1022</v>
      </c>
      <c r="C2370" s="14" t="str">
        <f>IFERROR(_xlfn.TEXTJOIN("-", TRUE, _xlfn.XLOOKUP(K2370, product_category_id_lookup!$A$2:$A$5, product_category_id_lookup!$B$2:$B$5), B2370), "Unknown Category")</f>
        <v>fnt-1022</v>
      </c>
      <c r="D2370" s="8">
        <v>45370</v>
      </c>
      <c r="E2370" s="14">
        <f t="shared" ref="E2370:E2433" si="111">YEAR(D2370)</f>
        <v>2024</v>
      </c>
      <c r="F2370" s="29" t="str">
        <f t="shared" ref="F2370:F2433" si="112">LEFT(TEXT(D2370,"mmmm"),3)</f>
        <v>Mar</v>
      </c>
      <c r="G2370" s="17" t="s">
        <v>32</v>
      </c>
      <c r="H2370" s="17" t="s">
        <v>30</v>
      </c>
      <c r="I2370" s="24">
        <v>47250.648000000001</v>
      </c>
      <c r="J2370" s="32">
        <v>20</v>
      </c>
      <c r="K2370" s="17" t="s">
        <v>16</v>
      </c>
      <c r="L2370" s="24">
        <v>1125.3599999999999</v>
      </c>
      <c r="M2370" s="24">
        <v>2567.9699999999998</v>
      </c>
      <c r="N2370" s="34">
        <f>((sales_data_1[[#This Row],[Unit_Price]]*(1-sales_data_1[[#This Row],[Discount]]))-sales_data_1[[#This Row],[Unit_Cost]])*sales_data_1[[#This Row],[Quantity_Sold]]</f>
        <v>24743.448000000004</v>
      </c>
      <c r="O2370" s="17" t="s">
        <v>27</v>
      </c>
      <c r="P2370" s="26">
        <v>0.08</v>
      </c>
      <c r="Q2370" s="17" t="s">
        <v>25</v>
      </c>
      <c r="R2370" s="17" t="s">
        <v>21</v>
      </c>
      <c r="S2370" s="50" t="str">
        <f t="shared" ref="S2370:S2433" si="113">_xlfn.CONCAT(G2370,"-",H2370)</f>
        <v>Eve-East</v>
      </c>
      <c r="T2370" s="59" t="str">
        <f>IF(ROUND(sales_data_1[[#This Row],[Profit_Margin]],2)=ROUND((sales_data_1[[#This Row],[Unit_Price]]*(1-sales_data_1[[#This Row],[Discount]]) - sales_data_1[[#This Row],[Unit_Cost]])*sales_data_1[[#This Row],[Quantity_Sold]],2), "PASS", "CHECK")</f>
        <v>PASS</v>
      </c>
    </row>
    <row r="2371" spans="1:20" x14ac:dyDescent="0.35">
      <c r="A2371" s="7">
        <v>2370</v>
      </c>
      <c r="B2371" s="9">
        <v>1032</v>
      </c>
      <c r="C2371" s="14" t="str">
        <f>IFERROR(_xlfn.TEXTJOIN("-", TRUE, _xlfn.XLOOKUP(K2371, product_category_id_lookup!$A$2:$A$5, product_category_id_lookup!$B$2:$B$5), B2371), "Unknown Category")</f>
        <v>fnt-1032</v>
      </c>
      <c r="D2371" s="8">
        <v>45370</v>
      </c>
      <c r="E2371" s="14">
        <f t="shared" si="111"/>
        <v>2024</v>
      </c>
      <c r="F2371" s="29" t="str">
        <f t="shared" si="112"/>
        <v>Mar</v>
      </c>
      <c r="G2371" s="17" t="s">
        <v>32</v>
      </c>
      <c r="H2371" s="17" t="s">
        <v>15</v>
      </c>
      <c r="I2371" s="24">
        <v>87258.750000000015</v>
      </c>
      <c r="J2371" s="32">
        <v>25</v>
      </c>
      <c r="K2371" s="17" t="s">
        <v>16</v>
      </c>
      <c r="L2371" s="24">
        <v>2414.54</v>
      </c>
      <c r="M2371" s="24">
        <v>4653.8</v>
      </c>
      <c r="N2371" s="34">
        <f>((sales_data_1[[#This Row],[Unit_Price]]*(1-sales_data_1[[#This Row],[Discount]]))-sales_data_1[[#This Row],[Unit_Cost]])*sales_data_1[[#This Row],[Quantity_Sold]]</f>
        <v>26895.250000000011</v>
      </c>
      <c r="O2371" s="17" t="s">
        <v>17</v>
      </c>
      <c r="P2371" s="26">
        <v>0.25</v>
      </c>
      <c r="Q2371" s="17" t="s">
        <v>28</v>
      </c>
      <c r="R2371" s="17" t="s">
        <v>19</v>
      </c>
      <c r="S2371" s="50" t="str">
        <f t="shared" si="113"/>
        <v>Eve-North</v>
      </c>
      <c r="T2371" s="59" t="str">
        <f>IF(ROUND(sales_data_1[[#This Row],[Profit_Margin]],2)=ROUND((sales_data_1[[#This Row],[Unit_Price]]*(1-sales_data_1[[#This Row],[Discount]]) - sales_data_1[[#This Row],[Unit_Cost]])*sales_data_1[[#This Row],[Quantity_Sold]],2), "PASS", "CHECK")</f>
        <v>PASS</v>
      </c>
    </row>
    <row r="2372" spans="1:20" x14ac:dyDescent="0.35">
      <c r="A2372" s="7">
        <v>2371</v>
      </c>
      <c r="B2372" s="9">
        <v>1040</v>
      </c>
      <c r="C2372" s="14" t="str">
        <f>IFERROR(_xlfn.TEXTJOIN("-", TRUE, _xlfn.XLOOKUP(K2372, product_category_id_lookup!$A$2:$A$5, product_category_id_lookup!$B$2:$B$5), B2372), "Unknown Category")</f>
        <v>etc-1040</v>
      </c>
      <c r="D2372" s="8">
        <v>45370</v>
      </c>
      <c r="E2372" s="14">
        <f t="shared" si="111"/>
        <v>2024</v>
      </c>
      <c r="F2372" s="29" t="str">
        <f t="shared" si="112"/>
        <v>Mar</v>
      </c>
      <c r="G2372" s="17" t="s">
        <v>14</v>
      </c>
      <c r="H2372" s="17" t="s">
        <v>30</v>
      </c>
      <c r="I2372" s="24">
        <v>93300.883199999997</v>
      </c>
      <c r="J2372" s="32">
        <v>42</v>
      </c>
      <c r="K2372" s="17" t="s">
        <v>31</v>
      </c>
      <c r="L2372" s="24">
        <v>1466.62</v>
      </c>
      <c r="M2372" s="24">
        <v>2922.96</v>
      </c>
      <c r="N2372" s="34">
        <f>((sales_data_1[[#This Row],[Unit_Price]]*(1-sales_data_1[[#This Row],[Discount]]))-sales_data_1[[#This Row],[Unit_Cost]])*sales_data_1[[#This Row],[Quantity_Sold]]</f>
        <v>31702.843200000003</v>
      </c>
      <c r="O2372" s="17" t="s">
        <v>27</v>
      </c>
      <c r="P2372" s="26">
        <v>0.24</v>
      </c>
      <c r="Q2372" s="17" t="s">
        <v>28</v>
      </c>
      <c r="R2372" s="17" t="s">
        <v>19</v>
      </c>
      <c r="S2372" s="50" t="str">
        <f t="shared" si="113"/>
        <v>Bob-East</v>
      </c>
      <c r="T2372" s="59" t="str">
        <f>IF(ROUND(sales_data_1[[#This Row],[Profit_Margin]],2)=ROUND((sales_data_1[[#This Row],[Unit_Price]]*(1-sales_data_1[[#This Row],[Discount]]) - sales_data_1[[#This Row],[Unit_Cost]])*sales_data_1[[#This Row],[Quantity_Sold]],2), "PASS", "CHECK")</f>
        <v>PASS</v>
      </c>
    </row>
    <row r="2373" spans="1:20" x14ac:dyDescent="0.35">
      <c r="A2373" s="7">
        <v>2372</v>
      </c>
      <c r="B2373" s="9">
        <v>1071</v>
      </c>
      <c r="C2373" s="14" t="str">
        <f>IFERROR(_xlfn.TEXTJOIN("-", TRUE, _xlfn.XLOOKUP(K2373, product_category_id_lookup!$A$2:$A$5, product_category_id_lookup!$B$2:$B$5), B2373), "Unknown Category")</f>
        <v>etc-1071</v>
      </c>
      <c r="D2373" s="8">
        <v>45370</v>
      </c>
      <c r="E2373" s="14">
        <f t="shared" si="111"/>
        <v>2024</v>
      </c>
      <c r="F2373" s="29" t="str">
        <f t="shared" si="112"/>
        <v>Mar</v>
      </c>
      <c r="G2373" s="17" t="s">
        <v>14</v>
      </c>
      <c r="H2373" s="17" t="s">
        <v>30</v>
      </c>
      <c r="I2373" s="24">
        <v>36650.407199999994</v>
      </c>
      <c r="J2373" s="32">
        <v>19</v>
      </c>
      <c r="K2373" s="17" t="s">
        <v>31</v>
      </c>
      <c r="L2373" s="24">
        <v>148.97</v>
      </c>
      <c r="M2373" s="24">
        <v>2074.16</v>
      </c>
      <c r="N2373" s="34">
        <f>((sales_data_1[[#This Row],[Unit_Price]]*(1-sales_data_1[[#This Row],[Discount]]))-sales_data_1[[#This Row],[Unit_Cost]])*sales_data_1[[#This Row],[Quantity_Sold]]</f>
        <v>33819.977199999994</v>
      </c>
      <c r="O2373" s="17" t="s">
        <v>27</v>
      </c>
      <c r="P2373" s="26">
        <v>7.0000000000000007E-2</v>
      </c>
      <c r="Q2373" s="17" t="s">
        <v>28</v>
      </c>
      <c r="R2373" s="17" t="s">
        <v>19</v>
      </c>
      <c r="S2373" s="50" t="str">
        <f t="shared" si="113"/>
        <v>Bob-East</v>
      </c>
      <c r="T2373" s="59" t="str">
        <f>IF(ROUND(sales_data_1[[#This Row],[Profit_Margin]],2)=ROUND((sales_data_1[[#This Row],[Unit_Price]]*(1-sales_data_1[[#This Row],[Discount]]) - sales_data_1[[#This Row],[Unit_Cost]])*sales_data_1[[#This Row],[Quantity_Sold]],2), "PASS", "CHECK")</f>
        <v>PASS</v>
      </c>
    </row>
    <row r="2374" spans="1:20" x14ac:dyDescent="0.35">
      <c r="A2374" s="7">
        <v>2373</v>
      </c>
      <c r="B2374" s="9">
        <v>1081</v>
      </c>
      <c r="C2374" s="14" t="str">
        <f>IFERROR(_xlfn.TEXTJOIN("-", TRUE, _xlfn.XLOOKUP(K2374, product_category_id_lookup!$A$2:$A$5, product_category_id_lookup!$B$2:$B$5), B2374), "Unknown Category")</f>
        <v>fd-1081</v>
      </c>
      <c r="D2374" s="8">
        <v>45370</v>
      </c>
      <c r="E2374" s="14">
        <f t="shared" si="111"/>
        <v>2024</v>
      </c>
      <c r="F2374" s="29" t="str">
        <f t="shared" si="112"/>
        <v>Mar</v>
      </c>
      <c r="G2374" s="17" t="s">
        <v>33</v>
      </c>
      <c r="H2374" s="17" t="s">
        <v>23</v>
      </c>
      <c r="I2374" s="24">
        <v>167174.40239999996</v>
      </c>
      <c r="J2374" s="32">
        <v>36</v>
      </c>
      <c r="K2374" s="17" t="s">
        <v>24</v>
      </c>
      <c r="L2374" s="24">
        <v>2645.7</v>
      </c>
      <c r="M2374" s="24">
        <v>5399.69</v>
      </c>
      <c r="N2374" s="34">
        <f>((sales_data_1[[#This Row],[Unit_Price]]*(1-sales_data_1[[#This Row],[Discount]]))-sales_data_1[[#This Row],[Unit_Cost]])*sales_data_1[[#This Row],[Quantity_Sold]]</f>
        <v>71929.20239999998</v>
      </c>
      <c r="O2374" s="17" t="s">
        <v>17</v>
      </c>
      <c r="P2374" s="26">
        <v>0.14000000000000001</v>
      </c>
      <c r="Q2374" s="17" t="s">
        <v>25</v>
      </c>
      <c r="R2374" s="17" t="s">
        <v>21</v>
      </c>
      <c r="S2374" s="50" t="str">
        <f t="shared" si="113"/>
        <v>Alice-South</v>
      </c>
      <c r="T2374" s="59" t="str">
        <f>IF(ROUND(sales_data_1[[#This Row],[Profit_Margin]],2)=ROUND((sales_data_1[[#This Row],[Unit_Price]]*(1-sales_data_1[[#This Row],[Discount]]) - sales_data_1[[#This Row],[Unit_Cost]])*sales_data_1[[#This Row],[Quantity_Sold]],2), "PASS", "CHECK")</f>
        <v>PASS</v>
      </c>
    </row>
    <row r="2375" spans="1:20" x14ac:dyDescent="0.35">
      <c r="A2375" s="7">
        <v>2374</v>
      </c>
      <c r="B2375" s="9">
        <v>1052</v>
      </c>
      <c r="C2375" s="14" t="str">
        <f>IFERROR(_xlfn.TEXTJOIN("-", TRUE, _xlfn.XLOOKUP(K2375, product_category_id_lookup!$A$2:$A$5, product_category_id_lookup!$B$2:$B$5), B2375), "Unknown Category")</f>
        <v>fd-1052</v>
      </c>
      <c r="D2375" s="8">
        <v>45371</v>
      </c>
      <c r="E2375" s="14">
        <f t="shared" si="111"/>
        <v>2024</v>
      </c>
      <c r="F2375" s="29" t="str">
        <f t="shared" si="112"/>
        <v>Mar</v>
      </c>
      <c r="G2375" s="17" t="s">
        <v>14</v>
      </c>
      <c r="H2375" s="17" t="s">
        <v>23</v>
      </c>
      <c r="I2375" s="24">
        <v>51825.500999999997</v>
      </c>
      <c r="J2375" s="32">
        <v>35</v>
      </c>
      <c r="K2375" s="17" t="s">
        <v>24</v>
      </c>
      <c r="L2375" s="24">
        <v>1424.26</v>
      </c>
      <c r="M2375" s="24">
        <v>1898.37</v>
      </c>
      <c r="N2375" s="34">
        <f>((sales_data_1[[#This Row],[Unit_Price]]*(1-sales_data_1[[#This Row],[Discount]]))-sales_data_1[[#This Row],[Unit_Cost]])*sales_data_1[[#This Row],[Quantity_Sold]]</f>
        <v>1976.4009999999973</v>
      </c>
      <c r="O2375" s="17" t="s">
        <v>27</v>
      </c>
      <c r="P2375" s="26">
        <v>0.22</v>
      </c>
      <c r="Q2375" s="17" t="s">
        <v>25</v>
      </c>
      <c r="R2375" s="17" t="s">
        <v>21</v>
      </c>
      <c r="S2375" s="50" t="str">
        <f t="shared" si="113"/>
        <v>Bob-South</v>
      </c>
      <c r="T2375" s="59" t="str">
        <f>IF(ROUND(sales_data_1[[#This Row],[Profit_Margin]],2)=ROUND((sales_data_1[[#This Row],[Unit_Price]]*(1-sales_data_1[[#This Row],[Discount]]) - sales_data_1[[#This Row],[Unit_Cost]])*sales_data_1[[#This Row],[Quantity_Sold]],2), "PASS", "CHECK")</f>
        <v>PASS</v>
      </c>
    </row>
    <row r="2376" spans="1:20" x14ac:dyDescent="0.35">
      <c r="A2376" s="7">
        <v>2375</v>
      </c>
      <c r="B2376" s="9">
        <v>1029</v>
      </c>
      <c r="C2376" s="14" t="str">
        <f>IFERROR(_xlfn.TEXTJOIN("-", TRUE, _xlfn.XLOOKUP(K2376, product_category_id_lookup!$A$2:$A$5, product_category_id_lookup!$B$2:$B$5), B2376), "Unknown Category")</f>
        <v>ctg-1029</v>
      </c>
      <c r="D2376" s="8">
        <v>45371</v>
      </c>
      <c r="E2376" s="14">
        <f t="shared" si="111"/>
        <v>2024</v>
      </c>
      <c r="F2376" s="29" t="str">
        <f t="shared" si="112"/>
        <v>Mar</v>
      </c>
      <c r="G2376" s="17" t="s">
        <v>22</v>
      </c>
      <c r="H2376" s="17" t="s">
        <v>20</v>
      </c>
      <c r="I2376" s="24">
        <v>33627.7935</v>
      </c>
      <c r="J2376" s="32">
        <v>21</v>
      </c>
      <c r="K2376" s="17" t="s">
        <v>26</v>
      </c>
      <c r="L2376" s="24">
        <v>749.19</v>
      </c>
      <c r="M2376" s="24">
        <v>1883.91</v>
      </c>
      <c r="N2376" s="34">
        <f>((sales_data_1[[#This Row],[Unit_Price]]*(1-sales_data_1[[#This Row],[Discount]]))-sales_data_1[[#This Row],[Unit_Cost]])*sales_data_1[[#This Row],[Quantity_Sold]]</f>
        <v>17894.803499999998</v>
      </c>
      <c r="O2376" s="17" t="s">
        <v>27</v>
      </c>
      <c r="P2376" s="26">
        <v>0.15</v>
      </c>
      <c r="Q2376" s="17" t="s">
        <v>28</v>
      </c>
      <c r="R2376" s="17" t="s">
        <v>19</v>
      </c>
      <c r="S2376" s="50" t="str">
        <f t="shared" si="113"/>
        <v>David-West</v>
      </c>
      <c r="T2376" s="59" t="str">
        <f>IF(ROUND(sales_data_1[[#This Row],[Profit_Margin]],2)=ROUND((sales_data_1[[#This Row],[Unit_Price]]*(1-sales_data_1[[#This Row],[Discount]]) - sales_data_1[[#This Row],[Unit_Cost]])*sales_data_1[[#This Row],[Quantity_Sold]],2), "PASS", "CHECK")</f>
        <v>PASS</v>
      </c>
    </row>
    <row r="2377" spans="1:20" x14ac:dyDescent="0.35">
      <c r="A2377" s="7">
        <v>2376</v>
      </c>
      <c r="B2377" s="9">
        <v>1065</v>
      </c>
      <c r="C2377" s="14" t="str">
        <f>IFERROR(_xlfn.TEXTJOIN("-", TRUE, _xlfn.XLOOKUP(K2377, product_category_id_lookup!$A$2:$A$5, product_category_id_lookup!$B$2:$B$5), B2377), "Unknown Category")</f>
        <v>etc-1065</v>
      </c>
      <c r="D2377" s="8">
        <v>45371</v>
      </c>
      <c r="E2377" s="14">
        <f t="shared" si="111"/>
        <v>2024</v>
      </c>
      <c r="F2377" s="29" t="str">
        <f t="shared" si="112"/>
        <v>Mar</v>
      </c>
      <c r="G2377" s="17" t="s">
        <v>33</v>
      </c>
      <c r="H2377" s="17" t="s">
        <v>20</v>
      </c>
      <c r="I2377" s="24">
        <v>94053.06</v>
      </c>
      <c r="J2377" s="32">
        <v>24</v>
      </c>
      <c r="K2377" s="17" t="s">
        <v>31</v>
      </c>
      <c r="L2377" s="24">
        <v>1608.87</v>
      </c>
      <c r="M2377" s="24">
        <v>5225.17</v>
      </c>
      <c r="N2377" s="34">
        <f>((sales_data_1[[#This Row],[Unit_Price]]*(1-sales_data_1[[#This Row],[Discount]]))-sales_data_1[[#This Row],[Unit_Cost]])*sales_data_1[[#This Row],[Quantity_Sold]]</f>
        <v>55440.180000000008</v>
      </c>
      <c r="O2377" s="17" t="s">
        <v>27</v>
      </c>
      <c r="P2377" s="26">
        <v>0.25</v>
      </c>
      <c r="Q2377" s="17" t="s">
        <v>28</v>
      </c>
      <c r="R2377" s="17" t="s">
        <v>21</v>
      </c>
      <c r="S2377" s="50" t="str">
        <f t="shared" si="113"/>
        <v>Alice-West</v>
      </c>
      <c r="T2377" s="59" t="str">
        <f>IF(ROUND(sales_data_1[[#This Row],[Profit_Margin]],2)=ROUND((sales_data_1[[#This Row],[Unit_Price]]*(1-sales_data_1[[#This Row],[Discount]]) - sales_data_1[[#This Row],[Unit_Cost]])*sales_data_1[[#This Row],[Quantity_Sold]],2), "PASS", "CHECK")</f>
        <v>PASS</v>
      </c>
    </row>
    <row r="2378" spans="1:20" x14ac:dyDescent="0.35">
      <c r="A2378" s="7">
        <v>2377</v>
      </c>
      <c r="B2378" s="9">
        <v>1045</v>
      </c>
      <c r="C2378" s="14" t="str">
        <f>IFERROR(_xlfn.TEXTJOIN("-", TRUE, _xlfn.XLOOKUP(K2378, product_category_id_lookup!$A$2:$A$5, product_category_id_lookup!$B$2:$B$5), B2378), "Unknown Category")</f>
        <v>fnt-1045</v>
      </c>
      <c r="D2378" s="8">
        <v>45372</v>
      </c>
      <c r="E2378" s="14">
        <f t="shared" si="111"/>
        <v>2024</v>
      </c>
      <c r="F2378" s="29" t="str">
        <f t="shared" si="112"/>
        <v>Mar</v>
      </c>
      <c r="G2378" s="17" t="s">
        <v>22</v>
      </c>
      <c r="H2378" s="17" t="s">
        <v>20</v>
      </c>
      <c r="I2378" s="24">
        <v>11676.797999999999</v>
      </c>
      <c r="J2378" s="32">
        <v>3</v>
      </c>
      <c r="K2378" s="17" t="s">
        <v>16</v>
      </c>
      <c r="L2378" s="24">
        <v>1769.43</v>
      </c>
      <c r="M2378" s="24">
        <v>4633.6499999999996</v>
      </c>
      <c r="N2378" s="34">
        <f>((sales_data_1[[#This Row],[Unit_Price]]*(1-sales_data_1[[#This Row],[Discount]]))-sales_data_1[[#This Row],[Unit_Cost]])*sales_data_1[[#This Row],[Quantity_Sold]]</f>
        <v>6368.507999999998</v>
      </c>
      <c r="O2378" s="17" t="s">
        <v>17</v>
      </c>
      <c r="P2378" s="26">
        <v>0.16</v>
      </c>
      <c r="Q2378" s="17" t="s">
        <v>25</v>
      </c>
      <c r="R2378" s="17" t="s">
        <v>21</v>
      </c>
      <c r="S2378" s="50" t="str">
        <f t="shared" si="113"/>
        <v>David-West</v>
      </c>
      <c r="T2378" s="59" t="str">
        <f>IF(ROUND(sales_data_1[[#This Row],[Profit_Margin]],2)=ROUND((sales_data_1[[#This Row],[Unit_Price]]*(1-sales_data_1[[#This Row],[Discount]]) - sales_data_1[[#This Row],[Unit_Cost]])*sales_data_1[[#This Row],[Quantity_Sold]],2), "PASS", "CHECK")</f>
        <v>PASS</v>
      </c>
    </row>
    <row r="2379" spans="1:20" x14ac:dyDescent="0.35">
      <c r="A2379" s="7">
        <v>2378</v>
      </c>
      <c r="B2379" s="9">
        <v>1038</v>
      </c>
      <c r="C2379" s="14" t="str">
        <f>IFERROR(_xlfn.TEXTJOIN("-", TRUE, _xlfn.XLOOKUP(K2379, product_category_id_lookup!$A$2:$A$5, product_category_id_lookup!$B$2:$B$5), B2379), "Unknown Category")</f>
        <v>ctg-1038</v>
      </c>
      <c r="D2379" s="8">
        <v>45372</v>
      </c>
      <c r="E2379" s="14">
        <f t="shared" si="111"/>
        <v>2024</v>
      </c>
      <c r="F2379" s="29" t="str">
        <f t="shared" si="112"/>
        <v>Mar</v>
      </c>
      <c r="G2379" s="17" t="s">
        <v>14</v>
      </c>
      <c r="H2379" s="17" t="s">
        <v>30</v>
      </c>
      <c r="I2379" s="24">
        <v>75836.300399999993</v>
      </c>
      <c r="J2379" s="32">
        <v>21</v>
      </c>
      <c r="K2379" s="17" t="s">
        <v>26</v>
      </c>
      <c r="L2379" s="24">
        <v>1926.9</v>
      </c>
      <c r="M2379" s="24">
        <v>4299.1099999999997</v>
      </c>
      <c r="N2379" s="34">
        <f>((sales_data_1[[#This Row],[Unit_Price]]*(1-sales_data_1[[#This Row],[Discount]]))-sales_data_1[[#This Row],[Unit_Cost]])*sales_data_1[[#This Row],[Quantity_Sold]]</f>
        <v>35371.400399999984</v>
      </c>
      <c r="O2379" s="17" t="s">
        <v>17</v>
      </c>
      <c r="P2379" s="26">
        <v>0.16</v>
      </c>
      <c r="Q2379" s="17" t="s">
        <v>28</v>
      </c>
      <c r="R2379" s="17" t="s">
        <v>21</v>
      </c>
      <c r="S2379" s="50" t="str">
        <f t="shared" si="113"/>
        <v>Bob-East</v>
      </c>
      <c r="T2379" s="59" t="str">
        <f>IF(ROUND(sales_data_1[[#This Row],[Profit_Margin]],2)=ROUND((sales_data_1[[#This Row],[Unit_Price]]*(1-sales_data_1[[#This Row],[Discount]]) - sales_data_1[[#This Row],[Unit_Cost]])*sales_data_1[[#This Row],[Quantity_Sold]],2), "PASS", "CHECK")</f>
        <v>PASS</v>
      </c>
    </row>
    <row r="2380" spans="1:20" x14ac:dyDescent="0.35">
      <c r="A2380" s="7">
        <v>2379</v>
      </c>
      <c r="B2380" s="9">
        <v>1042</v>
      </c>
      <c r="C2380" s="14" t="str">
        <f>IFERROR(_xlfn.TEXTJOIN("-", TRUE, _xlfn.XLOOKUP(K2380, product_category_id_lookup!$A$2:$A$5, product_category_id_lookup!$B$2:$B$5), B2380), "Unknown Category")</f>
        <v>ctg-1042</v>
      </c>
      <c r="D2380" s="8">
        <v>45373</v>
      </c>
      <c r="E2380" s="14">
        <f t="shared" si="111"/>
        <v>2024</v>
      </c>
      <c r="F2380" s="29" t="str">
        <f t="shared" si="112"/>
        <v>Mar</v>
      </c>
      <c r="G2380" s="17" t="s">
        <v>33</v>
      </c>
      <c r="H2380" s="17" t="s">
        <v>30</v>
      </c>
      <c r="I2380" s="24">
        <v>18604.7225</v>
      </c>
      <c r="J2380" s="32">
        <v>5</v>
      </c>
      <c r="K2380" s="17" t="s">
        <v>26</v>
      </c>
      <c r="L2380" s="24">
        <v>3610.71</v>
      </c>
      <c r="M2380" s="24">
        <v>4088.95</v>
      </c>
      <c r="N2380" s="34">
        <f>((sales_data_1[[#This Row],[Unit_Price]]*(1-sales_data_1[[#This Row],[Discount]]))-sales_data_1[[#This Row],[Unit_Cost]])*sales_data_1[[#This Row],[Quantity_Sold]]</f>
        <v>551.17250000000013</v>
      </c>
      <c r="O2380" s="17" t="s">
        <v>27</v>
      </c>
      <c r="P2380" s="26">
        <v>0.09</v>
      </c>
      <c r="Q2380" s="17" t="s">
        <v>25</v>
      </c>
      <c r="R2380" s="17" t="s">
        <v>19</v>
      </c>
      <c r="S2380" s="50" t="str">
        <f t="shared" si="113"/>
        <v>Alice-East</v>
      </c>
      <c r="T2380" s="59" t="str">
        <f>IF(ROUND(sales_data_1[[#This Row],[Profit_Margin]],2)=ROUND((sales_data_1[[#This Row],[Unit_Price]]*(1-sales_data_1[[#This Row],[Discount]]) - sales_data_1[[#This Row],[Unit_Cost]])*sales_data_1[[#This Row],[Quantity_Sold]],2), "PASS", "CHECK")</f>
        <v>PASS</v>
      </c>
    </row>
    <row r="2381" spans="1:20" x14ac:dyDescent="0.35">
      <c r="A2381" s="7">
        <v>2380</v>
      </c>
      <c r="B2381" s="9">
        <v>1043</v>
      </c>
      <c r="C2381" s="14" t="str">
        <f>IFERROR(_xlfn.TEXTJOIN("-", TRUE, _xlfn.XLOOKUP(K2381, product_category_id_lookup!$A$2:$A$5, product_category_id_lookup!$B$2:$B$5), B2381), "Unknown Category")</f>
        <v>fnt-1043</v>
      </c>
      <c r="D2381" s="8">
        <v>45373</v>
      </c>
      <c r="E2381" s="14">
        <f t="shared" si="111"/>
        <v>2024</v>
      </c>
      <c r="F2381" s="29" t="str">
        <f t="shared" si="112"/>
        <v>Mar</v>
      </c>
      <c r="G2381" s="17" t="s">
        <v>33</v>
      </c>
      <c r="H2381" s="17" t="s">
        <v>15</v>
      </c>
      <c r="I2381" s="24">
        <v>2917.4870000000001</v>
      </c>
      <c r="J2381" s="32">
        <v>5</v>
      </c>
      <c r="K2381" s="17" t="s">
        <v>16</v>
      </c>
      <c r="L2381" s="24">
        <v>472.74</v>
      </c>
      <c r="M2381" s="24">
        <v>788.51</v>
      </c>
      <c r="N2381" s="34">
        <f>((sales_data_1[[#This Row],[Unit_Price]]*(1-sales_data_1[[#This Row],[Discount]]))-sales_data_1[[#This Row],[Unit_Cost]])*sales_data_1[[#This Row],[Quantity_Sold]]</f>
        <v>553.78699999999981</v>
      </c>
      <c r="O2381" s="17" t="s">
        <v>27</v>
      </c>
      <c r="P2381" s="26">
        <v>0.26</v>
      </c>
      <c r="Q2381" s="17" t="s">
        <v>25</v>
      </c>
      <c r="R2381" s="17" t="s">
        <v>19</v>
      </c>
      <c r="S2381" s="50" t="str">
        <f t="shared" si="113"/>
        <v>Alice-North</v>
      </c>
      <c r="T2381" s="59" t="str">
        <f>IF(ROUND(sales_data_1[[#This Row],[Profit_Margin]],2)=ROUND((sales_data_1[[#This Row],[Unit_Price]]*(1-sales_data_1[[#This Row],[Discount]]) - sales_data_1[[#This Row],[Unit_Cost]])*sales_data_1[[#This Row],[Quantity_Sold]],2), "PASS", "CHECK")</f>
        <v>PASS</v>
      </c>
    </row>
    <row r="2382" spans="1:20" x14ac:dyDescent="0.35">
      <c r="A2382" s="7">
        <v>2381</v>
      </c>
      <c r="B2382" s="9">
        <v>1093</v>
      </c>
      <c r="C2382" s="14" t="str">
        <f>IFERROR(_xlfn.TEXTJOIN("-", TRUE, _xlfn.XLOOKUP(K2382, product_category_id_lookup!$A$2:$A$5, product_category_id_lookup!$B$2:$B$5), B2382), "Unknown Category")</f>
        <v>fd-1093</v>
      </c>
      <c r="D2382" s="8">
        <v>45373</v>
      </c>
      <c r="E2382" s="14">
        <f t="shared" si="111"/>
        <v>2024</v>
      </c>
      <c r="F2382" s="29" t="str">
        <f t="shared" si="112"/>
        <v>Mar</v>
      </c>
      <c r="G2382" s="17" t="s">
        <v>29</v>
      </c>
      <c r="H2382" s="17" t="s">
        <v>30</v>
      </c>
      <c r="I2382" s="24">
        <v>63100.792979595695</v>
      </c>
      <c r="J2382" s="32">
        <v>21</v>
      </c>
      <c r="K2382" s="17" t="s">
        <v>24</v>
      </c>
      <c r="L2382" s="24">
        <v>2963.59</v>
      </c>
      <c r="M2382" s="24">
        <v>3131.37</v>
      </c>
      <c r="N2382" s="34">
        <f>((sales_data_1[[#This Row],[Unit_Price]]*(1-sales_data_1[[#This Row],[Discount]]))-sales_data_1[[#This Row],[Unit_Cost]])*sales_data_1[[#This Row],[Quantity_Sold]]</f>
        <v>893.02919999999131</v>
      </c>
      <c r="O2382" s="17" t="s">
        <v>17</v>
      </c>
      <c r="P2382" s="26">
        <v>0.04</v>
      </c>
      <c r="Q2382" s="17" t="s">
        <v>25</v>
      </c>
      <c r="R2382" s="17" t="s">
        <v>19</v>
      </c>
      <c r="S2382" s="50" t="str">
        <f t="shared" si="113"/>
        <v>Charlie-East</v>
      </c>
      <c r="T2382" s="59" t="str">
        <f>IF(ROUND(sales_data_1[[#This Row],[Profit_Margin]],2)=ROUND((sales_data_1[[#This Row],[Unit_Price]]*(1-sales_data_1[[#This Row],[Discount]]) - sales_data_1[[#This Row],[Unit_Cost]])*sales_data_1[[#This Row],[Quantity_Sold]],2), "PASS", "CHECK")</f>
        <v>PASS</v>
      </c>
    </row>
    <row r="2383" spans="1:20" x14ac:dyDescent="0.35">
      <c r="A2383" s="7">
        <v>2382</v>
      </c>
      <c r="B2383" s="9">
        <v>1001</v>
      </c>
      <c r="C2383" s="14" t="str">
        <f>IFERROR(_xlfn.TEXTJOIN("-", TRUE, _xlfn.XLOOKUP(K2383, product_category_id_lookup!$A$2:$A$5, product_category_id_lookup!$B$2:$B$5), B2383), "Unknown Category")</f>
        <v>etc-1001</v>
      </c>
      <c r="D2383" s="8">
        <v>45373</v>
      </c>
      <c r="E2383" s="14">
        <f t="shared" si="111"/>
        <v>2024</v>
      </c>
      <c r="F2383" s="29" t="str">
        <f t="shared" si="112"/>
        <v>Mar</v>
      </c>
      <c r="G2383" s="17" t="s">
        <v>14</v>
      </c>
      <c r="H2383" s="17" t="s">
        <v>23</v>
      </c>
      <c r="I2383" s="24">
        <v>18117.552</v>
      </c>
      <c r="J2383" s="32">
        <v>5</v>
      </c>
      <c r="K2383" s="17" t="s">
        <v>31</v>
      </c>
      <c r="L2383" s="24">
        <v>1179.23</v>
      </c>
      <c r="M2383" s="24">
        <v>4071.36</v>
      </c>
      <c r="N2383" s="34">
        <f>((sales_data_1[[#This Row],[Unit_Price]]*(1-sales_data_1[[#This Row],[Discount]]))-sales_data_1[[#This Row],[Unit_Cost]])*sales_data_1[[#This Row],[Quantity_Sold]]</f>
        <v>12221.402</v>
      </c>
      <c r="O2383" s="17" t="s">
        <v>27</v>
      </c>
      <c r="P2383" s="26">
        <v>0.11</v>
      </c>
      <c r="Q2383" s="17" t="s">
        <v>25</v>
      </c>
      <c r="R2383" s="17" t="s">
        <v>19</v>
      </c>
      <c r="S2383" s="50" t="str">
        <f t="shared" si="113"/>
        <v>Bob-South</v>
      </c>
      <c r="T2383" s="59" t="str">
        <f>IF(ROUND(sales_data_1[[#This Row],[Profit_Margin]],2)=ROUND((sales_data_1[[#This Row],[Unit_Price]]*(1-sales_data_1[[#This Row],[Discount]]) - sales_data_1[[#This Row],[Unit_Cost]])*sales_data_1[[#This Row],[Quantity_Sold]],2), "PASS", "CHECK")</f>
        <v>PASS</v>
      </c>
    </row>
    <row r="2384" spans="1:20" x14ac:dyDescent="0.35">
      <c r="A2384" s="7">
        <v>2383</v>
      </c>
      <c r="B2384" s="9">
        <v>1019</v>
      </c>
      <c r="C2384" s="14" t="str">
        <f>IFERROR(_xlfn.TEXTJOIN("-", TRUE, _xlfn.XLOOKUP(K2384, product_category_id_lookup!$A$2:$A$5, product_category_id_lookup!$B$2:$B$5), B2384), "Unknown Category")</f>
        <v>fnt-1019</v>
      </c>
      <c r="D2384" s="8">
        <v>45374</v>
      </c>
      <c r="E2384" s="14">
        <f t="shared" si="111"/>
        <v>2024</v>
      </c>
      <c r="F2384" s="29" t="str">
        <f t="shared" si="112"/>
        <v>Mar</v>
      </c>
      <c r="G2384" s="17" t="s">
        <v>29</v>
      </c>
      <c r="H2384" s="17" t="s">
        <v>20</v>
      </c>
      <c r="I2384" s="24">
        <v>60105.885117096099</v>
      </c>
      <c r="J2384" s="32">
        <v>37</v>
      </c>
      <c r="K2384" s="17" t="s">
        <v>16</v>
      </c>
      <c r="L2384" s="24">
        <v>1352.82</v>
      </c>
      <c r="M2384" s="24">
        <v>1694.68</v>
      </c>
      <c r="N2384" s="34">
        <f>((sales_data_1[[#This Row],[Unit_Price]]*(1-sales_data_1[[#This Row],[Discount]]))-sales_data_1[[#This Row],[Unit_Cost]])*sales_data_1[[#This Row],[Quantity_Sold]]</f>
        <v>10140.693600000006</v>
      </c>
      <c r="O2384" s="17" t="s">
        <v>27</v>
      </c>
      <c r="P2384" s="26">
        <v>0.04</v>
      </c>
      <c r="Q2384" s="17" t="s">
        <v>25</v>
      </c>
      <c r="R2384" s="17" t="s">
        <v>19</v>
      </c>
      <c r="S2384" s="50" t="str">
        <f t="shared" si="113"/>
        <v>Charlie-West</v>
      </c>
      <c r="T2384" s="59" t="str">
        <f>IF(ROUND(sales_data_1[[#This Row],[Profit_Margin]],2)=ROUND((sales_data_1[[#This Row],[Unit_Price]]*(1-sales_data_1[[#This Row],[Discount]]) - sales_data_1[[#This Row],[Unit_Cost]])*sales_data_1[[#This Row],[Quantity_Sold]],2), "PASS", "CHECK")</f>
        <v>PASS</v>
      </c>
    </row>
    <row r="2385" spans="1:20" x14ac:dyDescent="0.35">
      <c r="A2385" s="7">
        <v>2384</v>
      </c>
      <c r="B2385" s="9">
        <v>1056</v>
      </c>
      <c r="C2385" s="14" t="str">
        <f>IFERROR(_xlfn.TEXTJOIN("-", TRUE, _xlfn.XLOOKUP(K2385, product_category_id_lookup!$A$2:$A$5, product_category_id_lookup!$B$2:$B$5), B2385), "Unknown Category")</f>
        <v>ctg-1056</v>
      </c>
      <c r="D2385" s="8">
        <v>45374</v>
      </c>
      <c r="E2385" s="14">
        <f t="shared" si="111"/>
        <v>2024</v>
      </c>
      <c r="F2385" s="29" t="str">
        <f t="shared" si="112"/>
        <v>Mar</v>
      </c>
      <c r="G2385" s="17" t="s">
        <v>14</v>
      </c>
      <c r="H2385" s="17" t="s">
        <v>23</v>
      </c>
      <c r="I2385" s="24">
        <v>102401.03519999998</v>
      </c>
      <c r="J2385" s="32">
        <v>31</v>
      </c>
      <c r="K2385" s="17" t="s">
        <v>26</v>
      </c>
      <c r="L2385" s="24">
        <v>560.54</v>
      </c>
      <c r="M2385" s="24">
        <v>4587.8599999999997</v>
      </c>
      <c r="N2385" s="34">
        <f>((sales_data_1[[#This Row],[Unit_Price]]*(1-sales_data_1[[#This Row],[Discount]]))-sales_data_1[[#This Row],[Unit_Cost]])*sales_data_1[[#This Row],[Quantity_Sold]]</f>
        <v>85024.295199999993</v>
      </c>
      <c r="O2385" s="17" t="s">
        <v>27</v>
      </c>
      <c r="P2385" s="26">
        <v>0.28000000000000003</v>
      </c>
      <c r="Q2385" s="17" t="s">
        <v>18</v>
      </c>
      <c r="R2385" s="17" t="s">
        <v>19</v>
      </c>
      <c r="S2385" s="50" t="str">
        <f t="shared" si="113"/>
        <v>Bob-South</v>
      </c>
      <c r="T2385" s="59" t="str">
        <f>IF(ROUND(sales_data_1[[#This Row],[Profit_Margin]],2)=ROUND((sales_data_1[[#This Row],[Unit_Price]]*(1-sales_data_1[[#This Row],[Discount]]) - sales_data_1[[#This Row],[Unit_Cost]])*sales_data_1[[#This Row],[Quantity_Sold]],2), "PASS", "CHECK")</f>
        <v>PASS</v>
      </c>
    </row>
    <row r="2386" spans="1:20" x14ac:dyDescent="0.35">
      <c r="A2386" s="7">
        <v>2385</v>
      </c>
      <c r="B2386" s="9">
        <v>1082</v>
      </c>
      <c r="C2386" s="14" t="str">
        <f>IFERROR(_xlfn.TEXTJOIN("-", TRUE, _xlfn.XLOOKUP(K2386, product_category_id_lookup!$A$2:$A$5, product_category_id_lookup!$B$2:$B$5), B2386), "Unknown Category")</f>
        <v>ctg-1082</v>
      </c>
      <c r="D2386" s="8">
        <v>45374</v>
      </c>
      <c r="E2386" s="14">
        <f t="shared" si="111"/>
        <v>2024</v>
      </c>
      <c r="F2386" s="29" t="str">
        <f t="shared" si="112"/>
        <v>Mar</v>
      </c>
      <c r="G2386" s="17" t="s">
        <v>22</v>
      </c>
      <c r="H2386" s="17" t="s">
        <v>30</v>
      </c>
      <c r="I2386" s="24">
        <v>156363.83279999997</v>
      </c>
      <c r="J2386" s="32">
        <v>42</v>
      </c>
      <c r="K2386" s="17" t="s">
        <v>26</v>
      </c>
      <c r="L2386" s="24">
        <v>1503.16</v>
      </c>
      <c r="M2386" s="24">
        <v>4485.4799999999996</v>
      </c>
      <c r="N2386" s="34">
        <f>((sales_data_1[[#This Row],[Unit_Price]]*(1-sales_data_1[[#This Row],[Discount]]))-sales_data_1[[#This Row],[Unit_Cost]])*sales_data_1[[#This Row],[Quantity_Sold]]</f>
        <v>93231.112799999974</v>
      </c>
      <c r="O2386" s="17" t="s">
        <v>17</v>
      </c>
      <c r="P2386" s="26">
        <v>0.17</v>
      </c>
      <c r="Q2386" s="17" t="s">
        <v>18</v>
      </c>
      <c r="R2386" s="17" t="s">
        <v>19</v>
      </c>
      <c r="S2386" s="50" t="str">
        <f t="shared" si="113"/>
        <v>David-East</v>
      </c>
      <c r="T2386" s="59" t="str">
        <f>IF(ROUND(sales_data_1[[#This Row],[Profit_Margin]],2)=ROUND((sales_data_1[[#This Row],[Unit_Price]]*(1-sales_data_1[[#This Row],[Discount]]) - sales_data_1[[#This Row],[Unit_Cost]])*sales_data_1[[#This Row],[Quantity_Sold]],2), "PASS", "CHECK")</f>
        <v>PASS</v>
      </c>
    </row>
    <row r="2387" spans="1:20" x14ac:dyDescent="0.35">
      <c r="A2387" s="7">
        <v>2386</v>
      </c>
      <c r="B2387" s="9">
        <v>1005</v>
      </c>
      <c r="C2387" s="14" t="str">
        <f>IFERROR(_xlfn.TEXTJOIN("-", TRUE, _xlfn.XLOOKUP(K2387, product_category_id_lookup!$A$2:$A$5, product_category_id_lookup!$B$2:$B$5), B2387), "Unknown Category")</f>
        <v>ctg-1005</v>
      </c>
      <c r="D2387" s="8">
        <v>45375</v>
      </c>
      <c r="E2387" s="14">
        <f t="shared" si="111"/>
        <v>2024</v>
      </c>
      <c r="F2387" s="29" t="str">
        <f t="shared" si="112"/>
        <v>Mar</v>
      </c>
      <c r="G2387" s="17" t="s">
        <v>33</v>
      </c>
      <c r="H2387" s="17" t="s">
        <v>15</v>
      </c>
      <c r="I2387" s="24">
        <v>75989.844899999996</v>
      </c>
      <c r="J2387" s="32">
        <v>27</v>
      </c>
      <c r="K2387" s="17" t="s">
        <v>26</v>
      </c>
      <c r="L2387" s="24">
        <v>2477.12</v>
      </c>
      <c r="M2387" s="24">
        <v>3390.89</v>
      </c>
      <c r="N2387" s="34">
        <f>((sales_data_1[[#This Row],[Unit_Price]]*(1-sales_data_1[[#This Row],[Discount]]))-sales_data_1[[#This Row],[Unit_Cost]])*sales_data_1[[#This Row],[Quantity_Sold]]</f>
        <v>9107.6048999999948</v>
      </c>
      <c r="O2387" s="17" t="s">
        <v>17</v>
      </c>
      <c r="P2387" s="26">
        <v>0.17</v>
      </c>
      <c r="Q2387" s="17" t="s">
        <v>18</v>
      </c>
      <c r="R2387" s="17" t="s">
        <v>21</v>
      </c>
      <c r="S2387" s="50" t="str">
        <f t="shared" si="113"/>
        <v>Alice-North</v>
      </c>
      <c r="T2387" s="59" t="str">
        <f>IF(ROUND(sales_data_1[[#This Row],[Profit_Margin]],2)=ROUND((sales_data_1[[#This Row],[Unit_Price]]*(1-sales_data_1[[#This Row],[Discount]]) - sales_data_1[[#This Row],[Unit_Cost]])*sales_data_1[[#This Row],[Quantity_Sold]],2), "PASS", "CHECK")</f>
        <v>PASS</v>
      </c>
    </row>
    <row r="2388" spans="1:20" x14ac:dyDescent="0.35">
      <c r="A2388" s="7">
        <v>2387</v>
      </c>
      <c r="B2388" s="9">
        <v>1004</v>
      </c>
      <c r="C2388" s="14" t="str">
        <f>IFERROR(_xlfn.TEXTJOIN("-", TRUE, _xlfn.XLOOKUP(K2388, product_category_id_lookup!$A$2:$A$5, product_category_id_lookup!$B$2:$B$5), B2388), "Unknown Category")</f>
        <v>fd-1004</v>
      </c>
      <c r="D2388" s="8">
        <v>45375</v>
      </c>
      <c r="E2388" s="14">
        <f t="shared" si="111"/>
        <v>2024</v>
      </c>
      <c r="F2388" s="29" t="str">
        <f t="shared" si="112"/>
        <v>Mar</v>
      </c>
      <c r="G2388" s="17" t="s">
        <v>33</v>
      </c>
      <c r="H2388" s="17" t="s">
        <v>15</v>
      </c>
      <c r="I2388" s="24">
        <v>89413.992800000007</v>
      </c>
      <c r="J2388" s="32">
        <v>44</v>
      </c>
      <c r="K2388" s="17" t="s">
        <v>24</v>
      </c>
      <c r="L2388" s="24">
        <v>1699.26</v>
      </c>
      <c r="M2388" s="24">
        <v>2746.13</v>
      </c>
      <c r="N2388" s="34">
        <f>((sales_data_1[[#This Row],[Unit_Price]]*(1-sales_data_1[[#This Row],[Discount]]))-sales_data_1[[#This Row],[Unit_Cost]])*sales_data_1[[#This Row],[Quantity_Sold]]</f>
        <v>14646.552800000007</v>
      </c>
      <c r="O2388" s="17" t="s">
        <v>17</v>
      </c>
      <c r="P2388" s="26">
        <v>0.26</v>
      </c>
      <c r="Q2388" s="17" t="s">
        <v>25</v>
      </c>
      <c r="R2388" s="17" t="s">
        <v>19</v>
      </c>
      <c r="S2388" s="50" t="str">
        <f t="shared" si="113"/>
        <v>Alice-North</v>
      </c>
      <c r="T2388" s="59" t="str">
        <f>IF(ROUND(sales_data_1[[#This Row],[Profit_Margin]],2)=ROUND((sales_data_1[[#This Row],[Unit_Price]]*(1-sales_data_1[[#This Row],[Discount]]) - sales_data_1[[#This Row],[Unit_Cost]])*sales_data_1[[#This Row],[Quantity_Sold]],2), "PASS", "CHECK")</f>
        <v>PASS</v>
      </c>
    </row>
    <row r="2389" spans="1:20" x14ac:dyDescent="0.35">
      <c r="A2389" s="7">
        <v>2388</v>
      </c>
      <c r="B2389" s="9">
        <v>1028</v>
      </c>
      <c r="C2389" s="14" t="str">
        <f>IFERROR(_xlfn.TEXTJOIN("-", TRUE, _xlfn.XLOOKUP(K2389, product_category_id_lookup!$A$2:$A$5, product_category_id_lookup!$B$2:$B$5), B2389), "Unknown Category")</f>
        <v>fnt-1028</v>
      </c>
      <c r="D2389" s="8">
        <v>45375</v>
      </c>
      <c r="E2389" s="14">
        <f t="shared" si="111"/>
        <v>2024</v>
      </c>
      <c r="F2389" s="29" t="str">
        <f t="shared" si="112"/>
        <v>Mar</v>
      </c>
      <c r="G2389" s="17" t="s">
        <v>33</v>
      </c>
      <c r="H2389" s="17" t="s">
        <v>15</v>
      </c>
      <c r="I2389" s="24">
        <v>87970.961200000005</v>
      </c>
      <c r="J2389" s="32">
        <v>23</v>
      </c>
      <c r="K2389" s="17" t="s">
        <v>16</v>
      </c>
      <c r="L2389" s="24">
        <v>1737.66</v>
      </c>
      <c r="M2389" s="24">
        <v>4664.42</v>
      </c>
      <c r="N2389" s="34">
        <f>((sales_data_1[[#This Row],[Unit_Price]]*(1-sales_data_1[[#This Row],[Discount]]))-sales_data_1[[#This Row],[Unit_Cost]])*sales_data_1[[#This Row],[Quantity_Sold]]</f>
        <v>48004.781200000012</v>
      </c>
      <c r="O2389" s="17" t="s">
        <v>17</v>
      </c>
      <c r="P2389" s="26">
        <v>0.18</v>
      </c>
      <c r="Q2389" s="17" t="s">
        <v>28</v>
      </c>
      <c r="R2389" s="17" t="s">
        <v>21</v>
      </c>
      <c r="S2389" s="50" t="str">
        <f t="shared" si="113"/>
        <v>Alice-North</v>
      </c>
      <c r="T2389" s="59" t="str">
        <f>IF(ROUND(sales_data_1[[#This Row],[Profit_Margin]],2)=ROUND((sales_data_1[[#This Row],[Unit_Price]]*(1-sales_data_1[[#This Row],[Discount]]) - sales_data_1[[#This Row],[Unit_Cost]])*sales_data_1[[#This Row],[Quantity_Sold]],2), "PASS", "CHECK")</f>
        <v>PASS</v>
      </c>
    </row>
    <row r="2390" spans="1:20" x14ac:dyDescent="0.35">
      <c r="A2390" s="7">
        <v>2389</v>
      </c>
      <c r="B2390" s="9">
        <v>1076</v>
      </c>
      <c r="C2390" s="14" t="str">
        <f>IFERROR(_xlfn.TEXTJOIN("-", TRUE, _xlfn.XLOOKUP(K2390, product_category_id_lookup!$A$2:$A$5, product_category_id_lookup!$B$2:$B$5), B2390), "Unknown Category")</f>
        <v>etc-1076</v>
      </c>
      <c r="D2390" s="8">
        <v>45375</v>
      </c>
      <c r="E2390" s="14">
        <f t="shared" si="111"/>
        <v>2024</v>
      </c>
      <c r="F2390" s="29" t="str">
        <f t="shared" si="112"/>
        <v>Mar</v>
      </c>
      <c r="G2390" s="17" t="s">
        <v>29</v>
      </c>
      <c r="H2390" s="17" t="s">
        <v>15</v>
      </c>
      <c r="I2390" s="24">
        <v>213836.58239999998</v>
      </c>
      <c r="J2390" s="32">
        <v>41</v>
      </c>
      <c r="K2390" s="17" t="s">
        <v>31</v>
      </c>
      <c r="L2390" s="24">
        <v>2893.7</v>
      </c>
      <c r="M2390" s="24">
        <v>5432.84</v>
      </c>
      <c r="N2390" s="34">
        <f>((sales_data_1[[#This Row],[Unit_Price]]*(1-sales_data_1[[#This Row],[Discount]]))-sales_data_1[[#This Row],[Unit_Cost]])*sales_data_1[[#This Row],[Quantity_Sold]]</f>
        <v>95194.882400000002</v>
      </c>
      <c r="O2390" s="17" t="s">
        <v>17</v>
      </c>
      <c r="P2390" s="26">
        <v>0.04</v>
      </c>
      <c r="Q2390" s="17" t="s">
        <v>18</v>
      </c>
      <c r="R2390" s="17" t="s">
        <v>19</v>
      </c>
      <c r="S2390" s="50" t="str">
        <f t="shared" si="113"/>
        <v>Charlie-North</v>
      </c>
      <c r="T2390" s="59" t="str">
        <f>IF(ROUND(sales_data_1[[#This Row],[Profit_Margin]],2)=ROUND((sales_data_1[[#This Row],[Unit_Price]]*(1-sales_data_1[[#This Row],[Discount]]) - sales_data_1[[#This Row],[Unit_Cost]])*sales_data_1[[#This Row],[Quantity_Sold]],2), "PASS", "CHECK")</f>
        <v>PASS</v>
      </c>
    </row>
    <row r="2391" spans="1:20" x14ac:dyDescent="0.35">
      <c r="A2391" s="7">
        <v>2390</v>
      </c>
      <c r="B2391" s="9">
        <v>1084</v>
      </c>
      <c r="C2391" s="14" t="str">
        <f>IFERROR(_xlfn.TEXTJOIN("-", TRUE, _xlfn.XLOOKUP(K2391, product_category_id_lookup!$A$2:$A$5, product_category_id_lookup!$B$2:$B$5), B2391), "Unknown Category")</f>
        <v>fd-1084</v>
      </c>
      <c r="D2391" s="8">
        <v>45376</v>
      </c>
      <c r="E2391" s="14">
        <f t="shared" si="111"/>
        <v>2024</v>
      </c>
      <c r="F2391" s="29" t="str">
        <f t="shared" si="112"/>
        <v>Mar</v>
      </c>
      <c r="G2391" s="17" t="s">
        <v>32</v>
      </c>
      <c r="H2391" s="17" t="s">
        <v>30</v>
      </c>
      <c r="I2391" s="24">
        <v>29287.442800000001</v>
      </c>
      <c r="J2391" s="32">
        <v>7</v>
      </c>
      <c r="K2391" s="17" t="s">
        <v>24</v>
      </c>
      <c r="L2391" s="24">
        <v>904.79</v>
      </c>
      <c r="M2391" s="24">
        <v>4313.32</v>
      </c>
      <c r="N2391" s="34">
        <f>((sales_data_1[[#This Row],[Unit_Price]]*(1-sales_data_1[[#This Row],[Discount]]))-sales_data_1[[#This Row],[Unit_Cost]])*sales_data_1[[#This Row],[Quantity_Sold]]</f>
        <v>22953.912799999998</v>
      </c>
      <c r="O2391" s="17" t="s">
        <v>27</v>
      </c>
      <c r="P2391" s="26">
        <v>0.03</v>
      </c>
      <c r="Q2391" s="17" t="s">
        <v>28</v>
      </c>
      <c r="R2391" s="17" t="s">
        <v>19</v>
      </c>
      <c r="S2391" s="50" t="str">
        <f t="shared" si="113"/>
        <v>Eve-East</v>
      </c>
      <c r="T2391" s="59" t="str">
        <f>IF(ROUND(sales_data_1[[#This Row],[Profit_Margin]],2)=ROUND((sales_data_1[[#This Row],[Unit_Price]]*(1-sales_data_1[[#This Row],[Discount]]) - sales_data_1[[#This Row],[Unit_Cost]])*sales_data_1[[#This Row],[Quantity_Sold]],2), "PASS", "CHECK")</f>
        <v>PASS</v>
      </c>
    </row>
    <row r="2392" spans="1:20" x14ac:dyDescent="0.35">
      <c r="A2392" s="7">
        <v>2391</v>
      </c>
      <c r="B2392" s="9">
        <v>1067</v>
      </c>
      <c r="C2392" s="14" t="str">
        <f>IFERROR(_xlfn.TEXTJOIN("-", TRUE, _xlfn.XLOOKUP(K2392, product_category_id_lookup!$A$2:$A$5, product_category_id_lookup!$B$2:$B$5), B2392), "Unknown Category")</f>
        <v>fnt-1067</v>
      </c>
      <c r="D2392" s="8">
        <v>45376</v>
      </c>
      <c r="E2392" s="14">
        <f t="shared" si="111"/>
        <v>2024</v>
      </c>
      <c r="F2392" s="29" t="str">
        <f t="shared" si="112"/>
        <v>Mar</v>
      </c>
      <c r="G2392" s="17" t="s">
        <v>22</v>
      </c>
      <c r="H2392" s="17" t="s">
        <v>30</v>
      </c>
      <c r="I2392" s="24">
        <v>117991.0914</v>
      </c>
      <c r="J2392" s="32">
        <v>26</v>
      </c>
      <c r="K2392" s="17" t="s">
        <v>16</v>
      </c>
      <c r="L2392" s="24">
        <v>3371.65</v>
      </c>
      <c r="M2392" s="24">
        <v>5099.01</v>
      </c>
      <c r="N2392" s="34">
        <f>((sales_data_1[[#This Row],[Unit_Price]]*(1-sales_data_1[[#This Row],[Discount]]))-sales_data_1[[#This Row],[Unit_Cost]])*sales_data_1[[#This Row],[Quantity_Sold]]</f>
        <v>30328.191400000007</v>
      </c>
      <c r="O2392" s="17" t="s">
        <v>27</v>
      </c>
      <c r="P2392" s="26">
        <v>0.11</v>
      </c>
      <c r="Q2392" s="17" t="s">
        <v>28</v>
      </c>
      <c r="R2392" s="17" t="s">
        <v>19</v>
      </c>
      <c r="S2392" s="50" t="str">
        <f t="shared" si="113"/>
        <v>David-East</v>
      </c>
      <c r="T2392" s="59" t="str">
        <f>IF(ROUND(sales_data_1[[#This Row],[Profit_Margin]],2)=ROUND((sales_data_1[[#This Row],[Unit_Price]]*(1-sales_data_1[[#This Row],[Discount]]) - sales_data_1[[#This Row],[Unit_Cost]])*sales_data_1[[#This Row],[Quantity_Sold]],2), "PASS", "CHECK")</f>
        <v>PASS</v>
      </c>
    </row>
    <row r="2393" spans="1:20" x14ac:dyDescent="0.35">
      <c r="A2393" s="7">
        <v>2392</v>
      </c>
      <c r="B2393" s="9">
        <v>1026</v>
      </c>
      <c r="C2393" s="14" t="str">
        <f>IFERROR(_xlfn.TEXTJOIN("-", TRUE, _xlfn.XLOOKUP(K2393, product_category_id_lookup!$A$2:$A$5, product_category_id_lookup!$B$2:$B$5), B2393), "Unknown Category")</f>
        <v>ctg-1026</v>
      </c>
      <c r="D2393" s="8">
        <v>45376</v>
      </c>
      <c r="E2393" s="14">
        <f t="shared" si="111"/>
        <v>2024</v>
      </c>
      <c r="F2393" s="29" t="str">
        <f t="shared" si="112"/>
        <v>Mar</v>
      </c>
      <c r="G2393" s="17" t="s">
        <v>32</v>
      </c>
      <c r="H2393" s="17" t="s">
        <v>20</v>
      </c>
      <c r="I2393" s="24">
        <v>75927.842899999989</v>
      </c>
      <c r="J2393" s="32">
        <v>17</v>
      </c>
      <c r="K2393" s="17" t="s">
        <v>26</v>
      </c>
      <c r="L2393" s="24">
        <v>966.58</v>
      </c>
      <c r="M2393" s="24">
        <v>4908.07</v>
      </c>
      <c r="N2393" s="34">
        <f>((sales_data_1[[#This Row],[Unit_Price]]*(1-sales_data_1[[#This Row],[Discount]]))-sales_data_1[[#This Row],[Unit_Cost]])*sales_data_1[[#This Row],[Quantity_Sold]]</f>
        <v>59495.982899999988</v>
      </c>
      <c r="O2393" s="17" t="s">
        <v>17</v>
      </c>
      <c r="P2393" s="26">
        <v>0.09</v>
      </c>
      <c r="Q2393" s="17" t="s">
        <v>25</v>
      </c>
      <c r="R2393" s="17" t="s">
        <v>19</v>
      </c>
      <c r="S2393" s="50" t="str">
        <f t="shared" si="113"/>
        <v>Eve-West</v>
      </c>
      <c r="T2393" s="59" t="str">
        <f>IF(ROUND(sales_data_1[[#This Row],[Profit_Margin]],2)=ROUND((sales_data_1[[#This Row],[Unit_Price]]*(1-sales_data_1[[#This Row],[Discount]]) - sales_data_1[[#This Row],[Unit_Cost]])*sales_data_1[[#This Row],[Quantity_Sold]],2), "PASS", "CHECK")</f>
        <v>PASS</v>
      </c>
    </row>
    <row r="2394" spans="1:20" x14ac:dyDescent="0.35">
      <c r="A2394" s="7">
        <v>2393</v>
      </c>
      <c r="B2394" s="9">
        <v>1096</v>
      </c>
      <c r="C2394" s="14" t="str">
        <f>IFERROR(_xlfn.TEXTJOIN("-", TRUE, _xlfn.XLOOKUP(K2394, product_category_id_lookup!$A$2:$A$5, product_category_id_lookup!$B$2:$B$5), B2394), "Unknown Category")</f>
        <v>fnt-1096</v>
      </c>
      <c r="D2394" s="8">
        <v>45376</v>
      </c>
      <c r="E2394" s="14">
        <f t="shared" si="111"/>
        <v>2024</v>
      </c>
      <c r="F2394" s="29" t="str">
        <f t="shared" si="112"/>
        <v>Mar</v>
      </c>
      <c r="G2394" s="17" t="s">
        <v>22</v>
      </c>
      <c r="H2394" s="17" t="s">
        <v>23</v>
      </c>
      <c r="I2394" s="24">
        <v>69753.020400000009</v>
      </c>
      <c r="J2394" s="32">
        <v>38</v>
      </c>
      <c r="K2394" s="17" t="s">
        <v>16</v>
      </c>
      <c r="L2394" s="24">
        <v>147.33000000000001</v>
      </c>
      <c r="M2394" s="24">
        <v>2266.1799999999998</v>
      </c>
      <c r="N2394" s="34">
        <f>((sales_data_1[[#This Row],[Unit_Price]]*(1-sales_data_1[[#This Row],[Discount]]))-sales_data_1[[#This Row],[Unit_Cost]])*sales_data_1[[#This Row],[Quantity_Sold]]</f>
        <v>64154.480400000008</v>
      </c>
      <c r="O2394" s="17" t="s">
        <v>27</v>
      </c>
      <c r="P2394" s="26">
        <v>0.19</v>
      </c>
      <c r="Q2394" s="17" t="s">
        <v>28</v>
      </c>
      <c r="R2394" s="17" t="s">
        <v>21</v>
      </c>
      <c r="S2394" s="50" t="str">
        <f t="shared" si="113"/>
        <v>David-South</v>
      </c>
      <c r="T2394" s="59" t="str">
        <f>IF(ROUND(sales_data_1[[#This Row],[Profit_Margin]],2)=ROUND((sales_data_1[[#This Row],[Unit_Price]]*(1-sales_data_1[[#This Row],[Discount]]) - sales_data_1[[#This Row],[Unit_Cost]])*sales_data_1[[#This Row],[Quantity_Sold]],2), "PASS", "CHECK")</f>
        <v>PASS</v>
      </c>
    </row>
    <row r="2395" spans="1:20" x14ac:dyDescent="0.35">
      <c r="A2395" s="7">
        <v>2394</v>
      </c>
      <c r="B2395" s="9">
        <v>1061</v>
      </c>
      <c r="C2395" s="14" t="str">
        <f>IFERROR(_xlfn.TEXTJOIN("-", TRUE, _xlfn.XLOOKUP(K2395, product_category_id_lookup!$A$2:$A$5, product_category_id_lookup!$B$2:$B$5), B2395), "Unknown Category")</f>
        <v>fnt-1061</v>
      </c>
      <c r="D2395" s="8">
        <v>45376</v>
      </c>
      <c r="E2395" s="14">
        <f t="shared" si="111"/>
        <v>2024</v>
      </c>
      <c r="F2395" s="29" t="str">
        <f t="shared" si="112"/>
        <v>Mar</v>
      </c>
      <c r="G2395" s="17" t="s">
        <v>29</v>
      </c>
      <c r="H2395" s="17" t="s">
        <v>30</v>
      </c>
      <c r="I2395" s="24">
        <v>188505.24419999999</v>
      </c>
      <c r="J2395" s="32">
        <v>49</v>
      </c>
      <c r="K2395" s="17" t="s">
        <v>16</v>
      </c>
      <c r="L2395" s="24">
        <v>2291.12</v>
      </c>
      <c r="M2395" s="24">
        <v>4932.1099999999997</v>
      </c>
      <c r="N2395" s="34">
        <f>((sales_data_1[[#This Row],[Unit_Price]]*(1-sales_data_1[[#This Row],[Discount]]))-sales_data_1[[#This Row],[Unit_Cost]])*sales_data_1[[#This Row],[Quantity_Sold]]</f>
        <v>76240.364199999996</v>
      </c>
      <c r="O2395" s="17" t="s">
        <v>27</v>
      </c>
      <c r="P2395" s="26">
        <v>0.22</v>
      </c>
      <c r="Q2395" s="17" t="s">
        <v>28</v>
      </c>
      <c r="R2395" s="17" t="s">
        <v>19</v>
      </c>
      <c r="S2395" s="50" t="str">
        <f t="shared" si="113"/>
        <v>Charlie-East</v>
      </c>
      <c r="T2395" s="59" t="str">
        <f>IF(ROUND(sales_data_1[[#This Row],[Profit_Margin]],2)=ROUND((sales_data_1[[#This Row],[Unit_Price]]*(1-sales_data_1[[#This Row],[Discount]]) - sales_data_1[[#This Row],[Unit_Cost]])*sales_data_1[[#This Row],[Quantity_Sold]],2), "PASS", "CHECK")</f>
        <v>PASS</v>
      </c>
    </row>
    <row r="2396" spans="1:20" x14ac:dyDescent="0.35">
      <c r="A2396" s="7">
        <v>2395</v>
      </c>
      <c r="B2396" s="9">
        <v>1097</v>
      </c>
      <c r="C2396" s="14" t="str">
        <f>IFERROR(_xlfn.TEXTJOIN("-", TRUE, _xlfn.XLOOKUP(K2396, product_category_id_lookup!$A$2:$A$5, product_category_id_lookup!$B$2:$B$5), B2396), "Unknown Category")</f>
        <v>fd-1097</v>
      </c>
      <c r="D2396" s="8">
        <v>45376</v>
      </c>
      <c r="E2396" s="14">
        <f t="shared" si="111"/>
        <v>2024</v>
      </c>
      <c r="F2396" s="29" t="str">
        <f t="shared" si="112"/>
        <v>Mar</v>
      </c>
      <c r="G2396" s="17" t="s">
        <v>33</v>
      </c>
      <c r="H2396" s="17" t="s">
        <v>30</v>
      </c>
      <c r="I2396" s="24">
        <v>105505.79160000001</v>
      </c>
      <c r="J2396" s="32">
        <v>33</v>
      </c>
      <c r="K2396" s="17" t="s">
        <v>24</v>
      </c>
      <c r="L2396" s="24">
        <v>678.92</v>
      </c>
      <c r="M2396" s="24">
        <v>4206.7700000000004</v>
      </c>
      <c r="N2396" s="34">
        <f>((sales_data_1[[#This Row],[Unit_Price]]*(1-sales_data_1[[#This Row],[Discount]]))-sales_data_1[[#This Row],[Unit_Cost]])*sales_data_1[[#This Row],[Quantity_Sold]]</f>
        <v>83101.431600000011</v>
      </c>
      <c r="O2396" s="17" t="s">
        <v>27</v>
      </c>
      <c r="P2396" s="26">
        <v>0.24</v>
      </c>
      <c r="Q2396" s="17" t="s">
        <v>28</v>
      </c>
      <c r="R2396" s="17" t="s">
        <v>21</v>
      </c>
      <c r="S2396" s="50" t="str">
        <f t="shared" si="113"/>
        <v>Alice-East</v>
      </c>
      <c r="T2396" s="59" t="str">
        <f>IF(ROUND(sales_data_1[[#This Row],[Profit_Margin]],2)=ROUND((sales_data_1[[#This Row],[Unit_Price]]*(1-sales_data_1[[#This Row],[Discount]]) - sales_data_1[[#This Row],[Unit_Cost]])*sales_data_1[[#This Row],[Quantity_Sold]],2), "PASS", "CHECK")</f>
        <v>PASS</v>
      </c>
    </row>
    <row r="2397" spans="1:20" x14ac:dyDescent="0.35">
      <c r="A2397" s="7">
        <v>2396</v>
      </c>
      <c r="B2397" s="9">
        <v>1081</v>
      </c>
      <c r="C2397" s="14" t="str">
        <f>IFERROR(_xlfn.TEXTJOIN("-", TRUE, _xlfn.XLOOKUP(K2397, product_category_id_lookup!$A$2:$A$5, product_category_id_lookup!$B$2:$B$5), B2397), "Unknown Category")</f>
        <v>fd-1081</v>
      </c>
      <c r="D2397" s="8">
        <v>45377</v>
      </c>
      <c r="E2397" s="14">
        <f t="shared" si="111"/>
        <v>2024</v>
      </c>
      <c r="F2397" s="29" t="str">
        <f t="shared" si="112"/>
        <v>Mar</v>
      </c>
      <c r="G2397" s="17" t="s">
        <v>29</v>
      </c>
      <c r="H2397" s="17" t="s">
        <v>15</v>
      </c>
      <c r="I2397" s="24">
        <v>9982.8508000000002</v>
      </c>
      <c r="J2397" s="32">
        <v>4</v>
      </c>
      <c r="K2397" s="17" t="s">
        <v>24</v>
      </c>
      <c r="L2397" s="24">
        <v>2117.9499999999998</v>
      </c>
      <c r="M2397" s="24">
        <v>3159.13</v>
      </c>
      <c r="N2397" s="34">
        <f>((sales_data_1[[#This Row],[Unit_Price]]*(1-sales_data_1[[#This Row],[Discount]]))-sales_data_1[[#This Row],[Unit_Cost]])*sales_data_1[[#This Row],[Quantity_Sold]]</f>
        <v>1511.0508000000009</v>
      </c>
      <c r="O2397" s="17" t="s">
        <v>27</v>
      </c>
      <c r="P2397" s="26">
        <v>0.21</v>
      </c>
      <c r="Q2397" s="17" t="s">
        <v>25</v>
      </c>
      <c r="R2397" s="17" t="s">
        <v>21</v>
      </c>
      <c r="S2397" s="50" t="str">
        <f t="shared" si="113"/>
        <v>Charlie-North</v>
      </c>
      <c r="T2397" s="59" t="str">
        <f>IF(ROUND(sales_data_1[[#This Row],[Profit_Margin]],2)=ROUND((sales_data_1[[#This Row],[Unit_Price]]*(1-sales_data_1[[#This Row],[Discount]]) - sales_data_1[[#This Row],[Unit_Cost]])*sales_data_1[[#This Row],[Quantity_Sold]],2), "PASS", "CHECK")</f>
        <v>PASS</v>
      </c>
    </row>
    <row r="2398" spans="1:20" x14ac:dyDescent="0.35">
      <c r="A2398" s="7">
        <v>2397</v>
      </c>
      <c r="B2398" s="9">
        <v>1010</v>
      </c>
      <c r="C2398" s="14" t="str">
        <f>IFERROR(_xlfn.TEXTJOIN("-", TRUE, _xlfn.XLOOKUP(K2398, product_category_id_lookup!$A$2:$A$5, product_category_id_lookup!$B$2:$B$5), B2398), "Unknown Category")</f>
        <v>fnt-1010</v>
      </c>
      <c r="D2398" s="8">
        <v>45377</v>
      </c>
      <c r="E2398" s="14">
        <f t="shared" si="111"/>
        <v>2024</v>
      </c>
      <c r="F2398" s="29" t="str">
        <f t="shared" si="112"/>
        <v>Mar</v>
      </c>
      <c r="G2398" s="17" t="s">
        <v>32</v>
      </c>
      <c r="H2398" s="17" t="s">
        <v>23</v>
      </c>
      <c r="I2398" s="24">
        <v>157513.11659999998</v>
      </c>
      <c r="J2398" s="32">
        <v>49</v>
      </c>
      <c r="K2398" s="17" t="s">
        <v>16</v>
      </c>
      <c r="L2398" s="24">
        <v>2752.24</v>
      </c>
      <c r="M2398" s="24">
        <v>4527.54</v>
      </c>
      <c r="N2398" s="34">
        <f>((sales_data_1[[#This Row],[Unit_Price]]*(1-sales_data_1[[#This Row],[Discount]]))-sales_data_1[[#This Row],[Unit_Cost]])*sales_data_1[[#This Row],[Quantity_Sold]]</f>
        <v>22653.356599999999</v>
      </c>
      <c r="O2398" s="17" t="s">
        <v>17</v>
      </c>
      <c r="P2398" s="26">
        <v>0.28999999999999998</v>
      </c>
      <c r="Q2398" s="17" t="s">
        <v>28</v>
      </c>
      <c r="R2398" s="17" t="s">
        <v>21</v>
      </c>
      <c r="S2398" s="50" t="str">
        <f t="shared" si="113"/>
        <v>Eve-South</v>
      </c>
      <c r="T2398" s="59" t="str">
        <f>IF(ROUND(sales_data_1[[#This Row],[Profit_Margin]],2)=ROUND((sales_data_1[[#This Row],[Unit_Price]]*(1-sales_data_1[[#This Row],[Discount]]) - sales_data_1[[#This Row],[Unit_Cost]])*sales_data_1[[#This Row],[Quantity_Sold]],2), "PASS", "CHECK")</f>
        <v>PASS</v>
      </c>
    </row>
    <row r="2399" spans="1:20" x14ac:dyDescent="0.35">
      <c r="A2399" s="7">
        <v>2398</v>
      </c>
      <c r="B2399" s="9">
        <v>1054</v>
      </c>
      <c r="C2399" s="14" t="str">
        <f>IFERROR(_xlfn.TEXTJOIN("-", TRUE, _xlfn.XLOOKUP(K2399, product_category_id_lookup!$A$2:$A$5, product_category_id_lookup!$B$2:$B$5), B2399), "Unknown Category")</f>
        <v>fnt-1054</v>
      </c>
      <c r="D2399" s="8">
        <v>45377</v>
      </c>
      <c r="E2399" s="14">
        <f t="shared" si="111"/>
        <v>2024</v>
      </c>
      <c r="F2399" s="29" t="str">
        <f t="shared" si="112"/>
        <v>Mar</v>
      </c>
      <c r="G2399" s="17" t="s">
        <v>32</v>
      </c>
      <c r="H2399" s="17" t="s">
        <v>30</v>
      </c>
      <c r="I2399" s="24">
        <v>130029.7068</v>
      </c>
      <c r="J2399" s="32">
        <v>42</v>
      </c>
      <c r="K2399" s="17" t="s">
        <v>16</v>
      </c>
      <c r="L2399" s="24">
        <v>1499.32</v>
      </c>
      <c r="M2399" s="24">
        <v>4183.71</v>
      </c>
      <c r="N2399" s="34">
        <f>((sales_data_1[[#This Row],[Unit_Price]]*(1-sales_data_1[[#This Row],[Discount]]))-sales_data_1[[#This Row],[Unit_Cost]])*sales_data_1[[#This Row],[Quantity_Sold]]</f>
        <v>67058.266800000012</v>
      </c>
      <c r="O2399" s="17" t="s">
        <v>27</v>
      </c>
      <c r="P2399" s="26">
        <v>0.26</v>
      </c>
      <c r="Q2399" s="17" t="s">
        <v>18</v>
      </c>
      <c r="R2399" s="17" t="s">
        <v>19</v>
      </c>
      <c r="S2399" s="50" t="str">
        <f t="shared" si="113"/>
        <v>Eve-East</v>
      </c>
      <c r="T2399" s="59" t="str">
        <f>IF(ROUND(sales_data_1[[#This Row],[Profit_Margin]],2)=ROUND((sales_data_1[[#This Row],[Unit_Price]]*(1-sales_data_1[[#This Row],[Discount]]) - sales_data_1[[#This Row],[Unit_Cost]])*sales_data_1[[#This Row],[Quantity_Sold]],2), "PASS", "CHECK")</f>
        <v>PASS</v>
      </c>
    </row>
    <row r="2400" spans="1:20" x14ac:dyDescent="0.35">
      <c r="A2400" s="7">
        <v>2399</v>
      </c>
      <c r="B2400" s="9">
        <v>1061</v>
      </c>
      <c r="C2400" s="14" t="str">
        <f>IFERROR(_xlfn.TEXTJOIN("-", TRUE, _xlfn.XLOOKUP(K2400, product_category_id_lookup!$A$2:$A$5, product_category_id_lookup!$B$2:$B$5), B2400), "Unknown Category")</f>
        <v>etc-1061</v>
      </c>
      <c r="D2400" s="8">
        <v>45378</v>
      </c>
      <c r="E2400" s="14">
        <f t="shared" si="111"/>
        <v>2024</v>
      </c>
      <c r="F2400" s="29" t="str">
        <f t="shared" si="112"/>
        <v>Mar</v>
      </c>
      <c r="G2400" s="17" t="s">
        <v>22</v>
      </c>
      <c r="H2400" s="17" t="s">
        <v>20</v>
      </c>
      <c r="I2400" s="24">
        <v>1442.4384</v>
      </c>
      <c r="J2400" s="32">
        <v>1</v>
      </c>
      <c r="K2400" s="17" t="s">
        <v>31</v>
      </c>
      <c r="L2400" s="24">
        <v>414.25</v>
      </c>
      <c r="M2400" s="24">
        <v>1502.54</v>
      </c>
      <c r="N2400" s="34">
        <f>((sales_data_1[[#This Row],[Unit_Price]]*(1-sales_data_1[[#This Row],[Discount]]))-sales_data_1[[#This Row],[Unit_Cost]])*sales_data_1[[#This Row],[Quantity_Sold]]</f>
        <v>1028.1884</v>
      </c>
      <c r="O2400" s="17" t="s">
        <v>27</v>
      </c>
      <c r="P2400" s="26">
        <v>0.04</v>
      </c>
      <c r="Q2400" s="17" t="s">
        <v>25</v>
      </c>
      <c r="R2400" s="17" t="s">
        <v>21</v>
      </c>
      <c r="S2400" s="50" t="str">
        <f t="shared" si="113"/>
        <v>David-West</v>
      </c>
      <c r="T2400" s="59" t="str">
        <f>IF(ROUND(sales_data_1[[#This Row],[Profit_Margin]],2)=ROUND((sales_data_1[[#This Row],[Unit_Price]]*(1-sales_data_1[[#This Row],[Discount]]) - sales_data_1[[#This Row],[Unit_Cost]])*sales_data_1[[#This Row],[Quantity_Sold]],2), "PASS", "CHECK")</f>
        <v>PASS</v>
      </c>
    </row>
    <row r="2401" spans="1:20" x14ac:dyDescent="0.35">
      <c r="A2401" s="7">
        <v>2400</v>
      </c>
      <c r="B2401" s="9">
        <v>1020</v>
      </c>
      <c r="C2401" s="14" t="str">
        <f>IFERROR(_xlfn.TEXTJOIN("-", TRUE, _xlfn.XLOOKUP(K2401, product_category_id_lookup!$A$2:$A$5, product_category_id_lookup!$B$2:$B$5), B2401), "Unknown Category")</f>
        <v>etc-1020</v>
      </c>
      <c r="D2401" s="8">
        <v>45378</v>
      </c>
      <c r="E2401" s="14">
        <f t="shared" si="111"/>
        <v>2024</v>
      </c>
      <c r="F2401" s="29" t="str">
        <f t="shared" si="112"/>
        <v>Mar</v>
      </c>
      <c r="G2401" s="17" t="s">
        <v>29</v>
      </c>
      <c r="H2401" s="17" t="s">
        <v>15</v>
      </c>
      <c r="I2401" s="24">
        <v>50673.325735962775</v>
      </c>
      <c r="J2401" s="32">
        <v>23</v>
      </c>
      <c r="K2401" s="17" t="s">
        <v>31</v>
      </c>
      <c r="L2401" s="24">
        <v>2007.1</v>
      </c>
      <c r="M2401" s="24">
        <v>2245.0700000000002</v>
      </c>
      <c r="N2401" s="34">
        <f>((sales_data_1[[#This Row],[Unit_Price]]*(1-sales_data_1[[#This Row],[Discount]]))-sales_data_1[[#This Row],[Unit_Cost]])*sales_data_1[[#This Row],[Quantity_Sold]]</f>
        <v>4440.5778000000009</v>
      </c>
      <c r="O2401" s="17" t="s">
        <v>27</v>
      </c>
      <c r="P2401" s="26">
        <v>0.02</v>
      </c>
      <c r="Q2401" s="17" t="s">
        <v>28</v>
      </c>
      <c r="R2401" s="17" t="s">
        <v>21</v>
      </c>
      <c r="S2401" s="50" t="str">
        <f t="shared" si="113"/>
        <v>Charlie-North</v>
      </c>
      <c r="T2401" s="59" t="str">
        <f>IF(ROUND(sales_data_1[[#This Row],[Profit_Margin]],2)=ROUND((sales_data_1[[#This Row],[Unit_Price]]*(1-sales_data_1[[#This Row],[Discount]]) - sales_data_1[[#This Row],[Unit_Cost]])*sales_data_1[[#This Row],[Quantity_Sold]],2), "PASS", "CHECK")</f>
        <v>PASS</v>
      </c>
    </row>
    <row r="2402" spans="1:20" x14ac:dyDescent="0.35">
      <c r="A2402" s="7">
        <v>2401</v>
      </c>
      <c r="B2402" s="9">
        <v>1028</v>
      </c>
      <c r="C2402" s="14" t="str">
        <f>IFERROR(_xlfn.TEXTJOIN("-", TRUE, _xlfn.XLOOKUP(K2402, product_category_id_lookup!$A$2:$A$5, product_category_id_lookup!$B$2:$B$5), B2402), "Unknown Category")</f>
        <v>ctg-1028</v>
      </c>
      <c r="D2402" s="8">
        <v>45378</v>
      </c>
      <c r="E2402" s="14">
        <f t="shared" si="111"/>
        <v>2024</v>
      </c>
      <c r="F2402" s="29" t="str">
        <f t="shared" si="112"/>
        <v>Mar</v>
      </c>
      <c r="G2402" s="17" t="s">
        <v>29</v>
      </c>
      <c r="H2402" s="17" t="s">
        <v>20</v>
      </c>
      <c r="I2402" s="24">
        <v>12682.929599999999</v>
      </c>
      <c r="J2402" s="32">
        <v>8</v>
      </c>
      <c r="K2402" s="17" t="s">
        <v>26</v>
      </c>
      <c r="L2402" s="24">
        <v>964.05</v>
      </c>
      <c r="M2402" s="24">
        <v>1822.26</v>
      </c>
      <c r="N2402" s="34">
        <f>((sales_data_1[[#This Row],[Unit_Price]]*(1-sales_data_1[[#This Row],[Discount]]))-sales_data_1[[#This Row],[Unit_Cost]])*sales_data_1[[#This Row],[Quantity_Sold]]</f>
        <v>4970.5295999999998</v>
      </c>
      <c r="O2402" s="17" t="s">
        <v>27</v>
      </c>
      <c r="P2402" s="26">
        <v>0.13</v>
      </c>
      <c r="Q2402" s="17" t="s">
        <v>18</v>
      </c>
      <c r="R2402" s="17" t="s">
        <v>21</v>
      </c>
      <c r="S2402" s="50" t="str">
        <f t="shared" si="113"/>
        <v>Charlie-West</v>
      </c>
      <c r="T2402" s="59" t="str">
        <f>IF(ROUND(sales_data_1[[#This Row],[Profit_Margin]],2)=ROUND((sales_data_1[[#This Row],[Unit_Price]]*(1-sales_data_1[[#This Row],[Discount]]) - sales_data_1[[#This Row],[Unit_Cost]])*sales_data_1[[#This Row],[Quantity_Sold]],2), "PASS", "CHECK")</f>
        <v>PASS</v>
      </c>
    </row>
    <row r="2403" spans="1:20" x14ac:dyDescent="0.35">
      <c r="A2403" s="7">
        <v>2402</v>
      </c>
      <c r="B2403" s="9">
        <v>1048</v>
      </c>
      <c r="C2403" s="14" t="str">
        <f>IFERROR(_xlfn.TEXTJOIN("-", TRUE, _xlfn.XLOOKUP(K2403, product_category_id_lookup!$A$2:$A$5, product_category_id_lookup!$B$2:$B$5), B2403), "Unknown Category")</f>
        <v>etc-1048</v>
      </c>
      <c r="D2403" s="8">
        <v>45378</v>
      </c>
      <c r="E2403" s="14">
        <f t="shared" si="111"/>
        <v>2024</v>
      </c>
      <c r="F2403" s="29" t="str">
        <f t="shared" si="112"/>
        <v>Mar</v>
      </c>
      <c r="G2403" s="17" t="s">
        <v>29</v>
      </c>
      <c r="H2403" s="17" t="s">
        <v>20</v>
      </c>
      <c r="I2403" s="24">
        <v>49535.932599999993</v>
      </c>
      <c r="J2403" s="32">
        <v>23</v>
      </c>
      <c r="K2403" s="17" t="s">
        <v>31</v>
      </c>
      <c r="L2403" s="24">
        <v>1517.92</v>
      </c>
      <c r="M2403" s="24">
        <v>2197.69</v>
      </c>
      <c r="N2403" s="34">
        <f>((sales_data_1[[#This Row],[Unit_Price]]*(1-sales_data_1[[#This Row],[Discount]]))-sales_data_1[[#This Row],[Unit_Cost]])*sales_data_1[[#This Row],[Quantity_Sold]]</f>
        <v>14623.772599999995</v>
      </c>
      <c r="O2403" s="17" t="s">
        <v>27</v>
      </c>
      <c r="P2403" s="26">
        <v>0.02</v>
      </c>
      <c r="Q2403" s="17" t="s">
        <v>18</v>
      </c>
      <c r="R2403" s="17" t="s">
        <v>19</v>
      </c>
      <c r="S2403" s="50" t="str">
        <f t="shared" si="113"/>
        <v>Charlie-West</v>
      </c>
      <c r="T2403" s="59" t="str">
        <f>IF(ROUND(sales_data_1[[#This Row],[Profit_Margin]],2)=ROUND((sales_data_1[[#This Row],[Unit_Price]]*(1-sales_data_1[[#This Row],[Discount]]) - sales_data_1[[#This Row],[Unit_Cost]])*sales_data_1[[#This Row],[Quantity_Sold]],2), "PASS", "CHECK")</f>
        <v>PASS</v>
      </c>
    </row>
    <row r="2404" spans="1:20" x14ac:dyDescent="0.35">
      <c r="A2404" s="7">
        <v>2403</v>
      </c>
      <c r="B2404" s="9">
        <v>1068</v>
      </c>
      <c r="C2404" s="14" t="str">
        <f>IFERROR(_xlfn.TEXTJOIN("-", TRUE, _xlfn.XLOOKUP(K2404, product_category_id_lookup!$A$2:$A$5, product_category_id_lookup!$B$2:$B$5), B2404), "Unknown Category")</f>
        <v>ctg-1068</v>
      </c>
      <c r="D2404" s="8">
        <v>45378</v>
      </c>
      <c r="E2404" s="14">
        <f t="shared" si="111"/>
        <v>2024</v>
      </c>
      <c r="F2404" s="29" t="str">
        <f t="shared" si="112"/>
        <v>Mar</v>
      </c>
      <c r="G2404" s="17" t="s">
        <v>33</v>
      </c>
      <c r="H2404" s="17" t="s">
        <v>15</v>
      </c>
      <c r="I2404" s="24">
        <v>86579.299999999988</v>
      </c>
      <c r="J2404" s="32">
        <v>17</v>
      </c>
      <c r="K2404" s="17" t="s">
        <v>26</v>
      </c>
      <c r="L2404" s="24">
        <v>2699.04</v>
      </c>
      <c r="M2404" s="24">
        <v>5092.8999999999996</v>
      </c>
      <c r="N2404" s="34">
        <f>((sales_data_1[[#This Row],[Unit_Price]]*(1-sales_data_1[[#This Row],[Discount]]))-sales_data_1[[#This Row],[Unit_Cost]])*sales_data_1[[#This Row],[Quantity_Sold]]</f>
        <v>40695.619999999995</v>
      </c>
      <c r="O2404" s="17" t="s">
        <v>27</v>
      </c>
      <c r="P2404" s="26">
        <v>0</v>
      </c>
      <c r="Q2404" s="17" t="s">
        <v>18</v>
      </c>
      <c r="R2404" s="17" t="s">
        <v>21</v>
      </c>
      <c r="S2404" s="50" t="str">
        <f t="shared" si="113"/>
        <v>Alice-North</v>
      </c>
      <c r="T2404" s="59" t="str">
        <f>IF(ROUND(sales_data_1[[#This Row],[Profit_Margin]],2)=ROUND((sales_data_1[[#This Row],[Unit_Price]]*(1-sales_data_1[[#This Row],[Discount]]) - sales_data_1[[#This Row],[Unit_Cost]])*sales_data_1[[#This Row],[Quantity_Sold]],2), "PASS", "CHECK")</f>
        <v>PASS</v>
      </c>
    </row>
    <row r="2405" spans="1:20" x14ac:dyDescent="0.35">
      <c r="A2405" s="7">
        <v>2404</v>
      </c>
      <c r="B2405" s="9">
        <v>1024</v>
      </c>
      <c r="C2405" s="14" t="str">
        <f>IFERROR(_xlfn.TEXTJOIN("-", TRUE, _xlfn.XLOOKUP(K2405, product_category_id_lookup!$A$2:$A$5, product_category_id_lookup!$B$2:$B$5), B2405), "Unknown Category")</f>
        <v>ctg-1024</v>
      </c>
      <c r="D2405" s="8">
        <v>45378</v>
      </c>
      <c r="E2405" s="14">
        <f t="shared" si="111"/>
        <v>2024</v>
      </c>
      <c r="F2405" s="29" t="str">
        <f t="shared" si="112"/>
        <v>Mar</v>
      </c>
      <c r="G2405" s="17" t="s">
        <v>29</v>
      </c>
      <c r="H2405" s="17" t="s">
        <v>15</v>
      </c>
      <c r="I2405" s="24">
        <v>52486.604800000001</v>
      </c>
      <c r="J2405" s="32">
        <v>16</v>
      </c>
      <c r="K2405" s="17" t="s">
        <v>26</v>
      </c>
      <c r="L2405" s="24">
        <v>393.9</v>
      </c>
      <c r="M2405" s="24">
        <v>3347.36</v>
      </c>
      <c r="N2405" s="34">
        <f>((sales_data_1[[#This Row],[Unit_Price]]*(1-sales_data_1[[#This Row],[Discount]]))-sales_data_1[[#This Row],[Unit_Cost]])*sales_data_1[[#This Row],[Quantity_Sold]]</f>
        <v>46184.2048</v>
      </c>
      <c r="O2405" s="17" t="s">
        <v>27</v>
      </c>
      <c r="P2405" s="26">
        <v>0.02</v>
      </c>
      <c r="Q2405" s="17" t="s">
        <v>18</v>
      </c>
      <c r="R2405" s="17" t="s">
        <v>19</v>
      </c>
      <c r="S2405" s="50" t="str">
        <f t="shared" si="113"/>
        <v>Charlie-North</v>
      </c>
      <c r="T2405" s="59" t="str">
        <f>IF(ROUND(sales_data_1[[#This Row],[Profit_Margin]],2)=ROUND((sales_data_1[[#This Row],[Unit_Price]]*(1-sales_data_1[[#This Row],[Discount]]) - sales_data_1[[#This Row],[Unit_Cost]])*sales_data_1[[#This Row],[Quantity_Sold]],2), "PASS", "CHECK")</f>
        <v>PASS</v>
      </c>
    </row>
    <row r="2406" spans="1:20" x14ac:dyDescent="0.35">
      <c r="A2406" s="7">
        <v>2405</v>
      </c>
      <c r="B2406" s="9">
        <v>1019</v>
      </c>
      <c r="C2406" s="14" t="str">
        <f>IFERROR(_xlfn.TEXTJOIN("-", TRUE, _xlfn.XLOOKUP(K2406, product_category_id_lookup!$A$2:$A$5, product_category_id_lookup!$B$2:$B$5), B2406), "Unknown Category")</f>
        <v>fd-1019</v>
      </c>
      <c r="D2406" s="8">
        <v>45379</v>
      </c>
      <c r="E2406" s="14">
        <f t="shared" si="111"/>
        <v>2024</v>
      </c>
      <c r="F2406" s="29" t="str">
        <f t="shared" si="112"/>
        <v>Mar</v>
      </c>
      <c r="G2406" s="17" t="s">
        <v>29</v>
      </c>
      <c r="H2406" s="17" t="s">
        <v>30</v>
      </c>
      <c r="I2406" s="24">
        <v>60685.495499999997</v>
      </c>
      <c r="J2406" s="32">
        <v>35</v>
      </c>
      <c r="K2406" s="17" t="s">
        <v>24</v>
      </c>
      <c r="L2406" s="24">
        <v>1644.08</v>
      </c>
      <c r="M2406" s="24">
        <v>1948.17</v>
      </c>
      <c r="N2406" s="34">
        <f>((sales_data_1[[#This Row],[Unit_Price]]*(1-sales_data_1[[#This Row],[Discount]]))-sales_data_1[[#This Row],[Unit_Cost]])*sales_data_1[[#This Row],[Quantity_Sold]]</f>
        <v>3142.6955000000034</v>
      </c>
      <c r="O2406" s="17" t="s">
        <v>27</v>
      </c>
      <c r="P2406" s="26">
        <v>0.11</v>
      </c>
      <c r="Q2406" s="17" t="s">
        <v>28</v>
      </c>
      <c r="R2406" s="17" t="s">
        <v>21</v>
      </c>
      <c r="S2406" s="50" t="str">
        <f t="shared" si="113"/>
        <v>Charlie-East</v>
      </c>
      <c r="T2406" s="59" t="str">
        <f>IF(ROUND(sales_data_1[[#This Row],[Profit_Margin]],2)=ROUND((sales_data_1[[#This Row],[Unit_Price]]*(1-sales_data_1[[#This Row],[Discount]]) - sales_data_1[[#This Row],[Unit_Cost]])*sales_data_1[[#This Row],[Quantity_Sold]],2), "PASS", "CHECK")</f>
        <v>PASS</v>
      </c>
    </row>
    <row r="2407" spans="1:20" x14ac:dyDescent="0.35">
      <c r="A2407" s="7">
        <v>2406</v>
      </c>
      <c r="B2407" s="9">
        <v>1080</v>
      </c>
      <c r="C2407" s="14" t="str">
        <f>IFERROR(_xlfn.TEXTJOIN("-", TRUE, _xlfn.XLOOKUP(K2407, product_category_id_lookup!$A$2:$A$5, product_category_id_lookup!$B$2:$B$5), B2407), "Unknown Category")</f>
        <v>ctg-1080</v>
      </c>
      <c r="D2407" s="8">
        <v>45379</v>
      </c>
      <c r="E2407" s="14">
        <f t="shared" si="111"/>
        <v>2024</v>
      </c>
      <c r="F2407" s="29" t="str">
        <f t="shared" si="112"/>
        <v>Mar</v>
      </c>
      <c r="G2407" s="17" t="s">
        <v>22</v>
      </c>
      <c r="H2407" s="17" t="s">
        <v>20</v>
      </c>
      <c r="I2407" s="24">
        <v>148899.41635811073</v>
      </c>
      <c r="J2407" s="32">
        <v>41</v>
      </c>
      <c r="K2407" s="17" t="s">
        <v>26</v>
      </c>
      <c r="L2407" s="24">
        <v>3211.27</v>
      </c>
      <c r="M2407" s="24">
        <v>3656.37</v>
      </c>
      <c r="N2407" s="34">
        <f>((sales_data_1[[#This Row],[Unit_Price]]*(1-sales_data_1[[#This Row],[Discount]]))-sales_data_1[[#This Row],[Unit_Cost]])*sales_data_1[[#This Row],[Quantity_Sold]]</f>
        <v>16749.98829999999</v>
      </c>
      <c r="O2407" s="17" t="s">
        <v>27</v>
      </c>
      <c r="P2407" s="26">
        <v>0.01</v>
      </c>
      <c r="Q2407" s="17" t="s">
        <v>28</v>
      </c>
      <c r="R2407" s="17" t="s">
        <v>19</v>
      </c>
      <c r="S2407" s="50" t="str">
        <f t="shared" si="113"/>
        <v>David-West</v>
      </c>
      <c r="T2407" s="59" t="str">
        <f>IF(ROUND(sales_data_1[[#This Row],[Profit_Margin]],2)=ROUND((sales_data_1[[#This Row],[Unit_Price]]*(1-sales_data_1[[#This Row],[Discount]]) - sales_data_1[[#This Row],[Unit_Cost]])*sales_data_1[[#This Row],[Quantity_Sold]],2), "PASS", "CHECK")</f>
        <v>PASS</v>
      </c>
    </row>
    <row r="2408" spans="1:20" x14ac:dyDescent="0.35">
      <c r="A2408" s="7">
        <v>2407</v>
      </c>
      <c r="B2408" s="9">
        <v>1040</v>
      </c>
      <c r="C2408" s="14" t="str">
        <f>IFERROR(_xlfn.TEXTJOIN("-", TRUE, _xlfn.XLOOKUP(K2408, product_category_id_lookup!$A$2:$A$5, product_category_id_lookup!$B$2:$B$5), B2408), "Unknown Category")</f>
        <v>etc-1040</v>
      </c>
      <c r="D2408" s="8">
        <v>45379</v>
      </c>
      <c r="E2408" s="14">
        <f t="shared" si="111"/>
        <v>2024</v>
      </c>
      <c r="F2408" s="29" t="str">
        <f t="shared" si="112"/>
        <v>Mar</v>
      </c>
      <c r="G2408" s="17" t="s">
        <v>33</v>
      </c>
      <c r="H2408" s="17" t="s">
        <v>30</v>
      </c>
      <c r="I2408" s="24">
        <v>124205.59199999999</v>
      </c>
      <c r="J2408" s="32">
        <v>35</v>
      </c>
      <c r="K2408" s="17" t="s">
        <v>31</v>
      </c>
      <c r="L2408" s="24">
        <v>2647.3</v>
      </c>
      <c r="M2408" s="24">
        <v>3815.84</v>
      </c>
      <c r="N2408" s="34">
        <f>((sales_data_1[[#This Row],[Unit_Price]]*(1-sales_data_1[[#This Row],[Discount]]))-sales_data_1[[#This Row],[Unit_Cost]])*sales_data_1[[#This Row],[Quantity_Sold]]</f>
        <v>31550.091999999982</v>
      </c>
      <c r="O2408" s="17" t="s">
        <v>27</v>
      </c>
      <c r="P2408" s="26">
        <v>7.0000000000000007E-2</v>
      </c>
      <c r="Q2408" s="17" t="s">
        <v>25</v>
      </c>
      <c r="R2408" s="17" t="s">
        <v>21</v>
      </c>
      <c r="S2408" s="50" t="str">
        <f t="shared" si="113"/>
        <v>Alice-East</v>
      </c>
      <c r="T2408" s="59" t="str">
        <f>IF(ROUND(sales_data_1[[#This Row],[Profit_Margin]],2)=ROUND((sales_data_1[[#This Row],[Unit_Price]]*(1-sales_data_1[[#This Row],[Discount]]) - sales_data_1[[#This Row],[Unit_Cost]])*sales_data_1[[#This Row],[Quantity_Sold]],2), "PASS", "CHECK")</f>
        <v>PASS</v>
      </c>
    </row>
    <row r="2409" spans="1:20" x14ac:dyDescent="0.35">
      <c r="A2409" s="7">
        <v>2408</v>
      </c>
      <c r="B2409" s="9">
        <v>1054</v>
      </c>
      <c r="C2409" s="14" t="str">
        <f>IFERROR(_xlfn.TEXTJOIN("-", TRUE, _xlfn.XLOOKUP(K2409, product_category_id_lookup!$A$2:$A$5, product_category_id_lookup!$B$2:$B$5), B2409), "Unknown Category")</f>
        <v>fd-1054</v>
      </c>
      <c r="D2409" s="8">
        <v>45379</v>
      </c>
      <c r="E2409" s="14">
        <f t="shared" si="111"/>
        <v>2024</v>
      </c>
      <c r="F2409" s="29" t="str">
        <f t="shared" si="112"/>
        <v>Mar</v>
      </c>
      <c r="G2409" s="17" t="s">
        <v>32</v>
      </c>
      <c r="H2409" s="17" t="s">
        <v>15</v>
      </c>
      <c r="I2409" s="24">
        <v>154736.946</v>
      </c>
      <c r="J2409" s="32">
        <v>39</v>
      </c>
      <c r="K2409" s="17" t="s">
        <v>24</v>
      </c>
      <c r="L2409" s="24">
        <v>3012.22</v>
      </c>
      <c r="M2409" s="24">
        <v>4408.46</v>
      </c>
      <c r="N2409" s="34">
        <f>((sales_data_1[[#This Row],[Unit_Price]]*(1-sales_data_1[[#This Row],[Discount]]))-sales_data_1[[#This Row],[Unit_Cost]])*sales_data_1[[#This Row],[Quantity_Sold]]</f>
        <v>37260.366000000009</v>
      </c>
      <c r="O2409" s="17" t="s">
        <v>27</v>
      </c>
      <c r="P2409" s="26">
        <v>0.1</v>
      </c>
      <c r="Q2409" s="17" t="s">
        <v>25</v>
      </c>
      <c r="R2409" s="17" t="s">
        <v>19</v>
      </c>
      <c r="S2409" s="50" t="str">
        <f t="shared" si="113"/>
        <v>Eve-North</v>
      </c>
      <c r="T2409" s="59" t="str">
        <f>IF(ROUND(sales_data_1[[#This Row],[Profit_Margin]],2)=ROUND((sales_data_1[[#This Row],[Unit_Price]]*(1-sales_data_1[[#This Row],[Discount]]) - sales_data_1[[#This Row],[Unit_Cost]])*sales_data_1[[#This Row],[Quantity_Sold]],2), "PASS", "CHECK")</f>
        <v>PASS</v>
      </c>
    </row>
    <row r="2410" spans="1:20" x14ac:dyDescent="0.35">
      <c r="A2410" s="7">
        <v>2409</v>
      </c>
      <c r="B2410" s="9">
        <v>1088</v>
      </c>
      <c r="C2410" s="14" t="str">
        <f>IFERROR(_xlfn.TEXTJOIN("-", TRUE, _xlfn.XLOOKUP(K2410, product_category_id_lookup!$A$2:$A$5, product_category_id_lookup!$B$2:$B$5), B2410), "Unknown Category")</f>
        <v>etc-1088</v>
      </c>
      <c r="D2410" s="8">
        <v>45379</v>
      </c>
      <c r="E2410" s="14">
        <f t="shared" si="111"/>
        <v>2024</v>
      </c>
      <c r="F2410" s="29" t="str">
        <f t="shared" si="112"/>
        <v>Mar</v>
      </c>
      <c r="G2410" s="17" t="s">
        <v>33</v>
      </c>
      <c r="H2410" s="17" t="s">
        <v>15</v>
      </c>
      <c r="I2410" s="24">
        <v>81720.03839999999</v>
      </c>
      <c r="J2410" s="32">
        <v>32</v>
      </c>
      <c r="K2410" s="17" t="s">
        <v>31</v>
      </c>
      <c r="L2410" s="24">
        <v>473.18</v>
      </c>
      <c r="M2410" s="24">
        <v>3040.18</v>
      </c>
      <c r="N2410" s="34">
        <f>((sales_data_1[[#This Row],[Unit_Price]]*(1-sales_data_1[[#This Row],[Discount]]))-sales_data_1[[#This Row],[Unit_Cost]])*sales_data_1[[#This Row],[Quantity_Sold]]</f>
        <v>66578.278399999996</v>
      </c>
      <c r="O2410" s="17" t="s">
        <v>27</v>
      </c>
      <c r="P2410" s="26">
        <v>0.16</v>
      </c>
      <c r="Q2410" s="17" t="s">
        <v>18</v>
      </c>
      <c r="R2410" s="17" t="s">
        <v>19</v>
      </c>
      <c r="S2410" s="50" t="str">
        <f t="shared" si="113"/>
        <v>Alice-North</v>
      </c>
      <c r="T2410" s="59" t="str">
        <f>IF(ROUND(sales_data_1[[#This Row],[Profit_Margin]],2)=ROUND((sales_data_1[[#This Row],[Unit_Price]]*(1-sales_data_1[[#This Row],[Discount]]) - sales_data_1[[#This Row],[Unit_Cost]])*sales_data_1[[#This Row],[Quantity_Sold]],2), "PASS", "CHECK")</f>
        <v>PASS</v>
      </c>
    </row>
    <row r="2411" spans="1:20" x14ac:dyDescent="0.35">
      <c r="A2411" s="7">
        <v>2410</v>
      </c>
      <c r="B2411" s="9">
        <v>1020</v>
      </c>
      <c r="C2411" s="14" t="str">
        <f>IFERROR(_xlfn.TEXTJOIN("-", TRUE, _xlfn.XLOOKUP(K2411, product_category_id_lookup!$A$2:$A$5, product_category_id_lookup!$B$2:$B$5), B2411), "Unknown Category")</f>
        <v>ctg-1020</v>
      </c>
      <c r="D2411" s="8">
        <v>45380</v>
      </c>
      <c r="E2411" s="14">
        <f t="shared" si="111"/>
        <v>2024</v>
      </c>
      <c r="F2411" s="29" t="str">
        <f t="shared" si="112"/>
        <v>Mar</v>
      </c>
      <c r="G2411" s="17" t="s">
        <v>22</v>
      </c>
      <c r="H2411" s="17" t="s">
        <v>20</v>
      </c>
      <c r="I2411" s="24">
        <v>7675.1630999999998</v>
      </c>
      <c r="J2411" s="32">
        <v>3</v>
      </c>
      <c r="K2411" s="17" t="s">
        <v>26</v>
      </c>
      <c r="L2411" s="24">
        <v>1383.7</v>
      </c>
      <c r="M2411" s="24">
        <v>2584.23</v>
      </c>
      <c r="N2411" s="34">
        <f>((sales_data_1[[#This Row],[Unit_Price]]*(1-sales_data_1[[#This Row],[Discount]]))-sales_data_1[[#This Row],[Unit_Cost]])*sales_data_1[[#This Row],[Quantity_Sold]]</f>
        <v>3524.0630999999994</v>
      </c>
      <c r="O2411" s="17" t="s">
        <v>27</v>
      </c>
      <c r="P2411" s="26">
        <v>0.01</v>
      </c>
      <c r="Q2411" s="17" t="s">
        <v>18</v>
      </c>
      <c r="R2411" s="17" t="s">
        <v>21</v>
      </c>
      <c r="S2411" s="50" t="str">
        <f t="shared" si="113"/>
        <v>David-West</v>
      </c>
      <c r="T2411" s="59" t="str">
        <f>IF(ROUND(sales_data_1[[#This Row],[Profit_Margin]],2)=ROUND((sales_data_1[[#This Row],[Unit_Price]]*(1-sales_data_1[[#This Row],[Discount]]) - sales_data_1[[#This Row],[Unit_Cost]])*sales_data_1[[#This Row],[Quantity_Sold]],2), "PASS", "CHECK")</f>
        <v>PASS</v>
      </c>
    </row>
    <row r="2412" spans="1:20" x14ac:dyDescent="0.35">
      <c r="A2412" s="7">
        <v>2411</v>
      </c>
      <c r="B2412" s="9">
        <v>1036</v>
      </c>
      <c r="C2412" s="14" t="str">
        <f>IFERROR(_xlfn.TEXTJOIN("-", TRUE, _xlfn.XLOOKUP(K2412, product_category_id_lookup!$A$2:$A$5, product_category_id_lookup!$B$2:$B$5), B2412), "Unknown Category")</f>
        <v>ctg-1036</v>
      </c>
      <c r="D2412" s="8">
        <v>45380</v>
      </c>
      <c r="E2412" s="14">
        <f t="shared" si="111"/>
        <v>2024</v>
      </c>
      <c r="F2412" s="29" t="str">
        <f t="shared" si="112"/>
        <v>Mar</v>
      </c>
      <c r="G2412" s="17" t="s">
        <v>33</v>
      </c>
      <c r="H2412" s="17" t="s">
        <v>23</v>
      </c>
      <c r="I2412" s="24">
        <v>39064.779600000002</v>
      </c>
      <c r="J2412" s="32">
        <v>33</v>
      </c>
      <c r="K2412" s="17" t="s">
        <v>26</v>
      </c>
      <c r="L2412" s="24">
        <v>952.71</v>
      </c>
      <c r="M2412" s="24">
        <v>1207.94</v>
      </c>
      <c r="N2412" s="34">
        <f>((sales_data_1[[#This Row],[Unit_Price]]*(1-sales_data_1[[#This Row],[Discount]]))-sales_data_1[[#This Row],[Unit_Cost]])*sales_data_1[[#This Row],[Quantity_Sold]]</f>
        <v>7625.3496000000032</v>
      </c>
      <c r="O2412" s="17" t="s">
        <v>17</v>
      </c>
      <c r="P2412" s="26">
        <v>0.02</v>
      </c>
      <c r="Q2412" s="17" t="s">
        <v>25</v>
      </c>
      <c r="R2412" s="17" t="s">
        <v>21</v>
      </c>
      <c r="S2412" s="50" t="str">
        <f t="shared" si="113"/>
        <v>Alice-South</v>
      </c>
      <c r="T2412" s="59" t="str">
        <f>IF(ROUND(sales_data_1[[#This Row],[Profit_Margin]],2)=ROUND((sales_data_1[[#This Row],[Unit_Price]]*(1-sales_data_1[[#This Row],[Discount]]) - sales_data_1[[#This Row],[Unit_Cost]])*sales_data_1[[#This Row],[Quantity_Sold]],2), "PASS", "CHECK")</f>
        <v>PASS</v>
      </c>
    </row>
    <row r="2413" spans="1:20" x14ac:dyDescent="0.35">
      <c r="A2413" s="7">
        <v>2412</v>
      </c>
      <c r="B2413" s="9">
        <v>1001</v>
      </c>
      <c r="C2413" s="14" t="str">
        <f>IFERROR(_xlfn.TEXTJOIN("-", TRUE, _xlfn.XLOOKUP(K2413, product_category_id_lookup!$A$2:$A$5, product_category_id_lookup!$B$2:$B$5), B2413), "Unknown Category")</f>
        <v>ctg-1001</v>
      </c>
      <c r="D2413" s="8">
        <v>45381</v>
      </c>
      <c r="E2413" s="14">
        <f t="shared" si="111"/>
        <v>2024</v>
      </c>
      <c r="F2413" s="29" t="str">
        <f t="shared" si="112"/>
        <v>Mar</v>
      </c>
      <c r="G2413" s="17" t="s">
        <v>33</v>
      </c>
      <c r="H2413" s="17" t="s">
        <v>30</v>
      </c>
      <c r="I2413" s="24">
        <v>35581.265999999996</v>
      </c>
      <c r="J2413" s="32">
        <v>15</v>
      </c>
      <c r="K2413" s="17" t="s">
        <v>26</v>
      </c>
      <c r="L2413" s="24">
        <v>1859.79</v>
      </c>
      <c r="M2413" s="24">
        <v>2823.91</v>
      </c>
      <c r="N2413" s="34">
        <f>((sales_data_1[[#This Row],[Unit_Price]]*(1-sales_data_1[[#This Row],[Discount]]))-sales_data_1[[#This Row],[Unit_Cost]])*sales_data_1[[#This Row],[Quantity_Sold]]</f>
        <v>7684.4159999999965</v>
      </c>
      <c r="O2413" s="17" t="s">
        <v>17</v>
      </c>
      <c r="P2413" s="26">
        <v>0.16</v>
      </c>
      <c r="Q2413" s="17" t="s">
        <v>25</v>
      </c>
      <c r="R2413" s="17" t="s">
        <v>21</v>
      </c>
      <c r="S2413" s="50" t="str">
        <f t="shared" si="113"/>
        <v>Alice-East</v>
      </c>
      <c r="T2413" s="59" t="str">
        <f>IF(ROUND(sales_data_1[[#This Row],[Profit_Margin]],2)=ROUND((sales_data_1[[#This Row],[Unit_Price]]*(1-sales_data_1[[#This Row],[Discount]]) - sales_data_1[[#This Row],[Unit_Cost]])*sales_data_1[[#This Row],[Quantity_Sold]],2), "PASS", "CHECK")</f>
        <v>PASS</v>
      </c>
    </row>
    <row r="2414" spans="1:20" x14ac:dyDescent="0.35">
      <c r="A2414" s="7">
        <v>2413</v>
      </c>
      <c r="B2414" s="9">
        <v>1065</v>
      </c>
      <c r="C2414" s="14" t="str">
        <f>IFERROR(_xlfn.TEXTJOIN("-", TRUE, _xlfn.XLOOKUP(K2414, product_category_id_lookup!$A$2:$A$5, product_category_id_lookup!$B$2:$B$5), B2414), "Unknown Category")</f>
        <v>fnt-1065</v>
      </c>
      <c r="D2414" s="8">
        <v>45381</v>
      </c>
      <c r="E2414" s="14">
        <f t="shared" si="111"/>
        <v>2024</v>
      </c>
      <c r="F2414" s="29" t="str">
        <f t="shared" si="112"/>
        <v>Mar</v>
      </c>
      <c r="G2414" s="17" t="s">
        <v>33</v>
      </c>
      <c r="H2414" s="17" t="s">
        <v>20</v>
      </c>
      <c r="I2414" s="24">
        <v>13818.190399999999</v>
      </c>
      <c r="J2414" s="32">
        <v>7</v>
      </c>
      <c r="K2414" s="17" t="s">
        <v>16</v>
      </c>
      <c r="L2414" s="24">
        <v>706.66</v>
      </c>
      <c r="M2414" s="24">
        <v>2780.32</v>
      </c>
      <c r="N2414" s="34">
        <f>((sales_data_1[[#This Row],[Unit_Price]]*(1-sales_data_1[[#This Row],[Discount]]))-sales_data_1[[#This Row],[Unit_Cost]])*sales_data_1[[#This Row],[Quantity_Sold]]</f>
        <v>8871.5704000000005</v>
      </c>
      <c r="O2414" s="17" t="s">
        <v>27</v>
      </c>
      <c r="P2414" s="26">
        <v>0.28999999999999998</v>
      </c>
      <c r="Q2414" s="17" t="s">
        <v>18</v>
      </c>
      <c r="R2414" s="17" t="s">
        <v>21</v>
      </c>
      <c r="S2414" s="50" t="str">
        <f t="shared" si="113"/>
        <v>Alice-West</v>
      </c>
      <c r="T2414" s="59" t="str">
        <f>IF(ROUND(sales_data_1[[#This Row],[Profit_Margin]],2)=ROUND((sales_data_1[[#This Row],[Unit_Price]]*(1-sales_data_1[[#This Row],[Discount]]) - sales_data_1[[#This Row],[Unit_Cost]])*sales_data_1[[#This Row],[Quantity_Sold]],2), "PASS", "CHECK")</f>
        <v>PASS</v>
      </c>
    </row>
    <row r="2415" spans="1:20" x14ac:dyDescent="0.35">
      <c r="A2415" s="7">
        <v>2414</v>
      </c>
      <c r="B2415" s="9">
        <v>1042</v>
      </c>
      <c r="C2415" s="14" t="str">
        <f>IFERROR(_xlfn.TEXTJOIN("-", TRUE, _xlfn.XLOOKUP(K2415, product_category_id_lookup!$A$2:$A$5, product_category_id_lookup!$B$2:$B$5), B2415), "Unknown Category")</f>
        <v>ctg-1042</v>
      </c>
      <c r="D2415" s="8">
        <v>45381</v>
      </c>
      <c r="E2415" s="14">
        <f t="shared" si="111"/>
        <v>2024</v>
      </c>
      <c r="F2415" s="29" t="str">
        <f t="shared" si="112"/>
        <v>Mar</v>
      </c>
      <c r="G2415" s="17" t="s">
        <v>32</v>
      </c>
      <c r="H2415" s="17" t="s">
        <v>30</v>
      </c>
      <c r="I2415" s="24">
        <v>101960.17799999999</v>
      </c>
      <c r="J2415" s="32">
        <v>31</v>
      </c>
      <c r="K2415" s="17" t="s">
        <v>26</v>
      </c>
      <c r="L2415" s="24">
        <v>495.59</v>
      </c>
      <c r="M2415" s="24">
        <v>3536.6</v>
      </c>
      <c r="N2415" s="34">
        <f>((sales_data_1[[#This Row],[Unit_Price]]*(1-sales_data_1[[#This Row],[Discount]]))-sales_data_1[[#This Row],[Unit_Cost]])*sales_data_1[[#This Row],[Quantity_Sold]]</f>
        <v>86596.887999999977</v>
      </c>
      <c r="O2415" s="17" t="s">
        <v>17</v>
      </c>
      <c r="P2415" s="26">
        <v>7.0000000000000007E-2</v>
      </c>
      <c r="Q2415" s="17" t="s">
        <v>18</v>
      </c>
      <c r="R2415" s="17" t="s">
        <v>19</v>
      </c>
      <c r="S2415" s="50" t="str">
        <f t="shared" si="113"/>
        <v>Eve-East</v>
      </c>
      <c r="T2415" s="59" t="str">
        <f>IF(ROUND(sales_data_1[[#This Row],[Profit_Margin]],2)=ROUND((sales_data_1[[#This Row],[Unit_Price]]*(1-sales_data_1[[#This Row],[Discount]]) - sales_data_1[[#This Row],[Unit_Cost]])*sales_data_1[[#This Row],[Quantity_Sold]],2), "PASS", "CHECK")</f>
        <v>PASS</v>
      </c>
    </row>
    <row r="2416" spans="1:20" x14ac:dyDescent="0.35">
      <c r="A2416" s="7">
        <v>2415</v>
      </c>
      <c r="B2416" s="9">
        <v>1077</v>
      </c>
      <c r="C2416" s="14" t="str">
        <f>IFERROR(_xlfn.TEXTJOIN("-", TRUE, _xlfn.XLOOKUP(K2416, product_category_id_lookup!$A$2:$A$5, product_category_id_lookup!$B$2:$B$5), B2416), "Unknown Category")</f>
        <v>etc-1077</v>
      </c>
      <c r="D2416" s="8">
        <v>45383</v>
      </c>
      <c r="E2416" s="14">
        <f t="shared" si="111"/>
        <v>2024</v>
      </c>
      <c r="F2416" s="29" t="str">
        <f t="shared" si="112"/>
        <v>Apr</v>
      </c>
      <c r="G2416" s="17" t="s">
        <v>22</v>
      </c>
      <c r="H2416" s="17" t="s">
        <v>30</v>
      </c>
      <c r="I2416" s="24">
        <v>25931.501673603765</v>
      </c>
      <c r="J2416" s="32">
        <v>12</v>
      </c>
      <c r="K2416" s="17" t="s">
        <v>31</v>
      </c>
      <c r="L2416" s="24">
        <v>1811.92</v>
      </c>
      <c r="M2416" s="24">
        <v>2174.52</v>
      </c>
      <c r="N2416" s="34">
        <f>((sales_data_1[[#This Row],[Unit_Price]]*(1-sales_data_1[[#This Row],[Discount]]))-sales_data_1[[#This Row],[Unit_Cost]])*sales_data_1[[#This Row],[Quantity_Sold]]</f>
        <v>4090.2576000000008</v>
      </c>
      <c r="O2416" s="17" t="s">
        <v>17</v>
      </c>
      <c r="P2416" s="26">
        <v>0.01</v>
      </c>
      <c r="Q2416" s="17" t="s">
        <v>28</v>
      </c>
      <c r="R2416" s="17" t="s">
        <v>19</v>
      </c>
      <c r="S2416" s="50" t="str">
        <f t="shared" si="113"/>
        <v>David-East</v>
      </c>
      <c r="T2416" s="59" t="str">
        <f>IF(ROUND(sales_data_1[[#This Row],[Profit_Margin]],2)=ROUND((sales_data_1[[#This Row],[Unit_Price]]*(1-sales_data_1[[#This Row],[Discount]]) - sales_data_1[[#This Row],[Unit_Cost]])*sales_data_1[[#This Row],[Quantity_Sold]],2), "PASS", "CHECK")</f>
        <v>PASS</v>
      </c>
    </row>
    <row r="2417" spans="1:20" x14ac:dyDescent="0.35">
      <c r="A2417" s="7">
        <v>2416</v>
      </c>
      <c r="B2417" s="9">
        <v>1046</v>
      </c>
      <c r="C2417" s="14" t="str">
        <f>IFERROR(_xlfn.TEXTJOIN("-", TRUE, _xlfn.XLOOKUP(K2417, product_category_id_lookup!$A$2:$A$5, product_category_id_lookup!$B$2:$B$5), B2417), "Unknown Category")</f>
        <v>ctg-1046</v>
      </c>
      <c r="D2417" s="8">
        <v>45383</v>
      </c>
      <c r="E2417" s="14">
        <f t="shared" si="111"/>
        <v>2024</v>
      </c>
      <c r="F2417" s="29" t="str">
        <f t="shared" si="112"/>
        <v>Apr</v>
      </c>
      <c r="G2417" s="17" t="s">
        <v>22</v>
      </c>
      <c r="H2417" s="17" t="s">
        <v>20</v>
      </c>
      <c r="I2417" s="24">
        <v>78844.175199999998</v>
      </c>
      <c r="J2417" s="32">
        <v>28</v>
      </c>
      <c r="K2417" s="17" t="s">
        <v>26</v>
      </c>
      <c r="L2417" s="24">
        <v>671.15</v>
      </c>
      <c r="M2417" s="24">
        <v>2873.33</v>
      </c>
      <c r="N2417" s="34">
        <f>((sales_data_1[[#This Row],[Unit_Price]]*(1-sales_data_1[[#This Row],[Discount]]))-sales_data_1[[#This Row],[Unit_Cost]])*sales_data_1[[#This Row],[Quantity_Sold]]</f>
        <v>60051.975199999986</v>
      </c>
      <c r="O2417" s="17" t="s">
        <v>17</v>
      </c>
      <c r="P2417" s="26">
        <v>0.02</v>
      </c>
      <c r="Q2417" s="17" t="s">
        <v>25</v>
      </c>
      <c r="R2417" s="17" t="s">
        <v>21</v>
      </c>
      <c r="S2417" s="50" t="str">
        <f t="shared" si="113"/>
        <v>David-West</v>
      </c>
      <c r="T2417" s="59" t="str">
        <f>IF(ROUND(sales_data_1[[#This Row],[Profit_Margin]],2)=ROUND((sales_data_1[[#This Row],[Unit_Price]]*(1-sales_data_1[[#This Row],[Discount]]) - sales_data_1[[#This Row],[Unit_Cost]])*sales_data_1[[#This Row],[Quantity_Sold]],2), "PASS", "CHECK")</f>
        <v>PASS</v>
      </c>
    </row>
    <row r="2418" spans="1:20" x14ac:dyDescent="0.35">
      <c r="A2418" s="7">
        <v>2417</v>
      </c>
      <c r="B2418" s="9">
        <v>1054</v>
      </c>
      <c r="C2418" s="14" t="str">
        <f>IFERROR(_xlfn.TEXTJOIN("-", TRUE, _xlfn.XLOOKUP(K2418, product_category_id_lookup!$A$2:$A$5, product_category_id_lookup!$B$2:$B$5), B2418), "Unknown Category")</f>
        <v>fd-1054</v>
      </c>
      <c r="D2418" s="8">
        <v>45383</v>
      </c>
      <c r="E2418" s="14">
        <f t="shared" si="111"/>
        <v>2024</v>
      </c>
      <c r="F2418" s="29" t="str">
        <f t="shared" si="112"/>
        <v>Apr</v>
      </c>
      <c r="G2418" s="17" t="s">
        <v>33</v>
      </c>
      <c r="H2418" s="17" t="s">
        <v>23</v>
      </c>
      <c r="I2418" s="24">
        <v>114261.1455</v>
      </c>
      <c r="J2418" s="32">
        <v>29</v>
      </c>
      <c r="K2418" s="17" t="s">
        <v>24</v>
      </c>
      <c r="L2418" s="24">
        <v>366.48</v>
      </c>
      <c r="M2418" s="24">
        <v>4147.41</v>
      </c>
      <c r="N2418" s="34">
        <f>((sales_data_1[[#This Row],[Unit_Price]]*(1-sales_data_1[[#This Row],[Discount]]))-sales_data_1[[#This Row],[Unit_Cost]])*sales_data_1[[#This Row],[Quantity_Sold]]</f>
        <v>103633.2255</v>
      </c>
      <c r="O2418" s="17" t="s">
        <v>17</v>
      </c>
      <c r="P2418" s="26">
        <v>0.05</v>
      </c>
      <c r="Q2418" s="17" t="s">
        <v>25</v>
      </c>
      <c r="R2418" s="17" t="s">
        <v>21</v>
      </c>
      <c r="S2418" s="50" t="str">
        <f t="shared" si="113"/>
        <v>Alice-South</v>
      </c>
      <c r="T2418" s="59" t="str">
        <f>IF(ROUND(sales_data_1[[#This Row],[Profit_Margin]],2)=ROUND((sales_data_1[[#This Row],[Unit_Price]]*(1-sales_data_1[[#This Row],[Discount]]) - sales_data_1[[#This Row],[Unit_Cost]])*sales_data_1[[#This Row],[Quantity_Sold]],2), "PASS", "CHECK")</f>
        <v>PASS</v>
      </c>
    </row>
    <row r="2419" spans="1:20" x14ac:dyDescent="0.35">
      <c r="A2419" s="7">
        <v>2418</v>
      </c>
      <c r="B2419" s="9">
        <v>1056</v>
      </c>
      <c r="C2419" s="14" t="str">
        <f>IFERROR(_xlfn.TEXTJOIN("-", TRUE, _xlfn.XLOOKUP(K2419, product_category_id_lookup!$A$2:$A$5, product_category_id_lookup!$B$2:$B$5), B2419), "Unknown Category")</f>
        <v>etc-1056</v>
      </c>
      <c r="D2419" s="8">
        <v>45383</v>
      </c>
      <c r="E2419" s="14">
        <f t="shared" si="111"/>
        <v>2024</v>
      </c>
      <c r="F2419" s="29" t="str">
        <f t="shared" si="112"/>
        <v>Apr</v>
      </c>
      <c r="G2419" s="17" t="s">
        <v>33</v>
      </c>
      <c r="H2419" s="17" t="s">
        <v>30</v>
      </c>
      <c r="I2419" s="24">
        <v>183323.23679999998</v>
      </c>
      <c r="J2419" s="32">
        <v>44</v>
      </c>
      <c r="K2419" s="17" t="s">
        <v>31</v>
      </c>
      <c r="L2419" s="24">
        <v>945.72</v>
      </c>
      <c r="M2419" s="24">
        <v>4480.04</v>
      </c>
      <c r="N2419" s="34">
        <f>((sales_data_1[[#This Row],[Unit_Price]]*(1-sales_data_1[[#This Row],[Discount]]))-sales_data_1[[#This Row],[Unit_Cost]])*sales_data_1[[#This Row],[Quantity_Sold]]</f>
        <v>141711.55679999996</v>
      </c>
      <c r="O2419" s="17" t="s">
        <v>27</v>
      </c>
      <c r="P2419" s="26">
        <v>7.0000000000000007E-2</v>
      </c>
      <c r="Q2419" s="17" t="s">
        <v>18</v>
      </c>
      <c r="R2419" s="17" t="s">
        <v>19</v>
      </c>
      <c r="S2419" s="50" t="str">
        <f t="shared" si="113"/>
        <v>Alice-East</v>
      </c>
      <c r="T2419" s="59" t="str">
        <f>IF(ROUND(sales_data_1[[#This Row],[Profit_Margin]],2)=ROUND((sales_data_1[[#This Row],[Unit_Price]]*(1-sales_data_1[[#This Row],[Discount]]) - sales_data_1[[#This Row],[Unit_Cost]])*sales_data_1[[#This Row],[Quantity_Sold]],2), "PASS", "CHECK")</f>
        <v>PASS</v>
      </c>
    </row>
    <row r="2420" spans="1:20" x14ac:dyDescent="0.35">
      <c r="A2420" s="7">
        <v>2419</v>
      </c>
      <c r="B2420" s="9">
        <v>1085</v>
      </c>
      <c r="C2420" s="14" t="str">
        <f>IFERROR(_xlfn.TEXTJOIN("-", TRUE, _xlfn.XLOOKUP(K2420, product_category_id_lookup!$A$2:$A$5, product_category_id_lookup!$B$2:$B$5), B2420), "Unknown Category")</f>
        <v>fnt-1085</v>
      </c>
      <c r="D2420" s="8">
        <v>45384</v>
      </c>
      <c r="E2420" s="14">
        <f t="shared" si="111"/>
        <v>2024</v>
      </c>
      <c r="F2420" s="29" t="str">
        <f t="shared" si="112"/>
        <v>Apr</v>
      </c>
      <c r="G2420" s="17" t="s">
        <v>29</v>
      </c>
      <c r="H2420" s="17" t="s">
        <v>30</v>
      </c>
      <c r="I2420" s="24">
        <v>11843.2608</v>
      </c>
      <c r="J2420" s="32">
        <v>3</v>
      </c>
      <c r="K2420" s="17" t="s">
        <v>16</v>
      </c>
      <c r="L2420" s="24">
        <v>1933.39</v>
      </c>
      <c r="M2420" s="24">
        <v>4028.32</v>
      </c>
      <c r="N2420" s="34">
        <f>((sales_data_1[[#This Row],[Unit_Price]]*(1-sales_data_1[[#This Row],[Discount]]))-sales_data_1[[#This Row],[Unit_Cost]])*sales_data_1[[#This Row],[Quantity_Sold]]</f>
        <v>6043.0907999999999</v>
      </c>
      <c r="O2420" s="17" t="s">
        <v>27</v>
      </c>
      <c r="P2420" s="26">
        <v>0.02</v>
      </c>
      <c r="Q2420" s="17" t="s">
        <v>25</v>
      </c>
      <c r="R2420" s="17" t="s">
        <v>19</v>
      </c>
      <c r="S2420" s="50" t="str">
        <f t="shared" si="113"/>
        <v>Charlie-East</v>
      </c>
      <c r="T2420" s="59" t="str">
        <f>IF(ROUND(sales_data_1[[#This Row],[Profit_Margin]],2)=ROUND((sales_data_1[[#This Row],[Unit_Price]]*(1-sales_data_1[[#This Row],[Discount]]) - sales_data_1[[#This Row],[Unit_Cost]])*sales_data_1[[#This Row],[Quantity_Sold]],2), "PASS", "CHECK")</f>
        <v>PASS</v>
      </c>
    </row>
    <row r="2421" spans="1:20" x14ac:dyDescent="0.35">
      <c r="A2421" s="7">
        <v>2420</v>
      </c>
      <c r="B2421" s="9">
        <v>1020</v>
      </c>
      <c r="C2421" s="14" t="str">
        <f>IFERROR(_xlfn.TEXTJOIN("-", TRUE, _xlfn.XLOOKUP(K2421, product_category_id_lookup!$A$2:$A$5, product_category_id_lookup!$B$2:$B$5), B2421), "Unknown Category")</f>
        <v>fnt-1020</v>
      </c>
      <c r="D2421" s="8">
        <v>45384</v>
      </c>
      <c r="E2421" s="14">
        <f t="shared" si="111"/>
        <v>2024</v>
      </c>
      <c r="F2421" s="29" t="str">
        <f t="shared" si="112"/>
        <v>Apr</v>
      </c>
      <c r="G2421" s="17" t="s">
        <v>32</v>
      </c>
      <c r="H2421" s="17" t="s">
        <v>15</v>
      </c>
      <c r="I2421" s="24">
        <v>19020.662499999999</v>
      </c>
      <c r="J2421" s="32">
        <v>5</v>
      </c>
      <c r="K2421" s="17" t="s">
        <v>16</v>
      </c>
      <c r="L2421" s="24">
        <v>1050.5899999999999</v>
      </c>
      <c r="M2421" s="24">
        <v>4004.35</v>
      </c>
      <c r="N2421" s="34">
        <f>((sales_data_1[[#This Row],[Unit_Price]]*(1-sales_data_1[[#This Row],[Discount]]))-sales_data_1[[#This Row],[Unit_Cost]])*sales_data_1[[#This Row],[Quantity_Sold]]</f>
        <v>13767.712499999998</v>
      </c>
      <c r="O2421" s="17" t="s">
        <v>17</v>
      </c>
      <c r="P2421" s="26">
        <v>0.05</v>
      </c>
      <c r="Q2421" s="17" t="s">
        <v>25</v>
      </c>
      <c r="R2421" s="17" t="s">
        <v>21</v>
      </c>
      <c r="S2421" s="50" t="str">
        <f t="shared" si="113"/>
        <v>Eve-North</v>
      </c>
      <c r="T2421" s="59" t="str">
        <f>IF(ROUND(sales_data_1[[#This Row],[Profit_Margin]],2)=ROUND((sales_data_1[[#This Row],[Unit_Price]]*(1-sales_data_1[[#This Row],[Discount]]) - sales_data_1[[#This Row],[Unit_Cost]])*sales_data_1[[#This Row],[Quantity_Sold]],2), "PASS", "CHECK")</f>
        <v>PASS</v>
      </c>
    </row>
    <row r="2422" spans="1:20" x14ac:dyDescent="0.35">
      <c r="A2422" s="7">
        <v>2421</v>
      </c>
      <c r="B2422" s="9">
        <v>1088</v>
      </c>
      <c r="C2422" s="14" t="str">
        <f>IFERROR(_xlfn.TEXTJOIN("-", TRUE, _xlfn.XLOOKUP(K2422, product_category_id_lookup!$A$2:$A$5, product_category_id_lookup!$B$2:$B$5), B2422), "Unknown Category")</f>
        <v>etc-1088</v>
      </c>
      <c r="D2422" s="8">
        <v>45384</v>
      </c>
      <c r="E2422" s="14">
        <f t="shared" si="111"/>
        <v>2024</v>
      </c>
      <c r="F2422" s="29" t="str">
        <f t="shared" si="112"/>
        <v>Apr</v>
      </c>
      <c r="G2422" s="17" t="s">
        <v>33</v>
      </c>
      <c r="H2422" s="17" t="s">
        <v>15</v>
      </c>
      <c r="I2422" s="24">
        <v>89282.074199999988</v>
      </c>
      <c r="J2422" s="32">
        <v>33</v>
      </c>
      <c r="K2422" s="17" t="s">
        <v>31</v>
      </c>
      <c r="L2422" s="24">
        <v>154.65</v>
      </c>
      <c r="M2422" s="24">
        <v>2878.21</v>
      </c>
      <c r="N2422" s="34">
        <f>((sales_data_1[[#This Row],[Unit_Price]]*(1-sales_data_1[[#This Row],[Discount]]))-sales_data_1[[#This Row],[Unit_Cost]])*sales_data_1[[#This Row],[Quantity_Sold]]</f>
        <v>84178.624199999991</v>
      </c>
      <c r="O2422" s="17" t="s">
        <v>27</v>
      </c>
      <c r="P2422" s="26">
        <v>0.06</v>
      </c>
      <c r="Q2422" s="17" t="s">
        <v>28</v>
      </c>
      <c r="R2422" s="17" t="s">
        <v>21</v>
      </c>
      <c r="S2422" s="50" t="str">
        <f t="shared" si="113"/>
        <v>Alice-North</v>
      </c>
      <c r="T2422" s="59" t="str">
        <f>IF(ROUND(sales_data_1[[#This Row],[Profit_Margin]],2)=ROUND((sales_data_1[[#This Row],[Unit_Price]]*(1-sales_data_1[[#This Row],[Discount]]) - sales_data_1[[#This Row],[Unit_Cost]])*sales_data_1[[#This Row],[Quantity_Sold]],2), "PASS", "CHECK")</f>
        <v>PASS</v>
      </c>
    </row>
    <row r="2423" spans="1:20" x14ac:dyDescent="0.35">
      <c r="A2423" s="7">
        <v>2422</v>
      </c>
      <c r="B2423" s="9">
        <v>1056</v>
      </c>
      <c r="C2423" s="14" t="str">
        <f>IFERROR(_xlfn.TEXTJOIN("-", TRUE, _xlfn.XLOOKUP(K2423, product_category_id_lookup!$A$2:$A$5, product_category_id_lookup!$B$2:$B$5), B2423), "Unknown Category")</f>
        <v>fd-1056</v>
      </c>
      <c r="D2423" s="8">
        <v>45385</v>
      </c>
      <c r="E2423" s="14">
        <f t="shared" si="111"/>
        <v>2024</v>
      </c>
      <c r="F2423" s="29" t="str">
        <f t="shared" si="112"/>
        <v>Apr</v>
      </c>
      <c r="G2423" s="17" t="s">
        <v>32</v>
      </c>
      <c r="H2423" s="17" t="s">
        <v>30</v>
      </c>
      <c r="I2423" s="24">
        <v>104935.03041089523</v>
      </c>
      <c r="J2423" s="32">
        <v>31</v>
      </c>
      <c r="K2423" s="17" t="s">
        <v>24</v>
      </c>
      <c r="L2423" s="24">
        <v>3224.99</v>
      </c>
      <c r="M2423" s="24">
        <v>3517.43</v>
      </c>
      <c r="N2423" s="34">
        <f>((sales_data_1[[#This Row],[Unit_Price]]*(1-sales_data_1[[#This Row],[Discount]]))-sales_data_1[[#This Row],[Unit_Cost]])*sales_data_1[[#This Row],[Quantity_Sold]]</f>
        <v>4704.0267999999996</v>
      </c>
      <c r="O2423" s="17" t="s">
        <v>27</v>
      </c>
      <c r="P2423" s="26">
        <v>0.04</v>
      </c>
      <c r="Q2423" s="17" t="s">
        <v>28</v>
      </c>
      <c r="R2423" s="17" t="s">
        <v>21</v>
      </c>
      <c r="S2423" s="50" t="str">
        <f t="shared" si="113"/>
        <v>Eve-East</v>
      </c>
      <c r="T2423" s="59" t="str">
        <f>IF(ROUND(sales_data_1[[#This Row],[Profit_Margin]],2)=ROUND((sales_data_1[[#This Row],[Unit_Price]]*(1-sales_data_1[[#This Row],[Discount]]) - sales_data_1[[#This Row],[Unit_Cost]])*sales_data_1[[#This Row],[Quantity_Sold]],2), "PASS", "CHECK")</f>
        <v>PASS</v>
      </c>
    </row>
    <row r="2424" spans="1:20" x14ac:dyDescent="0.35">
      <c r="A2424" s="7">
        <v>2423</v>
      </c>
      <c r="B2424" s="9">
        <v>1009</v>
      </c>
      <c r="C2424" s="14" t="str">
        <f>IFERROR(_xlfn.TEXTJOIN("-", TRUE, _xlfn.XLOOKUP(K2424, product_category_id_lookup!$A$2:$A$5, product_category_id_lookup!$B$2:$B$5), B2424), "Unknown Category")</f>
        <v>fnt-1009</v>
      </c>
      <c r="D2424" s="8">
        <v>45385</v>
      </c>
      <c r="E2424" s="14">
        <f t="shared" si="111"/>
        <v>2024</v>
      </c>
      <c r="F2424" s="29" t="str">
        <f t="shared" si="112"/>
        <v>Apr</v>
      </c>
      <c r="G2424" s="17" t="s">
        <v>22</v>
      </c>
      <c r="H2424" s="17" t="s">
        <v>20</v>
      </c>
      <c r="I2424" s="24">
        <v>154820.70719999998</v>
      </c>
      <c r="J2424" s="32">
        <v>47</v>
      </c>
      <c r="K2424" s="17" t="s">
        <v>16</v>
      </c>
      <c r="L2424" s="24">
        <v>2632.5</v>
      </c>
      <c r="M2424" s="24">
        <v>3431.31</v>
      </c>
      <c r="N2424" s="34">
        <f>((sales_data_1[[#This Row],[Unit_Price]]*(1-sales_data_1[[#This Row],[Discount]]))-sales_data_1[[#This Row],[Unit_Cost]])*sales_data_1[[#This Row],[Quantity_Sold]]</f>
        <v>31093.207199999983</v>
      </c>
      <c r="O2424" s="17" t="s">
        <v>27</v>
      </c>
      <c r="P2424" s="26">
        <v>0.04</v>
      </c>
      <c r="Q2424" s="17" t="s">
        <v>18</v>
      </c>
      <c r="R2424" s="17" t="s">
        <v>21</v>
      </c>
      <c r="S2424" s="50" t="str">
        <f t="shared" si="113"/>
        <v>David-West</v>
      </c>
      <c r="T2424" s="59" t="str">
        <f>IF(ROUND(sales_data_1[[#This Row],[Profit_Margin]],2)=ROUND((sales_data_1[[#This Row],[Unit_Price]]*(1-sales_data_1[[#This Row],[Discount]]) - sales_data_1[[#This Row],[Unit_Cost]])*sales_data_1[[#This Row],[Quantity_Sold]],2), "PASS", "CHECK")</f>
        <v>PASS</v>
      </c>
    </row>
    <row r="2425" spans="1:20" x14ac:dyDescent="0.35">
      <c r="A2425" s="7">
        <v>2424</v>
      </c>
      <c r="B2425" s="9">
        <v>1070</v>
      </c>
      <c r="C2425" s="14" t="str">
        <f>IFERROR(_xlfn.TEXTJOIN("-", TRUE, _xlfn.XLOOKUP(K2425, product_category_id_lookup!$A$2:$A$5, product_category_id_lookup!$B$2:$B$5), B2425), "Unknown Category")</f>
        <v>ctg-1070</v>
      </c>
      <c r="D2425" s="8">
        <v>45386</v>
      </c>
      <c r="E2425" s="14">
        <f t="shared" si="111"/>
        <v>2024</v>
      </c>
      <c r="F2425" s="29" t="str">
        <f t="shared" si="112"/>
        <v>Apr</v>
      </c>
      <c r="G2425" s="17" t="s">
        <v>32</v>
      </c>
      <c r="H2425" s="17" t="s">
        <v>20</v>
      </c>
      <c r="I2425" s="24">
        <v>32174.476723117314</v>
      </c>
      <c r="J2425" s="32">
        <v>19</v>
      </c>
      <c r="K2425" s="17" t="s">
        <v>26</v>
      </c>
      <c r="L2425" s="24">
        <v>1687.35</v>
      </c>
      <c r="M2425" s="24">
        <v>1719.27</v>
      </c>
      <c r="N2425" s="34">
        <f>((sales_data_1[[#This Row],[Unit_Price]]*(1-sales_data_1[[#This Row],[Discount]]))-sales_data_1[[#This Row],[Unit_Cost]])*sales_data_1[[#This Row],[Quantity_Sold]]</f>
        <v>-46.842600000000857</v>
      </c>
      <c r="O2425" s="17" t="s">
        <v>27</v>
      </c>
      <c r="P2425" s="26">
        <v>0.02</v>
      </c>
      <c r="Q2425" s="17" t="s">
        <v>25</v>
      </c>
      <c r="R2425" s="17" t="s">
        <v>21</v>
      </c>
      <c r="S2425" s="50" t="str">
        <f t="shared" si="113"/>
        <v>Eve-West</v>
      </c>
      <c r="T2425" s="59" t="str">
        <f>IF(ROUND(sales_data_1[[#This Row],[Profit_Margin]],2)=ROUND((sales_data_1[[#This Row],[Unit_Price]]*(1-sales_data_1[[#This Row],[Discount]]) - sales_data_1[[#This Row],[Unit_Cost]])*sales_data_1[[#This Row],[Quantity_Sold]],2), "PASS", "CHECK")</f>
        <v>PASS</v>
      </c>
    </row>
    <row r="2426" spans="1:20" x14ac:dyDescent="0.35">
      <c r="A2426" s="7">
        <v>2425</v>
      </c>
      <c r="B2426" s="9">
        <v>1044</v>
      </c>
      <c r="C2426" s="14" t="str">
        <f>IFERROR(_xlfn.TEXTJOIN("-", TRUE, _xlfn.XLOOKUP(K2426, product_category_id_lookup!$A$2:$A$5, product_category_id_lookup!$B$2:$B$5), B2426), "Unknown Category")</f>
        <v>etc-1044</v>
      </c>
      <c r="D2426" s="8">
        <v>45386</v>
      </c>
      <c r="E2426" s="14">
        <f t="shared" si="111"/>
        <v>2024</v>
      </c>
      <c r="F2426" s="29" t="str">
        <f t="shared" si="112"/>
        <v>Apr</v>
      </c>
      <c r="G2426" s="17" t="s">
        <v>32</v>
      </c>
      <c r="H2426" s="17" t="s">
        <v>20</v>
      </c>
      <c r="I2426" s="24">
        <v>4107.7248</v>
      </c>
      <c r="J2426" s="32">
        <v>1</v>
      </c>
      <c r="K2426" s="17" t="s">
        <v>31</v>
      </c>
      <c r="L2426" s="24">
        <v>3726.16</v>
      </c>
      <c r="M2426" s="24">
        <v>4278.88</v>
      </c>
      <c r="N2426" s="34">
        <f>((sales_data_1[[#This Row],[Unit_Price]]*(1-sales_data_1[[#This Row],[Discount]]))-sales_data_1[[#This Row],[Unit_Cost]])*sales_data_1[[#This Row],[Quantity_Sold]]</f>
        <v>381.5648000000001</v>
      </c>
      <c r="O2426" s="17" t="s">
        <v>17</v>
      </c>
      <c r="P2426" s="26">
        <v>0.04</v>
      </c>
      <c r="Q2426" s="17" t="s">
        <v>25</v>
      </c>
      <c r="R2426" s="17" t="s">
        <v>19</v>
      </c>
      <c r="S2426" s="50" t="str">
        <f t="shared" si="113"/>
        <v>Eve-West</v>
      </c>
      <c r="T2426" s="59" t="str">
        <f>IF(ROUND(sales_data_1[[#This Row],[Profit_Margin]],2)=ROUND((sales_data_1[[#This Row],[Unit_Price]]*(1-sales_data_1[[#This Row],[Discount]]) - sales_data_1[[#This Row],[Unit_Cost]])*sales_data_1[[#This Row],[Quantity_Sold]],2), "PASS", "CHECK")</f>
        <v>PASS</v>
      </c>
    </row>
    <row r="2427" spans="1:20" x14ac:dyDescent="0.35">
      <c r="A2427" s="7">
        <v>2426</v>
      </c>
      <c r="B2427" s="9">
        <v>1017</v>
      </c>
      <c r="C2427" s="14" t="str">
        <f>IFERROR(_xlfn.TEXTJOIN("-", TRUE, _xlfn.XLOOKUP(K2427, product_category_id_lookup!$A$2:$A$5, product_category_id_lookup!$B$2:$B$5), B2427), "Unknown Category")</f>
        <v>fnt-1017</v>
      </c>
      <c r="D2427" s="8">
        <v>45386</v>
      </c>
      <c r="E2427" s="14">
        <f t="shared" si="111"/>
        <v>2024</v>
      </c>
      <c r="F2427" s="29" t="str">
        <f t="shared" si="112"/>
        <v>Apr</v>
      </c>
      <c r="G2427" s="17" t="s">
        <v>33</v>
      </c>
      <c r="H2427" s="17" t="s">
        <v>30</v>
      </c>
      <c r="I2427" s="24">
        <v>3708.5120999999999</v>
      </c>
      <c r="J2427" s="32">
        <v>1</v>
      </c>
      <c r="K2427" s="17" t="s">
        <v>16</v>
      </c>
      <c r="L2427" s="24">
        <v>2509.13</v>
      </c>
      <c r="M2427" s="24">
        <v>4578.41</v>
      </c>
      <c r="N2427" s="34">
        <f>((sales_data_1[[#This Row],[Unit_Price]]*(1-sales_data_1[[#This Row],[Discount]]))-sales_data_1[[#This Row],[Unit_Cost]])*sales_data_1[[#This Row],[Quantity_Sold]]</f>
        <v>1199.3820999999998</v>
      </c>
      <c r="O2427" s="17" t="s">
        <v>17</v>
      </c>
      <c r="P2427" s="26">
        <v>0.19</v>
      </c>
      <c r="Q2427" s="17" t="s">
        <v>28</v>
      </c>
      <c r="R2427" s="17" t="s">
        <v>19</v>
      </c>
      <c r="S2427" s="50" t="str">
        <f t="shared" si="113"/>
        <v>Alice-East</v>
      </c>
      <c r="T2427" s="59" t="str">
        <f>IF(ROUND(sales_data_1[[#This Row],[Profit_Margin]],2)=ROUND((sales_data_1[[#This Row],[Unit_Price]]*(1-sales_data_1[[#This Row],[Discount]]) - sales_data_1[[#This Row],[Unit_Cost]])*sales_data_1[[#This Row],[Quantity_Sold]],2), "PASS", "CHECK")</f>
        <v>PASS</v>
      </c>
    </row>
    <row r="2428" spans="1:20" x14ac:dyDescent="0.35">
      <c r="A2428" s="7">
        <v>2427</v>
      </c>
      <c r="B2428" s="9">
        <v>1071</v>
      </c>
      <c r="C2428" s="14" t="str">
        <f>IFERROR(_xlfn.TEXTJOIN("-", TRUE, _xlfn.XLOOKUP(K2428, product_category_id_lookup!$A$2:$A$5, product_category_id_lookup!$B$2:$B$5), B2428), "Unknown Category")</f>
        <v>fnt-1071</v>
      </c>
      <c r="D2428" s="8">
        <v>45386</v>
      </c>
      <c r="E2428" s="14">
        <f t="shared" si="111"/>
        <v>2024</v>
      </c>
      <c r="F2428" s="29" t="str">
        <f t="shared" si="112"/>
        <v>Apr</v>
      </c>
      <c r="G2428" s="17" t="s">
        <v>22</v>
      </c>
      <c r="H2428" s="17" t="s">
        <v>20</v>
      </c>
      <c r="I2428" s="24">
        <v>192634.00881873103</v>
      </c>
      <c r="J2428" s="32">
        <v>43</v>
      </c>
      <c r="K2428" s="17" t="s">
        <v>16</v>
      </c>
      <c r="L2428" s="24">
        <v>4447.59</v>
      </c>
      <c r="M2428" s="24">
        <v>4571.3</v>
      </c>
      <c r="N2428" s="34">
        <f>((sales_data_1[[#This Row],[Unit_Price]]*(1-sales_data_1[[#This Row],[Discount]]))-sales_data_1[[#This Row],[Unit_Cost]])*sales_data_1[[#This Row],[Quantity_Sold]]</f>
        <v>1388.211999999985</v>
      </c>
      <c r="O2428" s="17" t="s">
        <v>27</v>
      </c>
      <c r="P2428" s="26">
        <v>0.02</v>
      </c>
      <c r="Q2428" s="17" t="s">
        <v>25</v>
      </c>
      <c r="R2428" s="17" t="s">
        <v>19</v>
      </c>
      <c r="S2428" s="50" t="str">
        <f t="shared" si="113"/>
        <v>David-West</v>
      </c>
      <c r="T2428" s="59" t="str">
        <f>IF(ROUND(sales_data_1[[#This Row],[Profit_Margin]],2)=ROUND((sales_data_1[[#This Row],[Unit_Price]]*(1-sales_data_1[[#This Row],[Discount]]) - sales_data_1[[#This Row],[Unit_Cost]])*sales_data_1[[#This Row],[Quantity_Sold]],2), "PASS", "CHECK")</f>
        <v>PASS</v>
      </c>
    </row>
    <row r="2429" spans="1:20" x14ac:dyDescent="0.35">
      <c r="A2429" s="7">
        <v>2428</v>
      </c>
      <c r="B2429" s="9">
        <v>1017</v>
      </c>
      <c r="C2429" s="14" t="str">
        <f>IFERROR(_xlfn.TEXTJOIN("-", TRUE, _xlfn.XLOOKUP(K2429, product_category_id_lookup!$A$2:$A$5, product_category_id_lookup!$B$2:$B$5), B2429), "Unknown Category")</f>
        <v>ctg-1017</v>
      </c>
      <c r="D2429" s="8">
        <v>45387</v>
      </c>
      <c r="E2429" s="14">
        <f t="shared" si="111"/>
        <v>2024</v>
      </c>
      <c r="F2429" s="29" t="str">
        <f t="shared" si="112"/>
        <v>Apr</v>
      </c>
      <c r="G2429" s="17" t="s">
        <v>22</v>
      </c>
      <c r="H2429" s="17" t="s">
        <v>20</v>
      </c>
      <c r="I2429" s="24">
        <v>38659.6584</v>
      </c>
      <c r="J2429" s="32">
        <v>12</v>
      </c>
      <c r="K2429" s="17" t="s">
        <v>26</v>
      </c>
      <c r="L2429" s="24">
        <v>2543.23</v>
      </c>
      <c r="M2429" s="24">
        <v>3254.18</v>
      </c>
      <c r="N2429" s="34">
        <f>((sales_data_1[[#This Row],[Unit_Price]]*(1-sales_data_1[[#This Row],[Discount]]))-sales_data_1[[#This Row],[Unit_Cost]])*sales_data_1[[#This Row],[Quantity_Sold]]</f>
        <v>8140.8983999999982</v>
      </c>
      <c r="O2429" s="17" t="s">
        <v>27</v>
      </c>
      <c r="P2429" s="26">
        <v>0.01</v>
      </c>
      <c r="Q2429" s="17" t="s">
        <v>28</v>
      </c>
      <c r="R2429" s="17" t="s">
        <v>21</v>
      </c>
      <c r="S2429" s="50" t="str">
        <f t="shared" si="113"/>
        <v>David-West</v>
      </c>
      <c r="T2429" s="59" t="str">
        <f>IF(ROUND(sales_data_1[[#This Row],[Profit_Margin]],2)=ROUND((sales_data_1[[#This Row],[Unit_Price]]*(1-sales_data_1[[#This Row],[Discount]]) - sales_data_1[[#This Row],[Unit_Cost]])*sales_data_1[[#This Row],[Quantity_Sold]],2), "PASS", "CHECK")</f>
        <v>PASS</v>
      </c>
    </row>
    <row r="2430" spans="1:20" x14ac:dyDescent="0.35">
      <c r="A2430" s="7">
        <v>2429</v>
      </c>
      <c r="B2430" s="9">
        <v>1034</v>
      </c>
      <c r="C2430" s="14" t="str">
        <f>IFERROR(_xlfn.TEXTJOIN("-", TRUE, _xlfn.XLOOKUP(K2430, product_category_id_lookup!$A$2:$A$5, product_category_id_lookup!$B$2:$B$5), B2430), "Unknown Category")</f>
        <v>ctg-1034</v>
      </c>
      <c r="D2430" s="8">
        <v>45387</v>
      </c>
      <c r="E2430" s="14">
        <f t="shared" si="111"/>
        <v>2024</v>
      </c>
      <c r="F2430" s="29" t="str">
        <f t="shared" si="112"/>
        <v>Apr</v>
      </c>
      <c r="G2430" s="17" t="s">
        <v>22</v>
      </c>
      <c r="H2430" s="17" t="s">
        <v>23</v>
      </c>
      <c r="I2430" s="24">
        <v>73677.696125596034</v>
      </c>
      <c r="J2430" s="32">
        <v>25</v>
      </c>
      <c r="K2430" s="17" t="s">
        <v>26</v>
      </c>
      <c r="L2430" s="24">
        <v>2441.2800000000002</v>
      </c>
      <c r="M2430" s="24">
        <v>3069.62</v>
      </c>
      <c r="N2430" s="34">
        <f>((sales_data_1[[#This Row],[Unit_Price]]*(1-sales_data_1[[#This Row],[Discount]]))-sales_data_1[[#This Row],[Unit_Cost]])*sales_data_1[[#This Row],[Quantity_Sold]]</f>
        <v>12638.879999999994</v>
      </c>
      <c r="O2430" s="17" t="s">
        <v>17</v>
      </c>
      <c r="P2430" s="26">
        <v>0.04</v>
      </c>
      <c r="Q2430" s="17" t="s">
        <v>28</v>
      </c>
      <c r="R2430" s="17" t="s">
        <v>21</v>
      </c>
      <c r="S2430" s="50" t="str">
        <f t="shared" si="113"/>
        <v>David-South</v>
      </c>
      <c r="T2430" s="59" t="str">
        <f>IF(ROUND(sales_data_1[[#This Row],[Profit_Margin]],2)=ROUND((sales_data_1[[#This Row],[Unit_Price]]*(1-sales_data_1[[#This Row],[Discount]]) - sales_data_1[[#This Row],[Unit_Cost]])*sales_data_1[[#This Row],[Quantity_Sold]],2), "PASS", "CHECK")</f>
        <v>PASS</v>
      </c>
    </row>
    <row r="2431" spans="1:20" x14ac:dyDescent="0.35">
      <c r="A2431" s="7">
        <v>2430</v>
      </c>
      <c r="B2431" s="9">
        <v>1033</v>
      </c>
      <c r="C2431" s="14" t="str">
        <f>IFERROR(_xlfn.TEXTJOIN("-", TRUE, _xlfn.XLOOKUP(K2431, product_category_id_lookup!$A$2:$A$5, product_category_id_lookup!$B$2:$B$5), B2431), "Unknown Category")</f>
        <v>ctg-1033</v>
      </c>
      <c r="D2431" s="8">
        <v>45387</v>
      </c>
      <c r="E2431" s="14">
        <f t="shared" si="111"/>
        <v>2024</v>
      </c>
      <c r="F2431" s="29" t="str">
        <f t="shared" si="112"/>
        <v>Apr</v>
      </c>
      <c r="G2431" s="17" t="s">
        <v>22</v>
      </c>
      <c r="H2431" s="17" t="s">
        <v>23</v>
      </c>
      <c r="I2431" s="24">
        <v>33257.083999999995</v>
      </c>
      <c r="J2431" s="32">
        <v>14</v>
      </c>
      <c r="K2431" s="17" t="s">
        <v>26</v>
      </c>
      <c r="L2431" s="24">
        <v>174.61</v>
      </c>
      <c r="M2431" s="24">
        <v>3393.58</v>
      </c>
      <c r="N2431" s="34">
        <f>((sales_data_1[[#This Row],[Unit_Price]]*(1-sales_data_1[[#This Row],[Discount]]))-sales_data_1[[#This Row],[Unit_Cost]])*sales_data_1[[#This Row],[Quantity_Sold]]</f>
        <v>30812.543999999994</v>
      </c>
      <c r="O2431" s="17" t="s">
        <v>17</v>
      </c>
      <c r="P2431" s="26">
        <v>0.3</v>
      </c>
      <c r="Q2431" s="17" t="s">
        <v>28</v>
      </c>
      <c r="R2431" s="17" t="s">
        <v>21</v>
      </c>
      <c r="S2431" s="50" t="str">
        <f t="shared" si="113"/>
        <v>David-South</v>
      </c>
      <c r="T2431" s="59" t="str">
        <f>IF(ROUND(sales_data_1[[#This Row],[Profit_Margin]],2)=ROUND((sales_data_1[[#This Row],[Unit_Price]]*(1-sales_data_1[[#This Row],[Discount]]) - sales_data_1[[#This Row],[Unit_Cost]])*sales_data_1[[#This Row],[Quantity_Sold]],2), "PASS", "CHECK")</f>
        <v>PASS</v>
      </c>
    </row>
    <row r="2432" spans="1:20" x14ac:dyDescent="0.35">
      <c r="A2432" s="7">
        <v>2431</v>
      </c>
      <c r="B2432" s="9">
        <v>1026</v>
      </c>
      <c r="C2432" s="14" t="str">
        <f>IFERROR(_xlfn.TEXTJOIN("-", TRUE, _xlfn.XLOOKUP(K2432, product_category_id_lookup!$A$2:$A$5, product_category_id_lookup!$B$2:$B$5), B2432), "Unknown Category")</f>
        <v>etc-1026</v>
      </c>
      <c r="D2432" s="8">
        <v>45388</v>
      </c>
      <c r="E2432" s="14">
        <f t="shared" si="111"/>
        <v>2024</v>
      </c>
      <c r="F2432" s="29" t="str">
        <f t="shared" si="112"/>
        <v>Apr</v>
      </c>
      <c r="G2432" s="17" t="s">
        <v>14</v>
      </c>
      <c r="H2432" s="17" t="s">
        <v>23</v>
      </c>
      <c r="I2432" s="24">
        <v>121211.3322</v>
      </c>
      <c r="J2432" s="32">
        <v>38</v>
      </c>
      <c r="K2432" s="17" t="s">
        <v>31</v>
      </c>
      <c r="L2432" s="24">
        <v>154.97</v>
      </c>
      <c r="M2432" s="24">
        <v>3937.99</v>
      </c>
      <c r="N2432" s="34">
        <f>((sales_data_1[[#This Row],[Unit_Price]]*(1-sales_data_1[[#This Row],[Discount]]))-sales_data_1[[#This Row],[Unit_Cost]])*sales_data_1[[#This Row],[Quantity_Sold]]</f>
        <v>115322.47220000002</v>
      </c>
      <c r="O2432" s="17" t="s">
        <v>27</v>
      </c>
      <c r="P2432" s="26">
        <v>0.19</v>
      </c>
      <c r="Q2432" s="17" t="s">
        <v>25</v>
      </c>
      <c r="R2432" s="17" t="s">
        <v>19</v>
      </c>
      <c r="S2432" s="50" t="str">
        <f t="shared" si="113"/>
        <v>Bob-South</v>
      </c>
      <c r="T2432" s="59" t="str">
        <f>IF(ROUND(sales_data_1[[#This Row],[Profit_Margin]],2)=ROUND((sales_data_1[[#This Row],[Unit_Price]]*(1-sales_data_1[[#This Row],[Discount]]) - sales_data_1[[#This Row],[Unit_Cost]])*sales_data_1[[#This Row],[Quantity_Sold]],2), "PASS", "CHECK")</f>
        <v>PASS</v>
      </c>
    </row>
    <row r="2433" spans="1:20" x14ac:dyDescent="0.35">
      <c r="A2433" s="7">
        <v>2432</v>
      </c>
      <c r="B2433" s="9">
        <v>1078</v>
      </c>
      <c r="C2433" s="14" t="str">
        <f>IFERROR(_xlfn.TEXTJOIN("-", TRUE, _xlfn.XLOOKUP(K2433, product_category_id_lookup!$A$2:$A$5, product_category_id_lookup!$B$2:$B$5), B2433), "Unknown Category")</f>
        <v>ctg-1078</v>
      </c>
      <c r="D2433" s="8">
        <v>45389</v>
      </c>
      <c r="E2433" s="14">
        <f t="shared" si="111"/>
        <v>2024</v>
      </c>
      <c r="F2433" s="29" t="str">
        <f t="shared" si="112"/>
        <v>Apr</v>
      </c>
      <c r="G2433" s="17" t="s">
        <v>33</v>
      </c>
      <c r="H2433" s="17" t="s">
        <v>30</v>
      </c>
      <c r="I2433" s="24">
        <v>16177.795200000002</v>
      </c>
      <c r="J2433" s="32">
        <v>8</v>
      </c>
      <c r="K2433" s="17" t="s">
        <v>26</v>
      </c>
      <c r="L2433" s="24">
        <v>1307.06</v>
      </c>
      <c r="M2433" s="24">
        <v>2198.0700000000002</v>
      </c>
      <c r="N2433" s="34">
        <f>((sales_data_1[[#This Row],[Unit_Price]]*(1-sales_data_1[[#This Row],[Discount]]))-sales_data_1[[#This Row],[Unit_Cost]])*sales_data_1[[#This Row],[Quantity_Sold]]</f>
        <v>5721.3152000000027</v>
      </c>
      <c r="O2433" s="17" t="s">
        <v>17</v>
      </c>
      <c r="P2433" s="26">
        <v>0.08</v>
      </c>
      <c r="Q2433" s="17" t="s">
        <v>18</v>
      </c>
      <c r="R2433" s="17" t="s">
        <v>21</v>
      </c>
      <c r="S2433" s="50" t="str">
        <f t="shared" si="113"/>
        <v>Alice-East</v>
      </c>
      <c r="T2433" s="59" t="str">
        <f>IF(ROUND(sales_data_1[[#This Row],[Profit_Margin]],2)=ROUND((sales_data_1[[#This Row],[Unit_Price]]*(1-sales_data_1[[#This Row],[Discount]]) - sales_data_1[[#This Row],[Unit_Cost]])*sales_data_1[[#This Row],[Quantity_Sold]],2), "PASS", "CHECK")</f>
        <v>PASS</v>
      </c>
    </row>
    <row r="2434" spans="1:20" x14ac:dyDescent="0.35">
      <c r="A2434" s="7">
        <v>2433</v>
      </c>
      <c r="B2434" s="9">
        <v>1006</v>
      </c>
      <c r="C2434" s="14" t="str">
        <f>IFERROR(_xlfn.TEXTJOIN("-", TRUE, _xlfn.XLOOKUP(K2434, product_category_id_lookup!$A$2:$A$5, product_category_id_lookup!$B$2:$B$5), B2434), "Unknown Category")</f>
        <v>ctg-1006</v>
      </c>
      <c r="D2434" s="8">
        <v>45389</v>
      </c>
      <c r="E2434" s="14">
        <f t="shared" ref="E2434:E2497" si="114">YEAR(D2434)</f>
        <v>2024</v>
      </c>
      <c r="F2434" s="29" t="str">
        <f t="shared" ref="F2434:F2497" si="115">LEFT(TEXT(D2434,"mmmm"),3)</f>
        <v>Apr</v>
      </c>
      <c r="G2434" s="17" t="s">
        <v>32</v>
      </c>
      <c r="H2434" s="17" t="s">
        <v>20</v>
      </c>
      <c r="I2434" s="24">
        <v>20047.536</v>
      </c>
      <c r="J2434" s="32">
        <v>12</v>
      </c>
      <c r="K2434" s="17" t="s">
        <v>26</v>
      </c>
      <c r="L2434" s="24">
        <v>311.13</v>
      </c>
      <c r="M2434" s="24">
        <v>1815.9</v>
      </c>
      <c r="N2434" s="34">
        <f>((sales_data_1[[#This Row],[Unit_Price]]*(1-sales_data_1[[#This Row],[Discount]]))-sales_data_1[[#This Row],[Unit_Cost]])*sales_data_1[[#This Row],[Quantity_Sold]]</f>
        <v>16313.976000000001</v>
      </c>
      <c r="O2434" s="17" t="s">
        <v>17</v>
      </c>
      <c r="P2434" s="26">
        <v>0.08</v>
      </c>
      <c r="Q2434" s="17" t="s">
        <v>25</v>
      </c>
      <c r="R2434" s="17" t="s">
        <v>19</v>
      </c>
      <c r="S2434" s="50" t="str">
        <f t="shared" ref="S2434:S2497" si="116">_xlfn.CONCAT(G2434,"-",H2434)</f>
        <v>Eve-West</v>
      </c>
      <c r="T2434" s="59" t="str">
        <f>IF(ROUND(sales_data_1[[#This Row],[Profit_Margin]],2)=ROUND((sales_data_1[[#This Row],[Unit_Price]]*(1-sales_data_1[[#This Row],[Discount]]) - sales_data_1[[#This Row],[Unit_Cost]])*sales_data_1[[#This Row],[Quantity_Sold]],2), "PASS", "CHECK")</f>
        <v>PASS</v>
      </c>
    </row>
    <row r="2435" spans="1:20" x14ac:dyDescent="0.35">
      <c r="A2435" s="7">
        <v>2434</v>
      </c>
      <c r="B2435" s="9">
        <v>1069</v>
      </c>
      <c r="C2435" s="14" t="str">
        <f>IFERROR(_xlfn.TEXTJOIN("-", TRUE, _xlfn.XLOOKUP(K2435, product_category_id_lookup!$A$2:$A$5, product_category_id_lookup!$B$2:$B$5), B2435), "Unknown Category")</f>
        <v>fd-1069</v>
      </c>
      <c r="D2435" s="8">
        <v>45389</v>
      </c>
      <c r="E2435" s="14">
        <f t="shared" si="114"/>
        <v>2024</v>
      </c>
      <c r="F2435" s="29" t="str">
        <f t="shared" si="115"/>
        <v>Apr</v>
      </c>
      <c r="G2435" s="17" t="s">
        <v>32</v>
      </c>
      <c r="H2435" s="17" t="s">
        <v>30</v>
      </c>
      <c r="I2435" s="24">
        <v>59894.856</v>
      </c>
      <c r="J2435" s="32">
        <v>28</v>
      </c>
      <c r="K2435" s="17" t="s">
        <v>24</v>
      </c>
      <c r="L2435" s="24">
        <v>762.8</v>
      </c>
      <c r="M2435" s="24">
        <v>2546.5500000000002</v>
      </c>
      <c r="N2435" s="34">
        <f>((sales_data_1[[#This Row],[Unit_Price]]*(1-sales_data_1[[#This Row],[Discount]]))-sales_data_1[[#This Row],[Unit_Cost]])*sales_data_1[[#This Row],[Quantity_Sold]]</f>
        <v>38536.455999999998</v>
      </c>
      <c r="O2435" s="17" t="s">
        <v>17</v>
      </c>
      <c r="P2435" s="26">
        <v>0.16</v>
      </c>
      <c r="Q2435" s="17" t="s">
        <v>18</v>
      </c>
      <c r="R2435" s="17" t="s">
        <v>21</v>
      </c>
      <c r="S2435" s="50" t="str">
        <f t="shared" si="116"/>
        <v>Eve-East</v>
      </c>
      <c r="T2435" s="59" t="str">
        <f>IF(ROUND(sales_data_1[[#This Row],[Profit_Margin]],2)=ROUND((sales_data_1[[#This Row],[Unit_Price]]*(1-sales_data_1[[#This Row],[Discount]]) - sales_data_1[[#This Row],[Unit_Cost]])*sales_data_1[[#This Row],[Quantity_Sold]],2), "PASS", "CHECK")</f>
        <v>PASS</v>
      </c>
    </row>
    <row r="2436" spans="1:20" x14ac:dyDescent="0.35">
      <c r="A2436" s="7">
        <v>2435</v>
      </c>
      <c r="B2436" s="9">
        <v>1047</v>
      </c>
      <c r="C2436" s="14" t="str">
        <f>IFERROR(_xlfn.TEXTJOIN("-", TRUE, _xlfn.XLOOKUP(K2436, product_category_id_lookup!$A$2:$A$5, product_category_id_lookup!$B$2:$B$5), B2436), "Unknown Category")</f>
        <v>etc-1047</v>
      </c>
      <c r="D2436" s="8">
        <v>45389</v>
      </c>
      <c r="E2436" s="14">
        <f t="shared" si="114"/>
        <v>2024</v>
      </c>
      <c r="F2436" s="29" t="str">
        <f t="shared" si="115"/>
        <v>Apr</v>
      </c>
      <c r="G2436" s="17" t="s">
        <v>33</v>
      </c>
      <c r="H2436" s="17" t="s">
        <v>20</v>
      </c>
      <c r="I2436" s="24">
        <v>162520.88519999999</v>
      </c>
      <c r="J2436" s="32">
        <v>38</v>
      </c>
      <c r="K2436" s="17" t="s">
        <v>31</v>
      </c>
      <c r="L2436" s="24">
        <v>2833.94</v>
      </c>
      <c r="M2436" s="24">
        <v>4598.78</v>
      </c>
      <c r="N2436" s="34">
        <f>((sales_data_1[[#This Row],[Unit_Price]]*(1-sales_data_1[[#This Row],[Discount]]))-sales_data_1[[#This Row],[Unit_Cost]])*sales_data_1[[#This Row],[Quantity_Sold]]</f>
        <v>54831.165199999989</v>
      </c>
      <c r="O2436" s="17" t="s">
        <v>17</v>
      </c>
      <c r="P2436" s="26">
        <v>7.0000000000000007E-2</v>
      </c>
      <c r="Q2436" s="17" t="s">
        <v>25</v>
      </c>
      <c r="R2436" s="17" t="s">
        <v>19</v>
      </c>
      <c r="S2436" s="50" t="str">
        <f t="shared" si="116"/>
        <v>Alice-West</v>
      </c>
      <c r="T2436" s="59" t="str">
        <f>IF(ROUND(sales_data_1[[#This Row],[Profit_Margin]],2)=ROUND((sales_data_1[[#This Row],[Unit_Price]]*(1-sales_data_1[[#This Row],[Discount]]) - sales_data_1[[#This Row],[Unit_Cost]])*sales_data_1[[#This Row],[Quantity_Sold]],2), "PASS", "CHECK")</f>
        <v>PASS</v>
      </c>
    </row>
    <row r="2437" spans="1:20" x14ac:dyDescent="0.35">
      <c r="A2437" s="7">
        <v>2436</v>
      </c>
      <c r="B2437" s="9">
        <v>1006</v>
      </c>
      <c r="C2437" s="14" t="str">
        <f>IFERROR(_xlfn.TEXTJOIN("-", TRUE, _xlfn.XLOOKUP(K2437, product_category_id_lookup!$A$2:$A$5, product_category_id_lookup!$B$2:$B$5), B2437), "Unknown Category")</f>
        <v>ctg-1006</v>
      </c>
      <c r="D2437" s="8">
        <v>45390</v>
      </c>
      <c r="E2437" s="14">
        <f t="shared" si="114"/>
        <v>2024</v>
      </c>
      <c r="F2437" s="29" t="str">
        <f t="shared" si="115"/>
        <v>Apr</v>
      </c>
      <c r="G2437" s="17" t="s">
        <v>33</v>
      </c>
      <c r="H2437" s="17" t="s">
        <v>30</v>
      </c>
      <c r="I2437" s="24">
        <v>33878.18277627373</v>
      </c>
      <c r="J2437" s="32">
        <v>13</v>
      </c>
      <c r="K2437" s="17" t="s">
        <v>26</v>
      </c>
      <c r="L2437" s="24">
        <v>2361.29</v>
      </c>
      <c r="M2437" s="24">
        <v>2626.13</v>
      </c>
      <c r="N2437" s="34">
        <f>((sales_data_1[[#This Row],[Unit_Price]]*(1-sales_data_1[[#This Row],[Discount]]))-sales_data_1[[#This Row],[Unit_Cost]])*sales_data_1[[#This Row],[Quantity_Sold]]</f>
        <v>3101.5231000000003</v>
      </c>
      <c r="O2437" s="17" t="s">
        <v>17</v>
      </c>
      <c r="P2437" s="26">
        <v>0.01</v>
      </c>
      <c r="Q2437" s="17" t="s">
        <v>25</v>
      </c>
      <c r="R2437" s="17" t="s">
        <v>21</v>
      </c>
      <c r="S2437" s="50" t="str">
        <f t="shared" si="116"/>
        <v>Alice-East</v>
      </c>
      <c r="T2437" s="59" t="str">
        <f>IF(ROUND(sales_data_1[[#This Row],[Profit_Margin]],2)=ROUND((sales_data_1[[#This Row],[Unit_Price]]*(1-sales_data_1[[#This Row],[Discount]]) - sales_data_1[[#This Row],[Unit_Cost]])*sales_data_1[[#This Row],[Quantity_Sold]],2), "PASS", "CHECK")</f>
        <v>PASS</v>
      </c>
    </row>
    <row r="2438" spans="1:20" x14ac:dyDescent="0.35">
      <c r="A2438" s="7">
        <v>2437</v>
      </c>
      <c r="B2438" s="9">
        <v>1017</v>
      </c>
      <c r="C2438" s="14" t="str">
        <f>IFERROR(_xlfn.TEXTJOIN("-", TRUE, _xlfn.XLOOKUP(K2438, product_category_id_lookup!$A$2:$A$5, product_category_id_lookup!$B$2:$B$5), B2438), "Unknown Category")</f>
        <v>ctg-1017</v>
      </c>
      <c r="D2438" s="8">
        <v>45390</v>
      </c>
      <c r="E2438" s="14">
        <f t="shared" si="114"/>
        <v>2024</v>
      </c>
      <c r="F2438" s="29" t="str">
        <f t="shared" si="115"/>
        <v>Apr</v>
      </c>
      <c r="G2438" s="17" t="s">
        <v>33</v>
      </c>
      <c r="H2438" s="17" t="s">
        <v>20</v>
      </c>
      <c r="I2438" s="24">
        <v>69953.71057025576</v>
      </c>
      <c r="J2438" s="32">
        <v>14</v>
      </c>
      <c r="K2438" s="17" t="s">
        <v>26</v>
      </c>
      <c r="L2438" s="24">
        <v>4751.4799999999996</v>
      </c>
      <c r="M2438" s="24">
        <v>5157.84</v>
      </c>
      <c r="N2438" s="34">
        <f>((sales_data_1[[#This Row],[Unit_Price]]*(1-sales_data_1[[#This Row],[Discount]]))-sales_data_1[[#This Row],[Unit_Cost]])*sales_data_1[[#This Row],[Quantity_Sold]]</f>
        <v>3522.7472000000071</v>
      </c>
      <c r="O2438" s="17" t="s">
        <v>17</v>
      </c>
      <c r="P2438" s="26">
        <v>0.03</v>
      </c>
      <c r="Q2438" s="17" t="s">
        <v>25</v>
      </c>
      <c r="R2438" s="17" t="s">
        <v>19</v>
      </c>
      <c r="S2438" s="50" t="str">
        <f t="shared" si="116"/>
        <v>Alice-West</v>
      </c>
      <c r="T2438" s="59" t="str">
        <f>IF(ROUND(sales_data_1[[#This Row],[Profit_Margin]],2)=ROUND((sales_data_1[[#This Row],[Unit_Price]]*(1-sales_data_1[[#This Row],[Discount]]) - sales_data_1[[#This Row],[Unit_Cost]])*sales_data_1[[#This Row],[Quantity_Sold]],2), "PASS", "CHECK")</f>
        <v>PASS</v>
      </c>
    </row>
    <row r="2439" spans="1:20" x14ac:dyDescent="0.35">
      <c r="A2439" s="7">
        <v>2438</v>
      </c>
      <c r="B2439" s="9">
        <v>1009</v>
      </c>
      <c r="C2439" s="14" t="str">
        <f>IFERROR(_xlfn.TEXTJOIN("-", TRUE, _xlfn.XLOOKUP(K2439, product_category_id_lookup!$A$2:$A$5, product_category_id_lookup!$B$2:$B$5), B2439), "Unknown Category")</f>
        <v>fd-1009</v>
      </c>
      <c r="D2439" s="8">
        <v>45390</v>
      </c>
      <c r="E2439" s="14">
        <f t="shared" si="114"/>
        <v>2024</v>
      </c>
      <c r="F2439" s="29" t="str">
        <f t="shared" si="115"/>
        <v>Apr</v>
      </c>
      <c r="G2439" s="17" t="s">
        <v>22</v>
      </c>
      <c r="H2439" s="17" t="s">
        <v>15</v>
      </c>
      <c r="I2439" s="24">
        <v>54072.770399999994</v>
      </c>
      <c r="J2439" s="32">
        <v>24</v>
      </c>
      <c r="K2439" s="17" t="s">
        <v>24</v>
      </c>
      <c r="L2439" s="24">
        <v>1661.06</v>
      </c>
      <c r="M2439" s="24">
        <v>2275.79</v>
      </c>
      <c r="N2439" s="34">
        <f>((sales_data_1[[#This Row],[Unit_Price]]*(1-sales_data_1[[#This Row],[Discount]]))-sales_data_1[[#This Row],[Unit_Cost]])*sales_data_1[[#This Row],[Quantity_Sold]]</f>
        <v>14207.330399999999</v>
      </c>
      <c r="O2439" s="17" t="s">
        <v>17</v>
      </c>
      <c r="P2439" s="26">
        <v>0.01</v>
      </c>
      <c r="Q2439" s="17" t="s">
        <v>28</v>
      </c>
      <c r="R2439" s="17" t="s">
        <v>21</v>
      </c>
      <c r="S2439" s="50" t="str">
        <f t="shared" si="116"/>
        <v>David-North</v>
      </c>
      <c r="T2439" s="59" t="str">
        <f>IF(ROUND(sales_data_1[[#This Row],[Profit_Margin]],2)=ROUND((sales_data_1[[#This Row],[Unit_Price]]*(1-sales_data_1[[#This Row],[Discount]]) - sales_data_1[[#This Row],[Unit_Cost]])*sales_data_1[[#This Row],[Quantity_Sold]],2), "PASS", "CHECK")</f>
        <v>PASS</v>
      </c>
    </row>
    <row r="2440" spans="1:20" x14ac:dyDescent="0.35">
      <c r="A2440" s="7">
        <v>2439</v>
      </c>
      <c r="B2440" s="9">
        <v>1098</v>
      </c>
      <c r="C2440" s="14" t="str">
        <f>IFERROR(_xlfn.TEXTJOIN("-", TRUE, _xlfn.XLOOKUP(K2440, product_category_id_lookup!$A$2:$A$5, product_category_id_lookup!$B$2:$B$5), B2440), "Unknown Category")</f>
        <v>etc-1098</v>
      </c>
      <c r="D2440" s="8">
        <v>45391</v>
      </c>
      <c r="E2440" s="14">
        <f t="shared" si="114"/>
        <v>2024</v>
      </c>
      <c r="F2440" s="29" t="str">
        <f t="shared" si="115"/>
        <v>Apr</v>
      </c>
      <c r="G2440" s="17" t="s">
        <v>22</v>
      </c>
      <c r="H2440" s="17" t="s">
        <v>15</v>
      </c>
      <c r="I2440" s="24">
        <v>17306.8488</v>
      </c>
      <c r="J2440" s="32">
        <v>6</v>
      </c>
      <c r="K2440" s="17" t="s">
        <v>31</v>
      </c>
      <c r="L2440" s="24">
        <v>1103.0899999999999</v>
      </c>
      <c r="M2440" s="24">
        <v>3561.08</v>
      </c>
      <c r="N2440" s="34">
        <f>((sales_data_1[[#This Row],[Unit_Price]]*(1-sales_data_1[[#This Row],[Discount]]))-sales_data_1[[#This Row],[Unit_Cost]])*sales_data_1[[#This Row],[Quantity_Sold]]</f>
        <v>10688.308800000001</v>
      </c>
      <c r="O2440" s="17" t="s">
        <v>27</v>
      </c>
      <c r="P2440" s="26">
        <v>0.19</v>
      </c>
      <c r="Q2440" s="17" t="s">
        <v>28</v>
      </c>
      <c r="R2440" s="17" t="s">
        <v>21</v>
      </c>
      <c r="S2440" s="50" t="str">
        <f t="shared" si="116"/>
        <v>David-North</v>
      </c>
      <c r="T2440" s="59" t="str">
        <f>IF(ROUND(sales_data_1[[#This Row],[Profit_Margin]],2)=ROUND((sales_data_1[[#This Row],[Unit_Price]]*(1-sales_data_1[[#This Row],[Discount]]) - sales_data_1[[#This Row],[Unit_Cost]])*sales_data_1[[#This Row],[Quantity_Sold]],2), "PASS", "CHECK")</f>
        <v>PASS</v>
      </c>
    </row>
    <row r="2441" spans="1:20" x14ac:dyDescent="0.35">
      <c r="A2441" s="7">
        <v>2440</v>
      </c>
      <c r="B2441" s="9">
        <v>1038</v>
      </c>
      <c r="C2441" s="14" t="str">
        <f>IFERROR(_xlfn.TEXTJOIN("-", TRUE, _xlfn.XLOOKUP(K2441, product_category_id_lookup!$A$2:$A$5, product_category_id_lookup!$B$2:$B$5), B2441), "Unknown Category")</f>
        <v>fnt-1038</v>
      </c>
      <c r="D2441" s="8">
        <v>45392</v>
      </c>
      <c r="E2441" s="14">
        <f t="shared" si="114"/>
        <v>2024</v>
      </c>
      <c r="F2441" s="29" t="str">
        <f t="shared" si="115"/>
        <v>Apr</v>
      </c>
      <c r="G2441" s="17" t="s">
        <v>14</v>
      </c>
      <c r="H2441" s="17" t="s">
        <v>15</v>
      </c>
      <c r="I2441" s="24">
        <v>64854.899999999994</v>
      </c>
      <c r="J2441" s="32">
        <v>15</v>
      </c>
      <c r="K2441" s="17" t="s">
        <v>16</v>
      </c>
      <c r="L2441" s="24">
        <v>3965.73</v>
      </c>
      <c r="M2441" s="24">
        <v>4323.66</v>
      </c>
      <c r="N2441" s="34">
        <f>((sales_data_1[[#This Row],[Unit_Price]]*(1-sales_data_1[[#This Row],[Discount]]))-sales_data_1[[#This Row],[Unit_Cost]])*sales_data_1[[#This Row],[Quantity_Sold]]</f>
        <v>5368.9499999999971</v>
      </c>
      <c r="O2441" s="17" t="s">
        <v>17</v>
      </c>
      <c r="P2441" s="26">
        <v>0</v>
      </c>
      <c r="Q2441" s="17" t="s">
        <v>25</v>
      </c>
      <c r="R2441" s="17" t="s">
        <v>21</v>
      </c>
      <c r="S2441" s="50" t="str">
        <f t="shared" si="116"/>
        <v>Bob-North</v>
      </c>
      <c r="T2441" s="59" t="str">
        <f>IF(ROUND(sales_data_1[[#This Row],[Profit_Margin]],2)=ROUND((sales_data_1[[#This Row],[Unit_Price]]*(1-sales_data_1[[#This Row],[Discount]]) - sales_data_1[[#This Row],[Unit_Cost]])*sales_data_1[[#This Row],[Quantity_Sold]],2), "PASS", "CHECK")</f>
        <v>PASS</v>
      </c>
    </row>
    <row r="2442" spans="1:20" x14ac:dyDescent="0.35">
      <c r="A2442" s="7">
        <v>2441</v>
      </c>
      <c r="B2442" s="9">
        <v>1015</v>
      </c>
      <c r="C2442" s="14" t="str">
        <f>IFERROR(_xlfn.TEXTJOIN("-", TRUE, _xlfn.XLOOKUP(K2442, product_category_id_lookup!$A$2:$A$5, product_category_id_lookup!$B$2:$B$5), B2442), "Unknown Category")</f>
        <v>ctg-1015</v>
      </c>
      <c r="D2442" s="8">
        <v>45392</v>
      </c>
      <c r="E2442" s="14">
        <f t="shared" si="114"/>
        <v>2024</v>
      </c>
      <c r="F2442" s="29" t="str">
        <f t="shared" si="115"/>
        <v>Apr</v>
      </c>
      <c r="G2442" s="17" t="s">
        <v>14</v>
      </c>
      <c r="H2442" s="17" t="s">
        <v>23</v>
      </c>
      <c r="I2442" s="24">
        <v>26060.214</v>
      </c>
      <c r="J2442" s="32">
        <v>6</v>
      </c>
      <c r="K2442" s="17" t="s">
        <v>26</v>
      </c>
      <c r="L2442" s="24">
        <v>3046.02</v>
      </c>
      <c r="M2442" s="24">
        <v>4477.7</v>
      </c>
      <c r="N2442" s="34">
        <f>((sales_data_1[[#This Row],[Unit_Price]]*(1-sales_data_1[[#This Row],[Discount]]))-sales_data_1[[#This Row],[Unit_Cost]])*sales_data_1[[#This Row],[Quantity_Sold]]</f>
        <v>7784.0939999999982</v>
      </c>
      <c r="O2442" s="17" t="s">
        <v>27</v>
      </c>
      <c r="P2442" s="26">
        <v>0.03</v>
      </c>
      <c r="Q2442" s="17" t="s">
        <v>28</v>
      </c>
      <c r="R2442" s="17" t="s">
        <v>21</v>
      </c>
      <c r="S2442" s="50" t="str">
        <f t="shared" si="116"/>
        <v>Bob-South</v>
      </c>
      <c r="T2442" s="59" t="str">
        <f>IF(ROUND(sales_data_1[[#This Row],[Profit_Margin]],2)=ROUND((sales_data_1[[#This Row],[Unit_Price]]*(1-sales_data_1[[#This Row],[Discount]]) - sales_data_1[[#This Row],[Unit_Cost]])*sales_data_1[[#This Row],[Quantity_Sold]],2), "PASS", "CHECK")</f>
        <v>PASS</v>
      </c>
    </row>
    <row r="2443" spans="1:20" x14ac:dyDescent="0.35">
      <c r="A2443" s="7">
        <v>2442</v>
      </c>
      <c r="B2443" s="9">
        <v>1025</v>
      </c>
      <c r="C2443" s="14" t="str">
        <f>IFERROR(_xlfn.TEXTJOIN("-", TRUE, _xlfn.XLOOKUP(K2443, product_category_id_lookup!$A$2:$A$5, product_category_id_lookup!$B$2:$B$5), B2443), "Unknown Category")</f>
        <v>fd-1025</v>
      </c>
      <c r="D2443" s="8">
        <v>45392</v>
      </c>
      <c r="E2443" s="14">
        <f t="shared" si="114"/>
        <v>2024</v>
      </c>
      <c r="F2443" s="29" t="str">
        <f t="shared" si="115"/>
        <v>Apr</v>
      </c>
      <c r="G2443" s="17" t="s">
        <v>33</v>
      </c>
      <c r="H2443" s="17" t="s">
        <v>15</v>
      </c>
      <c r="I2443" s="24">
        <v>45534.995999999999</v>
      </c>
      <c r="J2443" s="32">
        <v>15</v>
      </c>
      <c r="K2443" s="17" t="s">
        <v>24</v>
      </c>
      <c r="L2443" s="24">
        <v>1737.7</v>
      </c>
      <c r="M2443" s="24">
        <v>3891.88</v>
      </c>
      <c r="N2443" s="34">
        <f>((sales_data_1[[#This Row],[Unit_Price]]*(1-sales_data_1[[#This Row],[Discount]]))-sales_data_1[[#This Row],[Unit_Cost]])*sales_data_1[[#This Row],[Quantity_Sold]]</f>
        <v>19469.495999999999</v>
      </c>
      <c r="O2443" s="17" t="s">
        <v>17</v>
      </c>
      <c r="P2443" s="26">
        <v>0.22</v>
      </c>
      <c r="Q2443" s="17" t="s">
        <v>18</v>
      </c>
      <c r="R2443" s="17" t="s">
        <v>21</v>
      </c>
      <c r="S2443" s="50" t="str">
        <f t="shared" si="116"/>
        <v>Alice-North</v>
      </c>
      <c r="T2443" s="59" t="str">
        <f>IF(ROUND(sales_data_1[[#This Row],[Profit_Margin]],2)=ROUND((sales_data_1[[#This Row],[Unit_Price]]*(1-sales_data_1[[#This Row],[Discount]]) - sales_data_1[[#This Row],[Unit_Cost]])*sales_data_1[[#This Row],[Quantity_Sold]],2), "PASS", "CHECK")</f>
        <v>PASS</v>
      </c>
    </row>
    <row r="2444" spans="1:20" x14ac:dyDescent="0.35">
      <c r="A2444" s="7">
        <v>2443</v>
      </c>
      <c r="B2444" s="9">
        <v>1084</v>
      </c>
      <c r="C2444" s="14" t="str">
        <f>IFERROR(_xlfn.TEXTJOIN("-", TRUE, _xlfn.XLOOKUP(K2444, product_category_id_lookup!$A$2:$A$5, product_category_id_lookup!$B$2:$B$5), B2444), "Unknown Category")</f>
        <v>fd-1084</v>
      </c>
      <c r="D2444" s="8">
        <v>45392</v>
      </c>
      <c r="E2444" s="14">
        <f t="shared" si="114"/>
        <v>2024</v>
      </c>
      <c r="F2444" s="29" t="str">
        <f t="shared" si="115"/>
        <v>Apr</v>
      </c>
      <c r="G2444" s="17" t="s">
        <v>29</v>
      </c>
      <c r="H2444" s="17" t="s">
        <v>20</v>
      </c>
      <c r="I2444" s="24">
        <v>69036.072</v>
      </c>
      <c r="J2444" s="32">
        <v>20</v>
      </c>
      <c r="K2444" s="17" t="s">
        <v>24</v>
      </c>
      <c r="L2444" s="24">
        <v>2301.85</v>
      </c>
      <c r="M2444" s="24">
        <v>4109.29</v>
      </c>
      <c r="N2444" s="34">
        <f>((sales_data_1[[#This Row],[Unit_Price]]*(1-sales_data_1[[#This Row],[Discount]]))-sales_data_1[[#This Row],[Unit_Cost]])*sales_data_1[[#This Row],[Quantity_Sold]]</f>
        <v>22999.071999999996</v>
      </c>
      <c r="O2444" s="17" t="s">
        <v>17</v>
      </c>
      <c r="P2444" s="26">
        <v>0.16</v>
      </c>
      <c r="Q2444" s="17" t="s">
        <v>25</v>
      </c>
      <c r="R2444" s="17" t="s">
        <v>21</v>
      </c>
      <c r="S2444" s="50" t="str">
        <f t="shared" si="116"/>
        <v>Charlie-West</v>
      </c>
      <c r="T2444" s="59" t="str">
        <f>IF(ROUND(sales_data_1[[#This Row],[Profit_Margin]],2)=ROUND((sales_data_1[[#This Row],[Unit_Price]]*(1-sales_data_1[[#This Row],[Discount]]) - sales_data_1[[#This Row],[Unit_Cost]])*sales_data_1[[#This Row],[Quantity_Sold]],2), "PASS", "CHECK")</f>
        <v>PASS</v>
      </c>
    </row>
    <row r="2445" spans="1:20" x14ac:dyDescent="0.35">
      <c r="A2445" s="7">
        <v>2444</v>
      </c>
      <c r="B2445" s="9">
        <v>1044</v>
      </c>
      <c r="C2445" s="14" t="str">
        <f>IFERROR(_xlfn.TEXTJOIN("-", TRUE, _xlfn.XLOOKUP(K2445, product_category_id_lookup!$A$2:$A$5, product_category_id_lookup!$B$2:$B$5), B2445), "Unknown Category")</f>
        <v>fnt-1044</v>
      </c>
      <c r="D2445" s="8">
        <v>45392</v>
      </c>
      <c r="E2445" s="14">
        <f t="shared" si="114"/>
        <v>2024</v>
      </c>
      <c r="F2445" s="29" t="str">
        <f t="shared" si="115"/>
        <v>Apr</v>
      </c>
      <c r="G2445" s="17" t="s">
        <v>22</v>
      </c>
      <c r="H2445" s="17" t="s">
        <v>20</v>
      </c>
      <c r="I2445" s="24">
        <v>73381.17240000001</v>
      </c>
      <c r="J2445" s="32">
        <v>27</v>
      </c>
      <c r="K2445" s="17" t="s">
        <v>16</v>
      </c>
      <c r="L2445" s="24">
        <v>473.42</v>
      </c>
      <c r="M2445" s="24">
        <v>3440.28</v>
      </c>
      <c r="N2445" s="34">
        <f>((sales_data_1[[#This Row],[Unit_Price]]*(1-sales_data_1[[#This Row],[Discount]]))-sales_data_1[[#This Row],[Unit_Cost]])*sales_data_1[[#This Row],[Quantity_Sold]]</f>
        <v>60598.832400000007</v>
      </c>
      <c r="O2445" s="17" t="s">
        <v>27</v>
      </c>
      <c r="P2445" s="26">
        <v>0.21</v>
      </c>
      <c r="Q2445" s="17" t="s">
        <v>25</v>
      </c>
      <c r="R2445" s="17" t="s">
        <v>21</v>
      </c>
      <c r="S2445" s="50" t="str">
        <f t="shared" si="116"/>
        <v>David-West</v>
      </c>
      <c r="T2445" s="59" t="str">
        <f>IF(ROUND(sales_data_1[[#This Row],[Profit_Margin]],2)=ROUND((sales_data_1[[#This Row],[Unit_Price]]*(1-sales_data_1[[#This Row],[Discount]]) - sales_data_1[[#This Row],[Unit_Cost]])*sales_data_1[[#This Row],[Quantity_Sold]],2), "PASS", "CHECK")</f>
        <v>PASS</v>
      </c>
    </row>
    <row r="2446" spans="1:20" x14ac:dyDescent="0.35">
      <c r="A2446" s="7">
        <v>2445</v>
      </c>
      <c r="B2446" s="9">
        <v>1058</v>
      </c>
      <c r="C2446" s="14" t="str">
        <f>IFERROR(_xlfn.TEXTJOIN("-", TRUE, _xlfn.XLOOKUP(K2446, product_category_id_lookup!$A$2:$A$5, product_category_id_lookup!$B$2:$B$5), B2446), "Unknown Category")</f>
        <v>etc-1058</v>
      </c>
      <c r="D2446" s="8">
        <v>45392</v>
      </c>
      <c r="E2446" s="14">
        <f t="shared" si="114"/>
        <v>2024</v>
      </c>
      <c r="F2446" s="29" t="str">
        <f t="shared" si="115"/>
        <v>Apr</v>
      </c>
      <c r="G2446" s="17" t="s">
        <v>14</v>
      </c>
      <c r="H2446" s="17" t="s">
        <v>30</v>
      </c>
      <c r="I2446" s="24">
        <v>125168.98679999998</v>
      </c>
      <c r="J2446" s="32">
        <v>26</v>
      </c>
      <c r="K2446" s="17" t="s">
        <v>31</v>
      </c>
      <c r="L2446" s="24">
        <v>1074.76</v>
      </c>
      <c r="M2446" s="24">
        <v>4862.82</v>
      </c>
      <c r="N2446" s="34">
        <f>((sales_data_1[[#This Row],[Unit_Price]]*(1-sales_data_1[[#This Row],[Discount]]))-sales_data_1[[#This Row],[Unit_Cost]])*sales_data_1[[#This Row],[Quantity_Sold]]</f>
        <v>97225.226799999989</v>
      </c>
      <c r="O2446" s="17" t="s">
        <v>17</v>
      </c>
      <c r="P2446" s="26">
        <v>0.01</v>
      </c>
      <c r="Q2446" s="17" t="s">
        <v>28</v>
      </c>
      <c r="R2446" s="17" t="s">
        <v>19</v>
      </c>
      <c r="S2446" s="50" t="str">
        <f t="shared" si="116"/>
        <v>Bob-East</v>
      </c>
      <c r="T2446" s="59" t="str">
        <f>IF(ROUND(sales_data_1[[#This Row],[Profit_Margin]],2)=ROUND((sales_data_1[[#This Row],[Unit_Price]]*(1-sales_data_1[[#This Row],[Discount]]) - sales_data_1[[#This Row],[Unit_Cost]])*sales_data_1[[#This Row],[Quantity_Sold]],2), "PASS", "CHECK")</f>
        <v>PASS</v>
      </c>
    </row>
    <row r="2447" spans="1:20" x14ac:dyDescent="0.35">
      <c r="A2447" s="7">
        <v>2446</v>
      </c>
      <c r="B2447" s="9">
        <v>1080</v>
      </c>
      <c r="C2447" s="14" t="str">
        <f>IFERROR(_xlfn.TEXTJOIN("-", TRUE, _xlfn.XLOOKUP(K2447, product_category_id_lookup!$A$2:$A$5, product_category_id_lookup!$B$2:$B$5), B2447), "Unknown Category")</f>
        <v>ctg-1080</v>
      </c>
      <c r="D2447" s="8">
        <v>45392</v>
      </c>
      <c r="E2447" s="14">
        <f t="shared" si="114"/>
        <v>2024</v>
      </c>
      <c r="F2447" s="29" t="str">
        <f t="shared" si="115"/>
        <v>Apr</v>
      </c>
      <c r="G2447" s="17" t="s">
        <v>33</v>
      </c>
      <c r="H2447" s="17" t="s">
        <v>30</v>
      </c>
      <c r="I2447" s="24">
        <v>168258.35500000001</v>
      </c>
      <c r="J2447" s="32">
        <v>47</v>
      </c>
      <c r="K2447" s="17" t="s">
        <v>26</v>
      </c>
      <c r="L2447" s="24">
        <v>1178.22</v>
      </c>
      <c r="M2447" s="24">
        <v>4162.75</v>
      </c>
      <c r="N2447" s="34">
        <f>((sales_data_1[[#This Row],[Unit_Price]]*(1-sales_data_1[[#This Row],[Discount]]))-sales_data_1[[#This Row],[Unit_Cost]])*sales_data_1[[#This Row],[Quantity_Sold]]</f>
        <v>112882.015</v>
      </c>
      <c r="O2447" s="17" t="s">
        <v>17</v>
      </c>
      <c r="P2447" s="26">
        <v>0.14000000000000001</v>
      </c>
      <c r="Q2447" s="17" t="s">
        <v>25</v>
      </c>
      <c r="R2447" s="17" t="s">
        <v>21</v>
      </c>
      <c r="S2447" s="50" t="str">
        <f t="shared" si="116"/>
        <v>Alice-East</v>
      </c>
      <c r="T2447" s="59" t="str">
        <f>IF(ROUND(sales_data_1[[#This Row],[Profit_Margin]],2)=ROUND((sales_data_1[[#This Row],[Unit_Price]]*(1-sales_data_1[[#This Row],[Discount]]) - sales_data_1[[#This Row],[Unit_Cost]])*sales_data_1[[#This Row],[Quantity_Sold]],2), "PASS", "CHECK")</f>
        <v>PASS</v>
      </c>
    </row>
    <row r="2448" spans="1:20" x14ac:dyDescent="0.35">
      <c r="A2448" s="7">
        <v>2447</v>
      </c>
      <c r="B2448" s="9">
        <v>1039</v>
      </c>
      <c r="C2448" s="14" t="str">
        <f>IFERROR(_xlfn.TEXTJOIN("-", TRUE, _xlfn.XLOOKUP(K2448, product_category_id_lookup!$A$2:$A$5, product_category_id_lookup!$B$2:$B$5), B2448), "Unknown Category")</f>
        <v>fd-1039</v>
      </c>
      <c r="D2448" s="8">
        <v>45393</v>
      </c>
      <c r="E2448" s="14">
        <f t="shared" si="114"/>
        <v>2024</v>
      </c>
      <c r="F2448" s="29" t="str">
        <f t="shared" si="115"/>
        <v>Apr</v>
      </c>
      <c r="G2448" s="17" t="s">
        <v>32</v>
      </c>
      <c r="H2448" s="17" t="s">
        <v>15</v>
      </c>
      <c r="I2448" s="24">
        <v>29504.647799999999</v>
      </c>
      <c r="J2448" s="32">
        <v>9</v>
      </c>
      <c r="K2448" s="17" t="s">
        <v>24</v>
      </c>
      <c r="L2448" s="24">
        <v>3127.64</v>
      </c>
      <c r="M2448" s="24">
        <v>3811.97</v>
      </c>
      <c r="N2448" s="34">
        <f>((sales_data_1[[#This Row],[Unit_Price]]*(1-sales_data_1[[#This Row],[Discount]]))-sales_data_1[[#This Row],[Unit_Cost]])*sales_data_1[[#This Row],[Quantity_Sold]]</f>
        <v>1355.8877999999995</v>
      </c>
      <c r="O2448" s="17" t="s">
        <v>27</v>
      </c>
      <c r="P2448" s="26">
        <v>0.14000000000000001</v>
      </c>
      <c r="Q2448" s="17" t="s">
        <v>25</v>
      </c>
      <c r="R2448" s="17" t="s">
        <v>19</v>
      </c>
      <c r="S2448" s="50" t="str">
        <f t="shared" si="116"/>
        <v>Eve-North</v>
      </c>
      <c r="T2448" s="59" t="str">
        <f>IF(ROUND(sales_data_1[[#This Row],[Profit_Margin]],2)=ROUND((sales_data_1[[#This Row],[Unit_Price]]*(1-sales_data_1[[#This Row],[Discount]]) - sales_data_1[[#This Row],[Unit_Cost]])*sales_data_1[[#This Row],[Quantity_Sold]],2), "PASS", "CHECK")</f>
        <v>PASS</v>
      </c>
    </row>
    <row r="2449" spans="1:20" x14ac:dyDescent="0.35">
      <c r="A2449" s="7">
        <v>2448</v>
      </c>
      <c r="B2449" s="9">
        <v>1070</v>
      </c>
      <c r="C2449" s="14" t="str">
        <f>IFERROR(_xlfn.TEXTJOIN("-", TRUE, _xlfn.XLOOKUP(K2449, product_category_id_lookup!$A$2:$A$5, product_category_id_lookup!$B$2:$B$5), B2449), "Unknown Category")</f>
        <v>ctg-1070</v>
      </c>
      <c r="D2449" s="8">
        <v>45393</v>
      </c>
      <c r="E2449" s="14">
        <f t="shared" si="114"/>
        <v>2024</v>
      </c>
      <c r="F2449" s="29" t="str">
        <f t="shared" si="115"/>
        <v>Apr</v>
      </c>
      <c r="G2449" s="17" t="s">
        <v>33</v>
      </c>
      <c r="H2449" s="17" t="s">
        <v>30</v>
      </c>
      <c r="I2449" s="24">
        <v>17547.84</v>
      </c>
      <c r="J2449" s="32">
        <v>16</v>
      </c>
      <c r="K2449" s="17" t="s">
        <v>26</v>
      </c>
      <c r="L2449" s="24">
        <v>463.71</v>
      </c>
      <c r="M2449" s="24">
        <v>1218.5999999999999</v>
      </c>
      <c r="N2449" s="34">
        <f>((sales_data_1[[#This Row],[Unit_Price]]*(1-sales_data_1[[#This Row],[Discount]]))-sales_data_1[[#This Row],[Unit_Cost]])*sales_data_1[[#This Row],[Quantity_Sold]]</f>
        <v>10128.48</v>
      </c>
      <c r="O2449" s="17" t="s">
        <v>27</v>
      </c>
      <c r="P2449" s="26">
        <v>0.1</v>
      </c>
      <c r="Q2449" s="17" t="s">
        <v>18</v>
      </c>
      <c r="R2449" s="17" t="s">
        <v>19</v>
      </c>
      <c r="S2449" s="50" t="str">
        <f t="shared" si="116"/>
        <v>Alice-East</v>
      </c>
      <c r="T2449" s="59" t="str">
        <f>IF(ROUND(sales_data_1[[#This Row],[Profit_Margin]],2)=ROUND((sales_data_1[[#This Row],[Unit_Price]]*(1-sales_data_1[[#This Row],[Discount]]) - sales_data_1[[#This Row],[Unit_Cost]])*sales_data_1[[#This Row],[Quantity_Sold]],2), "PASS", "CHECK")</f>
        <v>PASS</v>
      </c>
    </row>
    <row r="2450" spans="1:20" x14ac:dyDescent="0.35">
      <c r="A2450" s="7">
        <v>2449</v>
      </c>
      <c r="B2450" s="9">
        <v>1023</v>
      </c>
      <c r="C2450" s="14" t="str">
        <f>IFERROR(_xlfn.TEXTJOIN("-", TRUE, _xlfn.XLOOKUP(K2450, product_category_id_lookup!$A$2:$A$5, product_category_id_lookup!$B$2:$B$5), B2450), "Unknown Category")</f>
        <v>ctg-1023</v>
      </c>
      <c r="D2450" s="8">
        <v>45393</v>
      </c>
      <c r="E2450" s="14">
        <f t="shared" si="114"/>
        <v>2024</v>
      </c>
      <c r="F2450" s="29" t="str">
        <f t="shared" si="115"/>
        <v>Apr</v>
      </c>
      <c r="G2450" s="17" t="s">
        <v>32</v>
      </c>
      <c r="H2450" s="17" t="s">
        <v>23</v>
      </c>
      <c r="I2450" s="24">
        <v>116278.97399999999</v>
      </c>
      <c r="J2450" s="32">
        <v>45</v>
      </c>
      <c r="K2450" s="17" t="s">
        <v>26</v>
      </c>
      <c r="L2450" s="24">
        <v>1084.3399999999999</v>
      </c>
      <c r="M2450" s="24">
        <v>3399.97</v>
      </c>
      <c r="N2450" s="34">
        <f>((sales_data_1[[#This Row],[Unit_Price]]*(1-sales_data_1[[#This Row],[Discount]]))-sales_data_1[[#This Row],[Unit_Cost]])*sales_data_1[[#This Row],[Quantity_Sold]]</f>
        <v>67483.673999999999</v>
      </c>
      <c r="O2450" s="17" t="s">
        <v>17</v>
      </c>
      <c r="P2450" s="26">
        <v>0.24</v>
      </c>
      <c r="Q2450" s="17" t="s">
        <v>25</v>
      </c>
      <c r="R2450" s="17" t="s">
        <v>19</v>
      </c>
      <c r="S2450" s="50" t="str">
        <f t="shared" si="116"/>
        <v>Eve-South</v>
      </c>
      <c r="T2450" s="59" t="str">
        <f>IF(ROUND(sales_data_1[[#This Row],[Profit_Margin]],2)=ROUND((sales_data_1[[#This Row],[Unit_Price]]*(1-sales_data_1[[#This Row],[Discount]]) - sales_data_1[[#This Row],[Unit_Cost]])*sales_data_1[[#This Row],[Quantity_Sold]],2), "PASS", "CHECK")</f>
        <v>PASS</v>
      </c>
    </row>
    <row r="2451" spans="1:20" x14ac:dyDescent="0.35">
      <c r="A2451" s="7">
        <v>2450</v>
      </c>
      <c r="B2451" s="9">
        <v>1035</v>
      </c>
      <c r="C2451" s="14" t="str">
        <f>IFERROR(_xlfn.TEXTJOIN("-", TRUE, _xlfn.XLOOKUP(K2451, product_category_id_lookup!$A$2:$A$5, product_category_id_lookup!$B$2:$B$5), B2451), "Unknown Category")</f>
        <v>fnt-1035</v>
      </c>
      <c r="D2451" s="8">
        <v>45394</v>
      </c>
      <c r="E2451" s="14">
        <f t="shared" si="114"/>
        <v>2024</v>
      </c>
      <c r="F2451" s="29" t="str">
        <f t="shared" si="115"/>
        <v>Apr</v>
      </c>
      <c r="G2451" s="17" t="s">
        <v>33</v>
      </c>
      <c r="H2451" s="17" t="s">
        <v>20</v>
      </c>
      <c r="I2451" s="24">
        <v>161264.69870000001</v>
      </c>
      <c r="J2451" s="32">
        <v>49</v>
      </c>
      <c r="K2451" s="17" t="s">
        <v>16</v>
      </c>
      <c r="L2451" s="24">
        <v>3115.12</v>
      </c>
      <c r="M2451" s="24">
        <v>4165.97</v>
      </c>
      <c r="N2451" s="34">
        <f>((sales_data_1[[#This Row],[Unit_Price]]*(1-sales_data_1[[#This Row],[Discount]]))-sales_data_1[[#This Row],[Unit_Cost]])*sales_data_1[[#This Row],[Quantity_Sold]]</f>
        <v>8623.8187000000125</v>
      </c>
      <c r="O2451" s="17" t="s">
        <v>27</v>
      </c>
      <c r="P2451" s="26">
        <v>0.21</v>
      </c>
      <c r="Q2451" s="17" t="s">
        <v>28</v>
      </c>
      <c r="R2451" s="17" t="s">
        <v>21</v>
      </c>
      <c r="S2451" s="50" t="str">
        <f t="shared" si="116"/>
        <v>Alice-West</v>
      </c>
      <c r="T2451" s="59" t="str">
        <f>IF(ROUND(sales_data_1[[#This Row],[Profit_Margin]],2)=ROUND((sales_data_1[[#This Row],[Unit_Price]]*(1-sales_data_1[[#This Row],[Discount]]) - sales_data_1[[#This Row],[Unit_Cost]])*sales_data_1[[#This Row],[Quantity_Sold]],2), "PASS", "CHECK")</f>
        <v>PASS</v>
      </c>
    </row>
    <row r="2452" spans="1:20" x14ac:dyDescent="0.35">
      <c r="A2452" s="7">
        <v>2451</v>
      </c>
      <c r="B2452" s="9">
        <v>1075</v>
      </c>
      <c r="C2452" s="14" t="str">
        <f>IFERROR(_xlfn.TEXTJOIN("-", TRUE, _xlfn.XLOOKUP(K2452, product_category_id_lookup!$A$2:$A$5, product_category_id_lookup!$B$2:$B$5), B2452), "Unknown Category")</f>
        <v>ctg-1075</v>
      </c>
      <c r="D2452" s="8">
        <v>45394</v>
      </c>
      <c r="E2452" s="14">
        <f t="shared" si="114"/>
        <v>2024</v>
      </c>
      <c r="F2452" s="29" t="str">
        <f t="shared" si="115"/>
        <v>Apr</v>
      </c>
      <c r="G2452" s="17" t="s">
        <v>14</v>
      </c>
      <c r="H2452" s="17" t="s">
        <v>23</v>
      </c>
      <c r="I2452" s="24">
        <v>100216.63440000001</v>
      </c>
      <c r="J2452" s="32">
        <v>24</v>
      </c>
      <c r="K2452" s="17" t="s">
        <v>26</v>
      </c>
      <c r="L2452" s="24">
        <v>2755.69</v>
      </c>
      <c r="M2452" s="24">
        <v>4691.79</v>
      </c>
      <c r="N2452" s="34">
        <f>((sales_data_1[[#This Row],[Unit_Price]]*(1-sales_data_1[[#This Row],[Discount]]))-sales_data_1[[#This Row],[Unit_Cost]])*sales_data_1[[#This Row],[Quantity_Sold]]</f>
        <v>34080.074400000012</v>
      </c>
      <c r="O2452" s="17" t="s">
        <v>27</v>
      </c>
      <c r="P2452" s="26">
        <v>0.11</v>
      </c>
      <c r="Q2452" s="17" t="s">
        <v>28</v>
      </c>
      <c r="R2452" s="17" t="s">
        <v>19</v>
      </c>
      <c r="S2452" s="50" t="str">
        <f t="shared" si="116"/>
        <v>Bob-South</v>
      </c>
      <c r="T2452" s="59" t="str">
        <f>IF(ROUND(sales_data_1[[#This Row],[Profit_Margin]],2)=ROUND((sales_data_1[[#This Row],[Unit_Price]]*(1-sales_data_1[[#This Row],[Discount]]) - sales_data_1[[#This Row],[Unit_Cost]])*sales_data_1[[#This Row],[Quantity_Sold]],2), "PASS", "CHECK")</f>
        <v>PASS</v>
      </c>
    </row>
    <row r="2453" spans="1:20" x14ac:dyDescent="0.35">
      <c r="A2453" s="7">
        <v>2452</v>
      </c>
      <c r="B2453" s="9">
        <v>1015</v>
      </c>
      <c r="C2453" s="14" t="str">
        <f>IFERROR(_xlfn.TEXTJOIN("-", TRUE, _xlfn.XLOOKUP(K2453, product_category_id_lookup!$A$2:$A$5, product_category_id_lookup!$B$2:$B$5), B2453), "Unknown Category")</f>
        <v>fd-1015</v>
      </c>
      <c r="D2453" s="8">
        <v>45394</v>
      </c>
      <c r="E2453" s="14">
        <f t="shared" si="114"/>
        <v>2024</v>
      </c>
      <c r="F2453" s="29" t="str">
        <f t="shared" si="115"/>
        <v>Apr</v>
      </c>
      <c r="G2453" s="17" t="s">
        <v>32</v>
      </c>
      <c r="H2453" s="17" t="s">
        <v>30</v>
      </c>
      <c r="I2453" s="24">
        <v>110571.50719999998</v>
      </c>
      <c r="J2453" s="32">
        <v>28</v>
      </c>
      <c r="K2453" s="17" t="s">
        <v>24</v>
      </c>
      <c r="L2453" s="24">
        <v>571.6</v>
      </c>
      <c r="M2453" s="24">
        <v>4487.4799999999996</v>
      </c>
      <c r="N2453" s="34">
        <f>((sales_data_1[[#This Row],[Unit_Price]]*(1-sales_data_1[[#This Row],[Discount]]))-sales_data_1[[#This Row],[Unit_Cost]])*sales_data_1[[#This Row],[Quantity_Sold]]</f>
        <v>94566.70719999999</v>
      </c>
      <c r="O2453" s="17" t="s">
        <v>27</v>
      </c>
      <c r="P2453" s="26">
        <v>0.12</v>
      </c>
      <c r="Q2453" s="17" t="s">
        <v>18</v>
      </c>
      <c r="R2453" s="17" t="s">
        <v>19</v>
      </c>
      <c r="S2453" s="50" t="str">
        <f t="shared" si="116"/>
        <v>Eve-East</v>
      </c>
      <c r="T2453" s="59" t="str">
        <f>IF(ROUND(sales_data_1[[#This Row],[Profit_Margin]],2)=ROUND((sales_data_1[[#This Row],[Unit_Price]]*(1-sales_data_1[[#This Row],[Discount]]) - sales_data_1[[#This Row],[Unit_Cost]])*sales_data_1[[#This Row],[Quantity_Sold]],2), "PASS", "CHECK")</f>
        <v>PASS</v>
      </c>
    </row>
    <row r="2454" spans="1:20" x14ac:dyDescent="0.35">
      <c r="A2454" s="7">
        <v>2453</v>
      </c>
      <c r="B2454" s="9">
        <v>1022</v>
      </c>
      <c r="C2454" s="14" t="str">
        <f>IFERROR(_xlfn.TEXTJOIN("-", TRUE, _xlfn.XLOOKUP(K2454, product_category_id_lookup!$A$2:$A$5, product_category_id_lookup!$B$2:$B$5), B2454), "Unknown Category")</f>
        <v>etc-1022</v>
      </c>
      <c r="D2454" s="8">
        <v>45395</v>
      </c>
      <c r="E2454" s="14">
        <f t="shared" si="114"/>
        <v>2024</v>
      </c>
      <c r="F2454" s="29" t="str">
        <f t="shared" si="115"/>
        <v>Apr</v>
      </c>
      <c r="G2454" s="17" t="s">
        <v>32</v>
      </c>
      <c r="H2454" s="17" t="s">
        <v>15</v>
      </c>
      <c r="I2454" s="24">
        <v>51393.825000000004</v>
      </c>
      <c r="J2454" s="32">
        <v>30</v>
      </c>
      <c r="K2454" s="17" t="s">
        <v>31</v>
      </c>
      <c r="L2454" s="24">
        <v>680.52</v>
      </c>
      <c r="M2454" s="24">
        <v>2284.17</v>
      </c>
      <c r="N2454" s="34">
        <f>((sales_data_1[[#This Row],[Unit_Price]]*(1-sales_data_1[[#This Row],[Discount]]))-sales_data_1[[#This Row],[Unit_Cost]])*sales_data_1[[#This Row],[Quantity_Sold]]</f>
        <v>30978.225000000002</v>
      </c>
      <c r="O2454" s="17" t="s">
        <v>27</v>
      </c>
      <c r="P2454" s="26">
        <v>0.25</v>
      </c>
      <c r="Q2454" s="17" t="s">
        <v>18</v>
      </c>
      <c r="R2454" s="17" t="s">
        <v>19</v>
      </c>
      <c r="S2454" s="50" t="str">
        <f t="shared" si="116"/>
        <v>Eve-North</v>
      </c>
      <c r="T2454" s="59" t="str">
        <f>IF(ROUND(sales_data_1[[#This Row],[Profit_Margin]],2)=ROUND((sales_data_1[[#This Row],[Unit_Price]]*(1-sales_data_1[[#This Row],[Discount]]) - sales_data_1[[#This Row],[Unit_Cost]])*sales_data_1[[#This Row],[Quantity_Sold]],2), "PASS", "CHECK")</f>
        <v>PASS</v>
      </c>
    </row>
    <row r="2455" spans="1:20" x14ac:dyDescent="0.35">
      <c r="A2455" s="7">
        <v>2454</v>
      </c>
      <c r="B2455" s="9">
        <v>1025</v>
      </c>
      <c r="C2455" s="14" t="str">
        <f>IFERROR(_xlfn.TEXTJOIN("-", TRUE, _xlfn.XLOOKUP(K2455, product_category_id_lookup!$A$2:$A$5, product_category_id_lookup!$B$2:$B$5), B2455), "Unknown Category")</f>
        <v>fnt-1025</v>
      </c>
      <c r="D2455" s="8">
        <v>45395</v>
      </c>
      <c r="E2455" s="14">
        <f t="shared" si="114"/>
        <v>2024</v>
      </c>
      <c r="F2455" s="29" t="str">
        <f t="shared" si="115"/>
        <v>Apr</v>
      </c>
      <c r="G2455" s="17" t="s">
        <v>29</v>
      </c>
      <c r="H2455" s="17" t="s">
        <v>20</v>
      </c>
      <c r="I2455" s="24">
        <v>66931.987200000003</v>
      </c>
      <c r="J2455" s="32">
        <v>23</v>
      </c>
      <c r="K2455" s="17" t="s">
        <v>16</v>
      </c>
      <c r="L2455" s="24">
        <v>1232.0999999999999</v>
      </c>
      <c r="M2455" s="24">
        <v>3269.76</v>
      </c>
      <c r="N2455" s="34">
        <f>((sales_data_1[[#This Row],[Unit_Price]]*(1-sales_data_1[[#This Row],[Discount]]))-sales_data_1[[#This Row],[Unit_Cost]])*sales_data_1[[#This Row],[Quantity_Sold]]</f>
        <v>38593.687200000008</v>
      </c>
      <c r="O2455" s="17" t="s">
        <v>27</v>
      </c>
      <c r="P2455" s="26">
        <v>0.11</v>
      </c>
      <c r="Q2455" s="17" t="s">
        <v>28</v>
      </c>
      <c r="R2455" s="17" t="s">
        <v>19</v>
      </c>
      <c r="S2455" s="50" t="str">
        <f t="shared" si="116"/>
        <v>Charlie-West</v>
      </c>
      <c r="T2455" s="59" t="str">
        <f>IF(ROUND(sales_data_1[[#This Row],[Profit_Margin]],2)=ROUND((sales_data_1[[#This Row],[Unit_Price]]*(1-sales_data_1[[#This Row],[Discount]]) - sales_data_1[[#This Row],[Unit_Cost]])*sales_data_1[[#This Row],[Quantity_Sold]],2), "PASS", "CHECK")</f>
        <v>PASS</v>
      </c>
    </row>
    <row r="2456" spans="1:20" x14ac:dyDescent="0.35">
      <c r="A2456" s="7">
        <v>2455</v>
      </c>
      <c r="B2456" s="9">
        <v>1054</v>
      </c>
      <c r="C2456" s="14" t="str">
        <f>IFERROR(_xlfn.TEXTJOIN("-", TRUE, _xlfn.XLOOKUP(K2456, product_category_id_lookup!$A$2:$A$5, product_category_id_lookup!$B$2:$B$5), B2456), "Unknown Category")</f>
        <v>etc-1054</v>
      </c>
      <c r="D2456" s="8">
        <v>45395</v>
      </c>
      <c r="E2456" s="14">
        <f t="shared" si="114"/>
        <v>2024</v>
      </c>
      <c r="F2456" s="29" t="str">
        <f t="shared" si="115"/>
        <v>Apr</v>
      </c>
      <c r="G2456" s="17" t="s">
        <v>14</v>
      </c>
      <c r="H2456" s="17" t="s">
        <v>20</v>
      </c>
      <c r="I2456" s="24">
        <v>174507.84000000003</v>
      </c>
      <c r="J2456" s="32">
        <v>39</v>
      </c>
      <c r="K2456" s="17" t="s">
        <v>31</v>
      </c>
      <c r="L2456" s="24">
        <v>3199.72</v>
      </c>
      <c r="M2456" s="24">
        <v>4474.5600000000004</v>
      </c>
      <c r="N2456" s="34">
        <f>((sales_data_1[[#This Row],[Unit_Price]]*(1-sales_data_1[[#This Row],[Discount]]))-sales_data_1[[#This Row],[Unit_Cost]])*sales_data_1[[#This Row],[Quantity_Sold]]</f>
        <v>49718.760000000024</v>
      </c>
      <c r="O2456" s="17" t="s">
        <v>17</v>
      </c>
      <c r="P2456" s="26">
        <v>0</v>
      </c>
      <c r="Q2456" s="17" t="s">
        <v>25</v>
      </c>
      <c r="R2456" s="17" t="s">
        <v>19</v>
      </c>
      <c r="S2456" s="50" t="str">
        <f t="shared" si="116"/>
        <v>Bob-West</v>
      </c>
      <c r="T2456" s="59" t="str">
        <f>IF(ROUND(sales_data_1[[#This Row],[Profit_Margin]],2)=ROUND((sales_data_1[[#This Row],[Unit_Price]]*(1-sales_data_1[[#This Row],[Discount]]) - sales_data_1[[#This Row],[Unit_Cost]])*sales_data_1[[#This Row],[Quantity_Sold]],2), "PASS", "CHECK")</f>
        <v>PASS</v>
      </c>
    </row>
    <row r="2457" spans="1:20" x14ac:dyDescent="0.35">
      <c r="A2457" s="7">
        <v>2456</v>
      </c>
      <c r="B2457" s="9">
        <v>1048</v>
      </c>
      <c r="C2457" s="14" t="str">
        <f>IFERROR(_xlfn.TEXTJOIN("-", TRUE, _xlfn.XLOOKUP(K2457, product_category_id_lookup!$A$2:$A$5, product_category_id_lookup!$B$2:$B$5), B2457), "Unknown Category")</f>
        <v>fnt-1048</v>
      </c>
      <c r="D2457" s="8">
        <v>45396</v>
      </c>
      <c r="E2457" s="14">
        <f t="shared" si="114"/>
        <v>2024</v>
      </c>
      <c r="F2457" s="29" t="str">
        <f t="shared" si="115"/>
        <v>Apr</v>
      </c>
      <c r="G2457" s="17" t="s">
        <v>33</v>
      </c>
      <c r="H2457" s="17" t="s">
        <v>15</v>
      </c>
      <c r="I2457" s="24">
        <v>110383.57023066936</v>
      </c>
      <c r="J2457" s="32">
        <v>27</v>
      </c>
      <c r="K2457" s="17" t="s">
        <v>16</v>
      </c>
      <c r="L2457" s="24">
        <v>3707.6</v>
      </c>
      <c r="M2457" s="24">
        <v>4285.6000000000004</v>
      </c>
      <c r="N2457" s="34">
        <f>((sales_data_1[[#This Row],[Unit_Price]]*(1-sales_data_1[[#This Row],[Discount]]))-sales_data_1[[#This Row],[Unit_Cost]])*sales_data_1[[#This Row],[Quantity_Sold]]</f>
        <v>9820.440000000006</v>
      </c>
      <c r="O2457" s="17" t="s">
        <v>27</v>
      </c>
      <c r="P2457" s="26">
        <v>0.05</v>
      </c>
      <c r="Q2457" s="17" t="s">
        <v>28</v>
      </c>
      <c r="R2457" s="17" t="s">
        <v>19</v>
      </c>
      <c r="S2457" s="50" t="str">
        <f t="shared" si="116"/>
        <v>Alice-North</v>
      </c>
      <c r="T2457" s="59" t="str">
        <f>IF(ROUND(sales_data_1[[#This Row],[Profit_Margin]],2)=ROUND((sales_data_1[[#This Row],[Unit_Price]]*(1-sales_data_1[[#This Row],[Discount]]) - sales_data_1[[#This Row],[Unit_Cost]])*sales_data_1[[#This Row],[Quantity_Sold]],2), "PASS", "CHECK")</f>
        <v>PASS</v>
      </c>
    </row>
    <row r="2458" spans="1:20" x14ac:dyDescent="0.35">
      <c r="A2458" s="7">
        <v>2457</v>
      </c>
      <c r="B2458" s="9">
        <v>1074</v>
      </c>
      <c r="C2458" s="14" t="str">
        <f>IFERROR(_xlfn.TEXTJOIN("-", TRUE, _xlfn.XLOOKUP(K2458, product_category_id_lookup!$A$2:$A$5, product_category_id_lookup!$B$2:$B$5), B2458), "Unknown Category")</f>
        <v>ctg-1074</v>
      </c>
      <c r="D2458" s="8">
        <v>45396</v>
      </c>
      <c r="E2458" s="14">
        <f t="shared" si="114"/>
        <v>2024</v>
      </c>
      <c r="F2458" s="29" t="str">
        <f t="shared" si="115"/>
        <v>Apr</v>
      </c>
      <c r="G2458" s="17" t="s">
        <v>33</v>
      </c>
      <c r="H2458" s="17" t="s">
        <v>30</v>
      </c>
      <c r="I2458" s="24">
        <v>117315.38</v>
      </c>
      <c r="J2458" s="32">
        <v>40</v>
      </c>
      <c r="K2458" s="17" t="s">
        <v>26</v>
      </c>
      <c r="L2458" s="24">
        <v>1015.81</v>
      </c>
      <c r="M2458" s="24">
        <v>4017.65</v>
      </c>
      <c r="N2458" s="34">
        <f>((sales_data_1[[#This Row],[Unit_Price]]*(1-sales_data_1[[#This Row],[Discount]]))-sales_data_1[[#This Row],[Unit_Cost]])*sales_data_1[[#This Row],[Quantity_Sold]]</f>
        <v>76682.98000000001</v>
      </c>
      <c r="O2458" s="17" t="s">
        <v>27</v>
      </c>
      <c r="P2458" s="26">
        <v>0.27</v>
      </c>
      <c r="Q2458" s="17" t="s">
        <v>28</v>
      </c>
      <c r="R2458" s="17" t="s">
        <v>19</v>
      </c>
      <c r="S2458" s="50" t="str">
        <f t="shared" si="116"/>
        <v>Alice-East</v>
      </c>
      <c r="T2458" s="59" t="str">
        <f>IF(ROUND(sales_data_1[[#This Row],[Profit_Margin]],2)=ROUND((sales_data_1[[#This Row],[Unit_Price]]*(1-sales_data_1[[#This Row],[Discount]]) - sales_data_1[[#This Row],[Unit_Cost]])*sales_data_1[[#This Row],[Quantity_Sold]],2), "PASS", "CHECK")</f>
        <v>PASS</v>
      </c>
    </row>
    <row r="2459" spans="1:20" x14ac:dyDescent="0.35">
      <c r="A2459" s="7">
        <v>2458</v>
      </c>
      <c r="B2459" s="9">
        <v>1046</v>
      </c>
      <c r="C2459" s="14" t="str">
        <f>IFERROR(_xlfn.TEXTJOIN("-", TRUE, _xlfn.XLOOKUP(K2459, product_category_id_lookup!$A$2:$A$5, product_category_id_lookup!$B$2:$B$5), B2459), "Unknown Category")</f>
        <v>etc-1046</v>
      </c>
      <c r="D2459" s="8">
        <v>45397</v>
      </c>
      <c r="E2459" s="14">
        <f t="shared" si="114"/>
        <v>2024</v>
      </c>
      <c r="F2459" s="29" t="str">
        <f t="shared" si="115"/>
        <v>Apr</v>
      </c>
      <c r="G2459" s="17" t="s">
        <v>29</v>
      </c>
      <c r="H2459" s="17" t="s">
        <v>30</v>
      </c>
      <c r="I2459" s="24">
        <v>36493.828000000001</v>
      </c>
      <c r="J2459" s="32">
        <v>10</v>
      </c>
      <c r="K2459" s="17" t="s">
        <v>31</v>
      </c>
      <c r="L2459" s="24">
        <v>3530.4</v>
      </c>
      <c r="M2459" s="24">
        <v>3723.86</v>
      </c>
      <c r="N2459" s="34">
        <f>((sales_data_1[[#This Row],[Unit_Price]]*(1-sales_data_1[[#This Row],[Discount]]))-sales_data_1[[#This Row],[Unit_Cost]])*sales_data_1[[#This Row],[Quantity_Sold]]</f>
        <v>1189.8279999999977</v>
      </c>
      <c r="O2459" s="17" t="s">
        <v>17</v>
      </c>
      <c r="P2459" s="26">
        <v>0.02</v>
      </c>
      <c r="Q2459" s="17" t="s">
        <v>25</v>
      </c>
      <c r="R2459" s="17" t="s">
        <v>19</v>
      </c>
      <c r="S2459" s="50" t="str">
        <f t="shared" si="116"/>
        <v>Charlie-East</v>
      </c>
      <c r="T2459" s="59" t="str">
        <f>IF(ROUND(sales_data_1[[#This Row],[Profit_Margin]],2)=ROUND((sales_data_1[[#This Row],[Unit_Price]]*(1-sales_data_1[[#This Row],[Discount]]) - sales_data_1[[#This Row],[Unit_Cost]])*sales_data_1[[#This Row],[Quantity_Sold]],2), "PASS", "CHECK")</f>
        <v>PASS</v>
      </c>
    </row>
    <row r="2460" spans="1:20" x14ac:dyDescent="0.35">
      <c r="A2460" s="7">
        <v>2459</v>
      </c>
      <c r="B2460" s="9">
        <v>1088</v>
      </c>
      <c r="C2460" s="14" t="str">
        <f>IFERROR(_xlfn.TEXTJOIN("-", TRUE, _xlfn.XLOOKUP(K2460, product_category_id_lookup!$A$2:$A$5, product_category_id_lookup!$B$2:$B$5), B2460), "Unknown Category")</f>
        <v>etc-1088</v>
      </c>
      <c r="D2460" s="8">
        <v>45397</v>
      </c>
      <c r="E2460" s="14">
        <f t="shared" si="114"/>
        <v>2024</v>
      </c>
      <c r="F2460" s="29" t="str">
        <f t="shared" si="115"/>
        <v>Apr</v>
      </c>
      <c r="G2460" s="17" t="s">
        <v>29</v>
      </c>
      <c r="H2460" s="17" t="s">
        <v>15</v>
      </c>
      <c r="I2460" s="24">
        <v>31597.242900000005</v>
      </c>
      <c r="J2460" s="32">
        <v>31</v>
      </c>
      <c r="K2460" s="17" t="s">
        <v>31</v>
      </c>
      <c r="L2460" s="24">
        <v>584.08000000000004</v>
      </c>
      <c r="M2460" s="24">
        <v>1290.21</v>
      </c>
      <c r="N2460" s="34">
        <f>((sales_data_1[[#This Row],[Unit_Price]]*(1-sales_data_1[[#This Row],[Discount]]))-sales_data_1[[#This Row],[Unit_Cost]])*sales_data_1[[#This Row],[Quantity_Sold]]</f>
        <v>13490.762900000002</v>
      </c>
      <c r="O2460" s="17" t="s">
        <v>17</v>
      </c>
      <c r="P2460" s="26">
        <v>0.21</v>
      </c>
      <c r="Q2460" s="17" t="s">
        <v>28</v>
      </c>
      <c r="R2460" s="17" t="s">
        <v>21</v>
      </c>
      <c r="S2460" s="50" t="str">
        <f t="shared" si="116"/>
        <v>Charlie-North</v>
      </c>
      <c r="T2460" s="59" t="str">
        <f>IF(ROUND(sales_data_1[[#This Row],[Profit_Margin]],2)=ROUND((sales_data_1[[#This Row],[Unit_Price]]*(1-sales_data_1[[#This Row],[Discount]]) - sales_data_1[[#This Row],[Unit_Cost]])*sales_data_1[[#This Row],[Quantity_Sold]],2), "PASS", "CHECK")</f>
        <v>PASS</v>
      </c>
    </row>
    <row r="2461" spans="1:20" x14ac:dyDescent="0.35">
      <c r="A2461" s="7">
        <v>2460</v>
      </c>
      <c r="B2461" s="9">
        <v>1048</v>
      </c>
      <c r="C2461" s="14" t="str">
        <f>IFERROR(_xlfn.TEXTJOIN("-", TRUE, _xlfn.XLOOKUP(K2461, product_category_id_lookup!$A$2:$A$5, product_category_id_lookup!$B$2:$B$5), B2461), "Unknown Category")</f>
        <v>fd-1048</v>
      </c>
      <c r="D2461" s="8">
        <v>45397</v>
      </c>
      <c r="E2461" s="14">
        <f t="shared" si="114"/>
        <v>2024</v>
      </c>
      <c r="F2461" s="29" t="str">
        <f t="shared" si="115"/>
        <v>Apr</v>
      </c>
      <c r="G2461" s="17" t="s">
        <v>33</v>
      </c>
      <c r="H2461" s="17" t="s">
        <v>30</v>
      </c>
      <c r="I2461" s="24">
        <v>149375.5692</v>
      </c>
      <c r="J2461" s="32">
        <v>39</v>
      </c>
      <c r="K2461" s="17" t="s">
        <v>24</v>
      </c>
      <c r="L2461" s="24">
        <v>1626.9</v>
      </c>
      <c r="M2461" s="24">
        <v>4074.62</v>
      </c>
      <c r="N2461" s="34">
        <f>((sales_data_1[[#This Row],[Unit_Price]]*(1-sales_data_1[[#This Row],[Discount]]))-sales_data_1[[#This Row],[Unit_Cost]])*sales_data_1[[#This Row],[Quantity_Sold]]</f>
        <v>85926.469199999978</v>
      </c>
      <c r="O2461" s="17" t="s">
        <v>27</v>
      </c>
      <c r="P2461" s="26">
        <v>0.06</v>
      </c>
      <c r="Q2461" s="17" t="s">
        <v>28</v>
      </c>
      <c r="R2461" s="17" t="s">
        <v>19</v>
      </c>
      <c r="S2461" s="50" t="str">
        <f t="shared" si="116"/>
        <v>Alice-East</v>
      </c>
      <c r="T2461" s="59" t="str">
        <f>IF(ROUND(sales_data_1[[#This Row],[Profit_Margin]],2)=ROUND((sales_data_1[[#This Row],[Unit_Price]]*(1-sales_data_1[[#This Row],[Discount]]) - sales_data_1[[#This Row],[Unit_Cost]])*sales_data_1[[#This Row],[Quantity_Sold]],2), "PASS", "CHECK")</f>
        <v>PASS</v>
      </c>
    </row>
    <row r="2462" spans="1:20" x14ac:dyDescent="0.35">
      <c r="A2462" s="7">
        <v>2461</v>
      </c>
      <c r="B2462" s="9">
        <v>1041</v>
      </c>
      <c r="C2462" s="14" t="str">
        <f>IFERROR(_xlfn.TEXTJOIN("-", TRUE, _xlfn.XLOOKUP(K2462, product_category_id_lookup!$A$2:$A$5, product_category_id_lookup!$B$2:$B$5), B2462), "Unknown Category")</f>
        <v>fnt-1041</v>
      </c>
      <c r="D2462" s="8">
        <v>45399</v>
      </c>
      <c r="E2462" s="14">
        <f t="shared" si="114"/>
        <v>2024</v>
      </c>
      <c r="F2462" s="29" t="str">
        <f t="shared" si="115"/>
        <v>Apr</v>
      </c>
      <c r="G2462" s="17" t="s">
        <v>14</v>
      </c>
      <c r="H2462" s="17" t="s">
        <v>15</v>
      </c>
      <c r="I2462" s="24">
        <v>4039.9531999999999</v>
      </c>
      <c r="J2462" s="32">
        <v>1</v>
      </c>
      <c r="K2462" s="17" t="s">
        <v>16</v>
      </c>
      <c r="L2462" s="24">
        <v>1754.36</v>
      </c>
      <c r="M2462" s="24">
        <v>4697.62</v>
      </c>
      <c r="N2462" s="34">
        <f>((sales_data_1[[#This Row],[Unit_Price]]*(1-sales_data_1[[#This Row],[Discount]]))-sales_data_1[[#This Row],[Unit_Cost]])*sales_data_1[[#This Row],[Quantity_Sold]]</f>
        <v>2285.5932000000003</v>
      </c>
      <c r="O2462" s="17" t="s">
        <v>17</v>
      </c>
      <c r="P2462" s="26">
        <v>0.14000000000000001</v>
      </c>
      <c r="Q2462" s="17" t="s">
        <v>25</v>
      </c>
      <c r="R2462" s="17" t="s">
        <v>19</v>
      </c>
      <c r="S2462" s="50" t="str">
        <f t="shared" si="116"/>
        <v>Bob-North</v>
      </c>
      <c r="T2462" s="59" t="str">
        <f>IF(ROUND(sales_data_1[[#This Row],[Profit_Margin]],2)=ROUND((sales_data_1[[#This Row],[Unit_Price]]*(1-sales_data_1[[#This Row],[Discount]]) - sales_data_1[[#This Row],[Unit_Cost]])*sales_data_1[[#This Row],[Quantity_Sold]],2), "PASS", "CHECK")</f>
        <v>PASS</v>
      </c>
    </row>
    <row r="2463" spans="1:20" x14ac:dyDescent="0.35">
      <c r="A2463" s="7">
        <v>2462</v>
      </c>
      <c r="B2463" s="9">
        <v>1061</v>
      </c>
      <c r="C2463" s="14" t="str">
        <f>IFERROR(_xlfn.TEXTJOIN("-", TRUE, _xlfn.XLOOKUP(K2463, product_category_id_lookup!$A$2:$A$5, product_category_id_lookup!$B$2:$B$5), B2463), "Unknown Category")</f>
        <v>etc-1061</v>
      </c>
      <c r="D2463" s="8">
        <v>45399</v>
      </c>
      <c r="E2463" s="14">
        <f t="shared" si="114"/>
        <v>2024</v>
      </c>
      <c r="F2463" s="29" t="str">
        <f t="shared" si="115"/>
        <v>Apr</v>
      </c>
      <c r="G2463" s="17" t="s">
        <v>29</v>
      </c>
      <c r="H2463" s="17" t="s">
        <v>15</v>
      </c>
      <c r="I2463" s="24">
        <v>15408.3575</v>
      </c>
      <c r="J2463" s="32">
        <v>5</v>
      </c>
      <c r="K2463" s="17" t="s">
        <v>31</v>
      </c>
      <c r="L2463" s="24">
        <v>1783.87</v>
      </c>
      <c r="M2463" s="24">
        <v>3900.85</v>
      </c>
      <c r="N2463" s="34">
        <f>((sales_data_1[[#This Row],[Unit_Price]]*(1-sales_data_1[[#This Row],[Discount]]))-sales_data_1[[#This Row],[Unit_Cost]])*sales_data_1[[#This Row],[Quantity_Sold]]</f>
        <v>6489.0074999999997</v>
      </c>
      <c r="O2463" s="17" t="s">
        <v>27</v>
      </c>
      <c r="P2463" s="26">
        <v>0.21</v>
      </c>
      <c r="Q2463" s="17" t="s">
        <v>18</v>
      </c>
      <c r="R2463" s="17" t="s">
        <v>21</v>
      </c>
      <c r="S2463" s="50" t="str">
        <f t="shared" si="116"/>
        <v>Charlie-North</v>
      </c>
      <c r="T2463" s="59" t="str">
        <f>IF(ROUND(sales_data_1[[#This Row],[Profit_Margin]],2)=ROUND((sales_data_1[[#This Row],[Unit_Price]]*(1-sales_data_1[[#This Row],[Discount]]) - sales_data_1[[#This Row],[Unit_Cost]])*sales_data_1[[#This Row],[Quantity_Sold]],2), "PASS", "CHECK")</f>
        <v>PASS</v>
      </c>
    </row>
    <row r="2464" spans="1:20" x14ac:dyDescent="0.35">
      <c r="A2464" s="7">
        <v>2463</v>
      </c>
      <c r="B2464" s="9">
        <v>1026</v>
      </c>
      <c r="C2464" s="14" t="str">
        <f>IFERROR(_xlfn.TEXTJOIN("-", TRUE, _xlfn.XLOOKUP(K2464, product_category_id_lookup!$A$2:$A$5, product_category_id_lookup!$B$2:$B$5), B2464), "Unknown Category")</f>
        <v>etc-1026</v>
      </c>
      <c r="D2464" s="8">
        <v>45399</v>
      </c>
      <c r="E2464" s="14">
        <f t="shared" si="114"/>
        <v>2024</v>
      </c>
      <c r="F2464" s="29" t="str">
        <f t="shared" si="115"/>
        <v>Apr</v>
      </c>
      <c r="G2464" s="17" t="s">
        <v>14</v>
      </c>
      <c r="H2464" s="17" t="s">
        <v>23</v>
      </c>
      <c r="I2464" s="24">
        <v>21008.6</v>
      </c>
      <c r="J2464" s="32">
        <v>4</v>
      </c>
      <c r="K2464" s="17" t="s">
        <v>31</v>
      </c>
      <c r="L2464" s="24">
        <v>3245</v>
      </c>
      <c r="M2464" s="24">
        <v>5252.15</v>
      </c>
      <c r="N2464" s="34">
        <f>((sales_data_1[[#This Row],[Unit_Price]]*(1-sales_data_1[[#This Row],[Discount]]))-sales_data_1[[#This Row],[Unit_Cost]])*sales_data_1[[#This Row],[Quantity_Sold]]</f>
        <v>8028.5999999999985</v>
      </c>
      <c r="O2464" s="17" t="s">
        <v>17</v>
      </c>
      <c r="P2464" s="26">
        <v>0</v>
      </c>
      <c r="Q2464" s="17" t="s">
        <v>25</v>
      </c>
      <c r="R2464" s="17" t="s">
        <v>21</v>
      </c>
      <c r="S2464" s="50" t="str">
        <f t="shared" si="116"/>
        <v>Bob-South</v>
      </c>
      <c r="T2464" s="59" t="str">
        <f>IF(ROUND(sales_data_1[[#This Row],[Profit_Margin]],2)=ROUND((sales_data_1[[#This Row],[Unit_Price]]*(1-sales_data_1[[#This Row],[Discount]]) - sales_data_1[[#This Row],[Unit_Cost]])*sales_data_1[[#This Row],[Quantity_Sold]],2), "PASS", "CHECK")</f>
        <v>PASS</v>
      </c>
    </row>
    <row r="2465" spans="1:20" x14ac:dyDescent="0.35">
      <c r="A2465" s="7">
        <v>2464</v>
      </c>
      <c r="B2465" s="9">
        <v>1075</v>
      </c>
      <c r="C2465" s="14" t="str">
        <f>IFERROR(_xlfn.TEXTJOIN("-", TRUE, _xlfn.XLOOKUP(K2465, product_category_id_lookup!$A$2:$A$5, product_category_id_lookup!$B$2:$B$5), B2465), "Unknown Category")</f>
        <v>fd-1075</v>
      </c>
      <c r="D2465" s="8">
        <v>45399</v>
      </c>
      <c r="E2465" s="14">
        <f t="shared" si="114"/>
        <v>2024</v>
      </c>
      <c r="F2465" s="29" t="str">
        <f t="shared" si="115"/>
        <v>Apr</v>
      </c>
      <c r="G2465" s="17" t="s">
        <v>22</v>
      </c>
      <c r="H2465" s="17" t="s">
        <v>20</v>
      </c>
      <c r="I2465" s="24">
        <v>94220.0485276947</v>
      </c>
      <c r="J2465" s="32">
        <v>22</v>
      </c>
      <c r="K2465" s="17" t="s">
        <v>24</v>
      </c>
      <c r="L2465" s="24">
        <v>3289.96</v>
      </c>
      <c r="M2465" s="24">
        <v>4449.3900000000003</v>
      </c>
      <c r="N2465" s="34">
        <f>((sales_data_1[[#This Row],[Unit_Price]]*(1-sales_data_1[[#This Row],[Discount]]))-sales_data_1[[#This Row],[Unit_Cost]])*sales_data_1[[#This Row],[Quantity_Sold]]</f>
        <v>21591.996800000012</v>
      </c>
      <c r="O2465" s="17" t="s">
        <v>27</v>
      </c>
      <c r="P2465" s="26">
        <v>0.04</v>
      </c>
      <c r="Q2465" s="17" t="s">
        <v>28</v>
      </c>
      <c r="R2465" s="17" t="s">
        <v>19</v>
      </c>
      <c r="S2465" s="50" t="str">
        <f t="shared" si="116"/>
        <v>David-West</v>
      </c>
      <c r="T2465" s="59" t="str">
        <f>IF(ROUND(sales_data_1[[#This Row],[Profit_Margin]],2)=ROUND((sales_data_1[[#This Row],[Unit_Price]]*(1-sales_data_1[[#This Row],[Discount]]) - sales_data_1[[#This Row],[Unit_Cost]])*sales_data_1[[#This Row],[Quantity_Sold]],2), "PASS", "CHECK")</f>
        <v>PASS</v>
      </c>
    </row>
    <row r="2466" spans="1:20" x14ac:dyDescent="0.35">
      <c r="A2466" s="7">
        <v>2465</v>
      </c>
      <c r="B2466" s="9">
        <v>1024</v>
      </c>
      <c r="C2466" s="14" t="str">
        <f>IFERROR(_xlfn.TEXTJOIN("-", TRUE, _xlfn.XLOOKUP(K2466, product_category_id_lookup!$A$2:$A$5, product_category_id_lookup!$B$2:$B$5), B2466), "Unknown Category")</f>
        <v>ctg-1024</v>
      </c>
      <c r="D2466" s="8">
        <v>45399</v>
      </c>
      <c r="E2466" s="14">
        <f t="shared" si="114"/>
        <v>2024</v>
      </c>
      <c r="F2466" s="29" t="str">
        <f t="shared" si="115"/>
        <v>Apr</v>
      </c>
      <c r="G2466" s="17" t="s">
        <v>22</v>
      </c>
      <c r="H2466" s="17" t="s">
        <v>30</v>
      </c>
      <c r="I2466" s="24">
        <v>44193.2</v>
      </c>
      <c r="J2466" s="32">
        <v>20</v>
      </c>
      <c r="K2466" s="17" t="s">
        <v>26</v>
      </c>
      <c r="L2466" s="24">
        <v>178.97</v>
      </c>
      <c r="M2466" s="24">
        <v>2599.6</v>
      </c>
      <c r="N2466" s="34">
        <f>((sales_data_1[[#This Row],[Unit_Price]]*(1-sales_data_1[[#This Row],[Discount]]))-sales_data_1[[#This Row],[Unit_Cost]])*sales_data_1[[#This Row],[Quantity_Sold]]</f>
        <v>40613.799999999996</v>
      </c>
      <c r="O2466" s="17" t="s">
        <v>27</v>
      </c>
      <c r="P2466" s="26">
        <v>0.15</v>
      </c>
      <c r="Q2466" s="17" t="s">
        <v>28</v>
      </c>
      <c r="R2466" s="17" t="s">
        <v>21</v>
      </c>
      <c r="S2466" s="50" t="str">
        <f t="shared" si="116"/>
        <v>David-East</v>
      </c>
      <c r="T2466" s="59" t="str">
        <f>IF(ROUND(sales_data_1[[#This Row],[Profit_Margin]],2)=ROUND((sales_data_1[[#This Row],[Unit_Price]]*(1-sales_data_1[[#This Row],[Discount]]) - sales_data_1[[#This Row],[Unit_Cost]])*sales_data_1[[#This Row],[Quantity_Sold]],2), "PASS", "CHECK")</f>
        <v>PASS</v>
      </c>
    </row>
    <row r="2467" spans="1:20" x14ac:dyDescent="0.35">
      <c r="A2467" s="7">
        <v>2466</v>
      </c>
      <c r="B2467" s="9">
        <v>1038</v>
      </c>
      <c r="C2467" s="14" t="str">
        <f>IFERROR(_xlfn.TEXTJOIN("-", TRUE, _xlfn.XLOOKUP(K2467, product_category_id_lookup!$A$2:$A$5, product_category_id_lookup!$B$2:$B$5), B2467), "Unknown Category")</f>
        <v>ctg-1038</v>
      </c>
      <c r="D2467" s="8">
        <v>45399</v>
      </c>
      <c r="E2467" s="14">
        <f t="shared" si="114"/>
        <v>2024</v>
      </c>
      <c r="F2467" s="29" t="str">
        <f t="shared" si="115"/>
        <v>Apr</v>
      </c>
      <c r="G2467" s="17" t="s">
        <v>14</v>
      </c>
      <c r="H2467" s="17" t="s">
        <v>20</v>
      </c>
      <c r="I2467" s="24">
        <v>132723.198</v>
      </c>
      <c r="J2467" s="32">
        <v>43</v>
      </c>
      <c r="K2467" s="17" t="s">
        <v>26</v>
      </c>
      <c r="L2467" s="24">
        <v>1827.88</v>
      </c>
      <c r="M2467" s="24">
        <v>3810.6</v>
      </c>
      <c r="N2467" s="34">
        <f>((sales_data_1[[#This Row],[Unit_Price]]*(1-sales_data_1[[#This Row],[Discount]]))-sales_data_1[[#This Row],[Unit_Cost]])*sales_data_1[[#This Row],[Quantity_Sold]]</f>
        <v>54124.358000000007</v>
      </c>
      <c r="O2467" s="17" t="s">
        <v>17</v>
      </c>
      <c r="P2467" s="26">
        <v>0.19</v>
      </c>
      <c r="Q2467" s="17" t="s">
        <v>25</v>
      </c>
      <c r="R2467" s="17" t="s">
        <v>19</v>
      </c>
      <c r="S2467" s="50" t="str">
        <f t="shared" si="116"/>
        <v>Bob-West</v>
      </c>
      <c r="T2467" s="59" t="str">
        <f>IF(ROUND(sales_data_1[[#This Row],[Profit_Margin]],2)=ROUND((sales_data_1[[#This Row],[Unit_Price]]*(1-sales_data_1[[#This Row],[Discount]]) - sales_data_1[[#This Row],[Unit_Cost]])*sales_data_1[[#This Row],[Quantity_Sold]],2), "PASS", "CHECK")</f>
        <v>PASS</v>
      </c>
    </row>
    <row r="2468" spans="1:20" x14ac:dyDescent="0.35">
      <c r="A2468" s="7">
        <v>2467</v>
      </c>
      <c r="B2468" s="9">
        <v>1089</v>
      </c>
      <c r="C2468" s="14" t="str">
        <f>IFERROR(_xlfn.TEXTJOIN("-", TRUE, _xlfn.XLOOKUP(K2468, product_category_id_lookup!$A$2:$A$5, product_category_id_lookup!$B$2:$B$5), B2468), "Unknown Category")</f>
        <v>etc-1089</v>
      </c>
      <c r="D2468" s="8">
        <v>45400</v>
      </c>
      <c r="E2468" s="14">
        <f t="shared" si="114"/>
        <v>2024</v>
      </c>
      <c r="F2468" s="29" t="str">
        <f t="shared" si="115"/>
        <v>Apr</v>
      </c>
      <c r="G2468" s="17" t="s">
        <v>22</v>
      </c>
      <c r="H2468" s="17" t="s">
        <v>30</v>
      </c>
      <c r="I2468" s="24">
        <v>33772.784188090365</v>
      </c>
      <c r="J2468" s="32">
        <v>20</v>
      </c>
      <c r="K2468" s="17" t="s">
        <v>31</v>
      </c>
      <c r="L2468" s="24">
        <v>1302.43</v>
      </c>
      <c r="M2468" s="24">
        <v>1706.15</v>
      </c>
      <c r="N2468" s="34">
        <f>((sales_data_1[[#This Row],[Unit_Price]]*(1-sales_data_1[[#This Row],[Discount]]))-sales_data_1[[#This Row],[Unit_Cost]])*sales_data_1[[#This Row],[Quantity_Sold]]</f>
        <v>7733.17</v>
      </c>
      <c r="O2468" s="17" t="s">
        <v>17</v>
      </c>
      <c r="P2468" s="26">
        <v>0.01</v>
      </c>
      <c r="Q2468" s="17" t="s">
        <v>28</v>
      </c>
      <c r="R2468" s="17" t="s">
        <v>21</v>
      </c>
      <c r="S2468" s="50" t="str">
        <f t="shared" si="116"/>
        <v>David-East</v>
      </c>
      <c r="T2468" s="59" t="str">
        <f>IF(ROUND(sales_data_1[[#This Row],[Profit_Margin]],2)=ROUND((sales_data_1[[#This Row],[Unit_Price]]*(1-sales_data_1[[#This Row],[Discount]]) - sales_data_1[[#This Row],[Unit_Cost]])*sales_data_1[[#This Row],[Quantity_Sold]],2), "PASS", "CHECK")</f>
        <v>PASS</v>
      </c>
    </row>
    <row r="2469" spans="1:20" x14ac:dyDescent="0.35">
      <c r="A2469" s="7">
        <v>2468</v>
      </c>
      <c r="B2469" s="9">
        <v>1028</v>
      </c>
      <c r="C2469" s="14" t="str">
        <f>IFERROR(_xlfn.TEXTJOIN("-", TRUE, _xlfn.XLOOKUP(K2469, product_category_id_lookup!$A$2:$A$5, product_category_id_lookup!$B$2:$B$5), B2469), "Unknown Category")</f>
        <v>fnt-1028</v>
      </c>
      <c r="D2469" s="8">
        <v>45400</v>
      </c>
      <c r="E2469" s="14">
        <f t="shared" si="114"/>
        <v>2024</v>
      </c>
      <c r="F2469" s="29" t="str">
        <f t="shared" si="115"/>
        <v>Apr</v>
      </c>
      <c r="G2469" s="17" t="s">
        <v>32</v>
      </c>
      <c r="H2469" s="17" t="s">
        <v>30</v>
      </c>
      <c r="I2469" s="24">
        <v>232898.35200000001</v>
      </c>
      <c r="J2469" s="32">
        <v>48</v>
      </c>
      <c r="K2469" s="17" t="s">
        <v>16</v>
      </c>
      <c r="L2469" s="24">
        <v>4492.49</v>
      </c>
      <c r="M2469" s="24">
        <v>5107.42</v>
      </c>
      <c r="N2469" s="34">
        <f>((sales_data_1[[#This Row],[Unit_Price]]*(1-sales_data_1[[#This Row],[Discount]]))-sales_data_1[[#This Row],[Unit_Cost]])*sales_data_1[[#This Row],[Quantity_Sold]]</f>
        <v>17258.832000000009</v>
      </c>
      <c r="O2469" s="17" t="s">
        <v>17</v>
      </c>
      <c r="P2469" s="26">
        <v>0.05</v>
      </c>
      <c r="Q2469" s="17" t="s">
        <v>28</v>
      </c>
      <c r="R2469" s="17" t="s">
        <v>21</v>
      </c>
      <c r="S2469" s="50" t="str">
        <f t="shared" si="116"/>
        <v>Eve-East</v>
      </c>
      <c r="T2469" s="59" t="str">
        <f>IF(ROUND(sales_data_1[[#This Row],[Profit_Margin]],2)=ROUND((sales_data_1[[#This Row],[Unit_Price]]*(1-sales_data_1[[#This Row],[Discount]]) - sales_data_1[[#This Row],[Unit_Cost]])*sales_data_1[[#This Row],[Quantity_Sold]],2), "PASS", "CHECK")</f>
        <v>PASS</v>
      </c>
    </row>
    <row r="2470" spans="1:20" x14ac:dyDescent="0.35">
      <c r="A2470" s="7">
        <v>2469</v>
      </c>
      <c r="B2470" s="9">
        <v>1080</v>
      </c>
      <c r="C2470" s="14" t="str">
        <f>IFERROR(_xlfn.TEXTJOIN("-", TRUE, _xlfn.XLOOKUP(K2470, product_category_id_lookup!$A$2:$A$5, product_category_id_lookup!$B$2:$B$5), B2470), "Unknown Category")</f>
        <v>ctg-1080</v>
      </c>
      <c r="D2470" s="8">
        <v>45400</v>
      </c>
      <c r="E2470" s="14">
        <f t="shared" si="114"/>
        <v>2024</v>
      </c>
      <c r="F2470" s="29" t="str">
        <f t="shared" si="115"/>
        <v>Apr</v>
      </c>
      <c r="G2470" s="17" t="s">
        <v>33</v>
      </c>
      <c r="H2470" s="17" t="s">
        <v>20</v>
      </c>
      <c r="I2470" s="24">
        <v>24442.5216</v>
      </c>
      <c r="J2470" s="32">
        <v>7</v>
      </c>
      <c r="K2470" s="17" t="s">
        <v>26</v>
      </c>
      <c r="L2470" s="24">
        <v>1026.04</v>
      </c>
      <c r="M2470" s="24">
        <v>3637.28</v>
      </c>
      <c r="N2470" s="34">
        <f>((sales_data_1[[#This Row],[Unit_Price]]*(1-sales_data_1[[#This Row],[Discount]]))-sales_data_1[[#This Row],[Unit_Cost]])*sales_data_1[[#This Row],[Quantity_Sold]]</f>
        <v>17260.241600000001</v>
      </c>
      <c r="O2470" s="17" t="s">
        <v>27</v>
      </c>
      <c r="P2470" s="26">
        <v>0.04</v>
      </c>
      <c r="Q2470" s="17" t="s">
        <v>28</v>
      </c>
      <c r="R2470" s="17" t="s">
        <v>19</v>
      </c>
      <c r="S2470" s="50" t="str">
        <f t="shared" si="116"/>
        <v>Alice-West</v>
      </c>
      <c r="T2470" s="59" t="str">
        <f>IF(ROUND(sales_data_1[[#This Row],[Profit_Margin]],2)=ROUND((sales_data_1[[#This Row],[Unit_Price]]*(1-sales_data_1[[#This Row],[Discount]]) - sales_data_1[[#This Row],[Unit_Cost]])*sales_data_1[[#This Row],[Quantity_Sold]],2), "PASS", "CHECK")</f>
        <v>PASS</v>
      </c>
    </row>
    <row r="2471" spans="1:20" x14ac:dyDescent="0.35">
      <c r="A2471" s="7">
        <v>2470</v>
      </c>
      <c r="B2471" s="9">
        <v>1031</v>
      </c>
      <c r="C2471" s="14" t="str">
        <f>IFERROR(_xlfn.TEXTJOIN("-", TRUE, _xlfn.XLOOKUP(K2471, product_category_id_lookup!$A$2:$A$5, product_category_id_lookup!$B$2:$B$5), B2471), "Unknown Category")</f>
        <v>fd-1031</v>
      </c>
      <c r="D2471" s="8">
        <v>45400</v>
      </c>
      <c r="E2471" s="14">
        <f t="shared" si="114"/>
        <v>2024</v>
      </c>
      <c r="F2471" s="29" t="str">
        <f t="shared" si="115"/>
        <v>Apr</v>
      </c>
      <c r="G2471" s="17" t="s">
        <v>33</v>
      </c>
      <c r="H2471" s="17" t="s">
        <v>20</v>
      </c>
      <c r="I2471" s="24">
        <v>31070.275199999996</v>
      </c>
      <c r="J2471" s="32">
        <v>12</v>
      </c>
      <c r="K2471" s="17" t="s">
        <v>24</v>
      </c>
      <c r="L2471" s="24">
        <v>454.75</v>
      </c>
      <c r="M2471" s="24">
        <v>2976.08</v>
      </c>
      <c r="N2471" s="34">
        <f>((sales_data_1[[#This Row],[Unit_Price]]*(1-sales_data_1[[#This Row],[Discount]]))-sales_data_1[[#This Row],[Unit_Cost]])*sales_data_1[[#This Row],[Quantity_Sold]]</f>
        <v>25613.275199999996</v>
      </c>
      <c r="O2471" s="17" t="s">
        <v>17</v>
      </c>
      <c r="P2471" s="26">
        <v>0.13</v>
      </c>
      <c r="Q2471" s="17" t="s">
        <v>25</v>
      </c>
      <c r="R2471" s="17" t="s">
        <v>21</v>
      </c>
      <c r="S2471" s="50" t="str">
        <f t="shared" si="116"/>
        <v>Alice-West</v>
      </c>
      <c r="T2471" s="59" t="str">
        <f>IF(ROUND(sales_data_1[[#This Row],[Profit_Margin]],2)=ROUND((sales_data_1[[#This Row],[Unit_Price]]*(1-sales_data_1[[#This Row],[Discount]]) - sales_data_1[[#This Row],[Unit_Cost]])*sales_data_1[[#This Row],[Quantity_Sold]],2), "PASS", "CHECK")</f>
        <v>PASS</v>
      </c>
    </row>
    <row r="2472" spans="1:20" x14ac:dyDescent="0.35">
      <c r="A2472" s="7">
        <v>2471</v>
      </c>
      <c r="B2472" s="9">
        <v>1077</v>
      </c>
      <c r="C2472" s="14" t="str">
        <f>IFERROR(_xlfn.TEXTJOIN("-", TRUE, _xlfn.XLOOKUP(K2472, product_category_id_lookup!$A$2:$A$5, product_category_id_lookup!$B$2:$B$5), B2472), "Unknown Category")</f>
        <v>fd-1077</v>
      </c>
      <c r="D2472" s="8">
        <v>45401</v>
      </c>
      <c r="E2472" s="14">
        <f t="shared" si="114"/>
        <v>2024</v>
      </c>
      <c r="F2472" s="29" t="str">
        <f t="shared" si="115"/>
        <v>Apr</v>
      </c>
      <c r="G2472" s="17" t="s">
        <v>14</v>
      </c>
      <c r="H2472" s="17" t="s">
        <v>20</v>
      </c>
      <c r="I2472" s="24">
        <v>89767.343999999997</v>
      </c>
      <c r="J2472" s="32">
        <v>40</v>
      </c>
      <c r="K2472" s="17" t="s">
        <v>24</v>
      </c>
      <c r="L2472" s="24">
        <v>2131.21</v>
      </c>
      <c r="M2472" s="24">
        <v>2439.33</v>
      </c>
      <c r="N2472" s="34">
        <f>((sales_data_1[[#This Row],[Unit_Price]]*(1-sales_data_1[[#This Row],[Discount]]))-sales_data_1[[#This Row],[Unit_Cost]])*sales_data_1[[#This Row],[Quantity_Sold]]</f>
        <v>4518.9439999999922</v>
      </c>
      <c r="O2472" s="17" t="s">
        <v>27</v>
      </c>
      <c r="P2472" s="26">
        <v>0.08</v>
      </c>
      <c r="Q2472" s="17" t="s">
        <v>28</v>
      </c>
      <c r="R2472" s="17" t="s">
        <v>21</v>
      </c>
      <c r="S2472" s="50" t="str">
        <f t="shared" si="116"/>
        <v>Bob-West</v>
      </c>
      <c r="T2472" s="59" t="str">
        <f>IF(ROUND(sales_data_1[[#This Row],[Profit_Margin]],2)=ROUND((sales_data_1[[#This Row],[Unit_Price]]*(1-sales_data_1[[#This Row],[Discount]]) - sales_data_1[[#This Row],[Unit_Cost]])*sales_data_1[[#This Row],[Quantity_Sold]],2), "PASS", "CHECK")</f>
        <v>PASS</v>
      </c>
    </row>
    <row r="2473" spans="1:20" x14ac:dyDescent="0.35">
      <c r="A2473" s="7">
        <v>2472</v>
      </c>
      <c r="B2473" s="9">
        <v>1028</v>
      </c>
      <c r="C2473" s="14" t="str">
        <f>IFERROR(_xlfn.TEXTJOIN("-", TRUE, _xlfn.XLOOKUP(K2473, product_category_id_lookup!$A$2:$A$5, product_category_id_lookup!$B$2:$B$5), B2473), "Unknown Category")</f>
        <v>fnt-1028</v>
      </c>
      <c r="D2473" s="8">
        <v>45401</v>
      </c>
      <c r="E2473" s="14">
        <f t="shared" si="114"/>
        <v>2024</v>
      </c>
      <c r="F2473" s="29" t="str">
        <f t="shared" si="115"/>
        <v>Apr</v>
      </c>
      <c r="G2473" s="17" t="s">
        <v>22</v>
      </c>
      <c r="H2473" s="17" t="s">
        <v>20</v>
      </c>
      <c r="I2473" s="24">
        <v>81836.870400000014</v>
      </c>
      <c r="J2473" s="32">
        <v>24</v>
      </c>
      <c r="K2473" s="17" t="s">
        <v>16</v>
      </c>
      <c r="L2473" s="24">
        <v>2140.3000000000002</v>
      </c>
      <c r="M2473" s="24">
        <v>3706.38</v>
      </c>
      <c r="N2473" s="34">
        <f>((sales_data_1[[#This Row],[Unit_Price]]*(1-sales_data_1[[#This Row],[Discount]]))-sales_data_1[[#This Row],[Unit_Cost]])*sales_data_1[[#This Row],[Quantity_Sold]]</f>
        <v>30469.670400000006</v>
      </c>
      <c r="O2473" s="17" t="s">
        <v>17</v>
      </c>
      <c r="P2473" s="26">
        <v>0.08</v>
      </c>
      <c r="Q2473" s="17" t="s">
        <v>25</v>
      </c>
      <c r="R2473" s="17" t="s">
        <v>21</v>
      </c>
      <c r="S2473" s="50" t="str">
        <f t="shared" si="116"/>
        <v>David-West</v>
      </c>
      <c r="T2473" s="59" t="str">
        <f>IF(ROUND(sales_data_1[[#This Row],[Profit_Margin]],2)=ROUND((sales_data_1[[#This Row],[Unit_Price]]*(1-sales_data_1[[#This Row],[Discount]]) - sales_data_1[[#This Row],[Unit_Cost]])*sales_data_1[[#This Row],[Quantity_Sold]],2), "PASS", "CHECK")</f>
        <v>PASS</v>
      </c>
    </row>
    <row r="2474" spans="1:20" x14ac:dyDescent="0.35">
      <c r="A2474" s="7">
        <v>2473</v>
      </c>
      <c r="B2474" s="9">
        <v>1073</v>
      </c>
      <c r="C2474" s="14" t="str">
        <f>IFERROR(_xlfn.TEXTJOIN("-", TRUE, _xlfn.XLOOKUP(K2474, product_category_id_lookup!$A$2:$A$5, product_category_id_lookup!$B$2:$B$5), B2474), "Unknown Category")</f>
        <v>fnt-1073</v>
      </c>
      <c r="D2474" s="8">
        <v>45401</v>
      </c>
      <c r="E2474" s="14">
        <f t="shared" si="114"/>
        <v>2024</v>
      </c>
      <c r="F2474" s="29" t="str">
        <f t="shared" si="115"/>
        <v>Apr</v>
      </c>
      <c r="G2474" s="17" t="s">
        <v>33</v>
      </c>
      <c r="H2474" s="17" t="s">
        <v>15</v>
      </c>
      <c r="I2474" s="24">
        <v>84623.049000000014</v>
      </c>
      <c r="J2474" s="32">
        <v>23</v>
      </c>
      <c r="K2474" s="17" t="s">
        <v>16</v>
      </c>
      <c r="L2474" s="24">
        <v>1520.36</v>
      </c>
      <c r="M2474" s="24">
        <v>4088.07</v>
      </c>
      <c r="N2474" s="34">
        <f>((sales_data_1[[#This Row],[Unit_Price]]*(1-sales_data_1[[#This Row],[Discount]]))-sales_data_1[[#This Row],[Unit_Cost]])*sales_data_1[[#This Row],[Quantity_Sold]]</f>
        <v>49654.769000000008</v>
      </c>
      <c r="O2474" s="17" t="s">
        <v>27</v>
      </c>
      <c r="P2474" s="26">
        <v>0.1</v>
      </c>
      <c r="Q2474" s="17" t="s">
        <v>28</v>
      </c>
      <c r="R2474" s="17" t="s">
        <v>19</v>
      </c>
      <c r="S2474" s="50" t="str">
        <f t="shared" si="116"/>
        <v>Alice-North</v>
      </c>
      <c r="T2474" s="59" t="str">
        <f>IF(ROUND(sales_data_1[[#This Row],[Profit_Margin]],2)=ROUND((sales_data_1[[#This Row],[Unit_Price]]*(1-sales_data_1[[#This Row],[Discount]]) - sales_data_1[[#This Row],[Unit_Cost]])*sales_data_1[[#This Row],[Quantity_Sold]],2), "PASS", "CHECK")</f>
        <v>PASS</v>
      </c>
    </row>
    <row r="2475" spans="1:20" x14ac:dyDescent="0.35">
      <c r="A2475" s="7">
        <v>2474</v>
      </c>
      <c r="B2475" s="9">
        <v>1077</v>
      </c>
      <c r="C2475" s="14" t="str">
        <f>IFERROR(_xlfn.TEXTJOIN("-", TRUE, _xlfn.XLOOKUP(K2475, product_category_id_lookup!$A$2:$A$5, product_category_id_lookup!$B$2:$B$5), B2475), "Unknown Category")</f>
        <v>etc-1077</v>
      </c>
      <c r="D2475" s="8">
        <v>45401</v>
      </c>
      <c r="E2475" s="14">
        <f t="shared" si="114"/>
        <v>2024</v>
      </c>
      <c r="F2475" s="29" t="str">
        <f t="shared" si="115"/>
        <v>Apr</v>
      </c>
      <c r="G2475" s="17" t="s">
        <v>32</v>
      </c>
      <c r="H2475" s="17" t="s">
        <v>23</v>
      </c>
      <c r="I2475" s="24">
        <v>129467.52</v>
      </c>
      <c r="J2475" s="32">
        <v>28</v>
      </c>
      <c r="K2475" s="17" t="s">
        <v>31</v>
      </c>
      <c r="L2475" s="24">
        <v>240.41</v>
      </c>
      <c r="M2475" s="24">
        <v>4816.5</v>
      </c>
      <c r="N2475" s="34">
        <f>((sales_data_1[[#This Row],[Unit_Price]]*(1-sales_data_1[[#This Row],[Discount]]))-sales_data_1[[#This Row],[Unit_Cost]])*sales_data_1[[#This Row],[Quantity_Sold]]</f>
        <v>122736.04000000001</v>
      </c>
      <c r="O2475" s="17" t="s">
        <v>27</v>
      </c>
      <c r="P2475" s="26">
        <v>0.04</v>
      </c>
      <c r="Q2475" s="17" t="s">
        <v>28</v>
      </c>
      <c r="R2475" s="17" t="s">
        <v>21</v>
      </c>
      <c r="S2475" s="50" t="str">
        <f t="shared" si="116"/>
        <v>Eve-South</v>
      </c>
      <c r="T2475" s="59" t="str">
        <f>IF(ROUND(sales_data_1[[#This Row],[Profit_Margin]],2)=ROUND((sales_data_1[[#This Row],[Unit_Price]]*(1-sales_data_1[[#This Row],[Discount]]) - sales_data_1[[#This Row],[Unit_Cost]])*sales_data_1[[#This Row],[Quantity_Sold]],2), "PASS", "CHECK")</f>
        <v>PASS</v>
      </c>
    </row>
    <row r="2476" spans="1:20" x14ac:dyDescent="0.35">
      <c r="A2476" s="7">
        <v>2475</v>
      </c>
      <c r="B2476" s="9">
        <v>1023</v>
      </c>
      <c r="C2476" s="14" t="str">
        <f>IFERROR(_xlfn.TEXTJOIN("-", TRUE, _xlfn.XLOOKUP(K2476, product_category_id_lookup!$A$2:$A$5, product_category_id_lookup!$B$2:$B$5), B2476), "Unknown Category")</f>
        <v>ctg-1023</v>
      </c>
      <c r="D2476" s="8">
        <v>45402</v>
      </c>
      <c r="E2476" s="14">
        <f t="shared" si="114"/>
        <v>2024</v>
      </c>
      <c r="F2476" s="29" t="str">
        <f t="shared" si="115"/>
        <v>Apr</v>
      </c>
      <c r="G2476" s="17" t="s">
        <v>29</v>
      </c>
      <c r="H2476" s="17" t="s">
        <v>15</v>
      </c>
      <c r="I2476" s="24">
        <v>9403.5648000000001</v>
      </c>
      <c r="J2476" s="32">
        <v>2</v>
      </c>
      <c r="K2476" s="17" t="s">
        <v>26</v>
      </c>
      <c r="L2476" s="24">
        <v>650.41</v>
      </c>
      <c r="M2476" s="24">
        <v>5055.68</v>
      </c>
      <c r="N2476" s="34">
        <f>((sales_data_1[[#This Row],[Unit_Price]]*(1-sales_data_1[[#This Row],[Discount]]))-sales_data_1[[#This Row],[Unit_Cost]])*sales_data_1[[#This Row],[Quantity_Sold]]</f>
        <v>8102.7448000000004</v>
      </c>
      <c r="O2476" s="17" t="s">
        <v>27</v>
      </c>
      <c r="P2476" s="26">
        <v>7.0000000000000007E-2</v>
      </c>
      <c r="Q2476" s="17" t="s">
        <v>25</v>
      </c>
      <c r="R2476" s="17" t="s">
        <v>21</v>
      </c>
      <c r="S2476" s="50" t="str">
        <f t="shared" si="116"/>
        <v>Charlie-North</v>
      </c>
      <c r="T2476" s="59" t="str">
        <f>IF(ROUND(sales_data_1[[#This Row],[Profit_Margin]],2)=ROUND((sales_data_1[[#This Row],[Unit_Price]]*(1-sales_data_1[[#This Row],[Discount]]) - sales_data_1[[#This Row],[Unit_Cost]])*sales_data_1[[#This Row],[Quantity_Sold]],2), "PASS", "CHECK")</f>
        <v>PASS</v>
      </c>
    </row>
    <row r="2477" spans="1:20" x14ac:dyDescent="0.35">
      <c r="A2477" s="7">
        <v>2476</v>
      </c>
      <c r="B2477" s="9">
        <v>1021</v>
      </c>
      <c r="C2477" s="14" t="str">
        <f>IFERROR(_xlfn.TEXTJOIN("-", TRUE, _xlfn.XLOOKUP(K2477, product_category_id_lookup!$A$2:$A$5, product_category_id_lookup!$B$2:$B$5), B2477), "Unknown Category")</f>
        <v>ctg-1021</v>
      </c>
      <c r="D2477" s="8">
        <v>45402</v>
      </c>
      <c r="E2477" s="14">
        <f t="shared" si="114"/>
        <v>2024</v>
      </c>
      <c r="F2477" s="29" t="str">
        <f t="shared" si="115"/>
        <v>Apr</v>
      </c>
      <c r="G2477" s="17" t="s">
        <v>22</v>
      </c>
      <c r="H2477" s="17" t="s">
        <v>20</v>
      </c>
      <c r="I2477" s="24">
        <v>13708.926000000001</v>
      </c>
      <c r="J2477" s="32">
        <v>5</v>
      </c>
      <c r="K2477" s="17" t="s">
        <v>26</v>
      </c>
      <c r="L2477" s="24">
        <v>1110.17</v>
      </c>
      <c r="M2477" s="24">
        <v>3384.92</v>
      </c>
      <c r="N2477" s="34">
        <f>((sales_data_1[[#This Row],[Unit_Price]]*(1-sales_data_1[[#This Row],[Discount]]))-sales_data_1[[#This Row],[Unit_Cost]])*sales_data_1[[#This Row],[Quantity_Sold]]</f>
        <v>8158.0760000000009</v>
      </c>
      <c r="O2477" s="17" t="s">
        <v>27</v>
      </c>
      <c r="P2477" s="26">
        <v>0.19</v>
      </c>
      <c r="Q2477" s="17" t="s">
        <v>18</v>
      </c>
      <c r="R2477" s="17" t="s">
        <v>21</v>
      </c>
      <c r="S2477" s="50" t="str">
        <f t="shared" si="116"/>
        <v>David-West</v>
      </c>
      <c r="T2477" s="59" t="str">
        <f>IF(ROUND(sales_data_1[[#This Row],[Profit_Margin]],2)=ROUND((sales_data_1[[#This Row],[Unit_Price]]*(1-sales_data_1[[#This Row],[Discount]]) - sales_data_1[[#This Row],[Unit_Cost]])*sales_data_1[[#This Row],[Quantity_Sold]],2), "PASS", "CHECK")</f>
        <v>PASS</v>
      </c>
    </row>
    <row r="2478" spans="1:20" x14ac:dyDescent="0.35">
      <c r="A2478" s="7">
        <v>2477</v>
      </c>
      <c r="B2478" s="9">
        <v>1085</v>
      </c>
      <c r="C2478" s="14" t="str">
        <f>IFERROR(_xlfn.TEXTJOIN("-", TRUE, _xlfn.XLOOKUP(K2478, product_category_id_lookup!$A$2:$A$5, product_category_id_lookup!$B$2:$B$5), B2478), "Unknown Category")</f>
        <v>etc-1085</v>
      </c>
      <c r="D2478" s="8">
        <v>45402</v>
      </c>
      <c r="E2478" s="14">
        <f t="shared" si="114"/>
        <v>2024</v>
      </c>
      <c r="F2478" s="29" t="str">
        <f t="shared" si="115"/>
        <v>Apr</v>
      </c>
      <c r="G2478" s="17" t="s">
        <v>14</v>
      </c>
      <c r="H2478" s="17" t="s">
        <v>20</v>
      </c>
      <c r="I2478" s="24">
        <v>40124.519999999997</v>
      </c>
      <c r="J2478" s="32">
        <v>25</v>
      </c>
      <c r="K2478" s="17" t="s">
        <v>31</v>
      </c>
      <c r="L2478" s="24">
        <v>818.15</v>
      </c>
      <c r="M2478" s="24">
        <v>2229.14</v>
      </c>
      <c r="N2478" s="34">
        <f>((sales_data_1[[#This Row],[Unit_Price]]*(1-sales_data_1[[#This Row],[Discount]]))-sales_data_1[[#This Row],[Unit_Cost]])*sales_data_1[[#This Row],[Quantity_Sold]]</f>
        <v>19670.769999999997</v>
      </c>
      <c r="O2478" s="17" t="s">
        <v>27</v>
      </c>
      <c r="P2478" s="26">
        <v>0.28000000000000003</v>
      </c>
      <c r="Q2478" s="17" t="s">
        <v>18</v>
      </c>
      <c r="R2478" s="17" t="s">
        <v>21</v>
      </c>
      <c r="S2478" s="50" t="str">
        <f t="shared" si="116"/>
        <v>Bob-West</v>
      </c>
      <c r="T2478" s="59" t="str">
        <f>IF(ROUND(sales_data_1[[#This Row],[Profit_Margin]],2)=ROUND((sales_data_1[[#This Row],[Unit_Price]]*(1-sales_data_1[[#This Row],[Discount]]) - sales_data_1[[#This Row],[Unit_Cost]])*sales_data_1[[#This Row],[Quantity_Sold]],2), "PASS", "CHECK")</f>
        <v>PASS</v>
      </c>
    </row>
    <row r="2479" spans="1:20" x14ac:dyDescent="0.35">
      <c r="A2479" s="7">
        <v>2478</v>
      </c>
      <c r="B2479" s="9">
        <v>1046</v>
      </c>
      <c r="C2479" s="14" t="str">
        <f>IFERROR(_xlfn.TEXTJOIN("-", TRUE, _xlfn.XLOOKUP(K2479, product_category_id_lookup!$A$2:$A$5, product_category_id_lookup!$B$2:$B$5), B2479), "Unknown Category")</f>
        <v>fnt-1046</v>
      </c>
      <c r="D2479" s="8">
        <v>45402</v>
      </c>
      <c r="E2479" s="14">
        <f t="shared" si="114"/>
        <v>2024</v>
      </c>
      <c r="F2479" s="29" t="str">
        <f t="shared" si="115"/>
        <v>Apr</v>
      </c>
      <c r="G2479" s="17" t="s">
        <v>22</v>
      </c>
      <c r="H2479" s="17" t="s">
        <v>30</v>
      </c>
      <c r="I2479" s="24">
        <v>171822.80640000003</v>
      </c>
      <c r="J2479" s="32">
        <v>38</v>
      </c>
      <c r="K2479" s="17" t="s">
        <v>16</v>
      </c>
      <c r="L2479" s="24">
        <v>3589.17</v>
      </c>
      <c r="M2479" s="24">
        <v>4914.84</v>
      </c>
      <c r="N2479" s="34">
        <f>((sales_data_1[[#This Row],[Unit_Price]]*(1-sales_data_1[[#This Row],[Discount]]))-sales_data_1[[#This Row],[Unit_Cost]])*sales_data_1[[#This Row],[Quantity_Sold]]</f>
        <v>35434.346400000024</v>
      </c>
      <c r="O2479" s="17" t="s">
        <v>17</v>
      </c>
      <c r="P2479" s="26">
        <v>0.08</v>
      </c>
      <c r="Q2479" s="17" t="s">
        <v>28</v>
      </c>
      <c r="R2479" s="17" t="s">
        <v>21</v>
      </c>
      <c r="S2479" s="50" t="str">
        <f t="shared" si="116"/>
        <v>David-East</v>
      </c>
      <c r="T2479" s="59" t="str">
        <f>IF(ROUND(sales_data_1[[#This Row],[Profit_Margin]],2)=ROUND((sales_data_1[[#This Row],[Unit_Price]]*(1-sales_data_1[[#This Row],[Discount]]) - sales_data_1[[#This Row],[Unit_Cost]])*sales_data_1[[#This Row],[Quantity_Sold]],2), "PASS", "CHECK")</f>
        <v>PASS</v>
      </c>
    </row>
    <row r="2480" spans="1:20" x14ac:dyDescent="0.35">
      <c r="A2480" s="7">
        <v>2479</v>
      </c>
      <c r="B2480" s="9">
        <v>1006</v>
      </c>
      <c r="C2480" s="14" t="str">
        <f>IFERROR(_xlfn.TEXTJOIN("-", TRUE, _xlfn.XLOOKUP(K2480, product_category_id_lookup!$A$2:$A$5, product_category_id_lookup!$B$2:$B$5), B2480), "Unknown Category")</f>
        <v>ctg-1006</v>
      </c>
      <c r="D2480" s="8">
        <v>45402</v>
      </c>
      <c r="E2480" s="14">
        <f t="shared" si="114"/>
        <v>2024</v>
      </c>
      <c r="F2480" s="29" t="str">
        <f t="shared" si="115"/>
        <v>Apr</v>
      </c>
      <c r="G2480" s="17" t="s">
        <v>32</v>
      </c>
      <c r="H2480" s="17" t="s">
        <v>23</v>
      </c>
      <c r="I2480" s="24">
        <v>91976.872000000003</v>
      </c>
      <c r="J2480" s="32">
        <v>26</v>
      </c>
      <c r="K2480" s="17" t="s">
        <v>26</v>
      </c>
      <c r="L2480" s="24">
        <v>1308.68</v>
      </c>
      <c r="M2480" s="24">
        <v>3974.8</v>
      </c>
      <c r="N2480" s="34">
        <f>((sales_data_1[[#This Row],[Unit_Price]]*(1-sales_data_1[[#This Row],[Discount]]))-sales_data_1[[#This Row],[Unit_Cost]])*sales_data_1[[#This Row],[Quantity_Sold]]</f>
        <v>57951.191999999995</v>
      </c>
      <c r="O2480" s="17" t="s">
        <v>17</v>
      </c>
      <c r="P2480" s="26">
        <v>0.11</v>
      </c>
      <c r="Q2480" s="17" t="s">
        <v>18</v>
      </c>
      <c r="R2480" s="17" t="s">
        <v>21</v>
      </c>
      <c r="S2480" s="50" t="str">
        <f t="shared" si="116"/>
        <v>Eve-South</v>
      </c>
      <c r="T2480" s="59" t="str">
        <f>IF(ROUND(sales_data_1[[#This Row],[Profit_Margin]],2)=ROUND((sales_data_1[[#This Row],[Unit_Price]]*(1-sales_data_1[[#This Row],[Discount]]) - sales_data_1[[#This Row],[Unit_Cost]])*sales_data_1[[#This Row],[Quantity_Sold]],2), "PASS", "CHECK")</f>
        <v>PASS</v>
      </c>
    </row>
    <row r="2481" spans="1:20" x14ac:dyDescent="0.35">
      <c r="A2481" s="7">
        <v>2480</v>
      </c>
      <c r="B2481" s="9">
        <v>1076</v>
      </c>
      <c r="C2481" s="14" t="str">
        <f>IFERROR(_xlfn.TEXTJOIN("-", TRUE, _xlfn.XLOOKUP(K2481, product_category_id_lookup!$A$2:$A$5, product_category_id_lookup!$B$2:$B$5), B2481), "Unknown Category")</f>
        <v>fd-1076</v>
      </c>
      <c r="D2481" s="8">
        <v>45403</v>
      </c>
      <c r="E2481" s="14">
        <f t="shared" si="114"/>
        <v>2024</v>
      </c>
      <c r="F2481" s="29" t="str">
        <f t="shared" si="115"/>
        <v>Apr</v>
      </c>
      <c r="G2481" s="17" t="s">
        <v>22</v>
      </c>
      <c r="H2481" s="17" t="s">
        <v>30</v>
      </c>
      <c r="I2481" s="24">
        <v>181040.63</v>
      </c>
      <c r="J2481" s="32">
        <v>37</v>
      </c>
      <c r="K2481" s="17" t="s">
        <v>24</v>
      </c>
      <c r="L2481" s="24">
        <v>3685.44</v>
      </c>
      <c r="M2481" s="24">
        <v>4892.99</v>
      </c>
      <c r="N2481" s="34">
        <f>((sales_data_1[[#This Row],[Unit_Price]]*(1-sales_data_1[[#This Row],[Discount]]))-sales_data_1[[#This Row],[Unit_Cost]])*sales_data_1[[#This Row],[Quantity_Sold]]</f>
        <v>44679.349999999991</v>
      </c>
      <c r="O2481" s="17" t="s">
        <v>17</v>
      </c>
      <c r="P2481" s="26">
        <v>0</v>
      </c>
      <c r="Q2481" s="17" t="s">
        <v>18</v>
      </c>
      <c r="R2481" s="17" t="s">
        <v>19</v>
      </c>
      <c r="S2481" s="50" t="str">
        <f t="shared" si="116"/>
        <v>David-East</v>
      </c>
      <c r="T2481" s="59" t="str">
        <f>IF(ROUND(sales_data_1[[#This Row],[Profit_Margin]],2)=ROUND((sales_data_1[[#This Row],[Unit_Price]]*(1-sales_data_1[[#This Row],[Discount]]) - sales_data_1[[#This Row],[Unit_Cost]])*sales_data_1[[#This Row],[Quantity_Sold]],2), "PASS", "CHECK")</f>
        <v>PASS</v>
      </c>
    </row>
    <row r="2482" spans="1:20" x14ac:dyDescent="0.35">
      <c r="A2482" s="7">
        <v>2481</v>
      </c>
      <c r="B2482" s="9">
        <v>1070</v>
      </c>
      <c r="C2482" s="14" t="str">
        <f>IFERROR(_xlfn.TEXTJOIN("-", TRUE, _xlfn.XLOOKUP(K2482, product_category_id_lookup!$A$2:$A$5, product_category_id_lookup!$B$2:$B$5), B2482), "Unknown Category")</f>
        <v>fnt-1070</v>
      </c>
      <c r="D2482" s="8">
        <v>45404</v>
      </c>
      <c r="E2482" s="14">
        <f t="shared" si="114"/>
        <v>2024</v>
      </c>
      <c r="F2482" s="29" t="str">
        <f t="shared" si="115"/>
        <v>Apr</v>
      </c>
      <c r="G2482" s="17" t="s">
        <v>33</v>
      </c>
      <c r="H2482" s="17" t="s">
        <v>30</v>
      </c>
      <c r="I2482" s="24">
        <v>26387.808000000001</v>
      </c>
      <c r="J2482" s="32">
        <v>40</v>
      </c>
      <c r="K2482" s="17" t="s">
        <v>16</v>
      </c>
      <c r="L2482" s="24">
        <v>499.2</v>
      </c>
      <c r="M2482" s="24">
        <v>717.06</v>
      </c>
      <c r="N2482" s="34">
        <f>((sales_data_1[[#This Row],[Unit_Price]]*(1-sales_data_1[[#This Row],[Discount]]))-sales_data_1[[#This Row],[Unit_Cost]])*sales_data_1[[#This Row],[Quantity_Sold]]</f>
        <v>6419.8080000000009</v>
      </c>
      <c r="O2482" s="17" t="s">
        <v>27</v>
      </c>
      <c r="P2482" s="26">
        <v>0.08</v>
      </c>
      <c r="Q2482" s="17" t="s">
        <v>28</v>
      </c>
      <c r="R2482" s="17" t="s">
        <v>21</v>
      </c>
      <c r="S2482" s="50" t="str">
        <f t="shared" si="116"/>
        <v>Alice-East</v>
      </c>
      <c r="T2482" s="59" t="str">
        <f>IF(ROUND(sales_data_1[[#This Row],[Profit_Margin]],2)=ROUND((sales_data_1[[#This Row],[Unit_Price]]*(1-sales_data_1[[#This Row],[Discount]]) - sales_data_1[[#This Row],[Unit_Cost]])*sales_data_1[[#This Row],[Quantity_Sold]],2), "PASS", "CHECK")</f>
        <v>PASS</v>
      </c>
    </row>
    <row r="2483" spans="1:20" x14ac:dyDescent="0.35">
      <c r="A2483" s="7">
        <v>2482</v>
      </c>
      <c r="B2483" s="9">
        <v>1022</v>
      </c>
      <c r="C2483" s="14" t="str">
        <f>IFERROR(_xlfn.TEXTJOIN("-", TRUE, _xlfn.XLOOKUP(K2483, product_category_id_lookup!$A$2:$A$5, product_category_id_lookup!$B$2:$B$5), B2483), "Unknown Category")</f>
        <v>fnt-1022</v>
      </c>
      <c r="D2483" s="8">
        <v>45404</v>
      </c>
      <c r="E2483" s="14">
        <f t="shared" si="114"/>
        <v>2024</v>
      </c>
      <c r="F2483" s="29" t="str">
        <f t="shared" si="115"/>
        <v>Apr</v>
      </c>
      <c r="G2483" s="17" t="s">
        <v>22</v>
      </c>
      <c r="H2483" s="17" t="s">
        <v>20</v>
      </c>
      <c r="I2483" s="24">
        <v>27162.047500000001</v>
      </c>
      <c r="J2483" s="32">
        <v>7</v>
      </c>
      <c r="K2483" s="17" t="s">
        <v>16</v>
      </c>
      <c r="L2483" s="24">
        <v>2232.27</v>
      </c>
      <c r="M2483" s="24">
        <v>4565.05</v>
      </c>
      <c r="N2483" s="34">
        <f>((sales_data_1[[#This Row],[Unit_Price]]*(1-sales_data_1[[#This Row],[Discount]]))-sales_data_1[[#This Row],[Unit_Cost]])*sales_data_1[[#This Row],[Quantity_Sold]]</f>
        <v>11536.157500000001</v>
      </c>
      <c r="O2483" s="17" t="s">
        <v>27</v>
      </c>
      <c r="P2483" s="26">
        <v>0.15</v>
      </c>
      <c r="Q2483" s="17" t="s">
        <v>25</v>
      </c>
      <c r="R2483" s="17" t="s">
        <v>19</v>
      </c>
      <c r="S2483" s="50" t="str">
        <f t="shared" si="116"/>
        <v>David-West</v>
      </c>
      <c r="T2483" s="59" t="str">
        <f>IF(ROUND(sales_data_1[[#This Row],[Profit_Margin]],2)=ROUND((sales_data_1[[#This Row],[Unit_Price]]*(1-sales_data_1[[#This Row],[Discount]]) - sales_data_1[[#This Row],[Unit_Cost]])*sales_data_1[[#This Row],[Quantity_Sold]],2), "PASS", "CHECK")</f>
        <v>PASS</v>
      </c>
    </row>
    <row r="2484" spans="1:20" x14ac:dyDescent="0.35">
      <c r="A2484" s="7">
        <v>2483</v>
      </c>
      <c r="B2484" s="9">
        <v>1041</v>
      </c>
      <c r="C2484" s="14" t="str">
        <f>IFERROR(_xlfn.TEXTJOIN("-", TRUE, _xlfn.XLOOKUP(K2484, product_category_id_lookup!$A$2:$A$5, product_category_id_lookup!$B$2:$B$5), B2484), "Unknown Category")</f>
        <v>fnt-1041</v>
      </c>
      <c r="D2484" s="8">
        <v>45404</v>
      </c>
      <c r="E2484" s="14">
        <f t="shared" si="114"/>
        <v>2024</v>
      </c>
      <c r="F2484" s="29" t="str">
        <f t="shared" si="115"/>
        <v>Apr</v>
      </c>
      <c r="G2484" s="17" t="s">
        <v>14</v>
      </c>
      <c r="H2484" s="17" t="s">
        <v>23</v>
      </c>
      <c r="I2484" s="24">
        <v>105658</v>
      </c>
      <c r="J2484" s="32">
        <v>40</v>
      </c>
      <c r="K2484" s="17" t="s">
        <v>16</v>
      </c>
      <c r="L2484" s="24">
        <v>1722.2</v>
      </c>
      <c r="M2484" s="24">
        <v>3773.5</v>
      </c>
      <c r="N2484" s="34">
        <f>((sales_data_1[[#This Row],[Unit_Price]]*(1-sales_data_1[[#This Row],[Discount]]))-sales_data_1[[#This Row],[Unit_Cost]])*sales_data_1[[#This Row],[Quantity_Sold]]</f>
        <v>36769.999999999993</v>
      </c>
      <c r="O2484" s="17" t="s">
        <v>27</v>
      </c>
      <c r="P2484" s="26">
        <v>0.3</v>
      </c>
      <c r="Q2484" s="17" t="s">
        <v>25</v>
      </c>
      <c r="R2484" s="17" t="s">
        <v>19</v>
      </c>
      <c r="S2484" s="50" t="str">
        <f t="shared" si="116"/>
        <v>Bob-South</v>
      </c>
      <c r="T2484" s="59" t="str">
        <f>IF(ROUND(sales_data_1[[#This Row],[Profit_Margin]],2)=ROUND((sales_data_1[[#This Row],[Unit_Price]]*(1-sales_data_1[[#This Row],[Discount]]) - sales_data_1[[#This Row],[Unit_Cost]])*sales_data_1[[#This Row],[Quantity_Sold]],2), "PASS", "CHECK")</f>
        <v>PASS</v>
      </c>
    </row>
    <row r="2485" spans="1:20" x14ac:dyDescent="0.35">
      <c r="A2485" s="7">
        <v>2484</v>
      </c>
      <c r="B2485" s="9">
        <v>1043</v>
      </c>
      <c r="C2485" s="14" t="str">
        <f>IFERROR(_xlfn.TEXTJOIN("-", TRUE, _xlfn.XLOOKUP(K2485, product_category_id_lookup!$A$2:$A$5, product_category_id_lookup!$B$2:$B$5), B2485), "Unknown Category")</f>
        <v>etc-1043</v>
      </c>
      <c r="D2485" s="8">
        <v>45405</v>
      </c>
      <c r="E2485" s="14">
        <f t="shared" si="114"/>
        <v>2024</v>
      </c>
      <c r="F2485" s="29" t="str">
        <f t="shared" si="115"/>
        <v>Apr</v>
      </c>
      <c r="G2485" s="17" t="s">
        <v>33</v>
      </c>
      <c r="H2485" s="17" t="s">
        <v>23</v>
      </c>
      <c r="I2485" s="24">
        <v>8930.744999999999</v>
      </c>
      <c r="J2485" s="32">
        <v>6</v>
      </c>
      <c r="K2485" s="17" t="s">
        <v>31</v>
      </c>
      <c r="L2485" s="24">
        <v>1370.3</v>
      </c>
      <c r="M2485" s="24">
        <v>1984.61</v>
      </c>
      <c r="N2485" s="34">
        <f>((sales_data_1[[#This Row],[Unit_Price]]*(1-sales_data_1[[#This Row],[Discount]]))-sales_data_1[[#This Row],[Unit_Cost]])*sales_data_1[[#This Row],[Quantity_Sold]]</f>
        <v>708.94500000000016</v>
      </c>
      <c r="O2485" s="17" t="s">
        <v>27</v>
      </c>
      <c r="P2485" s="26">
        <v>0.25</v>
      </c>
      <c r="Q2485" s="17" t="s">
        <v>18</v>
      </c>
      <c r="R2485" s="17" t="s">
        <v>21</v>
      </c>
      <c r="S2485" s="50" t="str">
        <f t="shared" si="116"/>
        <v>Alice-South</v>
      </c>
      <c r="T2485" s="59" t="str">
        <f>IF(ROUND(sales_data_1[[#This Row],[Profit_Margin]],2)=ROUND((sales_data_1[[#This Row],[Unit_Price]]*(1-sales_data_1[[#This Row],[Discount]]) - sales_data_1[[#This Row],[Unit_Cost]])*sales_data_1[[#This Row],[Quantity_Sold]],2), "PASS", "CHECK")</f>
        <v>PASS</v>
      </c>
    </row>
    <row r="2486" spans="1:20" x14ac:dyDescent="0.35">
      <c r="A2486" s="7">
        <v>2485</v>
      </c>
      <c r="B2486" s="9">
        <v>1048</v>
      </c>
      <c r="C2486" s="14" t="str">
        <f>IFERROR(_xlfn.TEXTJOIN("-", TRUE, _xlfn.XLOOKUP(K2486, product_category_id_lookup!$A$2:$A$5, product_category_id_lookup!$B$2:$B$5), B2486), "Unknown Category")</f>
        <v>ctg-1048</v>
      </c>
      <c r="D2486" s="8">
        <v>45405</v>
      </c>
      <c r="E2486" s="14">
        <f t="shared" si="114"/>
        <v>2024</v>
      </c>
      <c r="F2486" s="29" t="str">
        <f t="shared" si="115"/>
        <v>Apr</v>
      </c>
      <c r="G2486" s="17" t="s">
        <v>32</v>
      </c>
      <c r="H2486" s="17" t="s">
        <v>20</v>
      </c>
      <c r="I2486" s="24">
        <v>136867.63560063415</v>
      </c>
      <c r="J2486" s="32">
        <v>48</v>
      </c>
      <c r="K2486" s="17" t="s">
        <v>26</v>
      </c>
      <c r="L2486" s="24">
        <v>2788.03</v>
      </c>
      <c r="M2486" s="24">
        <v>2958.24</v>
      </c>
      <c r="N2486" s="34">
        <f>((sales_data_1[[#This Row],[Unit_Price]]*(1-sales_data_1[[#This Row],[Discount]]))-sales_data_1[[#This Row],[Unit_Cost]])*sales_data_1[[#This Row],[Quantity_Sold]]</f>
        <v>2490.2591999999786</v>
      </c>
      <c r="O2486" s="17" t="s">
        <v>27</v>
      </c>
      <c r="P2486" s="26">
        <v>0.04</v>
      </c>
      <c r="Q2486" s="17" t="s">
        <v>25</v>
      </c>
      <c r="R2486" s="17" t="s">
        <v>19</v>
      </c>
      <c r="S2486" s="50" t="str">
        <f t="shared" si="116"/>
        <v>Eve-West</v>
      </c>
      <c r="T2486" s="59" t="str">
        <f>IF(ROUND(sales_data_1[[#This Row],[Profit_Margin]],2)=ROUND((sales_data_1[[#This Row],[Unit_Price]]*(1-sales_data_1[[#This Row],[Discount]]) - sales_data_1[[#This Row],[Unit_Cost]])*sales_data_1[[#This Row],[Quantity_Sold]],2), "PASS", "CHECK")</f>
        <v>PASS</v>
      </c>
    </row>
    <row r="2487" spans="1:20" x14ac:dyDescent="0.35">
      <c r="A2487" s="7">
        <v>2486</v>
      </c>
      <c r="B2487" s="9">
        <v>1059</v>
      </c>
      <c r="C2487" s="14" t="str">
        <f>IFERROR(_xlfn.TEXTJOIN("-", TRUE, _xlfn.XLOOKUP(K2487, product_category_id_lookup!$A$2:$A$5, product_category_id_lookup!$B$2:$B$5), B2487), "Unknown Category")</f>
        <v>fd-1059</v>
      </c>
      <c r="D2487" s="8">
        <v>45405</v>
      </c>
      <c r="E2487" s="14">
        <f t="shared" si="114"/>
        <v>2024</v>
      </c>
      <c r="F2487" s="29" t="str">
        <f t="shared" si="115"/>
        <v>Apr</v>
      </c>
      <c r="G2487" s="17" t="s">
        <v>22</v>
      </c>
      <c r="H2487" s="17" t="s">
        <v>15</v>
      </c>
      <c r="I2487" s="24">
        <v>50654.419200000004</v>
      </c>
      <c r="J2487" s="32">
        <v>33</v>
      </c>
      <c r="K2487" s="17" t="s">
        <v>24</v>
      </c>
      <c r="L2487" s="24">
        <v>1424.73</v>
      </c>
      <c r="M2487" s="24">
        <v>1598.94</v>
      </c>
      <c r="N2487" s="34">
        <f>((sales_data_1[[#This Row],[Unit_Price]]*(1-sales_data_1[[#This Row],[Discount]]))-sales_data_1[[#This Row],[Unit_Cost]])*sales_data_1[[#This Row],[Quantity_Sold]]</f>
        <v>3638.3292000000029</v>
      </c>
      <c r="O2487" s="17" t="s">
        <v>17</v>
      </c>
      <c r="P2487" s="26">
        <v>0.04</v>
      </c>
      <c r="Q2487" s="17" t="s">
        <v>28</v>
      </c>
      <c r="R2487" s="17" t="s">
        <v>19</v>
      </c>
      <c r="S2487" s="50" t="str">
        <f t="shared" si="116"/>
        <v>David-North</v>
      </c>
      <c r="T2487" s="59" t="str">
        <f>IF(ROUND(sales_data_1[[#This Row],[Profit_Margin]],2)=ROUND((sales_data_1[[#This Row],[Unit_Price]]*(1-sales_data_1[[#This Row],[Discount]]) - sales_data_1[[#This Row],[Unit_Cost]])*sales_data_1[[#This Row],[Quantity_Sold]],2), "PASS", "CHECK")</f>
        <v>PASS</v>
      </c>
    </row>
    <row r="2488" spans="1:20" x14ac:dyDescent="0.35">
      <c r="A2488" s="7">
        <v>2487</v>
      </c>
      <c r="B2488" s="9">
        <v>1075</v>
      </c>
      <c r="C2488" s="14" t="str">
        <f>IFERROR(_xlfn.TEXTJOIN("-", TRUE, _xlfn.XLOOKUP(K2488, product_category_id_lookup!$A$2:$A$5, product_category_id_lookup!$B$2:$B$5), B2488), "Unknown Category")</f>
        <v>fd-1075</v>
      </c>
      <c r="D2488" s="8">
        <v>45405</v>
      </c>
      <c r="E2488" s="14">
        <f t="shared" si="114"/>
        <v>2024</v>
      </c>
      <c r="F2488" s="29" t="str">
        <f t="shared" si="115"/>
        <v>Apr</v>
      </c>
      <c r="G2488" s="17" t="s">
        <v>32</v>
      </c>
      <c r="H2488" s="17" t="s">
        <v>20</v>
      </c>
      <c r="I2488" s="24">
        <v>94026.702499999999</v>
      </c>
      <c r="J2488" s="32">
        <v>23</v>
      </c>
      <c r="K2488" s="17" t="s">
        <v>24</v>
      </c>
      <c r="L2488" s="24">
        <v>2608.27</v>
      </c>
      <c r="M2488" s="24">
        <v>4809.55</v>
      </c>
      <c r="N2488" s="34">
        <f>((sales_data_1[[#This Row],[Unit_Price]]*(1-sales_data_1[[#This Row],[Discount]]))-sales_data_1[[#This Row],[Unit_Cost]])*sales_data_1[[#This Row],[Quantity_Sold]]</f>
        <v>34036.492499999993</v>
      </c>
      <c r="O2488" s="17" t="s">
        <v>17</v>
      </c>
      <c r="P2488" s="26">
        <v>0.15</v>
      </c>
      <c r="Q2488" s="17" t="s">
        <v>25</v>
      </c>
      <c r="R2488" s="17" t="s">
        <v>19</v>
      </c>
      <c r="S2488" s="50" t="str">
        <f t="shared" si="116"/>
        <v>Eve-West</v>
      </c>
      <c r="T2488" s="59" t="str">
        <f>IF(ROUND(sales_data_1[[#This Row],[Profit_Margin]],2)=ROUND((sales_data_1[[#This Row],[Unit_Price]]*(1-sales_data_1[[#This Row],[Discount]]) - sales_data_1[[#This Row],[Unit_Cost]])*sales_data_1[[#This Row],[Quantity_Sold]],2), "PASS", "CHECK")</f>
        <v>PASS</v>
      </c>
    </row>
    <row r="2489" spans="1:20" x14ac:dyDescent="0.35">
      <c r="A2489" s="7">
        <v>2488</v>
      </c>
      <c r="B2489" s="9">
        <v>1075</v>
      </c>
      <c r="C2489" s="14" t="str">
        <f>IFERROR(_xlfn.TEXTJOIN("-", TRUE, _xlfn.XLOOKUP(K2489, product_category_id_lookup!$A$2:$A$5, product_category_id_lookup!$B$2:$B$5), B2489), "Unknown Category")</f>
        <v>fd-1075</v>
      </c>
      <c r="D2489" s="8">
        <v>45405</v>
      </c>
      <c r="E2489" s="14">
        <f t="shared" si="114"/>
        <v>2024</v>
      </c>
      <c r="F2489" s="29" t="str">
        <f t="shared" si="115"/>
        <v>Apr</v>
      </c>
      <c r="G2489" s="17" t="s">
        <v>32</v>
      </c>
      <c r="H2489" s="17" t="s">
        <v>15</v>
      </c>
      <c r="I2489" s="24">
        <v>84558.523000000001</v>
      </c>
      <c r="J2489" s="32">
        <v>35</v>
      </c>
      <c r="K2489" s="17" t="s">
        <v>24</v>
      </c>
      <c r="L2489" s="24">
        <v>516.53</v>
      </c>
      <c r="M2489" s="24">
        <v>2946.29</v>
      </c>
      <c r="N2489" s="34">
        <f>((sales_data_1[[#This Row],[Unit_Price]]*(1-sales_data_1[[#This Row],[Discount]]))-sales_data_1[[#This Row],[Unit_Cost]])*sales_data_1[[#This Row],[Quantity_Sold]]</f>
        <v>66479.973000000013</v>
      </c>
      <c r="O2489" s="17" t="s">
        <v>27</v>
      </c>
      <c r="P2489" s="26">
        <v>0.18</v>
      </c>
      <c r="Q2489" s="17" t="s">
        <v>28</v>
      </c>
      <c r="R2489" s="17" t="s">
        <v>21</v>
      </c>
      <c r="S2489" s="50" t="str">
        <f t="shared" si="116"/>
        <v>Eve-North</v>
      </c>
      <c r="T2489" s="59" t="str">
        <f>IF(ROUND(sales_data_1[[#This Row],[Profit_Margin]],2)=ROUND((sales_data_1[[#This Row],[Unit_Price]]*(1-sales_data_1[[#This Row],[Discount]]) - sales_data_1[[#This Row],[Unit_Cost]])*sales_data_1[[#This Row],[Quantity_Sold]],2), "PASS", "CHECK")</f>
        <v>PASS</v>
      </c>
    </row>
    <row r="2490" spans="1:20" x14ac:dyDescent="0.35">
      <c r="A2490" s="7">
        <v>2489</v>
      </c>
      <c r="B2490" s="9">
        <v>1009</v>
      </c>
      <c r="C2490" s="14" t="str">
        <f>IFERROR(_xlfn.TEXTJOIN("-", TRUE, _xlfn.XLOOKUP(K2490, product_category_id_lookup!$A$2:$A$5, product_category_id_lookup!$B$2:$B$5), B2490), "Unknown Category")</f>
        <v>ctg-1009</v>
      </c>
      <c r="D2490" s="8">
        <v>45406</v>
      </c>
      <c r="E2490" s="14">
        <f t="shared" si="114"/>
        <v>2024</v>
      </c>
      <c r="F2490" s="29" t="str">
        <f t="shared" si="115"/>
        <v>Apr</v>
      </c>
      <c r="G2490" s="17" t="s">
        <v>22</v>
      </c>
      <c r="H2490" s="17" t="s">
        <v>15</v>
      </c>
      <c r="I2490" s="24">
        <v>65836.320000000007</v>
      </c>
      <c r="J2490" s="32">
        <v>15</v>
      </c>
      <c r="K2490" s="17" t="s">
        <v>26</v>
      </c>
      <c r="L2490" s="24">
        <v>3985.7</v>
      </c>
      <c r="M2490" s="24">
        <v>4987.6000000000004</v>
      </c>
      <c r="N2490" s="34">
        <f>((sales_data_1[[#This Row],[Unit_Price]]*(1-sales_data_1[[#This Row],[Discount]]))-sales_data_1[[#This Row],[Unit_Cost]])*sales_data_1[[#This Row],[Quantity_Sold]]</f>
        <v>6050.8200000000124</v>
      </c>
      <c r="O2490" s="17" t="s">
        <v>27</v>
      </c>
      <c r="P2490" s="26">
        <v>0.12</v>
      </c>
      <c r="Q2490" s="17" t="s">
        <v>28</v>
      </c>
      <c r="R2490" s="17" t="s">
        <v>21</v>
      </c>
      <c r="S2490" s="50" t="str">
        <f t="shared" si="116"/>
        <v>David-North</v>
      </c>
      <c r="T2490" s="59" t="str">
        <f>IF(ROUND(sales_data_1[[#This Row],[Profit_Margin]],2)=ROUND((sales_data_1[[#This Row],[Unit_Price]]*(1-sales_data_1[[#This Row],[Discount]]) - sales_data_1[[#This Row],[Unit_Cost]])*sales_data_1[[#This Row],[Quantity_Sold]],2), "PASS", "CHECK")</f>
        <v>PASS</v>
      </c>
    </row>
    <row r="2491" spans="1:20" x14ac:dyDescent="0.35">
      <c r="A2491" s="7">
        <v>2490</v>
      </c>
      <c r="B2491" s="9">
        <v>1001</v>
      </c>
      <c r="C2491" s="14" t="str">
        <f>IFERROR(_xlfn.TEXTJOIN("-", TRUE, _xlfn.XLOOKUP(K2491, product_category_id_lookup!$A$2:$A$5, product_category_id_lookup!$B$2:$B$5), B2491), "Unknown Category")</f>
        <v>fd-1001</v>
      </c>
      <c r="D2491" s="8">
        <v>45406</v>
      </c>
      <c r="E2491" s="14">
        <f t="shared" si="114"/>
        <v>2024</v>
      </c>
      <c r="F2491" s="29" t="str">
        <f t="shared" si="115"/>
        <v>Apr</v>
      </c>
      <c r="G2491" s="17" t="s">
        <v>14</v>
      </c>
      <c r="H2491" s="17" t="s">
        <v>20</v>
      </c>
      <c r="I2491" s="24">
        <v>12589.584000000001</v>
      </c>
      <c r="J2491" s="32">
        <v>6</v>
      </c>
      <c r="K2491" s="17" t="s">
        <v>24</v>
      </c>
      <c r="L2491" s="24">
        <v>288.83999999999997</v>
      </c>
      <c r="M2491" s="24">
        <v>2622.83</v>
      </c>
      <c r="N2491" s="34">
        <f>((sales_data_1[[#This Row],[Unit_Price]]*(1-sales_data_1[[#This Row],[Discount]]))-sales_data_1[[#This Row],[Unit_Cost]])*sales_data_1[[#This Row],[Quantity_Sold]]</f>
        <v>10856.544000000002</v>
      </c>
      <c r="O2491" s="17" t="s">
        <v>27</v>
      </c>
      <c r="P2491" s="26">
        <v>0.2</v>
      </c>
      <c r="Q2491" s="17" t="s">
        <v>28</v>
      </c>
      <c r="R2491" s="17" t="s">
        <v>21</v>
      </c>
      <c r="S2491" s="50" t="str">
        <f t="shared" si="116"/>
        <v>Bob-West</v>
      </c>
      <c r="T2491" s="59" t="str">
        <f>IF(ROUND(sales_data_1[[#This Row],[Profit_Margin]],2)=ROUND((sales_data_1[[#This Row],[Unit_Price]]*(1-sales_data_1[[#This Row],[Discount]]) - sales_data_1[[#This Row],[Unit_Cost]])*sales_data_1[[#This Row],[Quantity_Sold]],2), "PASS", "CHECK")</f>
        <v>PASS</v>
      </c>
    </row>
    <row r="2492" spans="1:20" x14ac:dyDescent="0.35">
      <c r="A2492" s="7">
        <v>2491</v>
      </c>
      <c r="B2492" s="9">
        <v>1065</v>
      </c>
      <c r="C2492" s="14" t="str">
        <f>IFERROR(_xlfn.TEXTJOIN("-", TRUE, _xlfn.XLOOKUP(K2492, product_category_id_lookup!$A$2:$A$5, product_category_id_lookup!$B$2:$B$5), B2492), "Unknown Category")</f>
        <v>etc-1065</v>
      </c>
      <c r="D2492" s="8">
        <v>45407</v>
      </c>
      <c r="E2492" s="14">
        <f t="shared" si="114"/>
        <v>2024</v>
      </c>
      <c r="F2492" s="29" t="str">
        <f t="shared" si="115"/>
        <v>Apr</v>
      </c>
      <c r="G2492" s="17" t="s">
        <v>33</v>
      </c>
      <c r="H2492" s="17" t="s">
        <v>23</v>
      </c>
      <c r="I2492" s="24">
        <v>2196.8496000000005</v>
      </c>
      <c r="J2492" s="32">
        <v>6</v>
      </c>
      <c r="K2492" s="17" t="s">
        <v>31</v>
      </c>
      <c r="L2492" s="24">
        <v>188.62</v>
      </c>
      <c r="M2492" s="24">
        <v>397.98</v>
      </c>
      <c r="N2492" s="34">
        <f>((sales_data_1[[#This Row],[Unit_Price]]*(1-sales_data_1[[#This Row],[Discount]]))-sales_data_1[[#This Row],[Unit_Cost]])*sales_data_1[[#This Row],[Quantity_Sold]]</f>
        <v>1065.1296000000002</v>
      </c>
      <c r="O2492" s="17" t="s">
        <v>27</v>
      </c>
      <c r="P2492" s="26">
        <v>0.08</v>
      </c>
      <c r="Q2492" s="17" t="s">
        <v>25</v>
      </c>
      <c r="R2492" s="17" t="s">
        <v>19</v>
      </c>
      <c r="S2492" s="50" t="str">
        <f t="shared" si="116"/>
        <v>Alice-South</v>
      </c>
      <c r="T2492" s="59" t="str">
        <f>IF(ROUND(sales_data_1[[#This Row],[Profit_Margin]],2)=ROUND((sales_data_1[[#This Row],[Unit_Price]]*(1-sales_data_1[[#This Row],[Discount]]) - sales_data_1[[#This Row],[Unit_Cost]])*sales_data_1[[#This Row],[Quantity_Sold]],2), "PASS", "CHECK")</f>
        <v>PASS</v>
      </c>
    </row>
    <row r="2493" spans="1:20" x14ac:dyDescent="0.35">
      <c r="A2493" s="7">
        <v>2492</v>
      </c>
      <c r="B2493" s="9">
        <v>1063</v>
      </c>
      <c r="C2493" s="14" t="str">
        <f>IFERROR(_xlfn.TEXTJOIN("-", TRUE, _xlfn.XLOOKUP(K2493, product_category_id_lookup!$A$2:$A$5, product_category_id_lookup!$B$2:$B$5), B2493), "Unknown Category")</f>
        <v>ctg-1063</v>
      </c>
      <c r="D2493" s="8">
        <v>45407</v>
      </c>
      <c r="E2493" s="14">
        <f t="shared" si="114"/>
        <v>2024</v>
      </c>
      <c r="F2493" s="29" t="str">
        <f t="shared" si="115"/>
        <v>Apr</v>
      </c>
      <c r="G2493" s="17" t="s">
        <v>32</v>
      </c>
      <c r="H2493" s="17" t="s">
        <v>20</v>
      </c>
      <c r="I2493" s="24">
        <v>35930.576000000001</v>
      </c>
      <c r="J2493" s="32">
        <v>22</v>
      </c>
      <c r="K2493" s="17" t="s">
        <v>26</v>
      </c>
      <c r="L2493" s="24">
        <v>1059.98</v>
      </c>
      <c r="M2493" s="24">
        <v>2041.51</v>
      </c>
      <c r="N2493" s="34">
        <f>((sales_data_1[[#This Row],[Unit_Price]]*(1-sales_data_1[[#This Row],[Discount]]))-sales_data_1[[#This Row],[Unit_Cost]])*sales_data_1[[#This Row],[Quantity_Sold]]</f>
        <v>12611.016000000001</v>
      </c>
      <c r="O2493" s="17" t="s">
        <v>17</v>
      </c>
      <c r="P2493" s="26">
        <v>0.2</v>
      </c>
      <c r="Q2493" s="17" t="s">
        <v>25</v>
      </c>
      <c r="R2493" s="17" t="s">
        <v>19</v>
      </c>
      <c r="S2493" s="50" t="str">
        <f t="shared" si="116"/>
        <v>Eve-West</v>
      </c>
      <c r="T2493" s="59" t="str">
        <f>IF(ROUND(sales_data_1[[#This Row],[Profit_Margin]],2)=ROUND((sales_data_1[[#This Row],[Unit_Price]]*(1-sales_data_1[[#This Row],[Discount]]) - sales_data_1[[#This Row],[Unit_Cost]])*sales_data_1[[#This Row],[Quantity_Sold]],2), "PASS", "CHECK")</f>
        <v>PASS</v>
      </c>
    </row>
    <row r="2494" spans="1:20" x14ac:dyDescent="0.35">
      <c r="A2494" s="7">
        <v>2493</v>
      </c>
      <c r="B2494" s="9">
        <v>1048</v>
      </c>
      <c r="C2494" s="14" t="str">
        <f>IFERROR(_xlfn.TEXTJOIN("-", TRUE, _xlfn.XLOOKUP(K2494, product_category_id_lookup!$A$2:$A$5, product_category_id_lookup!$B$2:$B$5), B2494), "Unknown Category")</f>
        <v>etc-1048</v>
      </c>
      <c r="D2494" s="8">
        <v>45408</v>
      </c>
      <c r="E2494" s="14">
        <f t="shared" si="114"/>
        <v>2024</v>
      </c>
      <c r="F2494" s="29" t="str">
        <f t="shared" si="115"/>
        <v>Apr</v>
      </c>
      <c r="G2494" s="17" t="s">
        <v>32</v>
      </c>
      <c r="H2494" s="17" t="s">
        <v>20</v>
      </c>
      <c r="I2494" s="24">
        <v>27416.995200000001</v>
      </c>
      <c r="J2494" s="32">
        <v>9</v>
      </c>
      <c r="K2494" s="17" t="s">
        <v>31</v>
      </c>
      <c r="L2494" s="24">
        <v>2183.13</v>
      </c>
      <c r="M2494" s="24">
        <v>3715.04</v>
      </c>
      <c r="N2494" s="34">
        <f>((sales_data_1[[#This Row],[Unit_Price]]*(1-sales_data_1[[#This Row],[Discount]]))-sales_data_1[[#This Row],[Unit_Cost]])*sales_data_1[[#This Row],[Quantity_Sold]]</f>
        <v>7768.8252000000002</v>
      </c>
      <c r="O2494" s="17" t="s">
        <v>27</v>
      </c>
      <c r="P2494" s="26">
        <v>0.18</v>
      </c>
      <c r="Q2494" s="17" t="s">
        <v>25</v>
      </c>
      <c r="R2494" s="17" t="s">
        <v>19</v>
      </c>
      <c r="S2494" s="50" t="str">
        <f t="shared" si="116"/>
        <v>Eve-West</v>
      </c>
      <c r="T2494" s="59" t="str">
        <f>IF(ROUND(sales_data_1[[#This Row],[Profit_Margin]],2)=ROUND((sales_data_1[[#This Row],[Unit_Price]]*(1-sales_data_1[[#This Row],[Discount]]) - sales_data_1[[#This Row],[Unit_Cost]])*sales_data_1[[#This Row],[Quantity_Sold]],2), "PASS", "CHECK")</f>
        <v>PASS</v>
      </c>
    </row>
    <row r="2495" spans="1:20" x14ac:dyDescent="0.35">
      <c r="A2495" s="7">
        <v>2494</v>
      </c>
      <c r="B2495" s="9">
        <v>1038</v>
      </c>
      <c r="C2495" s="14" t="str">
        <f>IFERROR(_xlfn.TEXTJOIN("-", TRUE, _xlfn.XLOOKUP(K2495, product_category_id_lookup!$A$2:$A$5, product_category_id_lookup!$B$2:$B$5), B2495), "Unknown Category")</f>
        <v>fd-1038</v>
      </c>
      <c r="D2495" s="8">
        <v>45408</v>
      </c>
      <c r="E2495" s="14">
        <f t="shared" si="114"/>
        <v>2024</v>
      </c>
      <c r="F2495" s="29" t="str">
        <f t="shared" si="115"/>
        <v>Apr</v>
      </c>
      <c r="G2495" s="17" t="s">
        <v>33</v>
      </c>
      <c r="H2495" s="17" t="s">
        <v>20</v>
      </c>
      <c r="I2495" s="24">
        <v>11199.724200000001</v>
      </c>
      <c r="J2495" s="32">
        <v>9</v>
      </c>
      <c r="K2495" s="17" t="s">
        <v>24</v>
      </c>
      <c r="L2495" s="24">
        <v>319.58</v>
      </c>
      <c r="M2495" s="24">
        <v>1269.81</v>
      </c>
      <c r="N2495" s="34">
        <f>((sales_data_1[[#This Row],[Unit_Price]]*(1-sales_data_1[[#This Row],[Discount]]))-sales_data_1[[#This Row],[Unit_Cost]])*sales_data_1[[#This Row],[Quantity_Sold]]</f>
        <v>8323.5042000000012</v>
      </c>
      <c r="O2495" s="17" t="s">
        <v>27</v>
      </c>
      <c r="P2495" s="26">
        <v>0.02</v>
      </c>
      <c r="Q2495" s="17" t="s">
        <v>28</v>
      </c>
      <c r="R2495" s="17" t="s">
        <v>19</v>
      </c>
      <c r="S2495" s="50" t="str">
        <f t="shared" si="116"/>
        <v>Alice-West</v>
      </c>
      <c r="T2495" s="59" t="str">
        <f>IF(ROUND(sales_data_1[[#This Row],[Profit_Margin]],2)=ROUND((sales_data_1[[#This Row],[Unit_Price]]*(1-sales_data_1[[#This Row],[Discount]]) - sales_data_1[[#This Row],[Unit_Cost]])*sales_data_1[[#This Row],[Quantity_Sold]],2), "PASS", "CHECK")</f>
        <v>PASS</v>
      </c>
    </row>
    <row r="2496" spans="1:20" x14ac:dyDescent="0.35">
      <c r="A2496" s="7">
        <v>2495</v>
      </c>
      <c r="B2496" s="9">
        <v>1031</v>
      </c>
      <c r="C2496" s="14" t="str">
        <f>IFERROR(_xlfn.TEXTJOIN("-", TRUE, _xlfn.XLOOKUP(K2496, product_category_id_lookup!$A$2:$A$5, product_category_id_lookup!$B$2:$B$5), B2496), "Unknown Category")</f>
        <v>fd-1031</v>
      </c>
      <c r="D2496" s="8">
        <v>45408</v>
      </c>
      <c r="E2496" s="14">
        <f t="shared" si="114"/>
        <v>2024</v>
      </c>
      <c r="F2496" s="29" t="str">
        <f t="shared" si="115"/>
        <v>Apr</v>
      </c>
      <c r="G2496" s="17" t="s">
        <v>33</v>
      </c>
      <c r="H2496" s="17" t="s">
        <v>23</v>
      </c>
      <c r="I2496" s="24">
        <v>25922.180899999996</v>
      </c>
      <c r="J2496" s="32">
        <v>11</v>
      </c>
      <c r="K2496" s="17" t="s">
        <v>24</v>
      </c>
      <c r="L2496" s="24">
        <v>1316.21</v>
      </c>
      <c r="M2496" s="24">
        <v>3060.47</v>
      </c>
      <c r="N2496" s="34">
        <f>((sales_data_1[[#This Row],[Unit_Price]]*(1-sales_data_1[[#This Row],[Discount]]))-sales_data_1[[#This Row],[Unit_Cost]])*sales_data_1[[#This Row],[Quantity_Sold]]</f>
        <v>11443.870899999996</v>
      </c>
      <c r="O2496" s="17" t="s">
        <v>27</v>
      </c>
      <c r="P2496" s="26">
        <v>0.23</v>
      </c>
      <c r="Q2496" s="17" t="s">
        <v>25</v>
      </c>
      <c r="R2496" s="17" t="s">
        <v>19</v>
      </c>
      <c r="S2496" s="50" t="str">
        <f t="shared" si="116"/>
        <v>Alice-South</v>
      </c>
      <c r="T2496" s="59" t="str">
        <f>IF(ROUND(sales_data_1[[#This Row],[Profit_Margin]],2)=ROUND((sales_data_1[[#This Row],[Unit_Price]]*(1-sales_data_1[[#This Row],[Discount]]) - sales_data_1[[#This Row],[Unit_Cost]])*sales_data_1[[#This Row],[Quantity_Sold]],2), "PASS", "CHECK")</f>
        <v>PASS</v>
      </c>
    </row>
    <row r="2497" spans="1:20" x14ac:dyDescent="0.35">
      <c r="A2497" s="7">
        <v>2496</v>
      </c>
      <c r="B2497" s="9">
        <v>1097</v>
      </c>
      <c r="C2497" s="14" t="str">
        <f>IFERROR(_xlfn.TEXTJOIN("-", TRUE, _xlfn.XLOOKUP(K2497, product_category_id_lookup!$A$2:$A$5, product_category_id_lookup!$B$2:$B$5), B2497), "Unknown Category")</f>
        <v>fnt-1097</v>
      </c>
      <c r="D2497" s="8">
        <v>45408</v>
      </c>
      <c r="E2497" s="14">
        <f t="shared" si="114"/>
        <v>2024</v>
      </c>
      <c r="F2497" s="29" t="str">
        <f t="shared" si="115"/>
        <v>Apr</v>
      </c>
      <c r="G2497" s="17" t="s">
        <v>33</v>
      </c>
      <c r="H2497" s="17" t="s">
        <v>15</v>
      </c>
      <c r="I2497" s="24">
        <v>96159.167999999991</v>
      </c>
      <c r="J2497" s="32">
        <v>30</v>
      </c>
      <c r="K2497" s="17" t="s">
        <v>16</v>
      </c>
      <c r="L2497" s="24">
        <v>2727.01</v>
      </c>
      <c r="M2497" s="24">
        <v>3270.72</v>
      </c>
      <c r="N2497" s="34">
        <f>((sales_data_1[[#This Row],[Unit_Price]]*(1-sales_data_1[[#This Row],[Discount]]))-sales_data_1[[#This Row],[Unit_Cost]])*sales_data_1[[#This Row],[Quantity_Sold]]</f>
        <v>14348.867999999984</v>
      </c>
      <c r="O2497" s="17" t="s">
        <v>27</v>
      </c>
      <c r="P2497" s="26">
        <v>0.02</v>
      </c>
      <c r="Q2497" s="17" t="s">
        <v>25</v>
      </c>
      <c r="R2497" s="17" t="s">
        <v>21</v>
      </c>
      <c r="S2497" s="50" t="str">
        <f t="shared" si="116"/>
        <v>Alice-North</v>
      </c>
      <c r="T2497" s="59" t="str">
        <f>IF(ROUND(sales_data_1[[#This Row],[Profit_Margin]],2)=ROUND((sales_data_1[[#This Row],[Unit_Price]]*(1-sales_data_1[[#This Row],[Discount]]) - sales_data_1[[#This Row],[Unit_Cost]])*sales_data_1[[#This Row],[Quantity_Sold]],2), "PASS", "CHECK")</f>
        <v>PASS</v>
      </c>
    </row>
    <row r="2498" spans="1:20" x14ac:dyDescent="0.35">
      <c r="A2498" s="7">
        <v>2497</v>
      </c>
      <c r="B2498" s="9">
        <v>1048</v>
      </c>
      <c r="C2498" s="14" t="str">
        <f>IFERROR(_xlfn.TEXTJOIN("-", TRUE, _xlfn.XLOOKUP(K2498, product_category_id_lookup!$A$2:$A$5, product_category_id_lookup!$B$2:$B$5), B2498), "Unknown Category")</f>
        <v>etc-1048</v>
      </c>
      <c r="D2498" s="8">
        <v>45408</v>
      </c>
      <c r="E2498" s="14">
        <f t="shared" ref="E2498:E2561" si="117">YEAR(D2498)</f>
        <v>2024</v>
      </c>
      <c r="F2498" s="29" t="str">
        <f t="shared" ref="F2498:F2561" si="118">LEFT(TEXT(D2498,"mmmm"),3)</f>
        <v>Apr</v>
      </c>
      <c r="G2498" s="17" t="s">
        <v>22</v>
      </c>
      <c r="H2498" s="17" t="s">
        <v>30</v>
      </c>
      <c r="I2498" s="24">
        <v>62142.584399999992</v>
      </c>
      <c r="J2498" s="32">
        <v>18</v>
      </c>
      <c r="K2498" s="17" t="s">
        <v>31</v>
      </c>
      <c r="L2498" s="24">
        <v>1405.52</v>
      </c>
      <c r="M2498" s="24">
        <v>3559.14</v>
      </c>
      <c r="N2498" s="34">
        <f>((sales_data_1[[#This Row],[Unit_Price]]*(1-sales_data_1[[#This Row],[Discount]]))-sales_data_1[[#This Row],[Unit_Cost]])*sales_data_1[[#This Row],[Quantity_Sold]]</f>
        <v>36843.224399999992</v>
      </c>
      <c r="O2498" s="17" t="s">
        <v>27</v>
      </c>
      <c r="P2498" s="26">
        <v>0.03</v>
      </c>
      <c r="Q2498" s="17" t="s">
        <v>25</v>
      </c>
      <c r="R2498" s="17" t="s">
        <v>21</v>
      </c>
      <c r="S2498" s="50" t="str">
        <f t="shared" ref="S2498:S2561" si="119">_xlfn.CONCAT(G2498,"-",H2498)</f>
        <v>David-East</v>
      </c>
      <c r="T2498" s="59" t="str">
        <f>IF(ROUND(sales_data_1[[#This Row],[Profit_Margin]],2)=ROUND((sales_data_1[[#This Row],[Unit_Price]]*(1-sales_data_1[[#This Row],[Discount]]) - sales_data_1[[#This Row],[Unit_Cost]])*sales_data_1[[#This Row],[Quantity_Sold]],2), "PASS", "CHECK")</f>
        <v>PASS</v>
      </c>
    </row>
    <row r="2499" spans="1:20" x14ac:dyDescent="0.35">
      <c r="A2499" s="7">
        <v>2498</v>
      </c>
      <c r="B2499" s="9">
        <v>1013</v>
      </c>
      <c r="C2499" s="14" t="str">
        <f>IFERROR(_xlfn.TEXTJOIN("-", TRUE, _xlfn.XLOOKUP(K2499, product_category_id_lookup!$A$2:$A$5, product_category_id_lookup!$B$2:$B$5), B2499), "Unknown Category")</f>
        <v>ctg-1013</v>
      </c>
      <c r="D2499" s="8">
        <v>45409</v>
      </c>
      <c r="E2499" s="14">
        <f t="shared" si="117"/>
        <v>2024</v>
      </c>
      <c r="F2499" s="29" t="str">
        <f t="shared" si="118"/>
        <v>Apr</v>
      </c>
      <c r="G2499" s="17" t="s">
        <v>29</v>
      </c>
      <c r="H2499" s="17" t="s">
        <v>30</v>
      </c>
      <c r="I2499" s="24">
        <v>75074.773199999996</v>
      </c>
      <c r="J2499" s="32">
        <v>47</v>
      </c>
      <c r="K2499" s="17" t="s">
        <v>26</v>
      </c>
      <c r="L2499" s="24">
        <v>1383.07</v>
      </c>
      <c r="M2499" s="24">
        <v>1901.59</v>
      </c>
      <c r="N2499" s="34">
        <f>((sales_data_1[[#This Row],[Unit_Price]]*(1-sales_data_1[[#This Row],[Discount]]))-sales_data_1[[#This Row],[Unit_Cost]])*sales_data_1[[#This Row],[Quantity_Sold]]</f>
        <v>10070.483199999997</v>
      </c>
      <c r="O2499" s="17" t="s">
        <v>27</v>
      </c>
      <c r="P2499" s="26">
        <v>0.16</v>
      </c>
      <c r="Q2499" s="17" t="s">
        <v>25</v>
      </c>
      <c r="R2499" s="17" t="s">
        <v>19</v>
      </c>
      <c r="S2499" s="50" t="str">
        <f t="shared" si="119"/>
        <v>Charlie-East</v>
      </c>
      <c r="T2499" s="59" t="str">
        <f>IF(ROUND(sales_data_1[[#This Row],[Profit_Margin]],2)=ROUND((sales_data_1[[#This Row],[Unit_Price]]*(1-sales_data_1[[#This Row],[Discount]]) - sales_data_1[[#This Row],[Unit_Cost]])*sales_data_1[[#This Row],[Quantity_Sold]],2), "PASS", "CHECK")</f>
        <v>PASS</v>
      </c>
    </row>
    <row r="2500" spans="1:20" x14ac:dyDescent="0.35">
      <c r="A2500" s="7">
        <v>2499</v>
      </c>
      <c r="B2500" s="9">
        <v>1069</v>
      </c>
      <c r="C2500" s="14" t="str">
        <f>IFERROR(_xlfn.TEXTJOIN("-", TRUE, _xlfn.XLOOKUP(K2500, product_category_id_lookup!$A$2:$A$5, product_category_id_lookup!$B$2:$B$5), B2500), "Unknown Category")</f>
        <v>fnt-1069</v>
      </c>
      <c r="D2500" s="8">
        <v>45410</v>
      </c>
      <c r="E2500" s="14">
        <f t="shared" si="117"/>
        <v>2024</v>
      </c>
      <c r="F2500" s="29" t="str">
        <f t="shared" si="118"/>
        <v>Apr</v>
      </c>
      <c r="G2500" s="17" t="s">
        <v>32</v>
      </c>
      <c r="H2500" s="17" t="s">
        <v>20</v>
      </c>
      <c r="I2500" s="24">
        <v>303.63976495566169</v>
      </c>
      <c r="J2500" s="32">
        <v>1</v>
      </c>
      <c r="K2500" s="17" t="s">
        <v>16</v>
      </c>
      <c r="L2500" s="24">
        <v>301.02</v>
      </c>
      <c r="M2500" s="24">
        <v>304.48</v>
      </c>
      <c r="N2500" s="34">
        <f>((sales_data_1[[#This Row],[Unit_Price]]*(1-sales_data_1[[#This Row],[Discount]]))-sales_data_1[[#This Row],[Unit_Cost]])*sales_data_1[[#This Row],[Quantity_Sold]]</f>
        <v>3.4600000000000364</v>
      </c>
      <c r="O2500" s="17" t="s">
        <v>17</v>
      </c>
      <c r="P2500" s="26">
        <v>0</v>
      </c>
      <c r="Q2500" s="17" t="s">
        <v>28</v>
      </c>
      <c r="R2500" s="17" t="s">
        <v>19</v>
      </c>
      <c r="S2500" s="50" t="str">
        <f t="shared" si="119"/>
        <v>Eve-West</v>
      </c>
      <c r="T2500" s="59" t="str">
        <f>IF(ROUND(sales_data_1[[#This Row],[Profit_Margin]],2)=ROUND((sales_data_1[[#This Row],[Unit_Price]]*(1-sales_data_1[[#This Row],[Discount]]) - sales_data_1[[#This Row],[Unit_Cost]])*sales_data_1[[#This Row],[Quantity_Sold]],2), "PASS", "CHECK")</f>
        <v>PASS</v>
      </c>
    </row>
    <row r="2501" spans="1:20" x14ac:dyDescent="0.35">
      <c r="A2501" s="7">
        <v>2500</v>
      </c>
      <c r="B2501" s="9">
        <v>1087</v>
      </c>
      <c r="C2501" s="14" t="str">
        <f>IFERROR(_xlfn.TEXTJOIN("-", TRUE, _xlfn.XLOOKUP(K2501, product_category_id_lookup!$A$2:$A$5, product_category_id_lookup!$B$2:$B$5), B2501), "Unknown Category")</f>
        <v>etc-1087</v>
      </c>
      <c r="D2501" s="8">
        <v>45410</v>
      </c>
      <c r="E2501" s="14">
        <f t="shared" si="117"/>
        <v>2024</v>
      </c>
      <c r="F2501" s="29" t="str">
        <f t="shared" si="118"/>
        <v>Apr</v>
      </c>
      <c r="G2501" s="17" t="s">
        <v>29</v>
      </c>
      <c r="H2501" s="17" t="s">
        <v>23</v>
      </c>
      <c r="I2501" s="24">
        <v>7113.4555999999993</v>
      </c>
      <c r="J2501" s="32">
        <v>2</v>
      </c>
      <c r="K2501" s="17" t="s">
        <v>31</v>
      </c>
      <c r="L2501" s="24">
        <v>1190.3499999999999</v>
      </c>
      <c r="M2501" s="24">
        <v>4135.7299999999996</v>
      </c>
      <c r="N2501" s="34">
        <f>((sales_data_1[[#This Row],[Unit_Price]]*(1-sales_data_1[[#This Row],[Discount]]))-sales_data_1[[#This Row],[Unit_Cost]])*sales_data_1[[#This Row],[Quantity_Sold]]</f>
        <v>4732.7555999999995</v>
      </c>
      <c r="O2501" s="17" t="s">
        <v>17</v>
      </c>
      <c r="P2501" s="26">
        <v>0.14000000000000001</v>
      </c>
      <c r="Q2501" s="17" t="s">
        <v>25</v>
      </c>
      <c r="R2501" s="17" t="s">
        <v>21</v>
      </c>
      <c r="S2501" s="50" t="str">
        <f t="shared" si="119"/>
        <v>Charlie-South</v>
      </c>
      <c r="T2501" s="59" t="str">
        <f>IF(ROUND(sales_data_1[[#This Row],[Profit_Margin]],2)=ROUND((sales_data_1[[#This Row],[Unit_Price]]*(1-sales_data_1[[#This Row],[Discount]]) - sales_data_1[[#This Row],[Unit_Cost]])*sales_data_1[[#This Row],[Quantity_Sold]],2), "PASS", "CHECK")</f>
        <v>PASS</v>
      </c>
    </row>
    <row r="2502" spans="1:20" x14ac:dyDescent="0.35">
      <c r="A2502" s="7">
        <v>2501</v>
      </c>
      <c r="B2502" s="9">
        <v>1036</v>
      </c>
      <c r="C2502" s="14" t="str">
        <f>IFERROR(_xlfn.TEXTJOIN("-", TRUE, _xlfn.XLOOKUP(K2502, product_category_id_lookup!$A$2:$A$5, product_category_id_lookup!$B$2:$B$5), B2502), "Unknown Category")</f>
        <v>fd-1036</v>
      </c>
      <c r="D2502" s="8">
        <v>45411</v>
      </c>
      <c r="E2502" s="14">
        <f t="shared" si="117"/>
        <v>2024</v>
      </c>
      <c r="F2502" s="29" t="str">
        <f t="shared" si="118"/>
        <v>Apr</v>
      </c>
      <c r="G2502" s="17" t="s">
        <v>32</v>
      </c>
      <c r="H2502" s="17" t="s">
        <v>20</v>
      </c>
      <c r="I2502" s="24">
        <v>37810.584000000003</v>
      </c>
      <c r="J2502" s="32">
        <v>30</v>
      </c>
      <c r="K2502" s="17" t="s">
        <v>24</v>
      </c>
      <c r="L2502" s="24">
        <v>1103.45</v>
      </c>
      <c r="M2502" s="24">
        <v>1500.42</v>
      </c>
      <c r="N2502" s="34">
        <f>((sales_data_1[[#This Row],[Unit_Price]]*(1-sales_data_1[[#This Row],[Discount]]))-sales_data_1[[#This Row],[Unit_Cost]])*sales_data_1[[#This Row],[Quantity_Sold]]</f>
        <v>4707.0840000000026</v>
      </c>
      <c r="O2502" s="17" t="s">
        <v>17</v>
      </c>
      <c r="P2502" s="26">
        <v>0.16</v>
      </c>
      <c r="Q2502" s="17" t="s">
        <v>18</v>
      </c>
      <c r="R2502" s="17" t="s">
        <v>19</v>
      </c>
      <c r="S2502" s="50" t="str">
        <f t="shared" si="119"/>
        <v>Eve-West</v>
      </c>
      <c r="T2502" s="59" t="str">
        <f>IF(ROUND(sales_data_1[[#This Row],[Profit_Margin]],2)=ROUND((sales_data_1[[#This Row],[Unit_Price]]*(1-sales_data_1[[#This Row],[Discount]]) - sales_data_1[[#This Row],[Unit_Cost]])*sales_data_1[[#This Row],[Quantity_Sold]],2), "PASS", "CHECK")</f>
        <v>PASS</v>
      </c>
    </row>
    <row r="2503" spans="1:20" x14ac:dyDescent="0.35">
      <c r="A2503" s="7">
        <v>2502</v>
      </c>
      <c r="B2503" s="9">
        <v>1074</v>
      </c>
      <c r="C2503" s="14" t="str">
        <f>IFERROR(_xlfn.TEXTJOIN("-", TRUE, _xlfn.XLOOKUP(K2503, product_category_id_lookup!$A$2:$A$5, product_category_id_lookup!$B$2:$B$5), B2503), "Unknown Category")</f>
        <v>ctg-1074</v>
      </c>
      <c r="D2503" s="8">
        <v>45411</v>
      </c>
      <c r="E2503" s="14">
        <f t="shared" si="117"/>
        <v>2024</v>
      </c>
      <c r="F2503" s="29" t="str">
        <f t="shared" si="118"/>
        <v>Apr</v>
      </c>
      <c r="G2503" s="17" t="s">
        <v>32</v>
      </c>
      <c r="H2503" s="17" t="s">
        <v>20</v>
      </c>
      <c r="I2503" s="24">
        <v>37979.084800000004</v>
      </c>
      <c r="J2503" s="32">
        <v>16</v>
      </c>
      <c r="K2503" s="17" t="s">
        <v>26</v>
      </c>
      <c r="L2503" s="24">
        <v>1369.44</v>
      </c>
      <c r="M2503" s="24">
        <v>3123.28</v>
      </c>
      <c r="N2503" s="34">
        <f>((sales_data_1[[#This Row],[Unit_Price]]*(1-sales_data_1[[#This Row],[Discount]]))-sales_data_1[[#This Row],[Unit_Cost]])*sales_data_1[[#This Row],[Quantity_Sold]]</f>
        <v>16068.044800000003</v>
      </c>
      <c r="O2503" s="17" t="s">
        <v>27</v>
      </c>
      <c r="P2503" s="26">
        <v>0.24</v>
      </c>
      <c r="Q2503" s="17" t="s">
        <v>25</v>
      </c>
      <c r="R2503" s="17" t="s">
        <v>19</v>
      </c>
      <c r="S2503" s="50" t="str">
        <f t="shared" si="119"/>
        <v>Eve-West</v>
      </c>
      <c r="T2503" s="59" t="str">
        <f>IF(ROUND(sales_data_1[[#This Row],[Profit_Margin]],2)=ROUND((sales_data_1[[#This Row],[Unit_Price]]*(1-sales_data_1[[#This Row],[Discount]]) - sales_data_1[[#This Row],[Unit_Cost]])*sales_data_1[[#This Row],[Quantity_Sold]],2), "PASS", "CHECK")</f>
        <v>PASS</v>
      </c>
    </row>
    <row r="2504" spans="1:20" x14ac:dyDescent="0.35">
      <c r="A2504" s="7">
        <v>2503</v>
      </c>
      <c r="B2504" s="9">
        <v>1022</v>
      </c>
      <c r="C2504" s="14" t="str">
        <f>IFERROR(_xlfn.TEXTJOIN("-", TRUE, _xlfn.XLOOKUP(K2504, product_category_id_lookup!$A$2:$A$5, product_category_id_lookup!$B$2:$B$5), B2504), "Unknown Category")</f>
        <v>ctg-1022</v>
      </c>
      <c r="D2504" s="8">
        <v>45411</v>
      </c>
      <c r="E2504" s="14">
        <f t="shared" si="117"/>
        <v>2024</v>
      </c>
      <c r="F2504" s="29" t="str">
        <f t="shared" si="118"/>
        <v>Apr</v>
      </c>
      <c r="G2504" s="17" t="s">
        <v>14</v>
      </c>
      <c r="H2504" s="17" t="s">
        <v>30</v>
      </c>
      <c r="I2504" s="24">
        <v>43129.429999999993</v>
      </c>
      <c r="J2504" s="32">
        <v>25</v>
      </c>
      <c r="K2504" s="17" t="s">
        <v>26</v>
      </c>
      <c r="L2504" s="24">
        <v>898.06</v>
      </c>
      <c r="M2504" s="24">
        <v>2269.9699999999998</v>
      </c>
      <c r="N2504" s="34">
        <f>((sales_data_1[[#This Row],[Unit_Price]]*(1-sales_data_1[[#This Row],[Discount]]))-sales_data_1[[#This Row],[Unit_Cost]])*sales_data_1[[#This Row],[Quantity_Sold]]</f>
        <v>20677.929999999997</v>
      </c>
      <c r="O2504" s="17" t="s">
        <v>17</v>
      </c>
      <c r="P2504" s="26">
        <v>0.24</v>
      </c>
      <c r="Q2504" s="17" t="s">
        <v>18</v>
      </c>
      <c r="R2504" s="17" t="s">
        <v>21</v>
      </c>
      <c r="S2504" s="50" t="str">
        <f t="shared" si="119"/>
        <v>Bob-East</v>
      </c>
      <c r="T2504" s="59" t="str">
        <f>IF(ROUND(sales_data_1[[#This Row],[Profit_Margin]],2)=ROUND((sales_data_1[[#This Row],[Unit_Price]]*(1-sales_data_1[[#This Row],[Discount]]) - sales_data_1[[#This Row],[Unit_Cost]])*sales_data_1[[#This Row],[Quantity_Sold]],2), "PASS", "CHECK")</f>
        <v>PASS</v>
      </c>
    </row>
    <row r="2505" spans="1:20" x14ac:dyDescent="0.35">
      <c r="A2505" s="7">
        <v>2504</v>
      </c>
      <c r="B2505" s="9">
        <v>1037</v>
      </c>
      <c r="C2505" s="14" t="str">
        <f>IFERROR(_xlfn.TEXTJOIN("-", TRUE, _xlfn.XLOOKUP(K2505, product_category_id_lookup!$A$2:$A$5, product_category_id_lookup!$B$2:$B$5), B2505), "Unknown Category")</f>
        <v>fnt-1037</v>
      </c>
      <c r="D2505" s="8">
        <v>45411</v>
      </c>
      <c r="E2505" s="14">
        <f t="shared" si="117"/>
        <v>2024</v>
      </c>
      <c r="F2505" s="29" t="str">
        <f t="shared" si="118"/>
        <v>Apr</v>
      </c>
      <c r="G2505" s="17" t="s">
        <v>22</v>
      </c>
      <c r="H2505" s="17" t="s">
        <v>23</v>
      </c>
      <c r="I2505" s="24">
        <v>224046.9504</v>
      </c>
      <c r="J2505" s="32">
        <v>48</v>
      </c>
      <c r="K2505" s="17" t="s">
        <v>16</v>
      </c>
      <c r="L2505" s="24">
        <v>3838.39</v>
      </c>
      <c r="M2505" s="24">
        <v>5129.28</v>
      </c>
      <c r="N2505" s="34">
        <f>((sales_data_1[[#This Row],[Unit_Price]]*(1-sales_data_1[[#This Row],[Discount]]))-sales_data_1[[#This Row],[Unit_Cost]])*sales_data_1[[#This Row],[Quantity_Sold]]</f>
        <v>39804.230400000008</v>
      </c>
      <c r="O2505" s="17" t="s">
        <v>27</v>
      </c>
      <c r="P2505" s="26">
        <v>0.09</v>
      </c>
      <c r="Q2505" s="17" t="s">
        <v>25</v>
      </c>
      <c r="R2505" s="17" t="s">
        <v>21</v>
      </c>
      <c r="S2505" s="50" t="str">
        <f t="shared" si="119"/>
        <v>David-South</v>
      </c>
      <c r="T2505" s="59" t="str">
        <f>IF(ROUND(sales_data_1[[#This Row],[Profit_Margin]],2)=ROUND((sales_data_1[[#This Row],[Unit_Price]]*(1-sales_data_1[[#This Row],[Discount]]) - sales_data_1[[#This Row],[Unit_Cost]])*sales_data_1[[#This Row],[Quantity_Sold]],2), "PASS", "CHECK")</f>
        <v>PASS</v>
      </c>
    </row>
    <row r="2506" spans="1:20" x14ac:dyDescent="0.35">
      <c r="A2506" s="7">
        <v>2505</v>
      </c>
      <c r="B2506" s="9">
        <v>1081</v>
      </c>
      <c r="C2506" s="14" t="str">
        <f>IFERROR(_xlfn.TEXTJOIN("-", TRUE, _xlfn.XLOOKUP(K2506, product_category_id_lookup!$A$2:$A$5, product_category_id_lookup!$B$2:$B$5), B2506), "Unknown Category")</f>
        <v>ctg-1081</v>
      </c>
      <c r="D2506" s="8">
        <v>45411</v>
      </c>
      <c r="E2506" s="14">
        <f t="shared" si="117"/>
        <v>2024</v>
      </c>
      <c r="F2506" s="29" t="str">
        <f t="shared" si="118"/>
        <v>Apr</v>
      </c>
      <c r="G2506" s="17" t="s">
        <v>14</v>
      </c>
      <c r="H2506" s="17" t="s">
        <v>20</v>
      </c>
      <c r="I2506" s="24">
        <v>90761.392800000001</v>
      </c>
      <c r="J2506" s="32">
        <v>29</v>
      </c>
      <c r="K2506" s="17" t="s">
        <v>26</v>
      </c>
      <c r="L2506" s="24">
        <v>1371.63</v>
      </c>
      <c r="M2506" s="24">
        <v>3597.36</v>
      </c>
      <c r="N2506" s="34">
        <f>((sales_data_1[[#This Row],[Unit_Price]]*(1-sales_data_1[[#This Row],[Discount]]))-sales_data_1[[#This Row],[Unit_Cost]])*sales_data_1[[#This Row],[Quantity_Sold]]</f>
        <v>50984.122799999997</v>
      </c>
      <c r="O2506" s="17" t="s">
        <v>27</v>
      </c>
      <c r="P2506" s="26">
        <v>0.13</v>
      </c>
      <c r="Q2506" s="17" t="s">
        <v>18</v>
      </c>
      <c r="R2506" s="17" t="s">
        <v>21</v>
      </c>
      <c r="S2506" s="50" t="str">
        <f t="shared" si="119"/>
        <v>Bob-West</v>
      </c>
      <c r="T2506" s="59" t="str">
        <f>IF(ROUND(sales_data_1[[#This Row],[Profit_Margin]],2)=ROUND((sales_data_1[[#This Row],[Unit_Price]]*(1-sales_data_1[[#This Row],[Discount]]) - sales_data_1[[#This Row],[Unit_Cost]])*sales_data_1[[#This Row],[Quantity_Sold]],2), "PASS", "CHECK")</f>
        <v>PASS</v>
      </c>
    </row>
    <row r="2507" spans="1:20" x14ac:dyDescent="0.35">
      <c r="A2507" s="7">
        <v>2506</v>
      </c>
      <c r="B2507" s="9">
        <v>1097</v>
      </c>
      <c r="C2507" s="14" t="str">
        <f>IFERROR(_xlfn.TEXTJOIN("-", TRUE, _xlfn.XLOOKUP(K2507, product_category_id_lookup!$A$2:$A$5, product_category_id_lookup!$B$2:$B$5), B2507), "Unknown Category")</f>
        <v>fd-1097</v>
      </c>
      <c r="D2507" s="8">
        <v>45412</v>
      </c>
      <c r="E2507" s="14">
        <f t="shared" si="117"/>
        <v>2024</v>
      </c>
      <c r="F2507" s="29" t="str">
        <f t="shared" si="118"/>
        <v>Apr</v>
      </c>
      <c r="G2507" s="17" t="s">
        <v>32</v>
      </c>
      <c r="H2507" s="17" t="s">
        <v>15</v>
      </c>
      <c r="I2507" s="24">
        <v>51988.464</v>
      </c>
      <c r="J2507" s="32">
        <v>46</v>
      </c>
      <c r="K2507" s="17" t="s">
        <v>24</v>
      </c>
      <c r="L2507" s="24">
        <v>961.86</v>
      </c>
      <c r="M2507" s="24">
        <v>1569.7</v>
      </c>
      <c r="N2507" s="34">
        <f>((sales_data_1[[#This Row],[Unit_Price]]*(1-sales_data_1[[#This Row],[Discount]]))-sales_data_1[[#This Row],[Unit_Cost]])*sales_data_1[[#This Row],[Quantity_Sold]]</f>
        <v>7742.9039999999977</v>
      </c>
      <c r="O2507" s="17" t="s">
        <v>17</v>
      </c>
      <c r="P2507" s="26">
        <v>0.28000000000000003</v>
      </c>
      <c r="Q2507" s="17" t="s">
        <v>25</v>
      </c>
      <c r="R2507" s="17" t="s">
        <v>21</v>
      </c>
      <c r="S2507" s="50" t="str">
        <f t="shared" si="119"/>
        <v>Eve-North</v>
      </c>
      <c r="T2507" s="59" t="str">
        <f>IF(ROUND(sales_data_1[[#This Row],[Profit_Margin]],2)=ROUND((sales_data_1[[#This Row],[Unit_Price]]*(1-sales_data_1[[#This Row],[Discount]]) - sales_data_1[[#This Row],[Unit_Cost]])*sales_data_1[[#This Row],[Quantity_Sold]],2), "PASS", "CHECK")</f>
        <v>PASS</v>
      </c>
    </row>
    <row r="2508" spans="1:20" x14ac:dyDescent="0.35">
      <c r="A2508" s="7">
        <v>2507</v>
      </c>
      <c r="B2508" s="9">
        <v>1073</v>
      </c>
      <c r="C2508" s="14" t="str">
        <f>IFERROR(_xlfn.TEXTJOIN("-", TRUE, _xlfn.XLOOKUP(K2508, product_category_id_lookup!$A$2:$A$5, product_category_id_lookup!$B$2:$B$5), B2508), "Unknown Category")</f>
        <v>etc-1073</v>
      </c>
      <c r="D2508" s="8">
        <v>45413</v>
      </c>
      <c r="E2508" s="14">
        <f t="shared" si="117"/>
        <v>2024</v>
      </c>
      <c r="F2508" s="29" t="str">
        <f t="shared" si="118"/>
        <v>May</v>
      </c>
      <c r="G2508" s="17" t="s">
        <v>14</v>
      </c>
      <c r="H2508" s="17" t="s">
        <v>23</v>
      </c>
      <c r="I2508" s="24">
        <v>71305.870481294492</v>
      </c>
      <c r="J2508" s="32">
        <v>24</v>
      </c>
      <c r="K2508" s="17" t="s">
        <v>31</v>
      </c>
      <c r="L2508" s="24">
        <v>2750.37</v>
      </c>
      <c r="M2508" s="24">
        <v>3050.96</v>
      </c>
      <c r="N2508" s="34">
        <f>((sales_data_1[[#This Row],[Unit_Price]]*(1-sales_data_1[[#This Row],[Discount]]))-sales_data_1[[#This Row],[Unit_Cost]])*sales_data_1[[#This Row],[Quantity_Sold]]</f>
        <v>5017.4688000000024</v>
      </c>
      <c r="O2508" s="17" t="s">
        <v>17</v>
      </c>
      <c r="P2508" s="26">
        <v>0.03</v>
      </c>
      <c r="Q2508" s="17" t="s">
        <v>25</v>
      </c>
      <c r="R2508" s="17" t="s">
        <v>21</v>
      </c>
      <c r="S2508" s="50" t="str">
        <f t="shared" si="119"/>
        <v>Bob-South</v>
      </c>
      <c r="T2508" s="59" t="str">
        <f>IF(ROUND(sales_data_1[[#This Row],[Profit_Margin]],2)=ROUND((sales_data_1[[#This Row],[Unit_Price]]*(1-sales_data_1[[#This Row],[Discount]]) - sales_data_1[[#This Row],[Unit_Cost]])*sales_data_1[[#This Row],[Quantity_Sold]],2), "PASS", "CHECK")</f>
        <v>PASS</v>
      </c>
    </row>
    <row r="2509" spans="1:20" x14ac:dyDescent="0.35">
      <c r="A2509" s="7">
        <v>2508</v>
      </c>
      <c r="B2509" s="9">
        <v>1069</v>
      </c>
      <c r="C2509" s="14" t="str">
        <f>IFERROR(_xlfn.TEXTJOIN("-", TRUE, _xlfn.XLOOKUP(K2509, product_category_id_lookup!$A$2:$A$5, product_category_id_lookup!$B$2:$B$5), B2509), "Unknown Category")</f>
        <v>fd-1069</v>
      </c>
      <c r="D2509" s="8">
        <v>45413</v>
      </c>
      <c r="E2509" s="14">
        <f t="shared" si="117"/>
        <v>2024</v>
      </c>
      <c r="F2509" s="29" t="str">
        <f t="shared" si="118"/>
        <v>May</v>
      </c>
      <c r="G2509" s="17" t="s">
        <v>14</v>
      </c>
      <c r="H2509" s="17" t="s">
        <v>23</v>
      </c>
      <c r="I2509" s="24">
        <v>71541.959999999992</v>
      </c>
      <c r="J2509" s="32">
        <v>20</v>
      </c>
      <c r="K2509" s="17" t="s">
        <v>24</v>
      </c>
      <c r="L2509" s="24">
        <v>2938.85</v>
      </c>
      <c r="M2509" s="24">
        <v>3650.1</v>
      </c>
      <c r="N2509" s="34">
        <f>((sales_data_1[[#This Row],[Unit_Price]]*(1-sales_data_1[[#This Row],[Discount]]))-sales_data_1[[#This Row],[Unit_Cost]])*sales_data_1[[#This Row],[Quantity_Sold]]</f>
        <v>12764.960000000001</v>
      </c>
      <c r="O2509" s="17" t="s">
        <v>17</v>
      </c>
      <c r="P2509" s="26">
        <v>0.02</v>
      </c>
      <c r="Q2509" s="17" t="s">
        <v>25</v>
      </c>
      <c r="R2509" s="17" t="s">
        <v>21</v>
      </c>
      <c r="S2509" s="50" t="str">
        <f t="shared" si="119"/>
        <v>Bob-South</v>
      </c>
      <c r="T2509" s="59" t="str">
        <f>IF(ROUND(sales_data_1[[#This Row],[Profit_Margin]],2)=ROUND((sales_data_1[[#This Row],[Unit_Price]]*(1-sales_data_1[[#This Row],[Discount]]) - sales_data_1[[#This Row],[Unit_Cost]])*sales_data_1[[#This Row],[Quantity_Sold]],2), "PASS", "CHECK")</f>
        <v>PASS</v>
      </c>
    </row>
    <row r="2510" spans="1:20" x14ac:dyDescent="0.35">
      <c r="A2510" s="7">
        <v>2509</v>
      </c>
      <c r="B2510" s="9">
        <v>1030</v>
      </c>
      <c r="C2510" s="14" t="str">
        <f>IFERROR(_xlfn.TEXTJOIN("-", TRUE, _xlfn.XLOOKUP(K2510, product_category_id_lookup!$A$2:$A$5, product_category_id_lookup!$B$2:$B$5), B2510), "Unknown Category")</f>
        <v>ctg-1030</v>
      </c>
      <c r="D2510" s="8">
        <v>45413</v>
      </c>
      <c r="E2510" s="14">
        <f t="shared" si="117"/>
        <v>2024</v>
      </c>
      <c r="F2510" s="29" t="str">
        <f t="shared" si="118"/>
        <v>May</v>
      </c>
      <c r="G2510" s="17" t="s">
        <v>33</v>
      </c>
      <c r="H2510" s="17" t="s">
        <v>30</v>
      </c>
      <c r="I2510" s="24">
        <v>143681.46893563779</v>
      </c>
      <c r="J2510" s="32">
        <v>45</v>
      </c>
      <c r="K2510" s="17" t="s">
        <v>26</v>
      </c>
      <c r="L2510" s="24">
        <v>2840.4</v>
      </c>
      <c r="M2510" s="24">
        <v>3346.08</v>
      </c>
      <c r="N2510" s="34">
        <f>((sales_data_1[[#This Row],[Unit_Price]]*(1-sales_data_1[[#This Row],[Discount]]))-sales_data_1[[#This Row],[Unit_Cost]])*sales_data_1[[#This Row],[Quantity_Sold]]</f>
        <v>15226.919999999989</v>
      </c>
      <c r="O2510" s="17" t="s">
        <v>27</v>
      </c>
      <c r="P2510" s="26">
        <v>0.05</v>
      </c>
      <c r="Q2510" s="17" t="s">
        <v>25</v>
      </c>
      <c r="R2510" s="17" t="s">
        <v>19</v>
      </c>
      <c r="S2510" s="50" t="str">
        <f t="shared" si="119"/>
        <v>Alice-East</v>
      </c>
      <c r="T2510" s="59" t="str">
        <f>IF(ROUND(sales_data_1[[#This Row],[Profit_Margin]],2)=ROUND((sales_data_1[[#This Row],[Unit_Price]]*(1-sales_data_1[[#This Row],[Discount]]) - sales_data_1[[#This Row],[Unit_Cost]])*sales_data_1[[#This Row],[Quantity_Sold]],2), "PASS", "CHECK")</f>
        <v>PASS</v>
      </c>
    </row>
    <row r="2511" spans="1:20" x14ac:dyDescent="0.35">
      <c r="A2511" s="7">
        <v>2510</v>
      </c>
      <c r="B2511" s="9">
        <v>1091</v>
      </c>
      <c r="C2511" s="14" t="str">
        <f>IFERROR(_xlfn.TEXTJOIN("-", TRUE, _xlfn.XLOOKUP(K2511, product_category_id_lookup!$A$2:$A$5, product_category_id_lookup!$B$2:$B$5), B2511), "Unknown Category")</f>
        <v>ctg-1091</v>
      </c>
      <c r="D2511" s="8">
        <v>45413</v>
      </c>
      <c r="E2511" s="14">
        <f t="shared" si="117"/>
        <v>2024</v>
      </c>
      <c r="F2511" s="29" t="str">
        <f t="shared" si="118"/>
        <v>May</v>
      </c>
      <c r="G2511" s="17" t="s">
        <v>33</v>
      </c>
      <c r="H2511" s="17" t="s">
        <v>23</v>
      </c>
      <c r="I2511" s="24">
        <v>97719.308799999999</v>
      </c>
      <c r="J2511" s="32">
        <v>32</v>
      </c>
      <c r="K2511" s="17" t="s">
        <v>26</v>
      </c>
      <c r="L2511" s="24">
        <v>1954.35</v>
      </c>
      <c r="M2511" s="24">
        <v>3319.27</v>
      </c>
      <c r="N2511" s="34">
        <f>((sales_data_1[[#This Row],[Unit_Price]]*(1-sales_data_1[[#This Row],[Discount]]))-sales_data_1[[#This Row],[Unit_Cost]])*sales_data_1[[#This Row],[Quantity_Sold]]</f>
        <v>35180.108800000002</v>
      </c>
      <c r="O2511" s="17" t="s">
        <v>17</v>
      </c>
      <c r="P2511" s="26">
        <v>0.08</v>
      </c>
      <c r="Q2511" s="17" t="s">
        <v>25</v>
      </c>
      <c r="R2511" s="17" t="s">
        <v>21</v>
      </c>
      <c r="S2511" s="50" t="str">
        <f t="shared" si="119"/>
        <v>Alice-South</v>
      </c>
      <c r="T2511" s="59" t="str">
        <f>IF(ROUND(sales_data_1[[#This Row],[Profit_Margin]],2)=ROUND((sales_data_1[[#This Row],[Unit_Price]]*(1-sales_data_1[[#This Row],[Discount]]) - sales_data_1[[#This Row],[Unit_Cost]])*sales_data_1[[#This Row],[Quantity_Sold]],2), "PASS", "CHECK")</f>
        <v>PASS</v>
      </c>
    </row>
    <row r="2512" spans="1:20" x14ac:dyDescent="0.35">
      <c r="A2512" s="7">
        <v>2511</v>
      </c>
      <c r="B2512" s="9">
        <v>1058</v>
      </c>
      <c r="C2512" s="14" t="str">
        <f>IFERROR(_xlfn.TEXTJOIN("-", TRUE, _xlfn.XLOOKUP(K2512, product_category_id_lookup!$A$2:$A$5, product_category_id_lookup!$B$2:$B$5), B2512), "Unknown Category")</f>
        <v>fnt-1058</v>
      </c>
      <c r="D2512" s="8">
        <v>45413</v>
      </c>
      <c r="E2512" s="14">
        <f t="shared" si="117"/>
        <v>2024</v>
      </c>
      <c r="F2512" s="29" t="str">
        <f t="shared" si="118"/>
        <v>May</v>
      </c>
      <c r="G2512" s="17" t="s">
        <v>32</v>
      </c>
      <c r="H2512" s="17" t="s">
        <v>15</v>
      </c>
      <c r="I2512" s="24">
        <v>203840.27929999999</v>
      </c>
      <c r="J2512" s="32">
        <v>49</v>
      </c>
      <c r="K2512" s="17" t="s">
        <v>16</v>
      </c>
      <c r="L2512" s="24">
        <v>1387.77</v>
      </c>
      <c r="M2512" s="24">
        <v>5265.83</v>
      </c>
      <c r="N2512" s="34">
        <f>((sales_data_1[[#This Row],[Unit_Price]]*(1-sales_data_1[[#This Row],[Discount]]))-sales_data_1[[#This Row],[Unit_Cost]])*sales_data_1[[#This Row],[Quantity_Sold]]</f>
        <v>135839.54929999998</v>
      </c>
      <c r="O2512" s="17" t="s">
        <v>17</v>
      </c>
      <c r="P2512" s="26">
        <v>0.21</v>
      </c>
      <c r="Q2512" s="17" t="s">
        <v>25</v>
      </c>
      <c r="R2512" s="17" t="s">
        <v>19</v>
      </c>
      <c r="S2512" s="50" t="str">
        <f t="shared" si="119"/>
        <v>Eve-North</v>
      </c>
      <c r="T2512" s="59" t="str">
        <f>IF(ROUND(sales_data_1[[#This Row],[Profit_Margin]],2)=ROUND((sales_data_1[[#This Row],[Unit_Price]]*(1-sales_data_1[[#This Row],[Discount]]) - sales_data_1[[#This Row],[Unit_Cost]])*sales_data_1[[#This Row],[Quantity_Sold]],2), "PASS", "CHECK")</f>
        <v>PASS</v>
      </c>
    </row>
    <row r="2513" spans="1:20" x14ac:dyDescent="0.35">
      <c r="A2513" s="7">
        <v>2512</v>
      </c>
      <c r="B2513" s="9">
        <v>1022</v>
      </c>
      <c r="C2513" s="14" t="str">
        <f>IFERROR(_xlfn.TEXTJOIN("-", TRUE, _xlfn.XLOOKUP(K2513, product_category_id_lookup!$A$2:$A$5, product_category_id_lookup!$B$2:$B$5), B2513), "Unknown Category")</f>
        <v>fd-1022</v>
      </c>
      <c r="D2513" s="8">
        <v>45413</v>
      </c>
      <c r="E2513" s="14">
        <f t="shared" si="117"/>
        <v>2024</v>
      </c>
      <c r="F2513" s="29" t="str">
        <f t="shared" si="118"/>
        <v>May</v>
      </c>
      <c r="G2513" s="17" t="s">
        <v>33</v>
      </c>
      <c r="H2513" s="17" t="s">
        <v>15</v>
      </c>
      <c r="I2513" s="24">
        <v>190479.64319999999</v>
      </c>
      <c r="J2513" s="32">
        <v>42</v>
      </c>
      <c r="K2513" s="17" t="s">
        <v>24</v>
      </c>
      <c r="L2513" s="24">
        <v>777.9</v>
      </c>
      <c r="M2513" s="24">
        <v>4581.04</v>
      </c>
      <c r="N2513" s="34">
        <f>((sales_data_1[[#This Row],[Unit_Price]]*(1-sales_data_1[[#This Row],[Discount]]))-sales_data_1[[#This Row],[Unit_Cost]])*sales_data_1[[#This Row],[Quantity_Sold]]</f>
        <v>157807.84319999997</v>
      </c>
      <c r="O2513" s="17" t="s">
        <v>27</v>
      </c>
      <c r="P2513" s="26">
        <v>0.01</v>
      </c>
      <c r="Q2513" s="17" t="s">
        <v>18</v>
      </c>
      <c r="R2513" s="17" t="s">
        <v>21</v>
      </c>
      <c r="S2513" s="50" t="str">
        <f t="shared" si="119"/>
        <v>Alice-North</v>
      </c>
      <c r="T2513" s="59" t="str">
        <f>IF(ROUND(sales_data_1[[#This Row],[Profit_Margin]],2)=ROUND((sales_data_1[[#This Row],[Unit_Price]]*(1-sales_data_1[[#This Row],[Discount]]) - sales_data_1[[#This Row],[Unit_Cost]])*sales_data_1[[#This Row],[Quantity_Sold]],2), "PASS", "CHECK")</f>
        <v>PASS</v>
      </c>
    </row>
    <row r="2514" spans="1:20" x14ac:dyDescent="0.35">
      <c r="A2514" s="7">
        <v>2513</v>
      </c>
      <c r="B2514" s="9">
        <v>1051</v>
      </c>
      <c r="C2514" s="14" t="str">
        <f>IFERROR(_xlfn.TEXTJOIN("-", TRUE, _xlfn.XLOOKUP(K2514, product_category_id_lookup!$A$2:$A$5, product_category_id_lookup!$B$2:$B$5), B2514), "Unknown Category")</f>
        <v>fnt-1051</v>
      </c>
      <c r="D2514" s="8">
        <v>45414</v>
      </c>
      <c r="E2514" s="14">
        <f t="shared" si="117"/>
        <v>2024</v>
      </c>
      <c r="F2514" s="29" t="str">
        <f t="shared" si="118"/>
        <v>May</v>
      </c>
      <c r="G2514" s="17" t="s">
        <v>22</v>
      </c>
      <c r="H2514" s="17" t="s">
        <v>30</v>
      </c>
      <c r="I2514" s="24">
        <v>20282.373186122066</v>
      </c>
      <c r="J2514" s="32">
        <v>4</v>
      </c>
      <c r="K2514" s="17" t="s">
        <v>16</v>
      </c>
      <c r="L2514" s="24">
        <v>4762.66</v>
      </c>
      <c r="M2514" s="24">
        <v>5261.04</v>
      </c>
      <c r="N2514" s="34">
        <f>((sales_data_1[[#This Row],[Unit_Price]]*(1-sales_data_1[[#This Row],[Discount]]))-sales_data_1[[#This Row],[Unit_Cost]])*sales_data_1[[#This Row],[Quantity_Sold]]</f>
        <v>1151.7536</v>
      </c>
      <c r="O2514" s="17" t="s">
        <v>17</v>
      </c>
      <c r="P2514" s="26">
        <v>0.04</v>
      </c>
      <c r="Q2514" s="17" t="s">
        <v>28</v>
      </c>
      <c r="R2514" s="17" t="s">
        <v>19</v>
      </c>
      <c r="S2514" s="50" t="str">
        <f t="shared" si="119"/>
        <v>David-East</v>
      </c>
      <c r="T2514" s="59" t="str">
        <f>IF(ROUND(sales_data_1[[#This Row],[Profit_Margin]],2)=ROUND((sales_data_1[[#This Row],[Unit_Price]]*(1-sales_data_1[[#This Row],[Discount]]) - sales_data_1[[#This Row],[Unit_Cost]])*sales_data_1[[#This Row],[Quantity_Sold]],2), "PASS", "CHECK")</f>
        <v>PASS</v>
      </c>
    </row>
    <row r="2515" spans="1:20" x14ac:dyDescent="0.35">
      <c r="A2515" s="7">
        <v>2514</v>
      </c>
      <c r="B2515" s="9">
        <v>1014</v>
      </c>
      <c r="C2515" s="14" t="str">
        <f>IFERROR(_xlfn.TEXTJOIN("-", TRUE, _xlfn.XLOOKUP(K2515, product_category_id_lookup!$A$2:$A$5, product_category_id_lookup!$B$2:$B$5), B2515), "Unknown Category")</f>
        <v>fd-1014</v>
      </c>
      <c r="D2515" s="8">
        <v>45414</v>
      </c>
      <c r="E2515" s="14">
        <f t="shared" si="117"/>
        <v>2024</v>
      </c>
      <c r="F2515" s="29" t="str">
        <f t="shared" si="118"/>
        <v>May</v>
      </c>
      <c r="G2515" s="17" t="s">
        <v>32</v>
      </c>
      <c r="H2515" s="17" t="s">
        <v>15</v>
      </c>
      <c r="I2515" s="24">
        <v>58390.516800000005</v>
      </c>
      <c r="J2515" s="32">
        <v>18</v>
      </c>
      <c r="K2515" s="17" t="s">
        <v>24</v>
      </c>
      <c r="L2515" s="24">
        <v>2581.5700000000002</v>
      </c>
      <c r="M2515" s="24">
        <v>4212.88</v>
      </c>
      <c r="N2515" s="34">
        <f>((sales_data_1[[#This Row],[Unit_Price]]*(1-sales_data_1[[#This Row],[Discount]]))-sales_data_1[[#This Row],[Unit_Cost]])*sales_data_1[[#This Row],[Quantity_Sold]]</f>
        <v>11922.256800000001</v>
      </c>
      <c r="O2515" s="17" t="s">
        <v>17</v>
      </c>
      <c r="P2515" s="26">
        <v>0.23</v>
      </c>
      <c r="Q2515" s="17" t="s">
        <v>28</v>
      </c>
      <c r="R2515" s="17" t="s">
        <v>21</v>
      </c>
      <c r="S2515" s="50" t="str">
        <f t="shared" si="119"/>
        <v>Eve-North</v>
      </c>
      <c r="T2515" s="59" t="str">
        <f>IF(ROUND(sales_data_1[[#This Row],[Profit_Margin]],2)=ROUND((sales_data_1[[#This Row],[Unit_Price]]*(1-sales_data_1[[#This Row],[Discount]]) - sales_data_1[[#This Row],[Unit_Cost]])*sales_data_1[[#This Row],[Quantity_Sold]],2), "PASS", "CHECK")</f>
        <v>PASS</v>
      </c>
    </row>
    <row r="2516" spans="1:20" x14ac:dyDescent="0.35">
      <c r="A2516" s="7">
        <v>2515</v>
      </c>
      <c r="B2516" s="9">
        <v>1060</v>
      </c>
      <c r="C2516" s="14" t="str">
        <f>IFERROR(_xlfn.TEXTJOIN("-", TRUE, _xlfn.XLOOKUP(K2516, product_category_id_lookup!$A$2:$A$5, product_category_id_lookup!$B$2:$B$5), B2516), "Unknown Category")</f>
        <v>fd-1060</v>
      </c>
      <c r="D2516" s="8">
        <v>45414</v>
      </c>
      <c r="E2516" s="14">
        <f t="shared" si="117"/>
        <v>2024</v>
      </c>
      <c r="F2516" s="29" t="str">
        <f t="shared" si="118"/>
        <v>May</v>
      </c>
      <c r="G2516" s="17" t="s">
        <v>32</v>
      </c>
      <c r="H2516" s="17" t="s">
        <v>20</v>
      </c>
      <c r="I2516" s="24">
        <v>164037.174</v>
      </c>
      <c r="J2516" s="32">
        <v>43</v>
      </c>
      <c r="K2516" s="17" t="s">
        <v>24</v>
      </c>
      <c r="L2516" s="24">
        <v>3304.69</v>
      </c>
      <c r="M2516" s="24">
        <v>4541.45</v>
      </c>
      <c r="N2516" s="34">
        <f>((sales_data_1[[#This Row],[Unit_Price]]*(1-sales_data_1[[#This Row],[Discount]]))-sales_data_1[[#This Row],[Unit_Cost]])*sales_data_1[[#This Row],[Quantity_Sold]]</f>
        <v>21935.503999999986</v>
      </c>
      <c r="O2516" s="17" t="s">
        <v>27</v>
      </c>
      <c r="P2516" s="26">
        <v>0.16</v>
      </c>
      <c r="Q2516" s="17" t="s">
        <v>18</v>
      </c>
      <c r="R2516" s="17" t="s">
        <v>19</v>
      </c>
      <c r="S2516" s="50" t="str">
        <f t="shared" si="119"/>
        <v>Eve-West</v>
      </c>
      <c r="T2516" s="59" t="str">
        <f>IF(ROUND(sales_data_1[[#This Row],[Profit_Margin]],2)=ROUND((sales_data_1[[#This Row],[Unit_Price]]*(1-sales_data_1[[#This Row],[Discount]]) - sales_data_1[[#This Row],[Unit_Cost]])*sales_data_1[[#This Row],[Quantity_Sold]],2), "PASS", "CHECK")</f>
        <v>PASS</v>
      </c>
    </row>
    <row r="2517" spans="1:20" x14ac:dyDescent="0.35">
      <c r="A2517" s="7">
        <v>2516</v>
      </c>
      <c r="B2517" s="9">
        <v>1042</v>
      </c>
      <c r="C2517" s="14" t="str">
        <f>IFERROR(_xlfn.TEXTJOIN("-", TRUE, _xlfn.XLOOKUP(K2517, product_category_id_lookup!$A$2:$A$5, product_category_id_lookup!$B$2:$B$5), B2517), "Unknown Category")</f>
        <v>ctg-1042</v>
      </c>
      <c r="D2517" s="8">
        <v>45414</v>
      </c>
      <c r="E2517" s="14">
        <f t="shared" si="117"/>
        <v>2024</v>
      </c>
      <c r="F2517" s="29" t="str">
        <f t="shared" si="118"/>
        <v>May</v>
      </c>
      <c r="G2517" s="17" t="s">
        <v>33</v>
      </c>
      <c r="H2517" s="17" t="s">
        <v>30</v>
      </c>
      <c r="I2517" s="24">
        <v>245746.5312</v>
      </c>
      <c r="J2517" s="32">
        <v>48</v>
      </c>
      <c r="K2517" s="17" t="s">
        <v>26</v>
      </c>
      <c r="L2517" s="24">
        <v>4500.88</v>
      </c>
      <c r="M2517" s="24">
        <v>5446.51</v>
      </c>
      <c r="N2517" s="34">
        <f>((sales_data_1[[#This Row],[Unit_Price]]*(1-sales_data_1[[#This Row],[Discount]]))-sales_data_1[[#This Row],[Unit_Cost]])*sales_data_1[[#This Row],[Quantity_Sold]]</f>
        <v>29704.291199999992</v>
      </c>
      <c r="O2517" s="17" t="s">
        <v>27</v>
      </c>
      <c r="P2517" s="26">
        <v>0.06</v>
      </c>
      <c r="Q2517" s="17" t="s">
        <v>18</v>
      </c>
      <c r="R2517" s="17" t="s">
        <v>21</v>
      </c>
      <c r="S2517" s="50" t="str">
        <f t="shared" si="119"/>
        <v>Alice-East</v>
      </c>
      <c r="T2517" s="59" t="str">
        <f>IF(ROUND(sales_data_1[[#This Row],[Profit_Margin]],2)=ROUND((sales_data_1[[#This Row],[Unit_Price]]*(1-sales_data_1[[#This Row],[Discount]]) - sales_data_1[[#This Row],[Unit_Cost]])*sales_data_1[[#This Row],[Quantity_Sold]],2), "PASS", "CHECK")</f>
        <v>PASS</v>
      </c>
    </row>
    <row r="2518" spans="1:20" x14ac:dyDescent="0.35">
      <c r="A2518" s="7">
        <v>2517</v>
      </c>
      <c r="B2518" s="9">
        <v>1051</v>
      </c>
      <c r="C2518" s="14" t="str">
        <f>IFERROR(_xlfn.TEXTJOIN("-", TRUE, _xlfn.XLOOKUP(K2518, product_category_id_lookup!$A$2:$A$5, product_category_id_lookup!$B$2:$B$5), B2518), "Unknown Category")</f>
        <v>ctg-1051</v>
      </c>
      <c r="D2518" s="8">
        <v>45415</v>
      </c>
      <c r="E2518" s="14">
        <f t="shared" si="117"/>
        <v>2024</v>
      </c>
      <c r="F2518" s="29" t="str">
        <f t="shared" si="118"/>
        <v>May</v>
      </c>
      <c r="G2518" s="17" t="s">
        <v>14</v>
      </c>
      <c r="H2518" s="17" t="s">
        <v>23</v>
      </c>
      <c r="I2518" s="24">
        <v>19780.904225697737</v>
      </c>
      <c r="J2518" s="32">
        <v>10</v>
      </c>
      <c r="K2518" s="17" t="s">
        <v>26</v>
      </c>
      <c r="L2518" s="24">
        <v>1949.15</v>
      </c>
      <c r="M2518" s="24">
        <v>1984.85</v>
      </c>
      <c r="N2518" s="34">
        <f>((sales_data_1[[#This Row],[Unit_Price]]*(1-sales_data_1[[#This Row],[Discount]]))-sales_data_1[[#This Row],[Unit_Cost]])*sales_data_1[[#This Row],[Quantity_Sold]]</f>
        <v>356.99999999999818</v>
      </c>
      <c r="O2518" s="17" t="s">
        <v>17</v>
      </c>
      <c r="P2518" s="26">
        <v>0</v>
      </c>
      <c r="Q2518" s="17" t="s">
        <v>28</v>
      </c>
      <c r="R2518" s="17" t="s">
        <v>19</v>
      </c>
      <c r="S2518" s="50" t="str">
        <f t="shared" si="119"/>
        <v>Bob-South</v>
      </c>
      <c r="T2518" s="59" t="str">
        <f>IF(ROUND(sales_data_1[[#This Row],[Profit_Margin]],2)=ROUND((sales_data_1[[#This Row],[Unit_Price]]*(1-sales_data_1[[#This Row],[Discount]]) - sales_data_1[[#This Row],[Unit_Cost]])*sales_data_1[[#This Row],[Quantity_Sold]],2), "PASS", "CHECK")</f>
        <v>PASS</v>
      </c>
    </row>
    <row r="2519" spans="1:20" x14ac:dyDescent="0.35">
      <c r="A2519" s="7">
        <v>2518</v>
      </c>
      <c r="B2519" s="9">
        <v>1052</v>
      </c>
      <c r="C2519" s="14" t="str">
        <f>IFERROR(_xlfn.TEXTJOIN("-", TRUE, _xlfn.XLOOKUP(K2519, product_category_id_lookup!$A$2:$A$5, product_category_id_lookup!$B$2:$B$5), B2519), "Unknown Category")</f>
        <v>fnt-1052</v>
      </c>
      <c r="D2519" s="8">
        <v>45415</v>
      </c>
      <c r="E2519" s="14">
        <f t="shared" si="117"/>
        <v>2024</v>
      </c>
      <c r="F2519" s="29" t="str">
        <f t="shared" si="118"/>
        <v>May</v>
      </c>
      <c r="G2519" s="17" t="s">
        <v>33</v>
      </c>
      <c r="H2519" s="17" t="s">
        <v>23</v>
      </c>
      <c r="I2519" s="24">
        <v>57450.908882181509</v>
      </c>
      <c r="J2519" s="32">
        <v>13</v>
      </c>
      <c r="K2519" s="17" t="s">
        <v>16</v>
      </c>
      <c r="L2519" s="24">
        <v>4381.26</v>
      </c>
      <c r="M2519" s="24">
        <v>4472.46</v>
      </c>
      <c r="N2519" s="34">
        <f>((sales_data_1[[#This Row],[Unit_Price]]*(1-sales_data_1[[#This Row],[Discount]]))-sales_data_1[[#This Row],[Unit_Cost]])*sales_data_1[[#This Row],[Quantity_Sold]]</f>
        <v>604.1801999999916</v>
      </c>
      <c r="O2519" s="17" t="s">
        <v>17</v>
      </c>
      <c r="P2519" s="26">
        <v>0.01</v>
      </c>
      <c r="Q2519" s="17" t="s">
        <v>25</v>
      </c>
      <c r="R2519" s="17" t="s">
        <v>19</v>
      </c>
      <c r="S2519" s="50" t="str">
        <f t="shared" si="119"/>
        <v>Alice-South</v>
      </c>
      <c r="T2519" s="59" t="str">
        <f>IF(ROUND(sales_data_1[[#This Row],[Profit_Margin]],2)=ROUND((sales_data_1[[#This Row],[Unit_Price]]*(1-sales_data_1[[#This Row],[Discount]]) - sales_data_1[[#This Row],[Unit_Cost]])*sales_data_1[[#This Row],[Quantity_Sold]],2), "PASS", "CHECK")</f>
        <v>PASS</v>
      </c>
    </row>
    <row r="2520" spans="1:20" x14ac:dyDescent="0.35">
      <c r="A2520" s="7">
        <v>2519</v>
      </c>
      <c r="B2520" s="9">
        <v>1090</v>
      </c>
      <c r="C2520" s="14" t="str">
        <f>IFERROR(_xlfn.TEXTJOIN("-", TRUE, _xlfn.XLOOKUP(K2520, product_category_id_lookup!$A$2:$A$5, product_category_id_lookup!$B$2:$B$5), B2520), "Unknown Category")</f>
        <v>etc-1090</v>
      </c>
      <c r="D2520" s="8">
        <v>45415</v>
      </c>
      <c r="E2520" s="14">
        <f t="shared" si="117"/>
        <v>2024</v>
      </c>
      <c r="F2520" s="29" t="str">
        <f t="shared" si="118"/>
        <v>May</v>
      </c>
      <c r="G2520" s="17" t="s">
        <v>33</v>
      </c>
      <c r="H2520" s="17" t="s">
        <v>30</v>
      </c>
      <c r="I2520" s="24">
        <v>2922.5910000000003</v>
      </c>
      <c r="J2520" s="32">
        <v>2</v>
      </c>
      <c r="K2520" s="17" t="s">
        <v>31</v>
      </c>
      <c r="L2520" s="24">
        <v>210.61</v>
      </c>
      <c r="M2520" s="24">
        <v>1679.65</v>
      </c>
      <c r="N2520" s="34">
        <f>((sales_data_1[[#This Row],[Unit_Price]]*(1-sales_data_1[[#This Row],[Discount]]))-sales_data_1[[#This Row],[Unit_Cost]])*sales_data_1[[#This Row],[Quantity_Sold]]</f>
        <v>2501.3710000000001</v>
      </c>
      <c r="O2520" s="17" t="s">
        <v>17</v>
      </c>
      <c r="P2520" s="26">
        <v>0.13</v>
      </c>
      <c r="Q2520" s="17" t="s">
        <v>25</v>
      </c>
      <c r="R2520" s="17" t="s">
        <v>21</v>
      </c>
      <c r="S2520" s="50" t="str">
        <f t="shared" si="119"/>
        <v>Alice-East</v>
      </c>
      <c r="T2520" s="59" t="str">
        <f>IF(ROUND(sales_data_1[[#This Row],[Profit_Margin]],2)=ROUND((sales_data_1[[#This Row],[Unit_Price]]*(1-sales_data_1[[#This Row],[Discount]]) - sales_data_1[[#This Row],[Unit_Cost]])*sales_data_1[[#This Row],[Quantity_Sold]],2), "PASS", "CHECK")</f>
        <v>PASS</v>
      </c>
    </row>
    <row r="2521" spans="1:20" x14ac:dyDescent="0.35">
      <c r="A2521" s="7">
        <v>2520</v>
      </c>
      <c r="B2521" s="9">
        <v>1022</v>
      </c>
      <c r="C2521" s="14" t="str">
        <f>IFERROR(_xlfn.TEXTJOIN("-", TRUE, _xlfn.XLOOKUP(K2521, product_category_id_lookup!$A$2:$A$5, product_category_id_lookup!$B$2:$B$5), B2521), "Unknown Category")</f>
        <v>fnt-1022</v>
      </c>
      <c r="D2521" s="8">
        <v>45415</v>
      </c>
      <c r="E2521" s="14">
        <f t="shared" si="117"/>
        <v>2024</v>
      </c>
      <c r="F2521" s="29" t="str">
        <f t="shared" si="118"/>
        <v>May</v>
      </c>
      <c r="G2521" s="17" t="s">
        <v>32</v>
      </c>
      <c r="H2521" s="17" t="s">
        <v>30</v>
      </c>
      <c r="I2521" s="24">
        <v>217109.7978</v>
      </c>
      <c r="J2521" s="32">
        <v>47</v>
      </c>
      <c r="K2521" s="17" t="s">
        <v>16</v>
      </c>
      <c r="L2521" s="24">
        <v>3097.72</v>
      </c>
      <c r="M2521" s="24">
        <v>4713.63</v>
      </c>
      <c r="N2521" s="34">
        <f>((sales_data_1[[#This Row],[Unit_Price]]*(1-sales_data_1[[#This Row],[Discount]]))-sales_data_1[[#This Row],[Unit_Cost]])*sales_data_1[[#This Row],[Quantity_Sold]]</f>
        <v>71516.957800000004</v>
      </c>
      <c r="O2521" s="17" t="s">
        <v>17</v>
      </c>
      <c r="P2521" s="26">
        <v>0.02</v>
      </c>
      <c r="Q2521" s="17" t="s">
        <v>25</v>
      </c>
      <c r="R2521" s="17" t="s">
        <v>21</v>
      </c>
      <c r="S2521" s="50" t="str">
        <f t="shared" si="119"/>
        <v>Eve-East</v>
      </c>
      <c r="T2521" s="59" t="str">
        <f>IF(ROUND(sales_data_1[[#This Row],[Profit_Margin]],2)=ROUND((sales_data_1[[#This Row],[Unit_Price]]*(1-sales_data_1[[#This Row],[Discount]]) - sales_data_1[[#This Row],[Unit_Cost]])*sales_data_1[[#This Row],[Quantity_Sold]],2), "PASS", "CHECK")</f>
        <v>PASS</v>
      </c>
    </row>
    <row r="2522" spans="1:20" x14ac:dyDescent="0.35">
      <c r="A2522" s="7">
        <v>2521</v>
      </c>
      <c r="B2522" s="9">
        <v>1076</v>
      </c>
      <c r="C2522" s="14" t="str">
        <f>IFERROR(_xlfn.TEXTJOIN("-", TRUE, _xlfn.XLOOKUP(K2522, product_category_id_lookup!$A$2:$A$5, product_category_id_lookup!$B$2:$B$5), B2522), "Unknown Category")</f>
        <v>fd-1076</v>
      </c>
      <c r="D2522" s="8">
        <v>45415</v>
      </c>
      <c r="E2522" s="14">
        <f t="shared" si="117"/>
        <v>2024</v>
      </c>
      <c r="F2522" s="29" t="str">
        <f t="shared" si="118"/>
        <v>May</v>
      </c>
      <c r="G2522" s="17" t="s">
        <v>29</v>
      </c>
      <c r="H2522" s="17" t="s">
        <v>20</v>
      </c>
      <c r="I2522" s="24">
        <v>158216.11199999999</v>
      </c>
      <c r="J2522" s="32">
        <v>48</v>
      </c>
      <c r="K2522" s="17" t="s">
        <v>24</v>
      </c>
      <c r="L2522" s="24">
        <v>1450.21</v>
      </c>
      <c r="M2522" s="24">
        <v>3788.7</v>
      </c>
      <c r="N2522" s="34">
        <f>((sales_data_1[[#This Row],[Unit_Price]]*(1-sales_data_1[[#This Row],[Discount]]))-sales_data_1[[#This Row],[Unit_Cost]])*sales_data_1[[#This Row],[Quantity_Sold]]</f>
        <v>88606.031999999992</v>
      </c>
      <c r="O2522" s="17" t="s">
        <v>27</v>
      </c>
      <c r="P2522" s="26">
        <v>0.13</v>
      </c>
      <c r="Q2522" s="17" t="s">
        <v>28</v>
      </c>
      <c r="R2522" s="17" t="s">
        <v>19</v>
      </c>
      <c r="S2522" s="50" t="str">
        <f t="shared" si="119"/>
        <v>Charlie-West</v>
      </c>
      <c r="T2522" s="59" t="str">
        <f>IF(ROUND(sales_data_1[[#This Row],[Profit_Margin]],2)=ROUND((sales_data_1[[#This Row],[Unit_Price]]*(1-sales_data_1[[#This Row],[Discount]]) - sales_data_1[[#This Row],[Unit_Cost]])*sales_data_1[[#This Row],[Quantity_Sold]],2), "PASS", "CHECK")</f>
        <v>PASS</v>
      </c>
    </row>
    <row r="2523" spans="1:20" x14ac:dyDescent="0.35">
      <c r="A2523" s="7">
        <v>2522</v>
      </c>
      <c r="B2523" s="9">
        <v>1008</v>
      </c>
      <c r="C2523" s="14" t="str">
        <f>IFERROR(_xlfn.TEXTJOIN("-", TRUE, _xlfn.XLOOKUP(K2523, product_category_id_lookup!$A$2:$A$5, product_category_id_lookup!$B$2:$B$5), B2523), "Unknown Category")</f>
        <v>ctg-1008</v>
      </c>
      <c r="D2523" s="8">
        <v>45416</v>
      </c>
      <c r="E2523" s="14">
        <f t="shared" si="117"/>
        <v>2024</v>
      </c>
      <c r="F2523" s="29" t="str">
        <f t="shared" si="118"/>
        <v>May</v>
      </c>
      <c r="G2523" s="17" t="s">
        <v>33</v>
      </c>
      <c r="H2523" s="17" t="s">
        <v>15</v>
      </c>
      <c r="I2523" s="24">
        <v>142426.3351</v>
      </c>
      <c r="J2523" s="32">
        <v>49</v>
      </c>
      <c r="K2523" s="17" t="s">
        <v>26</v>
      </c>
      <c r="L2523" s="24">
        <v>2337.12</v>
      </c>
      <c r="M2523" s="24">
        <v>3265.91</v>
      </c>
      <c r="N2523" s="34">
        <f>((sales_data_1[[#This Row],[Unit_Price]]*(1-sales_data_1[[#This Row],[Discount]]))-sales_data_1[[#This Row],[Unit_Cost]])*sales_data_1[[#This Row],[Quantity_Sold]]</f>
        <v>27907.45510000001</v>
      </c>
      <c r="O2523" s="17" t="s">
        <v>27</v>
      </c>
      <c r="P2523" s="26">
        <v>0.11</v>
      </c>
      <c r="Q2523" s="17" t="s">
        <v>28</v>
      </c>
      <c r="R2523" s="17" t="s">
        <v>21</v>
      </c>
      <c r="S2523" s="50" t="str">
        <f t="shared" si="119"/>
        <v>Alice-North</v>
      </c>
      <c r="T2523" s="59" t="str">
        <f>IF(ROUND(sales_data_1[[#This Row],[Profit_Margin]],2)=ROUND((sales_data_1[[#This Row],[Unit_Price]]*(1-sales_data_1[[#This Row],[Discount]]) - sales_data_1[[#This Row],[Unit_Cost]])*sales_data_1[[#This Row],[Quantity_Sold]],2), "PASS", "CHECK")</f>
        <v>PASS</v>
      </c>
    </row>
    <row r="2524" spans="1:20" x14ac:dyDescent="0.35">
      <c r="A2524" s="7">
        <v>2523</v>
      </c>
      <c r="B2524" s="9">
        <v>1057</v>
      </c>
      <c r="C2524" s="14" t="str">
        <f>IFERROR(_xlfn.TEXTJOIN("-", TRUE, _xlfn.XLOOKUP(K2524, product_category_id_lookup!$A$2:$A$5, product_category_id_lookup!$B$2:$B$5), B2524), "Unknown Category")</f>
        <v>etc-1057</v>
      </c>
      <c r="D2524" s="8">
        <v>45417</v>
      </c>
      <c r="E2524" s="14">
        <f t="shared" si="117"/>
        <v>2024</v>
      </c>
      <c r="F2524" s="29" t="str">
        <f t="shared" si="118"/>
        <v>May</v>
      </c>
      <c r="G2524" s="17" t="s">
        <v>32</v>
      </c>
      <c r="H2524" s="17" t="s">
        <v>30</v>
      </c>
      <c r="I2524" s="24">
        <v>13585.2912</v>
      </c>
      <c r="J2524" s="32">
        <v>4</v>
      </c>
      <c r="K2524" s="17" t="s">
        <v>31</v>
      </c>
      <c r="L2524" s="24">
        <v>2559.7600000000002</v>
      </c>
      <c r="M2524" s="24">
        <v>3651.96</v>
      </c>
      <c r="N2524" s="34">
        <f>((sales_data_1[[#This Row],[Unit_Price]]*(1-sales_data_1[[#This Row],[Discount]]))-sales_data_1[[#This Row],[Unit_Cost]])*sales_data_1[[#This Row],[Quantity_Sold]]</f>
        <v>3346.2511999999988</v>
      </c>
      <c r="O2524" s="17" t="s">
        <v>17</v>
      </c>
      <c r="P2524" s="26">
        <v>7.0000000000000007E-2</v>
      </c>
      <c r="Q2524" s="17" t="s">
        <v>18</v>
      </c>
      <c r="R2524" s="17" t="s">
        <v>21</v>
      </c>
      <c r="S2524" s="50" t="str">
        <f t="shared" si="119"/>
        <v>Eve-East</v>
      </c>
      <c r="T2524" s="59" t="str">
        <f>IF(ROUND(sales_data_1[[#This Row],[Profit_Margin]],2)=ROUND((sales_data_1[[#This Row],[Unit_Price]]*(1-sales_data_1[[#This Row],[Discount]]) - sales_data_1[[#This Row],[Unit_Cost]])*sales_data_1[[#This Row],[Quantity_Sold]],2), "PASS", "CHECK")</f>
        <v>PASS</v>
      </c>
    </row>
    <row r="2525" spans="1:20" x14ac:dyDescent="0.35">
      <c r="A2525" s="7">
        <v>2524</v>
      </c>
      <c r="B2525" s="9">
        <v>1077</v>
      </c>
      <c r="C2525" s="14" t="str">
        <f>IFERROR(_xlfn.TEXTJOIN("-", TRUE, _xlfn.XLOOKUP(K2525, product_category_id_lookup!$A$2:$A$5, product_category_id_lookup!$B$2:$B$5), B2525), "Unknown Category")</f>
        <v>fnt-1077</v>
      </c>
      <c r="D2525" s="8">
        <v>45417</v>
      </c>
      <c r="E2525" s="14">
        <f t="shared" si="117"/>
        <v>2024</v>
      </c>
      <c r="F2525" s="29" t="str">
        <f t="shared" si="118"/>
        <v>May</v>
      </c>
      <c r="G2525" s="17" t="s">
        <v>29</v>
      </c>
      <c r="H2525" s="17" t="s">
        <v>20</v>
      </c>
      <c r="I2525" s="24">
        <v>9269.8143999999993</v>
      </c>
      <c r="J2525" s="32">
        <v>7</v>
      </c>
      <c r="K2525" s="17" t="s">
        <v>16</v>
      </c>
      <c r="L2525" s="24">
        <v>407.38</v>
      </c>
      <c r="M2525" s="24">
        <v>1504.84</v>
      </c>
      <c r="N2525" s="34">
        <f>((sales_data_1[[#This Row],[Unit_Price]]*(1-sales_data_1[[#This Row],[Discount]]))-sales_data_1[[#This Row],[Unit_Cost]])*sales_data_1[[#This Row],[Quantity_Sold]]</f>
        <v>6418.1543999999994</v>
      </c>
      <c r="O2525" s="17" t="s">
        <v>27</v>
      </c>
      <c r="P2525" s="26">
        <v>0.12</v>
      </c>
      <c r="Q2525" s="17" t="s">
        <v>18</v>
      </c>
      <c r="R2525" s="17" t="s">
        <v>19</v>
      </c>
      <c r="S2525" s="50" t="str">
        <f t="shared" si="119"/>
        <v>Charlie-West</v>
      </c>
      <c r="T2525" s="59" t="str">
        <f>IF(ROUND(sales_data_1[[#This Row],[Profit_Margin]],2)=ROUND((sales_data_1[[#This Row],[Unit_Price]]*(1-sales_data_1[[#This Row],[Discount]]) - sales_data_1[[#This Row],[Unit_Cost]])*sales_data_1[[#This Row],[Quantity_Sold]],2), "PASS", "CHECK")</f>
        <v>PASS</v>
      </c>
    </row>
    <row r="2526" spans="1:20" x14ac:dyDescent="0.35">
      <c r="A2526" s="7">
        <v>2525</v>
      </c>
      <c r="B2526" s="9">
        <v>1076</v>
      </c>
      <c r="C2526" s="14" t="str">
        <f>IFERROR(_xlfn.TEXTJOIN("-", TRUE, _xlfn.XLOOKUP(K2526, product_category_id_lookup!$A$2:$A$5, product_category_id_lookup!$B$2:$B$5), B2526), "Unknown Category")</f>
        <v>etc-1076</v>
      </c>
      <c r="D2526" s="8">
        <v>45417</v>
      </c>
      <c r="E2526" s="14">
        <f t="shared" si="117"/>
        <v>2024</v>
      </c>
      <c r="F2526" s="29" t="str">
        <f t="shared" si="118"/>
        <v>May</v>
      </c>
      <c r="G2526" s="17" t="s">
        <v>22</v>
      </c>
      <c r="H2526" s="17" t="s">
        <v>23</v>
      </c>
      <c r="I2526" s="24">
        <v>165283.14599999998</v>
      </c>
      <c r="J2526" s="32">
        <v>42</v>
      </c>
      <c r="K2526" s="17" t="s">
        <v>31</v>
      </c>
      <c r="L2526" s="24">
        <v>3206.33</v>
      </c>
      <c r="M2526" s="24">
        <v>4629.78</v>
      </c>
      <c r="N2526" s="34">
        <f>((sales_data_1[[#This Row],[Unit_Price]]*(1-sales_data_1[[#This Row],[Discount]]))-sales_data_1[[#This Row],[Unit_Cost]])*sales_data_1[[#This Row],[Quantity_Sold]]</f>
        <v>30617.285999999989</v>
      </c>
      <c r="O2526" s="17" t="s">
        <v>27</v>
      </c>
      <c r="P2526" s="26">
        <v>0.15</v>
      </c>
      <c r="Q2526" s="17" t="s">
        <v>25</v>
      </c>
      <c r="R2526" s="17" t="s">
        <v>19</v>
      </c>
      <c r="S2526" s="50" t="str">
        <f t="shared" si="119"/>
        <v>David-South</v>
      </c>
      <c r="T2526" s="59" t="str">
        <f>IF(ROUND(sales_data_1[[#This Row],[Profit_Margin]],2)=ROUND((sales_data_1[[#This Row],[Unit_Price]]*(1-sales_data_1[[#This Row],[Discount]]) - sales_data_1[[#This Row],[Unit_Cost]])*sales_data_1[[#This Row],[Quantity_Sold]],2), "PASS", "CHECK")</f>
        <v>PASS</v>
      </c>
    </row>
    <row r="2527" spans="1:20" x14ac:dyDescent="0.35">
      <c r="A2527" s="7">
        <v>2526</v>
      </c>
      <c r="B2527" s="9">
        <v>1029</v>
      </c>
      <c r="C2527" s="14" t="str">
        <f>IFERROR(_xlfn.TEXTJOIN("-", TRUE, _xlfn.XLOOKUP(K2527, product_category_id_lookup!$A$2:$A$5, product_category_id_lookup!$B$2:$B$5), B2527), "Unknown Category")</f>
        <v>ctg-1029</v>
      </c>
      <c r="D2527" s="8">
        <v>45417</v>
      </c>
      <c r="E2527" s="14">
        <f t="shared" si="117"/>
        <v>2024</v>
      </c>
      <c r="F2527" s="29" t="str">
        <f t="shared" si="118"/>
        <v>May</v>
      </c>
      <c r="G2527" s="17" t="s">
        <v>33</v>
      </c>
      <c r="H2527" s="17" t="s">
        <v>23</v>
      </c>
      <c r="I2527" s="24">
        <v>65938.022400000002</v>
      </c>
      <c r="J2527" s="32">
        <v>32</v>
      </c>
      <c r="K2527" s="17" t="s">
        <v>26</v>
      </c>
      <c r="L2527" s="24">
        <v>1049.2</v>
      </c>
      <c r="M2527" s="24">
        <v>2146.42</v>
      </c>
      <c r="N2527" s="34">
        <f>((sales_data_1[[#This Row],[Unit_Price]]*(1-sales_data_1[[#This Row],[Discount]]))-sales_data_1[[#This Row],[Unit_Cost]])*sales_data_1[[#This Row],[Quantity_Sold]]</f>
        <v>32363.6224</v>
      </c>
      <c r="O2527" s="17" t="s">
        <v>17</v>
      </c>
      <c r="P2527" s="26">
        <v>0.04</v>
      </c>
      <c r="Q2527" s="17" t="s">
        <v>25</v>
      </c>
      <c r="R2527" s="17" t="s">
        <v>19</v>
      </c>
      <c r="S2527" s="50" t="str">
        <f t="shared" si="119"/>
        <v>Alice-South</v>
      </c>
      <c r="T2527" s="59" t="str">
        <f>IF(ROUND(sales_data_1[[#This Row],[Profit_Margin]],2)=ROUND((sales_data_1[[#This Row],[Unit_Price]]*(1-sales_data_1[[#This Row],[Discount]]) - sales_data_1[[#This Row],[Unit_Cost]])*sales_data_1[[#This Row],[Quantity_Sold]],2), "PASS", "CHECK")</f>
        <v>PASS</v>
      </c>
    </row>
    <row r="2528" spans="1:20" x14ac:dyDescent="0.35">
      <c r="A2528" s="7">
        <v>2527</v>
      </c>
      <c r="B2528" s="9">
        <v>1085</v>
      </c>
      <c r="C2528" s="14" t="str">
        <f>IFERROR(_xlfn.TEXTJOIN("-", TRUE, _xlfn.XLOOKUP(K2528, product_category_id_lookup!$A$2:$A$5, product_category_id_lookup!$B$2:$B$5), B2528), "Unknown Category")</f>
        <v>fd-1085</v>
      </c>
      <c r="D2528" s="8">
        <v>45417</v>
      </c>
      <c r="E2528" s="14">
        <f t="shared" si="117"/>
        <v>2024</v>
      </c>
      <c r="F2528" s="29" t="str">
        <f t="shared" si="118"/>
        <v>May</v>
      </c>
      <c r="G2528" s="17" t="s">
        <v>33</v>
      </c>
      <c r="H2528" s="17" t="s">
        <v>15</v>
      </c>
      <c r="I2528" s="24">
        <v>94558.952199999985</v>
      </c>
      <c r="J2528" s="32">
        <v>43</v>
      </c>
      <c r="K2528" s="17" t="s">
        <v>24</v>
      </c>
      <c r="L2528" s="24">
        <v>333.84</v>
      </c>
      <c r="M2528" s="24">
        <v>2339.41</v>
      </c>
      <c r="N2528" s="34">
        <f>((sales_data_1[[#This Row],[Unit_Price]]*(1-sales_data_1[[#This Row],[Discount]]))-sales_data_1[[#This Row],[Unit_Cost]])*sales_data_1[[#This Row],[Quantity_Sold]]</f>
        <v>80203.83219999999</v>
      </c>
      <c r="O2528" s="17" t="s">
        <v>17</v>
      </c>
      <c r="P2528" s="26">
        <v>0.06</v>
      </c>
      <c r="Q2528" s="17" t="s">
        <v>28</v>
      </c>
      <c r="R2528" s="17" t="s">
        <v>19</v>
      </c>
      <c r="S2528" s="50" t="str">
        <f t="shared" si="119"/>
        <v>Alice-North</v>
      </c>
      <c r="T2528" s="59" t="str">
        <f>IF(ROUND(sales_data_1[[#This Row],[Profit_Margin]],2)=ROUND((sales_data_1[[#This Row],[Unit_Price]]*(1-sales_data_1[[#This Row],[Discount]]) - sales_data_1[[#This Row],[Unit_Cost]])*sales_data_1[[#This Row],[Quantity_Sold]],2), "PASS", "CHECK")</f>
        <v>PASS</v>
      </c>
    </row>
    <row r="2529" spans="1:20" x14ac:dyDescent="0.35">
      <c r="A2529" s="7">
        <v>2528</v>
      </c>
      <c r="B2529" s="9">
        <v>1037</v>
      </c>
      <c r="C2529" s="14" t="str">
        <f>IFERROR(_xlfn.TEXTJOIN("-", TRUE, _xlfn.XLOOKUP(K2529, product_category_id_lookup!$A$2:$A$5, product_category_id_lookup!$B$2:$B$5), B2529), "Unknown Category")</f>
        <v>fd-1037</v>
      </c>
      <c r="D2529" s="8">
        <v>45418</v>
      </c>
      <c r="E2529" s="14">
        <f t="shared" si="117"/>
        <v>2024</v>
      </c>
      <c r="F2529" s="29" t="str">
        <f t="shared" si="118"/>
        <v>May</v>
      </c>
      <c r="G2529" s="17" t="s">
        <v>32</v>
      </c>
      <c r="H2529" s="17" t="s">
        <v>15</v>
      </c>
      <c r="I2529" s="24">
        <v>178979.67359999998</v>
      </c>
      <c r="J2529" s="32">
        <v>48</v>
      </c>
      <c r="K2529" s="17" t="s">
        <v>24</v>
      </c>
      <c r="L2529" s="24">
        <v>3596.82</v>
      </c>
      <c r="M2529" s="24">
        <v>3804.84</v>
      </c>
      <c r="N2529" s="34">
        <f>((sales_data_1[[#This Row],[Unit_Price]]*(1-sales_data_1[[#This Row],[Discount]]))-sales_data_1[[#This Row],[Unit_Cost]])*sales_data_1[[#This Row],[Quantity_Sold]]</f>
        <v>6332.3135999999868</v>
      </c>
      <c r="O2529" s="17" t="s">
        <v>17</v>
      </c>
      <c r="P2529" s="26">
        <v>0.02</v>
      </c>
      <c r="Q2529" s="17" t="s">
        <v>28</v>
      </c>
      <c r="R2529" s="17" t="s">
        <v>19</v>
      </c>
      <c r="S2529" s="50" t="str">
        <f t="shared" si="119"/>
        <v>Eve-North</v>
      </c>
      <c r="T2529" s="59" t="str">
        <f>IF(ROUND(sales_data_1[[#This Row],[Profit_Margin]],2)=ROUND((sales_data_1[[#This Row],[Unit_Price]]*(1-sales_data_1[[#This Row],[Discount]]) - sales_data_1[[#This Row],[Unit_Cost]])*sales_data_1[[#This Row],[Quantity_Sold]],2), "PASS", "CHECK")</f>
        <v>PASS</v>
      </c>
    </row>
    <row r="2530" spans="1:20" x14ac:dyDescent="0.35">
      <c r="A2530" s="7">
        <v>2529</v>
      </c>
      <c r="B2530" s="9">
        <v>1054</v>
      </c>
      <c r="C2530" s="14" t="str">
        <f>IFERROR(_xlfn.TEXTJOIN("-", TRUE, _xlfn.XLOOKUP(K2530, product_category_id_lookup!$A$2:$A$5, product_category_id_lookup!$B$2:$B$5), B2530), "Unknown Category")</f>
        <v>fd-1054</v>
      </c>
      <c r="D2530" s="8">
        <v>45419</v>
      </c>
      <c r="E2530" s="14">
        <f t="shared" si="117"/>
        <v>2024</v>
      </c>
      <c r="F2530" s="29" t="str">
        <f t="shared" si="118"/>
        <v>May</v>
      </c>
      <c r="G2530" s="17" t="s">
        <v>29</v>
      </c>
      <c r="H2530" s="17" t="s">
        <v>23</v>
      </c>
      <c r="I2530" s="24">
        <v>15307.11</v>
      </c>
      <c r="J2530" s="32">
        <v>7</v>
      </c>
      <c r="K2530" s="17" t="s">
        <v>24</v>
      </c>
      <c r="L2530" s="24">
        <v>185.84</v>
      </c>
      <c r="M2530" s="24">
        <v>2803.5</v>
      </c>
      <c r="N2530" s="34">
        <f>((sales_data_1[[#This Row],[Unit_Price]]*(1-sales_data_1[[#This Row],[Discount]]))-sales_data_1[[#This Row],[Unit_Cost]])*sales_data_1[[#This Row],[Quantity_Sold]]</f>
        <v>14006.230000000001</v>
      </c>
      <c r="O2530" s="17" t="s">
        <v>27</v>
      </c>
      <c r="P2530" s="26">
        <v>0.22</v>
      </c>
      <c r="Q2530" s="17" t="s">
        <v>25</v>
      </c>
      <c r="R2530" s="17" t="s">
        <v>19</v>
      </c>
      <c r="S2530" s="50" t="str">
        <f t="shared" si="119"/>
        <v>Charlie-South</v>
      </c>
      <c r="T2530" s="59" t="str">
        <f>IF(ROUND(sales_data_1[[#This Row],[Profit_Margin]],2)=ROUND((sales_data_1[[#This Row],[Unit_Price]]*(1-sales_data_1[[#This Row],[Discount]]) - sales_data_1[[#This Row],[Unit_Cost]])*sales_data_1[[#This Row],[Quantity_Sold]],2), "PASS", "CHECK")</f>
        <v>PASS</v>
      </c>
    </row>
    <row r="2531" spans="1:20" x14ac:dyDescent="0.35">
      <c r="A2531" s="7">
        <v>2530</v>
      </c>
      <c r="B2531" s="9">
        <v>1018</v>
      </c>
      <c r="C2531" s="14" t="str">
        <f>IFERROR(_xlfn.TEXTJOIN("-", TRUE, _xlfn.XLOOKUP(K2531, product_category_id_lookup!$A$2:$A$5, product_category_id_lookup!$B$2:$B$5), B2531), "Unknown Category")</f>
        <v>fd-1018</v>
      </c>
      <c r="D2531" s="8">
        <v>45419</v>
      </c>
      <c r="E2531" s="14">
        <f t="shared" si="117"/>
        <v>2024</v>
      </c>
      <c r="F2531" s="29" t="str">
        <f t="shared" si="118"/>
        <v>May</v>
      </c>
      <c r="G2531" s="17" t="s">
        <v>22</v>
      </c>
      <c r="H2531" s="17" t="s">
        <v>15</v>
      </c>
      <c r="I2531" s="24">
        <v>68150.604599999991</v>
      </c>
      <c r="J2531" s="32">
        <v>31</v>
      </c>
      <c r="K2531" s="17" t="s">
        <v>24</v>
      </c>
      <c r="L2531" s="24">
        <v>774.96</v>
      </c>
      <c r="M2531" s="24">
        <v>2818.47</v>
      </c>
      <c r="N2531" s="34">
        <f>((sales_data_1[[#This Row],[Unit_Price]]*(1-sales_data_1[[#This Row],[Discount]]))-sales_data_1[[#This Row],[Unit_Cost]])*sales_data_1[[#This Row],[Quantity_Sold]]</f>
        <v>44126.844599999989</v>
      </c>
      <c r="O2531" s="17" t="s">
        <v>17</v>
      </c>
      <c r="P2531" s="26">
        <v>0.22</v>
      </c>
      <c r="Q2531" s="17" t="s">
        <v>25</v>
      </c>
      <c r="R2531" s="17" t="s">
        <v>21</v>
      </c>
      <c r="S2531" s="50" t="str">
        <f t="shared" si="119"/>
        <v>David-North</v>
      </c>
      <c r="T2531" s="59" t="str">
        <f>IF(ROUND(sales_data_1[[#This Row],[Profit_Margin]],2)=ROUND((sales_data_1[[#This Row],[Unit_Price]]*(1-sales_data_1[[#This Row],[Discount]]) - sales_data_1[[#This Row],[Unit_Cost]])*sales_data_1[[#This Row],[Quantity_Sold]],2), "PASS", "CHECK")</f>
        <v>PASS</v>
      </c>
    </row>
    <row r="2532" spans="1:20" x14ac:dyDescent="0.35">
      <c r="A2532" s="7">
        <v>2531</v>
      </c>
      <c r="B2532" s="9">
        <v>1099</v>
      </c>
      <c r="C2532" s="14" t="str">
        <f>IFERROR(_xlfn.TEXTJOIN("-", TRUE, _xlfn.XLOOKUP(K2532, product_category_id_lookup!$A$2:$A$5, product_category_id_lookup!$B$2:$B$5), B2532), "Unknown Category")</f>
        <v>fnt-1099</v>
      </c>
      <c r="D2532" s="8">
        <v>45419</v>
      </c>
      <c r="E2532" s="14">
        <f t="shared" si="117"/>
        <v>2024</v>
      </c>
      <c r="F2532" s="29" t="str">
        <f t="shared" si="118"/>
        <v>May</v>
      </c>
      <c r="G2532" s="17" t="s">
        <v>32</v>
      </c>
      <c r="H2532" s="17" t="s">
        <v>23</v>
      </c>
      <c r="I2532" s="24">
        <v>77890.481</v>
      </c>
      <c r="J2532" s="32">
        <v>38</v>
      </c>
      <c r="K2532" s="17" t="s">
        <v>16</v>
      </c>
      <c r="L2532" s="24">
        <v>487.23</v>
      </c>
      <c r="M2532" s="24">
        <v>2411.4699999999998</v>
      </c>
      <c r="N2532" s="34">
        <f>((sales_data_1[[#This Row],[Unit_Price]]*(1-sales_data_1[[#This Row],[Discount]]))-sales_data_1[[#This Row],[Unit_Cost]])*sales_data_1[[#This Row],[Quantity_Sold]]</f>
        <v>59375.740999999995</v>
      </c>
      <c r="O2532" s="17" t="s">
        <v>27</v>
      </c>
      <c r="P2532" s="26">
        <v>0.15</v>
      </c>
      <c r="Q2532" s="17" t="s">
        <v>28</v>
      </c>
      <c r="R2532" s="17" t="s">
        <v>19</v>
      </c>
      <c r="S2532" s="50" t="str">
        <f t="shared" si="119"/>
        <v>Eve-South</v>
      </c>
      <c r="T2532" s="59" t="str">
        <f>IF(ROUND(sales_data_1[[#This Row],[Profit_Margin]],2)=ROUND((sales_data_1[[#This Row],[Unit_Price]]*(1-sales_data_1[[#This Row],[Discount]]) - sales_data_1[[#This Row],[Unit_Cost]])*sales_data_1[[#This Row],[Quantity_Sold]],2), "PASS", "CHECK")</f>
        <v>PASS</v>
      </c>
    </row>
    <row r="2533" spans="1:20" x14ac:dyDescent="0.35">
      <c r="A2533" s="7">
        <v>2532</v>
      </c>
      <c r="B2533" s="9">
        <v>1100</v>
      </c>
      <c r="C2533" s="14" t="str">
        <f>IFERROR(_xlfn.TEXTJOIN("-", TRUE, _xlfn.XLOOKUP(K2533, product_category_id_lookup!$A$2:$A$5, product_category_id_lookup!$B$2:$B$5), B2533), "Unknown Category")</f>
        <v>fd-1100</v>
      </c>
      <c r="D2533" s="8">
        <v>45421</v>
      </c>
      <c r="E2533" s="14">
        <f t="shared" si="117"/>
        <v>2024</v>
      </c>
      <c r="F2533" s="29" t="str">
        <f t="shared" si="118"/>
        <v>May</v>
      </c>
      <c r="G2533" s="17" t="s">
        <v>29</v>
      </c>
      <c r="H2533" s="17" t="s">
        <v>23</v>
      </c>
      <c r="I2533" s="24">
        <v>69673.455445875312</v>
      </c>
      <c r="J2533" s="32">
        <v>16</v>
      </c>
      <c r="K2533" s="17" t="s">
        <v>24</v>
      </c>
      <c r="L2533" s="24">
        <v>4250</v>
      </c>
      <c r="M2533" s="24">
        <v>4471.1000000000004</v>
      </c>
      <c r="N2533" s="34">
        <f>((sales_data_1[[#This Row],[Unit_Price]]*(1-sales_data_1[[#This Row],[Discount]]))-sales_data_1[[#This Row],[Unit_Cost]])*sales_data_1[[#This Row],[Quantity_Sold]]</f>
        <v>1391.4720000000088</v>
      </c>
      <c r="O2533" s="17" t="s">
        <v>17</v>
      </c>
      <c r="P2533" s="26">
        <v>0.03</v>
      </c>
      <c r="Q2533" s="17" t="s">
        <v>25</v>
      </c>
      <c r="R2533" s="17" t="s">
        <v>19</v>
      </c>
      <c r="S2533" s="50" t="str">
        <f t="shared" si="119"/>
        <v>Charlie-South</v>
      </c>
      <c r="T2533" s="59" t="str">
        <f>IF(ROUND(sales_data_1[[#This Row],[Profit_Margin]],2)=ROUND((sales_data_1[[#This Row],[Unit_Price]]*(1-sales_data_1[[#This Row],[Discount]]) - sales_data_1[[#This Row],[Unit_Cost]])*sales_data_1[[#This Row],[Quantity_Sold]],2), "PASS", "CHECK")</f>
        <v>PASS</v>
      </c>
    </row>
    <row r="2534" spans="1:20" x14ac:dyDescent="0.35">
      <c r="A2534" s="7">
        <v>2533</v>
      </c>
      <c r="B2534" s="9">
        <v>1002</v>
      </c>
      <c r="C2534" s="14" t="str">
        <f>IFERROR(_xlfn.TEXTJOIN("-", TRUE, _xlfn.XLOOKUP(K2534, product_category_id_lookup!$A$2:$A$5, product_category_id_lookup!$B$2:$B$5), B2534), "Unknown Category")</f>
        <v>fnt-1002</v>
      </c>
      <c r="D2534" s="8">
        <v>45421</v>
      </c>
      <c r="E2534" s="14">
        <f t="shared" si="117"/>
        <v>2024</v>
      </c>
      <c r="F2534" s="29" t="str">
        <f t="shared" si="118"/>
        <v>May</v>
      </c>
      <c r="G2534" s="17" t="s">
        <v>29</v>
      </c>
      <c r="H2534" s="17" t="s">
        <v>23</v>
      </c>
      <c r="I2534" s="24">
        <v>64618.369200000001</v>
      </c>
      <c r="J2534" s="32">
        <v>19</v>
      </c>
      <c r="K2534" s="17" t="s">
        <v>16</v>
      </c>
      <c r="L2534" s="24">
        <v>703.98</v>
      </c>
      <c r="M2534" s="24">
        <v>3435.32</v>
      </c>
      <c r="N2534" s="34">
        <f>((sales_data_1[[#This Row],[Unit_Price]]*(1-sales_data_1[[#This Row],[Discount]]))-sales_data_1[[#This Row],[Unit_Cost]])*sales_data_1[[#This Row],[Quantity_Sold]]</f>
        <v>51242.749200000006</v>
      </c>
      <c r="O2534" s="17" t="s">
        <v>17</v>
      </c>
      <c r="P2534" s="26">
        <v>0.01</v>
      </c>
      <c r="Q2534" s="17" t="s">
        <v>25</v>
      </c>
      <c r="R2534" s="17" t="s">
        <v>19</v>
      </c>
      <c r="S2534" s="50" t="str">
        <f t="shared" si="119"/>
        <v>Charlie-South</v>
      </c>
      <c r="T2534" s="59" t="str">
        <f>IF(ROUND(sales_data_1[[#This Row],[Profit_Margin]],2)=ROUND((sales_data_1[[#This Row],[Unit_Price]]*(1-sales_data_1[[#This Row],[Discount]]) - sales_data_1[[#This Row],[Unit_Cost]])*sales_data_1[[#This Row],[Quantity_Sold]],2), "PASS", "CHECK")</f>
        <v>PASS</v>
      </c>
    </row>
    <row r="2535" spans="1:20" x14ac:dyDescent="0.35">
      <c r="A2535" s="7">
        <v>2534</v>
      </c>
      <c r="B2535" s="9">
        <v>1038</v>
      </c>
      <c r="C2535" s="14" t="str">
        <f>IFERROR(_xlfn.TEXTJOIN("-", TRUE, _xlfn.XLOOKUP(K2535, product_category_id_lookup!$A$2:$A$5, product_category_id_lookup!$B$2:$B$5), B2535), "Unknown Category")</f>
        <v>fnt-1038</v>
      </c>
      <c r="D2535" s="8">
        <v>45422</v>
      </c>
      <c r="E2535" s="14">
        <f t="shared" si="117"/>
        <v>2024</v>
      </c>
      <c r="F2535" s="29" t="str">
        <f t="shared" si="118"/>
        <v>May</v>
      </c>
      <c r="G2535" s="17" t="s">
        <v>32</v>
      </c>
      <c r="H2535" s="17" t="s">
        <v>23</v>
      </c>
      <c r="I2535" s="24">
        <v>8001.6858000000011</v>
      </c>
      <c r="J2535" s="32">
        <v>3</v>
      </c>
      <c r="K2535" s="17" t="s">
        <v>16</v>
      </c>
      <c r="L2535" s="24">
        <v>2408.12</v>
      </c>
      <c r="M2535" s="24">
        <v>3065.78</v>
      </c>
      <c r="N2535" s="34">
        <f>((sales_data_1[[#This Row],[Unit_Price]]*(1-sales_data_1[[#This Row],[Discount]]))-sales_data_1[[#This Row],[Unit_Cost]])*sales_data_1[[#This Row],[Quantity_Sold]]</f>
        <v>777.32580000000144</v>
      </c>
      <c r="O2535" s="17" t="s">
        <v>17</v>
      </c>
      <c r="P2535" s="26">
        <v>0.13</v>
      </c>
      <c r="Q2535" s="17" t="s">
        <v>28</v>
      </c>
      <c r="R2535" s="17" t="s">
        <v>21</v>
      </c>
      <c r="S2535" s="50" t="str">
        <f t="shared" si="119"/>
        <v>Eve-South</v>
      </c>
      <c r="T2535" s="59" t="str">
        <f>IF(ROUND(sales_data_1[[#This Row],[Profit_Margin]],2)=ROUND((sales_data_1[[#This Row],[Unit_Price]]*(1-sales_data_1[[#This Row],[Discount]]) - sales_data_1[[#This Row],[Unit_Cost]])*sales_data_1[[#This Row],[Quantity_Sold]],2), "PASS", "CHECK")</f>
        <v>PASS</v>
      </c>
    </row>
    <row r="2536" spans="1:20" x14ac:dyDescent="0.35">
      <c r="A2536" s="7">
        <v>2535</v>
      </c>
      <c r="B2536" s="9">
        <v>1077</v>
      </c>
      <c r="C2536" s="14" t="str">
        <f>IFERROR(_xlfn.TEXTJOIN("-", TRUE, _xlfn.XLOOKUP(K2536, product_category_id_lookup!$A$2:$A$5, product_category_id_lookup!$B$2:$B$5), B2536), "Unknown Category")</f>
        <v>ctg-1077</v>
      </c>
      <c r="D2536" s="8">
        <v>45422</v>
      </c>
      <c r="E2536" s="14">
        <f t="shared" si="117"/>
        <v>2024</v>
      </c>
      <c r="F2536" s="29" t="str">
        <f t="shared" si="118"/>
        <v>May</v>
      </c>
      <c r="G2536" s="17" t="s">
        <v>33</v>
      </c>
      <c r="H2536" s="17" t="s">
        <v>23</v>
      </c>
      <c r="I2536" s="24">
        <v>57209.063000000002</v>
      </c>
      <c r="J2536" s="32">
        <v>17</v>
      </c>
      <c r="K2536" s="17" t="s">
        <v>26</v>
      </c>
      <c r="L2536" s="24">
        <v>3309.83</v>
      </c>
      <c r="M2536" s="24">
        <v>4103.95</v>
      </c>
      <c r="N2536" s="34">
        <f>((sales_data_1[[#This Row],[Unit_Price]]*(1-sales_data_1[[#This Row],[Discount]]))-sales_data_1[[#This Row],[Unit_Cost]])*sales_data_1[[#This Row],[Quantity_Sold]]</f>
        <v>941.95300000000179</v>
      </c>
      <c r="O2536" s="17" t="s">
        <v>17</v>
      </c>
      <c r="P2536" s="26">
        <v>0.18</v>
      </c>
      <c r="Q2536" s="17" t="s">
        <v>18</v>
      </c>
      <c r="R2536" s="17" t="s">
        <v>21</v>
      </c>
      <c r="S2536" s="50" t="str">
        <f t="shared" si="119"/>
        <v>Alice-South</v>
      </c>
      <c r="T2536" s="59" t="str">
        <f>IF(ROUND(sales_data_1[[#This Row],[Profit_Margin]],2)=ROUND((sales_data_1[[#This Row],[Unit_Price]]*(1-sales_data_1[[#This Row],[Discount]]) - sales_data_1[[#This Row],[Unit_Cost]])*sales_data_1[[#This Row],[Quantity_Sold]],2), "PASS", "CHECK")</f>
        <v>PASS</v>
      </c>
    </row>
    <row r="2537" spans="1:20" x14ac:dyDescent="0.35">
      <c r="A2537" s="7">
        <v>2536</v>
      </c>
      <c r="B2537" s="9">
        <v>1003</v>
      </c>
      <c r="C2537" s="14" t="str">
        <f>IFERROR(_xlfn.TEXTJOIN("-", TRUE, _xlfn.XLOOKUP(K2537, product_category_id_lookup!$A$2:$A$5, product_category_id_lookup!$B$2:$B$5), B2537), "Unknown Category")</f>
        <v>fd-1003</v>
      </c>
      <c r="D2537" s="8">
        <v>45422</v>
      </c>
      <c r="E2537" s="14">
        <f t="shared" si="117"/>
        <v>2024</v>
      </c>
      <c r="F2537" s="29" t="str">
        <f t="shared" si="118"/>
        <v>May</v>
      </c>
      <c r="G2537" s="17" t="s">
        <v>14</v>
      </c>
      <c r="H2537" s="17" t="s">
        <v>15</v>
      </c>
      <c r="I2537" s="24">
        <v>178883.93599901744</v>
      </c>
      <c r="J2537" s="32">
        <v>41</v>
      </c>
      <c r="K2537" s="17" t="s">
        <v>24</v>
      </c>
      <c r="L2537" s="24">
        <v>4294.5200000000004</v>
      </c>
      <c r="M2537" s="24">
        <v>4482.3</v>
      </c>
      <c r="N2537" s="34">
        <f>((sales_data_1[[#This Row],[Unit_Price]]*(1-sales_data_1[[#This Row],[Discount]]))-sales_data_1[[#This Row],[Unit_Cost]])*sales_data_1[[#This Row],[Quantity_Sold]]</f>
        <v>2185.7509999999875</v>
      </c>
      <c r="O2537" s="17" t="s">
        <v>27</v>
      </c>
      <c r="P2537" s="26">
        <v>0.03</v>
      </c>
      <c r="Q2537" s="17" t="s">
        <v>25</v>
      </c>
      <c r="R2537" s="17" t="s">
        <v>21</v>
      </c>
      <c r="S2537" s="50" t="str">
        <f t="shared" si="119"/>
        <v>Bob-North</v>
      </c>
      <c r="T2537" s="59" t="str">
        <f>IF(ROUND(sales_data_1[[#This Row],[Profit_Margin]],2)=ROUND((sales_data_1[[#This Row],[Unit_Price]]*(1-sales_data_1[[#This Row],[Discount]]) - sales_data_1[[#This Row],[Unit_Cost]])*sales_data_1[[#This Row],[Quantity_Sold]],2), "PASS", "CHECK")</f>
        <v>PASS</v>
      </c>
    </row>
    <row r="2538" spans="1:20" x14ac:dyDescent="0.35">
      <c r="A2538" s="7">
        <v>2537</v>
      </c>
      <c r="B2538" s="9">
        <v>1062</v>
      </c>
      <c r="C2538" s="14" t="str">
        <f>IFERROR(_xlfn.TEXTJOIN("-", TRUE, _xlfn.XLOOKUP(K2538, product_category_id_lookup!$A$2:$A$5, product_category_id_lookup!$B$2:$B$5), B2538), "Unknown Category")</f>
        <v>fnt-1062</v>
      </c>
      <c r="D2538" s="8">
        <v>45422</v>
      </c>
      <c r="E2538" s="14">
        <f t="shared" si="117"/>
        <v>2024</v>
      </c>
      <c r="F2538" s="29" t="str">
        <f t="shared" si="118"/>
        <v>May</v>
      </c>
      <c r="G2538" s="17" t="s">
        <v>29</v>
      </c>
      <c r="H2538" s="17" t="s">
        <v>15</v>
      </c>
      <c r="I2538" s="24">
        <v>23668.914321057226</v>
      </c>
      <c r="J2538" s="32">
        <v>11</v>
      </c>
      <c r="K2538" s="17" t="s">
        <v>16</v>
      </c>
      <c r="L2538" s="24">
        <v>1743.08</v>
      </c>
      <c r="M2538" s="24">
        <v>2219.84</v>
      </c>
      <c r="N2538" s="34">
        <f>((sales_data_1[[#This Row],[Unit_Price]]*(1-sales_data_1[[#This Row],[Discount]]))-sales_data_1[[#This Row],[Unit_Cost]])*sales_data_1[[#This Row],[Quantity_Sold]]</f>
        <v>4511.8127999999997</v>
      </c>
      <c r="O2538" s="17" t="s">
        <v>17</v>
      </c>
      <c r="P2538" s="26">
        <v>0.03</v>
      </c>
      <c r="Q2538" s="17" t="s">
        <v>18</v>
      </c>
      <c r="R2538" s="17" t="s">
        <v>21</v>
      </c>
      <c r="S2538" s="50" t="str">
        <f t="shared" si="119"/>
        <v>Charlie-North</v>
      </c>
      <c r="T2538" s="59" t="str">
        <f>IF(ROUND(sales_data_1[[#This Row],[Profit_Margin]],2)=ROUND((sales_data_1[[#This Row],[Unit_Price]]*(1-sales_data_1[[#This Row],[Discount]]) - sales_data_1[[#This Row],[Unit_Cost]])*sales_data_1[[#This Row],[Quantity_Sold]],2), "PASS", "CHECK")</f>
        <v>PASS</v>
      </c>
    </row>
    <row r="2539" spans="1:20" x14ac:dyDescent="0.35">
      <c r="A2539" s="7">
        <v>2538</v>
      </c>
      <c r="B2539" s="9">
        <v>1025</v>
      </c>
      <c r="C2539" s="14" t="str">
        <f>IFERROR(_xlfn.TEXTJOIN("-", TRUE, _xlfn.XLOOKUP(K2539, product_category_id_lookup!$A$2:$A$5, product_category_id_lookup!$B$2:$B$5), B2539), "Unknown Category")</f>
        <v>fnt-1025</v>
      </c>
      <c r="D2539" s="8">
        <v>45422</v>
      </c>
      <c r="E2539" s="14">
        <f t="shared" si="117"/>
        <v>2024</v>
      </c>
      <c r="F2539" s="29" t="str">
        <f t="shared" si="118"/>
        <v>May</v>
      </c>
      <c r="G2539" s="17" t="s">
        <v>22</v>
      </c>
      <c r="H2539" s="17" t="s">
        <v>20</v>
      </c>
      <c r="I2539" s="24">
        <v>178280.77720000001</v>
      </c>
      <c r="J2539" s="32">
        <v>38</v>
      </c>
      <c r="K2539" s="17" t="s">
        <v>16</v>
      </c>
      <c r="L2539" s="24">
        <v>3196.36</v>
      </c>
      <c r="M2539" s="24">
        <v>5271.46</v>
      </c>
      <c r="N2539" s="34">
        <f>((sales_data_1[[#This Row],[Unit_Price]]*(1-sales_data_1[[#This Row],[Discount]]))-sales_data_1[[#This Row],[Unit_Cost]])*sales_data_1[[#This Row],[Quantity_Sold]]</f>
        <v>56819.097199999997</v>
      </c>
      <c r="O2539" s="17" t="s">
        <v>17</v>
      </c>
      <c r="P2539" s="26">
        <v>0.11</v>
      </c>
      <c r="Q2539" s="17" t="s">
        <v>18</v>
      </c>
      <c r="R2539" s="17" t="s">
        <v>21</v>
      </c>
      <c r="S2539" s="50" t="str">
        <f t="shared" si="119"/>
        <v>David-West</v>
      </c>
      <c r="T2539" s="59" t="str">
        <f>IF(ROUND(sales_data_1[[#This Row],[Profit_Margin]],2)=ROUND((sales_data_1[[#This Row],[Unit_Price]]*(1-sales_data_1[[#This Row],[Discount]]) - sales_data_1[[#This Row],[Unit_Cost]])*sales_data_1[[#This Row],[Quantity_Sold]],2), "PASS", "CHECK")</f>
        <v>PASS</v>
      </c>
    </row>
    <row r="2540" spans="1:20" x14ac:dyDescent="0.35">
      <c r="A2540" s="7">
        <v>2539</v>
      </c>
      <c r="B2540" s="9">
        <v>1083</v>
      </c>
      <c r="C2540" s="14" t="str">
        <f>IFERROR(_xlfn.TEXTJOIN("-", TRUE, _xlfn.XLOOKUP(K2540, product_category_id_lookup!$A$2:$A$5, product_category_id_lookup!$B$2:$B$5), B2540), "Unknown Category")</f>
        <v>ctg-1083</v>
      </c>
      <c r="D2540" s="8">
        <v>45423</v>
      </c>
      <c r="E2540" s="14">
        <f t="shared" si="117"/>
        <v>2024</v>
      </c>
      <c r="F2540" s="29" t="str">
        <f t="shared" si="118"/>
        <v>May</v>
      </c>
      <c r="G2540" s="17" t="s">
        <v>14</v>
      </c>
      <c r="H2540" s="17" t="s">
        <v>20</v>
      </c>
      <c r="I2540" s="24">
        <v>4233.6840000000002</v>
      </c>
      <c r="J2540" s="32">
        <v>2</v>
      </c>
      <c r="K2540" s="17" t="s">
        <v>26</v>
      </c>
      <c r="L2540" s="24">
        <v>1239.5899999999999</v>
      </c>
      <c r="M2540" s="24">
        <v>2520.0500000000002</v>
      </c>
      <c r="N2540" s="34">
        <f>((sales_data_1[[#This Row],[Unit_Price]]*(1-sales_data_1[[#This Row],[Discount]]))-sales_data_1[[#This Row],[Unit_Cost]])*sales_data_1[[#This Row],[Quantity_Sold]]</f>
        <v>1754.5040000000004</v>
      </c>
      <c r="O2540" s="17" t="s">
        <v>17</v>
      </c>
      <c r="P2540" s="26">
        <v>0.16</v>
      </c>
      <c r="Q2540" s="17" t="s">
        <v>25</v>
      </c>
      <c r="R2540" s="17" t="s">
        <v>19</v>
      </c>
      <c r="S2540" s="50" t="str">
        <f t="shared" si="119"/>
        <v>Bob-West</v>
      </c>
      <c r="T2540" s="59" t="str">
        <f>IF(ROUND(sales_data_1[[#This Row],[Profit_Margin]],2)=ROUND((sales_data_1[[#This Row],[Unit_Price]]*(1-sales_data_1[[#This Row],[Discount]]) - sales_data_1[[#This Row],[Unit_Cost]])*sales_data_1[[#This Row],[Quantity_Sold]],2), "PASS", "CHECK")</f>
        <v>PASS</v>
      </c>
    </row>
    <row r="2541" spans="1:20" x14ac:dyDescent="0.35">
      <c r="A2541" s="7">
        <v>2540</v>
      </c>
      <c r="B2541" s="9">
        <v>1086</v>
      </c>
      <c r="C2541" s="14" t="str">
        <f>IFERROR(_xlfn.TEXTJOIN("-", TRUE, _xlfn.XLOOKUP(K2541, product_category_id_lookup!$A$2:$A$5, product_category_id_lookup!$B$2:$B$5), B2541), "Unknown Category")</f>
        <v>etc-1086</v>
      </c>
      <c r="D2541" s="8">
        <v>45423</v>
      </c>
      <c r="E2541" s="14">
        <f t="shared" si="117"/>
        <v>2024</v>
      </c>
      <c r="F2541" s="29" t="str">
        <f t="shared" si="118"/>
        <v>May</v>
      </c>
      <c r="G2541" s="17" t="s">
        <v>32</v>
      </c>
      <c r="H2541" s="17" t="s">
        <v>23</v>
      </c>
      <c r="I2541" s="24">
        <v>179732.91580000002</v>
      </c>
      <c r="J2541" s="32">
        <v>46</v>
      </c>
      <c r="K2541" s="17" t="s">
        <v>31</v>
      </c>
      <c r="L2541" s="24">
        <v>1776.67</v>
      </c>
      <c r="M2541" s="24">
        <v>4945.87</v>
      </c>
      <c r="N2541" s="34">
        <f>((sales_data_1[[#This Row],[Unit_Price]]*(1-sales_data_1[[#This Row],[Discount]]))-sales_data_1[[#This Row],[Unit_Cost]])*sales_data_1[[#This Row],[Quantity_Sold]]</f>
        <v>98006.09580000001</v>
      </c>
      <c r="O2541" s="17" t="s">
        <v>27</v>
      </c>
      <c r="P2541" s="26">
        <v>0.21</v>
      </c>
      <c r="Q2541" s="17" t="s">
        <v>25</v>
      </c>
      <c r="R2541" s="17" t="s">
        <v>21</v>
      </c>
      <c r="S2541" s="50" t="str">
        <f t="shared" si="119"/>
        <v>Eve-South</v>
      </c>
      <c r="T2541" s="59" t="str">
        <f>IF(ROUND(sales_data_1[[#This Row],[Profit_Margin]],2)=ROUND((sales_data_1[[#This Row],[Unit_Price]]*(1-sales_data_1[[#This Row],[Discount]]) - sales_data_1[[#This Row],[Unit_Cost]])*sales_data_1[[#This Row],[Quantity_Sold]],2), "PASS", "CHECK")</f>
        <v>PASS</v>
      </c>
    </row>
    <row r="2542" spans="1:20" x14ac:dyDescent="0.35">
      <c r="A2542" s="7">
        <v>2541</v>
      </c>
      <c r="B2542" s="9">
        <v>1042</v>
      </c>
      <c r="C2542" s="14" t="str">
        <f>IFERROR(_xlfn.TEXTJOIN("-", TRUE, _xlfn.XLOOKUP(K2542, product_category_id_lookup!$A$2:$A$5, product_category_id_lookup!$B$2:$B$5), B2542), "Unknown Category")</f>
        <v>etc-1042</v>
      </c>
      <c r="D2542" s="8">
        <v>45424</v>
      </c>
      <c r="E2542" s="14">
        <f t="shared" si="117"/>
        <v>2024</v>
      </c>
      <c r="F2542" s="29" t="str">
        <f t="shared" si="118"/>
        <v>May</v>
      </c>
      <c r="G2542" s="17" t="s">
        <v>22</v>
      </c>
      <c r="H2542" s="17" t="s">
        <v>23</v>
      </c>
      <c r="I2542" s="24">
        <v>54427.859558656339</v>
      </c>
      <c r="J2542" s="32">
        <v>18</v>
      </c>
      <c r="K2542" s="17" t="s">
        <v>31</v>
      </c>
      <c r="L2542" s="24">
        <v>2850.94</v>
      </c>
      <c r="M2542" s="24">
        <v>3089.39</v>
      </c>
      <c r="N2542" s="34">
        <f>((sales_data_1[[#This Row],[Unit_Price]]*(1-sales_data_1[[#This Row],[Discount]]))-sales_data_1[[#This Row],[Unit_Cost]])*sales_data_1[[#This Row],[Quantity_Sold]]</f>
        <v>3179.9195999999956</v>
      </c>
      <c r="O2542" s="17" t="s">
        <v>17</v>
      </c>
      <c r="P2542" s="26">
        <v>0.02</v>
      </c>
      <c r="Q2542" s="17" t="s">
        <v>28</v>
      </c>
      <c r="R2542" s="17" t="s">
        <v>19</v>
      </c>
      <c r="S2542" s="50" t="str">
        <f t="shared" si="119"/>
        <v>David-South</v>
      </c>
      <c r="T2542" s="59" t="str">
        <f>IF(ROUND(sales_data_1[[#This Row],[Profit_Margin]],2)=ROUND((sales_data_1[[#This Row],[Unit_Price]]*(1-sales_data_1[[#This Row],[Discount]]) - sales_data_1[[#This Row],[Unit_Cost]])*sales_data_1[[#This Row],[Quantity_Sold]],2), "PASS", "CHECK")</f>
        <v>PASS</v>
      </c>
    </row>
    <row r="2543" spans="1:20" x14ac:dyDescent="0.35">
      <c r="A2543" s="7">
        <v>2542</v>
      </c>
      <c r="B2543" s="9">
        <v>1027</v>
      </c>
      <c r="C2543" s="14" t="str">
        <f>IFERROR(_xlfn.TEXTJOIN("-", TRUE, _xlfn.XLOOKUP(K2543, product_category_id_lookup!$A$2:$A$5, product_category_id_lookup!$B$2:$B$5), B2543), "Unknown Category")</f>
        <v>ctg-1027</v>
      </c>
      <c r="D2543" s="8">
        <v>45425</v>
      </c>
      <c r="E2543" s="14">
        <f t="shared" si="117"/>
        <v>2024</v>
      </c>
      <c r="F2543" s="29" t="str">
        <f t="shared" si="118"/>
        <v>May</v>
      </c>
      <c r="G2543" s="17" t="s">
        <v>32</v>
      </c>
      <c r="H2543" s="17" t="s">
        <v>23</v>
      </c>
      <c r="I2543" s="24">
        <v>97445.457200000004</v>
      </c>
      <c r="J2543" s="32">
        <v>26</v>
      </c>
      <c r="K2543" s="17" t="s">
        <v>26</v>
      </c>
      <c r="L2543" s="24">
        <v>2998.01</v>
      </c>
      <c r="M2543" s="24">
        <v>3824.39</v>
      </c>
      <c r="N2543" s="34">
        <f>((sales_data_1[[#This Row],[Unit_Price]]*(1-sales_data_1[[#This Row],[Discount]]))-sales_data_1[[#This Row],[Unit_Cost]])*sales_data_1[[#This Row],[Quantity_Sold]]</f>
        <v>19497.197199999995</v>
      </c>
      <c r="O2543" s="17" t="s">
        <v>17</v>
      </c>
      <c r="P2543" s="26">
        <v>0.02</v>
      </c>
      <c r="Q2543" s="17" t="s">
        <v>18</v>
      </c>
      <c r="R2543" s="17" t="s">
        <v>21</v>
      </c>
      <c r="S2543" s="50" t="str">
        <f t="shared" si="119"/>
        <v>Eve-South</v>
      </c>
      <c r="T2543" s="59" t="str">
        <f>IF(ROUND(sales_data_1[[#This Row],[Profit_Margin]],2)=ROUND((sales_data_1[[#This Row],[Unit_Price]]*(1-sales_data_1[[#This Row],[Discount]]) - sales_data_1[[#This Row],[Unit_Cost]])*sales_data_1[[#This Row],[Quantity_Sold]],2), "PASS", "CHECK")</f>
        <v>PASS</v>
      </c>
    </row>
    <row r="2544" spans="1:20" x14ac:dyDescent="0.35">
      <c r="A2544" s="7">
        <v>2543</v>
      </c>
      <c r="B2544" s="9">
        <v>1097</v>
      </c>
      <c r="C2544" s="14" t="str">
        <f>IFERROR(_xlfn.TEXTJOIN("-", TRUE, _xlfn.XLOOKUP(K2544, product_category_id_lookup!$A$2:$A$5, product_category_id_lookup!$B$2:$B$5), B2544), "Unknown Category")</f>
        <v>ctg-1097</v>
      </c>
      <c r="D2544" s="8">
        <v>45425</v>
      </c>
      <c r="E2544" s="14">
        <f t="shared" si="117"/>
        <v>2024</v>
      </c>
      <c r="F2544" s="29" t="str">
        <f t="shared" si="118"/>
        <v>May</v>
      </c>
      <c r="G2544" s="17" t="s">
        <v>29</v>
      </c>
      <c r="H2544" s="17" t="s">
        <v>23</v>
      </c>
      <c r="I2544" s="24">
        <v>137668.5042</v>
      </c>
      <c r="J2544" s="32">
        <v>29</v>
      </c>
      <c r="K2544" s="17" t="s">
        <v>26</v>
      </c>
      <c r="L2544" s="24">
        <v>125.88</v>
      </c>
      <c r="M2544" s="24">
        <v>5456.54</v>
      </c>
      <c r="N2544" s="34">
        <f>((sales_data_1[[#This Row],[Unit_Price]]*(1-sales_data_1[[#This Row],[Discount]]))-sales_data_1[[#This Row],[Unit_Cost]])*sales_data_1[[#This Row],[Quantity_Sold]]</f>
        <v>134017.98420000001</v>
      </c>
      <c r="O2544" s="17" t="s">
        <v>27</v>
      </c>
      <c r="P2544" s="26">
        <v>0.13</v>
      </c>
      <c r="Q2544" s="17" t="s">
        <v>28</v>
      </c>
      <c r="R2544" s="17" t="s">
        <v>21</v>
      </c>
      <c r="S2544" s="50" t="str">
        <f t="shared" si="119"/>
        <v>Charlie-South</v>
      </c>
      <c r="T2544" s="59" t="str">
        <f>IF(ROUND(sales_data_1[[#This Row],[Profit_Margin]],2)=ROUND((sales_data_1[[#This Row],[Unit_Price]]*(1-sales_data_1[[#This Row],[Discount]]) - sales_data_1[[#This Row],[Unit_Cost]])*sales_data_1[[#This Row],[Quantity_Sold]],2), "PASS", "CHECK")</f>
        <v>PASS</v>
      </c>
    </row>
    <row r="2545" spans="1:20" x14ac:dyDescent="0.35">
      <c r="A2545" s="7">
        <v>2544</v>
      </c>
      <c r="B2545" s="9">
        <v>1059</v>
      </c>
      <c r="C2545" s="14" t="str">
        <f>IFERROR(_xlfn.TEXTJOIN("-", TRUE, _xlfn.XLOOKUP(K2545, product_category_id_lookup!$A$2:$A$5, product_category_id_lookup!$B$2:$B$5), B2545), "Unknown Category")</f>
        <v>fd-1059</v>
      </c>
      <c r="D2545" s="8">
        <v>45426</v>
      </c>
      <c r="E2545" s="14">
        <f t="shared" si="117"/>
        <v>2024</v>
      </c>
      <c r="F2545" s="29" t="str">
        <f t="shared" si="118"/>
        <v>May</v>
      </c>
      <c r="G2545" s="17" t="s">
        <v>22</v>
      </c>
      <c r="H2545" s="17" t="s">
        <v>23</v>
      </c>
      <c r="I2545" s="24">
        <v>14665.028399999999</v>
      </c>
      <c r="J2545" s="32">
        <v>4</v>
      </c>
      <c r="K2545" s="17" t="s">
        <v>24</v>
      </c>
      <c r="L2545" s="24">
        <v>2789.5</v>
      </c>
      <c r="M2545" s="24">
        <v>3703.29</v>
      </c>
      <c r="N2545" s="34">
        <f>((sales_data_1[[#This Row],[Unit_Price]]*(1-sales_data_1[[#This Row],[Discount]]))-sales_data_1[[#This Row],[Unit_Cost]])*sales_data_1[[#This Row],[Quantity_Sold]]</f>
        <v>3507.0283999999992</v>
      </c>
      <c r="O2545" s="17" t="s">
        <v>27</v>
      </c>
      <c r="P2545" s="26">
        <v>0.01</v>
      </c>
      <c r="Q2545" s="17" t="s">
        <v>28</v>
      </c>
      <c r="R2545" s="17" t="s">
        <v>19</v>
      </c>
      <c r="S2545" s="50" t="str">
        <f t="shared" si="119"/>
        <v>David-South</v>
      </c>
      <c r="T2545" s="59" t="str">
        <f>IF(ROUND(sales_data_1[[#This Row],[Profit_Margin]],2)=ROUND((sales_data_1[[#This Row],[Unit_Price]]*(1-sales_data_1[[#This Row],[Discount]]) - sales_data_1[[#This Row],[Unit_Cost]])*sales_data_1[[#This Row],[Quantity_Sold]],2), "PASS", "CHECK")</f>
        <v>PASS</v>
      </c>
    </row>
    <row r="2546" spans="1:20" x14ac:dyDescent="0.35">
      <c r="A2546" s="7">
        <v>2545</v>
      </c>
      <c r="B2546" s="9">
        <v>1049</v>
      </c>
      <c r="C2546" s="14" t="str">
        <f>IFERROR(_xlfn.TEXTJOIN("-", TRUE, _xlfn.XLOOKUP(K2546, product_category_id_lookup!$A$2:$A$5, product_category_id_lookup!$B$2:$B$5), B2546), "Unknown Category")</f>
        <v>fnt-1049</v>
      </c>
      <c r="D2546" s="8">
        <v>45426</v>
      </c>
      <c r="E2546" s="14">
        <f t="shared" si="117"/>
        <v>2024</v>
      </c>
      <c r="F2546" s="29" t="str">
        <f t="shared" si="118"/>
        <v>May</v>
      </c>
      <c r="G2546" s="17" t="s">
        <v>22</v>
      </c>
      <c r="H2546" s="17" t="s">
        <v>20</v>
      </c>
      <c r="I2546" s="24">
        <v>31338.918599999997</v>
      </c>
      <c r="J2546" s="32">
        <v>17</v>
      </c>
      <c r="K2546" s="17" t="s">
        <v>16</v>
      </c>
      <c r="L2546" s="24">
        <v>790.47</v>
      </c>
      <c r="M2546" s="24">
        <v>2491.17</v>
      </c>
      <c r="N2546" s="34">
        <f>((sales_data_1[[#This Row],[Unit_Price]]*(1-sales_data_1[[#This Row],[Discount]]))-sales_data_1[[#This Row],[Unit_Cost]])*sales_data_1[[#This Row],[Quantity_Sold]]</f>
        <v>17900.928599999999</v>
      </c>
      <c r="O2546" s="17" t="s">
        <v>27</v>
      </c>
      <c r="P2546" s="26">
        <v>0.26</v>
      </c>
      <c r="Q2546" s="17" t="s">
        <v>25</v>
      </c>
      <c r="R2546" s="17" t="s">
        <v>21</v>
      </c>
      <c r="S2546" s="50" t="str">
        <f t="shared" si="119"/>
        <v>David-West</v>
      </c>
      <c r="T2546" s="59" t="str">
        <f>IF(ROUND(sales_data_1[[#This Row],[Profit_Margin]],2)=ROUND((sales_data_1[[#This Row],[Unit_Price]]*(1-sales_data_1[[#This Row],[Discount]]) - sales_data_1[[#This Row],[Unit_Cost]])*sales_data_1[[#This Row],[Quantity_Sold]],2), "PASS", "CHECK")</f>
        <v>PASS</v>
      </c>
    </row>
    <row r="2547" spans="1:20" x14ac:dyDescent="0.35">
      <c r="A2547" s="7">
        <v>2546</v>
      </c>
      <c r="B2547" s="9">
        <v>1005</v>
      </c>
      <c r="C2547" s="14" t="str">
        <f>IFERROR(_xlfn.TEXTJOIN("-", TRUE, _xlfn.XLOOKUP(K2547, product_category_id_lookup!$A$2:$A$5, product_category_id_lookup!$B$2:$B$5), B2547), "Unknown Category")</f>
        <v>ctg-1005</v>
      </c>
      <c r="D2547" s="8">
        <v>45426</v>
      </c>
      <c r="E2547" s="14">
        <f t="shared" si="117"/>
        <v>2024</v>
      </c>
      <c r="F2547" s="29" t="str">
        <f t="shared" si="118"/>
        <v>May</v>
      </c>
      <c r="G2547" s="17" t="s">
        <v>32</v>
      </c>
      <c r="H2547" s="17" t="s">
        <v>23</v>
      </c>
      <c r="I2547" s="24">
        <v>48529.821600000003</v>
      </c>
      <c r="J2547" s="32">
        <v>18</v>
      </c>
      <c r="K2547" s="17" t="s">
        <v>26</v>
      </c>
      <c r="L2547" s="24">
        <v>1594.79</v>
      </c>
      <c r="M2547" s="24">
        <v>3456.54</v>
      </c>
      <c r="N2547" s="34">
        <f>((sales_data_1[[#This Row],[Unit_Price]]*(1-sales_data_1[[#This Row],[Discount]]))-sales_data_1[[#This Row],[Unit_Cost]])*sales_data_1[[#This Row],[Quantity_Sold]]</f>
        <v>19823.601600000002</v>
      </c>
      <c r="O2547" s="17" t="s">
        <v>27</v>
      </c>
      <c r="P2547" s="26">
        <v>0.22</v>
      </c>
      <c r="Q2547" s="17" t="s">
        <v>25</v>
      </c>
      <c r="R2547" s="17" t="s">
        <v>21</v>
      </c>
      <c r="S2547" s="50" t="str">
        <f t="shared" si="119"/>
        <v>Eve-South</v>
      </c>
      <c r="T2547" s="59" t="str">
        <f>IF(ROUND(sales_data_1[[#This Row],[Profit_Margin]],2)=ROUND((sales_data_1[[#This Row],[Unit_Price]]*(1-sales_data_1[[#This Row],[Discount]]) - sales_data_1[[#This Row],[Unit_Cost]])*sales_data_1[[#This Row],[Quantity_Sold]],2), "PASS", "CHECK")</f>
        <v>PASS</v>
      </c>
    </row>
    <row r="2548" spans="1:20" x14ac:dyDescent="0.35">
      <c r="A2548" s="7">
        <v>2547</v>
      </c>
      <c r="B2548" s="9">
        <v>1047</v>
      </c>
      <c r="C2548" s="14" t="str">
        <f>IFERROR(_xlfn.TEXTJOIN("-", TRUE, _xlfn.XLOOKUP(K2548, product_category_id_lookup!$A$2:$A$5, product_category_id_lookup!$B$2:$B$5), B2548), "Unknown Category")</f>
        <v>fd-1047</v>
      </c>
      <c r="D2548" s="8">
        <v>45426</v>
      </c>
      <c r="E2548" s="14">
        <f t="shared" si="117"/>
        <v>2024</v>
      </c>
      <c r="F2548" s="29" t="str">
        <f t="shared" si="118"/>
        <v>May</v>
      </c>
      <c r="G2548" s="17" t="s">
        <v>32</v>
      </c>
      <c r="H2548" s="17" t="s">
        <v>15</v>
      </c>
      <c r="I2548" s="24">
        <v>98117.021600000007</v>
      </c>
      <c r="J2548" s="32">
        <v>26</v>
      </c>
      <c r="K2548" s="17" t="s">
        <v>24</v>
      </c>
      <c r="L2548" s="24">
        <v>2978.93</v>
      </c>
      <c r="M2548" s="24">
        <v>4388.0600000000004</v>
      </c>
      <c r="N2548" s="34">
        <f>((sales_data_1[[#This Row],[Unit_Price]]*(1-sales_data_1[[#This Row],[Discount]]))-sales_data_1[[#This Row],[Unit_Cost]])*sales_data_1[[#This Row],[Quantity_Sold]]</f>
        <v>20664.841600000007</v>
      </c>
      <c r="O2548" s="17" t="s">
        <v>27</v>
      </c>
      <c r="P2548" s="26">
        <v>0.14000000000000001</v>
      </c>
      <c r="Q2548" s="17" t="s">
        <v>25</v>
      </c>
      <c r="R2548" s="17" t="s">
        <v>19</v>
      </c>
      <c r="S2548" s="50" t="str">
        <f t="shared" si="119"/>
        <v>Eve-North</v>
      </c>
      <c r="T2548" s="59" t="str">
        <f>IF(ROUND(sales_data_1[[#This Row],[Profit_Margin]],2)=ROUND((sales_data_1[[#This Row],[Unit_Price]]*(1-sales_data_1[[#This Row],[Discount]]) - sales_data_1[[#This Row],[Unit_Cost]])*sales_data_1[[#This Row],[Quantity_Sold]],2), "PASS", "CHECK")</f>
        <v>PASS</v>
      </c>
    </row>
    <row r="2549" spans="1:20" x14ac:dyDescent="0.35">
      <c r="A2549" s="7">
        <v>2548</v>
      </c>
      <c r="B2549" s="9">
        <v>1020</v>
      </c>
      <c r="C2549" s="14" t="str">
        <f>IFERROR(_xlfn.TEXTJOIN("-", TRUE, _xlfn.XLOOKUP(K2549, product_category_id_lookup!$A$2:$A$5, product_category_id_lookup!$B$2:$B$5), B2549), "Unknown Category")</f>
        <v>etc-1020</v>
      </c>
      <c r="D2549" s="8">
        <v>45426</v>
      </c>
      <c r="E2549" s="14">
        <f t="shared" si="117"/>
        <v>2024</v>
      </c>
      <c r="F2549" s="29" t="str">
        <f t="shared" si="118"/>
        <v>May</v>
      </c>
      <c r="G2549" s="17" t="s">
        <v>22</v>
      </c>
      <c r="H2549" s="17" t="s">
        <v>15</v>
      </c>
      <c r="I2549" s="24">
        <v>148739.58000000002</v>
      </c>
      <c r="J2549" s="32">
        <v>45</v>
      </c>
      <c r="K2549" s="17" t="s">
        <v>31</v>
      </c>
      <c r="L2549" s="24">
        <v>402.95</v>
      </c>
      <c r="M2549" s="24">
        <v>3843.4</v>
      </c>
      <c r="N2549" s="34">
        <f>((sales_data_1[[#This Row],[Unit_Price]]*(1-sales_data_1[[#This Row],[Discount]]))-sales_data_1[[#This Row],[Unit_Cost]])*sales_data_1[[#This Row],[Quantity_Sold]]</f>
        <v>130606.83000000002</v>
      </c>
      <c r="O2549" s="17" t="s">
        <v>17</v>
      </c>
      <c r="P2549" s="26">
        <v>0.14000000000000001</v>
      </c>
      <c r="Q2549" s="17" t="s">
        <v>18</v>
      </c>
      <c r="R2549" s="17" t="s">
        <v>21</v>
      </c>
      <c r="S2549" s="50" t="str">
        <f t="shared" si="119"/>
        <v>David-North</v>
      </c>
      <c r="T2549" s="59" t="str">
        <f>IF(ROUND(sales_data_1[[#This Row],[Profit_Margin]],2)=ROUND((sales_data_1[[#This Row],[Unit_Price]]*(1-sales_data_1[[#This Row],[Discount]]) - sales_data_1[[#This Row],[Unit_Cost]])*sales_data_1[[#This Row],[Quantity_Sold]],2), "PASS", "CHECK")</f>
        <v>PASS</v>
      </c>
    </row>
    <row r="2550" spans="1:20" x14ac:dyDescent="0.35">
      <c r="A2550" s="7">
        <v>2549</v>
      </c>
      <c r="B2550" s="9">
        <v>1049</v>
      </c>
      <c r="C2550" s="14" t="str">
        <f>IFERROR(_xlfn.TEXTJOIN("-", TRUE, _xlfn.XLOOKUP(K2550, product_category_id_lookup!$A$2:$A$5, product_category_id_lookup!$B$2:$B$5), B2550), "Unknown Category")</f>
        <v>fnt-1049</v>
      </c>
      <c r="D2550" s="8">
        <v>45427</v>
      </c>
      <c r="E2550" s="14">
        <f t="shared" si="117"/>
        <v>2024</v>
      </c>
      <c r="F2550" s="29" t="str">
        <f t="shared" si="118"/>
        <v>May</v>
      </c>
      <c r="G2550" s="17" t="s">
        <v>22</v>
      </c>
      <c r="H2550" s="17" t="s">
        <v>20</v>
      </c>
      <c r="I2550" s="24">
        <v>89608.550400000007</v>
      </c>
      <c r="J2550" s="32">
        <v>48</v>
      </c>
      <c r="K2550" s="17" t="s">
        <v>16</v>
      </c>
      <c r="L2550" s="24">
        <v>1249.4000000000001</v>
      </c>
      <c r="M2550" s="24">
        <v>2592.84</v>
      </c>
      <c r="N2550" s="34">
        <f>((sales_data_1[[#This Row],[Unit_Price]]*(1-sales_data_1[[#This Row],[Discount]]))-sales_data_1[[#This Row],[Unit_Cost]])*sales_data_1[[#This Row],[Quantity_Sold]]</f>
        <v>29637.350399999999</v>
      </c>
      <c r="O2550" s="17" t="s">
        <v>27</v>
      </c>
      <c r="P2550" s="26">
        <v>0.28000000000000003</v>
      </c>
      <c r="Q2550" s="17" t="s">
        <v>25</v>
      </c>
      <c r="R2550" s="17" t="s">
        <v>19</v>
      </c>
      <c r="S2550" s="50" t="str">
        <f t="shared" si="119"/>
        <v>David-West</v>
      </c>
      <c r="T2550" s="59" t="str">
        <f>IF(ROUND(sales_data_1[[#This Row],[Profit_Margin]],2)=ROUND((sales_data_1[[#This Row],[Unit_Price]]*(1-sales_data_1[[#This Row],[Discount]]) - sales_data_1[[#This Row],[Unit_Cost]])*sales_data_1[[#This Row],[Quantity_Sold]],2), "PASS", "CHECK")</f>
        <v>PASS</v>
      </c>
    </row>
    <row r="2551" spans="1:20" x14ac:dyDescent="0.35">
      <c r="A2551" s="7">
        <v>2550</v>
      </c>
      <c r="B2551" s="9">
        <v>1004</v>
      </c>
      <c r="C2551" s="14" t="str">
        <f>IFERROR(_xlfn.TEXTJOIN("-", TRUE, _xlfn.XLOOKUP(K2551, product_category_id_lookup!$A$2:$A$5, product_category_id_lookup!$B$2:$B$5), B2551), "Unknown Category")</f>
        <v>fd-1004</v>
      </c>
      <c r="D2551" s="8">
        <v>45427</v>
      </c>
      <c r="E2551" s="14">
        <f t="shared" si="117"/>
        <v>2024</v>
      </c>
      <c r="F2551" s="29" t="str">
        <f t="shared" si="118"/>
        <v>May</v>
      </c>
      <c r="G2551" s="17" t="s">
        <v>29</v>
      </c>
      <c r="H2551" s="17" t="s">
        <v>23</v>
      </c>
      <c r="I2551" s="24">
        <v>201936.64679999996</v>
      </c>
      <c r="J2551" s="32">
        <v>42</v>
      </c>
      <c r="K2551" s="17" t="s">
        <v>24</v>
      </c>
      <c r="L2551" s="24">
        <v>3876.49</v>
      </c>
      <c r="M2551" s="24">
        <v>5114.91</v>
      </c>
      <c r="N2551" s="34">
        <f>((sales_data_1[[#This Row],[Unit_Price]]*(1-sales_data_1[[#This Row],[Discount]]))-sales_data_1[[#This Row],[Unit_Cost]])*sales_data_1[[#This Row],[Quantity_Sold]]</f>
        <v>39124.066799999979</v>
      </c>
      <c r="O2551" s="17" t="s">
        <v>17</v>
      </c>
      <c r="P2551" s="26">
        <v>0.06</v>
      </c>
      <c r="Q2551" s="17" t="s">
        <v>28</v>
      </c>
      <c r="R2551" s="17" t="s">
        <v>19</v>
      </c>
      <c r="S2551" s="50" t="str">
        <f t="shared" si="119"/>
        <v>Charlie-South</v>
      </c>
      <c r="T2551" s="59" t="str">
        <f>IF(ROUND(sales_data_1[[#This Row],[Profit_Margin]],2)=ROUND((sales_data_1[[#This Row],[Unit_Price]]*(1-sales_data_1[[#This Row],[Discount]]) - sales_data_1[[#This Row],[Unit_Cost]])*sales_data_1[[#This Row],[Quantity_Sold]],2), "PASS", "CHECK")</f>
        <v>PASS</v>
      </c>
    </row>
    <row r="2552" spans="1:20" x14ac:dyDescent="0.35">
      <c r="A2552" s="7">
        <v>2551</v>
      </c>
      <c r="B2552" s="9">
        <v>1031</v>
      </c>
      <c r="C2552" s="14" t="str">
        <f>IFERROR(_xlfn.TEXTJOIN("-", TRUE, _xlfn.XLOOKUP(K2552, product_category_id_lookup!$A$2:$A$5, product_category_id_lookup!$B$2:$B$5), B2552), "Unknown Category")</f>
        <v>fnt-1031</v>
      </c>
      <c r="D2552" s="8">
        <v>45427</v>
      </c>
      <c r="E2552" s="14">
        <f t="shared" si="117"/>
        <v>2024</v>
      </c>
      <c r="F2552" s="29" t="str">
        <f t="shared" si="118"/>
        <v>May</v>
      </c>
      <c r="G2552" s="17" t="s">
        <v>32</v>
      </c>
      <c r="H2552" s="17" t="s">
        <v>30</v>
      </c>
      <c r="I2552" s="24">
        <v>167432.64000000001</v>
      </c>
      <c r="J2552" s="32">
        <v>46</v>
      </c>
      <c r="K2552" s="17" t="s">
        <v>16</v>
      </c>
      <c r="L2552" s="24">
        <v>924.13</v>
      </c>
      <c r="M2552" s="24">
        <v>4549.8</v>
      </c>
      <c r="N2552" s="34">
        <f>((sales_data_1[[#This Row],[Unit_Price]]*(1-sales_data_1[[#This Row],[Discount]]))-sales_data_1[[#This Row],[Unit_Cost]])*sales_data_1[[#This Row],[Quantity_Sold]]</f>
        <v>124922.66</v>
      </c>
      <c r="O2552" s="17" t="s">
        <v>27</v>
      </c>
      <c r="P2552" s="26">
        <v>0.2</v>
      </c>
      <c r="Q2552" s="17" t="s">
        <v>28</v>
      </c>
      <c r="R2552" s="17" t="s">
        <v>21</v>
      </c>
      <c r="S2552" s="50" t="str">
        <f t="shared" si="119"/>
        <v>Eve-East</v>
      </c>
      <c r="T2552" s="59" t="str">
        <f>IF(ROUND(sales_data_1[[#This Row],[Profit_Margin]],2)=ROUND((sales_data_1[[#This Row],[Unit_Price]]*(1-sales_data_1[[#This Row],[Discount]]) - sales_data_1[[#This Row],[Unit_Cost]])*sales_data_1[[#This Row],[Quantity_Sold]],2), "PASS", "CHECK")</f>
        <v>PASS</v>
      </c>
    </row>
    <row r="2553" spans="1:20" x14ac:dyDescent="0.35">
      <c r="A2553" s="7">
        <v>2552</v>
      </c>
      <c r="B2553" s="9">
        <v>1071</v>
      </c>
      <c r="C2553" s="14" t="str">
        <f>IFERROR(_xlfn.TEXTJOIN("-", TRUE, _xlfn.XLOOKUP(K2553, product_category_id_lookup!$A$2:$A$5, product_category_id_lookup!$B$2:$B$5), B2553), "Unknown Category")</f>
        <v>ctg-1071</v>
      </c>
      <c r="D2553" s="8">
        <v>45428</v>
      </c>
      <c r="E2553" s="14">
        <f t="shared" si="117"/>
        <v>2024</v>
      </c>
      <c r="F2553" s="29" t="str">
        <f t="shared" si="118"/>
        <v>May</v>
      </c>
      <c r="G2553" s="17" t="s">
        <v>29</v>
      </c>
      <c r="H2553" s="17" t="s">
        <v>30</v>
      </c>
      <c r="I2553" s="24">
        <v>28916.662499999999</v>
      </c>
      <c r="J2553" s="32">
        <v>15</v>
      </c>
      <c r="K2553" s="17" t="s">
        <v>26</v>
      </c>
      <c r="L2553" s="24">
        <v>1887.53</v>
      </c>
      <c r="M2553" s="24">
        <v>1947.25</v>
      </c>
      <c r="N2553" s="34">
        <f>((sales_data_1[[#This Row],[Unit_Price]]*(1-sales_data_1[[#This Row],[Discount]]))-sales_data_1[[#This Row],[Unit_Cost]])*sales_data_1[[#This Row],[Quantity_Sold]]</f>
        <v>603.71249999999918</v>
      </c>
      <c r="O2553" s="17" t="s">
        <v>17</v>
      </c>
      <c r="P2553" s="26">
        <v>0.01</v>
      </c>
      <c r="Q2553" s="17" t="s">
        <v>25</v>
      </c>
      <c r="R2553" s="17" t="s">
        <v>21</v>
      </c>
      <c r="S2553" s="50" t="str">
        <f t="shared" si="119"/>
        <v>Charlie-East</v>
      </c>
      <c r="T2553" s="59" t="str">
        <f>IF(ROUND(sales_data_1[[#This Row],[Profit_Margin]],2)=ROUND((sales_data_1[[#This Row],[Unit_Price]]*(1-sales_data_1[[#This Row],[Discount]]) - sales_data_1[[#This Row],[Unit_Cost]])*sales_data_1[[#This Row],[Quantity_Sold]],2), "PASS", "CHECK")</f>
        <v>PASS</v>
      </c>
    </row>
    <row r="2554" spans="1:20" x14ac:dyDescent="0.35">
      <c r="A2554" s="7">
        <v>2553</v>
      </c>
      <c r="B2554" s="9">
        <v>1085</v>
      </c>
      <c r="C2554" s="14" t="str">
        <f>IFERROR(_xlfn.TEXTJOIN("-", TRUE, _xlfn.XLOOKUP(K2554, product_category_id_lookup!$A$2:$A$5, product_category_id_lookup!$B$2:$B$5), B2554), "Unknown Category")</f>
        <v>ctg-1085</v>
      </c>
      <c r="D2554" s="8">
        <v>45428</v>
      </c>
      <c r="E2554" s="14">
        <f t="shared" si="117"/>
        <v>2024</v>
      </c>
      <c r="F2554" s="29" t="str">
        <f t="shared" si="118"/>
        <v>May</v>
      </c>
      <c r="G2554" s="17" t="s">
        <v>33</v>
      </c>
      <c r="H2554" s="17" t="s">
        <v>15</v>
      </c>
      <c r="I2554" s="24">
        <v>128780.59</v>
      </c>
      <c r="J2554" s="32">
        <v>29</v>
      </c>
      <c r="K2554" s="17" t="s">
        <v>26</v>
      </c>
      <c r="L2554" s="24">
        <v>4369.62</v>
      </c>
      <c r="M2554" s="24">
        <v>4440.71</v>
      </c>
      <c r="N2554" s="34">
        <f>((sales_data_1[[#This Row],[Unit_Price]]*(1-sales_data_1[[#This Row],[Discount]]))-sales_data_1[[#This Row],[Unit_Cost]])*sales_data_1[[#This Row],[Quantity_Sold]]</f>
        <v>2061.6100000000042</v>
      </c>
      <c r="O2554" s="17" t="s">
        <v>17</v>
      </c>
      <c r="P2554" s="26">
        <v>0</v>
      </c>
      <c r="Q2554" s="17" t="s">
        <v>28</v>
      </c>
      <c r="R2554" s="17" t="s">
        <v>19</v>
      </c>
      <c r="S2554" s="50" t="str">
        <f t="shared" si="119"/>
        <v>Alice-North</v>
      </c>
      <c r="T2554" s="59" t="str">
        <f>IF(ROUND(sales_data_1[[#This Row],[Profit_Margin]],2)=ROUND((sales_data_1[[#This Row],[Unit_Price]]*(1-sales_data_1[[#This Row],[Discount]]) - sales_data_1[[#This Row],[Unit_Cost]])*sales_data_1[[#This Row],[Quantity_Sold]],2), "PASS", "CHECK")</f>
        <v>PASS</v>
      </c>
    </row>
    <row r="2555" spans="1:20" x14ac:dyDescent="0.35">
      <c r="A2555" s="7">
        <v>2554</v>
      </c>
      <c r="B2555" s="9">
        <v>1014</v>
      </c>
      <c r="C2555" s="14" t="str">
        <f>IFERROR(_xlfn.TEXTJOIN("-", TRUE, _xlfn.XLOOKUP(K2555, product_category_id_lookup!$A$2:$A$5, product_category_id_lookup!$B$2:$B$5), B2555), "Unknown Category")</f>
        <v>ctg-1014</v>
      </c>
      <c r="D2555" s="8">
        <v>45429</v>
      </c>
      <c r="E2555" s="14">
        <f t="shared" si="117"/>
        <v>2024</v>
      </c>
      <c r="F2555" s="29" t="str">
        <f t="shared" si="118"/>
        <v>May</v>
      </c>
      <c r="G2555" s="17" t="s">
        <v>14</v>
      </c>
      <c r="H2555" s="17" t="s">
        <v>15</v>
      </c>
      <c r="I2555" s="24">
        <v>13756.502399999999</v>
      </c>
      <c r="J2555" s="32">
        <v>23</v>
      </c>
      <c r="K2555" s="17" t="s">
        <v>26</v>
      </c>
      <c r="L2555" s="24">
        <v>495.95</v>
      </c>
      <c r="M2555" s="24">
        <v>623.03</v>
      </c>
      <c r="N2555" s="34">
        <f>((sales_data_1[[#This Row],[Unit_Price]]*(1-sales_data_1[[#This Row],[Discount]]))-sales_data_1[[#This Row],[Unit_Cost]])*sales_data_1[[#This Row],[Quantity_Sold]]</f>
        <v>2349.6523999999995</v>
      </c>
      <c r="O2555" s="17" t="s">
        <v>27</v>
      </c>
      <c r="P2555" s="26">
        <v>0.04</v>
      </c>
      <c r="Q2555" s="17" t="s">
        <v>18</v>
      </c>
      <c r="R2555" s="17" t="s">
        <v>19</v>
      </c>
      <c r="S2555" s="50" t="str">
        <f t="shared" si="119"/>
        <v>Bob-North</v>
      </c>
      <c r="T2555" s="59" t="str">
        <f>IF(ROUND(sales_data_1[[#This Row],[Profit_Margin]],2)=ROUND((sales_data_1[[#This Row],[Unit_Price]]*(1-sales_data_1[[#This Row],[Discount]]) - sales_data_1[[#This Row],[Unit_Cost]])*sales_data_1[[#This Row],[Quantity_Sold]],2), "PASS", "CHECK")</f>
        <v>PASS</v>
      </c>
    </row>
    <row r="2556" spans="1:20" x14ac:dyDescent="0.35">
      <c r="A2556" s="7">
        <v>2555</v>
      </c>
      <c r="B2556" s="9">
        <v>1098</v>
      </c>
      <c r="C2556" s="14" t="str">
        <f>IFERROR(_xlfn.TEXTJOIN("-", TRUE, _xlfn.XLOOKUP(K2556, product_category_id_lookup!$A$2:$A$5, product_category_id_lookup!$B$2:$B$5), B2556), "Unknown Category")</f>
        <v>fd-1098</v>
      </c>
      <c r="D2556" s="8">
        <v>45429</v>
      </c>
      <c r="E2556" s="14">
        <f t="shared" si="117"/>
        <v>2024</v>
      </c>
      <c r="F2556" s="29" t="str">
        <f t="shared" si="118"/>
        <v>May</v>
      </c>
      <c r="G2556" s="17" t="s">
        <v>14</v>
      </c>
      <c r="H2556" s="17" t="s">
        <v>15</v>
      </c>
      <c r="I2556" s="24">
        <v>28110.42</v>
      </c>
      <c r="J2556" s="32">
        <v>20</v>
      </c>
      <c r="K2556" s="17" t="s">
        <v>24</v>
      </c>
      <c r="L2556" s="24">
        <v>165.72</v>
      </c>
      <c r="M2556" s="24">
        <v>1714.05</v>
      </c>
      <c r="N2556" s="34">
        <f>((sales_data_1[[#This Row],[Unit_Price]]*(1-sales_data_1[[#This Row],[Discount]]))-sales_data_1[[#This Row],[Unit_Cost]])*sales_data_1[[#This Row],[Quantity_Sold]]</f>
        <v>24796.019999999997</v>
      </c>
      <c r="O2556" s="17" t="s">
        <v>17</v>
      </c>
      <c r="P2556" s="26">
        <v>0.18</v>
      </c>
      <c r="Q2556" s="17" t="s">
        <v>18</v>
      </c>
      <c r="R2556" s="17" t="s">
        <v>21</v>
      </c>
      <c r="S2556" s="50" t="str">
        <f t="shared" si="119"/>
        <v>Bob-North</v>
      </c>
      <c r="T2556" s="59" t="str">
        <f>IF(ROUND(sales_data_1[[#This Row],[Profit_Margin]],2)=ROUND((sales_data_1[[#This Row],[Unit_Price]]*(1-sales_data_1[[#This Row],[Discount]]) - sales_data_1[[#This Row],[Unit_Cost]])*sales_data_1[[#This Row],[Quantity_Sold]],2), "PASS", "CHECK")</f>
        <v>PASS</v>
      </c>
    </row>
    <row r="2557" spans="1:20" x14ac:dyDescent="0.35">
      <c r="A2557" s="7">
        <v>2556</v>
      </c>
      <c r="B2557" s="9">
        <v>1099</v>
      </c>
      <c r="C2557" s="14" t="str">
        <f>IFERROR(_xlfn.TEXTJOIN("-", TRUE, _xlfn.XLOOKUP(K2557, product_category_id_lookup!$A$2:$A$5, product_category_id_lookup!$B$2:$B$5), B2557), "Unknown Category")</f>
        <v>fd-1099</v>
      </c>
      <c r="D2557" s="8">
        <v>45429</v>
      </c>
      <c r="E2557" s="14">
        <f t="shared" si="117"/>
        <v>2024</v>
      </c>
      <c r="F2557" s="29" t="str">
        <f t="shared" si="118"/>
        <v>May</v>
      </c>
      <c r="G2557" s="17" t="s">
        <v>29</v>
      </c>
      <c r="H2557" s="17" t="s">
        <v>20</v>
      </c>
      <c r="I2557" s="24">
        <v>49258.680000000008</v>
      </c>
      <c r="J2557" s="32">
        <v>15</v>
      </c>
      <c r="K2557" s="17" t="s">
        <v>24</v>
      </c>
      <c r="L2557" s="24">
        <v>1547.8</v>
      </c>
      <c r="M2557" s="24">
        <v>4104.8900000000003</v>
      </c>
      <c r="N2557" s="34">
        <f>((sales_data_1[[#This Row],[Unit_Price]]*(1-sales_data_1[[#This Row],[Discount]]))-sales_data_1[[#This Row],[Unit_Cost]])*sales_data_1[[#This Row],[Quantity_Sold]]</f>
        <v>26041.680000000004</v>
      </c>
      <c r="O2557" s="17" t="s">
        <v>27</v>
      </c>
      <c r="P2557" s="26">
        <v>0.2</v>
      </c>
      <c r="Q2557" s="17" t="s">
        <v>18</v>
      </c>
      <c r="R2557" s="17" t="s">
        <v>19</v>
      </c>
      <c r="S2557" s="50" t="str">
        <f t="shared" si="119"/>
        <v>Charlie-West</v>
      </c>
      <c r="T2557" s="59" t="str">
        <f>IF(ROUND(sales_data_1[[#This Row],[Profit_Margin]],2)=ROUND((sales_data_1[[#This Row],[Unit_Price]]*(1-sales_data_1[[#This Row],[Discount]]) - sales_data_1[[#This Row],[Unit_Cost]])*sales_data_1[[#This Row],[Quantity_Sold]],2), "PASS", "CHECK")</f>
        <v>PASS</v>
      </c>
    </row>
    <row r="2558" spans="1:20" x14ac:dyDescent="0.35">
      <c r="A2558" s="7">
        <v>2557</v>
      </c>
      <c r="B2558" s="9">
        <v>1100</v>
      </c>
      <c r="C2558" s="14" t="str">
        <f>IFERROR(_xlfn.TEXTJOIN("-", TRUE, _xlfn.XLOOKUP(K2558, product_category_id_lookup!$A$2:$A$5, product_category_id_lookup!$B$2:$B$5), B2558), "Unknown Category")</f>
        <v>ctg-1100</v>
      </c>
      <c r="D2558" s="8">
        <v>45429</v>
      </c>
      <c r="E2558" s="14">
        <f t="shared" si="117"/>
        <v>2024</v>
      </c>
      <c r="F2558" s="29" t="str">
        <f t="shared" si="118"/>
        <v>May</v>
      </c>
      <c r="G2558" s="17" t="s">
        <v>32</v>
      </c>
      <c r="H2558" s="17" t="s">
        <v>15</v>
      </c>
      <c r="I2558" s="24">
        <v>101312.428</v>
      </c>
      <c r="J2558" s="32">
        <v>29</v>
      </c>
      <c r="K2558" s="17" t="s">
        <v>26</v>
      </c>
      <c r="L2558" s="24">
        <v>200.26</v>
      </c>
      <c r="M2558" s="24">
        <v>4990.76</v>
      </c>
      <c r="N2558" s="34">
        <f>((sales_data_1[[#This Row],[Unit_Price]]*(1-sales_data_1[[#This Row],[Discount]]))-sales_data_1[[#This Row],[Unit_Cost]])*sales_data_1[[#This Row],[Quantity_Sold]]</f>
        <v>95504.887999999992</v>
      </c>
      <c r="O2558" s="17" t="s">
        <v>27</v>
      </c>
      <c r="P2558" s="26">
        <v>0.3</v>
      </c>
      <c r="Q2558" s="17" t="s">
        <v>28</v>
      </c>
      <c r="R2558" s="17" t="s">
        <v>19</v>
      </c>
      <c r="S2558" s="50" t="str">
        <f t="shared" si="119"/>
        <v>Eve-North</v>
      </c>
      <c r="T2558" s="59" t="str">
        <f>IF(ROUND(sales_data_1[[#This Row],[Profit_Margin]],2)=ROUND((sales_data_1[[#This Row],[Unit_Price]]*(1-sales_data_1[[#This Row],[Discount]]) - sales_data_1[[#This Row],[Unit_Cost]])*sales_data_1[[#This Row],[Quantity_Sold]],2), "PASS", "CHECK")</f>
        <v>PASS</v>
      </c>
    </row>
    <row r="2559" spans="1:20" x14ac:dyDescent="0.35">
      <c r="A2559" s="7">
        <v>2558</v>
      </c>
      <c r="B2559" s="9">
        <v>1024</v>
      </c>
      <c r="C2559" s="14" t="str">
        <f>IFERROR(_xlfn.TEXTJOIN("-", TRUE, _xlfn.XLOOKUP(K2559, product_category_id_lookup!$A$2:$A$5, product_category_id_lookup!$B$2:$B$5), B2559), "Unknown Category")</f>
        <v>fnt-1024</v>
      </c>
      <c r="D2559" s="8">
        <v>45430</v>
      </c>
      <c r="E2559" s="14">
        <f t="shared" si="117"/>
        <v>2024</v>
      </c>
      <c r="F2559" s="29" t="str">
        <f t="shared" si="118"/>
        <v>May</v>
      </c>
      <c r="G2559" s="17" t="s">
        <v>33</v>
      </c>
      <c r="H2559" s="17" t="s">
        <v>30</v>
      </c>
      <c r="I2559" s="24">
        <v>51451.3125</v>
      </c>
      <c r="J2559" s="32">
        <v>35</v>
      </c>
      <c r="K2559" s="17" t="s">
        <v>16</v>
      </c>
      <c r="L2559" s="24">
        <v>1368.52</v>
      </c>
      <c r="M2559" s="24">
        <v>1960.05</v>
      </c>
      <c r="N2559" s="34">
        <f>((sales_data_1[[#This Row],[Unit_Price]]*(1-sales_data_1[[#This Row],[Discount]]))-sales_data_1[[#This Row],[Unit_Cost]])*sales_data_1[[#This Row],[Quantity_Sold]]</f>
        <v>3553.1124999999975</v>
      </c>
      <c r="O2559" s="17" t="s">
        <v>27</v>
      </c>
      <c r="P2559" s="26">
        <v>0.25</v>
      </c>
      <c r="Q2559" s="17" t="s">
        <v>18</v>
      </c>
      <c r="R2559" s="17" t="s">
        <v>19</v>
      </c>
      <c r="S2559" s="50" t="str">
        <f t="shared" si="119"/>
        <v>Alice-East</v>
      </c>
      <c r="T2559" s="59" t="str">
        <f>IF(ROUND(sales_data_1[[#This Row],[Profit_Margin]],2)=ROUND((sales_data_1[[#This Row],[Unit_Price]]*(1-sales_data_1[[#This Row],[Discount]]) - sales_data_1[[#This Row],[Unit_Cost]])*sales_data_1[[#This Row],[Quantity_Sold]],2), "PASS", "CHECK")</f>
        <v>PASS</v>
      </c>
    </row>
    <row r="2560" spans="1:20" x14ac:dyDescent="0.35">
      <c r="A2560" s="7">
        <v>2559</v>
      </c>
      <c r="B2560" s="9">
        <v>1079</v>
      </c>
      <c r="C2560" s="14" t="str">
        <f>IFERROR(_xlfn.TEXTJOIN("-", TRUE, _xlfn.XLOOKUP(K2560, product_category_id_lookup!$A$2:$A$5, product_category_id_lookup!$B$2:$B$5), B2560), "Unknown Category")</f>
        <v>ctg-1079</v>
      </c>
      <c r="D2560" s="8">
        <v>45430</v>
      </c>
      <c r="E2560" s="14">
        <f t="shared" si="117"/>
        <v>2024</v>
      </c>
      <c r="F2560" s="29" t="str">
        <f t="shared" si="118"/>
        <v>May</v>
      </c>
      <c r="G2560" s="17" t="s">
        <v>33</v>
      </c>
      <c r="H2560" s="17" t="s">
        <v>23</v>
      </c>
      <c r="I2560" s="24">
        <v>73318.176000000007</v>
      </c>
      <c r="J2560" s="32">
        <v>27</v>
      </c>
      <c r="K2560" s="17" t="s">
        <v>26</v>
      </c>
      <c r="L2560" s="24">
        <v>607.89</v>
      </c>
      <c r="M2560" s="24">
        <v>3394.36</v>
      </c>
      <c r="N2560" s="34">
        <f>((sales_data_1[[#This Row],[Unit_Price]]*(1-sales_data_1[[#This Row],[Discount]]))-sales_data_1[[#This Row],[Unit_Cost]])*sales_data_1[[#This Row],[Quantity_Sold]]</f>
        <v>56905.146000000008</v>
      </c>
      <c r="O2560" s="17" t="s">
        <v>27</v>
      </c>
      <c r="P2560" s="26">
        <v>0.2</v>
      </c>
      <c r="Q2560" s="17" t="s">
        <v>25</v>
      </c>
      <c r="R2560" s="17" t="s">
        <v>21</v>
      </c>
      <c r="S2560" s="50" t="str">
        <f t="shared" si="119"/>
        <v>Alice-South</v>
      </c>
      <c r="T2560" s="59" t="str">
        <f>IF(ROUND(sales_data_1[[#This Row],[Profit_Margin]],2)=ROUND((sales_data_1[[#This Row],[Unit_Price]]*(1-sales_data_1[[#This Row],[Discount]]) - sales_data_1[[#This Row],[Unit_Cost]])*sales_data_1[[#This Row],[Quantity_Sold]],2), "PASS", "CHECK")</f>
        <v>PASS</v>
      </c>
    </row>
    <row r="2561" spans="1:20" x14ac:dyDescent="0.35">
      <c r="A2561" s="7">
        <v>2560</v>
      </c>
      <c r="B2561" s="9">
        <v>1027</v>
      </c>
      <c r="C2561" s="14" t="str">
        <f>IFERROR(_xlfn.TEXTJOIN("-", TRUE, _xlfn.XLOOKUP(K2561, product_category_id_lookup!$A$2:$A$5, product_category_id_lookup!$B$2:$B$5), B2561), "Unknown Category")</f>
        <v>fd-1027</v>
      </c>
      <c r="D2561" s="8">
        <v>45431</v>
      </c>
      <c r="E2561" s="14">
        <f t="shared" si="117"/>
        <v>2024</v>
      </c>
      <c r="F2561" s="29" t="str">
        <f t="shared" si="118"/>
        <v>May</v>
      </c>
      <c r="G2561" s="17" t="s">
        <v>22</v>
      </c>
      <c r="H2561" s="17" t="s">
        <v>30</v>
      </c>
      <c r="I2561" s="24">
        <v>6752.4749999999995</v>
      </c>
      <c r="J2561" s="32">
        <v>3</v>
      </c>
      <c r="K2561" s="17" t="s">
        <v>24</v>
      </c>
      <c r="L2561" s="24">
        <v>995.25</v>
      </c>
      <c r="M2561" s="24">
        <v>3001.1</v>
      </c>
      <c r="N2561" s="34">
        <f>((sales_data_1[[#This Row],[Unit_Price]]*(1-sales_data_1[[#This Row],[Discount]]))-sales_data_1[[#This Row],[Unit_Cost]])*sales_data_1[[#This Row],[Quantity_Sold]]</f>
        <v>3766.7249999999995</v>
      </c>
      <c r="O2561" s="17" t="s">
        <v>27</v>
      </c>
      <c r="P2561" s="26">
        <v>0.25</v>
      </c>
      <c r="Q2561" s="17" t="s">
        <v>28</v>
      </c>
      <c r="R2561" s="17" t="s">
        <v>21</v>
      </c>
      <c r="S2561" s="50" t="str">
        <f t="shared" si="119"/>
        <v>David-East</v>
      </c>
      <c r="T2561" s="59" t="str">
        <f>IF(ROUND(sales_data_1[[#This Row],[Profit_Margin]],2)=ROUND((sales_data_1[[#This Row],[Unit_Price]]*(1-sales_data_1[[#This Row],[Discount]]) - sales_data_1[[#This Row],[Unit_Cost]])*sales_data_1[[#This Row],[Quantity_Sold]],2), "PASS", "CHECK")</f>
        <v>PASS</v>
      </c>
    </row>
    <row r="2562" spans="1:20" x14ac:dyDescent="0.35">
      <c r="A2562" s="7">
        <v>2561</v>
      </c>
      <c r="B2562" s="9">
        <v>1096</v>
      </c>
      <c r="C2562" s="14" t="str">
        <f>IFERROR(_xlfn.TEXTJOIN("-", TRUE, _xlfn.XLOOKUP(K2562, product_category_id_lookup!$A$2:$A$5, product_category_id_lookup!$B$2:$B$5), B2562), "Unknown Category")</f>
        <v>ctg-1096</v>
      </c>
      <c r="D2562" s="8">
        <v>45431</v>
      </c>
      <c r="E2562" s="14">
        <f t="shared" ref="E2562:E2625" si="120">YEAR(D2562)</f>
        <v>2024</v>
      </c>
      <c r="F2562" s="29" t="str">
        <f t="shared" ref="F2562:F2625" si="121">LEFT(TEXT(D2562,"mmmm"),3)</f>
        <v>May</v>
      </c>
      <c r="G2562" s="17" t="s">
        <v>32</v>
      </c>
      <c r="H2562" s="17" t="s">
        <v>30</v>
      </c>
      <c r="I2562" s="24">
        <v>38748.746400000004</v>
      </c>
      <c r="J2562" s="32">
        <v>8</v>
      </c>
      <c r="K2562" s="17" t="s">
        <v>26</v>
      </c>
      <c r="L2562" s="24">
        <v>2739.52</v>
      </c>
      <c r="M2562" s="24">
        <v>5322.63</v>
      </c>
      <c r="N2562" s="34">
        <f>((sales_data_1[[#This Row],[Unit_Price]]*(1-sales_data_1[[#This Row],[Discount]]))-sales_data_1[[#This Row],[Unit_Cost]])*sales_data_1[[#This Row],[Quantity_Sold]]</f>
        <v>16832.586400000004</v>
      </c>
      <c r="O2562" s="17" t="s">
        <v>17</v>
      </c>
      <c r="P2562" s="26">
        <v>0.09</v>
      </c>
      <c r="Q2562" s="17" t="s">
        <v>18</v>
      </c>
      <c r="R2562" s="17" t="s">
        <v>21</v>
      </c>
      <c r="S2562" s="50" t="str">
        <f t="shared" ref="S2562:S2625" si="122">_xlfn.CONCAT(G2562,"-",H2562)</f>
        <v>Eve-East</v>
      </c>
      <c r="T2562" s="59" t="str">
        <f>IF(ROUND(sales_data_1[[#This Row],[Profit_Margin]],2)=ROUND((sales_data_1[[#This Row],[Unit_Price]]*(1-sales_data_1[[#This Row],[Discount]]) - sales_data_1[[#This Row],[Unit_Cost]])*sales_data_1[[#This Row],[Quantity_Sold]],2), "PASS", "CHECK")</f>
        <v>PASS</v>
      </c>
    </row>
    <row r="2563" spans="1:20" x14ac:dyDescent="0.35">
      <c r="A2563" s="7">
        <v>2562</v>
      </c>
      <c r="B2563" s="9">
        <v>1026</v>
      </c>
      <c r="C2563" s="14" t="str">
        <f>IFERROR(_xlfn.TEXTJOIN("-", TRUE, _xlfn.XLOOKUP(K2563, product_category_id_lookup!$A$2:$A$5, product_category_id_lookup!$B$2:$B$5), B2563), "Unknown Category")</f>
        <v>etc-1026</v>
      </c>
      <c r="D2563" s="8">
        <v>45431</v>
      </c>
      <c r="E2563" s="14">
        <f t="shared" si="120"/>
        <v>2024</v>
      </c>
      <c r="F2563" s="29" t="str">
        <f t="shared" si="121"/>
        <v>May</v>
      </c>
      <c r="G2563" s="17" t="s">
        <v>14</v>
      </c>
      <c r="H2563" s="17" t="s">
        <v>30</v>
      </c>
      <c r="I2563" s="24">
        <v>43014.849600000001</v>
      </c>
      <c r="J2563" s="32">
        <v>16</v>
      </c>
      <c r="K2563" s="17" t="s">
        <v>31</v>
      </c>
      <c r="L2563" s="24">
        <v>1096.3800000000001</v>
      </c>
      <c r="M2563" s="24">
        <v>3239.07</v>
      </c>
      <c r="N2563" s="34">
        <f>((sales_data_1[[#This Row],[Unit_Price]]*(1-sales_data_1[[#This Row],[Discount]]))-sales_data_1[[#This Row],[Unit_Cost]])*sales_data_1[[#This Row],[Quantity_Sold]]</f>
        <v>25472.7696</v>
      </c>
      <c r="O2563" s="17" t="s">
        <v>17</v>
      </c>
      <c r="P2563" s="26">
        <v>0.17</v>
      </c>
      <c r="Q2563" s="17" t="s">
        <v>18</v>
      </c>
      <c r="R2563" s="17" t="s">
        <v>21</v>
      </c>
      <c r="S2563" s="50" t="str">
        <f t="shared" si="122"/>
        <v>Bob-East</v>
      </c>
      <c r="T2563" s="59" t="str">
        <f>IF(ROUND(sales_data_1[[#This Row],[Profit_Margin]],2)=ROUND((sales_data_1[[#This Row],[Unit_Price]]*(1-sales_data_1[[#This Row],[Discount]]) - sales_data_1[[#This Row],[Unit_Cost]])*sales_data_1[[#This Row],[Quantity_Sold]],2), "PASS", "CHECK")</f>
        <v>PASS</v>
      </c>
    </row>
    <row r="2564" spans="1:20" x14ac:dyDescent="0.35">
      <c r="A2564" s="7">
        <v>2563</v>
      </c>
      <c r="B2564" s="9">
        <v>1025</v>
      </c>
      <c r="C2564" s="14" t="str">
        <f>IFERROR(_xlfn.TEXTJOIN("-", TRUE, _xlfn.XLOOKUP(K2564, product_category_id_lookup!$A$2:$A$5, product_category_id_lookup!$B$2:$B$5), B2564), "Unknown Category")</f>
        <v>ctg-1025</v>
      </c>
      <c r="D2564" s="8">
        <v>45431</v>
      </c>
      <c r="E2564" s="14">
        <f t="shared" si="120"/>
        <v>2024</v>
      </c>
      <c r="F2564" s="29" t="str">
        <f t="shared" si="121"/>
        <v>May</v>
      </c>
      <c r="G2564" s="17" t="s">
        <v>14</v>
      </c>
      <c r="H2564" s="17" t="s">
        <v>15</v>
      </c>
      <c r="I2564" s="24">
        <v>120761.3043</v>
      </c>
      <c r="J2564" s="32">
        <v>27</v>
      </c>
      <c r="K2564" s="17" t="s">
        <v>26</v>
      </c>
      <c r="L2564" s="24">
        <v>298.52999999999997</v>
      </c>
      <c r="M2564" s="24">
        <v>4610.97</v>
      </c>
      <c r="N2564" s="34">
        <f>((sales_data_1[[#This Row],[Unit_Price]]*(1-sales_data_1[[#This Row],[Discount]]))-sales_data_1[[#This Row],[Unit_Cost]])*sales_data_1[[#This Row],[Quantity_Sold]]</f>
        <v>112700.99430000002</v>
      </c>
      <c r="O2564" s="17" t="s">
        <v>17</v>
      </c>
      <c r="P2564" s="26">
        <v>0.03</v>
      </c>
      <c r="Q2564" s="17" t="s">
        <v>28</v>
      </c>
      <c r="R2564" s="17" t="s">
        <v>21</v>
      </c>
      <c r="S2564" s="50" t="str">
        <f t="shared" si="122"/>
        <v>Bob-North</v>
      </c>
      <c r="T2564" s="59" t="str">
        <f>IF(ROUND(sales_data_1[[#This Row],[Profit_Margin]],2)=ROUND((sales_data_1[[#This Row],[Unit_Price]]*(1-sales_data_1[[#This Row],[Discount]]) - sales_data_1[[#This Row],[Unit_Cost]])*sales_data_1[[#This Row],[Quantity_Sold]],2), "PASS", "CHECK")</f>
        <v>PASS</v>
      </c>
    </row>
    <row r="2565" spans="1:20" x14ac:dyDescent="0.35">
      <c r="A2565" s="7">
        <v>2564</v>
      </c>
      <c r="B2565" s="9">
        <v>1022</v>
      </c>
      <c r="C2565" s="14" t="str">
        <f>IFERROR(_xlfn.TEXTJOIN("-", TRUE, _xlfn.XLOOKUP(K2565, product_category_id_lookup!$A$2:$A$5, product_category_id_lookup!$B$2:$B$5), B2565), "Unknown Category")</f>
        <v>fd-1022</v>
      </c>
      <c r="D2565" s="8">
        <v>45432</v>
      </c>
      <c r="E2565" s="14">
        <f t="shared" si="120"/>
        <v>2024</v>
      </c>
      <c r="F2565" s="29" t="str">
        <f t="shared" si="121"/>
        <v>May</v>
      </c>
      <c r="G2565" s="17" t="s">
        <v>33</v>
      </c>
      <c r="H2565" s="17" t="s">
        <v>20</v>
      </c>
      <c r="I2565" s="24">
        <v>26292.063999999998</v>
      </c>
      <c r="J2565" s="32">
        <v>17</v>
      </c>
      <c r="K2565" s="17" t="s">
        <v>24</v>
      </c>
      <c r="L2565" s="24">
        <v>1319.18</v>
      </c>
      <c r="M2565" s="24">
        <v>1819.52</v>
      </c>
      <c r="N2565" s="34">
        <f>((sales_data_1[[#This Row],[Unit_Price]]*(1-sales_data_1[[#This Row],[Discount]]))-sales_data_1[[#This Row],[Unit_Cost]])*sales_data_1[[#This Row],[Quantity_Sold]]</f>
        <v>3866.0039999999967</v>
      </c>
      <c r="O2565" s="17" t="s">
        <v>17</v>
      </c>
      <c r="P2565" s="26">
        <v>0.15</v>
      </c>
      <c r="Q2565" s="17" t="s">
        <v>18</v>
      </c>
      <c r="R2565" s="17" t="s">
        <v>19</v>
      </c>
      <c r="S2565" s="50" t="str">
        <f t="shared" si="122"/>
        <v>Alice-West</v>
      </c>
      <c r="T2565" s="59" t="str">
        <f>IF(ROUND(sales_data_1[[#This Row],[Profit_Margin]],2)=ROUND((sales_data_1[[#This Row],[Unit_Price]]*(1-sales_data_1[[#This Row],[Discount]]) - sales_data_1[[#This Row],[Unit_Cost]])*sales_data_1[[#This Row],[Quantity_Sold]],2), "PASS", "CHECK")</f>
        <v>PASS</v>
      </c>
    </row>
    <row r="2566" spans="1:20" x14ac:dyDescent="0.35">
      <c r="A2566" s="7">
        <v>2565</v>
      </c>
      <c r="B2566" s="9">
        <v>1077</v>
      </c>
      <c r="C2566" s="14" t="str">
        <f>IFERROR(_xlfn.TEXTJOIN("-", TRUE, _xlfn.XLOOKUP(K2566, product_category_id_lookup!$A$2:$A$5, product_category_id_lookup!$B$2:$B$5), B2566), "Unknown Category")</f>
        <v>fnt-1077</v>
      </c>
      <c r="D2566" s="8">
        <v>45432</v>
      </c>
      <c r="E2566" s="14">
        <f t="shared" si="120"/>
        <v>2024</v>
      </c>
      <c r="F2566" s="29" t="str">
        <f t="shared" si="121"/>
        <v>May</v>
      </c>
      <c r="G2566" s="17" t="s">
        <v>14</v>
      </c>
      <c r="H2566" s="17" t="s">
        <v>15</v>
      </c>
      <c r="I2566" s="24">
        <v>183469.18590000001</v>
      </c>
      <c r="J2566" s="32">
        <v>47</v>
      </c>
      <c r="K2566" s="17" t="s">
        <v>16</v>
      </c>
      <c r="L2566" s="24">
        <v>3123.08</v>
      </c>
      <c r="M2566" s="24">
        <v>3943.03</v>
      </c>
      <c r="N2566" s="34">
        <f>((sales_data_1[[#This Row],[Unit_Price]]*(1-sales_data_1[[#This Row],[Discount]]))-sales_data_1[[#This Row],[Unit_Cost]])*sales_data_1[[#This Row],[Quantity_Sold]]</f>
        <v>36684.425900000017</v>
      </c>
      <c r="O2566" s="17" t="s">
        <v>17</v>
      </c>
      <c r="P2566" s="26">
        <v>0.01</v>
      </c>
      <c r="Q2566" s="17" t="s">
        <v>18</v>
      </c>
      <c r="R2566" s="17" t="s">
        <v>19</v>
      </c>
      <c r="S2566" s="50" t="str">
        <f t="shared" si="122"/>
        <v>Bob-North</v>
      </c>
      <c r="T2566" s="59" t="str">
        <f>IF(ROUND(sales_data_1[[#This Row],[Profit_Margin]],2)=ROUND((sales_data_1[[#This Row],[Unit_Price]]*(1-sales_data_1[[#This Row],[Discount]]) - sales_data_1[[#This Row],[Unit_Cost]])*sales_data_1[[#This Row],[Quantity_Sold]],2), "PASS", "CHECK")</f>
        <v>PASS</v>
      </c>
    </row>
    <row r="2567" spans="1:20" x14ac:dyDescent="0.35">
      <c r="A2567" s="7">
        <v>2566</v>
      </c>
      <c r="B2567" s="9">
        <v>1010</v>
      </c>
      <c r="C2567" s="14" t="str">
        <f>IFERROR(_xlfn.TEXTJOIN("-", TRUE, _xlfn.XLOOKUP(K2567, product_category_id_lookup!$A$2:$A$5, product_category_id_lookup!$B$2:$B$5), B2567), "Unknown Category")</f>
        <v>fnt-1010</v>
      </c>
      <c r="D2567" s="8">
        <v>45432</v>
      </c>
      <c r="E2567" s="14">
        <f t="shared" si="120"/>
        <v>2024</v>
      </c>
      <c r="F2567" s="29" t="str">
        <f t="shared" si="121"/>
        <v>May</v>
      </c>
      <c r="G2567" s="17" t="s">
        <v>29</v>
      </c>
      <c r="H2567" s="17" t="s">
        <v>15</v>
      </c>
      <c r="I2567" s="24">
        <v>125433.6832</v>
      </c>
      <c r="J2567" s="32">
        <v>38</v>
      </c>
      <c r="K2567" s="17" t="s">
        <v>16</v>
      </c>
      <c r="L2567" s="24">
        <v>1929.34</v>
      </c>
      <c r="M2567" s="24">
        <v>3838.24</v>
      </c>
      <c r="N2567" s="34">
        <f>((sales_data_1[[#This Row],[Unit_Price]]*(1-sales_data_1[[#This Row],[Discount]]))-sales_data_1[[#This Row],[Unit_Cost]])*sales_data_1[[#This Row],[Quantity_Sold]]</f>
        <v>52118.763200000001</v>
      </c>
      <c r="O2567" s="17" t="s">
        <v>17</v>
      </c>
      <c r="P2567" s="26">
        <v>0.14000000000000001</v>
      </c>
      <c r="Q2567" s="17" t="s">
        <v>18</v>
      </c>
      <c r="R2567" s="17" t="s">
        <v>21</v>
      </c>
      <c r="S2567" s="50" t="str">
        <f t="shared" si="122"/>
        <v>Charlie-North</v>
      </c>
      <c r="T2567" s="59" t="str">
        <f>IF(ROUND(sales_data_1[[#This Row],[Profit_Margin]],2)=ROUND((sales_data_1[[#This Row],[Unit_Price]]*(1-sales_data_1[[#This Row],[Discount]]) - sales_data_1[[#This Row],[Unit_Cost]])*sales_data_1[[#This Row],[Quantity_Sold]],2), "PASS", "CHECK")</f>
        <v>PASS</v>
      </c>
    </row>
    <row r="2568" spans="1:20" x14ac:dyDescent="0.35">
      <c r="A2568" s="7">
        <v>2567</v>
      </c>
      <c r="B2568" s="9">
        <v>1095</v>
      </c>
      <c r="C2568" s="14" t="str">
        <f>IFERROR(_xlfn.TEXTJOIN("-", TRUE, _xlfn.XLOOKUP(K2568, product_category_id_lookup!$A$2:$A$5, product_category_id_lookup!$B$2:$B$5), B2568), "Unknown Category")</f>
        <v>ctg-1095</v>
      </c>
      <c r="D2568" s="8">
        <v>45433</v>
      </c>
      <c r="E2568" s="14">
        <f t="shared" si="120"/>
        <v>2024</v>
      </c>
      <c r="F2568" s="29" t="str">
        <f t="shared" si="121"/>
        <v>May</v>
      </c>
      <c r="G2568" s="17" t="s">
        <v>29</v>
      </c>
      <c r="H2568" s="17" t="s">
        <v>23</v>
      </c>
      <c r="I2568" s="24">
        <v>16547.392000000003</v>
      </c>
      <c r="J2568" s="32">
        <v>8</v>
      </c>
      <c r="K2568" s="17" t="s">
        <v>26</v>
      </c>
      <c r="L2568" s="24">
        <v>1357.31</v>
      </c>
      <c r="M2568" s="24">
        <v>2585.5300000000002</v>
      </c>
      <c r="N2568" s="34">
        <f>((sales_data_1[[#This Row],[Unit_Price]]*(1-sales_data_1[[#This Row],[Discount]]))-sales_data_1[[#This Row],[Unit_Cost]])*sales_data_1[[#This Row],[Quantity_Sold]]</f>
        <v>5688.9120000000039</v>
      </c>
      <c r="O2568" s="17" t="s">
        <v>17</v>
      </c>
      <c r="P2568" s="26">
        <v>0.2</v>
      </c>
      <c r="Q2568" s="17" t="s">
        <v>18</v>
      </c>
      <c r="R2568" s="17" t="s">
        <v>19</v>
      </c>
      <c r="S2568" s="50" t="str">
        <f t="shared" si="122"/>
        <v>Charlie-South</v>
      </c>
      <c r="T2568" s="59" t="str">
        <f>IF(ROUND(sales_data_1[[#This Row],[Profit_Margin]],2)=ROUND((sales_data_1[[#This Row],[Unit_Price]]*(1-sales_data_1[[#This Row],[Discount]]) - sales_data_1[[#This Row],[Unit_Cost]])*sales_data_1[[#This Row],[Quantity_Sold]],2), "PASS", "CHECK")</f>
        <v>PASS</v>
      </c>
    </row>
    <row r="2569" spans="1:20" x14ac:dyDescent="0.35">
      <c r="A2569" s="7">
        <v>2568</v>
      </c>
      <c r="B2569" s="9">
        <v>1002</v>
      </c>
      <c r="C2569" s="14" t="str">
        <f>IFERROR(_xlfn.TEXTJOIN("-", TRUE, _xlfn.XLOOKUP(K2569, product_category_id_lookup!$A$2:$A$5, product_category_id_lookup!$B$2:$B$5), B2569), "Unknown Category")</f>
        <v>fnt-1002</v>
      </c>
      <c r="D2569" s="8">
        <v>45433</v>
      </c>
      <c r="E2569" s="14">
        <f t="shared" si="120"/>
        <v>2024</v>
      </c>
      <c r="F2569" s="29" t="str">
        <f t="shared" si="121"/>
        <v>May</v>
      </c>
      <c r="G2569" s="17" t="s">
        <v>33</v>
      </c>
      <c r="H2569" s="17" t="s">
        <v>30</v>
      </c>
      <c r="I2569" s="24">
        <v>17844.983999999997</v>
      </c>
      <c r="J2569" s="32">
        <v>5</v>
      </c>
      <c r="K2569" s="17" t="s">
        <v>16</v>
      </c>
      <c r="L2569" s="24">
        <v>567.12</v>
      </c>
      <c r="M2569" s="24">
        <v>4956.9399999999996</v>
      </c>
      <c r="N2569" s="34">
        <f>((sales_data_1[[#This Row],[Unit_Price]]*(1-sales_data_1[[#This Row],[Discount]]))-sales_data_1[[#This Row],[Unit_Cost]])*sales_data_1[[#This Row],[Quantity_Sold]]</f>
        <v>15009.383999999998</v>
      </c>
      <c r="O2569" s="17" t="s">
        <v>17</v>
      </c>
      <c r="P2569" s="26">
        <v>0.28000000000000003</v>
      </c>
      <c r="Q2569" s="17" t="s">
        <v>28</v>
      </c>
      <c r="R2569" s="17" t="s">
        <v>21</v>
      </c>
      <c r="S2569" s="50" t="str">
        <f t="shared" si="122"/>
        <v>Alice-East</v>
      </c>
      <c r="T2569" s="59" t="str">
        <f>IF(ROUND(sales_data_1[[#This Row],[Profit_Margin]],2)=ROUND((sales_data_1[[#This Row],[Unit_Price]]*(1-sales_data_1[[#This Row],[Discount]]) - sales_data_1[[#This Row],[Unit_Cost]])*sales_data_1[[#This Row],[Quantity_Sold]],2), "PASS", "CHECK")</f>
        <v>PASS</v>
      </c>
    </row>
    <row r="2570" spans="1:20" x14ac:dyDescent="0.35">
      <c r="A2570" s="7">
        <v>2569</v>
      </c>
      <c r="B2570" s="9">
        <v>1073</v>
      </c>
      <c r="C2570" s="14" t="str">
        <f>IFERROR(_xlfn.TEXTJOIN("-", TRUE, _xlfn.XLOOKUP(K2570, product_category_id_lookup!$A$2:$A$5, product_category_id_lookup!$B$2:$B$5), B2570), "Unknown Category")</f>
        <v>etc-1073</v>
      </c>
      <c r="D2570" s="8">
        <v>45434</v>
      </c>
      <c r="E2570" s="14">
        <f t="shared" si="120"/>
        <v>2024</v>
      </c>
      <c r="F2570" s="29" t="str">
        <f t="shared" si="121"/>
        <v>May</v>
      </c>
      <c r="G2570" s="17" t="s">
        <v>33</v>
      </c>
      <c r="H2570" s="17" t="s">
        <v>20</v>
      </c>
      <c r="I2570" s="24">
        <v>70844.22</v>
      </c>
      <c r="J2570" s="32">
        <v>24</v>
      </c>
      <c r="K2570" s="17" t="s">
        <v>31</v>
      </c>
      <c r="L2570" s="24">
        <v>2392.91</v>
      </c>
      <c r="M2570" s="24">
        <v>3935.79</v>
      </c>
      <c r="N2570" s="34">
        <f>((sales_data_1[[#This Row],[Unit_Price]]*(1-sales_data_1[[#This Row],[Discount]]))-sales_data_1[[#This Row],[Unit_Cost]])*sales_data_1[[#This Row],[Quantity_Sold]]</f>
        <v>13414.379999999997</v>
      </c>
      <c r="O2570" s="17" t="s">
        <v>17</v>
      </c>
      <c r="P2570" s="26">
        <v>0.25</v>
      </c>
      <c r="Q2570" s="17" t="s">
        <v>18</v>
      </c>
      <c r="R2570" s="17" t="s">
        <v>21</v>
      </c>
      <c r="S2570" s="50" t="str">
        <f t="shared" si="122"/>
        <v>Alice-West</v>
      </c>
      <c r="T2570" s="59" t="str">
        <f>IF(ROUND(sales_data_1[[#This Row],[Profit_Margin]],2)=ROUND((sales_data_1[[#This Row],[Unit_Price]]*(1-sales_data_1[[#This Row],[Discount]]) - sales_data_1[[#This Row],[Unit_Cost]])*sales_data_1[[#This Row],[Quantity_Sold]],2), "PASS", "CHECK")</f>
        <v>PASS</v>
      </c>
    </row>
    <row r="2571" spans="1:20" x14ac:dyDescent="0.35">
      <c r="A2571" s="7">
        <v>2570</v>
      </c>
      <c r="B2571" s="9">
        <v>1048</v>
      </c>
      <c r="C2571" s="14" t="str">
        <f>IFERROR(_xlfn.TEXTJOIN("-", TRUE, _xlfn.XLOOKUP(K2571, product_category_id_lookup!$A$2:$A$5, product_category_id_lookup!$B$2:$B$5), B2571), "Unknown Category")</f>
        <v>fd-1048</v>
      </c>
      <c r="D2571" s="8">
        <v>45434</v>
      </c>
      <c r="E2571" s="14">
        <f t="shared" si="120"/>
        <v>2024</v>
      </c>
      <c r="F2571" s="29" t="str">
        <f t="shared" si="121"/>
        <v>May</v>
      </c>
      <c r="G2571" s="17" t="s">
        <v>14</v>
      </c>
      <c r="H2571" s="17" t="s">
        <v>20</v>
      </c>
      <c r="I2571" s="24">
        <v>134408.96400000001</v>
      </c>
      <c r="J2571" s="32">
        <v>38</v>
      </c>
      <c r="K2571" s="17" t="s">
        <v>24</v>
      </c>
      <c r="L2571" s="24">
        <v>1254.5</v>
      </c>
      <c r="M2571" s="24">
        <v>4654.05</v>
      </c>
      <c r="N2571" s="34">
        <f>((sales_data_1[[#This Row],[Unit_Price]]*(1-sales_data_1[[#This Row],[Discount]]))-sales_data_1[[#This Row],[Unit_Cost]])*sales_data_1[[#This Row],[Quantity_Sold]]</f>
        <v>86737.963999999993</v>
      </c>
      <c r="O2571" s="17" t="s">
        <v>17</v>
      </c>
      <c r="P2571" s="26">
        <v>0.24</v>
      </c>
      <c r="Q2571" s="17" t="s">
        <v>18</v>
      </c>
      <c r="R2571" s="17" t="s">
        <v>19</v>
      </c>
      <c r="S2571" s="50" t="str">
        <f t="shared" si="122"/>
        <v>Bob-West</v>
      </c>
      <c r="T2571" s="59" t="str">
        <f>IF(ROUND(sales_data_1[[#This Row],[Profit_Margin]],2)=ROUND((sales_data_1[[#This Row],[Unit_Price]]*(1-sales_data_1[[#This Row],[Discount]]) - sales_data_1[[#This Row],[Unit_Cost]])*sales_data_1[[#This Row],[Quantity_Sold]],2), "PASS", "CHECK")</f>
        <v>PASS</v>
      </c>
    </row>
    <row r="2572" spans="1:20" x14ac:dyDescent="0.35">
      <c r="A2572" s="7">
        <v>2571</v>
      </c>
      <c r="B2572" s="9">
        <v>1083</v>
      </c>
      <c r="C2572" s="14" t="str">
        <f>IFERROR(_xlfn.TEXTJOIN("-", TRUE, _xlfn.XLOOKUP(K2572, product_category_id_lookup!$A$2:$A$5, product_category_id_lookup!$B$2:$B$5), B2572), "Unknown Category")</f>
        <v>fd-1083</v>
      </c>
      <c r="D2572" s="8">
        <v>45434</v>
      </c>
      <c r="E2572" s="14">
        <f t="shared" si="120"/>
        <v>2024</v>
      </c>
      <c r="F2572" s="29" t="str">
        <f t="shared" si="121"/>
        <v>May</v>
      </c>
      <c r="G2572" s="17" t="s">
        <v>33</v>
      </c>
      <c r="H2572" s="17" t="s">
        <v>15</v>
      </c>
      <c r="I2572" s="24">
        <v>148372.96320000003</v>
      </c>
      <c r="J2572" s="32">
        <v>33</v>
      </c>
      <c r="K2572" s="17" t="s">
        <v>24</v>
      </c>
      <c r="L2572" s="24">
        <v>360.16</v>
      </c>
      <c r="M2572" s="24">
        <v>4887.12</v>
      </c>
      <c r="N2572" s="34">
        <f>((sales_data_1[[#This Row],[Unit_Price]]*(1-sales_data_1[[#This Row],[Discount]]))-sales_data_1[[#This Row],[Unit_Cost]])*sales_data_1[[#This Row],[Quantity_Sold]]</f>
        <v>136487.68320000003</v>
      </c>
      <c r="O2572" s="17" t="s">
        <v>17</v>
      </c>
      <c r="P2572" s="26">
        <v>0.08</v>
      </c>
      <c r="Q2572" s="17" t="s">
        <v>28</v>
      </c>
      <c r="R2572" s="17" t="s">
        <v>21</v>
      </c>
      <c r="S2572" s="50" t="str">
        <f t="shared" si="122"/>
        <v>Alice-North</v>
      </c>
      <c r="T2572" s="59" t="str">
        <f>IF(ROUND(sales_data_1[[#This Row],[Profit_Margin]],2)=ROUND((sales_data_1[[#This Row],[Unit_Price]]*(1-sales_data_1[[#This Row],[Discount]]) - sales_data_1[[#This Row],[Unit_Cost]])*sales_data_1[[#This Row],[Quantity_Sold]],2), "PASS", "CHECK")</f>
        <v>PASS</v>
      </c>
    </row>
    <row r="2573" spans="1:20" x14ac:dyDescent="0.35">
      <c r="A2573" s="7">
        <v>2572</v>
      </c>
      <c r="B2573" s="9">
        <v>1028</v>
      </c>
      <c r="C2573" s="14" t="str">
        <f>IFERROR(_xlfn.TEXTJOIN("-", TRUE, _xlfn.XLOOKUP(K2573, product_category_id_lookup!$A$2:$A$5, product_category_id_lookup!$B$2:$B$5), B2573), "Unknown Category")</f>
        <v>fd-1028</v>
      </c>
      <c r="D2573" s="8">
        <v>45435</v>
      </c>
      <c r="E2573" s="14">
        <f t="shared" si="120"/>
        <v>2024</v>
      </c>
      <c r="F2573" s="29" t="str">
        <f t="shared" si="121"/>
        <v>May</v>
      </c>
      <c r="G2573" s="17" t="s">
        <v>29</v>
      </c>
      <c r="H2573" s="17" t="s">
        <v>15</v>
      </c>
      <c r="I2573" s="24">
        <v>21705.851696211728</v>
      </c>
      <c r="J2573" s="32">
        <v>23</v>
      </c>
      <c r="K2573" s="17" t="s">
        <v>24</v>
      </c>
      <c r="L2573" s="24">
        <v>917.29</v>
      </c>
      <c r="M2573" s="24">
        <v>969.23</v>
      </c>
      <c r="N2573" s="34">
        <f>((sales_data_1[[#This Row],[Unit_Price]]*(1-sales_data_1[[#This Row],[Discount]]))-sales_data_1[[#This Row],[Unit_Cost]])*sales_data_1[[#This Row],[Quantity_Sold]]</f>
        <v>525.85130000000072</v>
      </c>
      <c r="O2573" s="17" t="s">
        <v>27</v>
      </c>
      <c r="P2573" s="26">
        <v>0.03</v>
      </c>
      <c r="Q2573" s="17" t="s">
        <v>18</v>
      </c>
      <c r="R2573" s="17" t="s">
        <v>21</v>
      </c>
      <c r="S2573" s="50" t="str">
        <f t="shared" si="122"/>
        <v>Charlie-North</v>
      </c>
      <c r="T2573" s="59" t="str">
        <f>IF(ROUND(sales_data_1[[#This Row],[Profit_Margin]],2)=ROUND((sales_data_1[[#This Row],[Unit_Price]]*(1-sales_data_1[[#This Row],[Discount]]) - sales_data_1[[#This Row],[Unit_Cost]])*sales_data_1[[#This Row],[Quantity_Sold]],2), "PASS", "CHECK")</f>
        <v>PASS</v>
      </c>
    </row>
    <row r="2574" spans="1:20" x14ac:dyDescent="0.35">
      <c r="A2574" s="7">
        <v>2573</v>
      </c>
      <c r="B2574" s="9">
        <v>1015</v>
      </c>
      <c r="C2574" s="14" t="str">
        <f>IFERROR(_xlfn.TEXTJOIN("-", TRUE, _xlfn.XLOOKUP(K2574, product_category_id_lookup!$A$2:$A$5, product_category_id_lookup!$B$2:$B$5), B2574), "Unknown Category")</f>
        <v>fnt-1015</v>
      </c>
      <c r="D2574" s="8">
        <v>45435</v>
      </c>
      <c r="E2574" s="14">
        <f t="shared" si="120"/>
        <v>2024</v>
      </c>
      <c r="F2574" s="29" t="str">
        <f t="shared" si="121"/>
        <v>May</v>
      </c>
      <c r="G2574" s="17" t="s">
        <v>32</v>
      </c>
      <c r="H2574" s="17" t="s">
        <v>23</v>
      </c>
      <c r="I2574" s="24">
        <v>64200.591000000008</v>
      </c>
      <c r="J2574" s="32">
        <v>15</v>
      </c>
      <c r="K2574" s="17" t="s">
        <v>16</v>
      </c>
      <c r="L2574" s="24">
        <v>2882.1</v>
      </c>
      <c r="M2574" s="24">
        <v>4703.34</v>
      </c>
      <c r="N2574" s="34">
        <f>((sales_data_1[[#This Row],[Unit_Price]]*(1-sales_data_1[[#This Row],[Discount]]))-sales_data_1[[#This Row],[Unit_Cost]])*sales_data_1[[#This Row],[Quantity_Sold]]</f>
        <v>20969.091000000011</v>
      </c>
      <c r="O2574" s="17" t="s">
        <v>27</v>
      </c>
      <c r="P2574" s="26">
        <v>0.09</v>
      </c>
      <c r="Q2574" s="17" t="s">
        <v>28</v>
      </c>
      <c r="R2574" s="17" t="s">
        <v>19</v>
      </c>
      <c r="S2574" s="50" t="str">
        <f t="shared" si="122"/>
        <v>Eve-South</v>
      </c>
      <c r="T2574" s="59" t="str">
        <f>IF(ROUND(sales_data_1[[#This Row],[Profit_Margin]],2)=ROUND((sales_data_1[[#This Row],[Unit_Price]]*(1-sales_data_1[[#This Row],[Discount]]) - sales_data_1[[#This Row],[Unit_Cost]])*sales_data_1[[#This Row],[Quantity_Sold]],2), "PASS", "CHECK")</f>
        <v>PASS</v>
      </c>
    </row>
    <row r="2575" spans="1:20" x14ac:dyDescent="0.35">
      <c r="A2575" s="7">
        <v>2574</v>
      </c>
      <c r="B2575" s="9">
        <v>1024</v>
      </c>
      <c r="C2575" s="14" t="str">
        <f>IFERROR(_xlfn.TEXTJOIN("-", TRUE, _xlfn.XLOOKUP(K2575, product_category_id_lookup!$A$2:$A$5, product_category_id_lookup!$B$2:$B$5), B2575), "Unknown Category")</f>
        <v>etc-1024</v>
      </c>
      <c r="D2575" s="8">
        <v>45435</v>
      </c>
      <c r="E2575" s="14">
        <f t="shared" si="120"/>
        <v>2024</v>
      </c>
      <c r="F2575" s="29" t="str">
        <f t="shared" si="121"/>
        <v>May</v>
      </c>
      <c r="G2575" s="17" t="s">
        <v>22</v>
      </c>
      <c r="H2575" s="17" t="s">
        <v>20</v>
      </c>
      <c r="I2575" s="24">
        <v>62423.824799999995</v>
      </c>
      <c r="J2575" s="32">
        <v>37</v>
      </c>
      <c r="K2575" s="17" t="s">
        <v>31</v>
      </c>
      <c r="L2575" s="24">
        <v>1006.94</v>
      </c>
      <c r="M2575" s="24">
        <v>2376.2399999999998</v>
      </c>
      <c r="N2575" s="34">
        <f>((sales_data_1[[#This Row],[Unit_Price]]*(1-sales_data_1[[#This Row],[Discount]]))-sales_data_1[[#This Row],[Unit_Cost]])*sales_data_1[[#This Row],[Quantity_Sold]]</f>
        <v>25167.044799999989</v>
      </c>
      <c r="O2575" s="17" t="s">
        <v>27</v>
      </c>
      <c r="P2575" s="26">
        <v>0.28999999999999998</v>
      </c>
      <c r="Q2575" s="17" t="s">
        <v>28</v>
      </c>
      <c r="R2575" s="17" t="s">
        <v>21</v>
      </c>
      <c r="S2575" s="50" t="str">
        <f t="shared" si="122"/>
        <v>David-West</v>
      </c>
      <c r="T2575" s="59" t="str">
        <f>IF(ROUND(sales_data_1[[#This Row],[Profit_Margin]],2)=ROUND((sales_data_1[[#This Row],[Unit_Price]]*(1-sales_data_1[[#This Row],[Discount]]) - sales_data_1[[#This Row],[Unit_Cost]])*sales_data_1[[#This Row],[Quantity_Sold]],2), "PASS", "CHECK")</f>
        <v>PASS</v>
      </c>
    </row>
    <row r="2576" spans="1:20" x14ac:dyDescent="0.35">
      <c r="A2576" s="7">
        <v>2575</v>
      </c>
      <c r="B2576" s="9">
        <v>1003</v>
      </c>
      <c r="C2576" s="14" t="str">
        <f>IFERROR(_xlfn.TEXTJOIN("-", TRUE, _xlfn.XLOOKUP(K2576, product_category_id_lookup!$A$2:$A$5, product_category_id_lookup!$B$2:$B$5), B2576), "Unknown Category")</f>
        <v>fd-1003</v>
      </c>
      <c r="D2576" s="8">
        <v>45435</v>
      </c>
      <c r="E2576" s="14">
        <f t="shared" si="120"/>
        <v>2024</v>
      </c>
      <c r="F2576" s="29" t="str">
        <f t="shared" si="121"/>
        <v>May</v>
      </c>
      <c r="G2576" s="17" t="s">
        <v>22</v>
      </c>
      <c r="H2576" s="17" t="s">
        <v>20</v>
      </c>
      <c r="I2576" s="24">
        <v>207074.70559999999</v>
      </c>
      <c r="J2576" s="32">
        <v>47</v>
      </c>
      <c r="K2576" s="17" t="s">
        <v>24</v>
      </c>
      <c r="L2576" s="24">
        <v>2942.88</v>
      </c>
      <c r="M2576" s="24">
        <v>4495.76</v>
      </c>
      <c r="N2576" s="34">
        <f>((sales_data_1[[#This Row],[Unit_Price]]*(1-sales_data_1[[#This Row],[Discount]]))-sales_data_1[[#This Row],[Unit_Cost]])*sales_data_1[[#This Row],[Quantity_Sold]]</f>
        <v>68759.345599999986</v>
      </c>
      <c r="O2576" s="17" t="s">
        <v>17</v>
      </c>
      <c r="P2576" s="26">
        <v>0.02</v>
      </c>
      <c r="Q2576" s="17" t="s">
        <v>25</v>
      </c>
      <c r="R2576" s="17" t="s">
        <v>19</v>
      </c>
      <c r="S2576" s="50" t="str">
        <f t="shared" si="122"/>
        <v>David-West</v>
      </c>
      <c r="T2576" s="59" t="str">
        <f>IF(ROUND(sales_data_1[[#This Row],[Profit_Margin]],2)=ROUND((sales_data_1[[#This Row],[Unit_Price]]*(1-sales_data_1[[#This Row],[Discount]]) - sales_data_1[[#This Row],[Unit_Cost]])*sales_data_1[[#This Row],[Quantity_Sold]],2), "PASS", "CHECK")</f>
        <v>PASS</v>
      </c>
    </row>
    <row r="2577" spans="1:20" x14ac:dyDescent="0.35">
      <c r="A2577" s="7">
        <v>2576</v>
      </c>
      <c r="B2577" s="9">
        <v>1006</v>
      </c>
      <c r="C2577" s="14" t="str">
        <f>IFERROR(_xlfn.TEXTJOIN("-", TRUE, _xlfn.XLOOKUP(K2577, product_category_id_lookup!$A$2:$A$5, product_category_id_lookup!$B$2:$B$5), B2577), "Unknown Category")</f>
        <v>fd-1006</v>
      </c>
      <c r="D2577" s="8">
        <v>45436</v>
      </c>
      <c r="E2577" s="14">
        <f t="shared" si="120"/>
        <v>2024</v>
      </c>
      <c r="F2577" s="29" t="str">
        <f t="shared" si="121"/>
        <v>May</v>
      </c>
      <c r="G2577" s="17" t="s">
        <v>33</v>
      </c>
      <c r="H2577" s="17" t="s">
        <v>30</v>
      </c>
      <c r="I2577" s="24">
        <v>91383.068700000003</v>
      </c>
      <c r="J2577" s="32">
        <v>23</v>
      </c>
      <c r="K2577" s="17" t="s">
        <v>24</v>
      </c>
      <c r="L2577" s="24">
        <v>3686.88</v>
      </c>
      <c r="M2577" s="24">
        <v>4566.87</v>
      </c>
      <c r="N2577" s="34">
        <f>((sales_data_1[[#This Row],[Unit_Price]]*(1-sales_data_1[[#This Row],[Discount]]))-sales_data_1[[#This Row],[Unit_Cost]])*sales_data_1[[#This Row],[Quantity_Sold]]</f>
        <v>6584.8286999999964</v>
      </c>
      <c r="O2577" s="17" t="s">
        <v>27</v>
      </c>
      <c r="P2577" s="26">
        <v>0.13</v>
      </c>
      <c r="Q2577" s="17" t="s">
        <v>25</v>
      </c>
      <c r="R2577" s="17" t="s">
        <v>21</v>
      </c>
      <c r="S2577" s="50" t="str">
        <f t="shared" si="122"/>
        <v>Alice-East</v>
      </c>
      <c r="T2577" s="59" t="str">
        <f>IF(ROUND(sales_data_1[[#This Row],[Profit_Margin]],2)=ROUND((sales_data_1[[#This Row],[Unit_Price]]*(1-sales_data_1[[#This Row],[Discount]]) - sales_data_1[[#This Row],[Unit_Cost]])*sales_data_1[[#This Row],[Quantity_Sold]],2), "PASS", "CHECK")</f>
        <v>PASS</v>
      </c>
    </row>
    <row r="2578" spans="1:20" x14ac:dyDescent="0.35">
      <c r="A2578" s="7">
        <v>2577</v>
      </c>
      <c r="B2578" s="9">
        <v>1011</v>
      </c>
      <c r="C2578" s="14" t="str">
        <f>IFERROR(_xlfn.TEXTJOIN("-", TRUE, _xlfn.XLOOKUP(K2578, product_category_id_lookup!$A$2:$A$5, product_category_id_lookup!$B$2:$B$5), B2578), "Unknown Category")</f>
        <v>etc-1011</v>
      </c>
      <c r="D2578" s="8">
        <v>45436</v>
      </c>
      <c r="E2578" s="14">
        <f t="shared" si="120"/>
        <v>2024</v>
      </c>
      <c r="F2578" s="29" t="str">
        <f t="shared" si="121"/>
        <v>May</v>
      </c>
      <c r="G2578" s="17" t="s">
        <v>22</v>
      </c>
      <c r="H2578" s="17" t="s">
        <v>20</v>
      </c>
      <c r="I2578" s="24">
        <v>16266.609</v>
      </c>
      <c r="J2578" s="32">
        <v>5</v>
      </c>
      <c r="K2578" s="17" t="s">
        <v>31</v>
      </c>
      <c r="L2578" s="24">
        <v>1882</v>
      </c>
      <c r="M2578" s="24">
        <v>3353.94</v>
      </c>
      <c r="N2578" s="34">
        <f>((sales_data_1[[#This Row],[Unit_Price]]*(1-sales_data_1[[#This Row],[Discount]]))-sales_data_1[[#This Row],[Unit_Cost]])*sales_data_1[[#This Row],[Quantity_Sold]]</f>
        <v>6856.6090000000004</v>
      </c>
      <c r="O2578" s="17" t="s">
        <v>27</v>
      </c>
      <c r="P2578" s="26">
        <v>0.03</v>
      </c>
      <c r="Q2578" s="17" t="s">
        <v>18</v>
      </c>
      <c r="R2578" s="17" t="s">
        <v>21</v>
      </c>
      <c r="S2578" s="50" t="str">
        <f t="shared" si="122"/>
        <v>David-West</v>
      </c>
      <c r="T2578" s="59" t="str">
        <f>IF(ROUND(sales_data_1[[#This Row],[Profit_Margin]],2)=ROUND((sales_data_1[[#This Row],[Unit_Price]]*(1-sales_data_1[[#This Row],[Discount]]) - sales_data_1[[#This Row],[Unit_Cost]])*sales_data_1[[#This Row],[Quantity_Sold]],2), "PASS", "CHECK")</f>
        <v>PASS</v>
      </c>
    </row>
    <row r="2579" spans="1:20" x14ac:dyDescent="0.35">
      <c r="A2579" s="7">
        <v>2578</v>
      </c>
      <c r="B2579" s="9">
        <v>1081</v>
      </c>
      <c r="C2579" s="14" t="str">
        <f>IFERROR(_xlfn.TEXTJOIN("-", TRUE, _xlfn.XLOOKUP(K2579, product_category_id_lookup!$A$2:$A$5, product_category_id_lookup!$B$2:$B$5), B2579), "Unknown Category")</f>
        <v>etc-1081</v>
      </c>
      <c r="D2579" s="8">
        <v>45436</v>
      </c>
      <c r="E2579" s="14">
        <f t="shared" si="120"/>
        <v>2024</v>
      </c>
      <c r="F2579" s="29" t="str">
        <f t="shared" si="121"/>
        <v>May</v>
      </c>
      <c r="G2579" s="17" t="s">
        <v>33</v>
      </c>
      <c r="H2579" s="17" t="s">
        <v>30</v>
      </c>
      <c r="I2579" s="24">
        <v>21218.968399999998</v>
      </c>
      <c r="J2579" s="32">
        <v>28</v>
      </c>
      <c r="K2579" s="17" t="s">
        <v>31</v>
      </c>
      <c r="L2579" s="24">
        <v>503.91</v>
      </c>
      <c r="M2579" s="24">
        <v>1038.1099999999999</v>
      </c>
      <c r="N2579" s="34">
        <f>((sales_data_1[[#This Row],[Unit_Price]]*(1-sales_data_1[[#This Row],[Discount]]))-sales_data_1[[#This Row],[Unit_Cost]])*sales_data_1[[#This Row],[Quantity_Sold]]</f>
        <v>7109.4883999999956</v>
      </c>
      <c r="O2579" s="17" t="s">
        <v>17</v>
      </c>
      <c r="P2579" s="26">
        <v>0.27</v>
      </c>
      <c r="Q2579" s="17" t="s">
        <v>18</v>
      </c>
      <c r="R2579" s="17" t="s">
        <v>21</v>
      </c>
      <c r="S2579" s="50" t="str">
        <f t="shared" si="122"/>
        <v>Alice-East</v>
      </c>
      <c r="T2579" s="59" t="str">
        <f>IF(ROUND(sales_data_1[[#This Row],[Profit_Margin]],2)=ROUND((sales_data_1[[#This Row],[Unit_Price]]*(1-sales_data_1[[#This Row],[Discount]]) - sales_data_1[[#This Row],[Unit_Cost]])*sales_data_1[[#This Row],[Quantity_Sold]],2), "PASS", "CHECK")</f>
        <v>PASS</v>
      </c>
    </row>
    <row r="2580" spans="1:20" x14ac:dyDescent="0.35">
      <c r="A2580" s="7">
        <v>2579</v>
      </c>
      <c r="B2580" s="9">
        <v>1051</v>
      </c>
      <c r="C2580" s="14" t="str">
        <f>IFERROR(_xlfn.TEXTJOIN("-", TRUE, _xlfn.XLOOKUP(K2580, product_category_id_lookup!$A$2:$A$5, product_category_id_lookup!$B$2:$B$5), B2580), "Unknown Category")</f>
        <v>fd-1051</v>
      </c>
      <c r="D2580" s="8">
        <v>45436</v>
      </c>
      <c r="E2580" s="14">
        <f t="shared" si="120"/>
        <v>2024</v>
      </c>
      <c r="F2580" s="29" t="str">
        <f t="shared" si="121"/>
        <v>May</v>
      </c>
      <c r="G2580" s="17" t="s">
        <v>32</v>
      </c>
      <c r="H2580" s="17" t="s">
        <v>15</v>
      </c>
      <c r="I2580" s="24">
        <v>108439.49840000001</v>
      </c>
      <c r="J2580" s="32">
        <v>43</v>
      </c>
      <c r="K2580" s="17" t="s">
        <v>24</v>
      </c>
      <c r="L2580" s="24">
        <v>2236.2600000000002</v>
      </c>
      <c r="M2580" s="24">
        <v>2741.14</v>
      </c>
      <c r="N2580" s="34">
        <f>((sales_data_1[[#This Row],[Unit_Price]]*(1-sales_data_1[[#This Row],[Discount]]))-sales_data_1[[#This Row],[Unit_Cost]])*sales_data_1[[#This Row],[Quantity_Sold]]</f>
        <v>12280.3184</v>
      </c>
      <c r="O2580" s="17" t="s">
        <v>27</v>
      </c>
      <c r="P2580" s="26">
        <v>0.08</v>
      </c>
      <c r="Q2580" s="17" t="s">
        <v>25</v>
      </c>
      <c r="R2580" s="17" t="s">
        <v>19</v>
      </c>
      <c r="S2580" s="50" t="str">
        <f t="shared" si="122"/>
        <v>Eve-North</v>
      </c>
      <c r="T2580" s="59" t="str">
        <f>IF(ROUND(sales_data_1[[#This Row],[Profit_Margin]],2)=ROUND((sales_data_1[[#This Row],[Unit_Price]]*(1-sales_data_1[[#This Row],[Discount]]) - sales_data_1[[#This Row],[Unit_Cost]])*sales_data_1[[#This Row],[Quantity_Sold]],2), "PASS", "CHECK")</f>
        <v>PASS</v>
      </c>
    </row>
    <row r="2581" spans="1:20" x14ac:dyDescent="0.35">
      <c r="A2581" s="7">
        <v>2580</v>
      </c>
      <c r="B2581" s="9">
        <v>1095</v>
      </c>
      <c r="C2581" s="14" t="str">
        <f>IFERROR(_xlfn.TEXTJOIN("-", TRUE, _xlfn.XLOOKUP(K2581, product_category_id_lookup!$A$2:$A$5, product_category_id_lookup!$B$2:$B$5), B2581), "Unknown Category")</f>
        <v>etc-1095</v>
      </c>
      <c r="D2581" s="8">
        <v>45436</v>
      </c>
      <c r="E2581" s="14">
        <f t="shared" si="120"/>
        <v>2024</v>
      </c>
      <c r="F2581" s="29" t="str">
        <f t="shared" si="121"/>
        <v>May</v>
      </c>
      <c r="G2581" s="17" t="s">
        <v>32</v>
      </c>
      <c r="H2581" s="17" t="s">
        <v>15</v>
      </c>
      <c r="I2581" s="24">
        <v>86753.907000000007</v>
      </c>
      <c r="J2581" s="32">
        <v>30</v>
      </c>
      <c r="K2581" s="17" t="s">
        <v>31</v>
      </c>
      <c r="L2581" s="24">
        <v>327.49</v>
      </c>
      <c r="M2581" s="24">
        <v>3249.21</v>
      </c>
      <c r="N2581" s="34">
        <f>((sales_data_1[[#This Row],[Unit_Price]]*(1-sales_data_1[[#This Row],[Discount]]))-sales_data_1[[#This Row],[Unit_Cost]])*sales_data_1[[#This Row],[Quantity_Sold]]</f>
        <v>76929.207000000009</v>
      </c>
      <c r="O2581" s="17" t="s">
        <v>17</v>
      </c>
      <c r="P2581" s="26">
        <v>0.11</v>
      </c>
      <c r="Q2581" s="17" t="s">
        <v>18</v>
      </c>
      <c r="R2581" s="17" t="s">
        <v>21</v>
      </c>
      <c r="S2581" s="50" t="str">
        <f t="shared" si="122"/>
        <v>Eve-North</v>
      </c>
      <c r="T2581" s="59" t="str">
        <f>IF(ROUND(sales_data_1[[#This Row],[Profit_Margin]],2)=ROUND((sales_data_1[[#This Row],[Unit_Price]]*(1-sales_data_1[[#This Row],[Discount]]) - sales_data_1[[#This Row],[Unit_Cost]])*sales_data_1[[#This Row],[Quantity_Sold]],2), "PASS", "CHECK")</f>
        <v>PASS</v>
      </c>
    </row>
    <row r="2582" spans="1:20" x14ac:dyDescent="0.35">
      <c r="A2582" s="7">
        <v>2581</v>
      </c>
      <c r="B2582" s="9">
        <v>1085</v>
      </c>
      <c r="C2582" s="14" t="str">
        <f>IFERROR(_xlfn.TEXTJOIN("-", TRUE, _xlfn.XLOOKUP(K2582, product_category_id_lookup!$A$2:$A$5, product_category_id_lookup!$B$2:$B$5), B2582), "Unknown Category")</f>
        <v>etc-1085</v>
      </c>
      <c r="D2582" s="8">
        <v>45436</v>
      </c>
      <c r="E2582" s="14">
        <f t="shared" si="120"/>
        <v>2024</v>
      </c>
      <c r="F2582" s="29" t="str">
        <f t="shared" si="121"/>
        <v>May</v>
      </c>
      <c r="G2582" s="17" t="s">
        <v>32</v>
      </c>
      <c r="H2582" s="17" t="s">
        <v>15</v>
      </c>
      <c r="I2582" s="24">
        <v>195919.1428</v>
      </c>
      <c r="J2582" s="32">
        <v>47</v>
      </c>
      <c r="K2582" s="17" t="s">
        <v>31</v>
      </c>
      <c r="L2582" s="24">
        <v>1672.35</v>
      </c>
      <c r="M2582" s="24">
        <v>4530.97</v>
      </c>
      <c r="N2582" s="34">
        <f>((sales_data_1[[#This Row],[Unit_Price]]*(1-sales_data_1[[#This Row],[Discount]]))-sales_data_1[[#This Row],[Unit_Cost]])*sales_data_1[[#This Row],[Quantity_Sold]]</f>
        <v>117318.6928</v>
      </c>
      <c r="O2582" s="17" t="s">
        <v>27</v>
      </c>
      <c r="P2582" s="26">
        <v>0.08</v>
      </c>
      <c r="Q2582" s="17" t="s">
        <v>18</v>
      </c>
      <c r="R2582" s="17" t="s">
        <v>19</v>
      </c>
      <c r="S2582" s="50" t="str">
        <f t="shared" si="122"/>
        <v>Eve-North</v>
      </c>
      <c r="T2582" s="59" t="str">
        <f>IF(ROUND(sales_data_1[[#This Row],[Profit_Margin]],2)=ROUND((sales_data_1[[#This Row],[Unit_Price]]*(1-sales_data_1[[#This Row],[Discount]]) - sales_data_1[[#This Row],[Unit_Cost]])*sales_data_1[[#This Row],[Quantity_Sold]],2), "PASS", "CHECK")</f>
        <v>PASS</v>
      </c>
    </row>
    <row r="2583" spans="1:20" x14ac:dyDescent="0.35">
      <c r="A2583" s="7">
        <v>2582</v>
      </c>
      <c r="B2583" s="9">
        <v>1034</v>
      </c>
      <c r="C2583" s="14" t="str">
        <f>IFERROR(_xlfn.TEXTJOIN("-", TRUE, _xlfn.XLOOKUP(K2583, product_category_id_lookup!$A$2:$A$5, product_category_id_lookup!$B$2:$B$5), B2583), "Unknown Category")</f>
        <v>ctg-1034</v>
      </c>
      <c r="D2583" s="8">
        <v>45437</v>
      </c>
      <c r="E2583" s="14">
        <f t="shared" si="120"/>
        <v>2024</v>
      </c>
      <c r="F2583" s="29" t="str">
        <f t="shared" si="121"/>
        <v>May</v>
      </c>
      <c r="G2583" s="17" t="s">
        <v>29</v>
      </c>
      <c r="H2583" s="17" t="s">
        <v>30</v>
      </c>
      <c r="I2583" s="24">
        <v>60578.111999999994</v>
      </c>
      <c r="J2583" s="32">
        <v>12</v>
      </c>
      <c r="K2583" s="17" t="s">
        <v>26</v>
      </c>
      <c r="L2583" s="24">
        <v>4828.46</v>
      </c>
      <c r="M2583" s="24">
        <v>5370.4</v>
      </c>
      <c r="N2583" s="34">
        <f>((sales_data_1[[#This Row],[Unit_Price]]*(1-sales_data_1[[#This Row],[Discount]]))-sales_data_1[[#This Row],[Unit_Cost]])*sales_data_1[[#This Row],[Quantity_Sold]]</f>
        <v>2636.5919999999933</v>
      </c>
      <c r="O2583" s="17" t="s">
        <v>27</v>
      </c>
      <c r="P2583" s="26">
        <v>0.06</v>
      </c>
      <c r="Q2583" s="17" t="s">
        <v>28</v>
      </c>
      <c r="R2583" s="17" t="s">
        <v>19</v>
      </c>
      <c r="S2583" s="50" t="str">
        <f t="shared" si="122"/>
        <v>Charlie-East</v>
      </c>
      <c r="T2583" s="59" t="str">
        <f>IF(ROUND(sales_data_1[[#This Row],[Profit_Margin]],2)=ROUND((sales_data_1[[#This Row],[Unit_Price]]*(1-sales_data_1[[#This Row],[Discount]]) - sales_data_1[[#This Row],[Unit_Cost]])*sales_data_1[[#This Row],[Quantity_Sold]],2), "PASS", "CHECK")</f>
        <v>PASS</v>
      </c>
    </row>
    <row r="2584" spans="1:20" x14ac:dyDescent="0.35">
      <c r="A2584" s="7">
        <v>2583</v>
      </c>
      <c r="B2584" s="9">
        <v>1006</v>
      </c>
      <c r="C2584" s="14" t="str">
        <f>IFERROR(_xlfn.TEXTJOIN("-", TRUE, _xlfn.XLOOKUP(K2584, product_category_id_lookup!$A$2:$A$5, product_category_id_lookup!$B$2:$B$5), B2584), "Unknown Category")</f>
        <v>fd-1006</v>
      </c>
      <c r="D2584" s="8">
        <v>45437</v>
      </c>
      <c r="E2584" s="14">
        <f t="shared" si="120"/>
        <v>2024</v>
      </c>
      <c r="F2584" s="29" t="str">
        <f t="shared" si="121"/>
        <v>May</v>
      </c>
      <c r="G2584" s="17" t="s">
        <v>22</v>
      </c>
      <c r="H2584" s="17" t="s">
        <v>23</v>
      </c>
      <c r="I2584" s="24">
        <v>28958.201999999997</v>
      </c>
      <c r="J2584" s="32">
        <v>15</v>
      </c>
      <c r="K2584" s="17" t="s">
        <v>24</v>
      </c>
      <c r="L2584" s="24">
        <v>1376.98</v>
      </c>
      <c r="M2584" s="24">
        <v>2719.08</v>
      </c>
      <c r="N2584" s="34">
        <f>((sales_data_1[[#This Row],[Unit_Price]]*(1-sales_data_1[[#This Row],[Discount]]))-sales_data_1[[#This Row],[Unit_Cost]])*sales_data_1[[#This Row],[Quantity_Sold]]</f>
        <v>8303.5019999999968</v>
      </c>
      <c r="O2584" s="17" t="s">
        <v>17</v>
      </c>
      <c r="P2584" s="26">
        <v>0.28999999999999998</v>
      </c>
      <c r="Q2584" s="17" t="s">
        <v>18</v>
      </c>
      <c r="R2584" s="17" t="s">
        <v>19</v>
      </c>
      <c r="S2584" s="50" t="str">
        <f t="shared" si="122"/>
        <v>David-South</v>
      </c>
      <c r="T2584" s="59" t="str">
        <f>IF(ROUND(sales_data_1[[#This Row],[Profit_Margin]],2)=ROUND((sales_data_1[[#This Row],[Unit_Price]]*(1-sales_data_1[[#This Row],[Discount]]) - sales_data_1[[#This Row],[Unit_Cost]])*sales_data_1[[#This Row],[Quantity_Sold]],2), "PASS", "CHECK")</f>
        <v>PASS</v>
      </c>
    </row>
    <row r="2585" spans="1:20" x14ac:dyDescent="0.35">
      <c r="A2585" s="7">
        <v>2584</v>
      </c>
      <c r="B2585" s="9">
        <v>1065</v>
      </c>
      <c r="C2585" s="14" t="str">
        <f>IFERROR(_xlfn.TEXTJOIN("-", TRUE, _xlfn.XLOOKUP(K2585, product_category_id_lookup!$A$2:$A$5, product_category_id_lookup!$B$2:$B$5), B2585), "Unknown Category")</f>
        <v>fd-1065</v>
      </c>
      <c r="D2585" s="8">
        <v>45437</v>
      </c>
      <c r="E2585" s="14">
        <f t="shared" si="120"/>
        <v>2024</v>
      </c>
      <c r="F2585" s="29" t="str">
        <f t="shared" si="121"/>
        <v>May</v>
      </c>
      <c r="G2585" s="17" t="s">
        <v>22</v>
      </c>
      <c r="H2585" s="17" t="s">
        <v>20</v>
      </c>
      <c r="I2585" s="24">
        <v>21134.2248</v>
      </c>
      <c r="J2585" s="32">
        <v>6</v>
      </c>
      <c r="K2585" s="17" t="s">
        <v>24</v>
      </c>
      <c r="L2585" s="24">
        <v>484.73</v>
      </c>
      <c r="M2585" s="24">
        <v>4095.78</v>
      </c>
      <c r="N2585" s="34">
        <f>((sales_data_1[[#This Row],[Unit_Price]]*(1-sales_data_1[[#This Row],[Discount]]))-sales_data_1[[#This Row],[Unit_Cost]])*sales_data_1[[#This Row],[Quantity_Sold]]</f>
        <v>18225.844799999999</v>
      </c>
      <c r="O2585" s="17" t="s">
        <v>27</v>
      </c>
      <c r="P2585" s="26">
        <v>0.14000000000000001</v>
      </c>
      <c r="Q2585" s="17" t="s">
        <v>25</v>
      </c>
      <c r="R2585" s="17" t="s">
        <v>19</v>
      </c>
      <c r="S2585" s="50" t="str">
        <f t="shared" si="122"/>
        <v>David-West</v>
      </c>
      <c r="T2585" s="59" t="str">
        <f>IF(ROUND(sales_data_1[[#This Row],[Profit_Margin]],2)=ROUND((sales_data_1[[#This Row],[Unit_Price]]*(1-sales_data_1[[#This Row],[Discount]]) - sales_data_1[[#This Row],[Unit_Cost]])*sales_data_1[[#This Row],[Quantity_Sold]],2), "PASS", "CHECK")</f>
        <v>PASS</v>
      </c>
    </row>
    <row r="2586" spans="1:20" x14ac:dyDescent="0.35">
      <c r="A2586" s="7">
        <v>2585</v>
      </c>
      <c r="B2586" s="9">
        <v>1005</v>
      </c>
      <c r="C2586" s="14" t="str">
        <f>IFERROR(_xlfn.TEXTJOIN("-", TRUE, _xlfn.XLOOKUP(K2586, product_category_id_lookup!$A$2:$A$5, product_category_id_lookup!$B$2:$B$5), B2586), "Unknown Category")</f>
        <v>fnt-1005</v>
      </c>
      <c r="D2586" s="8">
        <v>45437</v>
      </c>
      <c r="E2586" s="14">
        <f t="shared" si="120"/>
        <v>2024</v>
      </c>
      <c r="F2586" s="29" t="str">
        <f t="shared" si="121"/>
        <v>May</v>
      </c>
      <c r="G2586" s="17" t="s">
        <v>14</v>
      </c>
      <c r="H2586" s="17" t="s">
        <v>15</v>
      </c>
      <c r="I2586" s="24">
        <v>89991.064800000007</v>
      </c>
      <c r="J2586" s="32">
        <v>28</v>
      </c>
      <c r="K2586" s="17" t="s">
        <v>16</v>
      </c>
      <c r="L2586" s="24">
        <v>1865.4</v>
      </c>
      <c r="M2586" s="24">
        <v>3967.86</v>
      </c>
      <c r="N2586" s="34">
        <f>((sales_data_1[[#This Row],[Unit_Price]]*(1-sales_data_1[[#This Row],[Discount]]))-sales_data_1[[#This Row],[Unit_Cost]])*sales_data_1[[#This Row],[Quantity_Sold]]</f>
        <v>37759.864800000003</v>
      </c>
      <c r="O2586" s="17" t="s">
        <v>27</v>
      </c>
      <c r="P2586" s="26">
        <v>0.19</v>
      </c>
      <c r="Q2586" s="17" t="s">
        <v>25</v>
      </c>
      <c r="R2586" s="17" t="s">
        <v>19</v>
      </c>
      <c r="S2586" s="50" t="str">
        <f t="shared" si="122"/>
        <v>Bob-North</v>
      </c>
      <c r="T2586" s="59" t="str">
        <f>IF(ROUND(sales_data_1[[#This Row],[Profit_Margin]],2)=ROUND((sales_data_1[[#This Row],[Unit_Price]]*(1-sales_data_1[[#This Row],[Discount]]) - sales_data_1[[#This Row],[Unit_Cost]])*sales_data_1[[#This Row],[Quantity_Sold]],2), "PASS", "CHECK")</f>
        <v>PASS</v>
      </c>
    </row>
    <row r="2587" spans="1:20" x14ac:dyDescent="0.35">
      <c r="A2587" s="7">
        <v>2586</v>
      </c>
      <c r="B2587" s="9">
        <v>1051</v>
      </c>
      <c r="C2587" s="14" t="str">
        <f>IFERROR(_xlfn.TEXTJOIN("-", TRUE, _xlfn.XLOOKUP(K2587, product_category_id_lookup!$A$2:$A$5, product_category_id_lookup!$B$2:$B$5), B2587), "Unknown Category")</f>
        <v>fnt-1051</v>
      </c>
      <c r="D2587" s="8">
        <v>45437</v>
      </c>
      <c r="E2587" s="14">
        <f t="shared" si="120"/>
        <v>2024</v>
      </c>
      <c r="F2587" s="29" t="str">
        <f t="shared" si="121"/>
        <v>May</v>
      </c>
      <c r="G2587" s="17" t="s">
        <v>33</v>
      </c>
      <c r="H2587" s="17" t="s">
        <v>23</v>
      </c>
      <c r="I2587" s="24">
        <v>98392.773599999986</v>
      </c>
      <c r="J2587" s="32">
        <v>27</v>
      </c>
      <c r="K2587" s="17" t="s">
        <v>16</v>
      </c>
      <c r="L2587" s="24">
        <v>1944.44</v>
      </c>
      <c r="M2587" s="24">
        <v>4141.1099999999997</v>
      </c>
      <c r="N2587" s="34">
        <f>((sales_data_1[[#This Row],[Unit_Price]]*(1-sales_data_1[[#This Row],[Discount]]))-sales_data_1[[#This Row],[Unit_Cost]])*sales_data_1[[#This Row],[Quantity_Sold]]</f>
        <v>45892.893599999989</v>
      </c>
      <c r="O2587" s="17" t="s">
        <v>27</v>
      </c>
      <c r="P2587" s="26">
        <v>0.12</v>
      </c>
      <c r="Q2587" s="17" t="s">
        <v>18</v>
      </c>
      <c r="R2587" s="17" t="s">
        <v>21</v>
      </c>
      <c r="S2587" s="50" t="str">
        <f t="shared" si="122"/>
        <v>Alice-South</v>
      </c>
      <c r="T2587" s="59" t="str">
        <f>IF(ROUND(sales_data_1[[#This Row],[Profit_Margin]],2)=ROUND((sales_data_1[[#This Row],[Unit_Price]]*(1-sales_data_1[[#This Row],[Discount]]) - sales_data_1[[#This Row],[Unit_Cost]])*sales_data_1[[#This Row],[Quantity_Sold]],2), "PASS", "CHECK")</f>
        <v>PASS</v>
      </c>
    </row>
    <row r="2588" spans="1:20" x14ac:dyDescent="0.35">
      <c r="A2588" s="7">
        <v>2587</v>
      </c>
      <c r="B2588" s="9">
        <v>1042</v>
      </c>
      <c r="C2588" s="14" t="str">
        <f>IFERROR(_xlfn.TEXTJOIN("-", TRUE, _xlfn.XLOOKUP(K2588, product_category_id_lookup!$A$2:$A$5, product_category_id_lookup!$B$2:$B$5), B2588), "Unknown Category")</f>
        <v>ctg-1042</v>
      </c>
      <c r="D2588" s="8">
        <v>45439</v>
      </c>
      <c r="E2588" s="14">
        <f t="shared" si="120"/>
        <v>2024</v>
      </c>
      <c r="F2588" s="29" t="str">
        <f t="shared" si="121"/>
        <v>May</v>
      </c>
      <c r="G2588" s="17" t="s">
        <v>32</v>
      </c>
      <c r="H2588" s="17" t="s">
        <v>30</v>
      </c>
      <c r="I2588" s="24">
        <v>56220.460000000006</v>
      </c>
      <c r="J2588" s="32">
        <v>25</v>
      </c>
      <c r="K2588" s="17" t="s">
        <v>26</v>
      </c>
      <c r="L2588" s="24">
        <v>1993.19</v>
      </c>
      <c r="M2588" s="24">
        <v>2392.36</v>
      </c>
      <c r="N2588" s="34">
        <f>((sales_data_1[[#This Row],[Unit_Price]]*(1-sales_data_1[[#This Row],[Discount]]))-sales_data_1[[#This Row],[Unit_Cost]])*sales_data_1[[#This Row],[Quantity_Sold]]</f>
        <v>6390.7100000000009</v>
      </c>
      <c r="O2588" s="17" t="s">
        <v>17</v>
      </c>
      <c r="P2588" s="26">
        <v>0.06</v>
      </c>
      <c r="Q2588" s="17" t="s">
        <v>28</v>
      </c>
      <c r="R2588" s="17" t="s">
        <v>21</v>
      </c>
      <c r="S2588" s="50" t="str">
        <f t="shared" si="122"/>
        <v>Eve-East</v>
      </c>
      <c r="T2588" s="59" t="str">
        <f>IF(ROUND(sales_data_1[[#This Row],[Profit_Margin]],2)=ROUND((sales_data_1[[#This Row],[Unit_Price]]*(1-sales_data_1[[#This Row],[Discount]]) - sales_data_1[[#This Row],[Unit_Cost]])*sales_data_1[[#This Row],[Quantity_Sold]],2), "PASS", "CHECK")</f>
        <v>PASS</v>
      </c>
    </row>
    <row r="2589" spans="1:20" x14ac:dyDescent="0.35">
      <c r="A2589" s="7">
        <v>2588</v>
      </c>
      <c r="B2589" s="9">
        <v>1083</v>
      </c>
      <c r="C2589" s="14" t="str">
        <f>IFERROR(_xlfn.TEXTJOIN("-", TRUE, _xlfn.XLOOKUP(K2589, product_category_id_lookup!$A$2:$A$5, product_category_id_lookup!$B$2:$B$5), B2589), "Unknown Category")</f>
        <v>fd-1083</v>
      </c>
      <c r="D2589" s="8">
        <v>45439</v>
      </c>
      <c r="E2589" s="14">
        <f t="shared" si="120"/>
        <v>2024</v>
      </c>
      <c r="F2589" s="29" t="str">
        <f t="shared" si="121"/>
        <v>May</v>
      </c>
      <c r="G2589" s="17" t="s">
        <v>33</v>
      </c>
      <c r="H2589" s="17" t="s">
        <v>20</v>
      </c>
      <c r="I2589" s="24">
        <v>54522.397067365338</v>
      </c>
      <c r="J2589" s="32">
        <v>22</v>
      </c>
      <c r="K2589" s="17" t="s">
        <v>24</v>
      </c>
      <c r="L2589" s="24">
        <v>1983.76</v>
      </c>
      <c r="M2589" s="24">
        <v>2606.17</v>
      </c>
      <c r="N2589" s="34">
        <f>((sales_data_1[[#This Row],[Unit_Price]]*(1-sales_data_1[[#This Row],[Discount]]))-sales_data_1[[#This Row],[Unit_Cost]])*sales_data_1[[#This Row],[Quantity_Sold]]</f>
        <v>10826.233</v>
      </c>
      <c r="O2589" s="17" t="s">
        <v>27</v>
      </c>
      <c r="P2589" s="26">
        <v>0.05</v>
      </c>
      <c r="Q2589" s="17" t="s">
        <v>18</v>
      </c>
      <c r="R2589" s="17" t="s">
        <v>21</v>
      </c>
      <c r="S2589" s="50" t="str">
        <f t="shared" si="122"/>
        <v>Alice-West</v>
      </c>
      <c r="T2589" s="59" t="str">
        <f>IF(ROUND(sales_data_1[[#This Row],[Profit_Margin]],2)=ROUND((sales_data_1[[#This Row],[Unit_Price]]*(1-sales_data_1[[#This Row],[Discount]]) - sales_data_1[[#This Row],[Unit_Cost]])*sales_data_1[[#This Row],[Quantity_Sold]],2), "PASS", "CHECK")</f>
        <v>PASS</v>
      </c>
    </row>
    <row r="2590" spans="1:20" x14ac:dyDescent="0.35">
      <c r="A2590" s="7">
        <v>2589</v>
      </c>
      <c r="B2590" s="9">
        <v>1036</v>
      </c>
      <c r="C2590" s="14" t="str">
        <f>IFERROR(_xlfn.TEXTJOIN("-", TRUE, _xlfn.XLOOKUP(K2590, product_category_id_lookup!$A$2:$A$5, product_category_id_lookup!$B$2:$B$5), B2590), "Unknown Category")</f>
        <v>ctg-1036</v>
      </c>
      <c r="D2590" s="8">
        <v>45439</v>
      </c>
      <c r="E2590" s="14">
        <f t="shared" si="120"/>
        <v>2024</v>
      </c>
      <c r="F2590" s="29" t="str">
        <f t="shared" si="121"/>
        <v>May</v>
      </c>
      <c r="G2590" s="17" t="s">
        <v>33</v>
      </c>
      <c r="H2590" s="17" t="s">
        <v>15</v>
      </c>
      <c r="I2590" s="24">
        <v>103267.06155515698</v>
      </c>
      <c r="J2590" s="32">
        <v>22</v>
      </c>
      <c r="K2590" s="17" t="s">
        <v>26</v>
      </c>
      <c r="L2590" s="24">
        <v>3826.34</v>
      </c>
      <c r="M2590" s="24">
        <v>4856.3999999999996</v>
      </c>
      <c r="N2590" s="34">
        <f>((sales_data_1[[#This Row],[Unit_Price]]*(1-sales_data_1[[#This Row],[Discount]]))-sales_data_1[[#This Row],[Unit_Cost]])*sales_data_1[[#This Row],[Quantity_Sold]]</f>
        <v>19456.09599999999</v>
      </c>
      <c r="O2590" s="17" t="s">
        <v>17</v>
      </c>
      <c r="P2590" s="26">
        <v>0.03</v>
      </c>
      <c r="Q2590" s="17" t="s">
        <v>18</v>
      </c>
      <c r="R2590" s="17" t="s">
        <v>19</v>
      </c>
      <c r="S2590" s="50" t="str">
        <f t="shared" si="122"/>
        <v>Alice-North</v>
      </c>
      <c r="T2590" s="59" t="str">
        <f>IF(ROUND(sales_data_1[[#This Row],[Profit_Margin]],2)=ROUND((sales_data_1[[#This Row],[Unit_Price]]*(1-sales_data_1[[#This Row],[Discount]]) - sales_data_1[[#This Row],[Unit_Cost]])*sales_data_1[[#This Row],[Quantity_Sold]],2), "PASS", "CHECK")</f>
        <v>PASS</v>
      </c>
    </row>
    <row r="2591" spans="1:20" x14ac:dyDescent="0.35">
      <c r="A2591" s="7">
        <v>2590</v>
      </c>
      <c r="B2591" s="9">
        <v>1022</v>
      </c>
      <c r="C2591" s="14" t="str">
        <f>IFERROR(_xlfn.TEXTJOIN("-", TRUE, _xlfn.XLOOKUP(K2591, product_category_id_lookup!$A$2:$A$5, product_category_id_lookup!$B$2:$B$5), B2591), "Unknown Category")</f>
        <v>fnt-1022</v>
      </c>
      <c r="D2591" s="8">
        <v>45439</v>
      </c>
      <c r="E2591" s="14">
        <f t="shared" si="120"/>
        <v>2024</v>
      </c>
      <c r="F2591" s="29" t="str">
        <f t="shared" si="121"/>
        <v>May</v>
      </c>
      <c r="G2591" s="17" t="s">
        <v>32</v>
      </c>
      <c r="H2591" s="17" t="s">
        <v>30</v>
      </c>
      <c r="I2591" s="24">
        <v>142822.55088952789</v>
      </c>
      <c r="J2591" s="32">
        <v>42</v>
      </c>
      <c r="K2591" s="17" t="s">
        <v>16</v>
      </c>
      <c r="L2591" s="24">
        <v>2566.91</v>
      </c>
      <c r="M2591" s="24">
        <v>3427.94</v>
      </c>
      <c r="N2591" s="34">
        <f>((sales_data_1[[#This Row],[Unit_Price]]*(1-sales_data_1[[#This Row],[Discount]]))-sales_data_1[[#This Row],[Unit_Cost]])*sales_data_1[[#This Row],[Quantity_Sold]]</f>
        <v>34723.525200000011</v>
      </c>
      <c r="O2591" s="17" t="s">
        <v>27</v>
      </c>
      <c r="P2591" s="26">
        <v>0.01</v>
      </c>
      <c r="Q2591" s="17" t="s">
        <v>25</v>
      </c>
      <c r="R2591" s="17" t="s">
        <v>19</v>
      </c>
      <c r="S2591" s="50" t="str">
        <f t="shared" si="122"/>
        <v>Eve-East</v>
      </c>
      <c r="T2591" s="59" t="str">
        <f>IF(ROUND(sales_data_1[[#This Row],[Profit_Margin]],2)=ROUND((sales_data_1[[#This Row],[Unit_Price]]*(1-sales_data_1[[#This Row],[Discount]]) - sales_data_1[[#This Row],[Unit_Cost]])*sales_data_1[[#This Row],[Quantity_Sold]],2), "PASS", "CHECK")</f>
        <v>PASS</v>
      </c>
    </row>
    <row r="2592" spans="1:20" x14ac:dyDescent="0.35">
      <c r="A2592" s="7">
        <v>2591</v>
      </c>
      <c r="B2592" s="9">
        <v>1076</v>
      </c>
      <c r="C2592" s="14" t="str">
        <f>IFERROR(_xlfn.TEXTJOIN("-", TRUE, _xlfn.XLOOKUP(K2592, product_category_id_lookup!$A$2:$A$5, product_category_id_lookup!$B$2:$B$5), B2592), "Unknown Category")</f>
        <v>fnt-1076</v>
      </c>
      <c r="D2592" s="8">
        <v>45439</v>
      </c>
      <c r="E2592" s="14">
        <f t="shared" si="120"/>
        <v>2024</v>
      </c>
      <c r="F2592" s="29" t="str">
        <f t="shared" si="121"/>
        <v>May</v>
      </c>
      <c r="G2592" s="17" t="s">
        <v>22</v>
      </c>
      <c r="H2592" s="17" t="s">
        <v>23</v>
      </c>
      <c r="I2592" s="24">
        <v>172284.23520000002</v>
      </c>
      <c r="J2592" s="32">
        <v>48</v>
      </c>
      <c r="K2592" s="17" t="s">
        <v>16</v>
      </c>
      <c r="L2592" s="24">
        <v>1098.03</v>
      </c>
      <c r="M2592" s="24">
        <v>3625.51</v>
      </c>
      <c r="N2592" s="34">
        <f>((sales_data_1[[#This Row],[Unit_Price]]*(1-sales_data_1[[#This Row],[Discount]]))-sales_data_1[[#This Row],[Unit_Cost]])*sales_data_1[[#This Row],[Quantity_Sold]]</f>
        <v>119578.79520000001</v>
      </c>
      <c r="O2592" s="17" t="s">
        <v>17</v>
      </c>
      <c r="P2592" s="26">
        <v>0.01</v>
      </c>
      <c r="Q2592" s="17" t="s">
        <v>28</v>
      </c>
      <c r="R2592" s="17" t="s">
        <v>19</v>
      </c>
      <c r="S2592" s="50" t="str">
        <f t="shared" si="122"/>
        <v>David-South</v>
      </c>
      <c r="T2592" s="59" t="str">
        <f>IF(ROUND(sales_data_1[[#This Row],[Profit_Margin]],2)=ROUND((sales_data_1[[#This Row],[Unit_Price]]*(1-sales_data_1[[#This Row],[Discount]]) - sales_data_1[[#This Row],[Unit_Cost]])*sales_data_1[[#This Row],[Quantity_Sold]],2), "PASS", "CHECK")</f>
        <v>PASS</v>
      </c>
    </row>
    <row r="2593" spans="1:20" x14ac:dyDescent="0.35">
      <c r="A2593" s="7">
        <v>2592</v>
      </c>
      <c r="B2593" s="9">
        <v>1076</v>
      </c>
      <c r="C2593" s="14" t="str">
        <f>IFERROR(_xlfn.TEXTJOIN("-", TRUE, _xlfn.XLOOKUP(K2593, product_category_id_lookup!$A$2:$A$5, product_category_id_lookup!$B$2:$B$5), B2593), "Unknown Category")</f>
        <v>etc-1076</v>
      </c>
      <c r="D2593" s="8">
        <v>45439</v>
      </c>
      <c r="E2593" s="14">
        <f t="shared" si="120"/>
        <v>2024</v>
      </c>
      <c r="F2593" s="29" t="str">
        <f t="shared" si="121"/>
        <v>May</v>
      </c>
      <c r="G2593" s="17" t="s">
        <v>33</v>
      </c>
      <c r="H2593" s="17" t="s">
        <v>30</v>
      </c>
      <c r="I2593" s="24">
        <v>183201.8958</v>
      </c>
      <c r="J2593" s="32">
        <v>49</v>
      </c>
      <c r="K2593" s="17" t="s">
        <v>31</v>
      </c>
      <c r="L2593" s="24">
        <v>1033.5</v>
      </c>
      <c r="M2593" s="24">
        <v>4615.82</v>
      </c>
      <c r="N2593" s="34">
        <f>((sales_data_1[[#This Row],[Unit_Price]]*(1-sales_data_1[[#This Row],[Discount]]))-sales_data_1[[#This Row],[Unit_Cost]])*sales_data_1[[#This Row],[Quantity_Sold]]</f>
        <v>132560.3958</v>
      </c>
      <c r="O2593" s="17" t="s">
        <v>17</v>
      </c>
      <c r="P2593" s="26">
        <v>0.19</v>
      </c>
      <c r="Q2593" s="17" t="s">
        <v>28</v>
      </c>
      <c r="R2593" s="17" t="s">
        <v>19</v>
      </c>
      <c r="S2593" s="50" t="str">
        <f t="shared" si="122"/>
        <v>Alice-East</v>
      </c>
      <c r="T2593" s="59" t="str">
        <f>IF(ROUND(sales_data_1[[#This Row],[Profit_Margin]],2)=ROUND((sales_data_1[[#This Row],[Unit_Price]]*(1-sales_data_1[[#This Row],[Discount]]) - sales_data_1[[#This Row],[Unit_Cost]])*sales_data_1[[#This Row],[Quantity_Sold]],2), "PASS", "CHECK")</f>
        <v>PASS</v>
      </c>
    </row>
    <row r="2594" spans="1:20" x14ac:dyDescent="0.35">
      <c r="A2594" s="7">
        <v>2593</v>
      </c>
      <c r="B2594" s="9">
        <v>1046</v>
      </c>
      <c r="C2594" s="14" t="str">
        <f>IFERROR(_xlfn.TEXTJOIN("-", TRUE, _xlfn.XLOOKUP(K2594, product_category_id_lookup!$A$2:$A$5, product_category_id_lookup!$B$2:$B$5), B2594), "Unknown Category")</f>
        <v>fnt-1046</v>
      </c>
      <c r="D2594" s="8">
        <v>45440</v>
      </c>
      <c r="E2594" s="14">
        <f t="shared" si="120"/>
        <v>2024</v>
      </c>
      <c r="F2594" s="29" t="str">
        <f t="shared" si="121"/>
        <v>May</v>
      </c>
      <c r="G2594" s="17" t="s">
        <v>32</v>
      </c>
      <c r="H2594" s="17" t="s">
        <v>23</v>
      </c>
      <c r="I2594" s="24">
        <v>157406.15641142635</v>
      </c>
      <c r="J2594" s="32">
        <v>32</v>
      </c>
      <c r="K2594" s="17" t="s">
        <v>16</v>
      </c>
      <c r="L2594" s="24">
        <v>4865.01</v>
      </c>
      <c r="M2594" s="24">
        <v>4933.6499999999996</v>
      </c>
      <c r="N2594" s="34">
        <f>((sales_data_1[[#This Row],[Unit_Price]]*(1-sales_data_1[[#This Row],[Discount]]))-sales_data_1[[#This Row],[Unit_Cost]])*sales_data_1[[#This Row],[Quantity_Sold]]</f>
        <v>2196.4799999999814</v>
      </c>
      <c r="O2594" s="17" t="s">
        <v>27</v>
      </c>
      <c r="P2594" s="26">
        <v>0</v>
      </c>
      <c r="Q2594" s="17" t="s">
        <v>28</v>
      </c>
      <c r="R2594" s="17" t="s">
        <v>21</v>
      </c>
      <c r="S2594" s="50" t="str">
        <f t="shared" si="122"/>
        <v>Eve-South</v>
      </c>
      <c r="T2594" s="59" t="str">
        <f>IF(ROUND(sales_data_1[[#This Row],[Profit_Margin]],2)=ROUND((sales_data_1[[#This Row],[Unit_Price]]*(1-sales_data_1[[#This Row],[Discount]]) - sales_data_1[[#This Row],[Unit_Cost]])*sales_data_1[[#This Row],[Quantity_Sold]],2), "PASS", "CHECK")</f>
        <v>PASS</v>
      </c>
    </row>
    <row r="2595" spans="1:20" x14ac:dyDescent="0.35">
      <c r="A2595" s="7">
        <v>2594</v>
      </c>
      <c r="B2595" s="9">
        <v>1075</v>
      </c>
      <c r="C2595" s="14" t="str">
        <f>IFERROR(_xlfn.TEXTJOIN("-", TRUE, _xlfn.XLOOKUP(K2595, product_category_id_lookup!$A$2:$A$5, product_category_id_lookup!$B$2:$B$5), B2595), "Unknown Category")</f>
        <v>fnt-1075</v>
      </c>
      <c r="D2595" s="8">
        <v>45440</v>
      </c>
      <c r="E2595" s="14">
        <f t="shared" si="120"/>
        <v>2024</v>
      </c>
      <c r="F2595" s="29" t="str">
        <f t="shared" si="121"/>
        <v>May</v>
      </c>
      <c r="G2595" s="17" t="s">
        <v>29</v>
      </c>
      <c r="H2595" s="17" t="s">
        <v>30</v>
      </c>
      <c r="I2595" s="24">
        <v>156266.45554768448</v>
      </c>
      <c r="J2595" s="32">
        <v>42</v>
      </c>
      <c r="K2595" s="17" t="s">
        <v>16</v>
      </c>
      <c r="L2595" s="24">
        <v>3671.38</v>
      </c>
      <c r="M2595" s="24">
        <v>3821.39</v>
      </c>
      <c r="N2595" s="34">
        <f>((sales_data_1[[#This Row],[Unit_Price]]*(1-sales_data_1[[#This Row],[Discount]]))-sales_data_1[[#This Row],[Unit_Cost]])*sales_data_1[[#This Row],[Quantity_Sold]]</f>
        <v>1485.4685999999847</v>
      </c>
      <c r="O2595" s="17" t="s">
        <v>17</v>
      </c>
      <c r="P2595" s="26">
        <v>0.03</v>
      </c>
      <c r="Q2595" s="17" t="s">
        <v>18</v>
      </c>
      <c r="R2595" s="17" t="s">
        <v>19</v>
      </c>
      <c r="S2595" s="50" t="str">
        <f t="shared" si="122"/>
        <v>Charlie-East</v>
      </c>
      <c r="T2595" s="59" t="str">
        <f>IF(ROUND(sales_data_1[[#This Row],[Profit_Margin]],2)=ROUND((sales_data_1[[#This Row],[Unit_Price]]*(1-sales_data_1[[#This Row],[Discount]]) - sales_data_1[[#This Row],[Unit_Cost]])*sales_data_1[[#This Row],[Quantity_Sold]],2), "PASS", "CHECK")</f>
        <v>PASS</v>
      </c>
    </row>
    <row r="2596" spans="1:20" x14ac:dyDescent="0.35">
      <c r="A2596" s="7">
        <v>2595</v>
      </c>
      <c r="B2596" s="9">
        <v>1039</v>
      </c>
      <c r="C2596" s="14" t="str">
        <f>IFERROR(_xlfn.TEXTJOIN("-", TRUE, _xlfn.XLOOKUP(K2596, product_category_id_lookup!$A$2:$A$5, product_category_id_lookup!$B$2:$B$5), B2596), "Unknown Category")</f>
        <v>etc-1039</v>
      </c>
      <c r="D2596" s="8">
        <v>45440</v>
      </c>
      <c r="E2596" s="14">
        <f t="shared" si="120"/>
        <v>2024</v>
      </c>
      <c r="F2596" s="29" t="str">
        <f t="shared" si="121"/>
        <v>May</v>
      </c>
      <c r="G2596" s="17" t="s">
        <v>33</v>
      </c>
      <c r="H2596" s="17" t="s">
        <v>23</v>
      </c>
      <c r="I2596" s="24">
        <v>48976.937099999996</v>
      </c>
      <c r="J2596" s="32">
        <v>17</v>
      </c>
      <c r="K2596" s="17" t="s">
        <v>31</v>
      </c>
      <c r="L2596" s="24">
        <v>2556.69</v>
      </c>
      <c r="M2596" s="24">
        <v>3165.93</v>
      </c>
      <c r="N2596" s="34">
        <f>((sales_data_1[[#This Row],[Unit_Price]]*(1-sales_data_1[[#This Row],[Discount]]))-sales_data_1[[#This Row],[Unit_Cost]])*sales_data_1[[#This Row],[Quantity_Sold]]</f>
        <v>5513.207099999996</v>
      </c>
      <c r="O2596" s="17" t="s">
        <v>27</v>
      </c>
      <c r="P2596" s="26">
        <v>0.09</v>
      </c>
      <c r="Q2596" s="17" t="s">
        <v>18</v>
      </c>
      <c r="R2596" s="17" t="s">
        <v>19</v>
      </c>
      <c r="S2596" s="50" t="str">
        <f t="shared" si="122"/>
        <v>Alice-South</v>
      </c>
      <c r="T2596" s="59" t="str">
        <f>IF(ROUND(sales_data_1[[#This Row],[Profit_Margin]],2)=ROUND((sales_data_1[[#This Row],[Unit_Price]]*(1-sales_data_1[[#This Row],[Discount]]) - sales_data_1[[#This Row],[Unit_Cost]])*sales_data_1[[#This Row],[Quantity_Sold]],2), "PASS", "CHECK")</f>
        <v>PASS</v>
      </c>
    </row>
    <row r="2597" spans="1:20" x14ac:dyDescent="0.35">
      <c r="A2597" s="7">
        <v>2596</v>
      </c>
      <c r="B2597" s="9">
        <v>1063</v>
      </c>
      <c r="C2597" s="14" t="str">
        <f>IFERROR(_xlfn.TEXTJOIN("-", TRUE, _xlfn.XLOOKUP(K2597, product_category_id_lookup!$A$2:$A$5, product_category_id_lookup!$B$2:$B$5), B2597), "Unknown Category")</f>
        <v>ctg-1063</v>
      </c>
      <c r="D2597" s="8">
        <v>45440</v>
      </c>
      <c r="E2597" s="14">
        <f t="shared" si="120"/>
        <v>2024</v>
      </c>
      <c r="F2597" s="29" t="str">
        <f t="shared" si="121"/>
        <v>May</v>
      </c>
      <c r="G2597" s="17" t="s">
        <v>33</v>
      </c>
      <c r="H2597" s="17" t="s">
        <v>30</v>
      </c>
      <c r="I2597" s="24">
        <v>17097.664000000001</v>
      </c>
      <c r="J2597" s="32">
        <v>8</v>
      </c>
      <c r="K2597" s="17" t="s">
        <v>26</v>
      </c>
      <c r="L2597" s="24">
        <v>959.62</v>
      </c>
      <c r="M2597" s="24">
        <v>2671.51</v>
      </c>
      <c r="N2597" s="34">
        <f>((sales_data_1[[#This Row],[Unit_Price]]*(1-sales_data_1[[#This Row],[Discount]]))-sales_data_1[[#This Row],[Unit_Cost]])*sales_data_1[[#This Row],[Quantity_Sold]]</f>
        <v>9420.7040000000015</v>
      </c>
      <c r="O2597" s="17" t="s">
        <v>27</v>
      </c>
      <c r="P2597" s="26">
        <v>0.2</v>
      </c>
      <c r="Q2597" s="17" t="s">
        <v>18</v>
      </c>
      <c r="R2597" s="17" t="s">
        <v>21</v>
      </c>
      <c r="S2597" s="50" t="str">
        <f t="shared" si="122"/>
        <v>Alice-East</v>
      </c>
      <c r="T2597" s="59" t="str">
        <f>IF(ROUND(sales_data_1[[#This Row],[Profit_Margin]],2)=ROUND((sales_data_1[[#This Row],[Unit_Price]]*(1-sales_data_1[[#This Row],[Discount]]) - sales_data_1[[#This Row],[Unit_Cost]])*sales_data_1[[#This Row],[Quantity_Sold]],2), "PASS", "CHECK")</f>
        <v>PASS</v>
      </c>
    </row>
    <row r="2598" spans="1:20" x14ac:dyDescent="0.35">
      <c r="A2598" s="7">
        <v>2597</v>
      </c>
      <c r="B2598" s="9">
        <v>1041</v>
      </c>
      <c r="C2598" s="14" t="str">
        <f>IFERROR(_xlfn.TEXTJOIN("-", TRUE, _xlfn.XLOOKUP(K2598, product_category_id_lookup!$A$2:$A$5, product_category_id_lookup!$B$2:$B$5), B2598), "Unknown Category")</f>
        <v>fnt-1041</v>
      </c>
      <c r="D2598" s="8">
        <v>45440</v>
      </c>
      <c r="E2598" s="14">
        <f t="shared" si="120"/>
        <v>2024</v>
      </c>
      <c r="F2598" s="29" t="str">
        <f t="shared" si="121"/>
        <v>May</v>
      </c>
      <c r="G2598" s="17" t="s">
        <v>33</v>
      </c>
      <c r="H2598" s="17" t="s">
        <v>15</v>
      </c>
      <c r="I2598" s="24">
        <v>168779.61320000002</v>
      </c>
      <c r="J2598" s="32">
        <v>47</v>
      </c>
      <c r="K2598" s="17" t="s">
        <v>16</v>
      </c>
      <c r="L2598" s="24">
        <v>3329.06</v>
      </c>
      <c r="M2598" s="24">
        <v>4545.6400000000003</v>
      </c>
      <c r="N2598" s="34">
        <f>((sales_data_1[[#This Row],[Unit_Price]]*(1-sales_data_1[[#This Row],[Discount]]))-sales_data_1[[#This Row],[Unit_Cost]])*sales_data_1[[#This Row],[Quantity_Sold]]</f>
        <v>12313.793200000031</v>
      </c>
      <c r="O2598" s="17" t="s">
        <v>17</v>
      </c>
      <c r="P2598" s="26">
        <v>0.21</v>
      </c>
      <c r="Q2598" s="17" t="s">
        <v>28</v>
      </c>
      <c r="R2598" s="17" t="s">
        <v>19</v>
      </c>
      <c r="S2598" s="50" t="str">
        <f t="shared" si="122"/>
        <v>Alice-North</v>
      </c>
      <c r="T2598" s="59" t="str">
        <f>IF(ROUND(sales_data_1[[#This Row],[Profit_Margin]],2)=ROUND((sales_data_1[[#This Row],[Unit_Price]]*(1-sales_data_1[[#This Row],[Discount]]) - sales_data_1[[#This Row],[Unit_Cost]])*sales_data_1[[#This Row],[Quantity_Sold]],2), "PASS", "CHECK")</f>
        <v>PASS</v>
      </c>
    </row>
    <row r="2599" spans="1:20" x14ac:dyDescent="0.35">
      <c r="A2599" s="7">
        <v>2598</v>
      </c>
      <c r="B2599" s="9">
        <v>1018</v>
      </c>
      <c r="C2599" s="14" t="str">
        <f>IFERROR(_xlfn.TEXTJOIN("-", TRUE, _xlfn.XLOOKUP(K2599, product_category_id_lookup!$A$2:$A$5, product_category_id_lookup!$B$2:$B$5), B2599), "Unknown Category")</f>
        <v>ctg-1018</v>
      </c>
      <c r="D2599" s="8">
        <v>45440</v>
      </c>
      <c r="E2599" s="14">
        <f t="shared" si="120"/>
        <v>2024</v>
      </c>
      <c r="F2599" s="29" t="str">
        <f t="shared" si="121"/>
        <v>May</v>
      </c>
      <c r="G2599" s="17" t="s">
        <v>32</v>
      </c>
      <c r="H2599" s="17" t="s">
        <v>30</v>
      </c>
      <c r="I2599" s="24">
        <v>122458.45300000001</v>
      </c>
      <c r="J2599" s="32">
        <v>43</v>
      </c>
      <c r="K2599" s="17" t="s">
        <v>26</v>
      </c>
      <c r="L2599" s="24">
        <v>646.51</v>
      </c>
      <c r="M2599" s="24">
        <v>3029.65</v>
      </c>
      <c r="N2599" s="34">
        <f>((sales_data_1[[#This Row],[Unit_Price]]*(1-sales_data_1[[#This Row],[Discount]]))-sales_data_1[[#This Row],[Unit_Cost]])*sales_data_1[[#This Row],[Quantity_Sold]]</f>
        <v>94658.523000000001</v>
      </c>
      <c r="O2599" s="17" t="s">
        <v>17</v>
      </c>
      <c r="P2599" s="26">
        <v>0.06</v>
      </c>
      <c r="Q2599" s="17" t="s">
        <v>28</v>
      </c>
      <c r="R2599" s="17" t="s">
        <v>21</v>
      </c>
      <c r="S2599" s="50" t="str">
        <f t="shared" si="122"/>
        <v>Eve-East</v>
      </c>
      <c r="T2599" s="59" t="str">
        <f>IF(ROUND(sales_data_1[[#This Row],[Profit_Margin]],2)=ROUND((sales_data_1[[#This Row],[Unit_Price]]*(1-sales_data_1[[#This Row],[Discount]]) - sales_data_1[[#This Row],[Unit_Cost]])*sales_data_1[[#This Row],[Quantity_Sold]],2), "PASS", "CHECK")</f>
        <v>PASS</v>
      </c>
    </row>
    <row r="2600" spans="1:20" x14ac:dyDescent="0.35">
      <c r="A2600" s="7">
        <v>2599</v>
      </c>
      <c r="B2600" s="9">
        <v>1038</v>
      </c>
      <c r="C2600" s="14" t="str">
        <f>IFERROR(_xlfn.TEXTJOIN("-", TRUE, _xlfn.XLOOKUP(K2600, product_category_id_lookup!$A$2:$A$5, product_category_id_lookup!$B$2:$B$5), B2600), "Unknown Category")</f>
        <v>fd-1038</v>
      </c>
      <c r="D2600" s="8">
        <v>45441</v>
      </c>
      <c r="E2600" s="14">
        <f t="shared" si="120"/>
        <v>2024</v>
      </c>
      <c r="F2600" s="29" t="str">
        <f t="shared" si="121"/>
        <v>May</v>
      </c>
      <c r="G2600" s="17" t="s">
        <v>29</v>
      </c>
      <c r="H2600" s="17" t="s">
        <v>23</v>
      </c>
      <c r="I2600" s="24">
        <v>130246.0992</v>
      </c>
      <c r="J2600" s="32">
        <v>42</v>
      </c>
      <c r="K2600" s="17" t="s">
        <v>24</v>
      </c>
      <c r="L2600" s="24">
        <v>3045.74</v>
      </c>
      <c r="M2600" s="24">
        <v>3925.44</v>
      </c>
      <c r="N2600" s="34">
        <f>((sales_data_1[[#This Row],[Unit_Price]]*(1-sales_data_1[[#This Row],[Discount]]))-sales_data_1[[#This Row],[Unit_Cost]])*sales_data_1[[#This Row],[Quantity_Sold]]</f>
        <v>2325.0192000000116</v>
      </c>
      <c r="O2600" s="17" t="s">
        <v>17</v>
      </c>
      <c r="P2600" s="26">
        <v>0.21</v>
      </c>
      <c r="Q2600" s="17" t="s">
        <v>25</v>
      </c>
      <c r="R2600" s="17" t="s">
        <v>21</v>
      </c>
      <c r="S2600" s="50" t="str">
        <f t="shared" si="122"/>
        <v>Charlie-South</v>
      </c>
      <c r="T2600" s="59" t="str">
        <f>IF(ROUND(sales_data_1[[#This Row],[Profit_Margin]],2)=ROUND((sales_data_1[[#This Row],[Unit_Price]]*(1-sales_data_1[[#This Row],[Discount]]) - sales_data_1[[#This Row],[Unit_Cost]])*sales_data_1[[#This Row],[Quantity_Sold]],2), "PASS", "CHECK")</f>
        <v>PASS</v>
      </c>
    </row>
    <row r="2601" spans="1:20" x14ac:dyDescent="0.35">
      <c r="A2601" s="7">
        <v>2600</v>
      </c>
      <c r="B2601" s="9">
        <v>1090</v>
      </c>
      <c r="C2601" s="14" t="str">
        <f>IFERROR(_xlfn.TEXTJOIN("-", TRUE, _xlfn.XLOOKUP(K2601, product_category_id_lookup!$A$2:$A$5, product_category_id_lookup!$B$2:$B$5), B2601), "Unknown Category")</f>
        <v>fd-1090</v>
      </c>
      <c r="D2601" s="8">
        <v>45441</v>
      </c>
      <c r="E2601" s="14">
        <f t="shared" si="120"/>
        <v>2024</v>
      </c>
      <c r="F2601" s="29" t="str">
        <f t="shared" si="121"/>
        <v>May</v>
      </c>
      <c r="G2601" s="17" t="s">
        <v>22</v>
      </c>
      <c r="H2601" s="17" t="s">
        <v>23</v>
      </c>
      <c r="I2601" s="24">
        <v>122572.962</v>
      </c>
      <c r="J2601" s="32">
        <v>45</v>
      </c>
      <c r="K2601" s="17" t="s">
        <v>24</v>
      </c>
      <c r="L2601" s="24">
        <v>2031.71</v>
      </c>
      <c r="M2601" s="24">
        <v>3167.26</v>
      </c>
      <c r="N2601" s="34">
        <f>((sales_data_1[[#This Row],[Unit_Price]]*(1-sales_data_1[[#This Row],[Discount]]))-sales_data_1[[#This Row],[Unit_Cost]])*sales_data_1[[#This Row],[Quantity_Sold]]</f>
        <v>31146.012000000006</v>
      </c>
      <c r="O2601" s="17" t="s">
        <v>17</v>
      </c>
      <c r="P2601" s="26">
        <v>0.14000000000000001</v>
      </c>
      <c r="Q2601" s="17" t="s">
        <v>18</v>
      </c>
      <c r="R2601" s="17" t="s">
        <v>19</v>
      </c>
      <c r="S2601" s="50" t="str">
        <f t="shared" si="122"/>
        <v>David-South</v>
      </c>
      <c r="T2601" s="59" t="str">
        <f>IF(ROUND(sales_data_1[[#This Row],[Profit_Margin]],2)=ROUND((sales_data_1[[#This Row],[Unit_Price]]*(1-sales_data_1[[#This Row],[Discount]]) - sales_data_1[[#This Row],[Unit_Cost]])*sales_data_1[[#This Row],[Quantity_Sold]],2), "PASS", "CHECK")</f>
        <v>PASS</v>
      </c>
    </row>
    <row r="2602" spans="1:20" x14ac:dyDescent="0.35">
      <c r="A2602" s="7">
        <v>2601</v>
      </c>
      <c r="B2602" s="9">
        <v>1001</v>
      </c>
      <c r="C2602" s="14" t="str">
        <f>IFERROR(_xlfn.TEXTJOIN("-", TRUE, _xlfn.XLOOKUP(K2602, product_category_id_lookup!$A$2:$A$5, product_category_id_lookup!$B$2:$B$5), B2602), "Unknown Category")</f>
        <v>fd-1001</v>
      </c>
      <c r="D2602" s="8">
        <v>45441</v>
      </c>
      <c r="E2602" s="14">
        <f t="shared" si="120"/>
        <v>2024</v>
      </c>
      <c r="F2602" s="29" t="str">
        <f t="shared" si="121"/>
        <v>May</v>
      </c>
      <c r="G2602" s="17" t="s">
        <v>22</v>
      </c>
      <c r="H2602" s="17" t="s">
        <v>15</v>
      </c>
      <c r="I2602" s="24">
        <v>128992.2525</v>
      </c>
      <c r="J2602" s="32">
        <v>41</v>
      </c>
      <c r="K2602" s="17" t="s">
        <v>24</v>
      </c>
      <c r="L2602" s="24">
        <v>2175.5500000000002</v>
      </c>
      <c r="M2602" s="24">
        <v>4194.87</v>
      </c>
      <c r="N2602" s="34">
        <f>((sales_data_1[[#This Row],[Unit_Price]]*(1-sales_data_1[[#This Row],[Discount]]))-sales_data_1[[#This Row],[Unit_Cost]])*sales_data_1[[#This Row],[Quantity_Sold]]</f>
        <v>39794.702499999999</v>
      </c>
      <c r="O2602" s="17" t="s">
        <v>27</v>
      </c>
      <c r="P2602" s="26">
        <v>0.25</v>
      </c>
      <c r="Q2602" s="17" t="s">
        <v>28</v>
      </c>
      <c r="R2602" s="17" t="s">
        <v>21</v>
      </c>
      <c r="S2602" s="50" t="str">
        <f t="shared" si="122"/>
        <v>David-North</v>
      </c>
      <c r="T2602" s="59" t="str">
        <f>IF(ROUND(sales_data_1[[#This Row],[Profit_Margin]],2)=ROUND((sales_data_1[[#This Row],[Unit_Price]]*(1-sales_data_1[[#This Row],[Discount]]) - sales_data_1[[#This Row],[Unit_Cost]])*sales_data_1[[#This Row],[Quantity_Sold]],2), "PASS", "CHECK")</f>
        <v>PASS</v>
      </c>
    </row>
    <row r="2603" spans="1:20" x14ac:dyDescent="0.35">
      <c r="A2603" s="7">
        <v>2602</v>
      </c>
      <c r="B2603" s="9">
        <v>1024</v>
      </c>
      <c r="C2603" s="14" t="str">
        <f>IFERROR(_xlfn.TEXTJOIN("-", TRUE, _xlfn.XLOOKUP(K2603, product_category_id_lookup!$A$2:$A$5, product_category_id_lookup!$B$2:$B$5), B2603), "Unknown Category")</f>
        <v>fnt-1024</v>
      </c>
      <c r="D2603" s="8">
        <v>45442</v>
      </c>
      <c r="E2603" s="14">
        <f t="shared" si="120"/>
        <v>2024</v>
      </c>
      <c r="F2603" s="29" t="str">
        <f t="shared" si="121"/>
        <v>May</v>
      </c>
      <c r="G2603" s="17" t="s">
        <v>14</v>
      </c>
      <c r="H2603" s="17" t="s">
        <v>30</v>
      </c>
      <c r="I2603" s="24">
        <v>36778.414400000001</v>
      </c>
      <c r="J2603" s="32">
        <v>37</v>
      </c>
      <c r="K2603" s="17" t="s">
        <v>16</v>
      </c>
      <c r="L2603" s="24">
        <v>87.13</v>
      </c>
      <c r="M2603" s="24">
        <v>1092.32</v>
      </c>
      <c r="N2603" s="34">
        <f>((sales_data_1[[#This Row],[Unit_Price]]*(1-sales_data_1[[#This Row],[Discount]]))-sales_data_1[[#This Row],[Unit_Cost]])*sales_data_1[[#This Row],[Quantity_Sold]]</f>
        <v>33554.604400000004</v>
      </c>
      <c r="O2603" s="17" t="s">
        <v>27</v>
      </c>
      <c r="P2603" s="26">
        <v>0.09</v>
      </c>
      <c r="Q2603" s="17" t="s">
        <v>18</v>
      </c>
      <c r="R2603" s="17" t="s">
        <v>19</v>
      </c>
      <c r="S2603" s="50" t="str">
        <f t="shared" si="122"/>
        <v>Bob-East</v>
      </c>
      <c r="T2603" s="59" t="str">
        <f>IF(ROUND(sales_data_1[[#This Row],[Profit_Margin]],2)=ROUND((sales_data_1[[#This Row],[Unit_Price]]*(1-sales_data_1[[#This Row],[Discount]]) - sales_data_1[[#This Row],[Unit_Cost]])*sales_data_1[[#This Row],[Quantity_Sold]],2), "PASS", "CHECK")</f>
        <v>PASS</v>
      </c>
    </row>
    <row r="2604" spans="1:20" x14ac:dyDescent="0.35">
      <c r="A2604" s="7">
        <v>2603</v>
      </c>
      <c r="B2604" s="9">
        <v>1006</v>
      </c>
      <c r="C2604" s="14" t="str">
        <f>IFERROR(_xlfn.TEXTJOIN("-", TRUE, _xlfn.XLOOKUP(K2604, product_category_id_lookup!$A$2:$A$5, product_category_id_lookup!$B$2:$B$5), B2604), "Unknown Category")</f>
        <v>fnt-1006</v>
      </c>
      <c r="D2604" s="8">
        <v>45442</v>
      </c>
      <c r="E2604" s="14">
        <f t="shared" si="120"/>
        <v>2024</v>
      </c>
      <c r="F2604" s="29" t="str">
        <f t="shared" si="121"/>
        <v>May</v>
      </c>
      <c r="G2604" s="17" t="s">
        <v>33</v>
      </c>
      <c r="H2604" s="17" t="s">
        <v>15</v>
      </c>
      <c r="I2604" s="24">
        <v>156913.26300000001</v>
      </c>
      <c r="J2604" s="32">
        <v>37</v>
      </c>
      <c r="K2604" s="17" t="s">
        <v>16</v>
      </c>
      <c r="L2604" s="24">
        <v>786.13</v>
      </c>
      <c r="M2604" s="24">
        <v>5437.05</v>
      </c>
      <c r="N2604" s="34">
        <f>((sales_data_1[[#This Row],[Unit_Price]]*(1-sales_data_1[[#This Row],[Discount]]))-sales_data_1[[#This Row],[Unit_Cost]])*sales_data_1[[#This Row],[Quantity_Sold]]</f>
        <v>127826.45300000001</v>
      </c>
      <c r="O2604" s="17" t="s">
        <v>27</v>
      </c>
      <c r="P2604" s="26">
        <v>0.22</v>
      </c>
      <c r="Q2604" s="17" t="s">
        <v>18</v>
      </c>
      <c r="R2604" s="17" t="s">
        <v>21</v>
      </c>
      <c r="S2604" s="50" t="str">
        <f t="shared" si="122"/>
        <v>Alice-North</v>
      </c>
      <c r="T2604" s="59" t="str">
        <f>IF(ROUND(sales_data_1[[#This Row],[Profit_Margin]],2)=ROUND((sales_data_1[[#This Row],[Unit_Price]]*(1-sales_data_1[[#This Row],[Discount]]) - sales_data_1[[#This Row],[Unit_Cost]])*sales_data_1[[#This Row],[Quantity_Sold]],2), "PASS", "CHECK")</f>
        <v>PASS</v>
      </c>
    </row>
    <row r="2605" spans="1:20" x14ac:dyDescent="0.35">
      <c r="A2605" s="7">
        <v>2604</v>
      </c>
      <c r="B2605" s="9">
        <v>1016</v>
      </c>
      <c r="C2605" s="14" t="str">
        <f>IFERROR(_xlfn.TEXTJOIN("-", TRUE, _xlfn.XLOOKUP(K2605, product_category_id_lookup!$A$2:$A$5, product_category_id_lookup!$B$2:$B$5), B2605), "Unknown Category")</f>
        <v>fnt-1016</v>
      </c>
      <c r="D2605" s="8">
        <v>45443</v>
      </c>
      <c r="E2605" s="14">
        <f t="shared" si="120"/>
        <v>2024</v>
      </c>
      <c r="F2605" s="29" t="str">
        <f t="shared" si="121"/>
        <v>May</v>
      </c>
      <c r="G2605" s="17" t="s">
        <v>33</v>
      </c>
      <c r="H2605" s="17" t="s">
        <v>23</v>
      </c>
      <c r="I2605" s="24">
        <v>150070.57799999998</v>
      </c>
      <c r="J2605" s="32">
        <v>41</v>
      </c>
      <c r="K2605" s="17" t="s">
        <v>16</v>
      </c>
      <c r="L2605" s="24">
        <v>1271.77</v>
      </c>
      <c r="M2605" s="24">
        <v>4357.45</v>
      </c>
      <c r="N2605" s="34">
        <f>((sales_data_1[[#This Row],[Unit_Price]]*(1-sales_data_1[[#This Row],[Discount]]))-sales_data_1[[#This Row],[Unit_Cost]])*sales_data_1[[#This Row],[Quantity_Sold]]</f>
        <v>97928.007999999987</v>
      </c>
      <c r="O2605" s="17" t="s">
        <v>17</v>
      </c>
      <c r="P2605" s="26">
        <v>0.16</v>
      </c>
      <c r="Q2605" s="17" t="s">
        <v>28</v>
      </c>
      <c r="R2605" s="17" t="s">
        <v>19</v>
      </c>
      <c r="S2605" s="50" t="str">
        <f t="shared" si="122"/>
        <v>Alice-South</v>
      </c>
      <c r="T2605" s="59" t="str">
        <f>IF(ROUND(sales_data_1[[#This Row],[Profit_Margin]],2)=ROUND((sales_data_1[[#This Row],[Unit_Price]]*(1-sales_data_1[[#This Row],[Discount]]) - sales_data_1[[#This Row],[Unit_Cost]])*sales_data_1[[#This Row],[Quantity_Sold]],2), "PASS", "CHECK")</f>
        <v>PASS</v>
      </c>
    </row>
    <row r="2606" spans="1:20" x14ac:dyDescent="0.35">
      <c r="A2606" s="7">
        <v>2605</v>
      </c>
      <c r="B2606" s="9">
        <v>1020</v>
      </c>
      <c r="C2606" s="14" t="str">
        <f>IFERROR(_xlfn.TEXTJOIN("-", TRUE, _xlfn.XLOOKUP(K2606, product_category_id_lookup!$A$2:$A$5, product_category_id_lookup!$B$2:$B$5), B2606), "Unknown Category")</f>
        <v>fnt-1020</v>
      </c>
      <c r="D2606" s="8">
        <v>45443</v>
      </c>
      <c r="E2606" s="14">
        <f t="shared" si="120"/>
        <v>2024</v>
      </c>
      <c r="F2606" s="29" t="str">
        <f t="shared" si="121"/>
        <v>May</v>
      </c>
      <c r="G2606" s="17" t="s">
        <v>14</v>
      </c>
      <c r="H2606" s="17" t="s">
        <v>15</v>
      </c>
      <c r="I2606" s="24">
        <v>130997.00600000002</v>
      </c>
      <c r="J2606" s="32">
        <v>35</v>
      </c>
      <c r="K2606" s="17" t="s">
        <v>16</v>
      </c>
      <c r="L2606" s="24">
        <v>536.08000000000004</v>
      </c>
      <c r="M2606" s="24">
        <v>4352.0600000000004</v>
      </c>
      <c r="N2606" s="34">
        <f>((sales_data_1[[#This Row],[Unit_Price]]*(1-sales_data_1[[#This Row],[Discount]]))-sales_data_1[[#This Row],[Unit_Cost]])*sales_data_1[[#This Row],[Quantity_Sold]]</f>
        <v>112234.20600000002</v>
      </c>
      <c r="O2606" s="17" t="s">
        <v>27</v>
      </c>
      <c r="P2606" s="26">
        <v>0.14000000000000001</v>
      </c>
      <c r="Q2606" s="17" t="s">
        <v>18</v>
      </c>
      <c r="R2606" s="17" t="s">
        <v>21</v>
      </c>
      <c r="S2606" s="50" t="str">
        <f t="shared" si="122"/>
        <v>Bob-North</v>
      </c>
      <c r="T2606" s="59" t="str">
        <f>IF(ROUND(sales_data_1[[#This Row],[Profit_Margin]],2)=ROUND((sales_data_1[[#This Row],[Unit_Price]]*(1-sales_data_1[[#This Row],[Discount]]) - sales_data_1[[#This Row],[Unit_Cost]])*sales_data_1[[#This Row],[Quantity_Sold]],2), "PASS", "CHECK")</f>
        <v>PASS</v>
      </c>
    </row>
    <row r="2607" spans="1:20" x14ac:dyDescent="0.35">
      <c r="A2607" s="7">
        <v>2606</v>
      </c>
      <c r="B2607" s="9">
        <v>1055</v>
      </c>
      <c r="C2607" s="14" t="str">
        <f>IFERROR(_xlfn.TEXTJOIN("-", TRUE, _xlfn.XLOOKUP(K2607, product_category_id_lookup!$A$2:$A$5, product_category_id_lookup!$B$2:$B$5), B2607), "Unknown Category")</f>
        <v>fd-1055</v>
      </c>
      <c r="D2607" s="8">
        <v>45444</v>
      </c>
      <c r="E2607" s="14">
        <f t="shared" si="120"/>
        <v>2024</v>
      </c>
      <c r="F2607" s="29" t="str">
        <f t="shared" si="121"/>
        <v>Jun</v>
      </c>
      <c r="G2607" s="17" t="s">
        <v>32</v>
      </c>
      <c r="H2607" s="17" t="s">
        <v>15</v>
      </c>
      <c r="I2607" s="24">
        <v>71991.170999999988</v>
      </c>
      <c r="J2607" s="32">
        <v>19</v>
      </c>
      <c r="K2607" s="17" t="s">
        <v>24</v>
      </c>
      <c r="L2607" s="24">
        <v>1361.51</v>
      </c>
      <c r="M2607" s="24">
        <v>5412.87</v>
      </c>
      <c r="N2607" s="34">
        <f>((sales_data_1[[#This Row],[Unit_Price]]*(1-sales_data_1[[#This Row],[Discount]]))-sales_data_1[[#This Row],[Unit_Cost]])*sales_data_1[[#This Row],[Quantity_Sold]]</f>
        <v>46122.481</v>
      </c>
      <c r="O2607" s="17" t="s">
        <v>27</v>
      </c>
      <c r="P2607" s="26">
        <v>0.3</v>
      </c>
      <c r="Q2607" s="17" t="s">
        <v>25</v>
      </c>
      <c r="R2607" s="17" t="s">
        <v>19</v>
      </c>
      <c r="S2607" s="50" t="str">
        <f t="shared" si="122"/>
        <v>Eve-North</v>
      </c>
      <c r="T2607" s="59" t="str">
        <f>IF(ROUND(sales_data_1[[#This Row],[Profit_Margin]],2)=ROUND((sales_data_1[[#This Row],[Unit_Price]]*(1-sales_data_1[[#This Row],[Discount]]) - sales_data_1[[#This Row],[Unit_Cost]])*sales_data_1[[#This Row],[Quantity_Sold]],2), "PASS", "CHECK")</f>
        <v>PASS</v>
      </c>
    </row>
    <row r="2608" spans="1:20" x14ac:dyDescent="0.35">
      <c r="A2608" s="7">
        <v>2607</v>
      </c>
      <c r="B2608" s="9">
        <v>1087</v>
      </c>
      <c r="C2608" s="14" t="str">
        <f>IFERROR(_xlfn.TEXTJOIN("-", TRUE, _xlfn.XLOOKUP(K2608, product_category_id_lookup!$A$2:$A$5, product_category_id_lookup!$B$2:$B$5), B2608), "Unknown Category")</f>
        <v>fd-1087</v>
      </c>
      <c r="D2608" s="8">
        <v>45445</v>
      </c>
      <c r="E2608" s="14">
        <f t="shared" si="120"/>
        <v>2024</v>
      </c>
      <c r="F2608" s="29" t="str">
        <f t="shared" si="121"/>
        <v>Jun</v>
      </c>
      <c r="G2608" s="17" t="s">
        <v>33</v>
      </c>
      <c r="H2608" s="17" t="s">
        <v>30</v>
      </c>
      <c r="I2608" s="24">
        <v>115200.94559999999</v>
      </c>
      <c r="J2608" s="32">
        <v>39</v>
      </c>
      <c r="K2608" s="17" t="s">
        <v>24</v>
      </c>
      <c r="L2608" s="24">
        <v>2871.55</v>
      </c>
      <c r="M2608" s="24">
        <v>3558.88</v>
      </c>
      <c r="N2608" s="34">
        <f>((sales_data_1[[#This Row],[Unit_Price]]*(1-sales_data_1[[#This Row],[Discount]]))-sales_data_1[[#This Row],[Unit_Cost]])*sales_data_1[[#This Row],[Quantity_Sold]]</f>
        <v>3210.4955999999847</v>
      </c>
      <c r="O2608" s="17" t="s">
        <v>17</v>
      </c>
      <c r="P2608" s="26">
        <v>0.17</v>
      </c>
      <c r="Q2608" s="17" t="s">
        <v>28</v>
      </c>
      <c r="R2608" s="17" t="s">
        <v>21</v>
      </c>
      <c r="S2608" s="50" t="str">
        <f t="shared" si="122"/>
        <v>Alice-East</v>
      </c>
      <c r="T2608" s="59" t="str">
        <f>IF(ROUND(sales_data_1[[#This Row],[Profit_Margin]],2)=ROUND((sales_data_1[[#This Row],[Unit_Price]]*(1-sales_data_1[[#This Row],[Discount]]) - sales_data_1[[#This Row],[Unit_Cost]])*sales_data_1[[#This Row],[Quantity_Sold]],2), "PASS", "CHECK")</f>
        <v>PASS</v>
      </c>
    </row>
    <row r="2609" spans="1:20" x14ac:dyDescent="0.35">
      <c r="A2609" s="7">
        <v>2608</v>
      </c>
      <c r="B2609" s="9">
        <v>1095</v>
      </c>
      <c r="C2609" s="14" t="str">
        <f>IFERROR(_xlfn.TEXTJOIN("-", TRUE, _xlfn.XLOOKUP(K2609, product_category_id_lookup!$A$2:$A$5, product_category_id_lookup!$B$2:$B$5), B2609), "Unknown Category")</f>
        <v>ctg-1095</v>
      </c>
      <c r="D2609" s="8">
        <v>45446</v>
      </c>
      <c r="E2609" s="14">
        <f t="shared" si="120"/>
        <v>2024</v>
      </c>
      <c r="F2609" s="29" t="str">
        <f t="shared" si="121"/>
        <v>Jun</v>
      </c>
      <c r="G2609" s="17" t="s">
        <v>29</v>
      </c>
      <c r="H2609" s="17" t="s">
        <v>23</v>
      </c>
      <c r="I2609" s="24">
        <v>72992.934310821569</v>
      </c>
      <c r="J2609" s="32">
        <v>34</v>
      </c>
      <c r="K2609" s="17" t="s">
        <v>26</v>
      </c>
      <c r="L2609" s="24">
        <v>2132.36</v>
      </c>
      <c r="M2609" s="24">
        <v>2244.64</v>
      </c>
      <c r="N2609" s="34">
        <f>((sales_data_1[[#This Row],[Unit_Price]]*(1-sales_data_1[[#This Row],[Discount]]))-sales_data_1[[#This Row],[Unit_Cost]])*sales_data_1[[#This Row],[Quantity_Sold]]</f>
        <v>764.80959999998595</v>
      </c>
      <c r="O2609" s="17" t="s">
        <v>27</v>
      </c>
      <c r="P2609" s="26">
        <v>0.04</v>
      </c>
      <c r="Q2609" s="17" t="s">
        <v>18</v>
      </c>
      <c r="R2609" s="17" t="s">
        <v>21</v>
      </c>
      <c r="S2609" s="50" t="str">
        <f t="shared" si="122"/>
        <v>Charlie-South</v>
      </c>
      <c r="T2609" s="59" t="str">
        <f>IF(ROUND(sales_data_1[[#This Row],[Profit_Margin]],2)=ROUND((sales_data_1[[#This Row],[Unit_Price]]*(1-sales_data_1[[#This Row],[Discount]]) - sales_data_1[[#This Row],[Unit_Cost]])*sales_data_1[[#This Row],[Quantity_Sold]],2), "PASS", "CHECK")</f>
        <v>PASS</v>
      </c>
    </row>
    <row r="2610" spans="1:20" x14ac:dyDescent="0.35">
      <c r="A2610" s="7">
        <v>2609</v>
      </c>
      <c r="B2610" s="9">
        <v>1100</v>
      </c>
      <c r="C2610" s="14" t="str">
        <f>IFERROR(_xlfn.TEXTJOIN("-", TRUE, _xlfn.XLOOKUP(K2610, product_category_id_lookup!$A$2:$A$5, product_category_id_lookup!$B$2:$B$5), B2610), "Unknown Category")</f>
        <v>fd-1100</v>
      </c>
      <c r="D2610" s="8">
        <v>45446</v>
      </c>
      <c r="E2610" s="14">
        <f t="shared" si="120"/>
        <v>2024</v>
      </c>
      <c r="F2610" s="29" t="str">
        <f t="shared" si="121"/>
        <v>Jun</v>
      </c>
      <c r="G2610" s="17" t="s">
        <v>22</v>
      </c>
      <c r="H2610" s="17" t="s">
        <v>23</v>
      </c>
      <c r="I2610" s="24">
        <v>4740.1610000000001</v>
      </c>
      <c r="J2610" s="32">
        <v>2</v>
      </c>
      <c r="K2610" s="17" t="s">
        <v>24</v>
      </c>
      <c r="L2610" s="24">
        <v>663.94</v>
      </c>
      <c r="M2610" s="24">
        <v>2788.33</v>
      </c>
      <c r="N2610" s="34">
        <f>((sales_data_1[[#This Row],[Unit_Price]]*(1-sales_data_1[[#This Row],[Discount]]))-sales_data_1[[#This Row],[Unit_Cost]])*sales_data_1[[#This Row],[Quantity_Sold]]</f>
        <v>3412.2809999999999</v>
      </c>
      <c r="O2610" s="17" t="s">
        <v>27</v>
      </c>
      <c r="P2610" s="26">
        <v>0.15</v>
      </c>
      <c r="Q2610" s="17" t="s">
        <v>18</v>
      </c>
      <c r="R2610" s="17" t="s">
        <v>21</v>
      </c>
      <c r="S2610" s="50" t="str">
        <f t="shared" si="122"/>
        <v>David-South</v>
      </c>
      <c r="T2610" s="59" t="str">
        <f>IF(ROUND(sales_data_1[[#This Row],[Profit_Margin]],2)=ROUND((sales_data_1[[#This Row],[Unit_Price]]*(1-sales_data_1[[#This Row],[Discount]]) - sales_data_1[[#This Row],[Unit_Cost]])*sales_data_1[[#This Row],[Quantity_Sold]],2), "PASS", "CHECK")</f>
        <v>PASS</v>
      </c>
    </row>
    <row r="2611" spans="1:20" x14ac:dyDescent="0.35">
      <c r="A2611" s="7">
        <v>2610</v>
      </c>
      <c r="B2611" s="9">
        <v>1098</v>
      </c>
      <c r="C2611" s="14" t="str">
        <f>IFERROR(_xlfn.TEXTJOIN("-", TRUE, _xlfn.XLOOKUP(K2611, product_category_id_lookup!$A$2:$A$5, product_category_id_lookup!$B$2:$B$5), B2611), "Unknown Category")</f>
        <v>fnt-1098</v>
      </c>
      <c r="D2611" s="8">
        <v>45446</v>
      </c>
      <c r="E2611" s="14">
        <f t="shared" si="120"/>
        <v>2024</v>
      </c>
      <c r="F2611" s="29" t="str">
        <f t="shared" si="121"/>
        <v>Jun</v>
      </c>
      <c r="G2611" s="17" t="s">
        <v>29</v>
      </c>
      <c r="H2611" s="17" t="s">
        <v>15</v>
      </c>
      <c r="I2611" s="24">
        <v>102442.6305</v>
      </c>
      <c r="J2611" s="32">
        <v>29</v>
      </c>
      <c r="K2611" s="17" t="s">
        <v>16</v>
      </c>
      <c r="L2611" s="24">
        <v>1387.3</v>
      </c>
      <c r="M2611" s="24">
        <v>4060.35</v>
      </c>
      <c r="N2611" s="34">
        <f>((sales_data_1[[#This Row],[Unit_Price]]*(1-sales_data_1[[#This Row],[Discount]]))-sales_data_1[[#This Row],[Unit_Cost]])*sales_data_1[[#This Row],[Quantity_Sold]]</f>
        <v>62210.930499999995</v>
      </c>
      <c r="O2611" s="17" t="s">
        <v>17</v>
      </c>
      <c r="P2611" s="26">
        <v>0.13</v>
      </c>
      <c r="Q2611" s="17" t="s">
        <v>18</v>
      </c>
      <c r="R2611" s="17" t="s">
        <v>19</v>
      </c>
      <c r="S2611" s="50" t="str">
        <f t="shared" si="122"/>
        <v>Charlie-North</v>
      </c>
      <c r="T2611" s="59" t="str">
        <f>IF(ROUND(sales_data_1[[#This Row],[Profit_Margin]],2)=ROUND((sales_data_1[[#This Row],[Unit_Price]]*(1-sales_data_1[[#This Row],[Discount]]) - sales_data_1[[#This Row],[Unit_Cost]])*sales_data_1[[#This Row],[Quantity_Sold]],2), "PASS", "CHECK")</f>
        <v>PASS</v>
      </c>
    </row>
    <row r="2612" spans="1:20" x14ac:dyDescent="0.35">
      <c r="A2612" s="7">
        <v>2611</v>
      </c>
      <c r="B2612" s="9">
        <v>1032</v>
      </c>
      <c r="C2612" s="14" t="str">
        <f>IFERROR(_xlfn.TEXTJOIN("-", TRUE, _xlfn.XLOOKUP(K2612, product_category_id_lookup!$A$2:$A$5, product_category_id_lookup!$B$2:$B$5), B2612), "Unknown Category")</f>
        <v>ctg-1032</v>
      </c>
      <c r="D2612" s="8">
        <v>45447</v>
      </c>
      <c r="E2612" s="14">
        <f t="shared" si="120"/>
        <v>2024</v>
      </c>
      <c r="F2612" s="29" t="str">
        <f t="shared" si="121"/>
        <v>Jun</v>
      </c>
      <c r="G2612" s="17" t="s">
        <v>14</v>
      </c>
      <c r="H2612" s="17" t="s">
        <v>15</v>
      </c>
      <c r="I2612" s="24">
        <v>13930.423433837528</v>
      </c>
      <c r="J2612" s="32">
        <v>3</v>
      </c>
      <c r="K2612" s="17" t="s">
        <v>26</v>
      </c>
      <c r="L2612" s="24">
        <v>4221.82</v>
      </c>
      <c r="M2612" s="24">
        <v>4644.55</v>
      </c>
      <c r="N2612" s="34">
        <f>((sales_data_1[[#This Row],[Unit_Price]]*(1-sales_data_1[[#This Row],[Discount]]))-sales_data_1[[#This Row],[Unit_Cost]])*sales_data_1[[#This Row],[Quantity_Sold]]</f>
        <v>1268.1900000000014</v>
      </c>
      <c r="O2612" s="17" t="s">
        <v>27</v>
      </c>
      <c r="P2612" s="26">
        <v>0</v>
      </c>
      <c r="Q2612" s="17" t="s">
        <v>18</v>
      </c>
      <c r="R2612" s="17" t="s">
        <v>19</v>
      </c>
      <c r="S2612" s="50" t="str">
        <f t="shared" si="122"/>
        <v>Bob-North</v>
      </c>
      <c r="T2612" s="59" t="str">
        <f>IF(ROUND(sales_data_1[[#This Row],[Profit_Margin]],2)=ROUND((sales_data_1[[#This Row],[Unit_Price]]*(1-sales_data_1[[#This Row],[Discount]]) - sales_data_1[[#This Row],[Unit_Cost]])*sales_data_1[[#This Row],[Quantity_Sold]],2), "PASS", "CHECK")</f>
        <v>PASS</v>
      </c>
    </row>
    <row r="2613" spans="1:20" x14ac:dyDescent="0.35">
      <c r="A2613" s="7">
        <v>2612</v>
      </c>
      <c r="B2613" s="9">
        <v>1071</v>
      </c>
      <c r="C2613" s="14" t="str">
        <f>IFERROR(_xlfn.TEXTJOIN("-", TRUE, _xlfn.XLOOKUP(K2613, product_category_id_lookup!$A$2:$A$5, product_category_id_lookup!$B$2:$B$5), B2613), "Unknown Category")</f>
        <v>ctg-1071</v>
      </c>
      <c r="D2613" s="8">
        <v>45447</v>
      </c>
      <c r="E2613" s="14">
        <f t="shared" si="120"/>
        <v>2024</v>
      </c>
      <c r="F2613" s="29" t="str">
        <f t="shared" si="121"/>
        <v>Jun</v>
      </c>
      <c r="G2613" s="17" t="s">
        <v>22</v>
      </c>
      <c r="H2613" s="17" t="s">
        <v>20</v>
      </c>
      <c r="I2613" s="24">
        <v>8519.6009999999987</v>
      </c>
      <c r="J2613" s="32">
        <v>3</v>
      </c>
      <c r="K2613" s="17" t="s">
        <v>26</v>
      </c>
      <c r="L2613" s="24">
        <v>436.73</v>
      </c>
      <c r="M2613" s="24">
        <v>3341.02</v>
      </c>
      <c r="N2613" s="34">
        <f>((sales_data_1[[#This Row],[Unit_Price]]*(1-sales_data_1[[#This Row],[Discount]]))-sales_data_1[[#This Row],[Unit_Cost]])*sales_data_1[[#This Row],[Quantity_Sold]]</f>
        <v>7209.4109999999991</v>
      </c>
      <c r="O2613" s="17" t="s">
        <v>27</v>
      </c>
      <c r="P2613" s="26">
        <v>0.15</v>
      </c>
      <c r="Q2613" s="17" t="s">
        <v>28</v>
      </c>
      <c r="R2613" s="17" t="s">
        <v>19</v>
      </c>
      <c r="S2613" s="50" t="str">
        <f t="shared" si="122"/>
        <v>David-West</v>
      </c>
      <c r="T2613" s="59" t="str">
        <f>IF(ROUND(sales_data_1[[#This Row],[Profit_Margin]],2)=ROUND((sales_data_1[[#This Row],[Unit_Price]]*(1-sales_data_1[[#This Row],[Discount]]) - sales_data_1[[#This Row],[Unit_Cost]])*sales_data_1[[#This Row],[Quantity_Sold]],2), "PASS", "CHECK")</f>
        <v>PASS</v>
      </c>
    </row>
    <row r="2614" spans="1:20" x14ac:dyDescent="0.35">
      <c r="A2614" s="7">
        <v>2613</v>
      </c>
      <c r="B2614" s="9">
        <v>1011</v>
      </c>
      <c r="C2614" s="14" t="str">
        <f>IFERROR(_xlfn.TEXTJOIN("-", TRUE, _xlfn.XLOOKUP(K2614, product_category_id_lookup!$A$2:$A$5, product_category_id_lookup!$B$2:$B$5), B2614), "Unknown Category")</f>
        <v>etc-1011</v>
      </c>
      <c r="D2614" s="8">
        <v>45447</v>
      </c>
      <c r="E2614" s="14">
        <f t="shared" si="120"/>
        <v>2024</v>
      </c>
      <c r="F2614" s="29" t="str">
        <f t="shared" si="121"/>
        <v>Jun</v>
      </c>
      <c r="G2614" s="17" t="s">
        <v>29</v>
      </c>
      <c r="H2614" s="17" t="s">
        <v>20</v>
      </c>
      <c r="I2614" s="24">
        <v>173508.72000000003</v>
      </c>
      <c r="J2614" s="32">
        <v>50</v>
      </c>
      <c r="K2614" s="17" t="s">
        <v>31</v>
      </c>
      <c r="L2614" s="24">
        <v>3077.79</v>
      </c>
      <c r="M2614" s="24">
        <v>3943.38</v>
      </c>
      <c r="N2614" s="34">
        <f>((sales_data_1[[#This Row],[Unit_Price]]*(1-sales_data_1[[#This Row],[Discount]]))-sales_data_1[[#This Row],[Unit_Cost]])*sales_data_1[[#This Row],[Quantity_Sold]]</f>
        <v>19619.220000000019</v>
      </c>
      <c r="O2614" s="17" t="s">
        <v>17</v>
      </c>
      <c r="P2614" s="26">
        <v>0.12</v>
      </c>
      <c r="Q2614" s="17" t="s">
        <v>25</v>
      </c>
      <c r="R2614" s="17" t="s">
        <v>19</v>
      </c>
      <c r="S2614" s="50" t="str">
        <f t="shared" si="122"/>
        <v>Charlie-West</v>
      </c>
      <c r="T2614" s="59" t="str">
        <f>IF(ROUND(sales_data_1[[#This Row],[Profit_Margin]],2)=ROUND((sales_data_1[[#This Row],[Unit_Price]]*(1-sales_data_1[[#This Row],[Discount]]) - sales_data_1[[#This Row],[Unit_Cost]])*sales_data_1[[#This Row],[Quantity_Sold]],2), "PASS", "CHECK")</f>
        <v>PASS</v>
      </c>
    </row>
    <row r="2615" spans="1:20" x14ac:dyDescent="0.35">
      <c r="A2615" s="7">
        <v>2614</v>
      </c>
      <c r="B2615" s="9">
        <v>1058</v>
      </c>
      <c r="C2615" s="14" t="str">
        <f>IFERROR(_xlfn.TEXTJOIN("-", TRUE, _xlfn.XLOOKUP(K2615, product_category_id_lookup!$A$2:$A$5, product_category_id_lookup!$B$2:$B$5), B2615), "Unknown Category")</f>
        <v>ctg-1058</v>
      </c>
      <c r="D2615" s="8">
        <v>45447</v>
      </c>
      <c r="E2615" s="14">
        <f t="shared" si="120"/>
        <v>2024</v>
      </c>
      <c r="F2615" s="29" t="str">
        <f t="shared" si="121"/>
        <v>Jun</v>
      </c>
      <c r="G2615" s="17" t="s">
        <v>32</v>
      </c>
      <c r="H2615" s="17" t="s">
        <v>23</v>
      </c>
      <c r="I2615" s="24">
        <v>68847.866999999998</v>
      </c>
      <c r="J2615" s="32">
        <v>15</v>
      </c>
      <c r="K2615" s="17" t="s">
        <v>26</v>
      </c>
      <c r="L2615" s="24">
        <v>1419.17</v>
      </c>
      <c r="M2615" s="24">
        <v>4636.22</v>
      </c>
      <c r="N2615" s="34">
        <f>((sales_data_1[[#This Row],[Unit_Price]]*(1-sales_data_1[[#This Row],[Discount]]))-sales_data_1[[#This Row],[Unit_Cost]])*sales_data_1[[#This Row],[Quantity_Sold]]</f>
        <v>47560.316999999995</v>
      </c>
      <c r="O2615" s="17" t="s">
        <v>17</v>
      </c>
      <c r="P2615" s="26">
        <v>0.01</v>
      </c>
      <c r="Q2615" s="17" t="s">
        <v>25</v>
      </c>
      <c r="R2615" s="17" t="s">
        <v>21</v>
      </c>
      <c r="S2615" s="50" t="str">
        <f t="shared" si="122"/>
        <v>Eve-South</v>
      </c>
      <c r="T2615" s="59" t="str">
        <f>IF(ROUND(sales_data_1[[#This Row],[Profit_Margin]],2)=ROUND((sales_data_1[[#This Row],[Unit_Price]]*(1-sales_data_1[[#This Row],[Discount]]) - sales_data_1[[#This Row],[Unit_Cost]])*sales_data_1[[#This Row],[Quantity_Sold]],2), "PASS", "CHECK")</f>
        <v>PASS</v>
      </c>
    </row>
    <row r="2616" spans="1:20" x14ac:dyDescent="0.35">
      <c r="A2616" s="7">
        <v>2615</v>
      </c>
      <c r="B2616" s="9">
        <v>1029</v>
      </c>
      <c r="C2616" s="14" t="str">
        <f>IFERROR(_xlfn.TEXTJOIN("-", TRUE, _xlfn.XLOOKUP(K2616, product_category_id_lookup!$A$2:$A$5, product_category_id_lookup!$B$2:$B$5), B2616), "Unknown Category")</f>
        <v>fnt-1029</v>
      </c>
      <c r="D2616" s="8">
        <v>45448</v>
      </c>
      <c r="E2616" s="14">
        <f t="shared" si="120"/>
        <v>2024</v>
      </c>
      <c r="F2616" s="29" t="str">
        <f t="shared" si="121"/>
        <v>Jun</v>
      </c>
      <c r="G2616" s="17" t="s">
        <v>14</v>
      </c>
      <c r="H2616" s="17" t="s">
        <v>30</v>
      </c>
      <c r="I2616" s="24">
        <v>103554.48040009357</v>
      </c>
      <c r="J2616" s="32">
        <v>26</v>
      </c>
      <c r="K2616" s="17" t="s">
        <v>16</v>
      </c>
      <c r="L2616" s="24">
        <v>3792.81</v>
      </c>
      <c r="M2616" s="24">
        <v>4036.8</v>
      </c>
      <c r="N2616" s="34">
        <f>((sales_data_1[[#This Row],[Unit_Price]]*(1-sales_data_1[[#This Row],[Discount]]))-sales_data_1[[#This Row],[Unit_Cost]])*sales_data_1[[#This Row],[Quantity_Sold]]</f>
        <v>5294.1720000000078</v>
      </c>
      <c r="O2616" s="17" t="s">
        <v>27</v>
      </c>
      <c r="P2616" s="26">
        <v>0.01</v>
      </c>
      <c r="Q2616" s="17" t="s">
        <v>28</v>
      </c>
      <c r="R2616" s="17" t="s">
        <v>19</v>
      </c>
      <c r="S2616" s="50" t="str">
        <f t="shared" si="122"/>
        <v>Bob-East</v>
      </c>
      <c r="T2616" s="59" t="str">
        <f>IF(ROUND(sales_data_1[[#This Row],[Profit_Margin]],2)=ROUND((sales_data_1[[#This Row],[Unit_Price]]*(1-sales_data_1[[#This Row],[Discount]]) - sales_data_1[[#This Row],[Unit_Cost]])*sales_data_1[[#This Row],[Quantity_Sold]],2), "PASS", "CHECK")</f>
        <v>PASS</v>
      </c>
    </row>
    <row r="2617" spans="1:20" x14ac:dyDescent="0.35">
      <c r="A2617" s="7">
        <v>2616</v>
      </c>
      <c r="B2617" s="9">
        <v>1095</v>
      </c>
      <c r="C2617" s="14" t="str">
        <f>IFERROR(_xlfn.TEXTJOIN("-", TRUE, _xlfn.XLOOKUP(K2617, product_category_id_lookup!$A$2:$A$5, product_category_id_lookup!$B$2:$B$5), B2617), "Unknown Category")</f>
        <v>ctg-1095</v>
      </c>
      <c r="D2617" s="8">
        <v>45448</v>
      </c>
      <c r="E2617" s="14">
        <f t="shared" si="120"/>
        <v>2024</v>
      </c>
      <c r="F2617" s="29" t="str">
        <f t="shared" si="121"/>
        <v>Jun</v>
      </c>
      <c r="G2617" s="17" t="s">
        <v>32</v>
      </c>
      <c r="H2617" s="17" t="s">
        <v>15</v>
      </c>
      <c r="I2617" s="24">
        <v>31236.948799999998</v>
      </c>
      <c r="J2617" s="32">
        <v>41</v>
      </c>
      <c r="K2617" s="17" t="s">
        <v>26</v>
      </c>
      <c r="L2617" s="24">
        <v>637.51</v>
      </c>
      <c r="M2617" s="24">
        <v>785.44</v>
      </c>
      <c r="N2617" s="34">
        <f>((sales_data_1[[#This Row],[Unit_Price]]*(1-sales_data_1[[#This Row],[Discount]]))-sales_data_1[[#This Row],[Unit_Cost]])*sales_data_1[[#This Row],[Quantity_Sold]]</f>
        <v>5099.0388000000003</v>
      </c>
      <c r="O2617" s="17" t="s">
        <v>17</v>
      </c>
      <c r="P2617" s="26">
        <v>0.03</v>
      </c>
      <c r="Q2617" s="17" t="s">
        <v>18</v>
      </c>
      <c r="R2617" s="17" t="s">
        <v>21</v>
      </c>
      <c r="S2617" s="50" t="str">
        <f t="shared" si="122"/>
        <v>Eve-North</v>
      </c>
      <c r="T2617" s="59" t="str">
        <f>IF(ROUND(sales_data_1[[#This Row],[Profit_Margin]],2)=ROUND((sales_data_1[[#This Row],[Unit_Price]]*(1-sales_data_1[[#This Row],[Discount]]) - sales_data_1[[#This Row],[Unit_Cost]])*sales_data_1[[#This Row],[Quantity_Sold]],2), "PASS", "CHECK")</f>
        <v>PASS</v>
      </c>
    </row>
    <row r="2618" spans="1:20" x14ac:dyDescent="0.35">
      <c r="A2618" s="7">
        <v>2617</v>
      </c>
      <c r="B2618" s="9">
        <v>1027</v>
      </c>
      <c r="C2618" s="14" t="str">
        <f>IFERROR(_xlfn.TEXTJOIN("-", TRUE, _xlfn.XLOOKUP(K2618, product_category_id_lookup!$A$2:$A$5, product_category_id_lookup!$B$2:$B$5), B2618), "Unknown Category")</f>
        <v>etc-1027</v>
      </c>
      <c r="D2618" s="8">
        <v>45449</v>
      </c>
      <c r="E2618" s="14">
        <f t="shared" si="120"/>
        <v>2024</v>
      </c>
      <c r="F2618" s="29" t="str">
        <f t="shared" si="121"/>
        <v>Jun</v>
      </c>
      <c r="G2618" s="17" t="s">
        <v>22</v>
      </c>
      <c r="H2618" s="17" t="s">
        <v>20</v>
      </c>
      <c r="I2618" s="24">
        <v>62068.564799999993</v>
      </c>
      <c r="J2618" s="32">
        <v>16</v>
      </c>
      <c r="K2618" s="17" t="s">
        <v>31</v>
      </c>
      <c r="L2618" s="24">
        <v>3226.55</v>
      </c>
      <c r="M2618" s="24">
        <v>3918.47</v>
      </c>
      <c r="N2618" s="34">
        <f>((sales_data_1[[#This Row],[Unit_Price]]*(1-sales_data_1[[#This Row],[Discount]]))-sales_data_1[[#This Row],[Unit_Cost]])*sales_data_1[[#This Row],[Quantity_Sold]]</f>
        <v>10443.76479999999</v>
      </c>
      <c r="O2618" s="17" t="s">
        <v>17</v>
      </c>
      <c r="P2618" s="26">
        <v>0.01</v>
      </c>
      <c r="Q2618" s="17" t="s">
        <v>18</v>
      </c>
      <c r="R2618" s="17" t="s">
        <v>19</v>
      </c>
      <c r="S2618" s="50" t="str">
        <f t="shared" si="122"/>
        <v>David-West</v>
      </c>
      <c r="T2618" s="59" t="str">
        <f>IF(ROUND(sales_data_1[[#This Row],[Profit_Margin]],2)=ROUND((sales_data_1[[#This Row],[Unit_Price]]*(1-sales_data_1[[#This Row],[Discount]]) - sales_data_1[[#This Row],[Unit_Cost]])*sales_data_1[[#This Row],[Quantity_Sold]],2), "PASS", "CHECK")</f>
        <v>PASS</v>
      </c>
    </row>
    <row r="2619" spans="1:20" x14ac:dyDescent="0.35">
      <c r="A2619" s="7">
        <v>2618</v>
      </c>
      <c r="B2619" s="9">
        <v>1002</v>
      </c>
      <c r="C2619" s="14" t="str">
        <f>IFERROR(_xlfn.TEXTJOIN("-", TRUE, _xlfn.XLOOKUP(K2619, product_category_id_lookup!$A$2:$A$5, product_category_id_lookup!$B$2:$B$5), B2619), "Unknown Category")</f>
        <v>fnt-1002</v>
      </c>
      <c r="D2619" s="8">
        <v>45449</v>
      </c>
      <c r="E2619" s="14">
        <f t="shared" si="120"/>
        <v>2024</v>
      </c>
      <c r="F2619" s="29" t="str">
        <f t="shared" si="121"/>
        <v>Jun</v>
      </c>
      <c r="G2619" s="17" t="s">
        <v>33</v>
      </c>
      <c r="H2619" s="17" t="s">
        <v>23</v>
      </c>
      <c r="I2619" s="24">
        <v>73798.084799999997</v>
      </c>
      <c r="J2619" s="32">
        <v>27</v>
      </c>
      <c r="K2619" s="17" t="s">
        <v>16</v>
      </c>
      <c r="L2619" s="24">
        <v>1670.27</v>
      </c>
      <c r="M2619" s="24">
        <v>3105.98</v>
      </c>
      <c r="N2619" s="34">
        <f>((sales_data_1[[#This Row],[Unit_Price]]*(1-sales_data_1[[#This Row],[Discount]]))-sales_data_1[[#This Row],[Unit_Cost]])*sales_data_1[[#This Row],[Quantity_Sold]]</f>
        <v>28700.794800000003</v>
      </c>
      <c r="O2619" s="17" t="s">
        <v>17</v>
      </c>
      <c r="P2619" s="26">
        <v>0.12</v>
      </c>
      <c r="Q2619" s="17" t="s">
        <v>28</v>
      </c>
      <c r="R2619" s="17" t="s">
        <v>19</v>
      </c>
      <c r="S2619" s="50" t="str">
        <f t="shared" si="122"/>
        <v>Alice-South</v>
      </c>
      <c r="T2619" s="59" t="str">
        <f>IF(ROUND(sales_data_1[[#This Row],[Profit_Margin]],2)=ROUND((sales_data_1[[#This Row],[Unit_Price]]*(1-sales_data_1[[#This Row],[Discount]]) - sales_data_1[[#This Row],[Unit_Cost]])*sales_data_1[[#This Row],[Quantity_Sold]],2), "PASS", "CHECK")</f>
        <v>PASS</v>
      </c>
    </row>
    <row r="2620" spans="1:20" x14ac:dyDescent="0.35">
      <c r="A2620" s="7">
        <v>2619</v>
      </c>
      <c r="B2620" s="9">
        <v>1093</v>
      </c>
      <c r="C2620" s="14" t="str">
        <f>IFERROR(_xlfn.TEXTJOIN("-", TRUE, _xlfn.XLOOKUP(K2620, product_category_id_lookup!$A$2:$A$5, product_category_id_lookup!$B$2:$B$5), B2620), "Unknown Category")</f>
        <v>etc-1093</v>
      </c>
      <c r="D2620" s="8">
        <v>45449</v>
      </c>
      <c r="E2620" s="14">
        <f t="shared" si="120"/>
        <v>2024</v>
      </c>
      <c r="F2620" s="29" t="str">
        <f t="shared" si="121"/>
        <v>Jun</v>
      </c>
      <c r="G2620" s="17" t="s">
        <v>14</v>
      </c>
      <c r="H2620" s="17" t="s">
        <v>23</v>
      </c>
      <c r="I2620" s="24">
        <v>75109.007400000002</v>
      </c>
      <c r="J2620" s="32">
        <v>42</v>
      </c>
      <c r="K2620" s="17" t="s">
        <v>31</v>
      </c>
      <c r="L2620" s="24">
        <v>407.53</v>
      </c>
      <c r="M2620" s="24">
        <v>2154.59</v>
      </c>
      <c r="N2620" s="34">
        <f>((sales_data_1[[#This Row],[Unit_Price]]*(1-sales_data_1[[#This Row],[Discount]]))-sales_data_1[[#This Row],[Unit_Cost]])*sales_data_1[[#This Row],[Quantity_Sold]]</f>
        <v>57992.7474</v>
      </c>
      <c r="O2620" s="17" t="s">
        <v>17</v>
      </c>
      <c r="P2620" s="26">
        <v>0.17</v>
      </c>
      <c r="Q2620" s="17" t="s">
        <v>28</v>
      </c>
      <c r="R2620" s="17" t="s">
        <v>21</v>
      </c>
      <c r="S2620" s="50" t="str">
        <f t="shared" si="122"/>
        <v>Bob-South</v>
      </c>
      <c r="T2620" s="59" t="str">
        <f>IF(ROUND(sales_data_1[[#This Row],[Profit_Margin]],2)=ROUND((sales_data_1[[#This Row],[Unit_Price]]*(1-sales_data_1[[#This Row],[Discount]]) - sales_data_1[[#This Row],[Unit_Cost]])*sales_data_1[[#This Row],[Quantity_Sold]],2), "PASS", "CHECK")</f>
        <v>PASS</v>
      </c>
    </row>
    <row r="2621" spans="1:20" x14ac:dyDescent="0.35">
      <c r="A2621" s="7">
        <v>2620</v>
      </c>
      <c r="B2621" s="9">
        <v>1001</v>
      </c>
      <c r="C2621" s="14" t="str">
        <f>IFERROR(_xlfn.TEXTJOIN("-", TRUE, _xlfn.XLOOKUP(K2621, product_category_id_lookup!$A$2:$A$5, product_category_id_lookup!$B$2:$B$5), B2621), "Unknown Category")</f>
        <v>ctg-1001</v>
      </c>
      <c r="D2621" s="8">
        <v>45450</v>
      </c>
      <c r="E2621" s="14">
        <f t="shared" si="120"/>
        <v>2024</v>
      </c>
      <c r="F2621" s="29" t="str">
        <f t="shared" si="121"/>
        <v>Jun</v>
      </c>
      <c r="G2621" s="17" t="s">
        <v>22</v>
      </c>
      <c r="H2621" s="17" t="s">
        <v>15</v>
      </c>
      <c r="I2621" s="24">
        <v>3871.2978000000003</v>
      </c>
      <c r="J2621" s="32">
        <v>1</v>
      </c>
      <c r="K2621" s="17" t="s">
        <v>26</v>
      </c>
      <c r="L2621" s="24">
        <v>3633.26</v>
      </c>
      <c r="M2621" s="24">
        <v>4779.38</v>
      </c>
      <c r="N2621" s="34">
        <f>((sales_data_1[[#This Row],[Unit_Price]]*(1-sales_data_1[[#This Row],[Discount]]))-sales_data_1[[#This Row],[Unit_Cost]])*sales_data_1[[#This Row],[Quantity_Sold]]</f>
        <v>238.03780000000006</v>
      </c>
      <c r="O2621" s="17" t="s">
        <v>17</v>
      </c>
      <c r="P2621" s="26">
        <v>0.19</v>
      </c>
      <c r="Q2621" s="17" t="s">
        <v>25</v>
      </c>
      <c r="R2621" s="17" t="s">
        <v>21</v>
      </c>
      <c r="S2621" s="50" t="str">
        <f t="shared" si="122"/>
        <v>David-North</v>
      </c>
      <c r="T2621" s="59" t="str">
        <f>IF(ROUND(sales_data_1[[#This Row],[Profit_Margin]],2)=ROUND((sales_data_1[[#This Row],[Unit_Price]]*(1-sales_data_1[[#This Row],[Discount]]) - sales_data_1[[#This Row],[Unit_Cost]])*sales_data_1[[#This Row],[Quantity_Sold]],2), "PASS", "CHECK")</f>
        <v>PASS</v>
      </c>
    </row>
    <row r="2622" spans="1:20" x14ac:dyDescent="0.35">
      <c r="A2622" s="7">
        <v>2621</v>
      </c>
      <c r="B2622" s="9">
        <v>1096</v>
      </c>
      <c r="C2622" s="14" t="str">
        <f>IFERROR(_xlfn.TEXTJOIN("-", TRUE, _xlfn.XLOOKUP(K2622, product_category_id_lookup!$A$2:$A$5, product_category_id_lookup!$B$2:$B$5), B2622), "Unknown Category")</f>
        <v>fd-1096</v>
      </c>
      <c r="D2622" s="8">
        <v>45450</v>
      </c>
      <c r="E2622" s="14">
        <f t="shared" si="120"/>
        <v>2024</v>
      </c>
      <c r="F2622" s="29" t="str">
        <f t="shared" si="121"/>
        <v>Jun</v>
      </c>
      <c r="G2622" s="17" t="s">
        <v>32</v>
      </c>
      <c r="H2622" s="17" t="s">
        <v>30</v>
      </c>
      <c r="I2622" s="24">
        <v>184525.7568</v>
      </c>
      <c r="J2622" s="32">
        <v>42</v>
      </c>
      <c r="K2622" s="17" t="s">
        <v>24</v>
      </c>
      <c r="L2622" s="24">
        <v>3615.22</v>
      </c>
      <c r="M2622" s="24">
        <v>4992.58</v>
      </c>
      <c r="N2622" s="34">
        <f>((sales_data_1[[#This Row],[Unit_Price]]*(1-sales_data_1[[#This Row],[Discount]]))-sales_data_1[[#This Row],[Unit_Cost]])*sales_data_1[[#This Row],[Quantity_Sold]]</f>
        <v>32686.516800000016</v>
      </c>
      <c r="O2622" s="17" t="s">
        <v>27</v>
      </c>
      <c r="P2622" s="26">
        <v>0.12</v>
      </c>
      <c r="Q2622" s="17" t="s">
        <v>25</v>
      </c>
      <c r="R2622" s="17" t="s">
        <v>19</v>
      </c>
      <c r="S2622" s="50" t="str">
        <f t="shared" si="122"/>
        <v>Eve-East</v>
      </c>
      <c r="T2622" s="59" t="str">
        <f>IF(ROUND(sales_data_1[[#This Row],[Profit_Margin]],2)=ROUND((sales_data_1[[#This Row],[Unit_Price]]*(1-sales_data_1[[#This Row],[Discount]]) - sales_data_1[[#This Row],[Unit_Cost]])*sales_data_1[[#This Row],[Quantity_Sold]],2), "PASS", "CHECK")</f>
        <v>PASS</v>
      </c>
    </row>
    <row r="2623" spans="1:20" x14ac:dyDescent="0.35">
      <c r="A2623" s="7">
        <v>2622</v>
      </c>
      <c r="B2623" s="9">
        <v>1034</v>
      </c>
      <c r="C2623" s="14" t="str">
        <f>IFERROR(_xlfn.TEXTJOIN("-", TRUE, _xlfn.XLOOKUP(K2623, product_category_id_lookup!$A$2:$A$5, product_category_id_lookup!$B$2:$B$5), B2623), "Unknown Category")</f>
        <v>fd-1034</v>
      </c>
      <c r="D2623" s="8">
        <v>45450</v>
      </c>
      <c r="E2623" s="14">
        <f t="shared" si="120"/>
        <v>2024</v>
      </c>
      <c r="F2623" s="29" t="str">
        <f t="shared" si="121"/>
        <v>Jun</v>
      </c>
      <c r="G2623" s="17" t="s">
        <v>33</v>
      </c>
      <c r="H2623" s="17" t="s">
        <v>30</v>
      </c>
      <c r="I2623" s="24">
        <v>167718.44699999999</v>
      </c>
      <c r="J2623" s="32">
        <v>37</v>
      </c>
      <c r="K2623" s="17" t="s">
        <v>24</v>
      </c>
      <c r="L2623" s="24">
        <v>2824.21</v>
      </c>
      <c r="M2623" s="24">
        <v>5332.86</v>
      </c>
      <c r="N2623" s="34">
        <f>((sales_data_1[[#This Row],[Unit_Price]]*(1-sales_data_1[[#This Row],[Discount]]))-sales_data_1[[#This Row],[Unit_Cost]])*sales_data_1[[#This Row],[Quantity_Sold]]</f>
        <v>63222.676999999981</v>
      </c>
      <c r="O2623" s="17" t="s">
        <v>27</v>
      </c>
      <c r="P2623" s="26">
        <v>0.15</v>
      </c>
      <c r="Q2623" s="17" t="s">
        <v>25</v>
      </c>
      <c r="R2623" s="17" t="s">
        <v>21</v>
      </c>
      <c r="S2623" s="50" t="str">
        <f t="shared" si="122"/>
        <v>Alice-East</v>
      </c>
      <c r="T2623" s="59" t="str">
        <f>IF(ROUND(sales_data_1[[#This Row],[Profit_Margin]],2)=ROUND((sales_data_1[[#This Row],[Unit_Price]]*(1-sales_data_1[[#This Row],[Discount]]) - sales_data_1[[#This Row],[Unit_Cost]])*sales_data_1[[#This Row],[Quantity_Sold]],2), "PASS", "CHECK")</f>
        <v>PASS</v>
      </c>
    </row>
    <row r="2624" spans="1:20" x14ac:dyDescent="0.35">
      <c r="A2624" s="7">
        <v>2623</v>
      </c>
      <c r="B2624" s="9">
        <v>1079</v>
      </c>
      <c r="C2624" s="14" t="str">
        <f>IFERROR(_xlfn.TEXTJOIN("-", TRUE, _xlfn.XLOOKUP(K2624, product_category_id_lookup!$A$2:$A$5, product_category_id_lookup!$B$2:$B$5), B2624), "Unknown Category")</f>
        <v>fd-1079</v>
      </c>
      <c r="D2624" s="8">
        <v>45451</v>
      </c>
      <c r="E2624" s="14">
        <f t="shared" si="120"/>
        <v>2024</v>
      </c>
      <c r="F2624" s="29" t="str">
        <f t="shared" si="121"/>
        <v>Jun</v>
      </c>
      <c r="G2624" s="17" t="s">
        <v>22</v>
      </c>
      <c r="H2624" s="17" t="s">
        <v>30</v>
      </c>
      <c r="I2624" s="24">
        <v>36638.648200000003</v>
      </c>
      <c r="J2624" s="32">
        <v>17</v>
      </c>
      <c r="K2624" s="17" t="s">
        <v>24</v>
      </c>
      <c r="L2624" s="24">
        <v>1038.55</v>
      </c>
      <c r="M2624" s="24">
        <v>2798.98</v>
      </c>
      <c r="N2624" s="34">
        <f>((sales_data_1[[#This Row],[Unit_Price]]*(1-sales_data_1[[#This Row],[Discount]]))-sales_data_1[[#This Row],[Unit_Cost]])*sales_data_1[[#This Row],[Quantity_Sold]]</f>
        <v>18983.298200000005</v>
      </c>
      <c r="O2624" s="17" t="s">
        <v>27</v>
      </c>
      <c r="P2624" s="26">
        <v>0.23</v>
      </c>
      <c r="Q2624" s="17" t="s">
        <v>25</v>
      </c>
      <c r="R2624" s="17" t="s">
        <v>21</v>
      </c>
      <c r="S2624" s="50" t="str">
        <f t="shared" si="122"/>
        <v>David-East</v>
      </c>
      <c r="T2624" s="59" t="str">
        <f>IF(ROUND(sales_data_1[[#This Row],[Profit_Margin]],2)=ROUND((sales_data_1[[#This Row],[Unit_Price]]*(1-sales_data_1[[#This Row],[Discount]]) - sales_data_1[[#This Row],[Unit_Cost]])*sales_data_1[[#This Row],[Quantity_Sold]],2), "PASS", "CHECK")</f>
        <v>PASS</v>
      </c>
    </row>
    <row r="2625" spans="1:20" x14ac:dyDescent="0.35">
      <c r="A2625" s="7">
        <v>2624</v>
      </c>
      <c r="B2625" s="9">
        <v>1022</v>
      </c>
      <c r="C2625" s="14" t="str">
        <f>IFERROR(_xlfn.TEXTJOIN("-", TRUE, _xlfn.XLOOKUP(K2625, product_category_id_lookup!$A$2:$A$5, product_category_id_lookup!$B$2:$B$5), B2625), "Unknown Category")</f>
        <v>ctg-1022</v>
      </c>
      <c r="D2625" s="8">
        <v>45451</v>
      </c>
      <c r="E2625" s="14">
        <f t="shared" si="120"/>
        <v>2024</v>
      </c>
      <c r="F2625" s="29" t="str">
        <f t="shared" si="121"/>
        <v>Jun</v>
      </c>
      <c r="G2625" s="17" t="s">
        <v>33</v>
      </c>
      <c r="H2625" s="17" t="s">
        <v>23</v>
      </c>
      <c r="I2625" s="24">
        <v>144730.9546</v>
      </c>
      <c r="J2625" s="32">
        <v>46</v>
      </c>
      <c r="K2625" s="17" t="s">
        <v>26</v>
      </c>
      <c r="L2625" s="24">
        <v>1269.51</v>
      </c>
      <c r="M2625" s="24">
        <v>3982.69</v>
      </c>
      <c r="N2625" s="34">
        <f>((sales_data_1[[#This Row],[Unit_Price]]*(1-sales_data_1[[#This Row],[Discount]]))-sales_data_1[[#This Row],[Unit_Cost]])*sales_data_1[[#This Row],[Quantity_Sold]]</f>
        <v>86333.494600000005</v>
      </c>
      <c r="O2625" s="17" t="s">
        <v>17</v>
      </c>
      <c r="P2625" s="26">
        <v>0.21</v>
      </c>
      <c r="Q2625" s="17" t="s">
        <v>28</v>
      </c>
      <c r="R2625" s="17" t="s">
        <v>21</v>
      </c>
      <c r="S2625" s="50" t="str">
        <f t="shared" si="122"/>
        <v>Alice-South</v>
      </c>
      <c r="T2625" s="59" t="str">
        <f>IF(ROUND(sales_data_1[[#This Row],[Profit_Margin]],2)=ROUND((sales_data_1[[#This Row],[Unit_Price]]*(1-sales_data_1[[#This Row],[Discount]]) - sales_data_1[[#This Row],[Unit_Cost]])*sales_data_1[[#This Row],[Quantity_Sold]],2), "PASS", "CHECK")</f>
        <v>PASS</v>
      </c>
    </row>
    <row r="2626" spans="1:20" x14ac:dyDescent="0.35">
      <c r="A2626" s="7">
        <v>2625</v>
      </c>
      <c r="B2626" s="9">
        <v>1069</v>
      </c>
      <c r="C2626" s="14" t="str">
        <f>IFERROR(_xlfn.TEXTJOIN("-", TRUE, _xlfn.XLOOKUP(K2626, product_category_id_lookup!$A$2:$A$5, product_category_id_lookup!$B$2:$B$5), B2626), "Unknown Category")</f>
        <v>etc-1069</v>
      </c>
      <c r="D2626" s="8">
        <v>45452</v>
      </c>
      <c r="E2626" s="14">
        <f t="shared" ref="E2626:E2689" si="123">YEAR(D2626)</f>
        <v>2024</v>
      </c>
      <c r="F2626" s="29" t="str">
        <f t="shared" ref="F2626:F2689" si="124">LEFT(TEXT(D2626,"mmmm"),3)</f>
        <v>Jun</v>
      </c>
      <c r="G2626" s="17" t="s">
        <v>33</v>
      </c>
      <c r="H2626" s="17" t="s">
        <v>15</v>
      </c>
      <c r="I2626" s="24">
        <v>39097.432511733517</v>
      </c>
      <c r="J2626" s="32">
        <v>9</v>
      </c>
      <c r="K2626" s="17" t="s">
        <v>31</v>
      </c>
      <c r="L2626" s="24">
        <v>4264.75</v>
      </c>
      <c r="M2626" s="24">
        <v>4353.45</v>
      </c>
      <c r="N2626" s="34">
        <f>((sales_data_1[[#This Row],[Unit_Price]]*(1-sales_data_1[[#This Row],[Discount]]))-sales_data_1[[#This Row],[Unit_Cost]])*sales_data_1[[#This Row],[Quantity_Sold]]</f>
        <v>798.29999999999836</v>
      </c>
      <c r="O2626" s="17" t="s">
        <v>17</v>
      </c>
      <c r="P2626" s="26">
        <v>0</v>
      </c>
      <c r="Q2626" s="17" t="s">
        <v>18</v>
      </c>
      <c r="R2626" s="17" t="s">
        <v>19</v>
      </c>
      <c r="S2626" s="50" t="str">
        <f t="shared" ref="S2626:S2689" si="125">_xlfn.CONCAT(G2626,"-",H2626)</f>
        <v>Alice-North</v>
      </c>
      <c r="T2626" s="59" t="str">
        <f>IF(ROUND(sales_data_1[[#This Row],[Profit_Margin]],2)=ROUND((sales_data_1[[#This Row],[Unit_Price]]*(1-sales_data_1[[#This Row],[Discount]]) - sales_data_1[[#This Row],[Unit_Cost]])*sales_data_1[[#This Row],[Quantity_Sold]],2), "PASS", "CHECK")</f>
        <v>PASS</v>
      </c>
    </row>
    <row r="2627" spans="1:20" x14ac:dyDescent="0.35">
      <c r="A2627" s="7">
        <v>2626</v>
      </c>
      <c r="B2627" s="9">
        <v>1091</v>
      </c>
      <c r="C2627" s="14" t="str">
        <f>IFERROR(_xlfn.TEXTJOIN("-", TRUE, _xlfn.XLOOKUP(K2627, product_category_id_lookup!$A$2:$A$5, product_category_id_lookup!$B$2:$B$5), B2627), "Unknown Category")</f>
        <v>etc-1091</v>
      </c>
      <c r="D2627" s="8">
        <v>45452</v>
      </c>
      <c r="E2627" s="14">
        <f t="shared" si="123"/>
        <v>2024</v>
      </c>
      <c r="F2627" s="29" t="str">
        <f t="shared" si="124"/>
        <v>Jun</v>
      </c>
      <c r="G2627" s="17" t="s">
        <v>22</v>
      </c>
      <c r="H2627" s="17" t="s">
        <v>20</v>
      </c>
      <c r="I2627" s="24">
        <v>6372.4182000000001</v>
      </c>
      <c r="J2627" s="32">
        <v>2</v>
      </c>
      <c r="K2627" s="17" t="s">
        <v>31</v>
      </c>
      <c r="L2627" s="24">
        <v>2763.91</v>
      </c>
      <c r="M2627" s="24">
        <v>4364.67</v>
      </c>
      <c r="N2627" s="34">
        <f>((sales_data_1[[#This Row],[Unit_Price]]*(1-sales_data_1[[#This Row],[Discount]]))-sales_data_1[[#This Row],[Unit_Cost]])*sales_data_1[[#This Row],[Quantity_Sold]]</f>
        <v>844.59820000000036</v>
      </c>
      <c r="O2627" s="17" t="s">
        <v>17</v>
      </c>
      <c r="P2627" s="26">
        <v>0.27</v>
      </c>
      <c r="Q2627" s="17" t="s">
        <v>25</v>
      </c>
      <c r="R2627" s="17" t="s">
        <v>21</v>
      </c>
      <c r="S2627" s="50" t="str">
        <f t="shared" si="125"/>
        <v>David-West</v>
      </c>
      <c r="T2627" s="59" t="str">
        <f>IF(ROUND(sales_data_1[[#This Row],[Profit_Margin]],2)=ROUND((sales_data_1[[#This Row],[Unit_Price]]*(1-sales_data_1[[#This Row],[Discount]]) - sales_data_1[[#This Row],[Unit_Cost]])*sales_data_1[[#This Row],[Quantity_Sold]],2), "PASS", "CHECK")</f>
        <v>PASS</v>
      </c>
    </row>
    <row r="2628" spans="1:20" x14ac:dyDescent="0.35">
      <c r="A2628" s="7">
        <v>2627</v>
      </c>
      <c r="B2628" s="9">
        <v>1023</v>
      </c>
      <c r="C2628" s="14" t="str">
        <f>IFERROR(_xlfn.TEXTJOIN("-", TRUE, _xlfn.XLOOKUP(K2628, product_category_id_lookup!$A$2:$A$5, product_category_id_lookup!$B$2:$B$5), B2628), "Unknown Category")</f>
        <v>fd-1023</v>
      </c>
      <c r="D2628" s="8">
        <v>45452</v>
      </c>
      <c r="E2628" s="14">
        <f t="shared" si="123"/>
        <v>2024</v>
      </c>
      <c r="F2628" s="29" t="str">
        <f t="shared" si="124"/>
        <v>Jun</v>
      </c>
      <c r="G2628" s="17" t="s">
        <v>29</v>
      </c>
      <c r="H2628" s="17" t="s">
        <v>15</v>
      </c>
      <c r="I2628" s="24">
        <v>89827.971999999994</v>
      </c>
      <c r="J2628" s="32">
        <v>46</v>
      </c>
      <c r="K2628" s="17" t="s">
        <v>24</v>
      </c>
      <c r="L2628" s="24">
        <v>674.48</v>
      </c>
      <c r="M2628" s="24">
        <v>2055.56</v>
      </c>
      <c r="N2628" s="34">
        <f>((sales_data_1[[#This Row],[Unit_Price]]*(1-sales_data_1[[#This Row],[Discount]]))-sales_data_1[[#This Row],[Unit_Cost]])*sales_data_1[[#This Row],[Quantity_Sold]]</f>
        <v>58801.891999999993</v>
      </c>
      <c r="O2628" s="17" t="s">
        <v>17</v>
      </c>
      <c r="P2628" s="26">
        <v>0.05</v>
      </c>
      <c r="Q2628" s="17" t="s">
        <v>25</v>
      </c>
      <c r="R2628" s="17" t="s">
        <v>19</v>
      </c>
      <c r="S2628" s="50" t="str">
        <f t="shared" si="125"/>
        <v>Charlie-North</v>
      </c>
      <c r="T2628" s="59" t="str">
        <f>IF(ROUND(sales_data_1[[#This Row],[Profit_Margin]],2)=ROUND((sales_data_1[[#This Row],[Unit_Price]]*(1-sales_data_1[[#This Row],[Discount]]) - sales_data_1[[#This Row],[Unit_Cost]])*sales_data_1[[#This Row],[Quantity_Sold]],2), "PASS", "CHECK")</f>
        <v>PASS</v>
      </c>
    </row>
    <row r="2629" spans="1:20" x14ac:dyDescent="0.35">
      <c r="A2629" s="7">
        <v>2628</v>
      </c>
      <c r="B2629" s="9">
        <v>1023</v>
      </c>
      <c r="C2629" s="14" t="str">
        <f>IFERROR(_xlfn.TEXTJOIN("-", TRUE, _xlfn.XLOOKUP(K2629, product_category_id_lookup!$A$2:$A$5, product_category_id_lookup!$B$2:$B$5), B2629), "Unknown Category")</f>
        <v>ctg-1023</v>
      </c>
      <c r="D2629" s="8">
        <v>45452</v>
      </c>
      <c r="E2629" s="14">
        <f t="shared" si="123"/>
        <v>2024</v>
      </c>
      <c r="F2629" s="29" t="str">
        <f t="shared" si="124"/>
        <v>Jun</v>
      </c>
      <c r="G2629" s="17" t="s">
        <v>29</v>
      </c>
      <c r="H2629" s="17" t="s">
        <v>30</v>
      </c>
      <c r="I2629" s="24">
        <v>94843.819199999998</v>
      </c>
      <c r="J2629" s="32">
        <v>24</v>
      </c>
      <c r="K2629" s="17" t="s">
        <v>26</v>
      </c>
      <c r="L2629" s="24">
        <v>405.56</v>
      </c>
      <c r="M2629" s="24">
        <v>4204.07</v>
      </c>
      <c r="N2629" s="34">
        <f>((sales_data_1[[#This Row],[Unit_Price]]*(1-sales_data_1[[#This Row],[Discount]]))-sales_data_1[[#This Row],[Unit_Cost]])*sales_data_1[[#This Row],[Quantity_Sold]]</f>
        <v>85110.379199999996</v>
      </c>
      <c r="O2629" s="17" t="s">
        <v>27</v>
      </c>
      <c r="P2629" s="26">
        <v>0.06</v>
      </c>
      <c r="Q2629" s="17" t="s">
        <v>28</v>
      </c>
      <c r="R2629" s="17" t="s">
        <v>21</v>
      </c>
      <c r="S2629" s="50" t="str">
        <f t="shared" si="125"/>
        <v>Charlie-East</v>
      </c>
      <c r="T2629" s="59" t="str">
        <f>IF(ROUND(sales_data_1[[#This Row],[Profit_Margin]],2)=ROUND((sales_data_1[[#This Row],[Unit_Price]]*(1-sales_data_1[[#This Row],[Discount]]) - sales_data_1[[#This Row],[Unit_Cost]])*sales_data_1[[#This Row],[Quantity_Sold]],2), "PASS", "CHECK")</f>
        <v>PASS</v>
      </c>
    </row>
    <row r="2630" spans="1:20" x14ac:dyDescent="0.35">
      <c r="A2630" s="7">
        <v>2629</v>
      </c>
      <c r="B2630" s="9">
        <v>1018</v>
      </c>
      <c r="C2630" s="14" t="str">
        <f>IFERROR(_xlfn.TEXTJOIN("-", TRUE, _xlfn.XLOOKUP(K2630, product_category_id_lookup!$A$2:$A$5, product_category_id_lookup!$B$2:$B$5), B2630), "Unknown Category")</f>
        <v>fnt-1018</v>
      </c>
      <c r="D2630" s="8">
        <v>45452</v>
      </c>
      <c r="E2630" s="14">
        <f t="shared" si="123"/>
        <v>2024</v>
      </c>
      <c r="F2630" s="29" t="str">
        <f t="shared" si="124"/>
        <v>Jun</v>
      </c>
      <c r="G2630" s="17" t="s">
        <v>33</v>
      </c>
      <c r="H2630" s="17" t="s">
        <v>15</v>
      </c>
      <c r="I2630" s="24">
        <v>150773.64120000001</v>
      </c>
      <c r="J2630" s="32">
        <v>42</v>
      </c>
      <c r="K2630" s="17" t="s">
        <v>16</v>
      </c>
      <c r="L2630" s="24">
        <v>1173.99</v>
      </c>
      <c r="M2630" s="24">
        <v>4602.37</v>
      </c>
      <c r="N2630" s="34">
        <f>((sales_data_1[[#This Row],[Unit_Price]]*(1-sales_data_1[[#This Row],[Discount]]))-sales_data_1[[#This Row],[Unit_Cost]])*sales_data_1[[#This Row],[Quantity_Sold]]</f>
        <v>101466.06120000003</v>
      </c>
      <c r="O2630" s="17" t="s">
        <v>17</v>
      </c>
      <c r="P2630" s="26">
        <v>0.22</v>
      </c>
      <c r="Q2630" s="17" t="s">
        <v>25</v>
      </c>
      <c r="R2630" s="17" t="s">
        <v>19</v>
      </c>
      <c r="S2630" s="50" t="str">
        <f t="shared" si="125"/>
        <v>Alice-North</v>
      </c>
      <c r="T2630" s="59" t="str">
        <f>IF(ROUND(sales_data_1[[#This Row],[Profit_Margin]],2)=ROUND((sales_data_1[[#This Row],[Unit_Price]]*(1-sales_data_1[[#This Row],[Discount]]) - sales_data_1[[#This Row],[Unit_Cost]])*sales_data_1[[#This Row],[Quantity_Sold]],2), "PASS", "CHECK")</f>
        <v>PASS</v>
      </c>
    </row>
    <row r="2631" spans="1:20" x14ac:dyDescent="0.35">
      <c r="A2631" s="7">
        <v>2630</v>
      </c>
      <c r="B2631" s="9">
        <v>1070</v>
      </c>
      <c r="C2631" s="14" t="str">
        <f>IFERROR(_xlfn.TEXTJOIN("-", TRUE, _xlfn.XLOOKUP(K2631, product_category_id_lookup!$A$2:$A$5, product_category_id_lookup!$B$2:$B$5), B2631), "Unknown Category")</f>
        <v>fnt-1070</v>
      </c>
      <c r="D2631" s="8">
        <v>45453</v>
      </c>
      <c r="E2631" s="14">
        <f t="shared" si="123"/>
        <v>2024</v>
      </c>
      <c r="F2631" s="29" t="str">
        <f t="shared" si="124"/>
        <v>Jun</v>
      </c>
      <c r="G2631" s="17" t="s">
        <v>29</v>
      </c>
      <c r="H2631" s="17" t="s">
        <v>15</v>
      </c>
      <c r="I2631" s="24">
        <v>120979.58330036524</v>
      </c>
      <c r="J2631" s="32">
        <v>30</v>
      </c>
      <c r="K2631" s="17" t="s">
        <v>16</v>
      </c>
      <c r="L2631" s="24">
        <v>3984.48</v>
      </c>
      <c r="M2631" s="24">
        <v>4048.21</v>
      </c>
      <c r="N2631" s="34">
        <f>((sales_data_1[[#This Row],[Unit_Price]]*(1-sales_data_1[[#This Row],[Discount]]))-sales_data_1[[#This Row],[Unit_Cost]])*sales_data_1[[#This Row],[Quantity_Sold]]</f>
        <v>1911.9000000000005</v>
      </c>
      <c r="O2631" s="17" t="s">
        <v>17</v>
      </c>
      <c r="P2631" s="26">
        <v>0</v>
      </c>
      <c r="Q2631" s="17" t="s">
        <v>28</v>
      </c>
      <c r="R2631" s="17" t="s">
        <v>21</v>
      </c>
      <c r="S2631" s="50" t="str">
        <f t="shared" si="125"/>
        <v>Charlie-North</v>
      </c>
      <c r="T2631" s="59" t="str">
        <f>IF(ROUND(sales_data_1[[#This Row],[Profit_Margin]],2)=ROUND((sales_data_1[[#This Row],[Unit_Price]]*(1-sales_data_1[[#This Row],[Discount]]) - sales_data_1[[#This Row],[Unit_Cost]])*sales_data_1[[#This Row],[Quantity_Sold]],2), "PASS", "CHECK")</f>
        <v>PASS</v>
      </c>
    </row>
    <row r="2632" spans="1:20" x14ac:dyDescent="0.35">
      <c r="A2632" s="7">
        <v>2631</v>
      </c>
      <c r="B2632" s="9">
        <v>1088</v>
      </c>
      <c r="C2632" s="14" t="str">
        <f>IFERROR(_xlfn.TEXTJOIN("-", TRUE, _xlfn.XLOOKUP(K2632, product_category_id_lookup!$A$2:$A$5, product_category_id_lookup!$B$2:$B$5), B2632), "Unknown Category")</f>
        <v>etc-1088</v>
      </c>
      <c r="D2632" s="8">
        <v>45453</v>
      </c>
      <c r="E2632" s="14">
        <f t="shared" si="123"/>
        <v>2024</v>
      </c>
      <c r="F2632" s="29" t="str">
        <f t="shared" si="124"/>
        <v>Jun</v>
      </c>
      <c r="G2632" s="17" t="s">
        <v>14</v>
      </c>
      <c r="H2632" s="17" t="s">
        <v>20</v>
      </c>
      <c r="I2632" s="24">
        <v>108198.56192387035</v>
      </c>
      <c r="J2632" s="32">
        <v>42</v>
      </c>
      <c r="K2632" s="17" t="s">
        <v>31</v>
      </c>
      <c r="L2632" s="24">
        <v>2394.31</v>
      </c>
      <c r="M2632" s="24">
        <v>2681.19</v>
      </c>
      <c r="N2632" s="34">
        <f>((sales_data_1[[#This Row],[Unit_Price]]*(1-sales_data_1[[#This Row],[Discount]]))-sales_data_1[[#This Row],[Unit_Cost]])*sales_data_1[[#This Row],[Quantity_Sold]]</f>
        <v>7544.5607999999984</v>
      </c>
      <c r="O2632" s="17" t="s">
        <v>17</v>
      </c>
      <c r="P2632" s="26">
        <v>0.04</v>
      </c>
      <c r="Q2632" s="17" t="s">
        <v>28</v>
      </c>
      <c r="R2632" s="17" t="s">
        <v>19</v>
      </c>
      <c r="S2632" s="50" t="str">
        <f t="shared" si="125"/>
        <v>Bob-West</v>
      </c>
      <c r="T2632" s="59" t="str">
        <f>IF(ROUND(sales_data_1[[#This Row],[Profit_Margin]],2)=ROUND((sales_data_1[[#This Row],[Unit_Price]]*(1-sales_data_1[[#This Row],[Discount]]) - sales_data_1[[#This Row],[Unit_Cost]])*sales_data_1[[#This Row],[Quantity_Sold]],2), "PASS", "CHECK")</f>
        <v>PASS</v>
      </c>
    </row>
    <row r="2633" spans="1:20" x14ac:dyDescent="0.35">
      <c r="A2633" s="7">
        <v>2632</v>
      </c>
      <c r="B2633" s="9">
        <v>1006</v>
      </c>
      <c r="C2633" s="14" t="str">
        <f>IFERROR(_xlfn.TEXTJOIN("-", TRUE, _xlfn.XLOOKUP(K2633, product_category_id_lookup!$A$2:$A$5, product_category_id_lookup!$B$2:$B$5), B2633), "Unknown Category")</f>
        <v>etc-1006</v>
      </c>
      <c r="D2633" s="8">
        <v>45453</v>
      </c>
      <c r="E2633" s="14">
        <f t="shared" si="123"/>
        <v>2024</v>
      </c>
      <c r="F2633" s="29" t="str">
        <f t="shared" si="124"/>
        <v>Jun</v>
      </c>
      <c r="G2633" s="17" t="s">
        <v>14</v>
      </c>
      <c r="H2633" s="17" t="s">
        <v>15</v>
      </c>
      <c r="I2633" s="24">
        <v>12636.8228</v>
      </c>
      <c r="J2633" s="32">
        <v>7</v>
      </c>
      <c r="K2633" s="17" t="s">
        <v>31</v>
      </c>
      <c r="L2633" s="24">
        <v>407.22</v>
      </c>
      <c r="M2633" s="24">
        <v>2099.14</v>
      </c>
      <c r="N2633" s="34">
        <f>((sales_data_1[[#This Row],[Unit_Price]]*(1-sales_data_1[[#This Row],[Discount]]))-sales_data_1[[#This Row],[Unit_Cost]])*sales_data_1[[#This Row],[Quantity_Sold]]</f>
        <v>9786.282799999999</v>
      </c>
      <c r="O2633" s="17" t="s">
        <v>17</v>
      </c>
      <c r="P2633" s="26">
        <v>0.14000000000000001</v>
      </c>
      <c r="Q2633" s="17" t="s">
        <v>25</v>
      </c>
      <c r="R2633" s="17" t="s">
        <v>21</v>
      </c>
      <c r="S2633" s="50" t="str">
        <f t="shared" si="125"/>
        <v>Bob-North</v>
      </c>
      <c r="T2633" s="59" t="str">
        <f>IF(ROUND(sales_data_1[[#This Row],[Profit_Margin]],2)=ROUND((sales_data_1[[#This Row],[Unit_Price]]*(1-sales_data_1[[#This Row],[Discount]]) - sales_data_1[[#This Row],[Unit_Cost]])*sales_data_1[[#This Row],[Quantity_Sold]],2), "PASS", "CHECK")</f>
        <v>PASS</v>
      </c>
    </row>
    <row r="2634" spans="1:20" x14ac:dyDescent="0.35">
      <c r="A2634" s="7">
        <v>2633</v>
      </c>
      <c r="B2634" s="9">
        <v>1094</v>
      </c>
      <c r="C2634" s="14" t="str">
        <f>IFERROR(_xlfn.TEXTJOIN("-", TRUE, _xlfn.XLOOKUP(K2634, product_category_id_lookup!$A$2:$A$5, product_category_id_lookup!$B$2:$B$5), B2634), "Unknown Category")</f>
        <v>etc-1094</v>
      </c>
      <c r="D2634" s="8">
        <v>45453</v>
      </c>
      <c r="E2634" s="14">
        <f t="shared" si="123"/>
        <v>2024</v>
      </c>
      <c r="F2634" s="29" t="str">
        <f t="shared" si="124"/>
        <v>Jun</v>
      </c>
      <c r="G2634" s="17" t="s">
        <v>14</v>
      </c>
      <c r="H2634" s="17" t="s">
        <v>20</v>
      </c>
      <c r="I2634" s="24">
        <v>57393.757374034343</v>
      </c>
      <c r="J2634" s="32">
        <v>24</v>
      </c>
      <c r="K2634" s="17" t="s">
        <v>31</v>
      </c>
      <c r="L2634" s="24">
        <v>1916.55</v>
      </c>
      <c r="M2634" s="24">
        <v>2506.12</v>
      </c>
      <c r="N2634" s="34">
        <f>((sales_data_1[[#This Row],[Unit_Price]]*(1-sales_data_1[[#This Row],[Discount]]))-sales_data_1[[#This Row],[Unit_Cost]])*sales_data_1[[#This Row],[Quantity_Sold]]</f>
        <v>11142.335999999998</v>
      </c>
      <c r="O2634" s="17" t="s">
        <v>17</v>
      </c>
      <c r="P2634" s="26">
        <v>0.05</v>
      </c>
      <c r="Q2634" s="17" t="s">
        <v>18</v>
      </c>
      <c r="R2634" s="17" t="s">
        <v>19</v>
      </c>
      <c r="S2634" s="50" t="str">
        <f t="shared" si="125"/>
        <v>Bob-West</v>
      </c>
      <c r="T2634" s="59" t="str">
        <f>IF(ROUND(sales_data_1[[#This Row],[Profit_Margin]],2)=ROUND((sales_data_1[[#This Row],[Unit_Price]]*(1-sales_data_1[[#This Row],[Discount]]) - sales_data_1[[#This Row],[Unit_Cost]])*sales_data_1[[#This Row],[Quantity_Sold]],2), "PASS", "CHECK")</f>
        <v>PASS</v>
      </c>
    </row>
    <row r="2635" spans="1:20" x14ac:dyDescent="0.35">
      <c r="A2635" s="7">
        <v>2634</v>
      </c>
      <c r="B2635" s="9">
        <v>1024</v>
      </c>
      <c r="C2635" s="14" t="str">
        <f>IFERROR(_xlfn.TEXTJOIN("-", TRUE, _xlfn.XLOOKUP(K2635, product_category_id_lookup!$A$2:$A$5, product_category_id_lookup!$B$2:$B$5), B2635), "Unknown Category")</f>
        <v>fd-1024</v>
      </c>
      <c r="D2635" s="8">
        <v>45453</v>
      </c>
      <c r="E2635" s="14">
        <f t="shared" si="123"/>
        <v>2024</v>
      </c>
      <c r="F2635" s="29" t="str">
        <f t="shared" si="124"/>
        <v>Jun</v>
      </c>
      <c r="G2635" s="17" t="s">
        <v>22</v>
      </c>
      <c r="H2635" s="17" t="s">
        <v>15</v>
      </c>
      <c r="I2635" s="24">
        <v>39787.159500000002</v>
      </c>
      <c r="J2635" s="32">
        <v>9</v>
      </c>
      <c r="K2635" s="17" t="s">
        <v>24</v>
      </c>
      <c r="L2635" s="24">
        <v>2632.86</v>
      </c>
      <c r="M2635" s="24">
        <v>4465.45</v>
      </c>
      <c r="N2635" s="34">
        <f>((sales_data_1[[#This Row],[Unit_Price]]*(1-sales_data_1[[#This Row],[Discount]]))-sales_data_1[[#This Row],[Unit_Cost]])*sales_data_1[[#This Row],[Quantity_Sold]]</f>
        <v>16091.4195</v>
      </c>
      <c r="O2635" s="17" t="s">
        <v>17</v>
      </c>
      <c r="P2635" s="26">
        <v>0.01</v>
      </c>
      <c r="Q2635" s="17" t="s">
        <v>18</v>
      </c>
      <c r="R2635" s="17" t="s">
        <v>19</v>
      </c>
      <c r="S2635" s="50" t="str">
        <f t="shared" si="125"/>
        <v>David-North</v>
      </c>
      <c r="T2635" s="59" t="str">
        <f>IF(ROUND(sales_data_1[[#This Row],[Profit_Margin]],2)=ROUND((sales_data_1[[#This Row],[Unit_Price]]*(1-sales_data_1[[#This Row],[Discount]]) - sales_data_1[[#This Row],[Unit_Cost]])*sales_data_1[[#This Row],[Quantity_Sold]],2), "PASS", "CHECK")</f>
        <v>PASS</v>
      </c>
    </row>
    <row r="2636" spans="1:20" x14ac:dyDescent="0.35">
      <c r="A2636" s="7">
        <v>2635</v>
      </c>
      <c r="B2636" s="9">
        <v>1004</v>
      </c>
      <c r="C2636" s="14" t="str">
        <f>IFERROR(_xlfn.TEXTJOIN("-", TRUE, _xlfn.XLOOKUP(K2636, product_category_id_lookup!$A$2:$A$5, product_category_id_lookup!$B$2:$B$5), B2636), "Unknown Category")</f>
        <v>fnt-1004</v>
      </c>
      <c r="D2636" s="8">
        <v>45454</v>
      </c>
      <c r="E2636" s="14">
        <f t="shared" si="123"/>
        <v>2024</v>
      </c>
      <c r="F2636" s="29" t="str">
        <f t="shared" si="124"/>
        <v>Jun</v>
      </c>
      <c r="G2636" s="17" t="s">
        <v>32</v>
      </c>
      <c r="H2636" s="17" t="s">
        <v>15</v>
      </c>
      <c r="I2636" s="24">
        <v>120205.1597</v>
      </c>
      <c r="J2636" s="32">
        <v>37</v>
      </c>
      <c r="K2636" s="17" t="s">
        <v>16</v>
      </c>
      <c r="L2636" s="24">
        <v>2205.11</v>
      </c>
      <c r="M2636" s="24">
        <v>4112.3900000000003</v>
      </c>
      <c r="N2636" s="34">
        <f>((sales_data_1[[#This Row],[Unit_Price]]*(1-sales_data_1[[#This Row],[Discount]]))-sales_data_1[[#This Row],[Unit_Cost]])*sales_data_1[[#This Row],[Quantity_Sold]]</f>
        <v>38616.089700000004</v>
      </c>
      <c r="O2636" s="17" t="s">
        <v>17</v>
      </c>
      <c r="P2636" s="26">
        <v>0.21</v>
      </c>
      <c r="Q2636" s="17" t="s">
        <v>28</v>
      </c>
      <c r="R2636" s="17" t="s">
        <v>21</v>
      </c>
      <c r="S2636" s="50" t="str">
        <f t="shared" si="125"/>
        <v>Eve-North</v>
      </c>
      <c r="T2636" s="59" t="str">
        <f>IF(ROUND(sales_data_1[[#This Row],[Profit_Margin]],2)=ROUND((sales_data_1[[#This Row],[Unit_Price]]*(1-sales_data_1[[#This Row],[Discount]]) - sales_data_1[[#This Row],[Unit_Cost]])*sales_data_1[[#This Row],[Quantity_Sold]],2), "PASS", "CHECK")</f>
        <v>PASS</v>
      </c>
    </row>
    <row r="2637" spans="1:20" x14ac:dyDescent="0.35">
      <c r="A2637" s="7">
        <v>2636</v>
      </c>
      <c r="B2637" s="9">
        <v>1076</v>
      </c>
      <c r="C2637" s="14" t="str">
        <f>IFERROR(_xlfn.TEXTJOIN("-", TRUE, _xlfn.XLOOKUP(K2637, product_category_id_lookup!$A$2:$A$5, product_category_id_lookup!$B$2:$B$5), B2637), "Unknown Category")</f>
        <v>etc-1076</v>
      </c>
      <c r="D2637" s="8">
        <v>45454</v>
      </c>
      <c r="E2637" s="14">
        <f t="shared" si="123"/>
        <v>2024</v>
      </c>
      <c r="F2637" s="29" t="str">
        <f t="shared" si="124"/>
        <v>Jun</v>
      </c>
      <c r="G2637" s="17" t="s">
        <v>33</v>
      </c>
      <c r="H2637" s="17" t="s">
        <v>20</v>
      </c>
      <c r="I2637" s="24">
        <v>123332.736</v>
      </c>
      <c r="J2637" s="32">
        <v>48</v>
      </c>
      <c r="K2637" s="17" t="s">
        <v>31</v>
      </c>
      <c r="L2637" s="24">
        <v>899.68</v>
      </c>
      <c r="M2637" s="24">
        <v>3211.79</v>
      </c>
      <c r="N2637" s="34">
        <f>((sales_data_1[[#This Row],[Unit_Price]]*(1-sales_data_1[[#This Row],[Discount]]))-sales_data_1[[#This Row],[Unit_Cost]])*sales_data_1[[#This Row],[Quantity_Sold]]</f>
        <v>80148.09600000002</v>
      </c>
      <c r="O2637" s="17" t="s">
        <v>17</v>
      </c>
      <c r="P2637" s="26">
        <v>0.2</v>
      </c>
      <c r="Q2637" s="17" t="s">
        <v>25</v>
      </c>
      <c r="R2637" s="17" t="s">
        <v>19</v>
      </c>
      <c r="S2637" s="50" t="str">
        <f t="shared" si="125"/>
        <v>Alice-West</v>
      </c>
      <c r="T2637" s="59" t="str">
        <f>IF(ROUND(sales_data_1[[#This Row],[Profit_Margin]],2)=ROUND((sales_data_1[[#This Row],[Unit_Price]]*(1-sales_data_1[[#This Row],[Discount]]) - sales_data_1[[#This Row],[Unit_Cost]])*sales_data_1[[#This Row],[Quantity_Sold]],2), "PASS", "CHECK")</f>
        <v>PASS</v>
      </c>
    </row>
    <row r="2638" spans="1:20" x14ac:dyDescent="0.35">
      <c r="A2638" s="7">
        <v>2637</v>
      </c>
      <c r="B2638" s="9">
        <v>1008</v>
      </c>
      <c r="C2638" s="14" t="str">
        <f>IFERROR(_xlfn.TEXTJOIN("-", TRUE, _xlfn.XLOOKUP(K2638, product_category_id_lookup!$A$2:$A$5, product_category_id_lookup!$B$2:$B$5), B2638), "Unknown Category")</f>
        <v>ctg-1008</v>
      </c>
      <c r="D2638" s="8">
        <v>45455</v>
      </c>
      <c r="E2638" s="14">
        <f t="shared" si="123"/>
        <v>2024</v>
      </c>
      <c r="F2638" s="29" t="str">
        <f t="shared" si="124"/>
        <v>Jun</v>
      </c>
      <c r="G2638" s="17" t="s">
        <v>14</v>
      </c>
      <c r="H2638" s="17" t="s">
        <v>30</v>
      </c>
      <c r="I2638" s="24">
        <v>5035.8204000000005</v>
      </c>
      <c r="J2638" s="32">
        <v>6</v>
      </c>
      <c r="K2638" s="17" t="s">
        <v>26</v>
      </c>
      <c r="L2638" s="24">
        <v>399.7</v>
      </c>
      <c r="M2638" s="24">
        <v>1076.03</v>
      </c>
      <c r="N2638" s="34">
        <f>((sales_data_1[[#This Row],[Unit_Price]]*(1-sales_data_1[[#This Row],[Discount]]))-sales_data_1[[#This Row],[Unit_Cost]])*sales_data_1[[#This Row],[Quantity_Sold]]</f>
        <v>2637.6204000000002</v>
      </c>
      <c r="O2638" s="17" t="s">
        <v>27</v>
      </c>
      <c r="P2638" s="26">
        <v>0.22</v>
      </c>
      <c r="Q2638" s="17" t="s">
        <v>25</v>
      </c>
      <c r="R2638" s="17" t="s">
        <v>19</v>
      </c>
      <c r="S2638" s="50" t="str">
        <f t="shared" si="125"/>
        <v>Bob-East</v>
      </c>
      <c r="T2638" s="59" t="str">
        <f>IF(ROUND(sales_data_1[[#This Row],[Profit_Margin]],2)=ROUND((sales_data_1[[#This Row],[Unit_Price]]*(1-sales_data_1[[#This Row],[Discount]]) - sales_data_1[[#This Row],[Unit_Cost]])*sales_data_1[[#This Row],[Quantity_Sold]],2), "PASS", "CHECK")</f>
        <v>PASS</v>
      </c>
    </row>
    <row r="2639" spans="1:20" x14ac:dyDescent="0.35">
      <c r="A2639" s="7">
        <v>2638</v>
      </c>
      <c r="B2639" s="9">
        <v>1073</v>
      </c>
      <c r="C2639" s="14" t="str">
        <f>IFERROR(_xlfn.TEXTJOIN("-", TRUE, _xlfn.XLOOKUP(K2639, product_category_id_lookup!$A$2:$A$5, product_category_id_lookup!$B$2:$B$5), B2639), "Unknown Category")</f>
        <v>etc-1073</v>
      </c>
      <c r="D2639" s="8">
        <v>45455</v>
      </c>
      <c r="E2639" s="14">
        <f t="shared" si="123"/>
        <v>2024</v>
      </c>
      <c r="F2639" s="29" t="str">
        <f t="shared" si="124"/>
        <v>Jun</v>
      </c>
      <c r="G2639" s="17" t="s">
        <v>33</v>
      </c>
      <c r="H2639" s="17" t="s">
        <v>30</v>
      </c>
      <c r="I2639" s="24">
        <v>7307.8499999999995</v>
      </c>
      <c r="J2639" s="32">
        <v>2</v>
      </c>
      <c r="K2639" s="17" t="s">
        <v>31</v>
      </c>
      <c r="L2639" s="24">
        <v>347.37</v>
      </c>
      <c r="M2639" s="24">
        <v>4248.75</v>
      </c>
      <c r="N2639" s="34">
        <f>((sales_data_1[[#This Row],[Unit_Price]]*(1-sales_data_1[[#This Row],[Discount]]))-sales_data_1[[#This Row],[Unit_Cost]])*sales_data_1[[#This Row],[Quantity_Sold]]</f>
        <v>6613.11</v>
      </c>
      <c r="O2639" s="17" t="s">
        <v>27</v>
      </c>
      <c r="P2639" s="26">
        <v>0.14000000000000001</v>
      </c>
      <c r="Q2639" s="17" t="s">
        <v>28</v>
      </c>
      <c r="R2639" s="17" t="s">
        <v>19</v>
      </c>
      <c r="S2639" s="50" t="str">
        <f t="shared" si="125"/>
        <v>Alice-East</v>
      </c>
      <c r="T2639" s="59" t="str">
        <f>IF(ROUND(sales_data_1[[#This Row],[Profit_Margin]],2)=ROUND((sales_data_1[[#This Row],[Unit_Price]]*(1-sales_data_1[[#This Row],[Discount]]) - sales_data_1[[#This Row],[Unit_Cost]])*sales_data_1[[#This Row],[Quantity_Sold]],2), "PASS", "CHECK")</f>
        <v>PASS</v>
      </c>
    </row>
    <row r="2640" spans="1:20" x14ac:dyDescent="0.35">
      <c r="A2640" s="7">
        <v>2639</v>
      </c>
      <c r="B2640" s="9">
        <v>1029</v>
      </c>
      <c r="C2640" s="14" t="str">
        <f>IFERROR(_xlfn.TEXTJOIN("-", TRUE, _xlfn.XLOOKUP(K2640, product_category_id_lookup!$A$2:$A$5, product_category_id_lookup!$B$2:$B$5), B2640), "Unknown Category")</f>
        <v>fd-1029</v>
      </c>
      <c r="D2640" s="8">
        <v>45455</v>
      </c>
      <c r="E2640" s="14">
        <f t="shared" si="123"/>
        <v>2024</v>
      </c>
      <c r="F2640" s="29" t="str">
        <f t="shared" si="124"/>
        <v>Jun</v>
      </c>
      <c r="G2640" s="17" t="s">
        <v>14</v>
      </c>
      <c r="H2640" s="17" t="s">
        <v>23</v>
      </c>
      <c r="I2640" s="24">
        <v>15592.623200000002</v>
      </c>
      <c r="J2640" s="32">
        <v>7</v>
      </c>
      <c r="K2640" s="17" t="s">
        <v>24</v>
      </c>
      <c r="L2640" s="24">
        <v>656.07</v>
      </c>
      <c r="M2640" s="24">
        <v>2892.88</v>
      </c>
      <c r="N2640" s="34">
        <f>((sales_data_1[[#This Row],[Unit_Price]]*(1-sales_data_1[[#This Row],[Discount]]))-sales_data_1[[#This Row],[Unit_Cost]])*sales_data_1[[#This Row],[Quantity_Sold]]</f>
        <v>11000.1332</v>
      </c>
      <c r="O2640" s="17" t="s">
        <v>17</v>
      </c>
      <c r="P2640" s="26">
        <v>0.23</v>
      </c>
      <c r="Q2640" s="17" t="s">
        <v>28</v>
      </c>
      <c r="R2640" s="17" t="s">
        <v>19</v>
      </c>
      <c r="S2640" s="50" t="str">
        <f t="shared" si="125"/>
        <v>Bob-South</v>
      </c>
      <c r="T2640" s="59" t="str">
        <f>IF(ROUND(sales_data_1[[#This Row],[Profit_Margin]],2)=ROUND((sales_data_1[[#This Row],[Unit_Price]]*(1-sales_data_1[[#This Row],[Discount]]) - sales_data_1[[#This Row],[Unit_Cost]])*sales_data_1[[#This Row],[Quantity_Sold]],2), "PASS", "CHECK")</f>
        <v>PASS</v>
      </c>
    </row>
    <row r="2641" spans="1:20" x14ac:dyDescent="0.35">
      <c r="A2641" s="7">
        <v>2640</v>
      </c>
      <c r="B2641" s="9">
        <v>1083</v>
      </c>
      <c r="C2641" s="14" t="str">
        <f>IFERROR(_xlfn.TEXTJOIN("-", TRUE, _xlfn.XLOOKUP(K2641, product_category_id_lookup!$A$2:$A$5, product_category_id_lookup!$B$2:$B$5), B2641), "Unknown Category")</f>
        <v>fnt-1083</v>
      </c>
      <c r="D2641" s="8">
        <v>45455</v>
      </c>
      <c r="E2641" s="14">
        <f t="shared" si="123"/>
        <v>2024</v>
      </c>
      <c r="F2641" s="29" t="str">
        <f t="shared" si="124"/>
        <v>Jun</v>
      </c>
      <c r="G2641" s="17" t="s">
        <v>33</v>
      </c>
      <c r="H2641" s="17" t="s">
        <v>30</v>
      </c>
      <c r="I2641" s="24">
        <v>28889.567999999999</v>
      </c>
      <c r="J2641" s="32">
        <v>24</v>
      </c>
      <c r="K2641" s="17" t="s">
        <v>16</v>
      </c>
      <c r="L2641" s="24">
        <v>210.39</v>
      </c>
      <c r="M2641" s="24">
        <v>1337.48</v>
      </c>
      <c r="N2641" s="34">
        <f>((sales_data_1[[#This Row],[Unit_Price]]*(1-sales_data_1[[#This Row],[Discount]]))-sales_data_1[[#This Row],[Unit_Cost]])*sales_data_1[[#This Row],[Quantity_Sold]]</f>
        <v>23840.207999999999</v>
      </c>
      <c r="O2641" s="17" t="s">
        <v>27</v>
      </c>
      <c r="P2641" s="26">
        <v>0.1</v>
      </c>
      <c r="Q2641" s="17" t="s">
        <v>18</v>
      </c>
      <c r="R2641" s="17" t="s">
        <v>19</v>
      </c>
      <c r="S2641" s="50" t="str">
        <f t="shared" si="125"/>
        <v>Alice-East</v>
      </c>
      <c r="T2641" s="59" t="str">
        <f>IF(ROUND(sales_data_1[[#This Row],[Profit_Margin]],2)=ROUND((sales_data_1[[#This Row],[Unit_Price]]*(1-sales_data_1[[#This Row],[Discount]]) - sales_data_1[[#This Row],[Unit_Cost]])*sales_data_1[[#This Row],[Quantity_Sold]],2), "PASS", "CHECK")</f>
        <v>PASS</v>
      </c>
    </row>
    <row r="2642" spans="1:20" x14ac:dyDescent="0.35">
      <c r="A2642" s="7">
        <v>2641</v>
      </c>
      <c r="B2642" s="9">
        <v>1081</v>
      </c>
      <c r="C2642" s="14" t="str">
        <f>IFERROR(_xlfn.TEXTJOIN("-", TRUE, _xlfn.XLOOKUP(K2642, product_category_id_lookup!$A$2:$A$5, product_category_id_lookup!$B$2:$B$5), B2642), "Unknown Category")</f>
        <v>ctg-1081</v>
      </c>
      <c r="D2642" s="8">
        <v>45455</v>
      </c>
      <c r="E2642" s="14">
        <f t="shared" si="123"/>
        <v>2024</v>
      </c>
      <c r="F2642" s="29" t="str">
        <f t="shared" si="124"/>
        <v>Jun</v>
      </c>
      <c r="G2642" s="17" t="s">
        <v>22</v>
      </c>
      <c r="H2642" s="17" t="s">
        <v>23</v>
      </c>
      <c r="I2642" s="24">
        <v>60789.160799999991</v>
      </c>
      <c r="J2642" s="32">
        <v>27</v>
      </c>
      <c r="K2642" s="17" t="s">
        <v>26</v>
      </c>
      <c r="L2642" s="24">
        <v>1019.87</v>
      </c>
      <c r="M2642" s="24">
        <v>2395.16</v>
      </c>
      <c r="N2642" s="34">
        <f>((sales_data_1[[#This Row],[Unit_Price]]*(1-sales_data_1[[#This Row],[Discount]]))-sales_data_1[[#This Row],[Unit_Cost]])*sales_data_1[[#This Row],[Quantity_Sold]]</f>
        <v>33252.670799999993</v>
      </c>
      <c r="O2642" s="17" t="s">
        <v>17</v>
      </c>
      <c r="P2642" s="26">
        <v>0.06</v>
      </c>
      <c r="Q2642" s="17" t="s">
        <v>28</v>
      </c>
      <c r="R2642" s="17" t="s">
        <v>21</v>
      </c>
      <c r="S2642" s="50" t="str">
        <f t="shared" si="125"/>
        <v>David-South</v>
      </c>
      <c r="T2642" s="59" t="str">
        <f>IF(ROUND(sales_data_1[[#This Row],[Profit_Margin]],2)=ROUND((sales_data_1[[#This Row],[Unit_Price]]*(1-sales_data_1[[#This Row],[Discount]]) - sales_data_1[[#This Row],[Unit_Cost]])*sales_data_1[[#This Row],[Quantity_Sold]],2), "PASS", "CHECK")</f>
        <v>PASS</v>
      </c>
    </row>
    <row r="2643" spans="1:20" x14ac:dyDescent="0.35">
      <c r="A2643" s="7">
        <v>2642</v>
      </c>
      <c r="B2643" s="9">
        <v>1030</v>
      </c>
      <c r="C2643" s="14" t="str">
        <f>IFERROR(_xlfn.TEXTJOIN("-", TRUE, _xlfn.XLOOKUP(K2643, product_category_id_lookup!$A$2:$A$5, product_category_id_lookup!$B$2:$B$5), B2643), "Unknown Category")</f>
        <v>fd-1030</v>
      </c>
      <c r="D2643" s="8">
        <v>45456</v>
      </c>
      <c r="E2643" s="14">
        <f t="shared" si="123"/>
        <v>2024</v>
      </c>
      <c r="F2643" s="29" t="str">
        <f t="shared" si="124"/>
        <v>Jun</v>
      </c>
      <c r="G2643" s="17" t="s">
        <v>29</v>
      </c>
      <c r="H2643" s="17" t="s">
        <v>23</v>
      </c>
      <c r="I2643" s="24">
        <v>52971.814700000003</v>
      </c>
      <c r="J2643" s="32">
        <v>29</v>
      </c>
      <c r="K2643" s="17" t="s">
        <v>24</v>
      </c>
      <c r="L2643" s="24">
        <v>1773.87</v>
      </c>
      <c r="M2643" s="24">
        <v>2312.17</v>
      </c>
      <c r="N2643" s="34">
        <f>((sales_data_1[[#This Row],[Unit_Price]]*(1-sales_data_1[[#This Row],[Discount]]))-sales_data_1[[#This Row],[Unit_Cost]])*sales_data_1[[#This Row],[Quantity_Sold]]</f>
        <v>1529.5847000000085</v>
      </c>
      <c r="O2643" s="17" t="s">
        <v>17</v>
      </c>
      <c r="P2643" s="26">
        <v>0.21</v>
      </c>
      <c r="Q2643" s="17" t="s">
        <v>25</v>
      </c>
      <c r="R2643" s="17" t="s">
        <v>19</v>
      </c>
      <c r="S2643" s="50" t="str">
        <f t="shared" si="125"/>
        <v>Charlie-South</v>
      </c>
      <c r="T2643" s="59" t="str">
        <f>IF(ROUND(sales_data_1[[#This Row],[Profit_Margin]],2)=ROUND((sales_data_1[[#This Row],[Unit_Price]]*(1-sales_data_1[[#This Row],[Discount]]) - sales_data_1[[#This Row],[Unit_Cost]])*sales_data_1[[#This Row],[Quantity_Sold]],2), "PASS", "CHECK")</f>
        <v>PASS</v>
      </c>
    </row>
    <row r="2644" spans="1:20" x14ac:dyDescent="0.35">
      <c r="A2644" s="7">
        <v>2643</v>
      </c>
      <c r="B2644" s="9">
        <v>1021</v>
      </c>
      <c r="C2644" s="14" t="str">
        <f>IFERROR(_xlfn.TEXTJOIN("-", TRUE, _xlfn.XLOOKUP(K2644, product_category_id_lookup!$A$2:$A$5, product_category_id_lookup!$B$2:$B$5), B2644), "Unknown Category")</f>
        <v>fnt-1021</v>
      </c>
      <c r="D2644" s="8">
        <v>45456</v>
      </c>
      <c r="E2644" s="14">
        <f t="shared" si="123"/>
        <v>2024</v>
      </c>
      <c r="F2644" s="29" t="str">
        <f t="shared" si="124"/>
        <v>Jun</v>
      </c>
      <c r="G2644" s="17" t="s">
        <v>29</v>
      </c>
      <c r="H2644" s="17" t="s">
        <v>15</v>
      </c>
      <c r="I2644" s="24">
        <v>53158.200000000004</v>
      </c>
      <c r="J2644" s="32">
        <v>38</v>
      </c>
      <c r="K2644" s="17" t="s">
        <v>16</v>
      </c>
      <c r="L2644" s="24">
        <v>826.17</v>
      </c>
      <c r="M2644" s="24">
        <v>1865.2</v>
      </c>
      <c r="N2644" s="34">
        <f>((sales_data_1[[#This Row],[Unit_Price]]*(1-sales_data_1[[#This Row],[Discount]]))-sales_data_1[[#This Row],[Unit_Cost]])*sales_data_1[[#This Row],[Quantity_Sold]]</f>
        <v>21763.740000000005</v>
      </c>
      <c r="O2644" s="17" t="s">
        <v>27</v>
      </c>
      <c r="P2644" s="26">
        <v>0.25</v>
      </c>
      <c r="Q2644" s="17" t="s">
        <v>28</v>
      </c>
      <c r="R2644" s="17" t="s">
        <v>19</v>
      </c>
      <c r="S2644" s="50" t="str">
        <f t="shared" si="125"/>
        <v>Charlie-North</v>
      </c>
      <c r="T2644" s="59" t="str">
        <f>IF(ROUND(sales_data_1[[#This Row],[Profit_Margin]],2)=ROUND((sales_data_1[[#This Row],[Unit_Price]]*(1-sales_data_1[[#This Row],[Discount]]) - sales_data_1[[#This Row],[Unit_Cost]])*sales_data_1[[#This Row],[Quantity_Sold]],2), "PASS", "CHECK")</f>
        <v>PASS</v>
      </c>
    </row>
    <row r="2645" spans="1:20" x14ac:dyDescent="0.35">
      <c r="A2645" s="7">
        <v>2644</v>
      </c>
      <c r="B2645" s="9">
        <v>1050</v>
      </c>
      <c r="C2645" s="14" t="str">
        <f>IFERROR(_xlfn.TEXTJOIN("-", TRUE, _xlfn.XLOOKUP(K2645, product_category_id_lookup!$A$2:$A$5, product_category_id_lookup!$B$2:$B$5), B2645), "Unknown Category")</f>
        <v>etc-1050</v>
      </c>
      <c r="D2645" s="8">
        <v>45456</v>
      </c>
      <c r="E2645" s="14">
        <f t="shared" si="123"/>
        <v>2024</v>
      </c>
      <c r="F2645" s="29" t="str">
        <f t="shared" si="124"/>
        <v>Jun</v>
      </c>
      <c r="G2645" s="17" t="s">
        <v>22</v>
      </c>
      <c r="H2645" s="17" t="s">
        <v>15</v>
      </c>
      <c r="I2645" s="24">
        <v>193779.82914476693</v>
      </c>
      <c r="J2645" s="32">
        <v>47</v>
      </c>
      <c r="K2645" s="17" t="s">
        <v>31</v>
      </c>
      <c r="L2645" s="24">
        <v>3417.04</v>
      </c>
      <c r="M2645" s="24">
        <v>4133.21</v>
      </c>
      <c r="N2645" s="34">
        <f>((sales_data_1[[#This Row],[Unit_Price]]*(1-sales_data_1[[#This Row],[Discount]]))-sales_data_1[[#This Row],[Unit_Cost]])*sales_data_1[[#This Row],[Quantity_Sold]]</f>
        <v>33659.990000000005</v>
      </c>
      <c r="O2645" s="17" t="s">
        <v>27</v>
      </c>
      <c r="P2645" s="26">
        <v>0</v>
      </c>
      <c r="Q2645" s="17" t="s">
        <v>18</v>
      </c>
      <c r="R2645" s="17" t="s">
        <v>19</v>
      </c>
      <c r="S2645" s="50" t="str">
        <f t="shared" si="125"/>
        <v>David-North</v>
      </c>
      <c r="T2645" s="59" t="str">
        <f>IF(ROUND(sales_data_1[[#This Row],[Profit_Margin]],2)=ROUND((sales_data_1[[#This Row],[Unit_Price]]*(1-sales_data_1[[#This Row],[Discount]]) - sales_data_1[[#This Row],[Unit_Cost]])*sales_data_1[[#This Row],[Quantity_Sold]],2), "PASS", "CHECK")</f>
        <v>PASS</v>
      </c>
    </row>
    <row r="2646" spans="1:20" x14ac:dyDescent="0.35">
      <c r="A2646" s="7">
        <v>2645</v>
      </c>
      <c r="B2646" s="9">
        <v>1094</v>
      </c>
      <c r="C2646" s="14" t="str">
        <f>IFERROR(_xlfn.TEXTJOIN("-", TRUE, _xlfn.XLOOKUP(K2646, product_category_id_lookup!$A$2:$A$5, product_category_id_lookup!$B$2:$B$5), B2646), "Unknown Category")</f>
        <v>etc-1094</v>
      </c>
      <c r="D2646" s="8">
        <v>45456</v>
      </c>
      <c r="E2646" s="14">
        <f t="shared" si="123"/>
        <v>2024</v>
      </c>
      <c r="F2646" s="29" t="str">
        <f t="shared" si="124"/>
        <v>Jun</v>
      </c>
      <c r="G2646" s="17" t="s">
        <v>32</v>
      </c>
      <c r="H2646" s="17" t="s">
        <v>15</v>
      </c>
      <c r="I2646" s="24">
        <v>87143.077000000005</v>
      </c>
      <c r="J2646" s="32">
        <v>31</v>
      </c>
      <c r="K2646" s="17" t="s">
        <v>31</v>
      </c>
      <c r="L2646" s="24">
        <v>241.47</v>
      </c>
      <c r="M2646" s="24">
        <v>4015.81</v>
      </c>
      <c r="N2646" s="34">
        <f>((sales_data_1[[#This Row],[Unit_Price]]*(1-sales_data_1[[#This Row],[Discount]]))-sales_data_1[[#This Row],[Unit_Cost]])*sales_data_1[[#This Row],[Quantity_Sold]]</f>
        <v>79657.507000000012</v>
      </c>
      <c r="O2646" s="17" t="s">
        <v>17</v>
      </c>
      <c r="P2646" s="26">
        <v>0.3</v>
      </c>
      <c r="Q2646" s="17" t="s">
        <v>18</v>
      </c>
      <c r="R2646" s="17" t="s">
        <v>21</v>
      </c>
      <c r="S2646" s="50" t="str">
        <f t="shared" si="125"/>
        <v>Eve-North</v>
      </c>
      <c r="T2646" s="59" t="str">
        <f>IF(ROUND(sales_data_1[[#This Row],[Profit_Margin]],2)=ROUND((sales_data_1[[#This Row],[Unit_Price]]*(1-sales_data_1[[#This Row],[Discount]]) - sales_data_1[[#This Row],[Unit_Cost]])*sales_data_1[[#This Row],[Quantity_Sold]],2), "PASS", "CHECK")</f>
        <v>PASS</v>
      </c>
    </row>
    <row r="2647" spans="1:20" x14ac:dyDescent="0.35">
      <c r="A2647" s="7">
        <v>2646</v>
      </c>
      <c r="B2647" s="9">
        <v>1095</v>
      </c>
      <c r="C2647" s="14" t="str">
        <f>IFERROR(_xlfn.TEXTJOIN("-", TRUE, _xlfn.XLOOKUP(K2647, product_category_id_lookup!$A$2:$A$5, product_category_id_lookup!$B$2:$B$5), B2647), "Unknown Category")</f>
        <v>fd-1095</v>
      </c>
      <c r="D2647" s="8">
        <v>45457</v>
      </c>
      <c r="E2647" s="14">
        <f t="shared" si="123"/>
        <v>2024</v>
      </c>
      <c r="F2647" s="29" t="str">
        <f t="shared" si="124"/>
        <v>Jun</v>
      </c>
      <c r="G2647" s="17" t="s">
        <v>22</v>
      </c>
      <c r="H2647" s="17" t="s">
        <v>30</v>
      </c>
      <c r="I2647" s="24">
        <v>77282.651599999997</v>
      </c>
      <c r="J2647" s="32">
        <v>22</v>
      </c>
      <c r="K2647" s="17" t="s">
        <v>24</v>
      </c>
      <c r="L2647" s="24">
        <v>734.37</v>
      </c>
      <c r="M2647" s="24">
        <v>3947.02</v>
      </c>
      <c r="N2647" s="34">
        <f>((sales_data_1[[#This Row],[Unit_Price]]*(1-sales_data_1[[#This Row],[Discount]]))-sales_data_1[[#This Row],[Unit_Cost]])*sales_data_1[[#This Row],[Quantity_Sold]]</f>
        <v>61126.511600000005</v>
      </c>
      <c r="O2647" s="17" t="s">
        <v>17</v>
      </c>
      <c r="P2647" s="26">
        <v>0.11</v>
      </c>
      <c r="Q2647" s="17" t="s">
        <v>25</v>
      </c>
      <c r="R2647" s="17" t="s">
        <v>19</v>
      </c>
      <c r="S2647" s="50" t="str">
        <f t="shared" si="125"/>
        <v>David-East</v>
      </c>
      <c r="T2647" s="59" t="str">
        <f>IF(ROUND(sales_data_1[[#This Row],[Profit_Margin]],2)=ROUND((sales_data_1[[#This Row],[Unit_Price]]*(1-sales_data_1[[#This Row],[Discount]]) - sales_data_1[[#This Row],[Unit_Cost]])*sales_data_1[[#This Row],[Quantity_Sold]],2), "PASS", "CHECK")</f>
        <v>PASS</v>
      </c>
    </row>
    <row r="2648" spans="1:20" x14ac:dyDescent="0.35">
      <c r="A2648" s="7">
        <v>2647</v>
      </c>
      <c r="B2648" s="9">
        <v>1025</v>
      </c>
      <c r="C2648" s="14" t="str">
        <f>IFERROR(_xlfn.TEXTJOIN("-", TRUE, _xlfn.XLOOKUP(K2648, product_category_id_lookup!$A$2:$A$5, product_category_id_lookup!$B$2:$B$5), B2648), "Unknown Category")</f>
        <v>ctg-1025</v>
      </c>
      <c r="D2648" s="8">
        <v>45457</v>
      </c>
      <c r="E2648" s="14">
        <f t="shared" si="123"/>
        <v>2024</v>
      </c>
      <c r="F2648" s="29" t="str">
        <f t="shared" si="124"/>
        <v>Jun</v>
      </c>
      <c r="G2648" s="17" t="s">
        <v>22</v>
      </c>
      <c r="H2648" s="17" t="s">
        <v>30</v>
      </c>
      <c r="I2648" s="24">
        <v>98040.176399999997</v>
      </c>
      <c r="J2648" s="32">
        <v>34</v>
      </c>
      <c r="K2648" s="17" t="s">
        <v>26</v>
      </c>
      <c r="L2648" s="24">
        <v>824.86</v>
      </c>
      <c r="M2648" s="24">
        <v>3067.59</v>
      </c>
      <c r="N2648" s="34">
        <f>((sales_data_1[[#This Row],[Unit_Price]]*(1-sales_data_1[[#This Row],[Discount]]))-sales_data_1[[#This Row],[Unit_Cost]])*sales_data_1[[#This Row],[Quantity_Sold]]</f>
        <v>69994.936399999991</v>
      </c>
      <c r="O2648" s="17" t="s">
        <v>27</v>
      </c>
      <c r="P2648" s="26">
        <v>0.06</v>
      </c>
      <c r="Q2648" s="17" t="s">
        <v>28</v>
      </c>
      <c r="R2648" s="17" t="s">
        <v>21</v>
      </c>
      <c r="S2648" s="50" t="str">
        <f t="shared" si="125"/>
        <v>David-East</v>
      </c>
      <c r="T2648" s="59" t="str">
        <f>IF(ROUND(sales_data_1[[#This Row],[Profit_Margin]],2)=ROUND((sales_data_1[[#This Row],[Unit_Price]]*(1-sales_data_1[[#This Row],[Discount]]) - sales_data_1[[#This Row],[Unit_Cost]])*sales_data_1[[#This Row],[Quantity_Sold]],2), "PASS", "CHECK")</f>
        <v>PASS</v>
      </c>
    </row>
    <row r="2649" spans="1:20" x14ac:dyDescent="0.35">
      <c r="A2649" s="7">
        <v>2648</v>
      </c>
      <c r="B2649" s="9">
        <v>1002</v>
      </c>
      <c r="C2649" s="14" t="str">
        <f>IFERROR(_xlfn.TEXTJOIN("-", TRUE, _xlfn.XLOOKUP(K2649, product_category_id_lookup!$A$2:$A$5, product_category_id_lookup!$B$2:$B$5), B2649), "Unknown Category")</f>
        <v>etc-1002</v>
      </c>
      <c r="D2649" s="8">
        <v>45457</v>
      </c>
      <c r="E2649" s="14">
        <f t="shared" si="123"/>
        <v>2024</v>
      </c>
      <c r="F2649" s="29" t="str">
        <f t="shared" si="124"/>
        <v>Jun</v>
      </c>
      <c r="G2649" s="17" t="s">
        <v>29</v>
      </c>
      <c r="H2649" s="17" t="s">
        <v>20</v>
      </c>
      <c r="I2649" s="24">
        <v>125216.94899999999</v>
      </c>
      <c r="J2649" s="32">
        <v>33</v>
      </c>
      <c r="K2649" s="17" t="s">
        <v>31</v>
      </c>
      <c r="L2649" s="24">
        <v>109.74</v>
      </c>
      <c r="M2649" s="24">
        <v>5344.3</v>
      </c>
      <c r="N2649" s="34">
        <f>((sales_data_1[[#This Row],[Unit_Price]]*(1-sales_data_1[[#This Row],[Discount]]))-sales_data_1[[#This Row],[Unit_Cost]])*sales_data_1[[#This Row],[Quantity_Sold]]</f>
        <v>121595.52900000001</v>
      </c>
      <c r="O2649" s="17" t="s">
        <v>17</v>
      </c>
      <c r="P2649" s="26">
        <v>0.28999999999999998</v>
      </c>
      <c r="Q2649" s="17" t="s">
        <v>18</v>
      </c>
      <c r="R2649" s="17" t="s">
        <v>19</v>
      </c>
      <c r="S2649" s="50" t="str">
        <f t="shared" si="125"/>
        <v>Charlie-West</v>
      </c>
      <c r="T2649" s="59" t="str">
        <f>IF(ROUND(sales_data_1[[#This Row],[Profit_Margin]],2)=ROUND((sales_data_1[[#This Row],[Unit_Price]]*(1-sales_data_1[[#This Row],[Discount]]) - sales_data_1[[#This Row],[Unit_Cost]])*sales_data_1[[#This Row],[Quantity_Sold]],2), "PASS", "CHECK")</f>
        <v>PASS</v>
      </c>
    </row>
    <row r="2650" spans="1:20" x14ac:dyDescent="0.35">
      <c r="A2650" s="7">
        <v>2649</v>
      </c>
      <c r="B2650" s="9">
        <v>1044</v>
      </c>
      <c r="C2650" s="14" t="str">
        <f>IFERROR(_xlfn.TEXTJOIN("-", TRUE, _xlfn.XLOOKUP(K2650, product_category_id_lookup!$A$2:$A$5, product_category_id_lookup!$B$2:$B$5), B2650), "Unknown Category")</f>
        <v>etc-1044</v>
      </c>
      <c r="D2650" s="8">
        <v>45458</v>
      </c>
      <c r="E2650" s="14">
        <f t="shared" si="123"/>
        <v>2024</v>
      </c>
      <c r="F2650" s="29" t="str">
        <f t="shared" si="124"/>
        <v>Jun</v>
      </c>
      <c r="G2650" s="17" t="s">
        <v>14</v>
      </c>
      <c r="H2650" s="17" t="s">
        <v>15</v>
      </c>
      <c r="I2650" s="24">
        <v>47249.980799999998</v>
      </c>
      <c r="J2650" s="32">
        <v>11</v>
      </c>
      <c r="K2650" s="17" t="s">
        <v>31</v>
      </c>
      <c r="L2650" s="24">
        <v>3155.85</v>
      </c>
      <c r="M2650" s="24">
        <v>4474.43</v>
      </c>
      <c r="N2650" s="34">
        <f>((sales_data_1[[#This Row],[Unit_Price]]*(1-sales_data_1[[#This Row],[Discount]]))-sales_data_1[[#This Row],[Unit_Cost]])*sales_data_1[[#This Row],[Quantity_Sold]]</f>
        <v>12535.630800000001</v>
      </c>
      <c r="O2650" s="17" t="s">
        <v>17</v>
      </c>
      <c r="P2650" s="26">
        <v>0.04</v>
      </c>
      <c r="Q2650" s="17" t="s">
        <v>28</v>
      </c>
      <c r="R2650" s="17" t="s">
        <v>19</v>
      </c>
      <c r="S2650" s="50" t="str">
        <f t="shared" si="125"/>
        <v>Bob-North</v>
      </c>
      <c r="T2650" s="59" t="str">
        <f>IF(ROUND(sales_data_1[[#This Row],[Profit_Margin]],2)=ROUND((sales_data_1[[#This Row],[Unit_Price]]*(1-sales_data_1[[#This Row],[Discount]]) - sales_data_1[[#This Row],[Unit_Cost]])*sales_data_1[[#This Row],[Quantity_Sold]],2), "PASS", "CHECK")</f>
        <v>PASS</v>
      </c>
    </row>
    <row r="2651" spans="1:20" x14ac:dyDescent="0.35">
      <c r="A2651" s="7">
        <v>2650</v>
      </c>
      <c r="B2651" s="9">
        <v>1091</v>
      </c>
      <c r="C2651" s="14" t="str">
        <f>IFERROR(_xlfn.TEXTJOIN("-", TRUE, _xlfn.XLOOKUP(K2651, product_category_id_lookup!$A$2:$A$5, product_category_id_lookup!$B$2:$B$5), B2651), "Unknown Category")</f>
        <v>fd-1091</v>
      </c>
      <c r="D2651" s="8">
        <v>45458</v>
      </c>
      <c r="E2651" s="14">
        <f t="shared" si="123"/>
        <v>2024</v>
      </c>
      <c r="F2651" s="29" t="str">
        <f t="shared" si="124"/>
        <v>Jun</v>
      </c>
      <c r="G2651" s="17" t="s">
        <v>29</v>
      </c>
      <c r="H2651" s="17" t="s">
        <v>15</v>
      </c>
      <c r="I2651" s="24">
        <v>143875.72099999999</v>
      </c>
      <c r="J2651" s="32">
        <v>37</v>
      </c>
      <c r="K2651" s="17" t="s">
        <v>24</v>
      </c>
      <c r="L2651" s="24">
        <v>3007.4</v>
      </c>
      <c r="M2651" s="24">
        <v>4521.55</v>
      </c>
      <c r="N2651" s="34">
        <f>((sales_data_1[[#This Row],[Unit_Price]]*(1-sales_data_1[[#This Row],[Discount]]))-sales_data_1[[#This Row],[Unit_Cost]])*sales_data_1[[#This Row],[Quantity_Sold]]</f>
        <v>32601.920999999995</v>
      </c>
      <c r="O2651" s="17" t="s">
        <v>27</v>
      </c>
      <c r="P2651" s="26">
        <v>0.14000000000000001</v>
      </c>
      <c r="Q2651" s="17" t="s">
        <v>18</v>
      </c>
      <c r="R2651" s="17" t="s">
        <v>21</v>
      </c>
      <c r="S2651" s="50" t="str">
        <f t="shared" si="125"/>
        <v>Charlie-North</v>
      </c>
      <c r="T2651" s="59" t="str">
        <f>IF(ROUND(sales_data_1[[#This Row],[Profit_Margin]],2)=ROUND((sales_data_1[[#This Row],[Unit_Price]]*(1-sales_data_1[[#This Row],[Discount]]) - sales_data_1[[#This Row],[Unit_Cost]])*sales_data_1[[#This Row],[Quantity_Sold]],2), "PASS", "CHECK")</f>
        <v>PASS</v>
      </c>
    </row>
    <row r="2652" spans="1:20" x14ac:dyDescent="0.35">
      <c r="A2652" s="7">
        <v>2651</v>
      </c>
      <c r="B2652" s="9">
        <v>1056</v>
      </c>
      <c r="C2652" s="14" t="str">
        <f>IFERROR(_xlfn.TEXTJOIN("-", TRUE, _xlfn.XLOOKUP(K2652, product_category_id_lookup!$A$2:$A$5, product_category_id_lookup!$B$2:$B$5), B2652), "Unknown Category")</f>
        <v>etc-1056</v>
      </c>
      <c r="D2652" s="8">
        <v>45458</v>
      </c>
      <c r="E2652" s="14">
        <f t="shared" si="123"/>
        <v>2024</v>
      </c>
      <c r="F2652" s="29" t="str">
        <f t="shared" si="124"/>
        <v>Jun</v>
      </c>
      <c r="G2652" s="17" t="s">
        <v>32</v>
      </c>
      <c r="H2652" s="17" t="s">
        <v>15</v>
      </c>
      <c r="I2652" s="24">
        <v>181969.38</v>
      </c>
      <c r="J2652" s="32">
        <v>50</v>
      </c>
      <c r="K2652" s="17" t="s">
        <v>31</v>
      </c>
      <c r="L2652" s="24">
        <v>2980.48</v>
      </c>
      <c r="M2652" s="24">
        <v>3913.32</v>
      </c>
      <c r="N2652" s="34">
        <f>((sales_data_1[[#This Row],[Unit_Price]]*(1-sales_data_1[[#This Row],[Discount]]))-sales_data_1[[#This Row],[Unit_Cost]])*sales_data_1[[#This Row],[Quantity_Sold]]</f>
        <v>32945.379999999997</v>
      </c>
      <c r="O2652" s="17" t="s">
        <v>17</v>
      </c>
      <c r="P2652" s="26">
        <v>7.0000000000000007E-2</v>
      </c>
      <c r="Q2652" s="17" t="s">
        <v>18</v>
      </c>
      <c r="R2652" s="17" t="s">
        <v>21</v>
      </c>
      <c r="S2652" s="50" t="str">
        <f t="shared" si="125"/>
        <v>Eve-North</v>
      </c>
      <c r="T2652" s="59" t="str">
        <f>IF(ROUND(sales_data_1[[#This Row],[Profit_Margin]],2)=ROUND((sales_data_1[[#This Row],[Unit_Price]]*(1-sales_data_1[[#This Row],[Discount]]) - sales_data_1[[#This Row],[Unit_Cost]])*sales_data_1[[#This Row],[Quantity_Sold]],2), "PASS", "CHECK")</f>
        <v>PASS</v>
      </c>
    </row>
    <row r="2653" spans="1:20" x14ac:dyDescent="0.35">
      <c r="A2653" s="7">
        <v>2652</v>
      </c>
      <c r="B2653" s="9">
        <v>1026</v>
      </c>
      <c r="C2653" s="14" t="str">
        <f>IFERROR(_xlfn.TEXTJOIN("-", TRUE, _xlfn.XLOOKUP(K2653, product_category_id_lookup!$A$2:$A$5, product_category_id_lookup!$B$2:$B$5), B2653), "Unknown Category")</f>
        <v>ctg-1026</v>
      </c>
      <c r="D2653" s="8">
        <v>45458</v>
      </c>
      <c r="E2653" s="14">
        <f t="shared" si="123"/>
        <v>2024</v>
      </c>
      <c r="F2653" s="29" t="str">
        <f t="shared" si="124"/>
        <v>Jun</v>
      </c>
      <c r="G2653" s="17" t="s">
        <v>33</v>
      </c>
      <c r="H2653" s="17" t="s">
        <v>23</v>
      </c>
      <c r="I2653" s="24">
        <v>128459.74680000001</v>
      </c>
      <c r="J2653" s="32">
        <v>44</v>
      </c>
      <c r="K2653" s="17" t="s">
        <v>26</v>
      </c>
      <c r="L2653" s="24">
        <v>1227.48</v>
      </c>
      <c r="M2653" s="24">
        <v>2949.03</v>
      </c>
      <c r="N2653" s="34">
        <f>((sales_data_1[[#This Row],[Unit_Price]]*(1-sales_data_1[[#This Row],[Discount]]))-sales_data_1[[#This Row],[Unit_Cost]])*sales_data_1[[#This Row],[Quantity_Sold]]</f>
        <v>74450.626800000013</v>
      </c>
      <c r="O2653" s="17" t="s">
        <v>17</v>
      </c>
      <c r="P2653" s="26">
        <v>0.01</v>
      </c>
      <c r="Q2653" s="17" t="s">
        <v>28</v>
      </c>
      <c r="R2653" s="17" t="s">
        <v>19</v>
      </c>
      <c r="S2653" s="50" t="str">
        <f t="shared" si="125"/>
        <v>Alice-South</v>
      </c>
      <c r="T2653" s="59" t="str">
        <f>IF(ROUND(sales_data_1[[#This Row],[Profit_Margin]],2)=ROUND((sales_data_1[[#This Row],[Unit_Price]]*(1-sales_data_1[[#This Row],[Discount]]) - sales_data_1[[#This Row],[Unit_Cost]])*sales_data_1[[#This Row],[Quantity_Sold]],2), "PASS", "CHECK")</f>
        <v>PASS</v>
      </c>
    </row>
    <row r="2654" spans="1:20" x14ac:dyDescent="0.35">
      <c r="A2654" s="7">
        <v>2653</v>
      </c>
      <c r="B2654" s="9">
        <v>1096</v>
      </c>
      <c r="C2654" s="14" t="str">
        <f>IFERROR(_xlfn.TEXTJOIN("-", TRUE, _xlfn.XLOOKUP(K2654, product_category_id_lookup!$A$2:$A$5, product_category_id_lookup!$B$2:$B$5), B2654), "Unknown Category")</f>
        <v>fd-1096</v>
      </c>
      <c r="D2654" s="8">
        <v>45458</v>
      </c>
      <c r="E2654" s="14">
        <f t="shared" si="123"/>
        <v>2024</v>
      </c>
      <c r="F2654" s="29" t="str">
        <f t="shared" si="124"/>
        <v>Jun</v>
      </c>
      <c r="G2654" s="17" t="s">
        <v>32</v>
      </c>
      <c r="H2654" s="17" t="s">
        <v>20</v>
      </c>
      <c r="I2654" s="24">
        <v>91574.150400000013</v>
      </c>
      <c r="J2654" s="32">
        <v>24</v>
      </c>
      <c r="K2654" s="17" t="s">
        <v>24</v>
      </c>
      <c r="L2654" s="24">
        <v>227.98</v>
      </c>
      <c r="M2654" s="24">
        <v>4147.38</v>
      </c>
      <c r="N2654" s="34">
        <f>((sales_data_1[[#This Row],[Unit_Price]]*(1-sales_data_1[[#This Row],[Discount]]))-sales_data_1[[#This Row],[Unit_Cost]])*sales_data_1[[#This Row],[Quantity_Sold]]</f>
        <v>86102.630400000009</v>
      </c>
      <c r="O2654" s="17" t="s">
        <v>17</v>
      </c>
      <c r="P2654" s="26">
        <v>0.08</v>
      </c>
      <c r="Q2654" s="17" t="s">
        <v>25</v>
      </c>
      <c r="R2654" s="17" t="s">
        <v>19</v>
      </c>
      <c r="S2654" s="50" t="str">
        <f t="shared" si="125"/>
        <v>Eve-West</v>
      </c>
      <c r="T2654" s="59" t="str">
        <f>IF(ROUND(sales_data_1[[#This Row],[Profit_Margin]],2)=ROUND((sales_data_1[[#This Row],[Unit_Price]]*(1-sales_data_1[[#This Row],[Discount]]) - sales_data_1[[#This Row],[Unit_Cost]])*sales_data_1[[#This Row],[Quantity_Sold]],2), "PASS", "CHECK")</f>
        <v>PASS</v>
      </c>
    </row>
    <row r="2655" spans="1:20" x14ac:dyDescent="0.35">
      <c r="A2655" s="7">
        <v>2654</v>
      </c>
      <c r="B2655" s="9">
        <v>1007</v>
      </c>
      <c r="C2655" s="14" t="str">
        <f>IFERROR(_xlfn.TEXTJOIN("-", TRUE, _xlfn.XLOOKUP(K2655, product_category_id_lookup!$A$2:$A$5, product_category_id_lookup!$B$2:$B$5), B2655), "Unknown Category")</f>
        <v>fd-1007</v>
      </c>
      <c r="D2655" s="8">
        <v>45459</v>
      </c>
      <c r="E2655" s="14">
        <f t="shared" si="123"/>
        <v>2024</v>
      </c>
      <c r="F2655" s="29" t="str">
        <f t="shared" si="124"/>
        <v>Jun</v>
      </c>
      <c r="G2655" s="17" t="s">
        <v>14</v>
      </c>
      <c r="H2655" s="17" t="s">
        <v>20</v>
      </c>
      <c r="I2655" s="24">
        <v>43724.884000000005</v>
      </c>
      <c r="J2655" s="32">
        <v>14</v>
      </c>
      <c r="K2655" s="17" t="s">
        <v>24</v>
      </c>
      <c r="L2655" s="24">
        <v>2859.83</v>
      </c>
      <c r="M2655" s="24">
        <v>3219.8</v>
      </c>
      <c r="N2655" s="34">
        <f>((sales_data_1[[#This Row],[Unit_Price]]*(1-sales_data_1[[#This Row],[Discount]]))-sales_data_1[[#This Row],[Unit_Cost]])*sales_data_1[[#This Row],[Quantity_Sold]]</f>
        <v>3687.2640000000029</v>
      </c>
      <c r="O2655" s="17" t="s">
        <v>27</v>
      </c>
      <c r="P2655" s="26">
        <v>0.03</v>
      </c>
      <c r="Q2655" s="17" t="s">
        <v>28</v>
      </c>
      <c r="R2655" s="17" t="s">
        <v>21</v>
      </c>
      <c r="S2655" s="50" t="str">
        <f t="shared" si="125"/>
        <v>Bob-West</v>
      </c>
      <c r="T2655" s="59" t="str">
        <f>IF(ROUND(sales_data_1[[#This Row],[Profit_Margin]],2)=ROUND((sales_data_1[[#This Row],[Unit_Price]]*(1-sales_data_1[[#This Row],[Discount]]) - sales_data_1[[#This Row],[Unit_Cost]])*sales_data_1[[#This Row],[Quantity_Sold]],2), "PASS", "CHECK")</f>
        <v>PASS</v>
      </c>
    </row>
    <row r="2656" spans="1:20" x14ac:dyDescent="0.35">
      <c r="A2656" s="7">
        <v>2655</v>
      </c>
      <c r="B2656" s="9">
        <v>1090</v>
      </c>
      <c r="C2656" s="14" t="str">
        <f>IFERROR(_xlfn.TEXTJOIN("-", TRUE, _xlfn.XLOOKUP(K2656, product_category_id_lookup!$A$2:$A$5, product_category_id_lookup!$B$2:$B$5), B2656), "Unknown Category")</f>
        <v>fnt-1090</v>
      </c>
      <c r="D2656" s="8">
        <v>45459</v>
      </c>
      <c r="E2656" s="14">
        <f t="shared" si="123"/>
        <v>2024</v>
      </c>
      <c r="F2656" s="29" t="str">
        <f t="shared" si="124"/>
        <v>Jun</v>
      </c>
      <c r="G2656" s="17" t="s">
        <v>14</v>
      </c>
      <c r="H2656" s="17" t="s">
        <v>30</v>
      </c>
      <c r="I2656" s="24">
        <v>57774.508400000006</v>
      </c>
      <c r="J2656" s="32">
        <v>14</v>
      </c>
      <c r="K2656" s="17" t="s">
        <v>16</v>
      </c>
      <c r="L2656" s="24">
        <v>3246.18</v>
      </c>
      <c r="M2656" s="24">
        <v>4210.97</v>
      </c>
      <c r="N2656" s="34">
        <f>((sales_data_1[[#This Row],[Unit_Price]]*(1-sales_data_1[[#This Row],[Discount]]))-sales_data_1[[#This Row],[Unit_Cost]])*sales_data_1[[#This Row],[Quantity_Sold]]</f>
        <v>12327.988400000006</v>
      </c>
      <c r="O2656" s="17" t="s">
        <v>17</v>
      </c>
      <c r="P2656" s="26">
        <v>0.02</v>
      </c>
      <c r="Q2656" s="17" t="s">
        <v>28</v>
      </c>
      <c r="R2656" s="17" t="s">
        <v>21</v>
      </c>
      <c r="S2656" s="50" t="str">
        <f t="shared" si="125"/>
        <v>Bob-East</v>
      </c>
      <c r="T2656" s="59" t="str">
        <f>IF(ROUND(sales_data_1[[#This Row],[Profit_Margin]],2)=ROUND((sales_data_1[[#This Row],[Unit_Price]]*(1-sales_data_1[[#This Row],[Discount]]) - sales_data_1[[#This Row],[Unit_Cost]])*sales_data_1[[#This Row],[Quantity_Sold]],2), "PASS", "CHECK")</f>
        <v>PASS</v>
      </c>
    </row>
    <row r="2657" spans="1:20" x14ac:dyDescent="0.35">
      <c r="A2657" s="7">
        <v>2656</v>
      </c>
      <c r="B2657" s="9">
        <v>1053</v>
      </c>
      <c r="C2657" s="14" t="str">
        <f>IFERROR(_xlfn.TEXTJOIN("-", TRUE, _xlfn.XLOOKUP(K2657, product_category_id_lookup!$A$2:$A$5, product_category_id_lookup!$B$2:$B$5), B2657), "Unknown Category")</f>
        <v>fnt-1053</v>
      </c>
      <c r="D2657" s="8">
        <v>45461</v>
      </c>
      <c r="E2657" s="14">
        <f t="shared" si="123"/>
        <v>2024</v>
      </c>
      <c r="F2657" s="29" t="str">
        <f t="shared" si="124"/>
        <v>Jun</v>
      </c>
      <c r="G2657" s="17" t="s">
        <v>33</v>
      </c>
      <c r="H2657" s="17" t="s">
        <v>20</v>
      </c>
      <c r="I2657" s="24">
        <v>17267.4584</v>
      </c>
      <c r="J2657" s="32">
        <v>4</v>
      </c>
      <c r="K2657" s="17" t="s">
        <v>16</v>
      </c>
      <c r="L2657" s="24">
        <v>3597.39</v>
      </c>
      <c r="M2657" s="24">
        <v>5019.6099999999997</v>
      </c>
      <c r="N2657" s="34">
        <f>((sales_data_1[[#This Row],[Unit_Price]]*(1-sales_data_1[[#This Row],[Discount]]))-sales_data_1[[#This Row],[Unit_Cost]])*sales_data_1[[#This Row],[Quantity_Sold]]</f>
        <v>2877.8984</v>
      </c>
      <c r="O2657" s="17" t="s">
        <v>17</v>
      </c>
      <c r="P2657" s="26">
        <v>0.14000000000000001</v>
      </c>
      <c r="Q2657" s="17" t="s">
        <v>28</v>
      </c>
      <c r="R2657" s="17" t="s">
        <v>21</v>
      </c>
      <c r="S2657" s="50" t="str">
        <f t="shared" si="125"/>
        <v>Alice-West</v>
      </c>
      <c r="T2657" s="59" t="str">
        <f>IF(ROUND(sales_data_1[[#This Row],[Profit_Margin]],2)=ROUND((sales_data_1[[#This Row],[Unit_Price]]*(1-sales_data_1[[#This Row],[Discount]]) - sales_data_1[[#This Row],[Unit_Cost]])*sales_data_1[[#This Row],[Quantity_Sold]],2), "PASS", "CHECK")</f>
        <v>PASS</v>
      </c>
    </row>
    <row r="2658" spans="1:20" x14ac:dyDescent="0.35">
      <c r="A2658" s="7">
        <v>2657</v>
      </c>
      <c r="B2658" s="9">
        <v>1097</v>
      </c>
      <c r="C2658" s="14" t="str">
        <f>IFERROR(_xlfn.TEXTJOIN("-", TRUE, _xlfn.XLOOKUP(K2658, product_category_id_lookup!$A$2:$A$5, product_category_id_lookup!$B$2:$B$5), B2658), "Unknown Category")</f>
        <v>fnt-1097</v>
      </c>
      <c r="D2658" s="8">
        <v>45461</v>
      </c>
      <c r="E2658" s="14">
        <f t="shared" si="123"/>
        <v>2024</v>
      </c>
      <c r="F2658" s="29" t="str">
        <f t="shared" si="124"/>
        <v>Jun</v>
      </c>
      <c r="G2658" s="17" t="s">
        <v>33</v>
      </c>
      <c r="H2658" s="17" t="s">
        <v>20</v>
      </c>
      <c r="I2658" s="24">
        <v>139220.44640000002</v>
      </c>
      <c r="J2658" s="32">
        <v>49</v>
      </c>
      <c r="K2658" s="17" t="s">
        <v>16</v>
      </c>
      <c r="L2658" s="24">
        <v>2440.09</v>
      </c>
      <c r="M2658" s="24">
        <v>3303.76</v>
      </c>
      <c r="N2658" s="34">
        <f>((sales_data_1[[#This Row],[Unit_Price]]*(1-sales_data_1[[#This Row],[Discount]]))-sales_data_1[[#This Row],[Unit_Cost]])*sales_data_1[[#This Row],[Quantity_Sold]]</f>
        <v>19656.036399999994</v>
      </c>
      <c r="O2658" s="17" t="s">
        <v>17</v>
      </c>
      <c r="P2658" s="26">
        <v>0.14000000000000001</v>
      </c>
      <c r="Q2658" s="17" t="s">
        <v>18</v>
      </c>
      <c r="R2658" s="17" t="s">
        <v>21</v>
      </c>
      <c r="S2658" s="50" t="str">
        <f t="shared" si="125"/>
        <v>Alice-West</v>
      </c>
      <c r="T2658" s="59" t="str">
        <f>IF(ROUND(sales_data_1[[#This Row],[Profit_Margin]],2)=ROUND((sales_data_1[[#This Row],[Unit_Price]]*(1-sales_data_1[[#This Row],[Discount]]) - sales_data_1[[#This Row],[Unit_Cost]])*sales_data_1[[#This Row],[Quantity_Sold]],2), "PASS", "CHECK")</f>
        <v>PASS</v>
      </c>
    </row>
    <row r="2659" spans="1:20" x14ac:dyDescent="0.35">
      <c r="A2659" s="7">
        <v>2658</v>
      </c>
      <c r="B2659" s="9">
        <v>1092</v>
      </c>
      <c r="C2659" s="14" t="str">
        <f>IFERROR(_xlfn.TEXTJOIN("-", TRUE, _xlfn.XLOOKUP(K2659, product_category_id_lookup!$A$2:$A$5, product_category_id_lookup!$B$2:$B$5), B2659), "Unknown Category")</f>
        <v>fd-1092</v>
      </c>
      <c r="D2659" s="8">
        <v>45461</v>
      </c>
      <c r="E2659" s="14">
        <f t="shared" si="123"/>
        <v>2024</v>
      </c>
      <c r="F2659" s="29" t="str">
        <f t="shared" si="124"/>
        <v>Jun</v>
      </c>
      <c r="G2659" s="17" t="s">
        <v>14</v>
      </c>
      <c r="H2659" s="17" t="s">
        <v>20</v>
      </c>
      <c r="I2659" s="24">
        <v>53720.520599999996</v>
      </c>
      <c r="J2659" s="32">
        <v>41</v>
      </c>
      <c r="K2659" s="17" t="s">
        <v>24</v>
      </c>
      <c r="L2659" s="24">
        <v>505.46</v>
      </c>
      <c r="M2659" s="24">
        <v>1350.78</v>
      </c>
      <c r="N2659" s="34">
        <f>((sales_data_1[[#This Row],[Unit_Price]]*(1-sales_data_1[[#This Row],[Discount]]))-sales_data_1[[#This Row],[Unit_Cost]])*sales_data_1[[#This Row],[Quantity_Sold]]</f>
        <v>32996.660599999996</v>
      </c>
      <c r="O2659" s="17" t="s">
        <v>27</v>
      </c>
      <c r="P2659" s="26">
        <v>0.03</v>
      </c>
      <c r="Q2659" s="17" t="s">
        <v>28</v>
      </c>
      <c r="R2659" s="17" t="s">
        <v>19</v>
      </c>
      <c r="S2659" s="50" t="str">
        <f t="shared" si="125"/>
        <v>Bob-West</v>
      </c>
      <c r="T2659" s="59" t="str">
        <f>IF(ROUND(sales_data_1[[#This Row],[Profit_Margin]],2)=ROUND((sales_data_1[[#This Row],[Unit_Price]]*(1-sales_data_1[[#This Row],[Discount]]) - sales_data_1[[#This Row],[Unit_Cost]])*sales_data_1[[#This Row],[Quantity_Sold]],2), "PASS", "CHECK")</f>
        <v>PASS</v>
      </c>
    </row>
    <row r="2660" spans="1:20" x14ac:dyDescent="0.35">
      <c r="A2660" s="7">
        <v>2659</v>
      </c>
      <c r="B2660" s="9">
        <v>1041</v>
      </c>
      <c r="C2660" s="14" t="str">
        <f>IFERROR(_xlfn.TEXTJOIN("-", TRUE, _xlfn.XLOOKUP(K2660, product_category_id_lookup!$A$2:$A$5, product_category_id_lookup!$B$2:$B$5), B2660), "Unknown Category")</f>
        <v>ctg-1041</v>
      </c>
      <c r="D2660" s="8">
        <v>45462</v>
      </c>
      <c r="E2660" s="14">
        <f t="shared" si="123"/>
        <v>2024</v>
      </c>
      <c r="F2660" s="29" t="str">
        <f t="shared" si="124"/>
        <v>Jun</v>
      </c>
      <c r="G2660" s="17" t="s">
        <v>14</v>
      </c>
      <c r="H2660" s="17" t="s">
        <v>15</v>
      </c>
      <c r="I2660" s="24">
        <v>122668.53719999999</v>
      </c>
      <c r="J2660" s="32">
        <v>33</v>
      </c>
      <c r="K2660" s="17" t="s">
        <v>26</v>
      </c>
      <c r="L2660" s="24">
        <v>3016.28</v>
      </c>
      <c r="M2660" s="24">
        <v>4891.09</v>
      </c>
      <c r="N2660" s="34">
        <f>((sales_data_1[[#This Row],[Unit_Price]]*(1-sales_data_1[[#This Row],[Discount]]))-sales_data_1[[#This Row],[Unit_Cost]])*sales_data_1[[#This Row],[Quantity_Sold]]</f>
        <v>23131.297199999994</v>
      </c>
      <c r="O2660" s="17" t="s">
        <v>17</v>
      </c>
      <c r="P2660" s="26">
        <v>0.24</v>
      </c>
      <c r="Q2660" s="17" t="s">
        <v>28</v>
      </c>
      <c r="R2660" s="17" t="s">
        <v>19</v>
      </c>
      <c r="S2660" s="50" t="str">
        <f t="shared" si="125"/>
        <v>Bob-North</v>
      </c>
      <c r="T2660" s="59" t="str">
        <f>IF(ROUND(sales_data_1[[#This Row],[Profit_Margin]],2)=ROUND((sales_data_1[[#This Row],[Unit_Price]]*(1-sales_data_1[[#This Row],[Discount]]) - sales_data_1[[#This Row],[Unit_Cost]])*sales_data_1[[#This Row],[Quantity_Sold]],2), "PASS", "CHECK")</f>
        <v>PASS</v>
      </c>
    </row>
    <row r="2661" spans="1:20" x14ac:dyDescent="0.35">
      <c r="A2661" s="7">
        <v>2660</v>
      </c>
      <c r="B2661" s="9">
        <v>1066</v>
      </c>
      <c r="C2661" s="14" t="str">
        <f>IFERROR(_xlfn.TEXTJOIN("-", TRUE, _xlfn.XLOOKUP(K2661, product_category_id_lookup!$A$2:$A$5, product_category_id_lookup!$B$2:$B$5), B2661), "Unknown Category")</f>
        <v>ctg-1066</v>
      </c>
      <c r="D2661" s="8">
        <v>45463</v>
      </c>
      <c r="E2661" s="14">
        <f t="shared" si="123"/>
        <v>2024</v>
      </c>
      <c r="F2661" s="29" t="str">
        <f t="shared" si="124"/>
        <v>Jun</v>
      </c>
      <c r="G2661" s="17" t="s">
        <v>33</v>
      </c>
      <c r="H2661" s="17" t="s">
        <v>23</v>
      </c>
      <c r="I2661" s="24">
        <v>2016.6702</v>
      </c>
      <c r="J2661" s="32">
        <v>1</v>
      </c>
      <c r="K2661" s="17" t="s">
        <v>26</v>
      </c>
      <c r="L2661" s="24">
        <v>1854.61</v>
      </c>
      <c r="M2661" s="24">
        <v>2725.23</v>
      </c>
      <c r="N2661" s="34">
        <f>((sales_data_1[[#This Row],[Unit_Price]]*(1-sales_data_1[[#This Row],[Discount]]))-sales_data_1[[#This Row],[Unit_Cost]])*sales_data_1[[#This Row],[Quantity_Sold]]</f>
        <v>162.06020000000012</v>
      </c>
      <c r="O2661" s="17" t="s">
        <v>17</v>
      </c>
      <c r="P2661" s="26">
        <v>0.26</v>
      </c>
      <c r="Q2661" s="17" t="s">
        <v>28</v>
      </c>
      <c r="R2661" s="17" t="s">
        <v>21</v>
      </c>
      <c r="S2661" s="50" t="str">
        <f t="shared" si="125"/>
        <v>Alice-South</v>
      </c>
      <c r="T2661" s="59" t="str">
        <f>IF(ROUND(sales_data_1[[#This Row],[Profit_Margin]],2)=ROUND((sales_data_1[[#This Row],[Unit_Price]]*(1-sales_data_1[[#This Row],[Discount]]) - sales_data_1[[#This Row],[Unit_Cost]])*sales_data_1[[#This Row],[Quantity_Sold]],2), "PASS", "CHECK")</f>
        <v>PASS</v>
      </c>
    </row>
    <row r="2662" spans="1:20" x14ac:dyDescent="0.35">
      <c r="A2662" s="7">
        <v>2661</v>
      </c>
      <c r="B2662" s="9">
        <v>1048</v>
      </c>
      <c r="C2662" s="14" t="str">
        <f>IFERROR(_xlfn.TEXTJOIN("-", TRUE, _xlfn.XLOOKUP(K2662, product_category_id_lookup!$A$2:$A$5, product_category_id_lookup!$B$2:$B$5), B2662), "Unknown Category")</f>
        <v>ctg-1048</v>
      </c>
      <c r="D2662" s="8">
        <v>45463</v>
      </c>
      <c r="E2662" s="14">
        <f t="shared" si="123"/>
        <v>2024</v>
      </c>
      <c r="F2662" s="29" t="str">
        <f t="shared" si="124"/>
        <v>Jun</v>
      </c>
      <c r="G2662" s="17" t="s">
        <v>29</v>
      </c>
      <c r="H2662" s="17" t="s">
        <v>20</v>
      </c>
      <c r="I2662" s="24">
        <v>66954.426000000007</v>
      </c>
      <c r="J2662" s="32">
        <v>15</v>
      </c>
      <c r="K2662" s="17" t="s">
        <v>26</v>
      </c>
      <c r="L2662" s="24">
        <v>4176.05</v>
      </c>
      <c r="M2662" s="24">
        <v>4851.7700000000004</v>
      </c>
      <c r="N2662" s="34">
        <f>((sales_data_1[[#This Row],[Unit_Price]]*(1-sales_data_1[[#This Row],[Discount]]))-sales_data_1[[#This Row],[Unit_Cost]])*sales_data_1[[#This Row],[Quantity_Sold]]</f>
        <v>4313.6760000000049</v>
      </c>
      <c r="O2662" s="17" t="s">
        <v>17</v>
      </c>
      <c r="P2662" s="26">
        <v>0.08</v>
      </c>
      <c r="Q2662" s="17" t="s">
        <v>28</v>
      </c>
      <c r="R2662" s="17" t="s">
        <v>19</v>
      </c>
      <c r="S2662" s="50" t="str">
        <f t="shared" si="125"/>
        <v>Charlie-West</v>
      </c>
      <c r="T2662" s="59" t="str">
        <f>IF(ROUND(sales_data_1[[#This Row],[Profit_Margin]],2)=ROUND((sales_data_1[[#This Row],[Unit_Price]]*(1-sales_data_1[[#This Row],[Discount]]) - sales_data_1[[#This Row],[Unit_Cost]])*sales_data_1[[#This Row],[Quantity_Sold]],2), "PASS", "CHECK")</f>
        <v>PASS</v>
      </c>
    </row>
    <row r="2663" spans="1:20" x14ac:dyDescent="0.35">
      <c r="A2663" s="7">
        <v>2662</v>
      </c>
      <c r="B2663" s="9">
        <v>1027</v>
      </c>
      <c r="C2663" s="14" t="str">
        <f>IFERROR(_xlfn.TEXTJOIN("-", TRUE, _xlfn.XLOOKUP(K2663, product_category_id_lookup!$A$2:$A$5, product_category_id_lookup!$B$2:$B$5), B2663), "Unknown Category")</f>
        <v>ctg-1027</v>
      </c>
      <c r="D2663" s="8">
        <v>45463</v>
      </c>
      <c r="E2663" s="14">
        <f t="shared" si="123"/>
        <v>2024</v>
      </c>
      <c r="F2663" s="29" t="str">
        <f t="shared" si="124"/>
        <v>Jun</v>
      </c>
      <c r="G2663" s="17" t="s">
        <v>14</v>
      </c>
      <c r="H2663" s="17" t="s">
        <v>23</v>
      </c>
      <c r="I2663" s="24">
        <v>73905.127200000003</v>
      </c>
      <c r="J2663" s="32">
        <v>18</v>
      </c>
      <c r="K2663" s="17" t="s">
        <v>26</v>
      </c>
      <c r="L2663" s="24">
        <v>3865.45</v>
      </c>
      <c r="M2663" s="24">
        <v>4462.87</v>
      </c>
      <c r="N2663" s="34">
        <f>((sales_data_1[[#This Row],[Unit_Price]]*(1-sales_data_1[[#This Row],[Discount]]))-sales_data_1[[#This Row],[Unit_Cost]])*sales_data_1[[#This Row],[Quantity_Sold]]</f>
        <v>4327.0272000000041</v>
      </c>
      <c r="O2663" s="17" t="s">
        <v>17</v>
      </c>
      <c r="P2663" s="26">
        <v>0.08</v>
      </c>
      <c r="Q2663" s="17" t="s">
        <v>25</v>
      </c>
      <c r="R2663" s="17" t="s">
        <v>19</v>
      </c>
      <c r="S2663" s="50" t="str">
        <f t="shared" si="125"/>
        <v>Bob-South</v>
      </c>
      <c r="T2663" s="59" t="str">
        <f>IF(ROUND(sales_data_1[[#This Row],[Profit_Margin]],2)=ROUND((sales_data_1[[#This Row],[Unit_Price]]*(1-sales_data_1[[#This Row],[Discount]]) - sales_data_1[[#This Row],[Unit_Cost]])*sales_data_1[[#This Row],[Quantity_Sold]],2), "PASS", "CHECK")</f>
        <v>PASS</v>
      </c>
    </row>
    <row r="2664" spans="1:20" x14ac:dyDescent="0.35">
      <c r="A2664" s="7">
        <v>2663</v>
      </c>
      <c r="B2664" s="9">
        <v>1076</v>
      </c>
      <c r="C2664" s="14" t="str">
        <f>IFERROR(_xlfn.TEXTJOIN("-", TRUE, _xlfn.XLOOKUP(K2664, product_category_id_lookup!$A$2:$A$5, product_category_id_lookup!$B$2:$B$5), B2664), "Unknown Category")</f>
        <v>fd-1076</v>
      </c>
      <c r="D2664" s="8">
        <v>45463</v>
      </c>
      <c r="E2664" s="14">
        <f t="shared" si="123"/>
        <v>2024</v>
      </c>
      <c r="F2664" s="29" t="str">
        <f t="shared" si="124"/>
        <v>Jun</v>
      </c>
      <c r="G2664" s="17" t="s">
        <v>32</v>
      </c>
      <c r="H2664" s="17" t="s">
        <v>20</v>
      </c>
      <c r="I2664" s="24">
        <v>162256.5</v>
      </c>
      <c r="J2664" s="32">
        <v>42</v>
      </c>
      <c r="K2664" s="17" t="s">
        <v>24</v>
      </c>
      <c r="L2664" s="24">
        <v>3735.96</v>
      </c>
      <c r="M2664" s="24">
        <v>3863.25</v>
      </c>
      <c r="N2664" s="34">
        <f>((sales_data_1[[#This Row],[Unit_Price]]*(1-sales_data_1[[#This Row],[Discount]]))-sales_data_1[[#This Row],[Unit_Cost]])*sales_data_1[[#This Row],[Quantity_Sold]]</f>
        <v>5346.1799999999985</v>
      </c>
      <c r="O2664" s="17" t="s">
        <v>27</v>
      </c>
      <c r="P2664" s="26">
        <v>0</v>
      </c>
      <c r="Q2664" s="17" t="s">
        <v>28</v>
      </c>
      <c r="R2664" s="17" t="s">
        <v>21</v>
      </c>
      <c r="S2664" s="50" t="str">
        <f t="shared" si="125"/>
        <v>Eve-West</v>
      </c>
      <c r="T2664" s="59" t="str">
        <f>IF(ROUND(sales_data_1[[#This Row],[Profit_Margin]],2)=ROUND((sales_data_1[[#This Row],[Unit_Price]]*(1-sales_data_1[[#This Row],[Discount]]) - sales_data_1[[#This Row],[Unit_Cost]])*sales_data_1[[#This Row],[Quantity_Sold]],2), "PASS", "CHECK")</f>
        <v>PASS</v>
      </c>
    </row>
    <row r="2665" spans="1:20" x14ac:dyDescent="0.35">
      <c r="A2665" s="7">
        <v>2664</v>
      </c>
      <c r="B2665" s="9">
        <v>1061</v>
      </c>
      <c r="C2665" s="14" t="str">
        <f>IFERROR(_xlfn.TEXTJOIN("-", TRUE, _xlfn.XLOOKUP(K2665, product_category_id_lookup!$A$2:$A$5, product_category_id_lookup!$B$2:$B$5), B2665), "Unknown Category")</f>
        <v>ctg-1061</v>
      </c>
      <c r="D2665" s="8">
        <v>45464</v>
      </c>
      <c r="E2665" s="14">
        <f t="shared" si="123"/>
        <v>2024</v>
      </c>
      <c r="F2665" s="29" t="str">
        <f t="shared" si="124"/>
        <v>Jun</v>
      </c>
      <c r="G2665" s="17" t="s">
        <v>33</v>
      </c>
      <c r="H2665" s="17" t="s">
        <v>20</v>
      </c>
      <c r="I2665" s="24">
        <v>3307.7505999999998</v>
      </c>
      <c r="J2665" s="32">
        <v>1</v>
      </c>
      <c r="K2665" s="17" t="s">
        <v>26</v>
      </c>
      <c r="L2665" s="24">
        <v>2790.44</v>
      </c>
      <c r="M2665" s="24">
        <v>4295.78</v>
      </c>
      <c r="N2665" s="34">
        <f>((sales_data_1[[#This Row],[Unit_Price]]*(1-sales_data_1[[#This Row],[Discount]]))-sales_data_1[[#This Row],[Unit_Cost]])*sales_data_1[[#This Row],[Quantity_Sold]]</f>
        <v>517.31059999999979</v>
      </c>
      <c r="O2665" s="17" t="s">
        <v>17</v>
      </c>
      <c r="P2665" s="26">
        <v>0.23</v>
      </c>
      <c r="Q2665" s="17" t="s">
        <v>18</v>
      </c>
      <c r="R2665" s="17" t="s">
        <v>19</v>
      </c>
      <c r="S2665" s="50" t="str">
        <f t="shared" si="125"/>
        <v>Alice-West</v>
      </c>
      <c r="T2665" s="59" t="str">
        <f>IF(ROUND(sales_data_1[[#This Row],[Profit_Margin]],2)=ROUND((sales_data_1[[#This Row],[Unit_Price]]*(1-sales_data_1[[#This Row],[Discount]]) - sales_data_1[[#This Row],[Unit_Cost]])*sales_data_1[[#This Row],[Quantity_Sold]],2), "PASS", "CHECK")</f>
        <v>PASS</v>
      </c>
    </row>
    <row r="2666" spans="1:20" x14ac:dyDescent="0.35">
      <c r="A2666" s="7">
        <v>2665</v>
      </c>
      <c r="B2666" s="9">
        <v>1090</v>
      </c>
      <c r="C2666" s="14" t="str">
        <f>IFERROR(_xlfn.TEXTJOIN("-", TRUE, _xlfn.XLOOKUP(K2666, product_category_id_lookup!$A$2:$A$5, product_category_id_lookup!$B$2:$B$5), B2666), "Unknown Category")</f>
        <v>fnt-1090</v>
      </c>
      <c r="D2666" s="8">
        <v>45464</v>
      </c>
      <c r="E2666" s="14">
        <f t="shared" si="123"/>
        <v>2024</v>
      </c>
      <c r="F2666" s="29" t="str">
        <f t="shared" si="124"/>
        <v>Jun</v>
      </c>
      <c r="G2666" s="17" t="s">
        <v>29</v>
      </c>
      <c r="H2666" s="17" t="s">
        <v>20</v>
      </c>
      <c r="I2666" s="24">
        <v>21961.100699999999</v>
      </c>
      <c r="J2666" s="32">
        <v>7</v>
      </c>
      <c r="K2666" s="17" t="s">
        <v>16</v>
      </c>
      <c r="L2666" s="24">
        <v>2853.61</v>
      </c>
      <c r="M2666" s="24">
        <v>3168.99</v>
      </c>
      <c r="N2666" s="34">
        <f>((sales_data_1[[#This Row],[Unit_Price]]*(1-sales_data_1[[#This Row],[Discount]]))-sales_data_1[[#This Row],[Unit_Cost]])*sales_data_1[[#This Row],[Quantity_Sold]]</f>
        <v>1985.8306999999986</v>
      </c>
      <c r="O2666" s="17" t="s">
        <v>27</v>
      </c>
      <c r="P2666" s="26">
        <v>0.01</v>
      </c>
      <c r="Q2666" s="17" t="s">
        <v>25</v>
      </c>
      <c r="R2666" s="17" t="s">
        <v>19</v>
      </c>
      <c r="S2666" s="50" t="str">
        <f t="shared" si="125"/>
        <v>Charlie-West</v>
      </c>
      <c r="T2666" s="59" t="str">
        <f>IF(ROUND(sales_data_1[[#This Row],[Profit_Margin]],2)=ROUND((sales_data_1[[#This Row],[Unit_Price]]*(1-sales_data_1[[#This Row],[Discount]]) - sales_data_1[[#This Row],[Unit_Cost]])*sales_data_1[[#This Row],[Quantity_Sold]],2), "PASS", "CHECK")</f>
        <v>PASS</v>
      </c>
    </row>
    <row r="2667" spans="1:20" x14ac:dyDescent="0.35">
      <c r="A2667" s="7">
        <v>2666</v>
      </c>
      <c r="B2667" s="9">
        <v>1052</v>
      </c>
      <c r="C2667" s="14" t="str">
        <f>IFERROR(_xlfn.TEXTJOIN("-", TRUE, _xlfn.XLOOKUP(K2667, product_category_id_lookup!$A$2:$A$5, product_category_id_lookup!$B$2:$B$5), B2667), "Unknown Category")</f>
        <v>etc-1052</v>
      </c>
      <c r="D2667" s="8">
        <v>45464</v>
      </c>
      <c r="E2667" s="14">
        <f t="shared" si="123"/>
        <v>2024</v>
      </c>
      <c r="F2667" s="29" t="str">
        <f t="shared" si="124"/>
        <v>Jun</v>
      </c>
      <c r="G2667" s="17" t="s">
        <v>14</v>
      </c>
      <c r="H2667" s="17" t="s">
        <v>20</v>
      </c>
      <c r="I2667" s="24">
        <v>16339.596</v>
      </c>
      <c r="J2667" s="32">
        <v>5</v>
      </c>
      <c r="K2667" s="17" t="s">
        <v>31</v>
      </c>
      <c r="L2667" s="24">
        <v>1846.34</v>
      </c>
      <c r="M2667" s="24">
        <v>3591.12</v>
      </c>
      <c r="N2667" s="34">
        <f>((sales_data_1[[#This Row],[Unit_Price]]*(1-sales_data_1[[#This Row],[Discount]]))-sales_data_1[[#This Row],[Unit_Cost]])*sales_data_1[[#This Row],[Quantity_Sold]]</f>
        <v>7107.8959999999997</v>
      </c>
      <c r="O2667" s="17" t="s">
        <v>17</v>
      </c>
      <c r="P2667" s="26">
        <v>0.09</v>
      </c>
      <c r="Q2667" s="17" t="s">
        <v>18</v>
      </c>
      <c r="R2667" s="17" t="s">
        <v>21</v>
      </c>
      <c r="S2667" s="50" t="str">
        <f t="shared" si="125"/>
        <v>Bob-West</v>
      </c>
      <c r="T2667" s="59" t="str">
        <f>IF(ROUND(sales_data_1[[#This Row],[Profit_Margin]],2)=ROUND((sales_data_1[[#This Row],[Unit_Price]]*(1-sales_data_1[[#This Row],[Discount]]) - sales_data_1[[#This Row],[Unit_Cost]])*sales_data_1[[#This Row],[Quantity_Sold]],2), "PASS", "CHECK")</f>
        <v>PASS</v>
      </c>
    </row>
    <row r="2668" spans="1:20" x14ac:dyDescent="0.35">
      <c r="A2668" s="7">
        <v>2667</v>
      </c>
      <c r="B2668" s="9">
        <v>1004</v>
      </c>
      <c r="C2668" s="14" t="str">
        <f>IFERROR(_xlfn.TEXTJOIN("-", TRUE, _xlfn.XLOOKUP(K2668, product_category_id_lookup!$A$2:$A$5, product_category_id_lookup!$B$2:$B$5), B2668), "Unknown Category")</f>
        <v>fd-1004</v>
      </c>
      <c r="D2668" s="8">
        <v>45465</v>
      </c>
      <c r="E2668" s="14">
        <f t="shared" si="123"/>
        <v>2024</v>
      </c>
      <c r="F2668" s="29" t="str">
        <f t="shared" si="124"/>
        <v>Jun</v>
      </c>
      <c r="G2668" s="17" t="s">
        <v>32</v>
      </c>
      <c r="H2668" s="17" t="s">
        <v>15</v>
      </c>
      <c r="I2668" s="24">
        <v>9762.3381000000008</v>
      </c>
      <c r="J2668" s="32">
        <v>3</v>
      </c>
      <c r="K2668" s="17" t="s">
        <v>24</v>
      </c>
      <c r="L2668" s="24">
        <v>379.48</v>
      </c>
      <c r="M2668" s="24">
        <v>4119.13</v>
      </c>
      <c r="N2668" s="34">
        <f>((sales_data_1[[#This Row],[Unit_Price]]*(1-sales_data_1[[#This Row],[Discount]]))-sales_data_1[[#This Row],[Unit_Cost]])*sales_data_1[[#This Row],[Quantity_Sold]]</f>
        <v>8623.8981000000003</v>
      </c>
      <c r="O2668" s="17" t="s">
        <v>27</v>
      </c>
      <c r="P2668" s="26">
        <v>0.21</v>
      </c>
      <c r="Q2668" s="17" t="s">
        <v>18</v>
      </c>
      <c r="R2668" s="17" t="s">
        <v>21</v>
      </c>
      <c r="S2668" s="50" t="str">
        <f t="shared" si="125"/>
        <v>Eve-North</v>
      </c>
      <c r="T2668" s="59" t="str">
        <f>IF(ROUND(sales_data_1[[#This Row],[Profit_Margin]],2)=ROUND((sales_data_1[[#This Row],[Unit_Price]]*(1-sales_data_1[[#This Row],[Discount]]) - sales_data_1[[#This Row],[Unit_Cost]])*sales_data_1[[#This Row],[Quantity_Sold]],2), "PASS", "CHECK")</f>
        <v>PASS</v>
      </c>
    </row>
    <row r="2669" spans="1:20" x14ac:dyDescent="0.35">
      <c r="A2669" s="7">
        <v>2668</v>
      </c>
      <c r="B2669" s="9">
        <v>1053</v>
      </c>
      <c r="C2669" s="14" t="str">
        <f>IFERROR(_xlfn.TEXTJOIN("-", TRUE, _xlfn.XLOOKUP(K2669, product_category_id_lookup!$A$2:$A$5, product_category_id_lookup!$B$2:$B$5), B2669), "Unknown Category")</f>
        <v>ctg-1053</v>
      </c>
      <c r="D2669" s="8">
        <v>45465</v>
      </c>
      <c r="E2669" s="14">
        <f t="shared" si="123"/>
        <v>2024</v>
      </c>
      <c r="F2669" s="29" t="str">
        <f t="shared" si="124"/>
        <v>Jun</v>
      </c>
      <c r="G2669" s="17" t="s">
        <v>29</v>
      </c>
      <c r="H2669" s="17" t="s">
        <v>20</v>
      </c>
      <c r="I2669" s="24">
        <v>135810.3352</v>
      </c>
      <c r="J2669" s="32">
        <v>37</v>
      </c>
      <c r="K2669" s="17" t="s">
        <v>26</v>
      </c>
      <c r="L2669" s="24">
        <v>1868.99</v>
      </c>
      <c r="M2669" s="24">
        <v>3904.84</v>
      </c>
      <c r="N2669" s="34">
        <f>((sales_data_1[[#This Row],[Unit_Price]]*(1-sales_data_1[[#This Row],[Discount]]))-sales_data_1[[#This Row],[Unit_Cost]])*sales_data_1[[#This Row],[Quantity_Sold]]</f>
        <v>66657.705199999997</v>
      </c>
      <c r="O2669" s="17" t="s">
        <v>17</v>
      </c>
      <c r="P2669" s="26">
        <v>0.06</v>
      </c>
      <c r="Q2669" s="17" t="s">
        <v>28</v>
      </c>
      <c r="R2669" s="17" t="s">
        <v>19</v>
      </c>
      <c r="S2669" s="50" t="str">
        <f t="shared" si="125"/>
        <v>Charlie-West</v>
      </c>
      <c r="T2669" s="59" t="str">
        <f>IF(ROUND(sales_data_1[[#This Row],[Profit_Margin]],2)=ROUND((sales_data_1[[#This Row],[Unit_Price]]*(1-sales_data_1[[#This Row],[Discount]]) - sales_data_1[[#This Row],[Unit_Cost]])*sales_data_1[[#This Row],[Quantity_Sold]],2), "PASS", "CHECK")</f>
        <v>PASS</v>
      </c>
    </row>
    <row r="2670" spans="1:20" x14ac:dyDescent="0.35">
      <c r="A2670" s="7">
        <v>2669</v>
      </c>
      <c r="B2670" s="9">
        <v>1045</v>
      </c>
      <c r="C2670" s="14" t="str">
        <f>IFERROR(_xlfn.TEXTJOIN("-", TRUE, _xlfn.XLOOKUP(K2670, product_category_id_lookup!$A$2:$A$5, product_category_id_lookup!$B$2:$B$5), B2670), "Unknown Category")</f>
        <v>ctg-1045</v>
      </c>
      <c r="D2670" s="8">
        <v>45466</v>
      </c>
      <c r="E2670" s="14">
        <f t="shared" si="123"/>
        <v>2024</v>
      </c>
      <c r="F2670" s="29" t="str">
        <f t="shared" si="124"/>
        <v>Jun</v>
      </c>
      <c r="G2670" s="17" t="s">
        <v>33</v>
      </c>
      <c r="H2670" s="17" t="s">
        <v>30</v>
      </c>
      <c r="I2670" s="24">
        <v>44652.688999999998</v>
      </c>
      <c r="J2670" s="32">
        <v>10</v>
      </c>
      <c r="K2670" s="17" t="s">
        <v>26</v>
      </c>
      <c r="L2670" s="24">
        <v>3241.05</v>
      </c>
      <c r="M2670" s="24">
        <v>4603.37</v>
      </c>
      <c r="N2670" s="34">
        <f>((sales_data_1[[#This Row],[Unit_Price]]*(1-sales_data_1[[#This Row],[Discount]]))-sales_data_1[[#This Row],[Unit_Cost]])*sales_data_1[[#This Row],[Quantity_Sold]]</f>
        <v>12242.188999999998</v>
      </c>
      <c r="O2670" s="17" t="s">
        <v>27</v>
      </c>
      <c r="P2670" s="26">
        <v>0.03</v>
      </c>
      <c r="Q2670" s="17" t="s">
        <v>18</v>
      </c>
      <c r="R2670" s="17" t="s">
        <v>21</v>
      </c>
      <c r="S2670" s="50" t="str">
        <f t="shared" si="125"/>
        <v>Alice-East</v>
      </c>
      <c r="T2670" s="59" t="str">
        <f>IF(ROUND(sales_data_1[[#This Row],[Profit_Margin]],2)=ROUND((sales_data_1[[#This Row],[Unit_Price]]*(1-sales_data_1[[#This Row],[Discount]]) - sales_data_1[[#This Row],[Unit_Cost]])*sales_data_1[[#This Row],[Quantity_Sold]],2), "PASS", "CHECK")</f>
        <v>PASS</v>
      </c>
    </row>
    <row r="2671" spans="1:20" x14ac:dyDescent="0.35">
      <c r="A2671" s="7">
        <v>2670</v>
      </c>
      <c r="B2671" s="9">
        <v>1061</v>
      </c>
      <c r="C2671" s="14" t="str">
        <f>IFERROR(_xlfn.TEXTJOIN("-", TRUE, _xlfn.XLOOKUP(K2671, product_category_id_lookup!$A$2:$A$5, product_category_id_lookup!$B$2:$B$5), B2671), "Unknown Category")</f>
        <v>etc-1061</v>
      </c>
      <c r="D2671" s="8">
        <v>45466</v>
      </c>
      <c r="E2671" s="14">
        <f t="shared" si="123"/>
        <v>2024</v>
      </c>
      <c r="F2671" s="29" t="str">
        <f t="shared" si="124"/>
        <v>Jun</v>
      </c>
      <c r="G2671" s="17" t="s">
        <v>22</v>
      </c>
      <c r="H2671" s="17" t="s">
        <v>20</v>
      </c>
      <c r="I2671" s="24">
        <v>68353.718399999998</v>
      </c>
      <c r="J2671" s="32">
        <v>23</v>
      </c>
      <c r="K2671" s="17" t="s">
        <v>31</v>
      </c>
      <c r="L2671" s="24">
        <v>1109.26</v>
      </c>
      <c r="M2671" s="24">
        <v>3095.73</v>
      </c>
      <c r="N2671" s="34">
        <f>((sales_data_1[[#This Row],[Unit_Price]]*(1-sales_data_1[[#This Row],[Discount]]))-sales_data_1[[#This Row],[Unit_Cost]])*sales_data_1[[#This Row],[Quantity_Sold]]</f>
        <v>42840.738399999995</v>
      </c>
      <c r="O2671" s="17" t="s">
        <v>17</v>
      </c>
      <c r="P2671" s="26">
        <v>0.04</v>
      </c>
      <c r="Q2671" s="17" t="s">
        <v>18</v>
      </c>
      <c r="R2671" s="17" t="s">
        <v>19</v>
      </c>
      <c r="S2671" s="50" t="str">
        <f t="shared" si="125"/>
        <v>David-West</v>
      </c>
      <c r="T2671" s="59" t="str">
        <f>IF(ROUND(sales_data_1[[#This Row],[Profit_Margin]],2)=ROUND((sales_data_1[[#This Row],[Unit_Price]]*(1-sales_data_1[[#This Row],[Discount]]) - sales_data_1[[#This Row],[Unit_Cost]])*sales_data_1[[#This Row],[Quantity_Sold]],2), "PASS", "CHECK")</f>
        <v>PASS</v>
      </c>
    </row>
    <row r="2672" spans="1:20" x14ac:dyDescent="0.35">
      <c r="A2672" s="7">
        <v>2671</v>
      </c>
      <c r="B2672" s="9">
        <v>1077</v>
      </c>
      <c r="C2672" s="14" t="str">
        <f>IFERROR(_xlfn.TEXTJOIN("-", TRUE, _xlfn.XLOOKUP(K2672, product_category_id_lookup!$A$2:$A$5, product_category_id_lookup!$B$2:$B$5), B2672), "Unknown Category")</f>
        <v>fd-1077</v>
      </c>
      <c r="D2672" s="8">
        <v>45467</v>
      </c>
      <c r="E2672" s="14">
        <f t="shared" si="123"/>
        <v>2024</v>
      </c>
      <c r="F2672" s="29" t="str">
        <f t="shared" si="124"/>
        <v>Jun</v>
      </c>
      <c r="G2672" s="17" t="s">
        <v>32</v>
      </c>
      <c r="H2672" s="17" t="s">
        <v>30</v>
      </c>
      <c r="I2672" s="24">
        <v>23475.005399999998</v>
      </c>
      <c r="J2672" s="32">
        <v>19</v>
      </c>
      <c r="K2672" s="17" t="s">
        <v>24</v>
      </c>
      <c r="L2672" s="24">
        <v>1218.3399999999999</v>
      </c>
      <c r="M2672" s="24">
        <v>1314.39</v>
      </c>
      <c r="N2672" s="34">
        <f>((sales_data_1[[#This Row],[Unit_Price]]*(1-sales_data_1[[#This Row],[Discount]]))-sales_data_1[[#This Row],[Unit_Cost]])*sales_data_1[[#This Row],[Quantity_Sold]]</f>
        <v>326.54539999999997</v>
      </c>
      <c r="O2672" s="17" t="s">
        <v>27</v>
      </c>
      <c r="P2672" s="26">
        <v>0.06</v>
      </c>
      <c r="Q2672" s="17" t="s">
        <v>25</v>
      </c>
      <c r="R2672" s="17" t="s">
        <v>21</v>
      </c>
      <c r="S2672" s="50" t="str">
        <f t="shared" si="125"/>
        <v>Eve-East</v>
      </c>
      <c r="T2672" s="59" t="str">
        <f>IF(ROUND(sales_data_1[[#This Row],[Profit_Margin]],2)=ROUND((sales_data_1[[#This Row],[Unit_Price]]*(1-sales_data_1[[#This Row],[Discount]]) - sales_data_1[[#This Row],[Unit_Cost]])*sales_data_1[[#This Row],[Quantity_Sold]],2), "PASS", "CHECK")</f>
        <v>PASS</v>
      </c>
    </row>
    <row r="2673" spans="1:20" x14ac:dyDescent="0.35">
      <c r="A2673" s="7">
        <v>2672</v>
      </c>
      <c r="B2673" s="9">
        <v>1050</v>
      </c>
      <c r="C2673" s="14" t="str">
        <f>IFERROR(_xlfn.TEXTJOIN("-", TRUE, _xlfn.XLOOKUP(K2673, product_category_id_lookup!$A$2:$A$5, product_category_id_lookup!$B$2:$B$5), B2673), "Unknown Category")</f>
        <v>etc-1050</v>
      </c>
      <c r="D2673" s="8">
        <v>45467</v>
      </c>
      <c r="E2673" s="14">
        <f t="shared" si="123"/>
        <v>2024</v>
      </c>
      <c r="F2673" s="29" t="str">
        <f t="shared" si="124"/>
        <v>Jun</v>
      </c>
      <c r="G2673" s="17" t="s">
        <v>33</v>
      </c>
      <c r="H2673" s="17" t="s">
        <v>23</v>
      </c>
      <c r="I2673" s="24">
        <v>6982.8952000000008</v>
      </c>
      <c r="J2673" s="32">
        <v>2</v>
      </c>
      <c r="K2673" s="17" t="s">
        <v>31</v>
      </c>
      <c r="L2673" s="24">
        <v>169.71</v>
      </c>
      <c r="M2673" s="24">
        <v>4594.01</v>
      </c>
      <c r="N2673" s="34">
        <f>((sales_data_1[[#This Row],[Unit_Price]]*(1-sales_data_1[[#This Row],[Discount]]))-sales_data_1[[#This Row],[Unit_Cost]])*sales_data_1[[#This Row],[Quantity_Sold]]</f>
        <v>6643.4752000000008</v>
      </c>
      <c r="O2673" s="17" t="s">
        <v>27</v>
      </c>
      <c r="P2673" s="26">
        <v>0.24</v>
      </c>
      <c r="Q2673" s="17" t="s">
        <v>18</v>
      </c>
      <c r="R2673" s="17" t="s">
        <v>21</v>
      </c>
      <c r="S2673" s="50" t="str">
        <f t="shared" si="125"/>
        <v>Alice-South</v>
      </c>
      <c r="T2673" s="59" t="str">
        <f>IF(ROUND(sales_data_1[[#This Row],[Profit_Margin]],2)=ROUND((sales_data_1[[#This Row],[Unit_Price]]*(1-sales_data_1[[#This Row],[Discount]]) - sales_data_1[[#This Row],[Unit_Cost]])*sales_data_1[[#This Row],[Quantity_Sold]],2), "PASS", "CHECK")</f>
        <v>PASS</v>
      </c>
    </row>
    <row r="2674" spans="1:20" x14ac:dyDescent="0.35">
      <c r="A2674" s="7">
        <v>2673</v>
      </c>
      <c r="B2674" s="9">
        <v>1054</v>
      </c>
      <c r="C2674" s="14" t="str">
        <f>IFERROR(_xlfn.TEXTJOIN("-", TRUE, _xlfn.XLOOKUP(K2674, product_category_id_lookup!$A$2:$A$5, product_category_id_lookup!$B$2:$B$5), B2674), "Unknown Category")</f>
        <v>fnt-1054</v>
      </c>
      <c r="D2674" s="8">
        <v>45467</v>
      </c>
      <c r="E2674" s="14">
        <f t="shared" si="123"/>
        <v>2024</v>
      </c>
      <c r="F2674" s="29" t="str">
        <f t="shared" si="124"/>
        <v>Jun</v>
      </c>
      <c r="G2674" s="17" t="s">
        <v>32</v>
      </c>
      <c r="H2674" s="17" t="s">
        <v>23</v>
      </c>
      <c r="I2674" s="24">
        <v>102948</v>
      </c>
      <c r="J2674" s="32">
        <v>50</v>
      </c>
      <c r="K2674" s="17" t="s">
        <v>16</v>
      </c>
      <c r="L2674" s="24">
        <v>1795.52</v>
      </c>
      <c r="M2674" s="24">
        <v>2573.6999999999998</v>
      </c>
      <c r="N2674" s="34">
        <f>((sales_data_1[[#This Row],[Unit_Price]]*(1-sales_data_1[[#This Row],[Discount]]))-sales_data_1[[#This Row],[Unit_Cost]])*sales_data_1[[#This Row],[Quantity_Sold]]</f>
        <v>13172.000000000004</v>
      </c>
      <c r="O2674" s="17" t="s">
        <v>27</v>
      </c>
      <c r="P2674" s="26">
        <v>0.2</v>
      </c>
      <c r="Q2674" s="17" t="s">
        <v>25</v>
      </c>
      <c r="R2674" s="17" t="s">
        <v>21</v>
      </c>
      <c r="S2674" s="50" t="str">
        <f t="shared" si="125"/>
        <v>Eve-South</v>
      </c>
      <c r="T2674" s="59" t="str">
        <f>IF(ROUND(sales_data_1[[#This Row],[Profit_Margin]],2)=ROUND((sales_data_1[[#This Row],[Unit_Price]]*(1-sales_data_1[[#This Row],[Discount]]) - sales_data_1[[#This Row],[Unit_Cost]])*sales_data_1[[#This Row],[Quantity_Sold]],2), "PASS", "CHECK")</f>
        <v>PASS</v>
      </c>
    </row>
    <row r="2675" spans="1:20" x14ac:dyDescent="0.35">
      <c r="A2675" s="7">
        <v>2674</v>
      </c>
      <c r="B2675" s="9">
        <v>1009</v>
      </c>
      <c r="C2675" s="14" t="str">
        <f>IFERROR(_xlfn.TEXTJOIN("-", TRUE, _xlfn.XLOOKUP(K2675, product_category_id_lookup!$A$2:$A$5, product_category_id_lookup!$B$2:$B$5), B2675), "Unknown Category")</f>
        <v>fnt-1009</v>
      </c>
      <c r="D2675" s="8">
        <v>45467</v>
      </c>
      <c r="E2675" s="14">
        <f t="shared" si="123"/>
        <v>2024</v>
      </c>
      <c r="F2675" s="29" t="str">
        <f t="shared" si="124"/>
        <v>Jun</v>
      </c>
      <c r="G2675" s="17" t="s">
        <v>29</v>
      </c>
      <c r="H2675" s="17" t="s">
        <v>23</v>
      </c>
      <c r="I2675" s="24">
        <v>105666.2542</v>
      </c>
      <c r="J2675" s="32">
        <v>26</v>
      </c>
      <c r="K2675" s="17" t="s">
        <v>16</v>
      </c>
      <c r="L2675" s="24">
        <v>2974.24</v>
      </c>
      <c r="M2675" s="24">
        <v>4896.49</v>
      </c>
      <c r="N2675" s="34">
        <f>((sales_data_1[[#This Row],[Unit_Price]]*(1-sales_data_1[[#This Row],[Discount]]))-sales_data_1[[#This Row],[Unit_Cost]])*sales_data_1[[#This Row],[Quantity_Sold]]</f>
        <v>28336.014200000001</v>
      </c>
      <c r="O2675" s="17" t="s">
        <v>17</v>
      </c>
      <c r="P2675" s="26">
        <v>0.17</v>
      </c>
      <c r="Q2675" s="17" t="s">
        <v>18</v>
      </c>
      <c r="R2675" s="17" t="s">
        <v>19</v>
      </c>
      <c r="S2675" s="50" t="str">
        <f t="shared" si="125"/>
        <v>Charlie-South</v>
      </c>
      <c r="T2675" s="59" t="str">
        <f>IF(ROUND(sales_data_1[[#This Row],[Profit_Margin]],2)=ROUND((sales_data_1[[#This Row],[Unit_Price]]*(1-sales_data_1[[#This Row],[Discount]]) - sales_data_1[[#This Row],[Unit_Cost]])*sales_data_1[[#This Row],[Quantity_Sold]],2), "PASS", "CHECK")</f>
        <v>PASS</v>
      </c>
    </row>
    <row r="2676" spans="1:20" x14ac:dyDescent="0.35">
      <c r="A2676" s="7">
        <v>2675</v>
      </c>
      <c r="B2676" s="9">
        <v>1035</v>
      </c>
      <c r="C2676" s="14" t="str">
        <f>IFERROR(_xlfn.TEXTJOIN("-", TRUE, _xlfn.XLOOKUP(K2676, product_category_id_lookup!$A$2:$A$5, product_category_id_lookup!$B$2:$B$5), B2676), "Unknown Category")</f>
        <v>fd-1035</v>
      </c>
      <c r="D2676" s="8">
        <v>45468</v>
      </c>
      <c r="E2676" s="14">
        <f t="shared" si="123"/>
        <v>2024</v>
      </c>
      <c r="F2676" s="29" t="str">
        <f t="shared" si="124"/>
        <v>Jun</v>
      </c>
      <c r="G2676" s="17" t="s">
        <v>33</v>
      </c>
      <c r="H2676" s="17" t="s">
        <v>15</v>
      </c>
      <c r="I2676" s="24">
        <v>34712.402999999998</v>
      </c>
      <c r="J2676" s="32">
        <v>10</v>
      </c>
      <c r="K2676" s="17" t="s">
        <v>24</v>
      </c>
      <c r="L2676" s="24">
        <v>2008.21</v>
      </c>
      <c r="M2676" s="24">
        <v>3900.27</v>
      </c>
      <c r="N2676" s="34">
        <f>((sales_data_1[[#This Row],[Unit_Price]]*(1-sales_data_1[[#This Row],[Discount]]))-sales_data_1[[#This Row],[Unit_Cost]])*sales_data_1[[#This Row],[Quantity_Sold]]</f>
        <v>14630.303</v>
      </c>
      <c r="O2676" s="17" t="s">
        <v>17</v>
      </c>
      <c r="P2676" s="26">
        <v>0.11</v>
      </c>
      <c r="Q2676" s="17" t="s">
        <v>18</v>
      </c>
      <c r="R2676" s="17" t="s">
        <v>19</v>
      </c>
      <c r="S2676" s="50" t="str">
        <f t="shared" si="125"/>
        <v>Alice-North</v>
      </c>
      <c r="T2676" s="59" t="str">
        <f>IF(ROUND(sales_data_1[[#This Row],[Profit_Margin]],2)=ROUND((sales_data_1[[#This Row],[Unit_Price]]*(1-sales_data_1[[#This Row],[Discount]]) - sales_data_1[[#This Row],[Unit_Cost]])*sales_data_1[[#This Row],[Quantity_Sold]],2), "PASS", "CHECK")</f>
        <v>PASS</v>
      </c>
    </row>
    <row r="2677" spans="1:20" x14ac:dyDescent="0.35">
      <c r="A2677" s="7">
        <v>2676</v>
      </c>
      <c r="B2677" s="9">
        <v>1075</v>
      </c>
      <c r="C2677" s="14" t="str">
        <f>IFERROR(_xlfn.TEXTJOIN("-", TRUE, _xlfn.XLOOKUP(K2677, product_category_id_lookup!$A$2:$A$5, product_category_id_lookup!$B$2:$B$5), B2677), "Unknown Category")</f>
        <v>ctg-1075</v>
      </c>
      <c r="D2677" s="8">
        <v>45468</v>
      </c>
      <c r="E2677" s="14">
        <f t="shared" si="123"/>
        <v>2024</v>
      </c>
      <c r="F2677" s="29" t="str">
        <f t="shared" si="124"/>
        <v>Jun</v>
      </c>
      <c r="G2677" s="17" t="s">
        <v>29</v>
      </c>
      <c r="H2677" s="17" t="s">
        <v>20</v>
      </c>
      <c r="I2677" s="24">
        <v>29228.126400000001</v>
      </c>
      <c r="J2677" s="32">
        <v>27</v>
      </c>
      <c r="K2677" s="17" t="s">
        <v>26</v>
      </c>
      <c r="L2677" s="24">
        <v>435.84</v>
      </c>
      <c r="M2677" s="24">
        <v>1230.1400000000001</v>
      </c>
      <c r="N2677" s="34">
        <f>((sales_data_1[[#This Row],[Unit_Price]]*(1-sales_data_1[[#This Row],[Discount]]))-sales_data_1[[#This Row],[Unit_Cost]])*sales_data_1[[#This Row],[Quantity_Sold]]</f>
        <v>17460.446400000004</v>
      </c>
      <c r="O2677" s="17" t="s">
        <v>17</v>
      </c>
      <c r="P2677" s="26">
        <v>0.12</v>
      </c>
      <c r="Q2677" s="17" t="s">
        <v>28</v>
      </c>
      <c r="R2677" s="17" t="s">
        <v>21</v>
      </c>
      <c r="S2677" s="50" t="str">
        <f t="shared" si="125"/>
        <v>Charlie-West</v>
      </c>
      <c r="T2677" s="59" t="str">
        <f>IF(ROUND(sales_data_1[[#This Row],[Profit_Margin]],2)=ROUND((sales_data_1[[#This Row],[Unit_Price]]*(1-sales_data_1[[#This Row],[Discount]]) - sales_data_1[[#This Row],[Unit_Cost]])*sales_data_1[[#This Row],[Quantity_Sold]],2), "PASS", "CHECK")</f>
        <v>PASS</v>
      </c>
    </row>
    <row r="2678" spans="1:20" x14ac:dyDescent="0.35">
      <c r="A2678" s="7">
        <v>2677</v>
      </c>
      <c r="B2678" s="9">
        <v>1090</v>
      </c>
      <c r="C2678" s="14" t="str">
        <f>IFERROR(_xlfn.TEXTJOIN("-", TRUE, _xlfn.XLOOKUP(K2678, product_category_id_lookup!$A$2:$A$5, product_category_id_lookup!$B$2:$B$5), B2678), "Unknown Category")</f>
        <v>fnt-1090</v>
      </c>
      <c r="D2678" s="8">
        <v>45468</v>
      </c>
      <c r="E2678" s="14">
        <f t="shared" si="123"/>
        <v>2024</v>
      </c>
      <c r="F2678" s="29" t="str">
        <f t="shared" si="124"/>
        <v>Jun</v>
      </c>
      <c r="G2678" s="17" t="s">
        <v>32</v>
      </c>
      <c r="H2678" s="17" t="s">
        <v>15</v>
      </c>
      <c r="I2678" s="24">
        <v>67338.33600000001</v>
      </c>
      <c r="J2678" s="32">
        <v>24</v>
      </c>
      <c r="K2678" s="17" t="s">
        <v>16</v>
      </c>
      <c r="L2678" s="24">
        <v>1927.18</v>
      </c>
      <c r="M2678" s="24">
        <v>3551.6</v>
      </c>
      <c r="N2678" s="34">
        <f>((sales_data_1[[#This Row],[Unit_Price]]*(1-sales_data_1[[#This Row],[Discount]]))-sales_data_1[[#This Row],[Unit_Cost]])*sales_data_1[[#This Row],[Quantity_Sold]]</f>
        <v>21086.016000000003</v>
      </c>
      <c r="O2678" s="17" t="s">
        <v>17</v>
      </c>
      <c r="P2678" s="26">
        <v>0.21</v>
      </c>
      <c r="Q2678" s="17" t="s">
        <v>25</v>
      </c>
      <c r="R2678" s="17" t="s">
        <v>21</v>
      </c>
      <c r="S2678" s="50" t="str">
        <f t="shared" si="125"/>
        <v>Eve-North</v>
      </c>
      <c r="T2678" s="59" t="str">
        <f>IF(ROUND(sales_data_1[[#This Row],[Profit_Margin]],2)=ROUND((sales_data_1[[#This Row],[Unit_Price]]*(1-sales_data_1[[#This Row],[Discount]]) - sales_data_1[[#This Row],[Unit_Cost]])*sales_data_1[[#This Row],[Quantity_Sold]],2), "PASS", "CHECK")</f>
        <v>PASS</v>
      </c>
    </row>
    <row r="2679" spans="1:20" x14ac:dyDescent="0.35">
      <c r="A2679" s="7">
        <v>2678</v>
      </c>
      <c r="B2679" s="9">
        <v>1052</v>
      </c>
      <c r="C2679" s="14" t="str">
        <f>IFERROR(_xlfn.TEXTJOIN("-", TRUE, _xlfn.XLOOKUP(K2679, product_category_id_lookup!$A$2:$A$5, product_category_id_lookup!$B$2:$B$5), B2679), "Unknown Category")</f>
        <v>fnt-1052</v>
      </c>
      <c r="D2679" s="8">
        <v>45468</v>
      </c>
      <c r="E2679" s="14">
        <f t="shared" si="123"/>
        <v>2024</v>
      </c>
      <c r="F2679" s="29" t="str">
        <f t="shared" si="124"/>
        <v>Jun</v>
      </c>
      <c r="G2679" s="17" t="s">
        <v>33</v>
      </c>
      <c r="H2679" s="17" t="s">
        <v>23</v>
      </c>
      <c r="I2679" s="24">
        <v>96746.700833942246</v>
      </c>
      <c r="J2679" s="32">
        <v>19</v>
      </c>
      <c r="K2679" s="17" t="s">
        <v>16</v>
      </c>
      <c r="L2679" s="24">
        <v>3772.62</v>
      </c>
      <c r="M2679" s="24">
        <v>5126.8999999999996</v>
      </c>
      <c r="N2679" s="34">
        <f>((sales_data_1[[#This Row],[Unit_Price]]*(1-sales_data_1[[#This Row],[Discount]]))-sales_data_1[[#This Row],[Unit_Cost]])*sales_data_1[[#This Row],[Quantity_Sold]]</f>
        <v>24757.208999999992</v>
      </c>
      <c r="O2679" s="17" t="s">
        <v>17</v>
      </c>
      <c r="P2679" s="26">
        <v>0.01</v>
      </c>
      <c r="Q2679" s="17" t="s">
        <v>25</v>
      </c>
      <c r="R2679" s="17" t="s">
        <v>21</v>
      </c>
      <c r="S2679" s="50" t="str">
        <f t="shared" si="125"/>
        <v>Alice-South</v>
      </c>
      <c r="T2679" s="59" t="str">
        <f>IF(ROUND(sales_data_1[[#This Row],[Profit_Margin]],2)=ROUND((sales_data_1[[#This Row],[Unit_Price]]*(1-sales_data_1[[#This Row],[Discount]]) - sales_data_1[[#This Row],[Unit_Cost]])*sales_data_1[[#This Row],[Quantity_Sold]],2), "PASS", "CHECK")</f>
        <v>PASS</v>
      </c>
    </row>
    <row r="2680" spans="1:20" x14ac:dyDescent="0.35">
      <c r="A2680" s="7">
        <v>2679</v>
      </c>
      <c r="B2680" s="9">
        <v>1059</v>
      </c>
      <c r="C2680" s="14" t="str">
        <f>IFERROR(_xlfn.TEXTJOIN("-", TRUE, _xlfn.XLOOKUP(K2680, product_category_id_lookup!$A$2:$A$5, product_category_id_lookup!$B$2:$B$5), B2680), "Unknown Category")</f>
        <v>fnt-1059</v>
      </c>
      <c r="D2680" s="8">
        <v>45468</v>
      </c>
      <c r="E2680" s="14">
        <f t="shared" si="123"/>
        <v>2024</v>
      </c>
      <c r="F2680" s="29" t="str">
        <f t="shared" si="124"/>
        <v>Jun</v>
      </c>
      <c r="G2680" s="17" t="s">
        <v>14</v>
      </c>
      <c r="H2680" s="17" t="s">
        <v>30</v>
      </c>
      <c r="I2680" s="24">
        <v>29197.649600000001</v>
      </c>
      <c r="J2680" s="32">
        <v>8</v>
      </c>
      <c r="K2680" s="17" t="s">
        <v>16</v>
      </c>
      <c r="L2680" s="24">
        <v>171.62</v>
      </c>
      <c r="M2680" s="24">
        <v>3724.19</v>
      </c>
      <c r="N2680" s="34">
        <f>((sales_data_1[[#This Row],[Unit_Price]]*(1-sales_data_1[[#This Row],[Discount]]))-sales_data_1[[#This Row],[Unit_Cost]])*sales_data_1[[#This Row],[Quantity_Sold]]</f>
        <v>27824.689600000002</v>
      </c>
      <c r="O2680" s="17" t="s">
        <v>17</v>
      </c>
      <c r="P2680" s="26">
        <v>0.02</v>
      </c>
      <c r="Q2680" s="17" t="s">
        <v>28</v>
      </c>
      <c r="R2680" s="17" t="s">
        <v>19</v>
      </c>
      <c r="S2680" s="50" t="str">
        <f t="shared" si="125"/>
        <v>Bob-East</v>
      </c>
      <c r="T2680" s="59" t="str">
        <f>IF(ROUND(sales_data_1[[#This Row],[Profit_Margin]],2)=ROUND((sales_data_1[[#This Row],[Unit_Price]]*(1-sales_data_1[[#This Row],[Discount]]) - sales_data_1[[#This Row],[Unit_Cost]])*sales_data_1[[#This Row],[Quantity_Sold]],2), "PASS", "CHECK")</f>
        <v>PASS</v>
      </c>
    </row>
    <row r="2681" spans="1:20" x14ac:dyDescent="0.35">
      <c r="A2681" s="7">
        <v>2680</v>
      </c>
      <c r="B2681" s="9">
        <v>1084</v>
      </c>
      <c r="C2681" s="14" t="str">
        <f>IFERROR(_xlfn.TEXTJOIN("-", TRUE, _xlfn.XLOOKUP(K2681, product_category_id_lookup!$A$2:$A$5, product_category_id_lookup!$B$2:$B$5), B2681), "Unknown Category")</f>
        <v>fnt-1084</v>
      </c>
      <c r="D2681" s="8">
        <v>45468</v>
      </c>
      <c r="E2681" s="14">
        <f t="shared" si="123"/>
        <v>2024</v>
      </c>
      <c r="F2681" s="29" t="str">
        <f t="shared" si="124"/>
        <v>Jun</v>
      </c>
      <c r="G2681" s="17" t="s">
        <v>33</v>
      </c>
      <c r="H2681" s="17" t="s">
        <v>20</v>
      </c>
      <c r="I2681" s="24">
        <v>52750.53</v>
      </c>
      <c r="J2681" s="32">
        <v>18</v>
      </c>
      <c r="K2681" s="17" t="s">
        <v>16</v>
      </c>
      <c r="L2681" s="24">
        <v>1234.1600000000001</v>
      </c>
      <c r="M2681" s="24">
        <v>4014.5</v>
      </c>
      <c r="N2681" s="34">
        <f>((sales_data_1[[#This Row],[Unit_Price]]*(1-sales_data_1[[#This Row],[Discount]]))-sales_data_1[[#This Row],[Unit_Cost]])*sales_data_1[[#This Row],[Quantity_Sold]]</f>
        <v>30535.649999999998</v>
      </c>
      <c r="O2681" s="17" t="s">
        <v>17</v>
      </c>
      <c r="P2681" s="26">
        <v>0.27</v>
      </c>
      <c r="Q2681" s="17" t="s">
        <v>25</v>
      </c>
      <c r="R2681" s="17" t="s">
        <v>19</v>
      </c>
      <c r="S2681" s="50" t="str">
        <f t="shared" si="125"/>
        <v>Alice-West</v>
      </c>
      <c r="T2681" s="59" t="str">
        <f>IF(ROUND(sales_data_1[[#This Row],[Profit_Margin]],2)=ROUND((sales_data_1[[#This Row],[Unit_Price]]*(1-sales_data_1[[#This Row],[Discount]]) - sales_data_1[[#This Row],[Unit_Cost]])*sales_data_1[[#This Row],[Quantity_Sold]],2), "PASS", "CHECK")</f>
        <v>PASS</v>
      </c>
    </row>
    <row r="2682" spans="1:20" x14ac:dyDescent="0.35">
      <c r="A2682" s="7">
        <v>2681</v>
      </c>
      <c r="B2682" s="9">
        <v>1074</v>
      </c>
      <c r="C2682" s="14" t="str">
        <f>IFERROR(_xlfn.TEXTJOIN("-", TRUE, _xlfn.XLOOKUP(K2682, product_category_id_lookup!$A$2:$A$5, product_category_id_lookup!$B$2:$B$5), B2682), "Unknown Category")</f>
        <v>fnt-1074</v>
      </c>
      <c r="D2682" s="8">
        <v>45468</v>
      </c>
      <c r="E2682" s="14">
        <f t="shared" si="123"/>
        <v>2024</v>
      </c>
      <c r="F2682" s="29" t="str">
        <f t="shared" si="124"/>
        <v>Jun</v>
      </c>
      <c r="G2682" s="17" t="s">
        <v>14</v>
      </c>
      <c r="H2682" s="17" t="s">
        <v>15</v>
      </c>
      <c r="I2682" s="24">
        <v>187026.2352</v>
      </c>
      <c r="J2682" s="32">
        <v>47</v>
      </c>
      <c r="K2682" s="17" t="s">
        <v>16</v>
      </c>
      <c r="L2682" s="24">
        <v>1349.64</v>
      </c>
      <c r="M2682" s="24">
        <v>4737.24</v>
      </c>
      <c r="N2682" s="34">
        <f>((sales_data_1[[#This Row],[Unit_Price]]*(1-sales_data_1[[#This Row],[Discount]]))-sales_data_1[[#This Row],[Unit_Cost]])*sales_data_1[[#This Row],[Quantity_Sold]]</f>
        <v>123593.15519999999</v>
      </c>
      <c r="O2682" s="17" t="s">
        <v>17</v>
      </c>
      <c r="P2682" s="26">
        <v>0.16</v>
      </c>
      <c r="Q2682" s="17" t="s">
        <v>18</v>
      </c>
      <c r="R2682" s="17" t="s">
        <v>19</v>
      </c>
      <c r="S2682" s="50" t="str">
        <f t="shared" si="125"/>
        <v>Bob-North</v>
      </c>
      <c r="T2682" s="59" t="str">
        <f>IF(ROUND(sales_data_1[[#This Row],[Profit_Margin]],2)=ROUND((sales_data_1[[#This Row],[Unit_Price]]*(1-sales_data_1[[#This Row],[Discount]]) - sales_data_1[[#This Row],[Unit_Cost]])*sales_data_1[[#This Row],[Quantity_Sold]],2), "PASS", "CHECK")</f>
        <v>PASS</v>
      </c>
    </row>
    <row r="2683" spans="1:20" x14ac:dyDescent="0.35">
      <c r="A2683" s="7">
        <v>2682</v>
      </c>
      <c r="B2683" s="9">
        <v>1057</v>
      </c>
      <c r="C2683" s="14" t="str">
        <f>IFERROR(_xlfn.TEXTJOIN("-", TRUE, _xlfn.XLOOKUP(K2683, product_category_id_lookup!$A$2:$A$5, product_category_id_lookup!$B$2:$B$5), B2683), "Unknown Category")</f>
        <v>ctg-1057</v>
      </c>
      <c r="D2683" s="8">
        <v>45470</v>
      </c>
      <c r="E2683" s="14">
        <f t="shared" si="123"/>
        <v>2024</v>
      </c>
      <c r="F2683" s="29" t="str">
        <f t="shared" si="124"/>
        <v>Jun</v>
      </c>
      <c r="G2683" s="17" t="s">
        <v>14</v>
      </c>
      <c r="H2683" s="17" t="s">
        <v>20</v>
      </c>
      <c r="I2683" s="24">
        <v>14796.972000000002</v>
      </c>
      <c r="J2683" s="32">
        <v>4</v>
      </c>
      <c r="K2683" s="17" t="s">
        <v>26</v>
      </c>
      <c r="L2683" s="24">
        <v>3431.86</v>
      </c>
      <c r="M2683" s="24">
        <v>4110.2700000000004</v>
      </c>
      <c r="N2683" s="34">
        <f>((sales_data_1[[#This Row],[Unit_Price]]*(1-sales_data_1[[#This Row],[Discount]]))-sales_data_1[[#This Row],[Unit_Cost]])*sales_data_1[[#This Row],[Quantity_Sold]]</f>
        <v>1069.5320000000011</v>
      </c>
      <c r="O2683" s="17" t="s">
        <v>17</v>
      </c>
      <c r="P2683" s="26">
        <v>0.1</v>
      </c>
      <c r="Q2683" s="17" t="s">
        <v>28</v>
      </c>
      <c r="R2683" s="17" t="s">
        <v>21</v>
      </c>
      <c r="S2683" s="50" t="str">
        <f t="shared" si="125"/>
        <v>Bob-West</v>
      </c>
      <c r="T2683" s="59" t="str">
        <f>IF(ROUND(sales_data_1[[#This Row],[Profit_Margin]],2)=ROUND((sales_data_1[[#This Row],[Unit_Price]]*(1-sales_data_1[[#This Row],[Discount]]) - sales_data_1[[#This Row],[Unit_Cost]])*sales_data_1[[#This Row],[Quantity_Sold]],2), "PASS", "CHECK")</f>
        <v>PASS</v>
      </c>
    </row>
    <row r="2684" spans="1:20" x14ac:dyDescent="0.35">
      <c r="A2684" s="7">
        <v>2683</v>
      </c>
      <c r="B2684" s="9">
        <v>1020</v>
      </c>
      <c r="C2684" s="14" t="str">
        <f>IFERROR(_xlfn.TEXTJOIN("-", TRUE, _xlfn.XLOOKUP(K2684, product_category_id_lookup!$A$2:$A$5, product_category_id_lookup!$B$2:$B$5), B2684), "Unknown Category")</f>
        <v>fnt-1020</v>
      </c>
      <c r="D2684" s="8">
        <v>45470</v>
      </c>
      <c r="E2684" s="14">
        <f t="shared" si="123"/>
        <v>2024</v>
      </c>
      <c r="F2684" s="29" t="str">
        <f t="shared" si="124"/>
        <v>Jun</v>
      </c>
      <c r="G2684" s="17" t="s">
        <v>22</v>
      </c>
      <c r="H2684" s="17" t="s">
        <v>30</v>
      </c>
      <c r="I2684" s="24">
        <v>19387.955999999998</v>
      </c>
      <c r="J2684" s="32">
        <v>6</v>
      </c>
      <c r="K2684" s="17" t="s">
        <v>16</v>
      </c>
      <c r="L2684" s="24">
        <v>1097.32</v>
      </c>
      <c r="M2684" s="24">
        <v>3801.56</v>
      </c>
      <c r="N2684" s="34">
        <f>((sales_data_1[[#This Row],[Unit_Price]]*(1-sales_data_1[[#This Row],[Discount]]))-sales_data_1[[#This Row],[Unit_Cost]])*sales_data_1[[#This Row],[Quantity_Sold]]</f>
        <v>12804.036000000002</v>
      </c>
      <c r="O2684" s="17" t="s">
        <v>27</v>
      </c>
      <c r="P2684" s="26">
        <v>0.15</v>
      </c>
      <c r="Q2684" s="17" t="s">
        <v>25</v>
      </c>
      <c r="R2684" s="17" t="s">
        <v>21</v>
      </c>
      <c r="S2684" s="50" t="str">
        <f t="shared" si="125"/>
        <v>David-East</v>
      </c>
      <c r="T2684" s="59" t="str">
        <f>IF(ROUND(sales_data_1[[#This Row],[Profit_Margin]],2)=ROUND((sales_data_1[[#This Row],[Unit_Price]]*(1-sales_data_1[[#This Row],[Discount]]) - sales_data_1[[#This Row],[Unit_Cost]])*sales_data_1[[#This Row],[Quantity_Sold]],2), "PASS", "CHECK")</f>
        <v>PASS</v>
      </c>
    </row>
    <row r="2685" spans="1:20" x14ac:dyDescent="0.35">
      <c r="A2685" s="7">
        <v>2684</v>
      </c>
      <c r="B2685" s="9">
        <v>1055</v>
      </c>
      <c r="C2685" s="14" t="str">
        <f>IFERROR(_xlfn.TEXTJOIN("-", TRUE, _xlfn.XLOOKUP(K2685, product_category_id_lookup!$A$2:$A$5, product_category_id_lookup!$B$2:$B$5), B2685), "Unknown Category")</f>
        <v>ctg-1055</v>
      </c>
      <c r="D2685" s="8">
        <v>45470</v>
      </c>
      <c r="E2685" s="14">
        <f t="shared" si="123"/>
        <v>2024</v>
      </c>
      <c r="F2685" s="29" t="str">
        <f t="shared" si="124"/>
        <v>Jun</v>
      </c>
      <c r="G2685" s="17" t="s">
        <v>22</v>
      </c>
      <c r="H2685" s="17" t="s">
        <v>23</v>
      </c>
      <c r="I2685" s="24">
        <v>137540.424</v>
      </c>
      <c r="J2685" s="32">
        <v>28</v>
      </c>
      <c r="K2685" s="17" t="s">
        <v>26</v>
      </c>
      <c r="L2685" s="24">
        <v>3536.3</v>
      </c>
      <c r="M2685" s="24">
        <v>5225.7</v>
      </c>
      <c r="N2685" s="34">
        <f>((sales_data_1[[#This Row],[Unit_Price]]*(1-sales_data_1[[#This Row],[Discount]]))-sales_data_1[[#This Row],[Unit_Cost]])*sales_data_1[[#This Row],[Quantity_Sold]]</f>
        <v>38524.023999999976</v>
      </c>
      <c r="O2685" s="17" t="s">
        <v>27</v>
      </c>
      <c r="P2685" s="26">
        <v>0.06</v>
      </c>
      <c r="Q2685" s="17" t="s">
        <v>25</v>
      </c>
      <c r="R2685" s="17" t="s">
        <v>19</v>
      </c>
      <c r="S2685" s="50" t="str">
        <f t="shared" si="125"/>
        <v>David-South</v>
      </c>
      <c r="T2685" s="59" t="str">
        <f>IF(ROUND(sales_data_1[[#This Row],[Profit_Margin]],2)=ROUND((sales_data_1[[#This Row],[Unit_Price]]*(1-sales_data_1[[#This Row],[Discount]]) - sales_data_1[[#This Row],[Unit_Cost]])*sales_data_1[[#This Row],[Quantity_Sold]],2), "PASS", "CHECK")</f>
        <v>PASS</v>
      </c>
    </row>
    <row r="2686" spans="1:20" x14ac:dyDescent="0.35">
      <c r="A2686" s="7">
        <v>2685</v>
      </c>
      <c r="B2686" s="9">
        <v>1021</v>
      </c>
      <c r="C2686" s="14" t="str">
        <f>IFERROR(_xlfn.TEXTJOIN("-", TRUE, _xlfn.XLOOKUP(K2686, product_category_id_lookup!$A$2:$A$5, product_category_id_lookup!$B$2:$B$5), B2686), "Unknown Category")</f>
        <v>fd-1021</v>
      </c>
      <c r="D2686" s="8">
        <v>45470</v>
      </c>
      <c r="E2686" s="14">
        <f t="shared" si="123"/>
        <v>2024</v>
      </c>
      <c r="F2686" s="29" t="str">
        <f t="shared" si="124"/>
        <v>Jun</v>
      </c>
      <c r="G2686" s="17" t="s">
        <v>14</v>
      </c>
      <c r="H2686" s="17" t="s">
        <v>15</v>
      </c>
      <c r="I2686" s="24">
        <v>183001.65399999998</v>
      </c>
      <c r="J2686" s="32">
        <v>44</v>
      </c>
      <c r="K2686" s="17" t="s">
        <v>24</v>
      </c>
      <c r="L2686" s="24">
        <v>3219.74</v>
      </c>
      <c r="M2686" s="24">
        <v>4378.03</v>
      </c>
      <c r="N2686" s="34">
        <f>((sales_data_1[[#This Row],[Unit_Price]]*(1-sales_data_1[[#This Row],[Discount]]))-sales_data_1[[#This Row],[Unit_Cost]])*sales_data_1[[#This Row],[Quantity_Sold]]</f>
        <v>41333.093999999997</v>
      </c>
      <c r="O2686" s="17" t="s">
        <v>17</v>
      </c>
      <c r="P2686" s="26">
        <v>0.05</v>
      </c>
      <c r="Q2686" s="17" t="s">
        <v>28</v>
      </c>
      <c r="R2686" s="17" t="s">
        <v>21</v>
      </c>
      <c r="S2686" s="50" t="str">
        <f t="shared" si="125"/>
        <v>Bob-North</v>
      </c>
      <c r="T2686" s="59" t="str">
        <f>IF(ROUND(sales_data_1[[#This Row],[Profit_Margin]],2)=ROUND((sales_data_1[[#This Row],[Unit_Price]]*(1-sales_data_1[[#This Row],[Discount]]) - sales_data_1[[#This Row],[Unit_Cost]])*sales_data_1[[#This Row],[Quantity_Sold]],2), "PASS", "CHECK")</f>
        <v>PASS</v>
      </c>
    </row>
    <row r="2687" spans="1:20" x14ac:dyDescent="0.35">
      <c r="A2687" s="7">
        <v>2686</v>
      </c>
      <c r="B2687" s="9">
        <v>1072</v>
      </c>
      <c r="C2687" s="14" t="str">
        <f>IFERROR(_xlfn.TEXTJOIN("-", TRUE, _xlfn.XLOOKUP(K2687, product_category_id_lookup!$A$2:$A$5, product_category_id_lookup!$B$2:$B$5), B2687), "Unknown Category")</f>
        <v>ctg-1072</v>
      </c>
      <c r="D2687" s="8">
        <v>45471</v>
      </c>
      <c r="E2687" s="14">
        <f t="shared" si="123"/>
        <v>2024</v>
      </c>
      <c r="F2687" s="29" t="str">
        <f t="shared" si="124"/>
        <v>Jun</v>
      </c>
      <c r="G2687" s="17" t="s">
        <v>29</v>
      </c>
      <c r="H2687" s="17" t="s">
        <v>30</v>
      </c>
      <c r="I2687" s="24">
        <v>77604.542399999991</v>
      </c>
      <c r="J2687" s="32">
        <v>19</v>
      </c>
      <c r="K2687" s="17" t="s">
        <v>26</v>
      </c>
      <c r="L2687" s="24">
        <v>3829.43</v>
      </c>
      <c r="M2687" s="24">
        <v>4749.3599999999997</v>
      </c>
      <c r="N2687" s="34">
        <f>((sales_data_1[[#This Row],[Unit_Price]]*(1-sales_data_1[[#This Row],[Discount]]))-sales_data_1[[#This Row],[Unit_Cost]])*sales_data_1[[#This Row],[Quantity_Sold]]</f>
        <v>4845.3723999999929</v>
      </c>
      <c r="O2687" s="17" t="s">
        <v>27</v>
      </c>
      <c r="P2687" s="26">
        <v>0.14000000000000001</v>
      </c>
      <c r="Q2687" s="17" t="s">
        <v>28</v>
      </c>
      <c r="R2687" s="17" t="s">
        <v>19</v>
      </c>
      <c r="S2687" s="50" t="str">
        <f t="shared" si="125"/>
        <v>Charlie-East</v>
      </c>
      <c r="T2687" s="59" t="str">
        <f>IF(ROUND(sales_data_1[[#This Row],[Profit_Margin]],2)=ROUND((sales_data_1[[#This Row],[Unit_Price]]*(1-sales_data_1[[#This Row],[Discount]]) - sales_data_1[[#This Row],[Unit_Cost]])*sales_data_1[[#This Row],[Quantity_Sold]],2), "PASS", "CHECK")</f>
        <v>PASS</v>
      </c>
    </row>
    <row r="2688" spans="1:20" x14ac:dyDescent="0.35">
      <c r="A2688" s="7">
        <v>2687</v>
      </c>
      <c r="B2688" s="9">
        <v>1002</v>
      </c>
      <c r="C2688" s="14" t="str">
        <f>IFERROR(_xlfn.TEXTJOIN("-", TRUE, _xlfn.XLOOKUP(K2688, product_category_id_lookup!$A$2:$A$5, product_category_id_lookup!$B$2:$B$5), B2688), "Unknown Category")</f>
        <v>ctg-1002</v>
      </c>
      <c r="D2688" s="8">
        <v>45471</v>
      </c>
      <c r="E2688" s="14">
        <f t="shared" si="123"/>
        <v>2024</v>
      </c>
      <c r="F2688" s="29" t="str">
        <f t="shared" si="124"/>
        <v>Jun</v>
      </c>
      <c r="G2688" s="17" t="s">
        <v>33</v>
      </c>
      <c r="H2688" s="17" t="s">
        <v>30</v>
      </c>
      <c r="I2688" s="24">
        <v>14548.619999999999</v>
      </c>
      <c r="J2688" s="32">
        <v>15</v>
      </c>
      <c r="K2688" s="17" t="s">
        <v>26</v>
      </c>
      <c r="L2688" s="24">
        <v>515.32000000000005</v>
      </c>
      <c r="M2688" s="24">
        <v>1127.8</v>
      </c>
      <c r="N2688" s="34">
        <f>((sales_data_1[[#This Row],[Unit_Price]]*(1-sales_data_1[[#This Row],[Discount]]))-sales_data_1[[#This Row],[Unit_Cost]])*sales_data_1[[#This Row],[Quantity_Sold]]</f>
        <v>6818.8199999999979</v>
      </c>
      <c r="O2688" s="17" t="s">
        <v>17</v>
      </c>
      <c r="P2688" s="26">
        <v>0.14000000000000001</v>
      </c>
      <c r="Q2688" s="17" t="s">
        <v>25</v>
      </c>
      <c r="R2688" s="17" t="s">
        <v>19</v>
      </c>
      <c r="S2688" s="50" t="str">
        <f t="shared" si="125"/>
        <v>Alice-East</v>
      </c>
      <c r="T2688" s="59" t="str">
        <f>IF(ROUND(sales_data_1[[#This Row],[Profit_Margin]],2)=ROUND((sales_data_1[[#This Row],[Unit_Price]]*(1-sales_data_1[[#This Row],[Discount]]) - sales_data_1[[#This Row],[Unit_Cost]])*sales_data_1[[#This Row],[Quantity_Sold]],2), "PASS", "CHECK")</f>
        <v>PASS</v>
      </c>
    </row>
    <row r="2689" spans="1:20" x14ac:dyDescent="0.35">
      <c r="A2689" s="7">
        <v>2688</v>
      </c>
      <c r="B2689" s="9">
        <v>1051</v>
      </c>
      <c r="C2689" s="14" t="str">
        <f>IFERROR(_xlfn.TEXTJOIN("-", TRUE, _xlfn.XLOOKUP(K2689, product_category_id_lookup!$A$2:$A$5, product_category_id_lookup!$B$2:$B$5), B2689), "Unknown Category")</f>
        <v>etc-1051</v>
      </c>
      <c r="D2689" s="8">
        <v>45471</v>
      </c>
      <c r="E2689" s="14">
        <f t="shared" si="123"/>
        <v>2024</v>
      </c>
      <c r="F2689" s="29" t="str">
        <f t="shared" si="124"/>
        <v>Jun</v>
      </c>
      <c r="G2689" s="17" t="s">
        <v>14</v>
      </c>
      <c r="H2689" s="17" t="s">
        <v>23</v>
      </c>
      <c r="I2689" s="24">
        <v>28598.184000000001</v>
      </c>
      <c r="J2689" s="32">
        <v>18</v>
      </c>
      <c r="K2689" s="17" t="s">
        <v>31</v>
      </c>
      <c r="L2689" s="24">
        <v>1025.96</v>
      </c>
      <c r="M2689" s="24">
        <v>2206.65</v>
      </c>
      <c r="N2689" s="34">
        <f>((sales_data_1[[#This Row],[Unit_Price]]*(1-sales_data_1[[#This Row],[Discount]]))-sales_data_1[[#This Row],[Unit_Cost]])*sales_data_1[[#This Row],[Quantity_Sold]]</f>
        <v>10130.903999999999</v>
      </c>
      <c r="O2689" s="17" t="s">
        <v>27</v>
      </c>
      <c r="P2689" s="26">
        <v>0.28000000000000003</v>
      </c>
      <c r="Q2689" s="17" t="s">
        <v>18</v>
      </c>
      <c r="R2689" s="17" t="s">
        <v>21</v>
      </c>
      <c r="S2689" s="50" t="str">
        <f t="shared" si="125"/>
        <v>Bob-South</v>
      </c>
      <c r="T2689" s="59" t="str">
        <f>IF(ROUND(sales_data_1[[#This Row],[Profit_Margin]],2)=ROUND((sales_data_1[[#This Row],[Unit_Price]]*(1-sales_data_1[[#This Row],[Discount]]) - sales_data_1[[#This Row],[Unit_Cost]])*sales_data_1[[#This Row],[Quantity_Sold]],2), "PASS", "CHECK")</f>
        <v>PASS</v>
      </c>
    </row>
    <row r="2690" spans="1:20" x14ac:dyDescent="0.35">
      <c r="A2690" s="7">
        <v>2689</v>
      </c>
      <c r="B2690" s="9">
        <v>1029</v>
      </c>
      <c r="C2690" s="14" t="str">
        <f>IFERROR(_xlfn.TEXTJOIN("-", TRUE, _xlfn.XLOOKUP(K2690, product_category_id_lookup!$A$2:$A$5, product_category_id_lookup!$B$2:$B$5), B2690), "Unknown Category")</f>
        <v>fnt-1029</v>
      </c>
      <c r="D2690" s="8">
        <v>45471</v>
      </c>
      <c r="E2690" s="14">
        <f t="shared" ref="E2690:E2753" si="126">YEAR(D2690)</f>
        <v>2024</v>
      </c>
      <c r="F2690" s="29" t="str">
        <f t="shared" ref="F2690:F2753" si="127">LEFT(TEXT(D2690,"mmmm"),3)</f>
        <v>Jun</v>
      </c>
      <c r="G2690" s="17" t="s">
        <v>14</v>
      </c>
      <c r="H2690" s="17" t="s">
        <v>23</v>
      </c>
      <c r="I2690" s="24">
        <v>42561.511199999994</v>
      </c>
      <c r="J2690" s="32">
        <v>12</v>
      </c>
      <c r="K2690" s="17" t="s">
        <v>16</v>
      </c>
      <c r="L2690" s="24">
        <v>2286.31</v>
      </c>
      <c r="M2690" s="24">
        <v>4858.62</v>
      </c>
      <c r="N2690" s="34">
        <f>((sales_data_1[[#This Row],[Unit_Price]]*(1-sales_data_1[[#This Row],[Discount]]))-sales_data_1[[#This Row],[Unit_Cost]])*sales_data_1[[#This Row],[Quantity_Sold]]</f>
        <v>15125.791199999998</v>
      </c>
      <c r="O2690" s="17" t="s">
        <v>27</v>
      </c>
      <c r="P2690" s="26">
        <v>0.27</v>
      </c>
      <c r="Q2690" s="17" t="s">
        <v>28</v>
      </c>
      <c r="R2690" s="17" t="s">
        <v>19</v>
      </c>
      <c r="S2690" s="50" t="str">
        <f t="shared" ref="S2690:S2753" si="128">_xlfn.CONCAT(G2690,"-",H2690)</f>
        <v>Bob-South</v>
      </c>
      <c r="T2690" s="59" t="str">
        <f>IF(ROUND(sales_data_1[[#This Row],[Profit_Margin]],2)=ROUND((sales_data_1[[#This Row],[Unit_Price]]*(1-sales_data_1[[#This Row],[Discount]]) - sales_data_1[[#This Row],[Unit_Cost]])*sales_data_1[[#This Row],[Quantity_Sold]],2), "PASS", "CHECK")</f>
        <v>PASS</v>
      </c>
    </row>
    <row r="2691" spans="1:20" x14ac:dyDescent="0.35">
      <c r="A2691" s="7">
        <v>2690</v>
      </c>
      <c r="B2691" s="9">
        <v>1089</v>
      </c>
      <c r="C2691" s="14" t="str">
        <f>IFERROR(_xlfn.TEXTJOIN("-", TRUE, _xlfn.XLOOKUP(K2691, product_category_id_lookup!$A$2:$A$5, product_category_id_lookup!$B$2:$B$5), B2691), "Unknown Category")</f>
        <v>ctg-1089</v>
      </c>
      <c r="D2691" s="8">
        <v>45471</v>
      </c>
      <c r="E2691" s="14">
        <f t="shared" si="126"/>
        <v>2024</v>
      </c>
      <c r="F2691" s="29" t="str">
        <f t="shared" si="127"/>
        <v>Jun</v>
      </c>
      <c r="G2691" s="17" t="s">
        <v>22</v>
      </c>
      <c r="H2691" s="17" t="s">
        <v>23</v>
      </c>
      <c r="I2691" s="24">
        <v>136586.93429851389</v>
      </c>
      <c r="J2691" s="32">
        <v>28</v>
      </c>
      <c r="K2691" s="17" t="s">
        <v>26</v>
      </c>
      <c r="L2691" s="24">
        <v>3633.89</v>
      </c>
      <c r="M2691" s="24">
        <v>4882.6099999999997</v>
      </c>
      <c r="N2691" s="34">
        <f>((sales_data_1[[#This Row],[Unit_Price]]*(1-sales_data_1[[#This Row],[Discount]]))-sales_data_1[[#This Row],[Unit_Cost]])*sales_data_1[[#This Row],[Quantity_Sold]]</f>
        <v>34964.159999999996</v>
      </c>
      <c r="O2691" s="17" t="s">
        <v>27</v>
      </c>
      <c r="P2691" s="26">
        <v>0</v>
      </c>
      <c r="Q2691" s="17" t="s">
        <v>28</v>
      </c>
      <c r="R2691" s="17" t="s">
        <v>21</v>
      </c>
      <c r="S2691" s="50" t="str">
        <f t="shared" si="128"/>
        <v>David-South</v>
      </c>
      <c r="T2691" s="59" t="str">
        <f>IF(ROUND(sales_data_1[[#This Row],[Profit_Margin]],2)=ROUND((sales_data_1[[#This Row],[Unit_Price]]*(1-sales_data_1[[#This Row],[Discount]]) - sales_data_1[[#This Row],[Unit_Cost]])*sales_data_1[[#This Row],[Quantity_Sold]],2), "PASS", "CHECK")</f>
        <v>PASS</v>
      </c>
    </row>
    <row r="2692" spans="1:20" x14ac:dyDescent="0.35">
      <c r="A2692" s="7">
        <v>2691</v>
      </c>
      <c r="B2692" s="9">
        <v>1029</v>
      </c>
      <c r="C2692" s="14" t="str">
        <f>IFERROR(_xlfn.TEXTJOIN("-", TRUE, _xlfn.XLOOKUP(K2692, product_category_id_lookup!$A$2:$A$5, product_category_id_lookup!$B$2:$B$5), B2692), "Unknown Category")</f>
        <v>fd-1029</v>
      </c>
      <c r="D2692" s="8">
        <v>45471</v>
      </c>
      <c r="E2692" s="14">
        <f t="shared" si="126"/>
        <v>2024</v>
      </c>
      <c r="F2692" s="29" t="str">
        <f t="shared" si="127"/>
        <v>Jun</v>
      </c>
      <c r="G2692" s="17" t="s">
        <v>22</v>
      </c>
      <c r="H2692" s="17" t="s">
        <v>20</v>
      </c>
      <c r="I2692" s="24">
        <v>190990.44</v>
      </c>
      <c r="J2692" s="32">
        <v>48</v>
      </c>
      <c r="K2692" s="17" t="s">
        <v>24</v>
      </c>
      <c r="L2692" s="24">
        <v>327.7</v>
      </c>
      <c r="M2692" s="24">
        <v>4470.75</v>
      </c>
      <c r="N2692" s="34">
        <f>((sales_data_1[[#This Row],[Unit_Price]]*(1-sales_data_1[[#This Row],[Discount]]))-sales_data_1[[#This Row],[Unit_Cost]])*sales_data_1[[#This Row],[Quantity_Sold]]</f>
        <v>175260.84000000003</v>
      </c>
      <c r="O2692" s="17" t="s">
        <v>27</v>
      </c>
      <c r="P2692" s="26">
        <v>0.11</v>
      </c>
      <c r="Q2692" s="17" t="s">
        <v>18</v>
      </c>
      <c r="R2692" s="17" t="s">
        <v>21</v>
      </c>
      <c r="S2692" s="50" t="str">
        <f t="shared" si="128"/>
        <v>David-West</v>
      </c>
      <c r="T2692" s="59" t="str">
        <f>IF(ROUND(sales_data_1[[#This Row],[Profit_Margin]],2)=ROUND((sales_data_1[[#This Row],[Unit_Price]]*(1-sales_data_1[[#This Row],[Discount]]) - sales_data_1[[#This Row],[Unit_Cost]])*sales_data_1[[#This Row],[Quantity_Sold]],2), "PASS", "CHECK")</f>
        <v>PASS</v>
      </c>
    </row>
    <row r="2693" spans="1:20" x14ac:dyDescent="0.35">
      <c r="A2693" s="7">
        <v>2692</v>
      </c>
      <c r="B2693" s="9">
        <v>1003</v>
      </c>
      <c r="C2693" s="14" t="str">
        <f>IFERROR(_xlfn.TEXTJOIN("-", TRUE, _xlfn.XLOOKUP(K2693, product_category_id_lookup!$A$2:$A$5, product_category_id_lookup!$B$2:$B$5), B2693), "Unknown Category")</f>
        <v>fd-1003</v>
      </c>
      <c r="D2693" s="8">
        <v>45472</v>
      </c>
      <c r="E2693" s="14">
        <f t="shared" si="126"/>
        <v>2024</v>
      </c>
      <c r="F2693" s="29" t="str">
        <f t="shared" si="127"/>
        <v>Jun</v>
      </c>
      <c r="G2693" s="17" t="s">
        <v>29</v>
      </c>
      <c r="H2693" s="17" t="s">
        <v>30</v>
      </c>
      <c r="I2693" s="24">
        <v>89608.442599999995</v>
      </c>
      <c r="J2693" s="32">
        <v>37</v>
      </c>
      <c r="K2693" s="17" t="s">
        <v>24</v>
      </c>
      <c r="L2693" s="24">
        <v>2356.6799999999998</v>
      </c>
      <c r="M2693" s="24">
        <v>3272.77</v>
      </c>
      <c r="N2693" s="34">
        <f>((sales_data_1[[#This Row],[Unit_Price]]*(1-sales_data_1[[#This Row],[Discount]]))-sales_data_1[[#This Row],[Unit_Cost]])*sales_data_1[[#This Row],[Quantity_Sold]]</f>
        <v>2411.2826000000045</v>
      </c>
      <c r="O2693" s="17" t="s">
        <v>27</v>
      </c>
      <c r="P2693" s="26">
        <v>0.26</v>
      </c>
      <c r="Q2693" s="17" t="s">
        <v>18</v>
      </c>
      <c r="R2693" s="17" t="s">
        <v>21</v>
      </c>
      <c r="S2693" s="50" t="str">
        <f t="shared" si="128"/>
        <v>Charlie-East</v>
      </c>
      <c r="T2693" s="59" t="str">
        <f>IF(ROUND(sales_data_1[[#This Row],[Profit_Margin]],2)=ROUND((sales_data_1[[#This Row],[Unit_Price]]*(1-sales_data_1[[#This Row],[Discount]]) - sales_data_1[[#This Row],[Unit_Cost]])*sales_data_1[[#This Row],[Quantity_Sold]],2), "PASS", "CHECK")</f>
        <v>PASS</v>
      </c>
    </row>
    <row r="2694" spans="1:20" x14ac:dyDescent="0.35">
      <c r="A2694" s="7">
        <v>2693</v>
      </c>
      <c r="B2694" s="9">
        <v>1063</v>
      </c>
      <c r="C2694" s="14" t="str">
        <f>IFERROR(_xlfn.TEXTJOIN("-", TRUE, _xlfn.XLOOKUP(K2694, product_category_id_lookup!$A$2:$A$5, product_category_id_lookup!$B$2:$B$5), B2694), "Unknown Category")</f>
        <v>etc-1063</v>
      </c>
      <c r="D2694" s="8">
        <v>45472</v>
      </c>
      <c r="E2694" s="14">
        <f t="shared" si="126"/>
        <v>2024</v>
      </c>
      <c r="F2694" s="29" t="str">
        <f t="shared" si="127"/>
        <v>Jun</v>
      </c>
      <c r="G2694" s="17" t="s">
        <v>32</v>
      </c>
      <c r="H2694" s="17" t="s">
        <v>30</v>
      </c>
      <c r="I2694" s="24">
        <v>50486.353499999997</v>
      </c>
      <c r="J2694" s="32">
        <v>11</v>
      </c>
      <c r="K2694" s="17" t="s">
        <v>31</v>
      </c>
      <c r="L2694" s="24">
        <v>3828.18</v>
      </c>
      <c r="M2694" s="24">
        <v>4831.2299999999996</v>
      </c>
      <c r="N2694" s="34">
        <f>((sales_data_1[[#This Row],[Unit_Price]]*(1-sales_data_1[[#This Row],[Discount]]))-sales_data_1[[#This Row],[Unit_Cost]])*sales_data_1[[#This Row],[Quantity_Sold]]</f>
        <v>8376.3734999999997</v>
      </c>
      <c r="O2694" s="17" t="s">
        <v>27</v>
      </c>
      <c r="P2694" s="26">
        <v>0.05</v>
      </c>
      <c r="Q2694" s="17" t="s">
        <v>25</v>
      </c>
      <c r="R2694" s="17" t="s">
        <v>21</v>
      </c>
      <c r="S2694" s="50" t="str">
        <f t="shared" si="128"/>
        <v>Eve-East</v>
      </c>
      <c r="T2694" s="59" t="str">
        <f>IF(ROUND(sales_data_1[[#This Row],[Profit_Margin]],2)=ROUND((sales_data_1[[#This Row],[Unit_Price]]*(1-sales_data_1[[#This Row],[Discount]]) - sales_data_1[[#This Row],[Unit_Cost]])*sales_data_1[[#This Row],[Quantity_Sold]],2), "PASS", "CHECK")</f>
        <v>PASS</v>
      </c>
    </row>
    <row r="2695" spans="1:20" x14ac:dyDescent="0.35">
      <c r="A2695" s="7">
        <v>2694</v>
      </c>
      <c r="B2695" s="9">
        <v>1097</v>
      </c>
      <c r="C2695" s="14" t="str">
        <f>IFERROR(_xlfn.TEXTJOIN("-", TRUE, _xlfn.XLOOKUP(K2695, product_category_id_lookup!$A$2:$A$5, product_category_id_lookup!$B$2:$B$5), B2695), "Unknown Category")</f>
        <v>etc-1097</v>
      </c>
      <c r="D2695" s="8">
        <v>45472</v>
      </c>
      <c r="E2695" s="14">
        <f t="shared" si="126"/>
        <v>2024</v>
      </c>
      <c r="F2695" s="29" t="str">
        <f t="shared" si="127"/>
        <v>Jun</v>
      </c>
      <c r="G2695" s="17" t="s">
        <v>22</v>
      </c>
      <c r="H2695" s="17" t="s">
        <v>20</v>
      </c>
      <c r="I2695" s="24">
        <v>44405.303999999996</v>
      </c>
      <c r="J2695" s="32">
        <v>10</v>
      </c>
      <c r="K2695" s="17" t="s">
        <v>31</v>
      </c>
      <c r="L2695" s="24">
        <v>1180.1199999999999</v>
      </c>
      <c r="M2695" s="24">
        <v>4989.3599999999997</v>
      </c>
      <c r="N2695" s="34">
        <f>((sales_data_1[[#This Row],[Unit_Price]]*(1-sales_data_1[[#This Row],[Discount]]))-sales_data_1[[#This Row],[Unit_Cost]])*sales_data_1[[#This Row],[Quantity_Sold]]</f>
        <v>32604.103999999999</v>
      </c>
      <c r="O2695" s="17" t="s">
        <v>27</v>
      </c>
      <c r="P2695" s="26">
        <v>0.11</v>
      </c>
      <c r="Q2695" s="17" t="s">
        <v>25</v>
      </c>
      <c r="R2695" s="17" t="s">
        <v>21</v>
      </c>
      <c r="S2695" s="50" t="str">
        <f t="shared" si="128"/>
        <v>David-West</v>
      </c>
      <c r="T2695" s="59" t="str">
        <f>IF(ROUND(sales_data_1[[#This Row],[Profit_Margin]],2)=ROUND((sales_data_1[[#This Row],[Unit_Price]]*(1-sales_data_1[[#This Row],[Discount]]) - sales_data_1[[#This Row],[Unit_Cost]])*sales_data_1[[#This Row],[Quantity_Sold]],2), "PASS", "CHECK")</f>
        <v>PASS</v>
      </c>
    </row>
    <row r="2696" spans="1:20" x14ac:dyDescent="0.35">
      <c r="A2696" s="7">
        <v>2695</v>
      </c>
      <c r="B2696" s="9">
        <v>1085</v>
      </c>
      <c r="C2696" s="14" t="str">
        <f>IFERROR(_xlfn.TEXTJOIN("-", TRUE, _xlfn.XLOOKUP(K2696, product_category_id_lookup!$A$2:$A$5, product_category_id_lookup!$B$2:$B$5), B2696), "Unknown Category")</f>
        <v>etc-1085</v>
      </c>
      <c r="D2696" s="8">
        <v>45472</v>
      </c>
      <c r="E2696" s="14">
        <f t="shared" si="126"/>
        <v>2024</v>
      </c>
      <c r="F2696" s="29" t="str">
        <f t="shared" si="127"/>
        <v>Jun</v>
      </c>
      <c r="G2696" s="17" t="s">
        <v>33</v>
      </c>
      <c r="H2696" s="17" t="s">
        <v>23</v>
      </c>
      <c r="I2696" s="24">
        <v>80779.271999999997</v>
      </c>
      <c r="J2696" s="32">
        <v>16</v>
      </c>
      <c r="K2696" s="17" t="s">
        <v>31</v>
      </c>
      <c r="L2696" s="24">
        <v>1613.2</v>
      </c>
      <c r="M2696" s="24">
        <v>5204.8500000000004</v>
      </c>
      <c r="N2696" s="34">
        <f>((sales_data_1[[#This Row],[Unit_Price]]*(1-sales_data_1[[#This Row],[Discount]]))-sales_data_1[[#This Row],[Unit_Cost]])*sales_data_1[[#This Row],[Quantity_Sold]]</f>
        <v>54968.072</v>
      </c>
      <c r="O2696" s="17" t="s">
        <v>17</v>
      </c>
      <c r="P2696" s="26">
        <v>0.03</v>
      </c>
      <c r="Q2696" s="17" t="s">
        <v>18</v>
      </c>
      <c r="R2696" s="17" t="s">
        <v>19</v>
      </c>
      <c r="S2696" s="50" t="str">
        <f t="shared" si="128"/>
        <v>Alice-South</v>
      </c>
      <c r="T2696" s="59" t="str">
        <f>IF(ROUND(sales_data_1[[#This Row],[Profit_Margin]],2)=ROUND((sales_data_1[[#This Row],[Unit_Price]]*(1-sales_data_1[[#This Row],[Discount]]) - sales_data_1[[#This Row],[Unit_Cost]])*sales_data_1[[#This Row],[Quantity_Sold]],2), "PASS", "CHECK")</f>
        <v>PASS</v>
      </c>
    </row>
    <row r="2697" spans="1:20" x14ac:dyDescent="0.35">
      <c r="A2697" s="7">
        <v>2696</v>
      </c>
      <c r="B2697" s="9">
        <v>1033</v>
      </c>
      <c r="C2697" s="14" t="str">
        <f>IFERROR(_xlfn.TEXTJOIN("-", TRUE, _xlfn.XLOOKUP(K2697, product_category_id_lookup!$A$2:$A$5, product_category_id_lookup!$B$2:$B$5), B2697), "Unknown Category")</f>
        <v>etc-1033</v>
      </c>
      <c r="D2697" s="8">
        <v>45473</v>
      </c>
      <c r="E2697" s="14">
        <f t="shared" si="126"/>
        <v>2024</v>
      </c>
      <c r="F2697" s="29" t="str">
        <f t="shared" si="127"/>
        <v>Jun</v>
      </c>
      <c r="G2697" s="17" t="s">
        <v>32</v>
      </c>
      <c r="H2697" s="17" t="s">
        <v>20</v>
      </c>
      <c r="I2697" s="24">
        <v>36426.851999999999</v>
      </c>
      <c r="J2697" s="32">
        <v>17</v>
      </c>
      <c r="K2697" s="17" t="s">
        <v>31</v>
      </c>
      <c r="L2697" s="24">
        <v>1475.67</v>
      </c>
      <c r="M2697" s="24">
        <v>2164.4</v>
      </c>
      <c r="N2697" s="34">
        <f>((sales_data_1[[#This Row],[Unit_Price]]*(1-sales_data_1[[#This Row],[Discount]]))-sales_data_1[[#This Row],[Unit_Cost]])*sales_data_1[[#This Row],[Quantity_Sold]]</f>
        <v>11340.461999999996</v>
      </c>
      <c r="O2697" s="17" t="s">
        <v>27</v>
      </c>
      <c r="P2697" s="26">
        <v>0.01</v>
      </c>
      <c r="Q2697" s="17" t="s">
        <v>25</v>
      </c>
      <c r="R2697" s="17" t="s">
        <v>21</v>
      </c>
      <c r="S2697" s="50" t="str">
        <f t="shared" si="128"/>
        <v>Eve-West</v>
      </c>
      <c r="T2697" s="59" t="str">
        <f>IF(ROUND(sales_data_1[[#This Row],[Profit_Margin]],2)=ROUND((sales_data_1[[#This Row],[Unit_Price]]*(1-sales_data_1[[#This Row],[Discount]]) - sales_data_1[[#This Row],[Unit_Cost]])*sales_data_1[[#This Row],[Quantity_Sold]],2), "PASS", "CHECK")</f>
        <v>PASS</v>
      </c>
    </row>
    <row r="2698" spans="1:20" x14ac:dyDescent="0.35">
      <c r="A2698" s="7">
        <v>2697</v>
      </c>
      <c r="B2698" s="9">
        <v>1085</v>
      </c>
      <c r="C2698" s="14" t="str">
        <f>IFERROR(_xlfn.TEXTJOIN("-", TRUE, _xlfn.XLOOKUP(K2698, product_category_id_lookup!$A$2:$A$5, product_category_id_lookup!$B$2:$B$5), B2698), "Unknown Category")</f>
        <v>ctg-1085</v>
      </c>
      <c r="D2698" s="8">
        <v>45474</v>
      </c>
      <c r="E2698" s="14">
        <f t="shared" si="126"/>
        <v>2024</v>
      </c>
      <c r="F2698" s="29" t="str">
        <f t="shared" si="127"/>
        <v>Jul</v>
      </c>
      <c r="G2698" s="17" t="s">
        <v>22</v>
      </c>
      <c r="H2698" s="17" t="s">
        <v>30</v>
      </c>
      <c r="I2698" s="24">
        <v>13733.212563793448</v>
      </c>
      <c r="J2698" s="32">
        <v>3</v>
      </c>
      <c r="K2698" s="17" t="s">
        <v>26</v>
      </c>
      <c r="L2698" s="24">
        <v>4539.18</v>
      </c>
      <c r="M2698" s="24">
        <v>4585.5</v>
      </c>
      <c r="N2698" s="34">
        <f>((sales_data_1[[#This Row],[Unit_Price]]*(1-sales_data_1[[#This Row],[Discount]]))-sales_data_1[[#This Row],[Unit_Cost]])*sales_data_1[[#This Row],[Quantity_Sold]]</f>
        <v>138.95999999999913</v>
      </c>
      <c r="O2698" s="17" t="s">
        <v>27</v>
      </c>
      <c r="P2698" s="26">
        <v>0</v>
      </c>
      <c r="Q2698" s="17" t="s">
        <v>18</v>
      </c>
      <c r="R2698" s="17" t="s">
        <v>19</v>
      </c>
      <c r="S2698" s="50" t="str">
        <f t="shared" si="128"/>
        <v>David-East</v>
      </c>
      <c r="T2698" s="59" t="str">
        <f>IF(ROUND(sales_data_1[[#This Row],[Profit_Margin]],2)=ROUND((sales_data_1[[#This Row],[Unit_Price]]*(1-sales_data_1[[#This Row],[Discount]]) - sales_data_1[[#This Row],[Unit_Cost]])*sales_data_1[[#This Row],[Quantity_Sold]],2), "PASS", "CHECK")</f>
        <v>PASS</v>
      </c>
    </row>
    <row r="2699" spans="1:20" x14ac:dyDescent="0.35">
      <c r="A2699" s="7">
        <v>2698</v>
      </c>
      <c r="B2699" s="9">
        <v>1043</v>
      </c>
      <c r="C2699" s="14" t="str">
        <f>IFERROR(_xlfn.TEXTJOIN("-", TRUE, _xlfn.XLOOKUP(K2699, product_category_id_lookup!$A$2:$A$5, product_category_id_lookup!$B$2:$B$5), B2699), "Unknown Category")</f>
        <v>etc-1043</v>
      </c>
      <c r="D2699" s="8">
        <v>45474</v>
      </c>
      <c r="E2699" s="14">
        <f t="shared" si="126"/>
        <v>2024</v>
      </c>
      <c r="F2699" s="29" t="str">
        <f t="shared" si="127"/>
        <v>Jul</v>
      </c>
      <c r="G2699" s="17" t="s">
        <v>22</v>
      </c>
      <c r="H2699" s="17" t="s">
        <v>15</v>
      </c>
      <c r="I2699" s="24">
        <v>13205.438399999999</v>
      </c>
      <c r="J2699" s="32">
        <v>4</v>
      </c>
      <c r="K2699" s="17" t="s">
        <v>31</v>
      </c>
      <c r="L2699" s="24">
        <v>442.71</v>
      </c>
      <c r="M2699" s="24">
        <v>3930.19</v>
      </c>
      <c r="N2699" s="34">
        <f>((sales_data_1[[#This Row],[Unit_Price]]*(1-sales_data_1[[#This Row],[Discount]]))-sales_data_1[[#This Row],[Unit_Cost]])*sales_data_1[[#This Row],[Quantity_Sold]]</f>
        <v>11434.598399999999</v>
      </c>
      <c r="O2699" s="17" t="s">
        <v>27</v>
      </c>
      <c r="P2699" s="26">
        <v>0.16</v>
      </c>
      <c r="Q2699" s="17" t="s">
        <v>25</v>
      </c>
      <c r="R2699" s="17" t="s">
        <v>21</v>
      </c>
      <c r="S2699" s="50" t="str">
        <f t="shared" si="128"/>
        <v>David-North</v>
      </c>
      <c r="T2699" s="59" t="str">
        <f>IF(ROUND(sales_data_1[[#This Row],[Profit_Margin]],2)=ROUND((sales_data_1[[#This Row],[Unit_Price]]*(1-sales_data_1[[#This Row],[Discount]]) - sales_data_1[[#This Row],[Unit_Cost]])*sales_data_1[[#This Row],[Quantity_Sold]],2), "PASS", "CHECK")</f>
        <v>PASS</v>
      </c>
    </row>
    <row r="2700" spans="1:20" x14ac:dyDescent="0.35">
      <c r="A2700" s="7">
        <v>2699</v>
      </c>
      <c r="B2700" s="9">
        <v>1095</v>
      </c>
      <c r="C2700" s="14" t="str">
        <f>IFERROR(_xlfn.TEXTJOIN("-", TRUE, _xlfn.XLOOKUP(K2700, product_category_id_lookup!$A$2:$A$5, product_category_id_lookup!$B$2:$B$5), B2700), "Unknown Category")</f>
        <v>etc-1095</v>
      </c>
      <c r="D2700" s="8">
        <v>45474</v>
      </c>
      <c r="E2700" s="14">
        <f t="shared" si="126"/>
        <v>2024</v>
      </c>
      <c r="F2700" s="29" t="str">
        <f t="shared" si="127"/>
        <v>Jul</v>
      </c>
      <c r="G2700" s="17" t="s">
        <v>22</v>
      </c>
      <c r="H2700" s="17" t="s">
        <v>23</v>
      </c>
      <c r="I2700" s="24">
        <v>63276.639999999999</v>
      </c>
      <c r="J2700" s="32">
        <v>20</v>
      </c>
      <c r="K2700" s="17" t="s">
        <v>31</v>
      </c>
      <c r="L2700" s="24">
        <v>856.56</v>
      </c>
      <c r="M2700" s="24">
        <v>3228.4</v>
      </c>
      <c r="N2700" s="34">
        <f>((sales_data_1[[#This Row],[Unit_Price]]*(1-sales_data_1[[#This Row],[Discount]]))-sales_data_1[[#This Row],[Unit_Cost]])*sales_data_1[[#This Row],[Quantity_Sold]]</f>
        <v>46145.440000000002</v>
      </c>
      <c r="O2700" s="17" t="s">
        <v>27</v>
      </c>
      <c r="P2700" s="26">
        <v>0.02</v>
      </c>
      <c r="Q2700" s="17" t="s">
        <v>28</v>
      </c>
      <c r="R2700" s="17" t="s">
        <v>19</v>
      </c>
      <c r="S2700" s="50" t="str">
        <f t="shared" si="128"/>
        <v>David-South</v>
      </c>
      <c r="T2700" s="59" t="str">
        <f>IF(ROUND(sales_data_1[[#This Row],[Profit_Margin]],2)=ROUND((sales_data_1[[#This Row],[Unit_Price]]*(1-sales_data_1[[#This Row],[Discount]]) - sales_data_1[[#This Row],[Unit_Cost]])*sales_data_1[[#This Row],[Quantity_Sold]],2), "PASS", "CHECK")</f>
        <v>PASS</v>
      </c>
    </row>
    <row r="2701" spans="1:20" x14ac:dyDescent="0.35">
      <c r="A2701" s="7">
        <v>2700</v>
      </c>
      <c r="B2701" s="9">
        <v>1043</v>
      </c>
      <c r="C2701" s="14" t="str">
        <f>IFERROR(_xlfn.TEXTJOIN("-", TRUE, _xlfn.XLOOKUP(K2701, product_category_id_lookup!$A$2:$A$5, product_category_id_lookup!$B$2:$B$5), B2701), "Unknown Category")</f>
        <v>fnt-1043</v>
      </c>
      <c r="D2701" s="8">
        <v>45475</v>
      </c>
      <c r="E2701" s="14">
        <f t="shared" si="126"/>
        <v>2024</v>
      </c>
      <c r="F2701" s="29" t="str">
        <f t="shared" si="127"/>
        <v>Jul</v>
      </c>
      <c r="G2701" s="17" t="s">
        <v>33</v>
      </c>
      <c r="H2701" s="17" t="s">
        <v>30</v>
      </c>
      <c r="I2701" s="24">
        <v>76165.440000000002</v>
      </c>
      <c r="J2701" s="32">
        <v>17</v>
      </c>
      <c r="K2701" s="17" t="s">
        <v>16</v>
      </c>
      <c r="L2701" s="24">
        <v>1513.57</v>
      </c>
      <c r="M2701" s="24">
        <v>4480.32</v>
      </c>
      <c r="N2701" s="34">
        <f>((sales_data_1[[#This Row],[Unit_Price]]*(1-sales_data_1[[#This Row],[Discount]]))-sales_data_1[[#This Row],[Unit_Cost]])*sales_data_1[[#This Row],[Quantity_Sold]]</f>
        <v>50434.75</v>
      </c>
      <c r="O2701" s="17" t="s">
        <v>17</v>
      </c>
      <c r="P2701" s="26">
        <v>0</v>
      </c>
      <c r="Q2701" s="17" t="s">
        <v>28</v>
      </c>
      <c r="R2701" s="17" t="s">
        <v>19</v>
      </c>
      <c r="S2701" s="50" t="str">
        <f t="shared" si="128"/>
        <v>Alice-East</v>
      </c>
      <c r="T2701" s="59" t="str">
        <f>IF(ROUND(sales_data_1[[#This Row],[Profit_Margin]],2)=ROUND((sales_data_1[[#This Row],[Unit_Price]]*(1-sales_data_1[[#This Row],[Discount]]) - sales_data_1[[#This Row],[Unit_Cost]])*sales_data_1[[#This Row],[Quantity_Sold]],2), "PASS", "CHECK")</f>
        <v>PASS</v>
      </c>
    </row>
    <row r="2702" spans="1:20" x14ac:dyDescent="0.35">
      <c r="A2702" s="7">
        <v>2701</v>
      </c>
      <c r="B2702" s="9">
        <v>1068</v>
      </c>
      <c r="C2702" s="14" t="str">
        <f>IFERROR(_xlfn.TEXTJOIN("-", TRUE, _xlfn.XLOOKUP(K2702, product_category_id_lookup!$A$2:$A$5, product_category_id_lookup!$B$2:$B$5), B2702), "Unknown Category")</f>
        <v>ctg-1068</v>
      </c>
      <c r="D2702" s="8">
        <v>45476</v>
      </c>
      <c r="E2702" s="14">
        <f t="shared" si="126"/>
        <v>2024</v>
      </c>
      <c r="F2702" s="29" t="str">
        <f t="shared" si="127"/>
        <v>Jul</v>
      </c>
      <c r="G2702" s="17" t="s">
        <v>14</v>
      </c>
      <c r="H2702" s="17" t="s">
        <v>15</v>
      </c>
      <c r="I2702" s="24">
        <v>28896.951800000003</v>
      </c>
      <c r="J2702" s="32">
        <v>19</v>
      </c>
      <c r="K2702" s="17" t="s">
        <v>26</v>
      </c>
      <c r="L2702" s="24">
        <v>1477.67</v>
      </c>
      <c r="M2702" s="24">
        <v>1925.18</v>
      </c>
      <c r="N2702" s="34">
        <f>((sales_data_1[[#This Row],[Unit_Price]]*(1-sales_data_1[[#This Row],[Discount]]))-sales_data_1[[#This Row],[Unit_Cost]])*sales_data_1[[#This Row],[Quantity_Sold]]</f>
        <v>821.22180000000299</v>
      </c>
      <c r="O2702" s="17" t="s">
        <v>17</v>
      </c>
      <c r="P2702" s="26">
        <v>0.21</v>
      </c>
      <c r="Q2702" s="17" t="s">
        <v>18</v>
      </c>
      <c r="R2702" s="17" t="s">
        <v>21</v>
      </c>
      <c r="S2702" s="50" t="str">
        <f t="shared" si="128"/>
        <v>Bob-North</v>
      </c>
      <c r="T2702" s="59" t="str">
        <f>IF(ROUND(sales_data_1[[#This Row],[Profit_Margin]],2)=ROUND((sales_data_1[[#This Row],[Unit_Price]]*(1-sales_data_1[[#This Row],[Discount]]) - sales_data_1[[#This Row],[Unit_Cost]])*sales_data_1[[#This Row],[Quantity_Sold]],2), "PASS", "CHECK")</f>
        <v>PASS</v>
      </c>
    </row>
    <row r="2703" spans="1:20" x14ac:dyDescent="0.35">
      <c r="A2703" s="7">
        <v>2702</v>
      </c>
      <c r="B2703" s="9">
        <v>1085</v>
      </c>
      <c r="C2703" s="14" t="str">
        <f>IFERROR(_xlfn.TEXTJOIN("-", TRUE, _xlfn.XLOOKUP(K2703, product_category_id_lookup!$A$2:$A$5, product_category_id_lookup!$B$2:$B$5), B2703), "Unknown Category")</f>
        <v>etc-1085</v>
      </c>
      <c r="D2703" s="8">
        <v>45476</v>
      </c>
      <c r="E2703" s="14">
        <f t="shared" si="126"/>
        <v>2024</v>
      </c>
      <c r="F2703" s="29" t="str">
        <f t="shared" si="127"/>
        <v>Jul</v>
      </c>
      <c r="G2703" s="17" t="s">
        <v>22</v>
      </c>
      <c r="H2703" s="17" t="s">
        <v>30</v>
      </c>
      <c r="I2703" s="24">
        <v>36915.631200000003</v>
      </c>
      <c r="J2703" s="32">
        <v>24</v>
      </c>
      <c r="K2703" s="17" t="s">
        <v>31</v>
      </c>
      <c r="L2703" s="24">
        <v>1493.67</v>
      </c>
      <c r="M2703" s="24">
        <v>1767.99</v>
      </c>
      <c r="N2703" s="34">
        <f>((sales_data_1[[#This Row],[Unit_Price]]*(1-sales_data_1[[#This Row],[Discount]]))-sales_data_1[[#This Row],[Unit_Cost]])*sales_data_1[[#This Row],[Quantity_Sold]]</f>
        <v>1067.5511999999981</v>
      </c>
      <c r="O2703" s="17" t="s">
        <v>27</v>
      </c>
      <c r="P2703" s="26">
        <v>0.13</v>
      </c>
      <c r="Q2703" s="17" t="s">
        <v>18</v>
      </c>
      <c r="R2703" s="17" t="s">
        <v>19</v>
      </c>
      <c r="S2703" s="50" t="str">
        <f t="shared" si="128"/>
        <v>David-East</v>
      </c>
      <c r="T2703" s="59" t="str">
        <f>IF(ROUND(sales_data_1[[#This Row],[Profit_Margin]],2)=ROUND((sales_data_1[[#This Row],[Unit_Price]]*(1-sales_data_1[[#This Row],[Discount]]) - sales_data_1[[#This Row],[Unit_Cost]])*sales_data_1[[#This Row],[Quantity_Sold]],2), "PASS", "CHECK")</f>
        <v>PASS</v>
      </c>
    </row>
    <row r="2704" spans="1:20" x14ac:dyDescent="0.35">
      <c r="A2704" s="7">
        <v>2703</v>
      </c>
      <c r="B2704" s="9">
        <v>1011</v>
      </c>
      <c r="C2704" s="14" t="str">
        <f>IFERROR(_xlfn.TEXTJOIN("-", TRUE, _xlfn.XLOOKUP(K2704, product_category_id_lookup!$A$2:$A$5, product_category_id_lookup!$B$2:$B$5), B2704), "Unknown Category")</f>
        <v>fnt-1011</v>
      </c>
      <c r="D2704" s="8">
        <v>45476</v>
      </c>
      <c r="E2704" s="14">
        <f t="shared" si="126"/>
        <v>2024</v>
      </c>
      <c r="F2704" s="29" t="str">
        <f t="shared" si="127"/>
        <v>Jul</v>
      </c>
      <c r="G2704" s="17" t="s">
        <v>29</v>
      </c>
      <c r="H2704" s="17" t="s">
        <v>30</v>
      </c>
      <c r="I2704" s="24">
        <v>104514.8835675172</v>
      </c>
      <c r="J2704" s="32">
        <v>37</v>
      </c>
      <c r="K2704" s="17" t="s">
        <v>16</v>
      </c>
      <c r="L2704" s="24">
        <v>2777.36</v>
      </c>
      <c r="M2704" s="24">
        <v>2833.5</v>
      </c>
      <c r="N2704" s="34">
        <f>((sales_data_1[[#This Row],[Unit_Price]]*(1-sales_data_1[[#This Row],[Discount]]))-sales_data_1[[#This Row],[Unit_Cost]])*sales_data_1[[#This Row],[Quantity_Sold]]</f>
        <v>2077.1799999999953</v>
      </c>
      <c r="O2704" s="17" t="s">
        <v>27</v>
      </c>
      <c r="P2704" s="26">
        <v>0</v>
      </c>
      <c r="Q2704" s="17" t="s">
        <v>25</v>
      </c>
      <c r="R2704" s="17" t="s">
        <v>19</v>
      </c>
      <c r="S2704" s="50" t="str">
        <f t="shared" si="128"/>
        <v>Charlie-East</v>
      </c>
      <c r="T2704" s="59" t="str">
        <f>IF(ROUND(sales_data_1[[#This Row],[Profit_Margin]],2)=ROUND((sales_data_1[[#This Row],[Unit_Price]]*(1-sales_data_1[[#This Row],[Discount]]) - sales_data_1[[#This Row],[Unit_Cost]])*sales_data_1[[#This Row],[Quantity_Sold]],2), "PASS", "CHECK")</f>
        <v>PASS</v>
      </c>
    </row>
    <row r="2705" spans="1:20" x14ac:dyDescent="0.35">
      <c r="A2705" s="7">
        <v>2704</v>
      </c>
      <c r="B2705" s="9">
        <v>1031</v>
      </c>
      <c r="C2705" s="14" t="str">
        <f>IFERROR(_xlfn.TEXTJOIN("-", TRUE, _xlfn.XLOOKUP(K2705, product_category_id_lookup!$A$2:$A$5, product_category_id_lookup!$B$2:$B$5), B2705), "Unknown Category")</f>
        <v>fd-1031</v>
      </c>
      <c r="D2705" s="8">
        <v>45476</v>
      </c>
      <c r="E2705" s="14">
        <f t="shared" si="126"/>
        <v>2024</v>
      </c>
      <c r="F2705" s="29" t="str">
        <f t="shared" si="127"/>
        <v>Jul</v>
      </c>
      <c r="G2705" s="17" t="s">
        <v>33</v>
      </c>
      <c r="H2705" s="17" t="s">
        <v>20</v>
      </c>
      <c r="I2705" s="24">
        <v>119100.1456</v>
      </c>
      <c r="J2705" s="32">
        <v>41</v>
      </c>
      <c r="K2705" s="17" t="s">
        <v>24</v>
      </c>
      <c r="L2705" s="24">
        <v>273.99</v>
      </c>
      <c r="M2705" s="24">
        <v>3157.48</v>
      </c>
      <c r="N2705" s="34">
        <f>((sales_data_1[[#This Row],[Unit_Price]]*(1-sales_data_1[[#This Row],[Discount]]))-sales_data_1[[#This Row],[Unit_Cost]])*sales_data_1[[#This Row],[Quantity_Sold]]</f>
        <v>107866.55559999999</v>
      </c>
      <c r="O2705" s="17" t="s">
        <v>17</v>
      </c>
      <c r="P2705" s="26">
        <v>0.08</v>
      </c>
      <c r="Q2705" s="17" t="s">
        <v>28</v>
      </c>
      <c r="R2705" s="17" t="s">
        <v>21</v>
      </c>
      <c r="S2705" s="50" t="str">
        <f t="shared" si="128"/>
        <v>Alice-West</v>
      </c>
      <c r="T2705" s="59" t="str">
        <f>IF(ROUND(sales_data_1[[#This Row],[Profit_Margin]],2)=ROUND((sales_data_1[[#This Row],[Unit_Price]]*(1-sales_data_1[[#This Row],[Discount]]) - sales_data_1[[#This Row],[Unit_Cost]])*sales_data_1[[#This Row],[Quantity_Sold]],2), "PASS", "CHECK")</f>
        <v>PASS</v>
      </c>
    </row>
    <row r="2706" spans="1:20" x14ac:dyDescent="0.35">
      <c r="A2706" s="7">
        <v>2705</v>
      </c>
      <c r="B2706" s="9">
        <v>1032</v>
      </c>
      <c r="C2706" s="14" t="str">
        <f>IFERROR(_xlfn.TEXTJOIN("-", TRUE, _xlfn.XLOOKUP(K2706, product_category_id_lookup!$A$2:$A$5, product_category_id_lookup!$B$2:$B$5), B2706), "Unknown Category")</f>
        <v>etc-1032</v>
      </c>
      <c r="D2706" s="8">
        <v>45477</v>
      </c>
      <c r="E2706" s="14">
        <f t="shared" si="126"/>
        <v>2024</v>
      </c>
      <c r="F2706" s="29" t="str">
        <f t="shared" si="127"/>
        <v>Jul</v>
      </c>
      <c r="G2706" s="17" t="s">
        <v>22</v>
      </c>
      <c r="H2706" s="17" t="s">
        <v>15</v>
      </c>
      <c r="I2706" s="24">
        <v>3171.6000000000004</v>
      </c>
      <c r="J2706" s="32">
        <v>1</v>
      </c>
      <c r="K2706" s="17" t="s">
        <v>31</v>
      </c>
      <c r="L2706" s="24">
        <v>900.04</v>
      </c>
      <c r="M2706" s="24">
        <v>3964.5</v>
      </c>
      <c r="N2706" s="34">
        <f>((sales_data_1[[#This Row],[Unit_Price]]*(1-sales_data_1[[#This Row],[Discount]]))-sales_data_1[[#This Row],[Unit_Cost]])*sales_data_1[[#This Row],[Quantity_Sold]]</f>
        <v>2271.5600000000004</v>
      </c>
      <c r="O2706" s="17" t="s">
        <v>27</v>
      </c>
      <c r="P2706" s="26">
        <v>0.2</v>
      </c>
      <c r="Q2706" s="17" t="s">
        <v>28</v>
      </c>
      <c r="R2706" s="17" t="s">
        <v>19</v>
      </c>
      <c r="S2706" s="50" t="str">
        <f t="shared" si="128"/>
        <v>David-North</v>
      </c>
      <c r="T2706" s="59" t="str">
        <f>IF(ROUND(sales_data_1[[#This Row],[Profit_Margin]],2)=ROUND((sales_data_1[[#This Row],[Unit_Price]]*(1-sales_data_1[[#This Row],[Discount]]) - sales_data_1[[#This Row],[Unit_Cost]])*sales_data_1[[#This Row],[Quantity_Sold]],2), "PASS", "CHECK")</f>
        <v>PASS</v>
      </c>
    </row>
    <row r="2707" spans="1:20" x14ac:dyDescent="0.35">
      <c r="A2707" s="7">
        <v>2706</v>
      </c>
      <c r="B2707" s="9">
        <v>1080</v>
      </c>
      <c r="C2707" s="14" t="str">
        <f>IFERROR(_xlfn.TEXTJOIN("-", TRUE, _xlfn.XLOOKUP(K2707, product_category_id_lookup!$A$2:$A$5, product_category_id_lookup!$B$2:$B$5), B2707), "Unknown Category")</f>
        <v>fd-1080</v>
      </c>
      <c r="D2707" s="8">
        <v>45477</v>
      </c>
      <c r="E2707" s="14">
        <f t="shared" si="126"/>
        <v>2024</v>
      </c>
      <c r="F2707" s="29" t="str">
        <f t="shared" si="127"/>
        <v>Jul</v>
      </c>
      <c r="G2707" s="17" t="s">
        <v>32</v>
      </c>
      <c r="H2707" s="17" t="s">
        <v>15</v>
      </c>
      <c r="I2707" s="24">
        <v>130339.25520000001</v>
      </c>
      <c r="J2707" s="32">
        <v>42</v>
      </c>
      <c r="K2707" s="17" t="s">
        <v>24</v>
      </c>
      <c r="L2707" s="24">
        <v>396.6</v>
      </c>
      <c r="M2707" s="24">
        <v>4030.28</v>
      </c>
      <c r="N2707" s="34">
        <f>((sales_data_1[[#This Row],[Unit_Price]]*(1-sales_data_1[[#This Row],[Discount]]))-sales_data_1[[#This Row],[Unit_Cost]])*sales_data_1[[#This Row],[Quantity_Sold]]</f>
        <v>113682.05520000002</v>
      </c>
      <c r="O2707" s="17" t="s">
        <v>27</v>
      </c>
      <c r="P2707" s="26">
        <v>0.23</v>
      </c>
      <c r="Q2707" s="17" t="s">
        <v>28</v>
      </c>
      <c r="R2707" s="17" t="s">
        <v>21</v>
      </c>
      <c r="S2707" s="50" t="str">
        <f t="shared" si="128"/>
        <v>Eve-North</v>
      </c>
      <c r="T2707" s="59" t="str">
        <f>IF(ROUND(sales_data_1[[#This Row],[Profit_Margin]],2)=ROUND((sales_data_1[[#This Row],[Unit_Price]]*(1-sales_data_1[[#This Row],[Discount]]) - sales_data_1[[#This Row],[Unit_Cost]])*sales_data_1[[#This Row],[Quantity_Sold]],2), "PASS", "CHECK")</f>
        <v>PASS</v>
      </c>
    </row>
    <row r="2708" spans="1:20" x14ac:dyDescent="0.35">
      <c r="A2708" s="7">
        <v>2707</v>
      </c>
      <c r="B2708" s="9">
        <v>1069</v>
      </c>
      <c r="C2708" s="14" t="str">
        <f>IFERROR(_xlfn.TEXTJOIN("-", TRUE, _xlfn.XLOOKUP(K2708, product_category_id_lookup!$A$2:$A$5, product_category_id_lookup!$B$2:$B$5), B2708), "Unknown Category")</f>
        <v>fd-1069</v>
      </c>
      <c r="D2708" s="8">
        <v>45478</v>
      </c>
      <c r="E2708" s="14">
        <f t="shared" si="126"/>
        <v>2024</v>
      </c>
      <c r="F2708" s="29" t="str">
        <f t="shared" si="127"/>
        <v>Jul</v>
      </c>
      <c r="G2708" s="17" t="s">
        <v>33</v>
      </c>
      <c r="H2708" s="17" t="s">
        <v>15</v>
      </c>
      <c r="I2708" s="24">
        <v>21091.254000000001</v>
      </c>
      <c r="J2708" s="32">
        <v>6</v>
      </c>
      <c r="K2708" s="17" t="s">
        <v>24</v>
      </c>
      <c r="L2708" s="24">
        <v>178.34</v>
      </c>
      <c r="M2708" s="24">
        <v>3700.22</v>
      </c>
      <c r="N2708" s="34">
        <f>((sales_data_1[[#This Row],[Unit_Price]]*(1-sales_data_1[[#This Row],[Discount]]))-sales_data_1[[#This Row],[Unit_Cost]])*sales_data_1[[#This Row],[Quantity_Sold]]</f>
        <v>20021.214</v>
      </c>
      <c r="O2708" s="17" t="s">
        <v>27</v>
      </c>
      <c r="P2708" s="26">
        <v>0.05</v>
      </c>
      <c r="Q2708" s="17" t="s">
        <v>28</v>
      </c>
      <c r="R2708" s="17" t="s">
        <v>21</v>
      </c>
      <c r="S2708" s="50" t="str">
        <f t="shared" si="128"/>
        <v>Alice-North</v>
      </c>
      <c r="T2708" s="59" t="str">
        <f>IF(ROUND(sales_data_1[[#This Row],[Profit_Margin]],2)=ROUND((sales_data_1[[#This Row],[Unit_Price]]*(1-sales_data_1[[#This Row],[Discount]]) - sales_data_1[[#This Row],[Unit_Cost]])*sales_data_1[[#This Row],[Quantity_Sold]],2), "PASS", "CHECK")</f>
        <v>PASS</v>
      </c>
    </row>
    <row r="2709" spans="1:20" x14ac:dyDescent="0.35">
      <c r="A2709" s="7">
        <v>2708</v>
      </c>
      <c r="B2709" s="9">
        <v>1049</v>
      </c>
      <c r="C2709" s="14" t="str">
        <f>IFERROR(_xlfn.TEXTJOIN("-", TRUE, _xlfn.XLOOKUP(K2709, product_category_id_lookup!$A$2:$A$5, product_category_id_lookup!$B$2:$B$5), B2709), "Unknown Category")</f>
        <v>etc-1049</v>
      </c>
      <c r="D2709" s="8">
        <v>45478</v>
      </c>
      <c r="E2709" s="14">
        <f t="shared" si="126"/>
        <v>2024</v>
      </c>
      <c r="F2709" s="29" t="str">
        <f t="shared" si="127"/>
        <v>Jul</v>
      </c>
      <c r="G2709" s="17" t="s">
        <v>33</v>
      </c>
      <c r="H2709" s="17" t="s">
        <v>15</v>
      </c>
      <c r="I2709" s="24">
        <v>60788.296799999996</v>
      </c>
      <c r="J2709" s="32">
        <v>18</v>
      </c>
      <c r="K2709" s="17" t="s">
        <v>31</v>
      </c>
      <c r="L2709" s="24">
        <v>772.79</v>
      </c>
      <c r="M2709" s="24">
        <v>3631.32</v>
      </c>
      <c r="N2709" s="34">
        <f>((sales_data_1[[#This Row],[Unit_Price]]*(1-sales_data_1[[#This Row],[Discount]]))-sales_data_1[[#This Row],[Unit_Cost]])*sales_data_1[[#This Row],[Quantity_Sold]]</f>
        <v>46878.076799999995</v>
      </c>
      <c r="O2709" s="17" t="s">
        <v>17</v>
      </c>
      <c r="P2709" s="26">
        <v>7.0000000000000007E-2</v>
      </c>
      <c r="Q2709" s="17" t="s">
        <v>18</v>
      </c>
      <c r="R2709" s="17" t="s">
        <v>21</v>
      </c>
      <c r="S2709" s="50" t="str">
        <f t="shared" si="128"/>
        <v>Alice-North</v>
      </c>
      <c r="T2709" s="59" t="str">
        <f>IF(ROUND(sales_data_1[[#This Row],[Profit_Margin]],2)=ROUND((sales_data_1[[#This Row],[Unit_Price]]*(1-sales_data_1[[#This Row],[Discount]]) - sales_data_1[[#This Row],[Unit_Cost]])*sales_data_1[[#This Row],[Quantity_Sold]],2), "PASS", "CHECK")</f>
        <v>PASS</v>
      </c>
    </row>
    <row r="2710" spans="1:20" x14ac:dyDescent="0.35">
      <c r="A2710" s="7">
        <v>2709</v>
      </c>
      <c r="B2710" s="9">
        <v>1049</v>
      </c>
      <c r="C2710" s="14" t="str">
        <f>IFERROR(_xlfn.TEXTJOIN("-", TRUE, _xlfn.XLOOKUP(K2710, product_category_id_lookup!$A$2:$A$5, product_category_id_lookup!$B$2:$B$5), B2710), "Unknown Category")</f>
        <v>ctg-1049</v>
      </c>
      <c r="D2710" s="8">
        <v>45479</v>
      </c>
      <c r="E2710" s="14">
        <f t="shared" si="126"/>
        <v>2024</v>
      </c>
      <c r="F2710" s="29" t="str">
        <f t="shared" si="127"/>
        <v>Jul</v>
      </c>
      <c r="G2710" s="17" t="s">
        <v>33</v>
      </c>
      <c r="H2710" s="17" t="s">
        <v>30</v>
      </c>
      <c r="I2710" s="24">
        <v>15015.0936</v>
      </c>
      <c r="J2710" s="32">
        <v>4</v>
      </c>
      <c r="K2710" s="17" t="s">
        <v>26</v>
      </c>
      <c r="L2710" s="24">
        <v>1942.85</v>
      </c>
      <c r="M2710" s="24">
        <v>4812.53</v>
      </c>
      <c r="N2710" s="34">
        <f>((sales_data_1[[#This Row],[Unit_Price]]*(1-sales_data_1[[#This Row],[Discount]]))-sales_data_1[[#This Row],[Unit_Cost]])*sales_data_1[[#This Row],[Quantity_Sold]]</f>
        <v>7243.6936000000005</v>
      </c>
      <c r="O2710" s="17" t="s">
        <v>27</v>
      </c>
      <c r="P2710" s="26">
        <v>0.22</v>
      </c>
      <c r="Q2710" s="17" t="s">
        <v>28</v>
      </c>
      <c r="R2710" s="17" t="s">
        <v>21</v>
      </c>
      <c r="S2710" s="50" t="str">
        <f t="shared" si="128"/>
        <v>Alice-East</v>
      </c>
      <c r="T2710" s="59" t="str">
        <f>IF(ROUND(sales_data_1[[#This Row],[Profit_Margin]],2)=ROUND((sales_data_1[[#This Row],[Unit_Price]]*(1-sales_data_1[[#This Row],[Discount]]) - sales_data_1[[#This Row],[Unit_Cost]])*sales_data_1[[#This Row],[Quantity_Sold]],2), "PASS", "CHECK")</f>
        <v>PASS</v>
      </c>
    </row>
    <row r="2711" spans="1:20" x14ac:dyDescent="0.35">
      <c r="A2711" s="7">
        <v>2710</v>
      </c>
      <c r="B2711" s="9">
        <v>1090</v>
      </c>
      <c r="C2711" s="14" t="str">
        <f>IFERROR(_xlfn.TEXTJOIN("-", TRUE, _xlfn.XLOOKUP(K2711, product_category_id_lookup!$A$2:$A$5, product_category_id_lookup!$B$2:$B$5), B2711), "Unknown Category")</f>
        <v>fnt-1090</v>
      </c>
      <c r="D2711" s="8">
        <v>45479</v>
      </c>
      <c r="E2711" s="14">
        <f t="shared" si="126"/>
        <v>2024</v>
      </c>
      <c r="F2711" s="29" t="str">
        <f t="shared" si="127"/>
        <v>Jul</v>
      </c>
      <c r="G2711" s="17" t="s">
        <v>22</v>
      </c>
      <c r="H2711" s="17" t="s">
        <v>20</v>
      </c>
      <c r="I2711" s="24">
        <v>94631.315999999992</v>
      </c>
      <c r="J2711" s="32">
        <v>24</v>
      </c>
      <c r="K2711" s="17" t="s">
        <v>16</v>
      </c>
      <c r="L2711" s="24">
        <v>2010.61</v>
      </c>
      <c r="M2711" s="24">
        <v>4638.79</v>
      </c>
      <c r="N2711" s="34">
        <f>((sales_data_1[[#This Row],[Unit_Price]]*(1-sales_data_1[[#This Row],[Discount]]))-sales_data_1[[#This Row],[Unit_Cost]])*sales_data_1[[#This Row],[Quantity_Sold]]</f>
        <v>46376.675999999992</v>
      </c>
      <c r="O2711" s="17" t="s">
        <v>27</v>
      </c>
      <c r="P2711" s="26">
        <v>0.15</v>
      </c>
      <c r="Q2711" s="17" t="s">
        <v>18</v>
      </c>
      <c r="R2711" s="17" t="s">
        <v>19</v>
      </c>
      <c r="S2711" s="50" t="str">
        <f t="shared" si="128"/>
        <v>David-West</v>
      </c>
      <c r="T2711" s="59" t="str">
        <f>IF(ROUND(sales_data_1[[#This Row],[Profit_Margin]],2)=ROUND((sales_data_1[[#This Row],[Unit_Price]]*(1-sales_data_1[[#This Row],[Discount]]) - sales_data_1[[#This Row],[Unit_Cost]])*sales_data_1[[#This Row],[Quantity_Sold]],2), "PASS", "CHECK")</f>
        <v>PASS</v>
      </c>
    </row>
    <row r="2712" spans="1:20" x14ac:dyDescent="0.35">
      <c r="A2712" s="7">
        <v>2711</v>
      </c>
      <c r="B2712" s="9">
        <v>1038</v>
      </c>
      <c r="C2712" s="14" t="str">
        <f>IFERROR(_xlfn.TEXTJOIN("-", TRUE, _xlfn.XLOOKUP(K2712, product_category_id_lookup!$A$2:$A$5, product_category_id_lookup!$B$2:$B$5), B2712), "Unknown Category")</f>
        <v>fnt-1038</v>
      </c>
      <c r="D2712" s="8">
        <v>45481</v>
      </c>
      <c r="E2712" s="14">
        <f t="shared" si="126"/>
        <v>2024</v>
      </c>
      <c r="F2712" s="29" t="str">
        <f t="shared" si="127"/>
        <v>Jul</v>
      </c>
      <c r="G2712" s="17" t="s">
        <v>14</v>
      </c>
      <c r="H2712" s="17" t="s">
        <v>30</v>
      </c>
      <c r="I2712" s="24">
        <v>34988.436000000009</v>
      </c>
      <c r="J2712" s="32">
        <v>14</v>
      </c>
      <c r="K2712" s="17" t="s">
        <v>16</v>
      </c>
      <c r="L2712" s="24">
        <v>970.93</v>
      </c>
      <c r="M2712" s="24">
        <v>3085.4</v>
      </c>
      <c r="N2712" s="34">
        <f>((sales_data_1[[#This Row],[Unit_Price]]*(1-sales_data_1[[#This Row],[Discount]]))-sales_data_1[[#This Row],[Unit_Cost]])*sales_data_1[[#This Row],[Quantity_Sold]]</f>
        <v>21395.416000000008</v>
      </c>
      <c r="O2712" s="17" t="s">
        <v>27</v>
      </c>
      <c r="P2712" s="26">
        <v>0.19</v>
      </c>
      <c r="Q2712" s="17" t="s">
        <v>18</v>
      </c>
      <c r="R2712" s="17" t="s">
        <v>19</v>
      </c>
      <c r="S2712" s="50" t="str">
        <f t="shared" si="128"/>
        <v>Bob-East</v>
      </c>
      <c r="T2712" s="59" t="str">
        <f>IF(ROUND(sales_data_1[[#This Row],[Profit_Margin]],2)=ROUND((sales_data_1[[#This Row],[Unit_Price]]*(1-sales_data_1[[#This Row],[Discount]]) - sales_data_1[[#This Row],[Unit_Cost]])*sales_data_1[[#This Row],[Quantity_Sold]],2), "PASS", "CHECK")</f>
        <v>PASS</v>
      </c>
    </row>
    <row r="2713" spans="1:20" x14ac:dyDescent="0.35">
      <c r="A2713" s="7">
        <v>2712</v>
      </c>
      <c r="B2713" s="9">
        <v>1079</v>
      </c>
      <c r="C2713" s="14" t="str">
        <f>IFERROR(_xlfn.TEXTJOIN("-", TRUE, _xlfn.XLOOKUP(K2713, product_category_id_lookup!$A$2:$A$5, product_category_id_lookup!$B$2:$B$5), B2713), "Unknown Category")</f>
        <v>etc-1079</v>
      </c>
      <c r="D2713" s="8">
        <v>45481</v>
      </c>
      <c r="E2713" s="14">
        <f t="shared" si="126"/>
        <v>2024</v>
      </c>
      <c r="F2713" s="29" t="str">
        <f t="shared" si="127"/>
        <v>Jul</v>
      </c>
      <c r="G2713" s="17" t="s">
        <v>14</v>
      </c>
      <c r="H2713" s="17" t="s">
        <v>23</v>
      </c>
      <c r="I2713" s="24">
        <v>125980.024</v>
      </c>
      <c r="J2713" s="32">
        <v>43</v>
      </c>
      <c r="K2713" s="17" t="s">
        <v>31</v>
      </c>
      <c r="L2713" s="24">
        <v>2107.2399999999998</v>
      </c>
      <c r="M2713" s="24">
        <v>3662.21</v>
      </c>
      <c r="N2713" s="34">
        <f>((sales_data_1[[#This Row],[Unit_Price]]*(1-sales_data_1[[#This Row],[Discount]]))-sales_data_1[[#This Row],[Unit_Cost]])*sales_data_1[[#This Row],[Quantity_Sold]]</f>
        <v>35368.704000000012</v>
      </c>
      <c r="O2713" s="17" t="s">
        <v>17</v>
      </c>
      <c r="P2713" s="26">
        <v>0.2</v>
      </c>
      <c r="Q2713" s="17" t="s">
        <v>25</v>
      </c>
      <c r="R2713" s="17" t="s">
        <v>21</v>
      </c>
      <c r="S2713" s="50" t="str">
        <f t="shared" si="128"/>
        <v>Bob-South</v>
      </c>
      <c r="T2713" s="59" t="str">
        <f>IF(ROUND(sales_data_1[[#This Row],[Profit_Margin]],2)=ROUND((sales_data_1[[#This Row],[Unit_Price]]*(1-sales_data_1[[#This Row],[Discount]]) - sales_data_1[[#This Row],[Unit_Cost]])*sales_data_1[[#This Row],[Quantity_Sold]],2), "PASS", "CHECK")</f>
        <v>PASS</v>
      </c>
    </row>
    <row r="2714" spans="1:20" x14ac:dyDescent="0.35">
      <c r="A2714" s="7">
        <v>2713</v>
      </c>
      <c r="B2714" s="9">
        <v>1006</v>
      </c>
      <c r="C2714" s="14" t="str">
        <f>IFERROR(_xlfn.TEXTJOIN("-", TRUE, _xlfn.XLOOKUP(K2714, product_category_id_lookup!$A$2:$A$5, product_category_id_lookup!$B$2:$B$5), B2714), "Unknown Category")</f>
        <v>fnt-1006</v>
      </c>
      <c r="D2714" s="8">
        <v>45481</v>
      </c>
      <c r="E2714" s="14">
        <f t="shared" si="126"/>
        <v>2024</v>
      </c>
      <c r="F2714" s="29" t="str">
        <f t="shared" si="127"/>
        <v>Jul</v>
      </c>
      <c r="G2714" s="17" t="s">
        <v>14</v>
      </c>
      <c r="H2714" s="17" t="s">
        <v>23</v>
      </c>
      <c r="I2714" s="24">
        <v>50288.053200000002</v>
      </c>
      <c r="J2714" s="32">
        <v>28</v>
      </c>
      <c r="K2714" s="17" t="s">
        <v>16</v>
      </c>
      <c r="L2714" s="24">
        <v>353.19</v>
      </c>
      <c r="M2714" s="24">
        <v>2332.4699999999998</v>
      </c>
      <c r="N2714" s="34">
        <f>((sales_data_1[[#This Row],[Unit_Price]]*(1-sales_data_1[[#This Row],[Discount]]))-sales_data_1[[#This Row],[Unit_Cost]])*sales_data_1[[#This Row],[Quantity_Sold]]</f>
        <v>40398.733199999995</v>
      </c>
      <c r="O2714" s="17" t="s">
        <v>27</v>
      </c>
      <c r="P2714" s="26">
        <v>0.23</v>
      </c>
      <c r="Q2714" s="17" t="s">
        <v>18</v>
      </c>
      <c r="R2714" s="17" t="s">
        <v>21</v>
      </c>
      <c r="S2714" s="50" t="str">
        <f t="shared" si="128"/>
        <v>Bob-South</v>
      </c>
      <c r="T2714" s="59" t="str">
        <f>IF(ROUND(sales_data_1[[#This Row],[Profit_Margin]],2)=ROUND((sales_data_1[[#This Row],[Unit_Price]]*(1-sales_data_1[[#This Row],[Discount]]) - sales_data_1[[#This Row],[Unit_Cost]])*sales_data_1[[#This Row],[Quantity_Sold]],2), "PASS", "CHECK")</f>
        <v>PASS</v>
      </c>
    </row>
    <row r="2715" spans="1:20" x14ac:dyDescent="0.35">
      <c r="A2715" s="7">
        <v>2714</v>
      </c>
      <c r="B2715" s="9">
        <v>1031</v>
      </c>
      <c r="C2715" s="14" t="str">
        <f>IFERROR(_xlfn.TEXTJOIN("-", TRUE, _xlfn.XLOOKUP(K2715, product_category_id_lookup!$A$2:$A$5, product_category_id_lookup!$B$2:$B$5), B2715), "Unknown Category")</f>
        <v>fd-1031</v>
      </c>
      <c r="D2715" s="8">
        <v>45483</v>
      </c>
      <c r="E2715" s="14">
        <f t="shared" si="126"/>
        <v>2024</v>
      </c>
      <c r="F2715" s="29" t="str">
        <f t="shared" si="127"/>
        <v>Jul</v>
      </c>
      <c r="G2715" s="17" t="s">
        <v>29</v>
      </c>
      <c r="H2715" s="17" t="s">
        <v>30</v>
      </c>
      <c r="I2715" s="24">
        <v>51448.136999999995</v>
      </c>
      <c r="J2715" s="32">
        <v>26</v>
      </c>
      <c r="K2715" s="17" t="s">
        <v>24</v>
      </c>
      <c r="L2715" s="24">
        <v>1847.84</v>
      </c>
      <c r="M2715" s="24">
        <v>2327.9699999999998</v>
      </c>
      <c r="N2715" s="34">
        <f>((sales_data_1[[#This Row],[Unit_Price]]*(1-sales_data_1[[#This Row],[Discount]]))-sales_data_1[[#This Row],[Unit_Cost]])*sales_data_1[[#This Row],[Quantity_Sold]]</f>
        <v>3404.2969999999959</v>
      </c>
      <c r="O2715" s="17" t="s">
        <v>17</v>
      </c>
      <c r="P2715" s="26">
        <v>0.15</v>
      </c>
      <c r="Q2715" s="17" t="s">
        <v>28</v>
      </c>
      <c r="R2715" s="17" t="s">
        <v>21</v>
      </c>
      <c r="S2715" s="50" t="str">
        <f t="shared" si="128"/>
        <v>Charlie-East</v>
      </c>
      <c r="T2715" s="59" t="str">
        <f>IF(ROUND(sales_data_1[[#This Row],[Profit_Margin]],2)=ROUND((sales_data_1[[#This Row],[Unit_Price]]*(1-sales_data_1[[#This Row],[Discount]]) - sales_data_1[[#This Row],[Unit_Cost]])*sales_data_1[[#This Row],[Quantity_Sold]],2), "PASS", "CHECK")</f>
        <v>PASS</v>
      </c>
    </row>
    <row r="2716" spans="1:20" x14ac:dyDescent="0.35">
      <c r="A2716" s="7">
        <v>2715</v>
      </c>
      <c r="B2716" s="9">
        <v>1041</v>
      </c>
      <c r="C2716" s="14" t="str">
        <f>IFERROR(_xlfn.TEXTJOIN("-", TRUE, _xlfn.XLOOKUP(K2716, product_category_id_lookup!$A$2:$A$5, product_category_id_lookup!$B$2:$B$5), B2716), "Unknown Category")</f>
        <v>etc-1041</v>
      </c>
      <c r="D2716" s="8">
        <v>45483</v>
      </c>
      <c r="E2716" s="14">
        <f t="shared" si="126"/>
        <v>2024</v>
      </c>
      <c r="F2716" s="29" t="str">
        <f t="shared" si="127"/>
        <v>Jul</v>
      </c>
      <c r="G2716" s="17" t="s">
        <v>29</v>
      </c>
      <c r="H2716" s="17" t="s">
        <v>20</v>
      </c>
      <c r="I2716" s="24">
        <v>130000.4302</v>
      </c>
      <c r="J2716" s="32">
        <v>47</v>
      </c>
      <c r="K2716" s="17" t="s">
        <v>31</v>
      </c>
      <c r="L2716" s="24">
        <v>2351.7399999999998</v>
      </c>
      <c r="M2716" s="24">
        <v>3373.13</v>
      </c>
      <c r="N2716" s="34">
        <f>((sales_data_1[[#This Row],[Unit_Price]]*(1-sales_data_1[[#This Row],[Discount]]))-sales_data_1[[#This Row],[Unit_Cost]])*sales_data_1[[#This Row],[Quantity_Sold]]</f>
        <v>19468.650200000018</v>
      </c>
      <c r="O2716" s="17" t="s">
        <v>17</v>
      </c>
      <c r="P2716" s="26">
        <v>0.18</v>
      </c>
      <c r="Q2716" s="17" t="s">
        <v>18</v>
      </c>
      <c r="R2716" s="17" t="s">
        <v>19</v>
      </c>
      <c r="S2716" s="50" t="str">
        <f t="shared" si="128"/>
        <v>Charlie-West</v>
      </c>
      <c r="T2716" s="59" t="str">
        <f>IF(ROUND(sales_data_1[[#This Row],[Profit_Margin]],2)=ROUND((sales_data_1[[#This Row],[Unit_Price]]*(1-sales_data_1[[#This Row],[Discount]]) - sales_data_1[[#This Row],[Unit_Cost]])*sales_data_1[[#This Row],[Quantity_Sold]],2), "PASS", "CHECK")</f>
        <v>PASS</v>
      </c>
    </row>
    <row r="2717" spans="1:20" x14ac:dyDescent="0.35">
      <c r="A2717" s="7">
        <v>2716</v>
      </c>
      <c r="B2717" s="9">
        <v>1043</v>
      </c>
      <c r="C2717" s="14" t="str">
        <f>IFERROR(_xlfn.TEXTJOIN("-", TRUE, _xlfn.XLOOKUP(K2717, product_category_id_lookup!$A$2:$A$5, product_category_id_lookup!$B$2:$B$5), B2717), "Unknown Category")</f>
        <v>etc-1043</v>
      </c>
      <c r="D2717" s="8">
        <v>45483</v>
      </c>
      <c r="E2717" s="14">
        <f t="shared" si="126"/>
        <v>2024</v>
      </c>
      <c r="F2717" s="29" t="str">
        <f t="shared" si="127"/>
        <v>Jul</v>
      </c>
      <c r="G2717" s="17" t="s">
        <v>22</v>
      </c>
      <c r="H2717" s="17" t="s">
        <v>30</v>
      </c>
      <c r="I2717" s="24">
        <v>41959.523999999998</v>
      </c>
      <c r="J2717" s="32">
        <v>19</v>
      </c>
      <c r="K2717" s="17" t="s">
        <v>31</v>
      </c>
      <c r="L2717" s="24">
        <v>755.13</v>
      </c>
      <c r="M2717" s="24">
        <v>3025.2</v>
      </c>
      <c r="N2717" s="34">
        <f>((sales_data_1[[#This Row],[Unit_Price]]*(1-sales_data_1[[#This Row],[Discount]]))-sales_data_1[[#This Row],[Unit_Cost]])*sales_data_1[[#This Row],[Quantity_Sold]]</f>
        <v>27612.053999999993</v>
      </c>
      <c r="O2717" s="17" t="s">
        <v>27</v>
      </c>
      <c r="P2717" s="26">
        <v>0.27</v>
      </c>
      <c r="Q2717" s="17" t="s">
        <v>18</v>
      </c>
      <c r="R2717" s="17" t="s">
        <v>19</v>
      </c>
      <c r="S2717" s="50" t="str">
        <f t="shared" si="128"/>
        <v>David-East</v>
      </c>
      <c r="T2717" s="59" t="str">
        <f>IF(ROUND(sales_data_1[[#This Row],[Profit_Margin]],2)=ROUND((sales_data_1[[#This Row],[Unit_Price]]*(1-sales_data_1[[#This Row],[Discount]]) - sales_data_1[[#This Row],[Unit_Cost]])*sales_data_1[[#This Row],[Quantity_Sold]],2), "PASS", "CHECK")</f>
        <v>PASS</v>
      </c>
    </row>
    <row r="2718" spans="1:20" x14ac:dyDescent="0.35">
      <c r="A2718" s="7">
        <v>2717</v>
      </c>
      <c r="B2718" s="9">
        <v>1061</v>
      </c>
      <c r="C2718" s="14" t="str">
        <f>IFERROR(_xlfn.TEXTJOIN("-", TRUE, _xlfn.XLOOKUP(K2718, product_category_id_lookup!$A$2:$A$5, product_category_id_lookup!$B$2:$B$5), B2718), "Unknown Category")</f>
        <v>fd-1061</v>
      </c>
      <c r="D2718" s="8">
        <v>45483</v>
      </c>
      <c r="E2718" s="14">
        <f t="shared" si="126"/>
        <v>2024</v>
      </c>
      <c r="F2718" s="29" t="str">
        <f t="shared" si="127"/>
        <v>Jul</v>
      </c>
      <c r="G2718" s="17" t="s">
        <v>22</v>
      </c>
      <c r="H2718" s="17" t="s">
        <v>15</v>
      </c>
      <c r="I2718" s="24">
        <v>55136.315999999999</v>
      </c>
      <c r="J2718" s="32">
        <v>15</v>
      </c>
      <c r="K2718" s="17" t="s">
        <v>24</v>
      </c>
      <c r="L2718" s="24">
        <v>1807.98</v>
      </c>
      <c r="M2718" s="24">
        <v>5035.28</v>
      </c>
      <c r="N2718" s="34">
        <f>((sales_data_1[[#This Row],[Unit_Price]]*(1-sales_data_1[[#This Row],[Discount]]))-sales_data_1[[#This Row],[Unit_Cost]])*sales_data_1[[#This Row],[Quantity_Sold]]</f>
        <v>28016.615999999998</v>
      </c>
      <c r="O2718" s="17" t="s">
        <v>27</v>
      </c>
      <c r="P2718" s="26">
        <v>0.27</v>
      </c>
      <c r="Q2718" s="17" t="s">
        <v>25</v>
      </c>
      <c r="R2718" s="17" t="s">
        <v>21</v>
      </c>
      <c r="S2718" s="50" t="str">
        <f t="shared" si="128"/>
        <v>David-North</v>
      </c>
      <c r="T2718" s="59" t="str">
        <f>IF(ROUND(sales_data_1[[#This Row],[Profit_Margin]],2)=ROUND((sales_data_1[[#This Row],[Unit_Price]]*(1-sales_data_1[[#This Row],[Discount]]) - sales_data_1[[#This Row],[Unit_Cost]])*sales_data_1[[#This Row],[Quantity_Sold]],2), "PASS", "CHECK")</f>
        <v>PASS</v>
      </c>
    </row>
    <row r="2719" spans="1:20" x14ac:dyDescent="0.35">
      <c r="A2719" s="7">
        <v>2718</v>
      </c>
      <c r="B2719" s="9">
        <v>1098</v>
      </c>
      <c r="C2719" s="14" t="str">
        <f>IFERROR(_xlfn.TEXTJOIN("-", TRUE, _xlfn.XLOOKUP(K2719, product_category_id_lookup!$A$2:$A$5, product_category_id_lookup!$B$2:$B$5), B2719), "Unknown Category")</f>
        <v>etc-1098</v>
      </c>
      <c r="D2719" s="8">
        <v>45483</v>
      </c>
      <c r="E2719" s="14">
        <f t="shared" si="126"/>
        <v>2024</v>
      </c>
      <c r="F2719" s="29" t="str">
        <f t="shared" si="127"/>
        <v>Jul</v>
      </c>
      <c r="G2719" s="17" t="s">
        <v>14</v>
      </c>
      <c r="H2719" s="17" t="s">
        <v>30</v>
      </c>
      <c r="I2719" s="24">
        <v>95409.104200000002</v>
      </c>
      <c r="J2719" s="32">
        <v>38</v>
      </c>
      <c r="K2719" s="17" t="s">
        <v>31</v>
      </c>
      <c r="L2719" s="24">
        <v>422.44</v>
      </c>
      <c r="M2719" s="24">
        <v>3536.29</v>
      </c>
      <c r="N2719" s="34">
        <f>((sales_data_1[[#This Row],[Unit_Price]]*(1-sales_data_1[[#This Row],[Discount]]))-sales_data_1[[#This Row],[Unit_Cost]])*sales_data_1[[#This Row],[Quantity_Sold]]</f>
        <v>79356.3842</v>
      </c>
      <c r="O2719" s="17" t="s">
        <v>27</v>
      </c>
      <c r="P2719" s="26">
        <v>0.28999999999999998</v>
      </c>
      <c r="Q2719" s="17" t="s">
        <v>25</v>
      </c>
      <c r="R2719" s="17" t="s">
        <v>19</v>
      </c>
      <c r="S2719" s="50" t="str">
        <f t="shared" si="128"/>
        <v>Bob-East</v>
      </c>
      <c r="T2719" s="59" t="str">
        <f>IF(ROUND(sales_data_1[[#This Row],[Profit_Margin]],2)=ROUND((sales_data_1[[#This Row],[Unit_Price]]*(1-sales_data_1[[#This Row],[Discount]]) - sales_data_1[[#This Row],[Unit_Cost]])*sales_data_1[[#This Row],[Quantity_Sold]],2), "PASS", "CHECK")</f>
        <v>PASS</v>
      </c>
    </row>
    <row r="2720" spans="1:20" x14ac:dyDescent="0.35">
      <c r="A2720" s="7">
        <v>2719</v>
      </c>
      <c r="B2720" s="9">
        <v>1043</v>
      </c>
      <c r="C2720" s="14" t="str">
        <f>IFERROR(_xlfn.TEXTJOIN("-", TRUE, _xlfn.XLOOKUP(K2720, product_category_id_lookup!$A$2:$A$5, product_category_id_lookup!$B$2:$B$5), B2720), "Unknown Category")</f>
        <v>etc-1043</v>
      </c>
      <c r="D2720" s="8">
        <v>45484</v>
      </c>
      <c r="E2720" s="14">
        <f t="shared" si="126"/>
        <v>2024</v>
      </c>
      <c r="F2720" s="29" t="str">
        <f t="shared" si="127"/>
        <v>Jul</v>
      </c>
      <c r="G2720" s="17" t="s">
        <v>22</v>
      </c>
      <c r="H2720" s="17" t="s">
        <v>23</v>
      </c>
      <c r="I2720" s="24">
        <v>15790.480199999998</v>
      </c>
      <c r="J2720" s="32">
        <v>3</v>
      </c>
      <c r="K2720" s="17" t="s">
        <v>31</v>
      </c>
      <c r="L2720" s="24">
        <v>4591.17</v>
      </c>
      <c r="M2720" s="24">
        <v>5316.66</v>
      </c>
      <c r="N2720" s="34">
        <f>((sales_data_1[[#This Row],[Unit_Price]]*(1-sales_data_1[[#This Row],[Discount]]))-sales_data_1[[#This Row],[Unit_Cost]])*sales_data_1[[#This Row],[Quantity_Sold]]</f>
        <v>2016.9701999999979</v>
      </c>
      <c r="O2720" s="17" t="s">
        <v>27</v>
      </c>
      <c r="P2720" s="26">
        <v>0.01</v>
      </c>
      <c r="Q2720" s="17" t="s">
        <v>25</v>
      </c>
      <c r="R2720" s="17" t="s">
        <v>21</v>
      </c>
      <c r="S2720" s="50" t="str">
        <f t="shared" si="128"/>
        <v>David-South</v>
      </c>
      <c r="T2720" s="59" t="str">
        <f>IF(ROUND(sales_data_1[[#This Row],[Profit_Margin]],2)=ROUND((sales_data_1[[#This Row],[Unit_Price]]*(1-sales_data_1[[#This Row],[Discount]]) - sales_data_1[[#This Row],[Unit_Cost]])*sales_data_1[[#This Row],[Quantity_Sold]],2), "PASS", "CHECK")</f>
        <v>PASS</v>
      </c>
    </row>
    <row r="2721" spans="1:20" x14ac:dyDescent="0.35">
      <c r="A2721" s="7">
        <v>2720</v>
      </c>
      <c r="B2721" s="9">
        <v>1047</v>
      </c>
      <c r="C2721" s="14" t="str">
        <f>IFERROR(_xlfn.TEXTJOIN("-", TRUE, _xlfn.XLOOKUP(K2721, product_category_id_lookup!$A$2:$A$5, product_category_id_lookup!$B$2:$B$5), B2721), "Unknown Category")</f>
        <v>etc-1047</v>
      </c>
      <c r="D2721" s="8">
        <v>45484</v>
      </c>
      <c r="E2721" s="14">
        <f t="shared" si="126"/>
        <v>2024</v>
      </c>
      <c r="F2721" s="29" t="str">
        <f t="shared" si="127"/>
        <v>Jul</v>
      </c>
      <c r="G2721" s="17" t="s">
        <v>33</v>
      </c>
      <c r="H2721" s="17" t="s">
        <v>15</v>
      </c>
      <c r="I2721" s="24">
        <v>104084.08</v>
      </c>
      <c r="J2721" s="32">
        <v>43</v>
      </c>
      <c r="K2721" s="17" t="s">
        <v>31</v>
      </c>
      <c r="L2721" s="24">
        <v>1855.87</v>
      </c>
      <c r="M2721" s="24">
        <v>3064</v>
      </c>
      <c r="N2721" s="34">
        <f>((sales_data_1[[#This Row],[Unit_Price]]*(1-sales_data_1[[#This Row],[Discount]]))-sales_data_1[[#This Row],[Unit_Cost]])*sales_data_1[[#This Row],[Quantity_Sold]]</f>
        <v>24281.670000000002</v>
      </c>
      <c r="O2721" s="17" t="s">
        <v>27</v>
      </c>
      <c r="P2721" s="26">
        <v>0.21</v>
      </c>
      <c r="Q2721" s="17" t="s">
        <v>28</v>
      </c>
      <c r="R2721" s="17" t="s">
        <v>19</v>
      </c>
      <c r="S2721" s="50" t="str">
        <f t="shared" si="128"/>
        <v>Alice-North</v>
      </c>
      <c r="T2721" s="59" t="str">
        <f>IF(ROUND(sales_data_1[[#This Row],[Profit_Margin]],2)=ROUND((sales_data_1[[#This Row],[Unit_Price]]*(1-sales_data_1[[#This Row],[Discount]]) - sales_data_1[[#This Row],[Unit_Cost]])*sales_data_1[[#This Row],[Quantity_Sold]],2), "PASS", "CHECK")</f>
        <v>PASS</v>
      </c>
    </row>
    <row r="2722" spans="1:20" x14ac:dyDescent="0.35">
      <c r="A2722" s="7">
        <v>2721</v>
      </c>
      <c r="B2722" s="9">
        <v>1064</v>
      </c>
      <c r="C2722" s="14" t="str">
        <f>IFERROR(_xlfn.TEXTJOIN("-", TRUE, _xlfn.XLOOKUP(K2722, product_category_id_lookup!$A$2:$A$5, product_category_id_lookup!$B$2:$B$5), B2722), "Unknown Category")</f>
        <v>fnt-1064</v>
      </c>
      <c r="D2722" s="8">
        <v>45484</v>
      </c>
      <c r="E2722" s="14">
        <f t="shared" si="126"/>
        <v>2024</v>
      </c>
      <c r="F2722" s="29" t="str">
        <f t="shared" si="127"/>
        <v>Jul</v>
      </c>
      <c r="G2722" s="17" t="s">
        <v>29</v>
      </c>
      <c r="H2722" s="17" t="s">
        <v>30</v>
      </c>
      <c r="I2722" s="24">
        <v>169864.16639999999</v>
      </c>
      <c r="J2722" s="32">
        <v>47</v>
      </c>
      <c r="K2722" s="17" t="s">
        <v>16</v>
      </c>
      <c r="L2722" s="24">
        <v>3050.89</v>
      </c>
      <c r="M2722" s="24">
        <v>3764.72</v>
      </c>
      <c r="N2722" s="34">
        <f>((sales_data_1[[#This Row],[Unit_Price]]*(1-sales_data_1[[#This Row],[Discount]]))-sales_data_1[[#This Row],[Unit_Cost]])*sales_data_1[[#This Row],[Quantity_Sold]]</f>
        <v>26472.336399999997</v>
      </c>
      <c r="O2722" s="17" t="s">
        <v>27</v>
      </c>
      <c r="P2722" s="26">
        <v>0.04</v>
      </c>
      <c r="Q2722" s="17" t="s">
        <v>28</v>
      </c>
      <c r="R2722" s="17" t="s">
        <v>21</v>
      </c>
      <c r="S2722" s="50" t="str">
        <f t="shared" si="128"/>
        <v>Charlie-East</v>
      </c>
      <c r="T2722" s="59" t="str">
        <f>IF(ROUND(sales_data_1[[#This Row],[Profit_Margin]],2)=ROUND((sales_data_1[[#This Row],[Unit_Price]]*(1-sales_data_1[[#This Row],[Discount]]) - sales_data_1[[#This Row],[Unit_Cost]])*sales_data_1[[#This Row],[Quantity_Sold]],2), "PASS", "CHECK")</f>
        <v>PASS</v>
      </c>
    </row>
    <row r="2723" spans="1:20" x14ac:dyDescent="0.35">
      <c r="A2723" s="7">
        <v>2722</v>
      </c>
      <c r="B2723" s="9">
        <v>1096</v>
      </c>
      <c r="C2723" s="14" t="str">
        <f>IFERROR(_xlfn.TEXTJOIN("-", TRUE, _xlfn.XLOOKUP(K2723, product_category_id_lookup!$A$2:$A$5, product_category_id_lookup!$B$2:$B$5), B2723), "Unknown Category")</f>
        <v>fd-1096</v>
      </c>
      <c r="D2723" s="8">
        <v>45485</v>
      </c>
      <c r="E2723" s="14">
        <f t="shared" si="126"/>
        <v>2024</v>
      </c>
      <c r="F2723" s="29" t="str">
        <f t="shared" si="127"/>
        <v>Jul</v>
      </c>
      <c r="G2723" s="17" t="s">
        <v>14</v>
      </c>
      <c r="H2723" s="17" t="s">
        <v>20</v>
      </c>
      <c r="I2723" s="24">
        <v>121329.47200000001</v>
      </c>
      <c r="J2723" s="32">
        <v>40</v>
      </c>
      <c r="K2723" s="17" t="s">
        <v>24</v>
      </c>
      <c r="L2723" s="24">
        <v>2832.46</v>
      </c>
      <c r="M2723" s="24">
        <v>3446.86</v>
      </c>
      <c r="N2723" s="34">
        <f>((sales_data_1[[#This Row],[Unit_Price]]*(1-sales_data_1[[#This Row],[Discount]]))-sales_data_1[[#This Row],[Unit_Cost]])*sales_data_1[[#This Row],[Quantity_Sold]]</f>
        <v>8031.0720000000038</v>
      </c>
      <c r="O2723" s="17" t="s">
        <v>17</v>
      </c>
      <c r="P2723" s="26">
        <v>0.12</v>
      </c>
      <c r="Q2723" s="17" t="s">
        <v>25</v>
      </c>
      <c r="R2723" s="17" t="s">
        <v>21</v>
      </c>
      <c r="S2723" s="50" t="str">
        <f t="shared" si="128"/>
        <v>Bob-West</v>
      </c>
      <c r="T2723" s="59" t="str">
        <f>IF(ROUND(sales_data_1[[#This Row],[Profit_Margin]],2)=ROUND((sales_data_1[[#This Row],[Unit_Price]]*(1-sales_data_1[[#This Row],[Discount]]) - sales_data_1[[#This Row],[Unit_Cost]])*sales_data_1[[#This Row],[Quantity_Sold]],2), "PASS", "CHECK")</f>
        <v>PASS</v>
      </c>
    </row>
    <row r="2724" spans="1:20" x14ac:dyDescent="0.35">
      <c r="A2724" s="7">
        <v>2723</v>
      </c>
      <c r="B2724" s="9">
        <v>1010</v>
      </c>
      <c r="C2724" s="14" t="str">
        <f>IFERROR(_xlfn.TEXTJOIN("-", TRUE, _xlfn.XLOOKUP(K2724, product_category_id_lookup!$A$2:$A$5, product_category_id_lookup!$B$2:$B$5), B2724), "Unknown Category")</f>
        <v>fd-1010</v>
      </c>
      <c r="D2724" s="8">
        <v>45485</v>
      </c>
      <c r="E2724" s="14">
        <f t="shared" si="126"/>
        <v>2024</v>
      </c>
      <c r="F2724" s="29" t="str">
        <f t="shared" si="127"/>
        <v>Jul</v>
      </c>
      <c r="G2724" s="17" t="s">
        <v>22</v>
      </c>
      <c r="H2724" s="17" t="s">
        <v>20</v>
      </c>
      <c r="I2724" s="24">
        <v>36627.628799999999</v>
      </c>
      <c r="J2724" s="32">
        <v>23</v>
      </c>
      <c r="K2724" s="17" t="s">
        <v>24</v>
      </c>
      <c r="L2724" s="24">
        <v>224.57</v>
      </c>
      <c r="M2724" s="24">
        <v>1895.84</v>
      </c>
      <c r="N2724" s="34">
        <f>((sales_data_1[[#This Row],[Unit_Price]]*(1-sales_data_1[[#This Row],[Discount]]))-sales_data_1[[#This Row],[Unit_Cost]])*sales_data_1[[#This Row],[Quantity_Sold]]</f>
        <v>31462.518800000002</v>
      </c>
      <c r="O2724" s="17" t="s">
        <v>17</v>
      </c>
      <c r="P2724" s="26">
        <v>0.16</v>
      </c>
      <c r="Q2724" s="17" t="s">
        <v>28</v>
      </c>
      <c r="R2724" s="17" t="s">
        <v>21</v>
      </c>
      <c r="S2724" s="50" t="str">
        <f t="shared" si="128"/>
        <v>David-West</v>
      </c>
      <c r="T2724" s="59" t="str">
        <f>IF(ROUND(sales_data_1[[#This Row],[Profit_Margin]],2)=ROUND((sales_data_1[[#This Row],[Unit_Price]]*(1-sales_data_1[[#This Row],[Discount]]) - sales_data_1[[#This Row],[Unit_Cost]])*sales_data_1[[#This Row],[Quantity_Sold]],2), "PASS", "CHECK")</f>
        <v>PASS</v>
      </c>
    </row>
    <row r="2725" spans="1:20" x14ac:dyDescent="0.35">
      <c r="A2725" s="7">
        <v>2724</v>
      </c>
      <c r="B2725" s="9">
        <v>1011</v>
      </c>
      <c r="C2725" s="14" t="str">
        <f>IFERROR(_xlfn.TEXTJOIN("-", TRUE, _xlfn.XLOOKUP(K2725, product_category_id_lookup!$A$2:$A$5, product_category_id_lookup!$B$2:$B$5), B2725), "Unknown Category")</f>
        <v>fnt-1011</v>
      </c>
      <c r="D2725" s="8">
        <v>45485</v>
      </c>
      <c r="E2725" s="14">
        <f t="shared" si="126"/>
        <v>2024</v>
      </c>
      <c r="F2725" s="29" t="str">
        <f t="shared" si="127"/>
        <v>Jul</v>
      </c>
      <c r="G2725" s="17" t="s">
        <v>14</v>
      </c>
      <c r="H2725" s="17" t="s">
        <v>30</v>
      </c>
      <c r="I2725" s="24">
        <v>161141.5</v>
      </c>
      <c r="J2725" s="32">
        <v>50</v>
      </c>
      <c r="K2725" s="17" t="s">
        <v>16</v>
      </c>
      <c r="L2725" s="24">
        <v>481.97</v>
      </c>
      <c r="M2725" s="24">
        <v>3222.83</v>
      </c>
      <c r="N2725" s="34">
        <f>((sales_data_1[[#This Row],[Unit_Price]]*(1-sales_data_1[[#This Row],[Discount]]))-sales_data_1[[#This Row],[Unit_Cost]])*sales_data_1[[#This Row],[Quantity_Sold]]</f>
        <v>137042.99999999997</v>
      </c>
      <c r="O2725" s="17" t="s">
        <v>27</v>
      </c>
      <c r="P2725" s="26">
        <v>0</v>
      </c>
      <c r="Q2725" s="17" t="s">
        <v>18</v>
      </c>
      <c r="R2725" s="17" t="s">
        <v>19</v>
      </c>
      <c r="S2725" s="50" t="str">
        <f t="shared" si="128"/>
        <v>Bob-East</v>
      </c>
      <c r="T2725" s="59" t="str">
        <f>IF(ROUND(sales_data_1[[#This Row],[Profit_Margin]],2)=ROUND((sales_data_1[[#This Row],[Unit_Price]]*(1-sales_data_1[[#This Row],[Discount]]) - sales_data_1[[#This Row],[Unit_Cost]])*sales_data_1[[#This Row],[Quantity_Sold]],2), "PASS", "CHECK")</f>
        <v>PASS</v>
      </c>
    </row>
    <row r="2726" spans="1:20" x14ac:dyDescent="0.35">
      <c r="A2726" s="7">
        <v>2725</v>
      </c>
      <c r="B2726" s="9">
        <v>1003</v>
      </c>
      <c r="C2726" s="14" t="str">
        <f>IFERROR(_xlfn.TEXTJOIN("-", TRUE, _xlfn.XLOOKUP(K2726, product_category_id_lookup!$A$2:$A$5, product_category_id_lookup!$B$2:$B$5), B2726), "Unknown Category")</f>
        <v>fnt-1003</v>
      </c>
      <c r="D2726" s="8">
        <v>45486</v>
      </c>
      <c r="E2726" s="14">
        <f t="shared" si="126"/>
        <v>2024</v>
      </c>
      <c r="F2726" s="29" t="str">
        <f t="shared" si="127"/>
        <v>Jul</v>
      </c>
      <c r="G2726" s="17" t="s">
        <v>14</v>
      </c>
      <c r="H2726" s="17" t="s">
        <v>30</v>
      </c>
      <c r="I2726" s="24">
        <v>5115.924</v>
      </c>
      <c r="J2726" s="32">
        <v>2</v>
      </c>
      <c r="K2726" s="17" t="s">
        <v>16</v>
      </c>
      <c r="L2726" s="24">
        <v>1719.18</v>
      </c>
      <c r="M2726" s="24">
        <v>2583.8000000000002</v>
      </c>
      <c r="N2726" s="34">
        <f>((sales_data_1[[#This Row],[Unit_Price]]*(1-sales_data_1[[#This Row],[Discount]]))-sales_data_1[[#This Row],[Unit_Cost]])*sales_data_1[[#This Row],[Quantity_Sold]]</f>
        <v>1677.5639999999999</v>
      </c>
      <c r="O2726" s="17" t="s">
        <v>27</v>
      </c>
      <c r="P2726" s="26">
        <v>0.01</v>
      </c>
      <c r="Q2726" s="17" t="s">
        <v>25</v>
      </c>
      <c r="R2726" s="17" t="s">
        <v>21</v>
      </c>
      <c r="S2726" s="50" t="str">
        <f t="shared" si="128"/>
        <v>Bob-East</v>
      </c>
      <c r="T2726" s="59" t="str">
        <f>IF(ROUND(sales_data_1[[#This Row],[Profit_Margin]],2)=ROUND((sales_data_1[[#This Row],[Unit_Price]]*(1-sales_data_1[[#This Row],[Discount]]) - sales_data_1[[#This Row],[Unit_Cost]])*sales_data_1[[#This Row],[Quantity_Sold]],2), "PASS", "CHECK")</f>
        <v>PASS</v>
      </c>
    </row>
    <row r="2727" spans="1:20" x14ac:dyDescent="0.35">
      <c r="A2727" s="7">
        <v>2726</v>
      </c>
      <c r="B2727" s="9">
        <v>1086</v>
      </c>
      <c r="C2727" s="14" t="str">
        <f>IFERROR(_xlfn.TEXTJOIN("-", TRUE, _xlfn.XLOOKUP(K2727, product_category_id_lookup!$A$2:$A$5, product_category_id_lookup!$B$2:$B$5), B2727), "Unknown Category")</f>
        <v>fnt-1086</v>
      </c>
      <c r="D2727" s="8">
        <v>45486</v>
      </c>
      <c r="E2727" s="14">
        <f t="shared" si="126"/>
        <v>2024</v>
      </c>
      <c r="F2727" s="29" t="str">
        <f t="shared" si="127"/>
        <v>Jul</v>
      </c>
      <c r="G2727" s="17" t="s">
        <v>22</v>
      </c>
      <c r="H2727" s="17" t="s">
        <v>23</v>
      </c>
      <c r="I2727" s="24">
        <v>36395.304000000004</v>
      </c>
      <c r="J2727" s="32">
        <v>10</v>
      </c>
      <c r="K2727" s="17" t="s">
        <v>16</v>
      </c>
      <c r="L2727" s="24">
        <v>313.04000000000002</v>
      </c>
      <c r="M2727" s="24">
        <v>4089.36</v>
      </c>
      <c r="N2727" s="34">
        <f>((sales_data_1[[#This Row],[Unit_Price]]*(1-sales_data_1[[#This Row],[Discount]]))-sales_data_1[[#This Row],[Unit_Cost]])*sales_data_1[[#This Row],[Quantity_Sold]]</f>
        <v>33264.904000000002</v>
      </c>
      <c r="O2727" s="17" t="s">
        <v>17</v>
      </c>
      <c r="P2727" s="26">
        <v>0.11</v>
      </c>
      <c r="Q2727" s="17" t="s">
        <v>28</v>
      </c>
      <c r="R2727" s="17" t="s">
        <v>21</v>
      </c>
      <c r="S2727" s="50" t="str">
        <f t="shared" si="128"/>
        <v>David-South</v>
      </c>
      <c r="T2727" s="59" t="str">
        <f>IF(ROUND(sales_data_1[[#This Row],[Profit_Margin]],2)=ROUND((sales_data_1[[#This Row],[Unit_Price]]*(1-sales_data_1[[#This Row],[Discount]]) - sales_data_1[[#This Row],[Unit_Cost]])*sales_data_1[[#This Row],[Quantity_Sold]],2), "PASS", "CHECK")</f>
        <v>PASS</v>
      </c>
    </row>
    <row r="2728" spans="1:20" x14ac:dyDescent="0.35">
      <c r="A2728" s="7">
        <v>2727</v>
      </c>
      <c r="B2728" s="9">
        <v>1038</v>
      </c>
      <c r="C2728" s="14" t="str">
        <f>IFERROR(_xlfn.TEXTJOIN("-", TRUE, _xlfn.XLOOKUP(K2728, product_category_id_lookup!$A$2:$A$5, product_category_id_lookup!$B$2:$B$5), B2728), "Unknown Category")</f>
        <v>fd-1038</v>
      </c>
      <c r="D2728" s="8">
        <v>45487</v>
      </c>
      <c r="E2728" s="14">
        <f t="shared" si="126"/>
        <v>2024</v>
      </c>
      <c r="F2728" s="29" t="str">
        <f t="shared" si="127"/>
        <v>Jul</v>
      </c>
      <c r="G2728" s="17" t="s">
        <v>29</v>
      </c>
      <c r="H2728" s="17" t="s">
        <v>23</v>
      </c>
      <c r="I2728" s="24">
        <v>31286.015100000001</v>
      </c>
      <c r="J2728" s="32">
        <v>9</v>
      </c>
      <c r="K2728" s="17" t="s">
        <v>24</v>
      </c>
      <c r="L2728" s="24">
        <v>2493.1799999999998</v>
      </c>
      <c r="M2728" s="24">
        <v>4896.09</v>
      </c>
      <c r="N2728" s="34">
        <f>((sales_data_1[[#This Row],[Unit_Price]]*(1-sales_data_1[[#This Row],[Discount]]))-sales_data_1[[#This Row],[Unit_Cost]])*sales_data_1[[#This Row],[Quantity_Sold]]</f>
        <v>8847.3951000000015</v>
      </c>
      <c r="O2728" s="17" t="s">
        <v>17</v>
      </c>
      <c r="P2728" s="26">
        <v>0.28999999999999998</v>
      </c>
      <c r="Q2728" s="17" t="s">
        <v>25</v>
      </c>
      <c r="R2728" s="17" t="s">
        <v>21</v>
      </c>
      <c r="S2728" s="50" t="str">
        <f t="shared" si="128"/>
        <v>Charlie-South</v>
      </c>
      <c r="T2728" s="59" t="str">
        <f>IF(ROUND(sales_data_1[[#This Row],[Profit_Margin]],2)=ROUND((sales_data_1[[#This Row],[Unit_Price]]*(1-sales_data_1[[#This Row],[Discount]]) - sales_data_1[[#This Row],[Unit_Cost]])*sales_data_1[[#This Row],[Quantity_Sold]],2), "PASS", "CHECK")</f>
        <v>PASS</v>
      </c>
    </row>
    <row r="2729" spans="1:20" x14ac:dyDescent="0.35">
      <c r="A2729" s="7">
        <v>2728</v>
      </c>
      <c r="B2729" s="9">
        <v>1042</v>
      </c>
      <c r="C2729" s="14" t="str">
        <f>IFERROR(_xlfn.TEXTJOIN("-", TRUE, _xlfn.XLOOKUP(K2729, product_category_id_lookup!$A$2:$A$5, product_category_id_lookup!$B$2:$B$5), B2729), "Unknown Category")</f>
        <v>fnt-1042</v>
      </c>
      <c r="D2729" s="8">
        <v>45487</v>
      </c>
      <c r="E2729" s="14">
        <f t="shared" si="126"/>
        <v>2024</v>
      </c>
      <c r="F2729" s="29" t="str">
        <f t="shared" si="127"/>
        <v>Jul</v>
      </c>
      <c r="G2729" s="17" t="s">
        <v>14</v>
      </c>
      <c r="H2729" s="17" t="s">
        <v>15</v>
      </c>
      <c r="I2729" s="24">
        <v>24319.1214</v>
      </c>
      <c r="J2729" s="32">
        <v>9</v>
      </c>
      <c r="K2729" s="17" t="s">
        <v>16</v>
      </c>
      <c r="L2729" s="24">
        <v>1025.32</v>
      </c>
      <c r="M2729" s="24">
        <v>2757.27</v>
      </c>
      <c r="N2729" s="34">
        <f>((sales_data_1[[#This Row],[Unit_Price]]*(1-sales_data_1[[#This Row],[Discount]]))-sales_data_1[[#This Row],[Unit_Cost]])*sales_data_1[[#This Row],[Quantity_Sold]]</f>
        <v>15091.241400000001</v>
      </c>
      <c r="O2729" s="17" t="s">
        <v>17</v>
      </c>
      <c r="P2729" s="26">
        <v>0.02</v>
      </c>
      <c r="Q2729" s="17" t="s">
        <v>18</v>
      </c>
      <c r="R2729" s="17" t="s">
        <v>21</v>
      </c>
      <c r="S2729" s="50" t="str">
        <f t="shared" si="128"/>
        <v>Bob-North</v>
      </c>
      <c r="T2729" s="59" t="str">
        <f>IF(ROUND(sales_data_1[[#This Row],[Profit_Margin]],2)=ROUND((sales_data_1[[#This Row],[Unit_Price]]*(1-sales_data_1[[#This Row],[Discount]]) - sales_data_1[[#This Row],[Unit_Cost]])*sales_data_1[[#This Row],[Quantity_Sold]],2), "PASS", "CHECK")</f>
        <v>PASS</v>
      </c>
    </row>
    <row r="2730" spans="1:20" x14ac:dyDescent="0.35">
      <c r="A2730" s="7">
        <v>2729</v>
      </c>
      <c r="B2730" s="9">
        <v>1096</v>
      </c>
      <c r="C2730" s="14" t="str">
        <f>IFERROR(_xlfn.TEXTJOIN("-", TRUE, _xlfn.XLOOKUP(K2730, product_category_id_lookup!$A$2:$A$5, product_category_id_lookup!$B$2:$B$5), B2730), "Unknown Category")</f>
        <v>etc-1096</v>
      </c>
      <c r="D2730" s="8">
        <v>45487</v>
      </c>
      <c r="E2730" s="14">
        <f t="shared" si="126"/>
        <v>2024</v>
      </c>
      <c r="F2730" s="29" t="str">
        <f t="shared" si="127"/>
        <v>Jul</v>
      </c>
      <c r="G2730" s="17" t="s">
        <v>22</v>
      </c>
      <c r="H2730" s="17" t="s">
        <v>30</v>
      </c>
      <c r="I2730" s="24">
        <v>119871.488</v>
      </c>
      <c r="J2730" s="32">
        <v>32</v>
      </c>
      <c r="K2730" s="17" t="s">
        <v>31</v>
      </c>
      <c r="L2730" s="24">
        <v>2910.86</v>
      </c>
      <c r="M2730" s="24">
        <v>4682.4799999999996</v>
      </c>
      <c r="N2730" s="34">
        <f>((sales_data_1[[#This Row],[Unit_Price]]*(1-sales_data_1[[#This Row],[Discount]]))-sales_data_1[[#This Row],[Unit_Cost]])*sales_data_1[[#This Row],[Quantity_Sold]]</f>
        <v>26723.967999999993</v>
      </c>
      <c r="O2730" s="17" t="s">
        <v>27</v>
      </c>
      <c r="P2730" s="26">
        <v>0.2</v>
      </c>
      <c r="Q2730" s="17" t="s">
        <v>18</v>
      </c>
      <c r="R2730" s="17" t="s">
        <v>21</v>
      </c>
      <c r="S2730" s="50" t="str">
        <f t="shared" si="128"/>
        <v>David-East</v>
      </c>
      <c r="T2730" s="59" t="str">
        <f>IF(ROUND(sales_data_1[[#This Row],[Profit_Margin]],2)=ROUND((sales_data_1[[#This Row],[Unit_Price]]*(1-sales_data_1[[#This Row],[Discount]]) - sales_data_1[[#This Row],[Unit_Cost]])*sales_data_1[[#This Row],[Quantity_Sold]],2), "PASS", "CHECK")</f>
        <v>PASS</v>
      </c>
    </row>
    <row r="2731" spans="1:20" x14ac:dyDescent="0.35">
      <c r="A2731" s="7">
        <v>2730</v>
      </c>
      <c r="B2731" s="9">
        <v>1050</v>
      </c>
      <c r="C2731" s="14" t="str">
        <f>IFERROR(_xlfn.TEXTJOIN("-", TRUE, _xlfn.XLOOKUP(K2731, product_category_id_lookup!$A$2:$A$5, product_category_id_lookup!$B$2:$B$5), B2731), "Unknown Category")</f>
        <v>ctg-1050</v>
      </c>
      <c r="D2731" s="8">
        <v>45487</v>
      </c>
      <c r="E2731" s="14">
        <f t="shared" si="126"/>
        <v>2024</v>
      </c>
      <c r="F2731" s="29" t="str">
        <f t="shared" si="127"/>
        <v>Jul</v>
      </c>
      <c r="G2731" s="17" t="s">
        <v>32</v>
      </c>
      <c r="H2731" s="17" t="s">
        <v>30</v>
      </c>
      <c r="I2731" s="24">
        <v>95712.974999999991</v>
      </c>
      <c r="J2731" s="32">
        <v>27</v>
      </c>
      <c r="K2731" s="17" t="s">
        <v>26</v>
      </c>
      <c r="L2731" s="24">
        <v>1865.02</v>
      </c>
      <c r="M2731" s="24">
        <v>3731.5</v>
      </c>
      <c r="N2731" s="34">
        <f>((sales_data_1[[#This Row],[Unit_Price]]*(1-sales_data_1[[#This Row],[Discount]]))-sales_data_1[[#This Row],[Unit_Cost]])*sales_data_1[[#This Row],[Quantity_Sold]]</f>
        <v>45357.43499999999</v>
      </c>
      <c r="O2731" s="17" t="s">
        <v>17</v>
      </c>
      <c r="P2731" s="26">
        <v>0.05</v>
      </c>
      <c r="Q2731" s="17" t="s">
        <v>25</v>
      </c>
      <c r="R2731" s="17" t="s">
        <v>19</v>
      </c>
      <c r="S2731" s="50" t="str">
        <f t="shared" si="128"/>
        <v>Eve-East</v>
      </c>
      <c r="T2731" s="59" t="str">
        <f>IF(ROUND(sales_data_1[[#This Row],[Profit_Margin]],2)=ROUND((sales_data_1[[#This Row],[Unit_Price]]*(1-sales_data_1[[#This Row],[Discount]]) - sales_data_1[[#This Row],[Unit_Cost]])*sales_data_1[[#This Row],[Quantity_Sold]],2), "PASS", "CHECK")</f>
        <v>PASS</v>
      </c>
    </row>
    <row r="2732" spans="1:20" x14ac:dyDescent="0.35">
      <c r="A2732" s="7">
        <v>2731</v>
      </c>
      <c r="B2732" s="9">
        <v>1056</v>
      </c>
      <c r="C2732" s="14" t="str">
        <f>IFERROR(_xlfn.TEXTJOIN("-", TRUE, _xlfn.XLOOKUP(K2732, product_category_id_lookup!$A$2:$A$5, product_category_id_lookup!$B$2:$B$5), B2732), "Unknown Category")</f>
        <v>fnt-1056</v>
      </c>
      <c r="D2732" s="8">
        <v>45488</v>
      </c>
      <c r="E2732" s="14">
        <f t="shared" si="126"/>
        <v>2024</v>
      </c>
      <c r="F2732" s="29" t="str">
        <f t="shared" si="127"/>
        <v>Jul</v>
      </c>
      <c r="G2732" s="17" t="s">
        <v>14</v>
      </c>
      <c r="H2732" s="17" t="s">
        <v>23</v>
      </c>
      <c r="I2732" s="24">
        <v>49919.083200000001</v>
      </c>
      <c r="J2732" s="32">
        <v>18</v>
      </c>
      <c r="K2732" s="17" t="s">
        <v>16</v>
      </c>
      <c r="L2732" s="24">
        <v>345.21</v>
      </c>
      <c r="M2732" s="24">
        <v>2829.88</v>
      </c>
      <c r="N2732" s="34">
        <f>((sales_data_1[[#This Row],[Unit_Price]]*(1-sales_data_1[[#This Row],[Discount]]))-sales_data_1[[#This Row],[Unit_Cost]])*sales_data_1[[#This Row],[Quantity_Sold]]</f>
        <v>43705.303200000002</v>
      </c>
      <c r="O2732" s="17" t="s">
        <v>17</v>
      </c>
      <c r="P2732" s="26">
        <v>0.02</v>
      </c>
      <c r="Q2732" s="17" t="s">
        <v>25</v>
      </c>
      <c r="R2732" s="17" t="s">
        <v>19</v>
      </c>
      <c r="S2732" s="50" t="str">
        <f t="shared" si="128"/>
        <v>Bob-South</v>
      </c>
      <c r="T2732" s="59" t="str">
        <f>IF(ROUND(sales_data_1[[#This Row],[Profit_Margin]],2)=ROUND((sales_data_1[[#This Row],[Unit_Price]]*(1-sales_data_1[[#This Row],[Discount]]) - sales_data_1[[#This Row],[Unit_Cost]])*sales_data_1[[#This Row],[Quantity_Sold]],2), "PASS", "CHECK")</f>
        <v>PASS</v>
      </c>
    </row>
    <row r="2733" spans="1:20" x14ac:dyDescent="0.35">
      <c r="A2733" s="7">
        <v>2732</v>
      </c>
      <c r="B2733" s="9">
        <v>1073</v>
      </c>
      <c r="C2733" s="14" t="str">
        <f>IFERROR(_xlfn.TEXTJOIN("-", TRUE, _xlfn.XLOOKUP(K2733, product_category_id_lookup!$A$2:$A$5, product_category_id_lookup!$B$2:$B$5), B2733), "Unknown Category")</f>
        <v>fd-1073</v>
      </c>
      <c r="D2733" s="8">
        <v>45488</v>
      </c>
      <c r="E2733" s="14">
        <f t="shared" si="126"/>
        <v>2024</v>
      </c>
      <c r="F2733" s="29" t="str">
        <f t="shared" si="127"/>
        <v>Jul</v>
      </c>
      <c r="G2733" s="17" t="s">
        <v>29</v>
      </c>
      <c r="H2733" s="17" t="s">
        <v>23</v>
      </c>
      <c r="I2733" s="24">
        <v>186383.83500000002</v>
      </c>
      <c r="J2733" s="32">
        <v>45</v>
      </c>
      <c r="K2733" s="17" t="s">
        <v>24</v>
      </c>
      <c r="L2733" s="24">
        <v>252.17</v>
      </c>
      <c r="M2733" s="24">
        <v>4602.07</v>
      </c>
      <c r="N2733" s="34">
        <f>((sales_data_1[[#This Row],[Unit_Price]]*(1-sales_data_1[[#This Row],[Discount]]))-sales_data_1[[#This Row],[Unit_Cost]])*sales_data_1[[#This Row],[Quantity_Sold]]</f>
        <v>175036.185</v>
      </c>
      <c r="O2733" s="17" t="s">
        <v>17</v>
      </c>
      <c r="P2733" s="26">
        <v>0.1</v>
      </c>
      <c r="Q2733" s="17" t="s">
        <v>18</v>
      </c>
      <c r="R2733" s="17" t="s">
        <v>19</v>
      </c>
      <c r="S2733" s="50" t="str">
        <f t="shared" si="128"/>
        <v>Charlie-South</v>
      </c>
      <c r="T2733" s="59" t="str">
        <f>IF(ROUND(sales_data_1[[#This Row],[Profit_Margin]],2)=ROUND((sales_data_1[[#This Row],[Unit_Price]]*(1-sales_data_1[[#This Row],[Discount]]) - sales_data_1[[#This Row],[Unit_Cost]])*sales_data_1[[#This Row],[Quantity_Sold]],2), "PASS", "CHECK")</f>
        <v>PASS</v>
      </c>
    </row>
    <row r="2734" spans="1:20" x14ac:dyDescent="0.35">
      <c r="A2734" s="7">
        <v>2733</v>
      </c>
      <c r="B2734" s="9">
        <v>1044</v>
      </c>
      <c r="C2734" s="14" t="str">
        <f>IFERROR(_xlfn.TEXTJOIN("-", TRUE, _xlfn.XLOOKUP(K2734, product_category_id_lookup!$A$2:$A$5, product_category_id_lookup!$B$2:$B$5), B2734), "Unknown Category")</f>
        <v>ctg-1044</v>
      </c>
      <c r="D2734" s="8">
        <v>45489</v>
      </c>
      <c r="E2734" s="14">
        <f t="shared" si="126"/>
        <v>2024</v>
      </c>
      <c r="F2734" s="29" t="str">
        <f t="shared" si="127"/>
        <v>Jul</v>
      </c>
      <c r="G2734" s="17" t="s">
        <v>22</v>
      </c>
      <c r="H2734" s="17" t="s">
        <v>20</v>
      </c>
      <c r="I2734" s="24">
        <v>3111.9680000000008</v>
      </c>
      <c r="J2734" s="32">
        <v>10</v>
      </c>
      <c r="K2734" s="17" t="s">
        <v>26</v>
      </c>
      <c r="L2734" s="24">
        <v>80.459999999999994</v>
      </c>
      <c r="M2734" s="24">
        <v>393.92</v>
      </c>
      <c r="N2734" s="34">
        <f>((sales_data_1[[#This Row],[Unit_Price]]*(1-sales_data_1[[#This Row],[Discount]]))-sales_data_1[[#This Row],[Unit_Cost]])*sales_data_1[[#This Row],[Quantity_Sold]]</f>
        <v>2307.3680000000008</v>
      </c>
      <c r="O2734" s="17" t="s">
        <v>27</v>
      </c>
      <c r="P2734" s="26">
        <v>0.21</v>
      </c>
      <c r="Q2734" s="17" t="s">
        <v>18</v>
      </c>
      <c r="R2734" s="17" t="s">
        <v>21</v>
      </c>
      <c r="S2734" s="50" t="str">
        <f t="shared" si="128"/>
        <v>David-West</v>
      </c>
      <c r="T2734" s="59" t="str">
        <f>IF(ROUND(sales_data_1[[#This Row],[Profit_Margin]],2)=ROUND((sales_data_1[[#This Row],[Unit_Price]]*(1-sales_data_1[[#This Row],[Discount]]) - sales_data_1[[#This Row],[Unit_Cost]])*sales_data_1[[#This Row],[Quantity_Sold]],2), "PASS", "CHECK")</f>
        <v>PASS</v>
      </c>
    </row>
    <row r="2735" spans="1:20" x14ac:dyDescent="0.35">
      <c r="A2735" s="7">
        <v>2734</v>
      </c>
      <c r="B2735" s="9">
        <v>1083</v>
      </c>
      <c r="C2735" s="14" t="str">
        <f>IFERROR(_xlfn.TEXTJOIN("-", TRUE, _xlfn.XLOOKUP(K2735, product_category_id_lookup!$A$2:$A$5, product_category_id_lookup!$B$2:$B$5), B2735), "Unknown Category")</f>
        <v>ctg-1083</v>
      </c>
      <c r="D2735" s="8">
        <v>45489</v>
      </c>
      <c r="E2735" s="14">
        <f t="shared" si="126"/>
        <v>2024</v>
      </c>
      <c r="F2735" s="29" t="str">
        <f t="shared" si="127"/>
        <v>Jul</v>
      </c>
      <c r="G2735" s="17" t="s">
        <v>22</v>
      </c>
      <c r="H2735" s="17" t="s">
        <v>30</v>
      </c>
      <c r="I2735" s="24">
        <v>72478.719413915998</v>
      </c>
      <c r="J2735" s="32">
        <v>16</v>
      </c>
      <c r="K2735" s="17" t="s">
        <v>26</v>
      </c>
      <c r="L2735" s="24">
        <v>3918.79</v>
      </c>
      <c r="M2735" s="24">
        <v>4715.92</v>
      </c>
      <c r="N2735" s="34">
        <f>((sales_data_1[[#This Row],[Unit_Price]]*(1-sales_data_1[[#This Row],[Discount]]))-sales_data_1[[#This Row],[Unit_Cost]])*sales_data_1[[#This Row],[Quantity_Sold]]</f>
        <v>9735.8911999999982</v>
      </c>
      <c r="O2735" s="17" t="s">
        <v>27</v>
      </c>
      <c r="P2735" s="26">
        <v>0.04</v>
      </c>
      <c r="Q2735" s="17" t="s">
        <v>18</v>
      </c>
      <c r="R2735" s="17" t="s">
        <v>19</v>
      </c>
      <c r="S2735" s="50" t="str">
        <f t="shared" si="128"/>
        <v>David-East</v>
      </c>
      <c r="T2735" s="59" t="str">
        <f>IF(ROUND(sales_data_1[[#This Row],[Profit_Margin]],2)=ROUND((sales_data_1[[#This Row],[Unit_Price]]*(1-sales_data_1[[#This Row],[Discount]]) - sales_data_1[[#This Row],[Unit_Cost]])*sales_data_1[[#This Row],[Quantity_Sold]],2), "PASS", "CHECK")</f>
        <v>PASS</v>
      </c>
    </row>
    <row r="2736" spans="1:20" x14ac:dyDescent="0.35">
      <c r="A2736" s="7">
        <v>2735</v>
      </c>
      <c r="B2736" s="9">
        <v>1036</v>
      </c>
      <c r="C2736" s="14" t="str">
        <f>IFERROR(_xlfn.TEXTJOIN("-", TRUE, _xlfn.XLOOKUP(K2736, product_category_id_lookup!$A$2:$A$5, product_category_id_lookup!$B$2:$B$5), B2736), "Unknown Category")</f>
        <v>ctg-1036</v>
      </c>
      <c r="D2736" s="8">
        <v>45489</v>
      </c>
      <c r="E2736" s="14">
        <f t="shared" si="126"/>
        <v>2024</v>
      </c>
      <c r="F2736" s="29" t="str">
        <f t="shared" si="127"/>
        <v>Jul</v>
      </c>
      <c r="G2736" s="17" t="s">
        <v>22</v>
      </c>
      <c r="H2736" s="17" t="s">
        <v>23</v>
      </c>
      <c r="I2736" s="24">
        <v>38796.565500000004</v>
      </c>
      <c r="J2736" s="32">
        <v>15</v>
      </c>
      <c r="K2736" s="17" t="s">
        <v>26</v>
      </c>
      <c r="L2736" s="24">
        <v>1306.6400000000001</v>
      </c>
      <c r="M2736" s="24">
        <v>3359.01</v>
      </c>
      <c r="N2736" s="34">
        <f>((sales_data_1[[#This Row],[Unit_Price]]*(1-sales_data_1[[#This Row],[Discount]]))-sales_data_1[[#This Row],[Unit_Cost]])*sales_data_1[[#This Row],[Quantity_Sold]]</f>
        <v>19196.965500000006</v>
      </c>
      <c r="O2736" s="17" t="s">
        <v>17</v>
      </c>
      <c r="P2736" s="26">
        <v>0.23</v>
      </c>
      <c r="Q2736" s="17" t="s">
        <v>25</v>
      </c>
      <c r="R2736" s="17" t="s">
        <v>19</v>
      </c>
      <c r="S2736" s="50" t="str">
        <f t="shared" si="128"/>
        <v>David-South</v>
      </c>
      <c r="T2736" s="59" t="str">
        <f>IF(ROUND(sales_data_1[[#This Row],[Profit_Margin]],2)=ROUND((sales_data_1[[#This Row],[Unit_Price]]*(1-sales_data_1[[#This Row],[Discount]]) - sales_data_1[[#This Row],[Unit_Cost]])*sales_data_1[[#This Row],[Quantity_Sold]],2), "PASS", "CHECK")</f>
        <v>PASS</v>
      </c>
    </row>
    <row r="2737" spans="1:20" x14ac:dyDescent="0.35">
      <c r="A2737" s="7">
        <v>2736</v>
      </c>
      <c r="B2737" s="9">
        <v>1065</v>
      </c>
      <c r="C2737" s="14" t="str">
        <f>IFERROR(_xlfn.TEXTJOIN("-", TRUE, _xlfn.XLOOKUP(K2737, product_category_id_lookup!$A$2:$A$5, product_category_id_lookup!$B$2:$B$5), B2737), "Unknown Category")</f>
        <v>etc-1065</v>
      </c>
      <c r="D2737" s="8">
        <v>45489</v>
      </c>
      <c r="E2737" s="14">
        <f t="shared" si="126"/>
        <v>2024</v>
      </c>
      <c r="F2737" s="29" t="str">
        <f t="shared" si="127"/>
        <v>Jul</v>
      </c>
      <c r="G2737" s="17" t="s">
        <v>14</v>
      </c>
      <c r="H2737" s="17" t="s">
        <v>23</v>
      </c>
      <c r="I2737" s="24">
        <v>25553.555999999997</v>
      </c>
      <c r="J2737" s="32">
        <v>7</v>
      </c>
      <c r="K2737" s="17" t="s">
        <v>31</v>
      </c>
      <c r="L2737" s="24">
        <v>126.21</v>
      </c>
      <c r="M2737" s="24">
        <v>3842.64</v>
      </c>
      <c r="N2737" s="34">
        <f>((sales_data_1[[#This Row],[Unit_Price]]*(1-sales_data_1[[#This Row],[Discount]]))-sales_data_1[[#This Row],[Unit_Cost]])*sales_data_1[[#This Row],[Quantity_Sold]]</f>
        <v>24670.085999999999</v>
      </c>
      <c r="O2737" s="17" t="s">
        <v>27</v>
      </c>
      <c r="P2737" s="26">
        <v>0.05</v>
      </c>
      <c r="Q2737" s="17" t="s">
        <v>28</v>
      </c>
      <c r="R2737" s="17" t="s">
        <v>21</v>
      </c>
      <c r="S2737" s="50" t="str">
        <f t="shared" si="128"/>
        <v>Bob-South</v>
      </c>
      <c r="T2737" s="59" t="str">
        <f>IF(ROUND(sales_data_1[[#This Row],[Profit_Margin]],2)=ROUND((sales_data_1[[#This Row],[Unit_Price]]*(1-sales_data_1[[#This Row],[Discount]]) - sales_data_1[[#This Row],[Unit_Cost]])*sales_data_1[[#This Row],[Quantity_Sold]],2), "PASS", "CHECK")</f>
        <v>PASS</v>
      </c>
    </row>
    <row r="2738" spans="1:20" x14ac:dyDescent="0.35">
      <c r="A2738" s="7">
        <v>2737</v>
      </c>
      <c r="B2738" s="9">
        <v>1081</v>
      </c>
      <c r="C2738" s="14" t="str">
        <f>IFERROR(_xlfn.TEXTJOIN("-", TRUE, _xlfn.XLOOKUP(K2738, product_category_id_lookup!$A$2:$A$5, product_category_id_lookup!$B$2:$B$5), B2738), "Unknown Category")</f>
        <v>fd-1081</v>
      </c>
      <c r="D2738" s="8">
        <v>45490</v>
      </c>
      <c r="E2738" s="14">
        <f t="shared" si="126"/>
        <v>2024</v>
      </c>
      <c r="F2738" s="29" t="str">
        <f t="shared" si="127"/>
        <v>Jul</v>
      </c>
      <c r="G2738" s="17" t="s">
        <v>32</v>
      </c>
      <c r="H2738" s="17" t="s">
        <v>20</v>
      </c>
      <c r="I2738" s="24">
        <v>1763.8235999999999</v>
      </c>
      <c r="J2738" s="32">
        <v>1</v>
      </c>
      <c r="K2738" s="17" t="s">
        <v>24</v>
      </c>
      <c r="L2738" s="24">
        <v>557.78</v>
      </c>
      <c r="M2738" s="24">
        <v>2099.79</v>
      </c>
      <c r="N2738" s="34">
        <f>((sales_data_1[[#This Row],[Unit_Price]]*(1-sales_data_1[[#This Row],[Discount]]))-sales_data_1[[#This Row],[Unit_Cost]])*sales_data_1[[#This Row],[Quantity_Sold]]</f>
        <v>1206.0436</v>
      </c>
      <c r="O2738" s="17" t="s">
        <v>17</v>
      </c>
      <c r="P2738" s="26">
        <v>0.16</v>
      </c>
      <c r="Q2738" s="17" t="s">
        <v>25</v>
      </c>
      <c r="R2738" s="17" t="s">
        <v>19</v>
      </c>
      <c r="S2738" s="50" t="str">
        <f t="shared" si="128"/>
        <v>Eve-West</v>
      </c>
      <c r="T2738" s="59" t="str">
        <f>IF(ROUND(sales_data_1[[#This Row],[Profit_Margin]],2)=ROUND((sales_data_1[[#This Row],[Unit_Price]]*(1-sales_data_1[[#This Row],[Discount]]) - sales_data_1[[#This Row],[Unit_Cost]])*sales_data_1[[#This Row],[Quantity_Sold]],2), "PASS", "CHECK")</f>
        <v>PASS</v>
      </c>
    </row>
    <row r="2739" spans="1:20" x14ac:dyDescent="0.35">
      <c r="A2739" s="7">
        <v>2738</v>
      </c>
      <c r="B2739" s="9">
        <v>1051</v>
      </c>
      <c r="C2739" s="14" t="str">
        <f>IFERROR(_xlfn.TEXTJOIN("-", TRUE, _xlfn.XLOOKUP(K2739, product_category_id_lookup!$A$2:$A$5, product_category_id_lookup!$B$2:$B$5), B2739), "Unknown Category")</f>
        <v>fnt-1051</v>
      </c>
      <c r="D2739" s="8">
        <v>45490</v>
      </c>
      <c r="E2739" s="14">
        <f t="shared" si="126"/>
        <v>2024</v>
      </c>
      <c r="F2739" s="29" t="str">
        <f t="shared" si="127"/>
        <v>Jul</v>
      </c>
      <c r="G2739" s="17" t="s">
        <v>29</v>
      </c>
      <c r="H2739" s="17" t="s">
        <v>30</v>
      </c>
      <c r="I2739" s="24">
        <v>67029.799200000009</v>
      </c>
      <c r="J2739" s="32">
        <v>24</v>
      </c>
      <c r="K2739" s="17" t="s">
        <v>16</v>
      </c>
      <c r="L2739" s="24">
        <v>1656.57</v>
      </c>
      <c r="M2739" s="24">
        <v>3069.13</v>
      </c>
      <c r="N2739" s="34">
        <f>((sales_data_1[[#This Row],[Unit_Price]]*(1-sales_data_1[[#This Row],[Discount]]))-sales_data_1[[#This Row],[Unit_Cost]])*sales_data_1[[#This Row],[Quantity_Sold]]</f>
        <v>27272.119200000001</v>
      </c>
      <c r="O2739" s="17" t="s">
        <v>27</v>
      </c>
      <c r="P2739" s="26">
        <v>0.09</v>
      </c>
      <c r="Q2739" s="17" t="s">
        <v>25</v>
      </c>
      <c r="R2739" s="17" t="s">
        <v>19</v>
      </c>
      <c r="S2739" s="50" t="str">
        <f t="shared" si="128"/>
        <v>Charlie-East</v>
      </c>
      <c r="T2739" s="59" t="str">
        <f>IF(ROUND(sales_data_1[[#This Row],[Profit_Margin]],2)=ROUND((sales_data_1[[#This Row],[Unit_Price]]*(1-sales_data_1[[#This Row],[Discount]]) - sales_data_1[[#This Row],[Unit_Cost]])*sales_data_1[[#This Row],[Quantity_Sold]],2), "PASS", "CHECK")</f>
        <v>PASS</v>
      </c>
    </row>
    <row r="2740" spans="1:20" x14ac:dyDescent="0.35">
      <c r="A2740" s="7">
        <v>2739</v>
      </c>
      <c r="B2740" s="9">
        <v>1069</v>
      </c>
      <c r="C2740" s="14" t="str">
        <f>IFERROR(_xlfn.TEXTJOIN("-", TRUE, _xlfn.XLOOKUP(K2740, product_category_id_lookup!$A$2:$A$5, product_category_id_lookup!$B$2:$B$5), B2740), "Unknown Category")</f>
        <v>fd-1069</v>
      </c>
      <c r="D2740" s="8">
        <v>45490</v>
      </c>
      <c r="E2740" s="14">
        <f t="shared" si="126"/>
        <v>2024</v>
      </c>
      <c r="F2740" s="29" t="str">
        <f t="shared" si="127"/>
        <v>Jul</v>
      </c>
      <c r="G2740" s="17" t="s">
        <v>33</v>
      </c>
      <c r="H2740" s="17" t="s">
        <v>15</v>
      </c>
      <c r="I2740" s="24">
        <v>167588.49239999999</v>
      </c>
      <c r="J2740" s="32">
        <v>43</v>
      </c>
      <c r="K2740" s="17" t="s">
        <v>24</v>
      </c>
      <c r="L2740" s="24">
        <v>546.75</v>
      </c>
      <c r="M2740" s="24">
        <v>4190.76</v>
      </c>
      <c r="N2740" s="34">
        <f>((sales_data_1[[#This Row],[Unit_Price]]*(1-sales_data_1[[#This Row],[Discount]]))-sales_data_1[[#This Row],[Unit_Cost]])*sales_data_1[[#This Row],[Quantity_Sold]]</f>
        <v>144078.24239999999</v>
      </c>
      <c r="O2740" s="17" t="s">
        <v>27</v>
      </c>
      <c r="P2740" s="26">
        <v>7.0000000000000007E-2</v>
      </c>
      <c r="Q2740" s="17" t="s">
        <v>18</v>
      </c>
      <c r="R2740" s="17" t="s">
        <v>21</v>
      </c>
      <c r="S2740" s="50" t="str">
        <f t="shared" si="128"/>
        <v>Alice-North</v>
      </c>
      <c r="T2740" s="59" t="str">
        <f>IF(ROUND(sales_data_1[[#This Row],[Profit_Margin]],2)=ROUND((sales_data_1[[#This Row],[Unit_Price]]*(1-sales_data_1[[#This Row],[Discount]]) - sales_data_1[[#This Row],[Unit_Cost]])*sales_data_1[[#This Row],[Quantity_Sold]],2), "PASS", "CHECK")</f>
        <v>PASS</v>
      </c>
    </row>
    <row r="2741" spans="1:20" x14ac:dyDescent="0.35">
      <c r="A2741" s="7">
        <v>2740</v>
      </c>
      <c r="B2741" s="9">
        <v>1052</v>
      </c>
      <c r="C2741" s="14" t="str">
        <f>IFERROR(_xlfn.TEXTJOIN("-", TRUE, _xlfn.XLOOKUP(K2741, product_category_id_lookup!$A$2:$A$5, product_category_id_lookup!$B$2:$B$5), B2741), "Unknown Category")</f>
        <v>etc-1052</v>
      </c>
      <c r="D2741" s="8">
        <v>45491</v>
      </c>
      <c r="E2741" s="14">
        <f t="shared" si="126"/>
        <v>2024</v>
      </c>
      <c r="F2741" s="29" t="str">
        <f t="shared" si="127"/>
        <v>Jul</v>
      </c>
      <c r="G2741" s="17" t="s">
        <v>29</v>
      </c>
      <c r="H2741" s="17" t="s">
        <v>30</v>
      </c>
      <c r="I2741" s="24">
        <v>18696.164999999997</v>
      </c>
      <c r="J2741" s="32">
        <v>6</v>
      </c>
      <c r="K2741" s="17" t="s">
        <v>31</v>
      </c>
      <c r="L2741" s="24">
        <v>1990.47</v>
      </c>
      <c r="M2741" s="24">
        <v>3754.25</v>
      </c>
      <c r="N2741" s="34">
        <f>((sales_data_1[[#This Row],[Unit_Price]]*(1-sales_data_1[[#This Row],[Discount]]))-sales_data_1[[#This Row],[Unit_Cost]])*sales_data_1[[#This Row],[Quantity_Sold]]</f>
        <v>6753.3449999999975</v>
      </c>
      <c r="O2741" s="17" t="s">
        <v>17</v>
      </c>
      <c r="P2741" s="26">
        <v>0.17</v>
      </c>
      <c r="Q2741" s="17" t="s">
        <v>25</v>
      </c>
      <c r="R2741" s="17" t="s">
        <v>19</v>
      </c>
      <c r="S2741" s="50" t="str">
        <f t="shared" si="128"/>
        <v>Charlie-East</v>
      </c>
      <c r="T2741" s="59" t="str">
        <f>IF(ROUND(sales_data_1[[#This Row],[Profit_Margin]],2)=ROUND((sales_data_1[[#This Row],[Unit_Price]]*(1-sales_data_1[[#This Row],[Discount]]) - sales_data_1[[#This Row],[Unit_Cost]])*sales_data_1[[#This Row],[Quantity_Sold]],2), "PASS", "CHECK")</f>
        <v>PASS</v>
      </c>
    </row>
    <row r="2742" spans="1:20" x14ac:dyDescent="0.35">
      <c r="A2742" s="7">
        <v>2741</v>
      </c>
      <c r="B2742" s="9">
        <v>1008</v>
      </c>
      <c r="C2742" s="14" t="str">
        <f>IFERROR(_xlfn.TEXTJOIN("-", TRUE, _xlfn.XLOOKUP(K2742, product_category_id_lookup!$A$2:$A$5, product_category_id_lookup!$B$2:$B$5), B2742), "Unknown Category")</f>
        <v>fd-1008</v>
      </c>
      <c r="D2742" s="8">
        <v>45491</v>
      </c>
      <c r="E2742" s="14">
        <f t="shared" si="126"/>
        <v>2024</v>
      </c>
      <c r="F2742" s="29" t="str">
        <f t="shared" si="127"/>
        <v>Jul</v>
      </c>
      <c r="G2742" s="17" t="s">
        <v>32</v>
      </c>
      <c r="H2742" s="17" t="s">
        <v>15</v>
      </c>
      <c r="I2742" s="24">
        <v>127835.73</v>
      </c>
      <c r="J2742" s="32">
        <v>33</v>
      </c>
      <c r="K2742" s="17" t="s">
        <v>24</v>
      </c>
      <c r="L2742" s="24">
        <v>311.56</v>
      </c>
      <c r="M2742" s="24">
        <v>3873.81</v>
      </c>
      <c r="N2742" s="34">
        <f>((sales_data_1[[#This Row],[Unit_Price]]*(1-sales_data_1[[#This Row],[Discount]]))-sales_data_1[[#This Row],[Unit_Cost]])*sales_data_1[[#This Row],[Quantity_Sold]]</f>
        <v>117554.25</v>
      </c>
      <c r="O2742" s="17" t="s">
        <v>27</v>
      </c>
      <c r="P2742" s="26">
        <v>0</v>
      </c>
      <c r="Q2742" s="17" t="s">
        <v>18</v>
      </c>
      <c r="R2742" s="17" t="s">
        <v>21</v>
      </c>
      <c r="S2742" s="50" t="str">
        <f t="shared" si="128"/>
        <v>Eve-North</v>
      </c>
      <c r="T2742" s="59" t="str">
        <f>IF(ROUND(sales_data_1[[#This Row],[Profit_Margin]],2)=ROUND((sales_data_1[[#This Row],[Unit_Price]]*(1-sales_data_1[[#This Row],[Discount]]) - sales_data_1[[#This Row],[Unit_Cost]])*sales_data_1[[#This Row],[Quantity_Sold]],2), "PASS", "CHECK")</f>
        <v>PASS</v>
      </c>
    </row>
    <row r="2743" spans="1:20" x14ac:dyDescent="0.35">
      <c r="A2743" s="7">
        <v>2742</v>
      </c>
      <c r="B2743" s="9">
        <v>1020</v>
      </c>
      <c r="C2743" s="14" t="str">
        <f>IFERROR(_xlfn.TEXTJOIN("-", TRUE, _xlfn.XLOOKUP(K2743, product_category_id_lookup!$A$2:$A$5, product_category_id_lookup!$B$2:$B$5), B2743), "Unknown Category")</f>
        <v>etc-1020</v>
      </c>
      <c r="D2743" s="8">
        <v>45492</v>
      </c>
      <c r="E2743" s="14">
        <f t="shared" si="126"/>
        <v>2024</v>
      </c>
      <c r="F2743" s="29" t="str">
        <f t="shared" si="127"/>
        <v>Jul</v>
      </c>
      <c r="G2743" s="17" t="s">
        <v>14</v>
      </c>
      <c r="H2743" s="17" t="s">
        <v>15</v>
      </c>
      <c r="I2743" s="24">
        <v>68158.728000000003</v>
      </c>
      <c r="J2743" s="32">
        <v>30</v>
      </c>
      <c r="K2743" s="17" t="s">
        <v>31</v>
      </c>
      <c r="L2743" s="24">
        <v>2186.2600000000002</v>
      </c>
      <c r="M2743" s="24">
        <v>2770.68</v>
      </c>
      <c r="N2743" s="34">
        <f>((sales_data_1[[#This Row],[Unit_Price]]*(1-sales_data_1[[#This Row],[Discount]]))-sales_data_1[[#This Row],[Unit_Cost]])*sales_data_1[[#This Row],[Quantity_Sold]]</f>
        <v>2570.927999999999</v>
      </c>
      <c r="O2743" s="17" t="s">
        <v>17</v>
      </c>
      <c r="P2743" s="26">
        <v>0.18</v>
      </c>
      <c r="Q2743" s="17" t="s">
        <v>18</v>
      </c>
      <c r="R2743" s="17" t="s">
        <v>21</v>
      </c>
      <c r="S2743" s="50" t="str">
        <f t="shared" si="128"/>
        <v>Bob-North</v>
      </c>
      <c r="T2743" s="59" t="str">
        <f>IF(ROUND(sales_data_1[[#This Row],[Profit_Margin]],2)=ROUND((sales_data_1[[#This Row],[Unit_Price]]*(1-sales_data_1[[#This Row],[Discount]]) - sales_data_1[[#This Row],[Unit_Cost]])*sales_data_1[[#This Row],[Quantity_Sold]],2), "PASS", "CHECK")</f>
        <v>PASS</v>
      </c>
    </row>
    <row r="2744" spans="1:20" x14ac:dyDescent="0.35">
      <c r="A2744" s="7">
        <v>2743</v>
      </c>
      <c r="B2744" s="9">
        <v>1064</v>
      </c>
      <c r="C2744" s="14" t="str">
        <f>IFERROR(_xlfn.TEXTJOIN("-", TRUE, _xlfn.XLOOKUP(K2744, product_category_id_lookup!$A$2:$A$5, product_category_id_lookup!$B$2:$B$5), B2744), "Unknown Category")</f>
        <v>fd-1064</v>
      </c>
      <c r="D2744" s="8">
        <v>45492</v>
      </c>
      <c r="E2744" s="14">
        <f t="shared" si="126"/>
        <v>2024</v>
      </c>
      <c r="F2744" s="29" t="str">
        <f t="shared" si="127"/>
        <v>Jul</v>
      </c>
      <c r="G2744" s="17" t="s">
        <v>33</v>
      </c>
      <c r="H2744" s="17" t="s">
        <v>20</v>
      </c>
      <c r="I2744" s="24">
        <v>90339.477810629192</v>
      </c>
      <c r="J2744" s="32">
        <v>18</v>
      </c>
      <c r="K2744" s="17" t="s">
        <v>24</v>
      </c>
      <c r="L2744" s="24">
        <v>4174.09</v>
      </c>
      <c r="M2744" s="24">
        <v>5046.1099999999997</v>
      </c>
      <c r="N2744" s="34">
        <f>((sales_data_1[[#This Row],[Unit_Price]]*(1-sales_data_1[[#This Row],[Discount]]))-sales_data_1[[#This Row],[Unit_Cost]])*sales_data_1[[#This Row],[Quantity_Sold]]</f>
        <v>14788.060199999984</v>
      </c>
      <c r="O2744" s="17" t="s">
        <v>17</v>
      </c>
      <c r="P2744" s="26">
        <v>0.01</v>
      </c>
      <c r="Q2744" s="17" t="s">
        <v>28</v>
      </c>
      <c r="R2744" s="17" t="s">
        <v>19</v>
      </c>
      <c r="S2744" s="50" t="str">
        <f t="shared" si="128"/>
        <v>Alice-West</v>
      </c>
      <c r="T2744" s="59" t="str">
        <f>IF(ROUND(sales_data_1[[#This Row],[Profit_Margin]],2)=ROUND((sales_data_1[[#This Row],[Unit_Price]]*(1-sales_data_1[[#This Row],[Discount]]) - sales_data_1[[#This Row],[Unit_Cost]])*sales_data_1[[#This Row],[Quantity_Sold]],2), "PASS", "CHECK")</f>
        <v>PASS</v>
      </c>
    </row>
    <row r="2745" spans="1:20" x14ac:dyDescent="0.35">
      <c r="A2745" s="7">
        <v>2744</v>
      </c>
      <c r="B2745" s="9">
        <v>1074</v>
      </c>
      <c r="C2745" s="14" t="str">
        <f>IFERROR(_xlfn.TEXTJOIN("-", TRUE, _xlfn.XLOOKUP(K2745, product_category_id_lookup!$A$2:$A$5, product_category_id_lookup!$B$2:$B$5), B2745), "Unknown Category")</f>
        <v>ctg-1074</v>
      </c>
      <c r="D2745" s="8">
        <v>45492</v>
      </c>
      <c r="E2745" s="14">
        <f t="shared" si="126"/>
        <v>2024</v>
      </c>
      <c r="F2745" s="29" t="str">
        <f t="shared" si="127"/>
        <v>Jul</v>
      </c>
      <c r="G2745" s="17" t="s">
        <v>22</v>
      </c>
      <c r="H2745" s="17" t="s">
        <v>15</v>
      </c>
      <c r="I2745" s="24">
        <v>87110.135999999984</v>
      </c>
      <c r="J2745" s="32">
        <v>36</v>
      </c>
      <c r="K2745" s="17" t="s">
        <v>26</v>
      </c>
      <c r="L2745" s="24">
        <v>500.59</v>
      </c>
      <c r="M2745" s="24">
        <v>2547.08</v>
      </c>
      <c r="N2745" s="34">
        <f>((sales_data_1[[#This Row],[Unit_Price]]*(1-sales_data_1[[#This Row],[Discount]]))-sales_data_1[[#This Row],[Unit_Cost]])*sales_data_1[[#This Row],[Quantity_Sold]]</f>
        <v>69088.895999999993</v>
      </c>
      <c r="O2745" s="17" t="s">
        <v>17</v>
      </c>
      <c r="P2745" s="26">
        <v>0.05</v>
      </c>
      <c r="Q2745" s="17" t="s">
        <v>18</v>
      </c>
      <c r="R2745" s="17" t="s">
        <v>19</v>
      </c>
      <c r="S2745" s="50" t="str">
        <f t="shared" si="128"/>
        <v>David-North</v>
      </c>
      <c r="T2745" s="59" t="str">
        <f>IF(ROUND(sales_data_1[[#This Row],[Profit_Margin]],2)=ROUND((sales_data_1[[#This Row],[Unit_Price]]*(1-sales_data_1[[#This Row],[Discount]]) - sales_data_1[[#This Row],[Unit_Cost]])*sales_data_1[[#This Row],[Quantity_Sold]],2), "PASS", "CHECK")</f>
        <v>PASS</v>
      </c>
    </row>
    <row r="2746" spans="1:20" x14ac:dyDescent="0.35">
      <c r="A2746" s="7">
        <v>2745</v>
      </c>
      <c r="B2746" s="9">
        <v>1046</v>
      </c>
      <c r="C2746" s="14" t="str">
        <f>IFERROR(_xlfn.TEXTJOIN("-", TRUE, _xlfn.XLOOKUP(K2746, product_category_id_lookup!$A$2:$A$5, product_category_id_lookup!$B$2:$B$5), B2746), "Unknown Category")</f>
        <v>etc-1046</v>
      </c>
      <c r="D2746" s="8">
        <v>45493</v>
      </c>
      <c r="E2746" s="14">
        <f t="shared" si="126"/>
        <v>2024</v>
      </c>
      <c r="F2746" s="29" t="str">
        <f t="shared" si="127"/>
        <v>Jul</v>
      </c>
      <c r="G2746" s="17" t="s">
        <v>32</v>
      </c>
      <c r="H2746" s="17" t="s">
        <v>15</v>
      </c>
      <c r="I2746" s="24">
        <v>91153.272564229206</v>
      </c>
      <c r="J2746" s="32">
        <v>25</v>
      </c>
      <c r="K2746" s="17" t="s">
        <v>31</v>
      </c>
      <c r="L2746" s="24">
        <v>3537.94</v>
      </c>
      <c r="M2746" s="24">
        <v>3674.38</v>
      </c>
      <c r="N2746" s="34">
        <f>((sales_data_1[[#This Row],[Unit_Price]]*(1-sales_data_1[[#This Row],[Discount]]))-sales_data_1[[#This Row],[Unit_Cost]])*sales_data_1[[#This Row],[Quantity_Sold]]</f>
        <v>2492.4049999999966</v>
      </c>
      <c r="O2746" s="17" t="s">
        <v>27</v>
      </c>
      <c r="P2746" s="26">
        <v>0.01</v>
      </c>
      <c r="Q2746" s="17" t="s">
        <v>25</v>
      </c>
      <c r="R2746" s="17" t="s">
        <v>19</v>
      </c>
      <c r="S2746" s="50" t="str">
        <f t="shared" si="128"/>
        <v>Eve-North</v>
      </c>
      <c r="T2746" s="59" t="str">
        <f>IF(ROUND(sales_data_1[[#This Row],[Profit_Margin]],2)=ROUND((sales_data_1[[#This Row],[Unit_Price]]*(1-sales_data_1[[#This Row],[Discount]]) - sales_data_1[[#This Row],[Unit_Cost]])*sales_data_1[[#This Row],[Quantity_Sold]],2), "PASS", "CHECK")</f>
        <v>PASS</v>
      </c>
    </row>
    <row r="2747" spans="1:20" x14ac:dyDescent="0.35">
      <c r="A2747" s="7">
        <v>2746</v>
      </c>
      <c r="B2747" s="9">
        <v>1026</v>
      </c>
      <c r="C2747" s="14" t="str">
        <f>IFERROR(_xlfn.TEXTJOIN("-", TRUE, _xlfn.XLOOKUP(K2747, product_category_id_lookup!$A$2:$A$5, product_category_id_lookup!$B$2:$B$5), B2747), "Unknown Category")</f>
        <v>fnt-1026</v>
      </c>
      <c r="D2747" s="8">
        <v>45493</v>
      </c>
      <c r="E2747" s="14">
        <f t="shared" si="126"/>
        <v>2024</v>
      </c>
      <c r="F2747" s="29" t="str">
        <f t="shared" si="127"/>
        <v>Jul</v>
      </c>
      <c r="G2747" s="17" t="s">
        <v>14</v>
      </c>
      <c r="H2747" s="17" t="s">
        <v>15</v>
      </c>
      <c r="I2747" s="24">
        <v>115149.32</v>
      </c>
      <c r="J2747" s="32">
        <v>40</v>
      </c>
      <c r="K2747" s="17" t="s">
        <v>16</v>
      </c>
      <c r="L2747" s="24">
        <v>2175.9499999999998</v>
      </c>
      <c r="M2747" s="24">
        <v>3510.65</v>
      </c>
      <c r="N2747" s="34">
        <f>((sales_data_1[[#This Row],[Unit_Price]]*(1-sales_data_1[[#This Row],[Discount]]))-sales_data_1[[#This Row],[Unit_Cost]])*sales_data_1[[#This Row],[Quantity_Sold]]</f>
        <v>28111.320000000014</v>
      </c>
      <c r="O2747" s="17" t="s">
        <v>17</v>
      </c>
      <c r="P2747" s="26">
        <v>0.18</v>
      </c>
      <c r="Q2747" s="17" t="s">
        <v>28</v>
      </c>
      <c r="R2747" s="17" t="s">
        <v>19</v>
      </c>
      <c r="S2747" s="50" t="str">
        <f t="shared" si="128"/>
        <v>Bob-North</v>
      </c>
      <c r="T2747" s="59" t="str">
        <f>IF(ROUND(sales_data_1[[#This Row],[Profit_Margin]],2)=ROUND((sales_data_1[[#This Row],[Unit_Price]]*(1-sales_data_1[[#This Row],[Discount]]) - sales_data_1[[#This Row],[Unit_Cost]])*sales_data_1[[#This Row],[Quantity_Sold]],2), "PASS", "CHECK")</f>
        <v>PASS</v>
      </c>
    </row>
    <row r="2748" spans="1:20" x14ac:dyDescent="0.35">
      <c r="A2748" s="7">
        <v>2747</v>
      </c>
      <c r="B2748" s="9">
        <v>1093</v>
      </c>
      <c r="C2748" s="14" t="str">
        <f>IFERROR(_xlfn.TEXTJOIN("-", TRUE, _xlfn.XLOOKUP(K2748, product_category_id_lookup!$A$2:$A$5, product_category_id_lookup!$B$2:$B$5), B2748), "Unknown Category")</f>
        <v>ctg-1093</v>
      </c>
      <c r="D2748" s="8">
        <v>45493</v>
      </c>
      <c r="E2748" s="14">
        <f t="shared" si="126"/>
        <v>2024</v>
      </c>
      <c r="F2748" s="29" t="str">
        <f t="shared" si="127"/>
        <v>Jul</v>
      </c>
      <c r="G2748" s="17" t="s">
        <v>32</v>
      </c>
      <c r="H2748" s="17" t="s">
        <v>20</v>
      </c>
      <c r="I2748" s="24">
        <v>138301.96770000001</v>
      </c>
      <c r="J2748" s="32">
        <v>39</v>
      </c>
      <c r="K2748" s="17" t="s">
        <v>26</v>
      </c>
      <c r="L2748" s="24">
        <v>2481.37</v>
      </c>
      <c r="M2748" s="24">
        <v>4378.03</v>
      </c>
      <c r="N2748" s="34">
        <f>((sales_data_1[[#This Row],[Unit_Price]]*(1-sales_data_1[[#This Row],[Discount]]))-sales_data_1[[#This Row],[Unit_Cost]])*sales_data_1[[#This Row],[Quantity_Sold]]</f>
        <v>41528.537700000001</v>
      </c>
      <c r="O2748" s="17" t="s">
        <v>27</v>
      </c>
      <c r="P2748" s="26">
        <v>0.19</v>
      </c>
      <c r="Q2748" s="17" t="s">
        <v>25</v>
      </c>
      <c r="R2748" s="17" t="s">
        <v>21</v>
      </c>
      <c r="S2748" s="50" t="str">
        <f t="shared" si="128"/>
        <v>Eve-West</v>
      </c>
      <c r="T2748" s="59" t="str">
        <f>IF(ROUND(sales_data_1[[#This Row],[Profit_Margin]],2)=ROUND((sales_data_1[[#This Row],[Unit_Price]]*(1-sales_data_1[[#This Row],[Discount]]) - sales_data_1[[#This Row],[Unit_Cost]])*sales_data_1[[#This Row],[Quantity_Sold]],2), "PASS", "CHECK")</f>
        <v>PASS</v>
      </c>
    </row>
    <row r="2749" spans="1:20" x14ac:dyDescent="0.35">
      <c r="A2749" s="7">
        <v>2748</v>
      </c>
      <c r="B2749" s="9">
        <v>1095</v>
      </c>
      <c r="C2749" s="14" t="str">
        <f>IFERROR(_xlfn.TEXTJOIN("-", TRUE, _xlfn.XLOOKUP(K2749, product_category_id_lookup!$A$2:$A$5, product_category_id_lookup!$B$2:$B$5), B2749), "Unknown Category")</f>
        <v>etc-1095</v>
      </c>
      <c r="D2749" s="8">
        <v>45493</v>
      </c>
      <c r="E2749" s="14">
        <f t="shared" si="126"/>
        <v>2024</v>
      </c>
      <c r="F2749" s="29" t="str">
        <f t="shared" si="127"/>
        <v>Jul</v>
      </c>
      <c r="G2749" s="17" t="s">
        <v>32</v>
      </c>
      <c r="H2749" s="17" t="s">
        <v>20</v>
      </c>
      <c r="I2749" s="24">
        <v>95678.436000000002</v>
      </c>
      <c r="J2749" s="32">
        <v>35</v>
      </c>
      <c r="K2749" s="17" t="s">
        <v>31</v>
      </c>
      <c r="L2749" s="24">
        <v>1122.27</v>
      </c>
      <c r="M2749" s="24">
        <v>2971.38</v>
      </c>
      <c r="N2749" s="34">
        <f>((sales_data_1[[#This Row],[Unit_Price]]*(1-sales_data_1[[#This Row],[Discount]]))-sales_data_1[[#This Row],[Unit_Cost]])*sales_data_1[[#This Row],[Quantity_Sold]]</f>
        <v>56398.986000000004</v>
      </c>
      <c r="O2749" s="17" t="s">
        <v>17</v>
      </c>
      <c r="P2749" s="26">
        <v>0.08</v>
      </c>
      <c r="Q2749" s="17" t="s">
        <v>25</v>
      </c>
      <c r="R2749" s="17" t="s">
        <v>21</v>
      </c>
      <c r="S2749" s="50" t="str">
        <f t="shared" si="128"/>
        <v>Eve-West</v>
      </c>
      <c r="T2749" s="59" t="str">
        <f>IF(ROUND(sales_data_1[[#This Row],[Profit_Margin]],2)=ROUND((sales_data_1[[#This Row],[Unit_Price]]*(1-sales_data_1[[#This Row],[Discount]]) - sales_data_1[[#This Row],[Unit_Cost]])*sales_data_1[[#This Row],[Quantity_Sold]],2), "PASS", "CHECK")</f>
        <v>PASS</v>
      </c>
    </row>
    <row r="2750" spans="1:20" x14ac:dyDescent="0.35">
      <c r="A2750" s="7">
        <v>2749</v>
      </c>
      <c r="B2750" s="9">
        <v>1057</v>
      </c>
      <c r="C2750" s="14" t="str">
        <f>IFERROR(_xlfn.TEXTJOIN("-", TRUE, _xlfn.XLOOKUP(K2750, product_category_id_lookup!$A$2:$A$5, product_category_id_lookup!$B$2:$B$5), B2750), "Unknown Category")</f>
        <v>fnt-1057</v>
      </c>
      <c r="D2750" s="8">
        <v>45494</v>
      </c>
      <c r="E2750" s="14">
        <f t="shared" si="126"/>
        <v>2024</v>
      </c>
      <c r="F2750" s="29" t="str">
        <f t="shared" si="127"/>
        <v>Jul</v>
      </c>
      <c r="G2750" s="17" t="s">
        <v>33</v>
      </c>
      <c r="H2750" s="17" t="s">
        <v>20</v>
      </c>
      <c r="I2750" s="24">
        <v>189521.7519</v>
      </c>
      <c r="J2750" s="32">
        <v>47</v>
      </c>
      <c r="K2750" s="17" t="s">
        <v>16</v>
      </c>
      <c r="L2750" s="24">
        <v>1402.65</v>
      </c>
      <c r="M2750" s="24">
        <v>4335.8900000000003</v>
      </c>
      <c r="N2750" s="34">
        <f>((sales_data_1[[#This Row],[Unit_Price]]*(1-sales_data_1[[#This Row],[Discount]]))-sales_data_1[[#This Row],[Unit_Cost]])*sales_data_1[[#This Row],[Quantity_Sold]]</f>
        <v>123597.2019</v>
      </c>
      <c r="O2750" s="17" t="s">
        <v>17</v>
      </c>
      <c r="P2750" s="26">
        <v>7.0000000000000007E-2</v>
      </c>
      <c r="Q2750" s="17" t="s">
        <v>28</v>
      </c>
      <c r="R2750" s="17" t="s">
        <v>19</v>
      </c>
      <c r="S2750" s="50" t="str">
        <f t="shared" si="128"/>
        <v>Alice-West</v>
      </c>
      <c r="T2750" s="59" t="str">
        <f>IF(ROUND(sales_data_1[[#This Row],[Profit_Margin]],2)=ROUND((sales_data_1[[#This Row],[Unit_Price]]*(1-sales_data_1[[#This Row],[Discount]]) - sales_data_1[[#This Row],[Unit_Cost]])*sales_data_1[[#This Row],[Quantity_Sold]],2), "PASS", "CHECK")</f>
        <v>PASS</v>
      </c>
    </row>
    <row r="2751" spans="1:20" x14ac:dyDescent="0.35">
      <c r="A2751" s="7">
        <v>2750</v>
      </c>
      <c r="B2751" s="9">
        <v>1095</v>
      </c>
      <c r="C2751" s="14" t="str">
        <f>IFERROR(_xlfn.TEXTJOIN("-", TRUE, _xlfn.XLOOKUP(K2751, product_category_id_lookup!$A$2:$A$5, product_category_id_lookup!$B$2:$B$5), B2751), "Unknown Category")</f>
        <v>etc-1095</v>
      </c>
      <c r="D2751" s="8">
        <v>45495</v>
      </c>
      <c r="E2751" s="14">
        <f t="shared" si="126"/>
        <v>2024</v>
      </c>
      <c r="F2751" s="29" t="str">
        <f t="shared" si="127"/>
        <v>Jul</v>
      </c>
      <c r="G2751" s="17" t="s">
        <v>22</v>
      </c>
      <c r="H2751" s="17" t="s">
        <v>15</v>
      </c>
      <c r="I2751" s="24">
        <v>37485.366203118043</v>
      </c>
      <c r="J2751" s="32">
        <v>16</v>
      </c>
      <c r="K2751" s="17" t="s">
        <v>31</v>
      </c>
      <c r="L2751" s="24">
        <v>2033.82</v>
      </c>
      <c r="M2751" s="24">
        <v>2419.15</v>
      </c>
      <c r="N2751" s="34">
        <f>((sales_data_1[[#This Row],[Unit_Price]]*(1-sales_data_1[[#This Row],[Discount]]))-sales_data_1[[#This Row],[Unit_Cost]])*sales_data_1[[#This Row],[Quantity_Sold]]</f>
        <v>5004.0879999999997</v>
      </c>
      <c r="O2751" s="17" t="s">
        <v>27</v>
      </c>
      <c r="P2751" s="26">
        <v>0.03</v>
      </c>
      <c r="Q2751" s="17" t="s">
        <v>25</v>
      </c>
      <c r="R2751" s="17" t="s">
        <v>21</v>
      </c>
      <c r="S2751" s="50" t="str">
        <f t="shared" si="128"/>
        <v>David-North</v>
      </c>
      <c r="T2751" s="59" t="str">
        <f>IF(ROUND(sales_data_1[[#This Row],[Profit_Margin]],2)=ROUND((sales_data_1[[#This Row],[Unit_Price]]*(1-sales_data_1[[#This Row],[Discount]]) - sales_data_1[[#This Row],[Unit_Cost]])*sales_data_1[[#This Row],[Quantity_Sold]],2), "PASS", "CHECK")</f>
        <v>PASS</v>
      </c>
    </row>
    <row r="2752" spans="1:20" x14ac:dyDescent="0.35">
      <c r="A2752" s="7">
        <v>2751</v>
      </c>
      <c r="B2752" s="9">
        <v>1089</v>
      </c>
      <c r="C2752" s="14" t="str">
        <f>IFERROR(_xlfn.TEXTJOIN("-", TRUE, _xlfn.XLOOKUP(K2752, product_category_id_lookup!$A$2:$A$5, product_category_id_lookup!$B$2:$B$5), B2752), "Unknown Category")</f>
        <v>etc-1089</v>
      </c>
      <c r="D2752" s="8">
        <v>45495</v>
      </c>
      <c r="E2752" s="14">
        <f t="shared" si="126"/>
        <v>2024</v>
      </c>
      <c r="F2752" s="29" t="str">
        <f t="shared" si="127"/>
        <v>Jul</v>
      </c>
      <c r="G2752" s="17" t="s">
        <v>33</v>
      </c>
      <c r="H2752" s="17" t="s">
        <v>15</v>
      </c>
      <c r="I2752" s="24">
        <v>44165.816000000006</v>
      </c>
      <c r="J2752" s="32">
        <v>20</v>
      </c>
      <c r="K2752" s="17" t="s">
        <v>31</v>
      </c>
      <c r="L2752" s="24">
        <v>1589.82</v>
      </c>
      <c r="M2752" s="24">
        <v>2567.7800000000002</v>
      </c>
      <c r="N2752" s="34">
        <f>((sales_data_1[[#This Row],[Unit_Price]]*(1-sales_data_1[[#This Row],[Discount]]))-sales_data_1[[#This Row],[Unit_Cost]])*sales_data_1[[#This Row],[Quantity_Sold]]</f>
        <v>12369.416000000005</v>
      </c>
      <c r="O2752" s="17" t="s">
        <v>17</v>
      </c>
      <c r="P2752" s="26">
        <v>0.14000000000000001</v>
      </c>
      <c r="Q2752" s="17" t="s">
        <v>18</v>
      </c>
      <c r="R2752" s="17" t="s">
        <v>19</v>
      </c>
      <c r="S2752" s="50" t="str">
        <f t="shared" si="128"/>
        <v>Alice-North</v>
      </c>
      <c r="T2752" s="59" t="str">
        <f>IF(ROUND(sales_data_1[[#This Row],[Profit_Margin]],2)=ROUND((sales_data_1[[#This Row],[Unit_Price]]*(1-sales_data_1[[#This Row],[Discount]]) - sales_data_1[[#This Row],[Unit_Cost]])*sales_data_1[[#This Row],[Quantity_Sold]],2), "PASS", "CHECK")</f>
        <v>PASS</v>
      </c>
    </row>
    <row r="2753" spans="1:20" x14ac:dyDescent="0.35">
      <c r="A2753" s="7">
        <v>2752</v>
      </c>
      <c r="B2753" s="9">
        <v>1086</v>
      </c>
      <c r="C2753" s="14" t="str">
        <f>IFERROR(_xlfn.TEXTJOIN("-", TRUE, _xlfn.XLOOKUP(K2753, product_category_id_lookup!$A$2:$A$5, product_category_id_lookup!$B$2:$B$5), B2753), "Unknown Category")</f>
        <v>ctg-1086</v>
      </c>
      <c r="D2753" s="8">
        <v>45495</v>
      </c>
      <c r="E2753" s="14">
        <f t="shared" si="126"/>
        <v>2024</v>
      </c>
      <c r="F2753" s="29" t="str">
        <f t="shared" si="127"/>
        <v>Jul</v>
      </c>
      <c r="G2753" s="17" t="s">
        <v>14</v>
      </c>
      <c r="H2753" s="17" t="s">
        <v>23</v>
      </c>
      <c r="I2753" s="24">
        <v>30078.160000000003</v>
      </c>
      <c r="J2753" s="32">
        <v>25</v>
      </c>
      <c r="K2753" s="17" t="s">
        <v>26</v>
      </c>
      <c r="L2753" s="24">
        <v>250.83</v>
      </c>
      <c r="M2753" s="24">
        <v>1227.68</v>
      </c>
      <c r="N2753" s="34">
        <f>((sales_data_1[[#This Row],[Unit_Price]]*(1-sales_data_1[[#This Row],[Discount]]))-sales_data_1[[#This Row],[Unit_Cost]])*sales_data_1[[#This Row],[Quantity_Sold]]</f>
        <v>23807.41</v>
      </c>
      <c r="O2753" s="17" t="s">
        <v>27</v>
      </c>
      <c r="P2753" s="26">
        <v>0.02</v>
      </c>
      <c r="Q2753" s="17" t="s">
        <v>28</v>
      </c>
      <c r="R2753" s="17" t="s">
        <v>21</v>
      </c>
      <c r="S2753" s="50" t="str">
        <f t="shared" si="128"/>
        <v>Bob-South</v>
      </c>
      <c r="T2753" s="59" t="str">
        <f>IF(ROUND(sales_data_1[[#This Row],[Profit_Margin]],2)=ROUND((sales_data_1[[#This Row],[Unit_Price]]*(1-sales_data_1[[#This Row],[Discount]]) - sales_data_1[[#This Row],[Unit_Cost]])*sales_data_1[[#This Row],[Quantity_Sold]],2), "PASS", "CHECK")</f>
        <v>PASS</v>
      </c>
    </row>
    <row r="2754" spans="1:20" x14ac:dyDescent="0.35">
      <c r="A2754" s="7">
        <v>2753</v>
      </c>
      <c r="B2754" s="9">
        <v>1091</v>
      </c>
      <c r="C2754" s="14" t="str">
        <f>IFERROR(_xlfn.TEXTJOIN("-", TRUE, _xlfn.XLOOKUP(K2754, product_category_id_lookup!$A$2:$A$5, product_category_id_lookup!$B$2:$B$5), B2754), "Unknown Category")</f>
        <v>ctg-1091</v>
      </c>
      <c r="D2754" s="8">
        <v>45495</v>
      </c>
      <c r="E2754" s="14">
        <f t="shared" ref="E2754:E2817" si="129">YEAR(D2754)</f>
        <v>2024</v>
      </c>
      <c r="F2754" s="29" t="str">
        <f t="shared" ref="F2754:F2817" si="130">LEFT(TEXT(D2754,"mmmm"),3)</f>
        <v>Jul</v>
      </c>
      <c r="G2754" s="17" t="s">
        <v>33</v>
      </c>
      <c r="H2754" s="17" t="s">
        <v>30</v>
      </c>
      <c r="I2754" s="24">
        <v>149085.21434530558</v>
      </c>
      <c r="J2754" s="32">
        <v>49</v>
      </c>
      <c r="K2754" s="17" t="s">
        <v>26</v>
      </c>
      <c r="L2754" s="24">
        <v>2475.3200000000002</v>
      </c>
      <c r="M2754" s="24">
        <v>3165.47</v>
      </c>
      <c r="N2754" s="34">
        <f>((sales_data_1[[#This Row],[Unit_Price]]*(1-sales_data_1[[#This Row],[Discount]]))-sales_data_1[[#This Row],[Unit_Cost]])*sales_data_1[[#This Row],[Quantity_Sold]]</f>
        <v>27613.028799999971</v>
      </c>
      <c r="O2754" s="17" t="s">
        <v>17</v>
      </c>
      <c r="P2754" s="26">
        <v>0.04</v>
      </c>
      <c r="Q2754" s="17" t="s">
        <v>28</v>
      </c>
      <c r="R2754" s="17" t="s">
        <v>19</v>
      </c>
      <c r="S2754" s="50" t="str">
        <f t="shared" ref="S2754:S2817" si="131">_xlfn.CONCAT(G2754,"-",H2754)</f>
        <v>Alice-East</v>
      </c>
      <c r="T2754" s="59" t="str">
        <f>IF(ROUND(sales_data_1[[#This Row],[Profit_Margin]],2)=ROUND((sales_data_1[[#This Row],[Unit_Price]]*(1-sales_data_1[[#This Row],[Discount]]) - sales_data_1[[#This Row],[Unit_Cost]])*sales_data_1[[#This Row],[Quantity_Sold]],2), "PASS", "CHECK")</f>
        <v>PASS</v>
      </c>
    </row>
    <row r="2755" spans="1:20" x14ac:dyDescent="0.35">
      <c r="A2755" s="7">
        <v>2754</v>
      </c>
      <c r="B2755" s="9">
        <v>1088</v>
      </c>
      <c r="C2755" s="14" t="str">
        <f>IFERROR(_xlfn.TEXTJOIN("-", TRUE, _xlfn.XLOOKUP(K2755, product_category_id_lookup!$A$2:$A$5, product_category_id_lookup!$B$2:$B$5), B2755), "Unknown Category")</f>
        <v>fd-1088</v>
      </c>
      <c r="D2755" s="8">
        <v>45496</v>
      </c>
      <c r="E2755" s="14">
        <f t="shared" si="129"/>
        <v>2024</v>
      </c>
      <c r="F2755" s="29" t="str">
        <f t="shared" si="130"/>
        <v>Jul</v>
      </c>
      <c r="G2755" s="17" t="s">
        <v>14</v>
      </c>
      <c r="H2755" s="17" t="s">
        <v>15</v>
      </c>
      <c r="I2755" s="24">
        <v>126081.41888478771</v>
      </c>
      <c r="J2755" s="32">
        <v>24</v>
      </c>
      <c r="K2755" s="17" t="s">
        <v>24</v>
      </c>
      <c r="L2755" s="24">
        <v>4433.1899999999996</v>
      </c>
      <c r="M2755" s="24">
        <v>5256.19</v>
      </c>
      <c r="N2755" s="34">
        <f>((sales_data_1[[#This Row],[Unit_Price]]*(1-sales_data_1[[#This Row],[Discount]]))-sales_data_1[[#This Row],[Unit_Cost]])*sales_data_1[[#This Row],[Quantity_Sold]]</f>
        <v>19752</v>
      </c>
      <c r="O2755" s="17" t="s">
        <v>27</v>
      </c>
      <c r="P2755" s="26">
        <v>0</v>
      </c>
      <c r="Q2755" s="17" t="s">
        <v>28</v>
      </c>
      <c r="R2755" s="17" t="s">
        <v>21</v>
      </c>
      <c r="S2755" s="50" t="str">
        <f t="shared" si="131"/>
        <v>Bob-North</v>
      </c>
      <c r="T2755" s="59" t="str">
        <f>IF(ROUND(sales_data_1[[#This Row],[Profit_Margin]],2)=ROUND((sales_data_1[[#This Row],[Unit_Price]]*(1-sales_data_1[[#This Row],[Discount]]) - sales_data_1[[#This Row],[Unit_Cost]])*sales_data_1[[#This Row],[Quantity_Sold]],2), "PASS", "CHECK")</f>
        <v>PASS</v>
      </c>
    </row>
    <row r="2756" spans="1:20" x14ac:dyDescent="0.35">
      <c r="A2756" s="7">
        <v>2755</v>
      </c>
      <c r="B2756" s="9">
        <v>1053</v>
      </c>
      <c r="C2756" s="14" t="str">
        <f>IFERROR(_xlfn.TEXTJOIN("-", TRUE, _xlfn.XLOOKUP(K2756, product_category_id_lookup!$A$2:$A$5, product_category_id_lookup!$B$2:$B$5), B2756), "Unknown Category")</f>
        <v>fnt-1053</v>
      </c>
      <c r="D2756" s="8">
        <v>45496</v>
      </c>
      <c r="E2756" s="14">
        <f t="shared" si="129"/>
        <v>2024</v>
      </c>
      <c r="F2756" s="29" t="str">
        <f t="shared" si="130"/>
        <v>Jul</v>
      </c>
      <c r="G2756" s="17" t="s">
        <v>22</v>
      </c>
      <c r="H2756" s="17" t="s">
        <v>15</v>
      </c>
      <c r="I2756" s="24">
        <v>125312.99040000001</v>
      </c>
      <c r="J2756" s="32">
        <v>39</v>
      </c>
      <c r="K2756" s="17" t="s">
        <v>16</v>
      </c>
      <c r="L2756" s="24">
        <v>1530.15</v>
      </c>
      <c r="M2756" s="24">
        <v>3918.48</v>
      </c>
      <c r="N2756" s="34">
        <f>((sales_data_1[[#This Row],[Unit_Price]]*(1-sales_data_1[[#This Row],[Discount]]))-sales_data_1[[#This Row],[Unit_Cost]])*sales_data_1[[#This Row],[Quantity_Sold]]</f>
        <v>65637.140400000004</v>
      </c>
      <c r="O2756" s="17" t="s">
        <v>27</v>
      </c>
      <c r="P2756" s="26">
        <v>0.18</v>
      </c>
      <c r="Q2756" s="17" t="s">
        <v>25</v>
      </c>
      <c r="R2756" s="17" t="s">
        <v>19</v>
      </c>
      <c r="S2756" s="50" t="str">
        <f t="shared" si="131"/>
        <v>David-North</v>
      </c>
      <c r="T2756" s="59" t="str">
        <f>IF(ROUND(sales_data_1[[#This Row],[Profit_Margin]],2)=ROUND((sales_data_1[[#This Row],[Unit_Price]]*(1-sales_data_1[[#This Row],[Discount]]) - sales_data_1[[#This Row],[Unit_Cost]])*sales_data_1[[#This Row],[Quantity_Sold]],2), "PASS", "CHECK")</f>
        <v>PASS</v>
      </c>
    </row>
    <row r="2757" spans="1:20" x14ac:dyDescent="0.35">
      <c r="A2757" s="7">
        <v>2756</v>
      </c>
      <c r="B2757" s="9">
        <v>1030</v>
      </c>
      <c r="C2757" s="14" t="str">
        <f>IFERROR(_xlfn.TEXTJOIN("-", TRUE, _xlfn.XLOOKUP(K2757, product_category_id_lookup!$A$2:$A$5, product_category_id_lookup!$B$2:$B$5), B2757), "Unknown Category")</f>
        <v>fd-1030</v>
      </c>
      <c r="D2757" s="8">
        <v>45497</v>
      </c>
      <c r="E2757" s="14">
        <f t="shared" si="129"/>
        <v>2024</v>
      </c>
      <c r="F2757" s="29" t="str">
        <f t="shared" si="130"/>
        <v>Jul</v>
      </c>
      <c r="G2757" s="17" t="s">
        <v>29</v>
      </c>
      <c r="H2757" s="17" t="s">
        <v>20</v>
      </c>
      <c r="I2757" s="24">
        <v>100431.11249999999</v>
      </c>
      <c r="J2757" s="32">
        <v>25</v>
      </c>
      <c r="K2757" s="17" t="s">
        <v>24</v>
      </c>
      <c r="L2757" s="24">
        <v>3976.48</v>
      </c>
      <c r="M2757" s="24">
        <v>4726.17</v>
      </c>
      <c r="N2757" s="34">
        <f>((sales_data_1[[#This Row],[Unit_Price]]*(1-sales_data_1[[#This Row],[Discount]]))-sales_data_1[[#This Row],[Unit_Cost]])*sales_data_1[[#This Row],[Quantity_Sold]]</f>
        <v>1019.1124999999943</v>
      </c>
      <c r="O2757" s="17" t="s">
        <v>27</v>
      </c>
      <c r="P2757" s="26">
        <v>0.15</v>
      </c>
      <c r="Q2757" s="17" t="s">
        <v>25</v>
      </c>
      <c r="R2757" s="17" t="s">
        <v>21</v>
      </c>
      <c r="S2757" s="50" t="str">
        <f t="shared" si="131"/>
        <v>Charlie-West</v>
      </c>
      <c r="T2757" s="59" t="str">
        <f>IF(ROUND(sales_data_1[[#This Row],[Profit_Margin]],2)=ROUND((sales_data_1[[#This Row],[Unit_Price]]*(1-sales_data_1[[#This Row],[Discount]]) - sales_data_1[[#This Row],[Unit_Cost]])*sales_data_1[[#This Row],[Quantity_Sold]],2), "PASS", "CHECK")</f>
        <v>PASS</v>
      </c>
    </row>
    <row r="2758" spans="1:20" x14ac:dyDescent="0.35">
      <c r="A2758" s="7">
        <v>2757</v>
      </c>
      <c r="B2758" s="9">
        <v>1097</v>
      </c>
      <c r="C2758" s="14" t="str">
        <f>IFERROR(_xlfn.TEXTJOIN("-", TRUE, _xlfn.XLOOKUP(K2758, product_category_id_lookup!$A$2:$A$5, product_category_id_lookup!$B$2:$B$5), B2758), "Unknown Category")</f>
        <v>etc-1097</v>
      </c>
      <c r="D2758" s="8">
        <v>45497</v>
      </c>
      <c r="E2758" s="14">
        <f t="shared" si="129"/>
        <v>2024</v>
      </c>
      <c r="F2758" s="29" t="str">
        <f t="shared" si="130"/>
        <v>Jul</v>
      </c>
      <c r="G2758" s="17" t="s">
        <v>14</v>
      </c>
      <c r="H2758" s="17" t="s">
        <v>23</v>
      </c>
      <c r="I2758" s="24">
        <v>40753.621999999996</v>
      </c>
      <c r="J2758" s="32">
        <v>13</v>
      </c>
      <c r="K2758" s="17" t="s">
        <v>31</v>
      </c>
      <c r="L2758" s="24">
        <v>1010.56</v>
      </c>
      <c r="M2758" s="24">
        <v>4478.42</v>
      </c>
      <c r="N2758" s="34">
        <f>((sales_data_1[[#This Row],[Unit_Price]]*(1-sales_data_1[[#This Row],[Discount]]))-sales_data_1[[#This Row],[Unit_Cost]])*sales_data_1[[#This Row],[Quantity_Sold]]</f>
        <v>27616.341999999997</v>
      </c>
      <c r="O2758" s="17" t="s">
        <v>17</v>
      </c>
      <c r="P2758" s="26">
        <v>0.3</v>
      </c>
      <c r="Q2758" s="17" t="s">
        <v>18</v>
      </c>
      <c r="R2758" s="17" t="s">
        <v>21</v>
      </c>
      <c r="S2758" s="50" t="str">
        <f t="shared" si="131"/>
        <v>Bob-South</v>
      </c>
      <c r="T2758" s="59" t="str">
        <f>IF(ROUND(sales_data_1[[#This Row],[Profit_Margin]],2)=ROUND((sales_data_1[[#This Row],[Unit_Price]]*(1-sales_data_1[[#This Row],[Discount]]) - sales_data_1[[#This Row],[Unit_Cost]])*sales_data_1[[#This Row],[Quantity_Sold]],2), "PASS", "CHECK")</f>
        <v>PASS</v>
      </c>
    </row>
    <row r="2759" spans="1:20" x14ac:dyDescent="0.35">
      <c r="A2759" s="7">
        <v>2758</v>
      </c>
      <c r="B2759" s="9">
        <v>1040</v>
      </c>
      <c r="C2759" s="14" t="str">
        <f>IFERROR(_xlfn.TEXTJOIN("-", TRUE, _xlfn.XLOOKUP(K2759, product_category_id_lookup!$A$2:$A$5, product_category_id_lookup!$B$2:$B$5), B2759), "Unknown Category")</f>
        <v>fnt-1040</v>
      </c>
      <c r="D2759" s="8">
        <v>45498</v>
      </c>
      <c r="E2759" s="14">
        <f t="shared" si="129"/>
        <v>2024</v>
      </c>
      <c r="F2759" s="29" t="str">
        <f t="shared" si="130"/>
        <v>Jul</v>
      </c>
      <c r="G2759" s="17" t="s">
        <v>14</v>
      </c>
      <c r="H2759" s="17" t="s">
        <v>15</v>
      </c>
      <c r="I2759" s="24">
        <v>30197.0592</v>
      </c>
      <c r="J2759" s="32">
        <v>8</v>
      </c>
      <c r="K2759" s="17" t="s">
        <v>16</v>
      </c>
      <c r="L2759" s="24">
        <v>2691.21</v>
      </c>
      <c r="M2759" s="24">
        <v>4241.16</v>
      </c>
      <c r="N2759" s="34">
        <f>((sales_data_1[[#This Row],[Unit_Price]]*(1-sales_data_1[[#This Row],[Discount]]))-sales_data_1[[#This Row],[Unit_Cost]])*sales_data_1[[#This Row],[Quantity_Sold]]</f>
        <v>8667.3791999999994</v>
      </c>
      <c r="O2759" s="17" t="s">
        <v>27</v>
      </c>
      <c r="P2759" s="26">
        <v>0.11</v>
      </c>
      <c r="Q2759" s="17" t="s">
        <v>28</v>
      </c>
      <c r="R2759" s="17" t="s">
        <v>19</v>
      </c>
      <c r="S2759" s="50" t="str">
        <f t="shared" si="131"/>
        <v>Bob-North</v>
      </c>
      <c r="T2759" s="59" t="str">
        <f>IF(ROUND(sales_data_1[[#This Row],[Profit_Margin]],2)=ROUND((sales_data_1[[#This Row],[Unit_Price]]*(1-sales_data_1[[#This Row],[Discount]]) - sales_data_1[[#This Row],[Unit_Cost]])*sales_data_1[[#This Row],[Quantity_Sold]],2), "PASS", "CHECK")</f>
        <v>PASS</v>
      </c>
    </row>
    <row r="2760" spans="1:20" x14ac:dyDescent="0.35">
      <c r="A2760" s="7">
        <v>2759</v>
      </c>
      <c r="B2760" s="9">
        <v>1021</v>
      </c>
      <c r="C2760" s="14" t="str">
        <f>IFERROR(_xlfn.TEXTJOIN("-", TRUE, _xlfn.XLOOKUP(K2760, product_category_id_lookup!$A$2:$A$5, product_category_id_lookup!$B$2:$B$5), B2760), "Unknown Category")</f>
        <v>fnt-1021</v>
      </c>
      <c r="D2760" s="8">
        <v>45498</v>
      </c>
      <c r="E2760" s="14">
        <f t="shared" si="129"/>
        <v>2024</v>
      </c>
      <c r="F2760" s="29" t="str">
        <f t="shared" si="130"/>
        <v>Jul</v>
      </c>
      <c r="G2760" s="17" t="s">
        <v>32</v>
      </c>
      <c r="H2760" s="17" t="s">
        <v>23</v>
      </c>
      <c r="I2760" s="24">
        <v>95117.795999999973</v>
      </c>
      <c r="J2760" s="32">
        <v>40</v>
      </c>
      <c r="K2760" s="17" t="s">
        <v>16</v>
      </c>
      <c r="L2760" s="24">
        <v>2101.77</v>
      </c>
      <c r="M2760" s="24">
        <v>2556.9299999999998</v>
      </c>
      <c r="N2760" s="34">
        <f>((sales_data_1[[#This Row],[Unit_Price]]*(1-sales_data_1[[#This Row],[Discount]]))-sales_data_1[[#This Row],[Unit_Cost]])*sales_data_1[[#This Row],[Quantity_Sold]]</f>
        <v>11046.995999999981</v>
      </c>
      <c r="O2760" s="17" t="s">
        <v>17</v>
      </c>
      <c r="P2760" s="26">
        <v>7.0000000000000007E-2</v>
      </c>
      <c r="Q2760" s="17" t="s">
        <v>25</v>
      </c>
      <c r="R2760" s="17" t="s">
        <v>21</v>
      </c>
      <c r="S2760" s="50" t="str">
        <f t="shared" si="131"/>
        <v>Eve-South</v>
      </c>
      <c r="T2760" s="59" t="str">
        <f>IF(ROUND(sales_data_1[[#This Row],[Profit_Margin]],2)=ROUND((sales_data_1[[#This Row],[Unit_Price]]*(1-sales_data_1[[#This Row],[Discount]]) - sales_data_1[[#This Row],[Unit_Cost]])*sales_data_1[[#This Row],[Quantity_Sold]],2), "PASS", "CHECK")</f>
        <v>PASS</v>
      </c>
    </row>
    <row r="2761" spans="1:20" x14ac:dyDescent="0.35">
      <c r="A2761" s="7">
        <v>2760</v>
      </c>
      <c r="B2761" s="9">
        <v>1054</v>
      </c>
      <c r="C2761" s="14" t="str">
        <f>IFERROR(_xlfn.TEXTJOIN("-", TRUE, _xlfn.XLOOKUP(K2761, product_category_id_lookup!$A$2:$A$5, product_category_id_lookup!$B$2:$B$5), B2761), "Unknown Category")</f>
        <v>fd-1054</v>
      </c>
      <c r="D2761" s="8">
        <v>45498</v>
      </c>
      <c r="E2761" s="14">
        <f t="shared" si="129"/>
        <v>2024</v>
      </c>
      <c r="F2761" s="29" t="str">
        <f t="shared" si="130"/>
        <v>Jul</v>
      </c>
      <c r="G2761" s="17" t="s">
        <v>32</v>
      </c>
      <c r="H2761" s="17" t="s">
        <v>23</v>
      </c>
      <c r="I2761" s="24">
        <v>39073.147199999999</v>
      </c>
      <c r="J2761" s="32">
        <v>16</v>
      </c>
      <c r="K2761" s="17" t="s">
        <v>24</v>
      </c>
      <c r="L2761" s="24">
        <v>1598.53</v>
      </c>
      <c r="M2761" s="24">
        <v>3091.23</v>
      </c>
      <c r="N2761" s="34">
        <f>((sales_data_1[[#This Row],[Unit_Price]]*(1-sales_data_1[[#This Row],[Discount]]))-sales_data_1[[#This Row],[Unit_Cost]])*sales_data_1[[#This Row],[Quantity_Sold]]</f>
        <v>13496.6672</v>
      </c>
      <c r="O2761" s="17" t="s">
        <v>27</v>
      </c>
      <c r="P2761" s="26">
        <v>0.21</v>
      </c>
      <c r="Q2761" s="17" t="s">
        <v>25</v>
      </c>
      <c r="R2761" s="17" t="s">
        <v>19</v>
      </c>
      <c r="S2761" s="50" t="str">
        <f t="shared" si="131"/>
        <v>Eve-South</v>
      </c>
      <c r="T2761" s="59" t="str">
        <f>IF(ROUND(sales_data_1[[#This Row],[Profit_Margin]],2)=ROUND((sales_data_1[[#This Row],[Unit_Price]]*(1-sales_data_1[[#This Row],[Discount]]) - sales_data_1[[#This Row],[Unit_Cost]])*sales_data_1[[#This Row],[Quantity_Sold]],2), "PASS", "CHECK")</f>
        <v>PASS</v>
      </c>
    </row>
    <row r="2762" spans="1:20" x14ac:dyDescent="0.35">
      <c r="A2762" s="7">
        <v>2761</v>
      </c>
      <c r="B2762" s="9">
        <v>1068</v>
      </c>
      <c r="C2762" s="14" t="str">
        <f>IFERROR(_xlfn.TEXTJOIN("-", TRUE, _xlfn.XLOOKUP(K2762, product_category_id_lookup!$A$2:$A$5, product_category_id_lookup!$B$2:$B$5), B2762), "Unknown Category")</f>
        <v>ctg-1068</v>
      </c>
      <c r="D2762" s="8">
        <v>45499</v>
      </c>
      <c r="E2762" s="14">
        <f t="shared" si="129"/>
        <v>2024</v>
      </c>
      <c r="F2762" s="29" t="str">
        <f t="shared" si="130"/>
        <v>Jul</v>
      </c>
      <c r="G2762" s="17" t="s">
        <v>22</v>
      </c>
      <c r="H2762" s="17" t="s">
        <v>20</v>
      </c>
      <c r="I2762" s="24">
        <v>125810.3288</v>
      </c>
      <c r="J2762" s="32">
        <v>26</v>
      </c>
      <c r="K2762" s="17" t="s">
        <v>26</v>
      </c>
      <c r="L2762" s="24">
        <v>3465.57</v>
      </c>
      <c r="M2762" s="24">
        <v>5436.92</v>
      </c>
      <c r="N2762" s="34">
        <f>((sales_data_1[[#This Row],[Unit_Price]]*(1-sales_data_1[[#This Row],[Discount]]))-sales_data_1[[#This Row],[Unit_Cost]])*sales_data_1[[#This Row],[Quantity_Sold]]</f>
        <v>35705.508799999996</v>
      </c>
      <c r="O2762" s="17" t="s">
        <v>27</v>
      </c>
      <c r="P2762" s="26">
        <v>0.11</v>
      </c>
      <c r="Q2762" s="17" t="s">
        <v>25</v>
      </c>
      <c r="R2762" s="17" t="s">
        <v>21</v>
      </c>
      <c r="S2762" s="50" t="str">
        <f t="shared" si="131"/>
        <v>David-West</v>
      </c>
      <c r="T2762" s="59" t="str">
        <f>IF(ROUND(sales_data_1[[#This Row],[Profit_Margin]],2)=ROUND((sales_data_1[[#This Row],[Unit_Price]]*(1-sales_data_1[[#This Row],[Discount]]) - sales_data_1[[#This Row],[Unit_Cost]])*sales_data_1[[#This Row],[Quantity_Sold]],2), "PASS", "CHECK")</f>
        <v>PASS</v>
      </c>
    </row>
    <row r="2763" spans="1:20" x14ac:dyDescent="0.35">
      <c r="A2763" s="7">
        <v>2762</v>
      </c>
      <c r="B2763" s="9">
        <v>1025</v>
      </c>
      <c r="C2763" s="14" t="str">
        <f>IFERROR(_xlfn.TEXTJOIN("-", TRUE, _xlfn.XLOOKUP(K2763, product_category_id_lookup!$A$2:$A$5, product_category_id_lookup!$B$2:$B$5), B2763), "Unknown Category")</f>
        <v>ctg-1025</v>
      </c>
      <c r="D2763" s="8">
        <v>45499</v>
      </c>
      <c r="E2763" s="14">
        <f t="shared" si="129"/>
        <v>2024</v>
      </c>
      <c r="F2763" s="29" t="str">
        <f t="shared" si="130"/>
        <v>Jul</v>
      </c>
      <c r="G2763" s="17" t="s">
        <v>32</v>
      </c>
      <c r="H2763" s="17" t="s">
        <v>23</v>
      </c>
      <c r="I2763" s="24">
        <v>52275.220399999998</v>
      </c>
      <c r="J2763" s="32">
        <v>26</v>
      </c>
      <c r="K2763" s="17" t="s">
        <v>26</v>
      </c>
      <c r="L2763" s="24">
        <v>280.5</v>
      </c>
      <c r="M2763" s="24">
        <v>2337.89</v>
      </c>
      <c r="N2763" s="34">
        <f>((sales_data_1[[#This Row],[Unit_Price]]*(1-sales_data_1[[#This Row],[Discount]]))-sales_data_1[[#This Row],[Unit_Cost]])*sales_data_1[[#This Row],[Quantity_Sold]]</f>
        <v>44982.220399999998</v>
      </c>
      <c r="O2763" s="17" t="s">
        <v>17</v>
      </c>
      <c r="P2763" s="26">
        <v>0.14000000000000001</v>
      </c>
      <c r="Q2763" s="17" t="s">
        <v>28</v>
      </c>
      <c r="R2763" s="17" t="s">
        <v>19</v>
      </c>
      <c r="S2763" s="50" t="str">
        <f t="shared" si="131"/>
        <v>Eve-South</v>
      </c>
      <c r="T2763" s="59" t="str">
        <f>IF(ROUND(sales_data_1[[#This Row],[Profit_Margin]],2)=ROUND((sales_data_1[[#This Row],[Unit_Price]]*(1-sales_data_1[[#This Row],[Discount]]) - sales_data_1[[#This Row],[Unit_Cost]])*sales_data_1[[#This Row],[Quantity_Sold]],2), "PASS", "CHECK")</f>
        <v>PASS</v>
      </c>
    </row>
    <row r="2764" spans="1:20" x14ac:dyDescent="0.35">
      <c r="A2764" s="7">
        <v>2763</v>
      </c>
      <c r="B2764" s="9">
        <v>1071</v>
      </c>
      <c r="C2764" s="14" t="str">
        <f>IFERROR(_xlfn.TEXTJOIN("-", TRUE, _xlfn.XLOOKUP(K2764, product_category_id_lookup!$A$2:$A$5, product_category_id_lookup!$B$2:$B$5), B2764), "Unknown Category")</f>
        <v>fnt-1071</v>
      </c>
      <c r="D2764" s="8">
        <v>45499</v>
      </c>
      <c r="E2764" s="14">
        <f t="shared" si="129"/>
        <v>2024</v>
      </c>
      <c r="F2764" s="29" t="str">
        <f t="shared" si="130"/>
        <v>Jul</v>
      </c>
      <c r="G2764" s="17" t="s">
        <v>22</v>
      </c>
      <c r="H2764" s="17" t="s">
        <v>23</v>
      </c>
      <c r="I2764" s="24">
        <v>184372.13520000002</v>
      </c>
      <c r="J2764" s="32">
        <v>44</v>
      </c>
      <c r="K2764" s="17" t="s">
        <v>16</v>
      </c>
      <c r="L2764" s="24">
        <v>2825.79</v>
      </c>
      <c r="M2764" s="24">
        <v>5173.18</v>
      </c>
      <c r="N2764" s="34">
        <f>((sales_data_1[[#This Row],[Unit_Price]]*(1-sales_data_1[[#This Row],[Discount]]))-sales_data_1[[#This Row],[Unit_Cost]])*sales_data_1[[#This Row],[Quantity_Sold]]</f>
        <v>60037.375200000017</v>
      </c>
      <c r="O2764" s="17" t="s">
        <v>17</v>
      </c>
      <c r="P2764" s="26">
        <v>0.19</v>
      </c>
      <c r="Q2764" s="17" t="s">
        <v>18</v>
      </c>
      <c r="R2764" s="17" t="s">
        <v>19</v>
      </c>
      <c r="S2764" s="50" t="str">
        <f t="shared" si="131"/>
        <v>David-South</v>
      </c>
      <c r="T2764" s="59" t="str">
        <f>IF(ROUND(sales_data_1[[#This Row],[Profit_Margin]],2)=ROUND((sales_data_1[[#This Row],[Unit_Price]]*(1-sales_data_1[[#This Row],[Discount]]) - sales_data_1[[#This Row],[Unit_Cost]])*sales_data_1[[#This Row],[Quantity_Sold]],2), "PASS", "CHECK")</f>
        <v>PASS</v>
      </c>
    </row>
    <row r="2765" spans="1:20" x14ac:dyDescent="0.35">
      <c r="A2765" s="7">
        <v>2764</v>
      </c>
      <c r="B2765" s="9">
        <v>1001</v>
      </c>
      <c r="C2765" s="14" t="str">
        <f>IFERROR(_xlfn.TEXTJOIN("-", TRUE, _xlfn.XLOOKUP(K2765, product_category_id_lookup!$A$2:$A$5, product_category_id_lookup!$B$2:$B$5), B2765), "Unknown Category")</f>
        <v>fd-1001</v>
      </c>
      <c r="D2765" s="8">
        <v>45499</v>
      </c>
      <c r="E2765" s="14">
        <f t="shared" si="129"/>
        <v>2024</v>
      </c>
      <c r="F2765" s="29" t="str">
        <f t="shared" si="130"/>
        <v>Jul</v>
      </c>
      <c r="G2765" s="17" t="s">
        <v>14</v>
      </c>
      <c r="H2765" s="17" t="s">
        <v>15</v>
      </c>
      <c r="I2765" s="24">
        <v>134336.60250000001</v>
      </c>
      <c r="J2765" s="32">
        <v>41</v>
      </c>
      <c r="K2765" s="17" t="s">
        <v>24</v>
      </c>
      <c r="L2765" s="24">
        <v>1449.5</v>
      </c>
      <c r="M2765" s="24">
        <v>4368.67</v>
      </c>
      <c r="N2765" s="34">
        <f>((sales_data_1[[#This Row],[Unit_Price]]*(1-sales_data_1[[#This Row],[Discount]]))-sales_data_1[[#This Row],[Unit_Cost]])*sales_data_1[[#This Row],[Quantity_Sold]]</f>
        <v>74907.102500000008</v>
      </c>
      <c r="O2765" s="17" t="s">
        <v>17</v>
      </c>
      <c r="P2765" s="26">
        <v>0.25</v>
      </c>
      <c r="Q2765" s="17" t="s">
        <v>18</v>
      </c>
      <c r="R2765" s="17" t="s">
        <v>19</v>
      </c>
      <c r="S2765" s="50" t="str">
        <f t="shared" si="131"/>
        <v>Bob-North</v>
      </c>
      <c r="T2765" s="59" t="str">
        <f>IF(ROUND(sales_data_1[[#This Row],[Profit_Margin]],2)=ROUND((sales_data_1[[#This Row],[Unit_Price]]*(1-sales_data_1[[#This Row],[Discount]]) - sales_data_1[[#This Row],[Unit_Cost]])*sales_data_1[[#This Row],[Quantity_Sold]],2), "PASS", "CHECK")</f>
        <v>PASS</v>
      </c>
    </row>
    <row r="2766" spans="1:20" x14ac:dyDescent="0.35">
      <c r="A2766" s="7">
        <v>2765</v>
      </c>
      <c r="B2766" s="9">
        <v>1076</v>
      </c>
      <c r="C2766" s="14" t="str">
        <f>IFERROR(_xlfn.TEXTJOIN("-", TRUE, _xlfn.XLOOKUP(K2766, product_category_id_lookup!$A$2:$A$5, product_category_id_lookup!$B$2:$B$5), B2766), "Unknown Category")</f>
        <v>etc-1076</v>
      </c>
      <c r="D2766" s="8">
        <v>45499</v>
      </c>
      <c r="E2766" s="14">
        <f t="shared" si="129"/>
        <v>2024</v>
      </c>
      <c r="F2766" s="29" t="str">
        <f t="shared" si="130"/>
        <v>Jul</v>
      </c>
      <c r="G2766" s="17" t="s">
        <v>33</v>
      </c>
      <c r="H2766" s="17" t="s">
        <v>15</v>
      </c>
      <c r="I2766" s="24">
        <v>88003.551999999996</v>
      </c>
      <c r="J2766" s="32">
        <v>20</v>
      </c>
      <c r="K2766" s="17" t="s">
        <v>31</v>
      </c>
      <c r="L2766" s="24">
        <v>301.77</v>
      </c>
      <c r="M2766" s="24">
        <v>4835.3599999999997</v>
      </c>
      <c r="N2766" s="34">
        <f>((sales_data_1[[#This Row],[Unit_Price]]*(1-sales_data_1[[#This Row],[Discount]]))-sales_data_1[[#This Row],[Unit_Cost]])*sales_data_1[[#This Row],[Quantity_Sold]]</f>
        <v>81968.152000000002</v>
      </c>
      <c r="O2766" s="17" t="s">
        <v>27</v>
      </c>
      <c r="P2766" s="26">
        <v>0.09</v>
      </c>
      <c r="Q2766" s="17" t="s">
        <v>25</v>
      </c>
      <c r="R2766" s="17" t="s">
        <v>19</v>
      </c>
      <c r="S2766" s="50" t="str">
        <f t="shared" si="131"/>
        <v>Alice-North</v>
      </c>
      <c r="T2766" s="59" t="str">
        <f>IF(ROUND(sales_data_1[[#This Row],[Profit_Margin]],2)=ROUND((sales_data_1[[#This Row],[Unit_Price]]*(1-sales_data_1[[#This Row],[Discount]]) - sales_data_1[[#This Row],[Unit_Cost]])*sales_data_1[[#This Row],[Quantity_Sold]],2), "PASS", "CHECK")</f>
        <v>PASS</v>
      </c>
    </row>
    <row r="2767" spans="1:20" x14ac:dyDescent="0.35">
      <c r="A2767" s="7">
        <v>2766</v>
      </c>
      <c r="B2767" s="9">
        <v>1022</v>
      </c>
      <c r="C2767" s="14" t="str">
        <f>IFERROR(_xlfn.TEXTJOIN("-", TRUE, _xlfn.XLOOKUP(K2767, product_category_id_lookup!$A$2:$A$5, product_category_id_lookup!$B$2:$B$5), B2767), "Unknown Category")</f>
        <v>etc-1022</v>
      </c>
      <c r="D2767" s="8">
        <v>45500</v>
      </c>
      <c r="E2767" s="14">
        <f t="shared" si="129"/>
        <v>2024</v>
      </c>
      <c r="F2767" s="29" t="str">
        <f t="shared" si="130"/>
        <v>Jul</v>
      </c>
      <c r="G2767" s="17" t="s">
        <v>33</v>
      </c>
      <c r="H2767" s="17" t="s">
        <v>23</v>
      </c>
      <c r="I2767" s="24">
        <v>67551.960000000006</v>
      </c>
      <c r="J2767" s="32">
        <v>21</v>
      </c>
      <c r="K2767" s="17" t="s">
        <v>31</v>
      </c>
      <c r="L2767" s="24">
        <v>696.43</v>
      </c>
      <c r="M2767" s="24">
        <v>4020.95</v>
      </c>
      <c r="N2767" s="34">
        <f>((sales_data_1[[#This Row],[Unit_Price]]*(1-sales_data_1[[#This Row],[Discount]]))-sales_data_1[[#This Row],[Unit_Cost]])*sales_data_1[[#This Row],[Quantity_Sold]]</f>
        <v>52926.930000000008</v>
      </c>
      <c r="O2767" s="17" t="s">
        <v>27</v>
      </c>
      <c r="P2767" s="26">
        <v>0.2</v>
      </c>
      <c r="Q2767" s="17" t="s">
        <v>18</v>
      </c>
      <c r="R2767" s="17" t="s">
        <v>21</v>
      </c>
      <c r="S2767" s="50" t="str">
        <f t="shared" si="131"/>
        <v>Alice-South</v>
      </c>
      <c r="T2767" s="59" t="str">
        <f>IF(ROUND(sales_data_1[[#This Row],[Profit_Margin]],2)=ROUND((sales_data_1[[#This Row],[Unit_Price]]*(1-sales_data_1[[#This Row],[Discount]]) - sales_data_1[[#This Row],[Unit_Cost]])*sales_data_1[[#This Row],[Quantity_Sold]],2), "PASS", "CHECK")</f>
        <v>PASS</v>
      </c>
    </row>
    <row r="2768" spans="1:20" x14ac:dyDescent="0.35">
      <c r="A2768" s="7">
        <v>2767</v>
      </c>
      <c r="B2768" s="9">
        <v>1037</v>
      </c>
      <c r="C2768" s="14" t="str">
        <f>IFERROR(_xlfn.TEXTJOIN("-", TRUE, _xlfn.XLOOKUP(K2768, product_category_id_lookup!$A$2:$A$5, product_category_id_lookup!$B$2:$B$5), B2768), "Unknown Category")</f>
        <v>ctg-1037</v>
      </c>
      <c r="D2768" s="8">
        <v>45501</v>
      </c>
      <c r="E2768" s="14">
        <f t="shared" si="129"/>
        <v>2024</v>
      </c>
      <c r="F2768" s="29" t="str">
        <f t="shared" si="130"/>
        <v>Jul</v>
      </c>
      <c r="G2768" s="17" t="s">
        <v>33</v>
      </c>
      <c r="H2768" s="17" t="s">
        <v>15</v>
      </c>
      <c r="I2768" s="24">
        <v>144324.97338510858</v>
      </c>
      <c r="J2768" s="32">
        <v>31</v>
      </c>
      <c r="K2768" s="17" t="s">
        <v>26</v>
      </c>
      <c r="L2768" s="24">
        <v>4640.04</v>
      </c>
      <c r="M2768" s="24">
        <v>4808.84</v>
      </c>
      <c r="N2768" s="34">
        <f>((sales_data_1[[#This Row],[Unit_Price]]*(1-sales_data_1[[#This Row],[Discount]]))-sales_data_1[[#This Row],[Unit_Cost]])*sales_data_1[[#This Row],[Quantity_Sold]]</f>
        <v>760.57880000001114</v>
      </c>
      <c r="O2768" s="17" t="s">
        <v>27</v>
      </c>
      <c r="P2768" s="26">
        <v>0.03</v>
      </c>
      <c r="Q2768" s="17" t="s">
        <v>25</v>
      </c>
      <c r="R2768" s="17" t="s">
        <v>19</v>
      </c>
      <c r="S2768" s="50" t="str">
        <f t="shared" si="131"/>
        <v>Alice-North</v>
      </c>
      <c r="T2768" s="59" t="str">
        <f>IF(ROUND(sales_data_1[[#This Row],[Profit_Margin]],2)=ROUND((sales_data_1[[#This Row],[Unit_Price]]*(1-sales_data_1[[#This Row],[Discount]]) - sales_data_1[[#This Row],[Unit_Cost]])*sales_data_1[[#This Row],[Quantity_Sold]],2), "PASS", "CHECK")</f>
        <v>PASS</v>
      </c>
    </row>
    <row r="2769" spans="1:20" x14ac:dyDescent="0.35">
      <c r="A2769" s="7">
        <v>2768</v>
      </c>
      <c r="B2769" s="9">
        <v>1001</v>
      </c>
      <c r="C2769" s="14" t="str">
        <f>IFERROR(_xlfn.TEXTJOIN("-", TRUE, _xlfn.XLOOKUP(K2769, product_category_id_lookup!$A$2:$A$5, product_category_id_lookup!$B$2:$B$5), B2769), "Unknown Category")</f>
        <v>fnt-1001</v>
      </c>
      <c r="D2769" s="8">
        <v>45501</v>
      </c>
      <c r="E2769" s="14">
        <f t="shared" si="129"/>
        <v>2024</v>
      </c>
      <c r="F2769" s="29" t="str">
        <f t="shared" si="130"/>
        <v>Jul</v>
      </c>
      <c r="G2769" s="17" t="s">
        <v>33</v>
      </c>
      <c r="H2769" s="17" t="s">
        <v>23</v>
      </c>
      <c r="I2769" s="24">
        <v>89366.775799146504</v>
      </c>
      <c r="J2769" s="32">
        <v>37</v>
      </c>
      <c r="K2769" s="17" t="s">
        <v>16</v>
      </c>
      <c r="L2769" s="24">
        <v>2166.16</v>
      </c>
      <c r="M2769" s="24">
        <v>2504.5700000000002</v>
      </c>
      <c r="N2769" s="34">
        <f>((sales_data_1[[#This Row],[Unit_Price]]*(1-sales_data_1[[#This Row],[Discount]]))-sales_data_1[[#This Row],[Unit_Cost]])*sales_data_1[[#This Row],[Quantity_Sold]]</f>
        <v>8814.4064000000108</v>
      </c>
      <c r="O2769" s="17" t="s">
        <v>27</v>
      </c>
      <c r="P2769" s="26">
        <v>0.04</v>
      </c>
      <c r="Q2769" s="17" t="s">
        <v>25</v>
      </c>
      <c r="R2769" s="17" t="s">
        <v>21</v>
      </c>
      <c r="S2769" s="50" t="str">
        <f t="shared" si="131"/>
        <v>Alice-South</v>
      </c>
      <c r="T2769" s="59" t="str">
        <f>IF(ROUND(sales_data_1[[#This Row],[Profit_Margin]],2)=ROUND((sales_data_1[[#This Row],[Unit_Price]]*(1-sales_data_1[[#This Row],[Discount]]) - sales_data_1[[#This Row],[Unit_Cost]])*sales_data_1[[#This Row],[Quantity_Sold]],2), "PASS", "CHECK")</f>
        <v>PASS</v>
      </c>
    </row>
    <row r="2770" spans="1:20" x14ac:dyDescent="0.35">
      <c r="A2770" s="7">
        <v>2769</v>
      </c>
      <c r="B2770" s="9">
        <v>1001</v>
      </c>
      <c r="C2770" s="14" t="str">
        <f>IFERROR(_xlfn.TEXTJOIN("-", TRUE, _xlfn.XLOOKUP(K2770, product_category_id_lookup!$A$2:$A$5, product_category_id_lookup!$B$2:$B$5), B2770), "Unknown Category")</f>
        <v>ctg-1001</v>
      </c>
      <c r="D2770" s="8">
        <v>45501</v>
      </c>
      <c r="E2770" s="14">
        <f t="shared" si="129"/>
        <v>2024</v>
      </c>
      <c r="F2770" s="29" t="str">
        <f t="shared" si="130"/>
        <v>Jul</v>
      </c>
      <c r="G2770" s="17" t="s">
        <v>22</v>
      </c>
      <c r="H2770" s="17" t="s">
        <v>30</v>
      </c>
      <c r="I2770" s="24">
        <v>95333.630499999999</v>
      </c>
      <c r="J2770" s="32">
        <v>41</v>
      </c>
      <c r="K2770" s="17" t="s">
        <v>26</v>
      </c>
      <c r="L2770" s="24">
        <v>2096.16</v>
      </c>
      <c r="M2770" s="24">
        <v>2447.59</v>
      </c>
      <c r="N2770" s="34">
        <f>((sales_data_1[[#This Row],[Unit_Price]]*(1-sales_data_1[[#This Row],[Discount]]))-sales_data_1[[#This Row],[Unit_Cost]])*sales_data_1[[#This Row],[Quantity_Sold]]</f>
        <v>9391.0705000000125</v>
      </c>
      <c r="O2770" s="17" t="s">
        <v>27</v>
      </c>
      <c r="P2770" s="26">
        <v>0.05</v>
      </c>
      <c r="Q2770" s="17" t="s">
        <v>28</v>
      </c>
      <c r="R2770" s="17" t="s">
        <v>19</v>
      </c>
      <c r="S2770" s="50" t="str">
        <f t="shared" si="131"/>
        <v>David-East</v>
      </c>
      <c r="T2770" s="59" t="str">
        <f>IF(ROUND(sales_data_1[[#This Row],[Profit_Margin]],2)=ROUND((sales_data_1[[#This Row],[Unit_Price]]*(1-sales_data_1[[#This Row],[Discount]]) - sales_data_1[[#This Row],[Unit_Cost]])*sales_data_1[[#This Row],[Quantity_Sold]],2), "PASS", "CHECK")</f>
        <v>PASS</v>
      </c>
    </row>
    <row r="2771" spans="1:20" x14ac:dyDescent="0.35">
      <c r="A2771" s="7">
        <v>2770</v>
      </c>
      <c r="B2771" s="9">
        <v>1002</v>
      </c>
      <c r="C2771" s="14" t="str">
        <f>IFERROR(_xlfn.TEXTJOIN("-", TRUE, _xlfn.XLOOKUP(K2771, product_category_id_lookup!$A$2:$A$5, product_category_id_lookup!$B$2:$B$5), B2771), "Unknown Category")</f>
        <v>etc-1002</v>
      </c>
      <c r="D2771" s="8">
        <v>45501</v>
      </c>
      <c r="E2771" s="14">
        <f t="shared" si="129"/>
        <v>2024</v>
      </c>
      <c r="F2771" s="29" t="str">
        <f t="shared" si="130"/>
        <v>Jul</v>
      </c>
      <c r="G2771" s="17" t="s">
        <v>33</v>
      </c>
      <c r="H2771" s="17" t="s">
        <v>23</v>
      </c>
      <c r="I2771" s="24">
        <v>45080.294399999999</v>
      </c>
      <c r="J2771" s="32">
        <v>16</v>
      </c>
      <c r="K2771" s="17" t="s">
        <v>31</v>
      </c>
      <c r="L2771" s="24">
        <v>1303.4100000000001</v>
      </c>
      <c r="M2771" s="24">
        <v>3913.22</v>
      </c>
      <c r="N2771" s="34">
        <f>((sales_data_1[[#This Row],[Unit_Price]]*(1-sales_data_1[[#This Row],[Discount]]))-sales_data_1[[#This Row],[Unit_Cost]])*sales_data_1[[#This Row],[Quantity_Sold]]</f>
        <v>24225.734399999998</v>
      </c>
      <c r="O2771" s="17" t="s">
        <v>27</v>
      </c>
      <c r="P2771" s="26">
        <v>0.28000000000000003</v>
      </c>
      <c r="Q2771" s="17" t="s">
        <v>25</v>
      </c>
      <c r="R2771" s="17" t="s">
        <v>19</v>
      </c>
      <c r="S2771" s="50" t="str">
        <f t="shared" si="131"/>
        <v>Alice-South</v>
      </c>
      <c r="T2771" s="59" t="str">
        <f>IF(ROUND(sales_data_1[[#This Row],[Profit_Margin]],2)=ROUND((sales_data_1[[#This Row],[Unit_Price]]*(1-sales_data_1[[#This Row],[Discount]]) - sales_data_1[[#This Row],[Unit_Cost]])*sales_data_1[[#This Row],[Quantity_Sold]],2), "PASS", "CHECK")</f>
        <v>PASS</v>
      </c>
    </row>
    <row r="2772" spans="1:20" x14ac:dyDescent="0.35">
      <c r="A2772" s="7">
        <v>2771</v>
      </c>
      <c r="B2772" s="9">
        <v>1002</v>
      </c>
      <c r="C2772" s="14" t="str">
        <f>IFERROR(_xlfn.TEXTJOIN("-", TRUE, _xlfn.XLOOKUP(K2772, product_category_id_lookup!$A$2:$A$5, product_category_id_lookup!$B$2:$B$5), B2772), "Unknown Category")</f>
        <v>ctg-1002</v>
      </c>
      <c r="D2772" s="8">
        <v>45502</v>
      </c>
      <c r="E2772" s="14">
        <f t="shared" si="129"/>
        <v>2024</v>
      </c>
      <c r="F2772" s="29" t="str">
        <f t="shared" si="130"/>
        <v>Jul</v>
      </c>
      <c r="G2772" s="17" t="s">
        <v>22</v>
      </c>
      <c r="H2772" s="17" t="s">
        <v>15</v>
      </c>
      <c r="I2772" s="24">
        <v>82990.521599999993</v>
      </c>
      <c r="J2772" s="32">
        <v>31</v>
      </c>
      <c r="K2772" s="17" t="s">
        <v>26</v>
      </c>
      <c r="L2772" s="24">
        <v>1290.1099999999999</v>
      </c>
      <c r="M2772" s="24">
        <v>2788.66</v>
      </c>
      <c r="N2772" s="34">
        <f>((sales_data_1[[#This Row],[Unit_Price]]*(1-sales_data_1[[#This Row],[Discount]]))-sales_data_1[[#This Row],[Unit_Cost]])*sales_data_1[[#This Row],[Quantity_Sold]]</f>
        <v>42997.111599999997</v>
      </c>
      <c r="O2772" s="17" t="s">
        <v>17</v>
      </c>
      <c r="P2772" s="26">
        <v>0.04</v>
      </c>
      <c r="Q2772" s="17" t="s">
        <v>18</v>
      </c>
      <c r="R2772" s="17" t="s">
        <v>21</v>
      </c>
      <c r="S2772" s="50" t="str">
        <f t="shared" si="131"/>
        <v>David-North</v>
      </c>
      <c r="T2772" s="59" t="str">
        <f>IF(ROUND(sales_data_1[[#This Row],[Profit_Margin]],2)=ROUND((sales_data_1[[#This Row],[Unit_Price]]*(1-sales_data_1[[#This Row],[Discount]]) - sales_data_1[[#This Row],[Unit_Cost]])*sales_data_1[[#This Row],[Quantity_Sold]],2), "PASS", "CHECK")</f>
        <v>PASS</v>
      </c>
    </row>
    <row r="2773" spans="1:20" x14ac:dyDescent="0.35">
      <c r="A2773" s="7">
        <v>2772</v>
      </c>
      <c r="B2773" s="9">
        <v>1050</v>
      </c>
      <c r="C2773" s="14" t="str">
        <f>IFERROR(_xlfn.TEXTJOIN("-", TRUE, _xlfn.XLOOKUP(K2773, product_category_id_lookup!$A$2:$A$5, product_category_id_lookup!$B$2:$B$5), B2773), "Unknown Category")</f>
        <v>fd-1050</v>
      </c>
      <c r="D2773" s="8">
        <v>45502</v>
      </c>
      <c r="E2773" s="14">
        <f t="shared" si="129"/>
        <v>2024</v>
      </c>
      <c r="F2773" s="29" t="str">
        <f t="shared" si="130"/>
        <v>Jul</v>
      </c>
      <c r="G2773" s="17" t="s">
        <v>32</v>
      </c>
      <c r="H2773" s="17" t="s">
        <v>20</v>
      </c>
      <c r="I2773" s="24">
        <v>154673.79199999999</v>
      </c>
      <c r="J2773" s="32">
        <v>35</v>
      </c>
      <c r="K2773" s="17" t="s">
        <v>24</v>
      </c>
      <c r="L2773" s="24">
        <v>2343.1999999999998</v>
      </c>
      <c r="M2773" s="24">
        <v>4509.4399999999996</v>
      </c>
      <c r="N2773" s="34">
        <f>((sales_data_1[[#This Row],[Unit_Price]]*(1-sales_data_1[[#This Row],[Discount]]))-sales_data_1[[#This Row],[Unit_Cost]])*sales_data_1[[#This Row],[Quantity_Sold]]</f>
        <v>72661.792000000001</v>
      </c>
      <c r="O2773" s="17" t="s">
        <v>17</v>
      </c>
      <c r="P2773" s="26">
        <v>0.02</v>
      </c>
      <c r="Q2773" s="17" t="s">
        <v>28</v>
      </c>
      <c r="R2773" s="17" t="s">
        <v>19</v>
      </c>
      <c r="S2773" s="50" t="str">
        <f t="shared" si="131"/>
        <v>Eve-West</v>
      </c>
      <c r="T2773" s="59" t="str">
        <f>IF(ROUND(sales_data_1[[#This Row],[Profit_Margin]],2)=ROUND((sales_data_1[[#This Row],[Unit_Price]]*(1-sales_data_1[[#This Row],[Discount]]) - sales_data_1[[#This Row],[Unit_Cost]])*sales_data_1[[#This Row],[Quantity_Sold]],2), "PASS", "CHECK")</f>
        <v>PASS</v>
      </c>
    </row>
    <row r="2774" spans="1:20" x14ac:dyDescent="0.35">
      <c r="A2774" s="7">
        <v>2773</v>
      </c>
      <c r="B2774" s="9">
        <v>1012</v>
      </c>
      <c r="C2774" s="14" t="str">
        <f>IFERROR(_xlfn.TEXTJOIN("-", TRUE, _xlfn.XLOOKUP(K2774, product_category_id_lookup!$A$2:$A$5, product_category_id_lookup!$B$2:$B$5), B2774), "Unknown Category")</f>
        <v>fd-1012</v>
      </c>
      <c r="D2774" s="8">
        <v>45503</v>
      </c>
      <c r="E2774" s="14">
        <f t="shared" si="129"/>
        <v>2024</v>
      </c>
      <c r="F2774" s="29" t="str">
        <f t="shared" si="130"/>
        <v>Jul</v>
      </c>
      <c r="G2774" s="17" t="s">
        <v>33</v>
      </c>
      <c r="H2774" s="17" t="s">
        <v>23</v>
      </c>
      <c r="I2774" s="24">
        <v>73571.404415568992</v>
      </c>
      <c r="J2774" s="32">
        <v>19</v>
      </c>
      <c r="K2774" s="17" t="s">
        <v>24</v>
      </c>
      <c r="L2774" s="24">
        <v>3308.99</v>
      </c>
      <c r="M2774" s="24">
        <v>3947.21</v>
      </c>
      <c r="N2774" s="34">
        <f>((sales_data_1[[#This Row],[Unit_Price]]*(1-sales_data_1[[#This Row],[Discount]]))-sales_data_1[[#This Row],[Unit_Cost]])*sales_data_1[[#This Row],[Quantity_Sold]]</f>
        <v>10626.240200000007</v>
      </c>
      <c r="O2774" s="17" t="s">
        <v>17</v>
      </c>
      <c r="P2774" s="26">
        <v>0.02</v>
      </c>
      <c r="Q2774" s="17" t="s">
        <v>25</v>
      </c>
      <c r="R2774" s="17" t="s">
        <v>21</v>
      </c>
      <c r="S2774" s="50" t="str">
        <f t="shared" si="131"/>
        <v>Alice-South</v>
      </c>
      <c r="T2774" s="59" t="str">
        <f>IF(ROUND(sales_data_1[[#This Row],[Profit_Margin]],2)=ROUND((sales_data_1[[#This Row],[Unit_Price]]*(1-sales_data_1[[#This Row],[Discount]]) - sales_data_1[[#This Row],[Unit_Cost]])*sales_data_1[[#This Row],[Quantity_Sold]],2), "PASS", "CHECK")</f>
        <v>PASS</v>
      </c>
    </row>
    <row r="2775" spans="1:20" x14ac:dyDescent="0.35">
      <c r="A2775" s="7">
        <v>2774</v>
      </c>
      <c r="B2775" s="9">
        <v>1028</v>
      </c>
      <c r="C2775" s="14" t="str">
        <f>IFERROR(_xlfn.TEXTJOIN("-", TRUE, _xlfn.XLOOKUP(K2775, product_category_id_lookup!$A$2:$A$5, product_category_id_lookup!$B$2:$B$5), B2775), "Unknown Category")</f>
        <v>ctg-1028</v>
      </c>
      <c r="D2775" s="8">
        <v>45503</v>
      </c>
      <c r="E2775" s="14">
        <f t="shared" si="129"/>
        <v>2024</v>
      </c>
      <c r="F2775" s="29" t="str">
        <f t="shared" si="130"/>
        <v>Jul</v>
      </c>
      <c r="G2775" s="17" t="s">
        <v>33</v>
      </c>
      <c r="H2775" s="17" t="s">
        <v>23</v>
      </c>
      <c r="I2775" s="24">
        <v>51635.149999999994</v>
      </c>
      <c r="J2775" s="32">
        <v>31</v>
      </c>
      <c r="K2775" s="17" t="s">
        <v>26</v>
      </c>
      <c r="L2775" s="24">
        <v>1193.3800000000001</v>
      </c>
      <c r="M2775" s="24">
        <v>2379.5</v>
      </c>
      <c r="N2775" s="34">
        <f>((sales_data_1[[#This Row],[Unit_Price]]*(1-sales_data_1[[#This Row],[Discount]]))-sales_data_1[[#This Row],[Unit_Cost]])*sales_data_1[[#This Row],[Quantity_Sold]]</f>
        <v>14640.369999999992</v>
      </c>
      <c r="O2775" s="17" t="s">
        <v>17</v>
      </c>
      <c r="P2775" s="26">
        <v>0.3</v>
      </c>
      <c r="Q2775" s="17" t="s">
        <v>18</v>
      </c>
      <c r="R2775" s="17" t="s">
        <v>19</v>
      </c>
      <c r="S2775" s="50" t="str">
        <f t="shared" si="131"/>
        <v>Alice-South</v>
      </c>
      <c r="T2775" s="59" t="str">
        <f>IF(ROUND(sales_data_1[[#This Row],[Profit_Margin]],2)=ROUND((sales_data_1[[#This Row],[Unit_Price]]*(1-sales_data_1[[#This Row],[Discount]]) - sales_data_1[[#This Row],[Unit_Cost]])*sales_data_1[[#This Row],[Quantity_Sold]],2), "PASS", "CHECK")</f>
        <v>PASS</v>
      </c>
    </row>
    <row r="2776" spans="1:20" x14ac:dyDescent="0.35">
      <c r="A2776" s="7">
        <v>2775</v>
      </c>
      <c r="B2776" s="9">
        <v>1009</v>
      </c>
      <c r="C2776" s="14" t="str">
        <f>IFERROR(_xlfn.TEXTJOIN("-", TRUE, _xlfn.XLOOKUP(K2776, product_category_id_lookup!$A$2:$A$5, product_category_id_lookup!$B$2:$B$5), B2776), "Unknown Category")</f>
        <v>fd-1009</v>
      </c>
      <c r="D2776" s="8">
        <v>45503</v>
      </c>
      <c r="E2776" s="14">
        <f t="shared" si="129"/>
        <v>2024</v>
      </c>
      <c r="F2776" s="29" t="str">
        <f t="shared" si="130"/>
        <v>Jul</v>
      </c>
      <c r="G2776" s="17" t="s">
        <v>33</v>
      </c>
      <c r="H2776" s="17" t="s">
        <v>15</v>
      </c>
      <c r="I2776" s="24">
        <v>157278.67199999999</v>
      </c>
      <c r="J2776" s="32">
        <v>36</v>
      </c>
      <c r="K2776" s="17" t="s">
        <v>24</v>
      </c>
      <c r="L2776" s="24">
        <v>1656.96</v>
      </c>
      <c r="M2776" s="24">
        <v>4854.28</v>
      </c>
      <c r="N2776" s="34">
        <f>((sales_data_1[[#This Row],[Unit_Price]]*(1-sales_data_1[[#This Row],[Discount]]))-sales_data_1[[#This Row],[Unit_Cost]])*sales_data_1[[#This Row],[Quantity_Sold]]</f>
        <v>97628.111999999994</v>
      </c>
      <c r="O2776" s="17" t="s">
        <v>27</v>
      </c>
      <c r="P2776" s="26">
        <v>0.1</v>
      </c>
      <c r="Q2776" s="17" t="s">
        <v>25</v>
      </c>
      <c r="R2776" s="17" t="s">
        <v>19</v>
      </c>
      <c r="S2776" s="50" t="str">
        <f t="shared" si="131"/>
        <v>Alice-North</v>
      </c>
      <c r="T2776" s="59" t="str">
        <f>IF(ROUND(sales_data_1[[#This Row],[Profit_Margin]],2)=ROUND((sales_data_1[[#This Row],[Unit_Price]]*(1-sales_data_1[[#This Row],[Discount]]) - sales_data_1[[#This Row],[Unit_Cost]])*sales_data_1[[#This Row],[Quantity_Sold]],2), "PASS", "CHECK")</f>
        <v>PASS</v>
      </c>
    </row>
    <row r="2777" spans="1:20" x14ac:dyDescent="0.35">
      <c r="A2777" s="7">
        <v>2776</v>
      </c>
      <c r="B2777" s="9">
        <v>1011</v>
      </c>
      <c r="C2777" s="14" t="str">
        <f>IFERROR(_xlfn.TEXTJOIN("-", TRUE, _xlfn.XLOOKUP(K2777, product_category_id_lookup!$A$2:$A$5, product_category_id_lookup!$B$2:$B$5), B2777), "Unknown Category")</f>
        <v>fnt-1011</v>
      </c>
      <c r="D2777" s="8">
        <v>45504</v>
      </c>
      <c r="E2777" s="14">
        <f t="shared" si="129"/>
        <v>2024</v>
      </c>
      <c r="F2777" s="29" t="str">
        <f t="shared" si="130"/>
        <v>Jul</v>
      </c>
      <c r="G2777" s="17" t="s">
        <v>22</v>
      </c>
      <c r="H2777" s="17" t="s">
        <v>20</v>
      </c>
      <c r="I2777" s="24">
        <v>156418.75199999998</v>
      </c>
      <c r="J2777" s="32">
        <v>35</v>
      </c>
      <c r="K2777" s="17" t="s">
        <v>16</v>
      </c>
      <c r="L2777" s="24">
        <v>4012.2</v>
      </c>
      <c r="M2777" s="24">
        <v>4655.32</v>
      </c>
      <c r="N2777" s="34">
        <f>((sales_data_1[[#This Row],[Unit_Price]]*(1-sales_data_1[[#This Row],[Discount]]))-sales_data_1[[#This Row],[Unit_Cost]])*sales_data_1[[#This Row],[Quantity_Sold]]</f>
        <v>15991.751999999988</v>
      </c>
      <c r="O2777" s="17" t="s">
        <v>27</v>
      </c>
      <c r="P2777" s="26">
        <v>0.04</v>
      </c>
      <c r="Q2777" s="17" t="s">
        <v>25</v>
      </c>
      <c r="R2777" s="17" t="s">
        <v>21</v>
      </c>
      <c r="S2777" s="50" t="str">
        <f t="shared" si="131"/>
        <v>David-West</v>
      </c>
      <c r="T2777" s="59" t="str">
        <f>IF(ROUND(sales_data_1[[#This Row],[Profit_Margin]],2)=ROUND((sales_data_1[[#This Row],[Unit_Price]]*(1-sales_data_1[[#This Row],[Discount]]) - sales_data_1[[#This Row],[Unit_Cost]])*sales_data_1[[#This Row],[Quantity_Sold]],2), "PASS", "CHECK")</f>
        <v>PASS</v>
      </c>
    </row>
    <row r="2778" spans="1:20" x14ac:dyDescent="0.35">
      <c r="A2778" s="7">
        <v>2777</v>
      </c>
      <c r="B2778" s="9">
        <v>1084</v>
      </c>
      <c r="C2778" s="14" t="str">
        <f>IFERROR(_xlfn.TEXTJOIN("-", TRUE, _xlfn.XLOOKUP(K2778, product_category_id_lookup!$A$2:$A$5, product_category_id_lookup!$B$2:$B$5), B2778), "Unknown Category")</f>
        <v>ctg-1084</v>
      </c>
      <c r="D2778" s="8">
        <v>45505</v>
      </c>
      <c r="E2778" s="14">
        <f t="shared" si="129"/>
        <v>2024</v>
      </c>
      <c r="F2778" s="29" t="str">
        <f t="shared" si="130"/>
        <v>Aug</v>
      </c>
      <c r="G2778" s="17" t="s">
        <v>14</v>
      </c>
      <c r="H2778" s="17" t="s">
        <v>23</v>
      </c>
      <c r="I2778" s="24">
        <v>29080.682800000002</v>
      </c>
      <c r="J2778" s="32">
        <v>26</v>
      </c>
      <c r="K2778" s="17" t="s">
        <v>26</v>
      </c>
      <c r="L2778" s="24">
        <v>855.72</v>
      </c>
      <c r="M2778" s="24">
        <v>1511.47</v>
      </c>
      <c r="N2778" s="34">
        <f>((sales_data_1[[#This Row],[Unit_Price]]*(1-sales_data_1[[#This Row],[Discount]]))-sales_data_1[[#This Row],[Unit_Cost]])*sales_data_1[[#This Row],[Quantity_Sold]]</f>
        <v>6831.9628000000021</v>
      </c>
      <c r="O2778" s="17" t="s">
        <v>17</v>
      </c>
      <c r="P2778" s="26">
        <v>0.26</v>
      </c>
      <c r="Q2778" s="17" t="s">
        <v>25</v>
      </c>
      <c r="R2778" s="17" t="s">
        <v>21</v>
      </c>
      <c r="S2778" s="50" t="str">
        <f t="shared" si="131"/>
        <v>Bob-South</v>
      </c>
      <c r="T2778" s="59" t="str">
        <f>IF(ROUND(sales_data_1[[#This Row],[Profit_Margin]],2)=ROUND((sales_data_1[[#This Row],[Unit_Price]]*(1-sales_data_1[[#This Row],[Discount]]) - sales_data_1[[#This Row],[Unit_Cost]])*sales_data_1[[#This Row],[Quantity_Sold]],2), "PASS", "CHECK")</f>
        <v>PASS</v>
      </c>
    </row>
    <row r="2779" spans="1:20" x14ac:dyDescent="0.35">
      <c r="A2779" s="7">
        <v>2778</v>
      </c>
      <c r="B2779" s="9">
        <v>1015</v>
      </c>
      <c r="C2779" s="14" t="str">
        <f>IFERROR(_xlfn.TEXTJOIN("-", TRUE, _xlfn.XLOOKUP(K2779, product_category_id_lookup!$A$2:$A$5, product_category_id_lookup!$B$2:$B$5), B2779), "Unknown Category")</f>
        <v>fd-1015</v>
      </c>
      <c r="D2779" s="8">
        <v>45505</v>
      </c>
      <c r="E2779" s="14">
        <f t="shared" si="129"/>
        <v>2024</v>
      </c>
      <c r="F2779" s="29" t="str">
        <f t="shared" si="130"/>
        <v>Aug</v>
      </c>
      <c r="G2779" s="17" t="s">
        <v>22</v>
      </c>
      <c r="H2779" s="17" t="s">
        <v>15</v>
      </c>
      <c r="I2779" s="24">
        <v>118634.88</v>
      </c>
      <c r="J2779" s="32">
        <v>40</v>
      </c>
      <c r="K2779" s="17" t="s">
        <v>24</v>
      </c>
      <c r="L2779" s="24">
        <v>2376.13</v>
      </c>
      <c r="M2779" s="24">
        <v>3802.4</v>
      </c>
      <c r="N2779" s="34">
        <f>((sales_data_1[[#This Row],[Unit_Price]]*(1-sales_data_1[[#This Row],[Discount]]))-sales_data_1[[#This Row],[Unit_Cost]])*sales_data_1[[#This Row],[Quantity_Sold]]</f>
        <v>23589.680000000008</v>
      </c>
      <c r="O2779" s="17" t="s">
        <v>27</v>
      </c>
      <c r="P2779" s="26">
        <v>0.22</v>
      </c>
      <c r="Q2779" s="17" t="s">
        <v>25</v>
      </c>
      <c r="R2779" s="17" t="s">
        <v>19</v>
      </c>
      <c r="S2779" s="50" t="str">
        <f t="shared" si="131"/>
        <v>David-North</v>
      </c>
      <c r="T2779" s="59" t="str">
        <f>IF(ROUND(sales_data_1[[#This Row],[Profit_Margin]],2)=ROUND((sales_data_1[[#This Row],[Unit_Price]]*(1-sales_data_1[[#This Row],[Discount]]) - sales_data_1[[#This Row],[Unit_Cost]])*sales_data_1[[#This Row],[Quantity_Sold]],2), "PASS", "CHECK")</f>
        <v>PASS</v>
      </c>
    </row>
    <row r="2780" spans="1:20" x14ac:dyDescent="0.35">
      <c r="A2780" s="7">
        <v>2779</v>
      </c>
      <c r="B2780" s="9">
        <v>1007</v>
      </c>
      <c r="C2780" s="14" t="str">
        <f>IFERROR(_xlfn.TEXTJOIN("-", TRUE, _xlfn.XLOOKUP(K2780, product_category_id_lookup!$A$2:$A$5, product_category_id_lookup!$B$2:$B$5), B2780), "Unknown Category")</f>
        <v>fd-1007</v>
      </c>
      <c r="D2780" s="8">
        <v>45506</v>
      </c>
      <c r="E2780" s="14">
        <f t="shared" si="129"/>
        <v>2024</v>
      </c>
      <c r="F2780" s="29" t="str">
        <f t="shared" si="130"/>
        <v>Aug</v>
      </c>
      <c r="G2780" s="17" t="s">
        <v>32</v>
      </c>
      <c r="H2780" s="17" t="s">
        <v>20</v>
      </c>
      <c r="I2780" s="24">
        <v>15733.702240662462</v>
      </c>
      <c r="J2780" s="32">
        <v>5</v>
      </c>
      <c r="K2780" s="17" t="s">
        <v>24</v>
      </c>
      <c r="L2780" s="24">
        <v>2561.9499999999998</v>
      </c>
      <c r="M2780" s="24">
        <v>3173.8</v>
      </c>
      <c r="N2780" s="34">
        <f>((sales_data_1[[#This Row],[Unit_Price]]*(1-sales_data_1[[#This Row],[Discount]]))-sales_data_1[[#This Row],[Unit_Cost]])*sales_data_1[[#This Row],[Quantity_Sold]]</f>
        <v>2900.5600000000027</v>
      </c>
      <c r="O2780" s="17" t="s">
        <v>17</v>
      </c>
      <c r="P2780" s="26">
        <v>0.01</v>
      </c>
      <c r="Q2780" s="17" t="s">
        <v>25</v>
      </c>
      <c r="R2780" s="17" t="s">
        <v>19</v>
      </c>
      <c r="S2780" s="50" t="str">
        <f t="shared" si="131"/>
        <v>Eve-West</v>
      </c>
      <c r="T2780" s="59" t="str">
        <f>IF(ROUND(sales_data_1[[#This Row],[Profit_Margin]],2)=ROUND((sales_data_1[[#This Row],[Unit_Price]]*(1-sales_data_1[[#This Row],[Discount]]) - sales_data_1[[#This Row],[Unit_Cost]])*sales_data_1[[#This Row],[Quantity_Sold]],2), "PASS", "CHECK")</f>
        <v>PASS</v>
      </c>
    </row>
    <row r="2781" spans="1:20" x14ac:dyDescent="0.35">
      <c r="A2781" s="7">
        <v>2780</v>
      </c>
      <c r="B2781" s="9">
        <v>1072</v>
      </c>
      <c r="C2781" s="14" t="str">
        <f>IFERROR(_xlfn.TEXTJOIN("-", TRUE, _xlfn.XLOOKUP(K2781, product_category_id_lookup!$A$2:$A$5, product_category_id_lookup!$B$2:$B$5), B2781), "Unknown Category")</f>
        <v>fd-1072</v>
      </c>
      <c r="D2781" s="8">
        <v>45506</v>
      </c>
      <c r="E2781" s="14">
        <f t="shared" si="129"/>
        <v>2024</v>
      </c>
      <c r="F2781" s="29" t="str">
        <f t="shared" si="130"/>
        <v>Aug</v>
      </c>
      <c r="G2781" s="17" t="s">
        <v>29</v>
      </c>
      <c r="H2781" s="17" t="s">
        <v>23</v>
      </c>
      <c r="I2781" s="24">
        <v>78962.612503807875</v>
      </c>
      <c r="J2781" s="32">
        <v>35</v>
      </c>
      <c r="K2781" s="17" t="s">
        <v>24</v>
      </c>
      <c r="L2781" s="24">
        <v>2130.7800000000002</v>
      </c>
      <c r="M2781" s="24">
        <v>2314.41</v>
      </c>
      <c r="N2781" s="34">
        <f>((sales_data_1[[#This Row],[Unit_Price]]*(1-sales_data_1[[#This Row],[Discount]]))-sales_data_1[[#This Row],[Unit_Cost]])*sales_data_1[[#This Row],[Quantity_Sold]]</f>
        <v>3996.91949999999</v>
      </c>
      <c r="O2781" s="17" t="s">
        <v>27</v>
      </c>
      <c r="P2781" s="26">
        <v>0.03</v>
      </c>
      <c r="Q2781" s="17" t="s">
        <v>18</v>
      </c>
      <c r="R2781" s="17" t="s">
        <v>19</v>
      </c>
      <c r="S2781" s="50" t="str">
        <f t="shared" si="131"/>
        <v>Charlie-South</v>
      </c>
      <c r="T2781" s="59" t="str">
        <f>IF(ROUND(sales_data_1[[#This Row],[Profit_Margin]],2)=ROUND((sales_data_1[[#This Row],[Unit_Price]]*(1-sales_data_1[[#This Row],[Discount]]) - sales_data_1[[#This Row],[Unit_Cost]])*sales_data_1[[#This Row],[Quantity_Sold]],2), "PASS", "CHECK")</f>
        <v>PASS</v>
      </c>
    </row>
    <row r="2782" spans="1:20" x14ac:dyDescent="0.35">
      <c r="A2782" s="7">
        <v>2781</v>
      </c>
      <c r="B2782" s="9">
        <v>1058</v>
      </c>
      <c r="C2782" s="14" t="str">
        <f>IFERROR(_xlfn.TEXTJOIN("-", TRUE, _xlfn.XLOOKUP(K2782, product_category_id_lookup!$A$2:$A$5, product_category_id_lookup!$B$2:$B$5), B2782), "Unknown Category")</f>
        <v>fd-1058</v>
      </c>
      <c r="D2782" s="8">
        <v>45506</v>
      </c>
      <c r="E2782" s="14">
        <f t="shared" si="129"/>
        <v>2024</v>
      </c>
      <c r="F2782" s="29" t="str">
        <f t="shared" si="130"/>
        <v>Aug</v>
      </c>
      <c r="G2782" s="17" t="s">
        <v>22</v>
      </c>
      <c r="H2782" s="17" t="s">
        <v>30</v>
      </c>
      <c r="I2782" s="24">
        <v>78194.97</v>
      </c>
      <c r="J2782" s="32">
        <v>28</v>
      </c>
      <c r="K2782" s="17" t="s">
        <v>24</v>
      </c>
      <c r="L2782" s="24">
        <v>987.04</v>
      </c>
      <c r="M2782" s="24">
        <v>3723.57</v>
      </c>
      <c r="N2782" s="34">
        <f>((sales_data_1[[#This Row],[Unit_Price]]*(1-sales_data_1[[#This Row],[Discount]]))-sales_data_1[[#This Row],[Unit_Cost]])*sales_data_1[[#This Row],[Quantity_Sold]]</f>
        <v>50557.850000000006</v>
      </c>
      <c r="O2782" s="17" t="s">
        <v>17</v>
      </c>
      <c r="P2782" s="26">
        <v>0.25</v>
      </c>
      <c r="Q2782" s="17" t="s">
        <v>28</v>
      </c>
      <c r="R2782" s="17" t="s">
        <v>19</v>
      </c>
      <c r="S2782" s="50" t="str">
        <f t="shared" si="131"/>
        <v>David-East</v>
      </c>
      <c r="T2782" s="59" t="str">
        <f>IF(ROUND(sales_data_1[[#This Row],[Profit_Margin]],2)=ROUND((sales_data_1[[#This Row],[Unit_Price]]*(1-sales_data_1[[#This Row],[Discount]]) - sales_data_1[[#This Row],[Unit_Cost]])*sales_data_1[[#This Row],[Quantity_Sold]],2), "PASS", "CHECK")</f>
        <v>PASS</v>
      </c>
    </row>
    <row r="2783" spans="1:20" x14ac:dyDescent="0.35">
      <c r="A2783" s="7">
        <v>2782</v>
      </c>
      <c r="B2783" s="9">
        <v>1066</v>
      </c>
      <c r="C2783" s="14" t="str">
        <f>IFERROR(_xlfn.TEXTJOIN("-", TRUE, _xlfn.XLOOKUP(K2783, product_category_id_lookup!$A$2:$A$5, product_category_id_lookup!$B$2:$B$5), B2783), "Unknown Category")</f>
        <v>etc-1066</v>
      </c>
      <c r="D2783" s="8">
        <v>45506</v>
      </c>
      <c r="E2783" s="14">
        <f t="shared" si="129"/>
        <v>2024</v>
      </c>
      <c r="F2783" s="29" t="str">
        <f t="shared" si="130"/>
        <v>Aug</v>
      </c>
      <c r="G2783" s="17" t="s">
        <v>14</v>
      </c>
      <c r="H2783" s="17" t="s">
        <v>15</v>
      </c>
      <c r="I2783" s="24">
        <v>70331.395199999999</v>
      </c>
      <c r="J2783" s="32">
        <v>44</v>
      </c>
      <c r="K2783" s="17" t="s">
        <v>31</v>
      </c>
      <c r="L2783" s="24">
        <v>121.71</v>
      </c>
      <c r="M2783" s="24">
        <v>1816.41</v>
      </c>
      <c r="N2783" s="34">
        <f>((sales_data_1[[#This Row],[Unit_Price]]*(1-sales_data_1[[#This Row],[Discount]]))-sales_data_1[[#This Row],[Unit_Cost]])*sales_data_1[[#This Row],[Quantity_Sold]]</f>
        <v>64976.155200000001</v>
      </c>
      <c r="O2783" s="17" t="s">
        <v>17</v>
      </c>
      <c r="P2783" s="26">
        <v>0.12</v>
      </c>
      <c r="Q2783" s="17" t="s">
        <v>18</v>
      </c>
      <c r="R2783" s="17" t="s">
        <v>21</v>
      </c>
      <c r="S2783" s="50" t="str">
        <f t="shared" si="131"/>
        <v>Bob-North</v>
      </c>
      <c r="T2783" s="59" t="str">
        <f>IF(ROUND(sales_data_1[[#This Row],[Profit_Margin]],2)=ROUND((sales_data_1[[#This Row],[Unit_Price]]*(1-sales_data_1[[#This Row],[Discount]]) - sales_data_1[[#This Row],[Unit_Cost]])*sales_data_1[[#This Row],[Quantity_Sold]],2), "PASS", "CHECK")</f>
        <v>PASS</v>
      </c>
    </row>
    <row r="2784" spans="1:20" x14ac:dyDescent="0.35">
      <c r="A2784" s="7">
        <v>2783</v>
      </c>
      <c r="B2784" s="9">
        <v>1045</v>
      </c>
      <c r="C2784" s="14" t="str">
        <f>IFERROR(_xlfn.TEXTJOIN("-", TRUE, _xlfn.XLOOKUP(K2784, product_category_id_lookup!$A$2:$A$5, product_category_id_lookup!$B$2:$B$5), B2784), "Unknown Category")</f>
        <v>ctg-1045</v>
      </c>
      <c r="D2784" s="8">
        <v>45506</v>
      </c>
      <c r="E2784" s="14">
        <f t="shared" si="129"/>
        <v>2024</v>
      </c>
      <c r="F2784" s="29" t="str">
        <f t="shared" si="130"/>
        <v>Aug</v>
      </c>
      <c r="G2784" s="17" t="s">
        <v>22</v>
      </c>
      <c r="H2784" s="17" t="s">
        <v>23</v>
      </c>
      <c r="I2784" s="24">
        <v>140763.98699999999</v>
      </c>
      <c r="J2784" s="32">
        <v>45</v>
      </c>
      <c r="K2784" s="17" t="s">
        <v>26</v>
      </c>
      <c r="L2784" s="24">
        <v>1459.03</v>
      </c>
      <c r="M2784" s="24">
        <v>3437.46</v>
      </c>
      <c r="N2784" s="34">
        <f>((sales_data_1[[#This Row],[Unit_Price]]*(1-sales_data_1[[#This Row],[Discount]]))-sales_data_1[[#This Row],[Unit_Cost]])*sales_data_1[[#This Row],[Quantity_Sold]]</f>
        <v>75107.637000000002</v>
      </c>
      <c r="O2784" s="17" t="s">
        <v>17</v>
      </c>
      <c r="P2784" s="26">
        <v>0.09</v>
      </c>
      <c r="Q2784" s="17" t="s">
        <v>18</v>
      </c>
      <c r="R2784" s="17" t="s">
        <v>21</v>
      </c>
      <c r="S2784" s="50" t="str">
        <f t="shared" si="131"/>
        <v>David-South</v>
      </c>
      <c r="T2784" s="59" t="str">
        <f>IF(ROUND(sales_data_1[[#This Row],[Profit_Margin]],2)=ROUND((sales_data_1[[#This Row],[Unit_Price]]*(1-sales_data_1[[#This Row],[Discount]]) - sales_data_1[[#This Row],[Unit_Cost]])*sales_data_1[[#This Row],[Quantity_Sold]],2), "PASS", "CHECK")</f>
        <v>PASS</v>
      </c>
    </row>
    <row r="2785" spans="1:20" x14ac:dyDescent="0.35">
      <c r="A2785" s="7">
        <v>2784</v>
      </c>
      <c r="B2785" s="9">
        <v>1009</v>
      </c>
      <c r="C2785" s="14" t="str">
        <f>IFERROR(_xlfn.TEXTJOIN("-", TRUE, _xlfn.XLOOKUP(K2785, product_category_id_lookup!$A$2:$A$5, product_category_id_lookup!$B$2:$B$5), B2785), "Unknown Category")</f>
        <v>ctg-1009</v>
      </c>
      <c r="D2785" s="8">
        <v>45507</v>
      </c>
      <c r="E2785" s="14">
        <f t="shared" si="129"/>
        <v>2024</v>
      </c>
      <c r="F2785" s="29" t="str">
        <f t="shared" si="130"/>
        <v>Aug</v>
      </c>
      <c r="G2785" s="17" t="s">
        <v>33</v>
      </c>
      <c r="H2785" s="17" t="s">
        <v>30</v>
      </c>
      <c r="I2785" s="24">
        <v>31247.703999999998</v>
      </c>
      <c r="J2785" s="32">
        <v>19</v>
      </c>
      <c r="K2785" s="17" t="s">
        <v>26</v>
      </c>
      <c r="L2785" s="24">
        <v>364.52</v>
      </c>
      <c r="M2785" s="24">
        <v>2055.77</v>
      </c>
      <c r="N2785" s="34">
        <f>((sales_data_1[[#This Row],[Unit_Price]]*(1-sales_data_1[[#This Row],[Discount]]))-sales_data_1[[#This Row],[Unit_Cost]])*sales_data_1[[#This Row],[Quantity_Sold]]</f>
        <v>24321.824000000001</v>
      </c>
      <c r="O2785" s="17" t="s">
        <v>27</v>
      </c>
      <c r="P2785" s="26">
        <v>0.2</v>
      </c>
      <c r="Q2785" s="17" t="s">
        <v>18</v>
      </c>
      <c r="R2785" s="17" t="s">
        <v>19</v>
      </c>
      <c r="S2785" s="50" t="str">
        <f t="shared" si="131"/>
        <v>Alice-East</v>
      </c>
      <c r="T2785" s="59" t="str">
        <f>IF(ROUND(sales_data_1[[#This Row],[Profit_Margin]],2)=ROUND((sales_data_1[[#This Row],[Unit_Price]]*(1-sales_data_1[[#This Row],[Discount]]) - sales_data_1[[#This Row],[Unit_Cost]])*sales_data_1[[#This Row],[Quantity_Sold]],2), "PASS", "CHECK")</f>
        <v>PASS</v>
      </c>
    </row>
    <row r="2786" spans="1:20" x14ac:dyDescent="0.35">
      <c r="A2786" s="7">
        <v>2785</v>
      </c>
      <c r="B2786" s="9">
        <v>1078</v>
      </c>
      <c r="C2786" s="14" t="str">
        <f>IFERROR(_xlfn.TEXTJOIN("-", TRUE, _xlfn.XLOOKUP(K2786, product_category_id_lookup!$A$2:$A$5, product_category_id_lookup!$B$2:$B$5), B2786), "Unknown Category")</f>
        <v>ctg-1078</v>
      </c>
      <c r="D2786" s="8">
        <v>45508</v>
      </c>
      <c r="E2786" s="14">
        <f t="shared" si="129"/>
        <v>2024</v>
      </c>
      <c r="F2786" s="29" t="str">
        <f t="shared" si="130"/>
        <v>Aug</v>
      </c>
      <c r="G2786" s="17" t="s">
        <v>22</v>
      </c>
      <c r="H2786" s="17" t="s">
        <v>15</v>
      </c>
      <c r="I2786" s="24">
        <v>13611.904151259198</v>
      </c>
      <c r="J2786" s="32">
        <v>3</v>
      </c>
      <c r="K2786" s="17" t="s">
        <v>26</v>
      </c>
      <c r="L2786" s="24">
        <v>4444.88</v>
      </c>
      <c r="M2786" s="24">
        <v>4682.79</v>
      </c>
      <c r="N2786" s="34">
        <f>((sales_data_1[[#This Row],[Unit_Price]]*(1-sales_data_1[[#This Row],[Discount]]))-sales_data_1[[#This Row],[Unit_Cost]])*sales_data_1[[#This Row],[Quantity_Sold]]</f>
        <v>292.27890000000025</v>
      </c>
      <c r="O2786" s="17" t="s">
        <v>17</v>
      </c>
      <c r="P2786" s="26">
        <v>0.03</v>
      </c>
      <c r="Q2786" s="17" t="s">
        <v>25</v>
      </c>
      <c r="R2786" s="17" t="s">
        <v>19</v>
      </c>
      <c r="S2786" s="50" t="str">
        <f t="shared" si="131"/>
        <v>David-North</v>
      </c>
      <c r="T2786" s="59" t="str">
        <f>IF(ROUND(sales_data_1[[#This Row],[Profit_Margin]],2)=ROUND((sales_data_1[[#This Row],[Unit_Price]]*(1-sales_data_1[[#This Row],[Discount]]) - sales_data_1[[#This Row],[Unit_Cost]])*sales_data_1[[#This Row],[Quantity_Sold]],2), "PASS", "CHECK")</f>
        <v>PASS</v>
      </c>
    </row>
    <row r="2787" spans="1:20" x14ac:dyDescent="0.35">
      <c r="A2787" s="7">
        <v>2786</v>
      </c>
      <c r="B2787" s="9">
        <v>1055</v>
      </c>
      <c r="C2787" s="14" t="str">
        <f>IFERROR(_xlfn.TEXTJOIN("-", TRUE, _xlfn.XLOOKUP(K2787, product_category_id_lookup!$A$2:$A$5, product_category_id_lookup!$B$2:$B$5), B2787), "Unknown Category")</f>
        <v>fnt-1055</v>
      </c>
      <c r="D2787" s="8">
        <v>45508</v>
      </c>
      <c r="E2787" s="14">
        <f t="shared" si="129"/>
        <v>2024</v>
      </c>
      <c r="F2787" s="29" t="str">
        <f t="shared" si="130"/>
        <v>Aug</v>
      </c>
      <c r="G2787" s="17" t="s">
        <v>33</v>
      </c>
      <c r="H2787" s="17" t="s">
        <v>20</v>
      </c>
      <c r="I2787" s="24">
        <v>31368.671999999999</v>
      </c>
      <c r="J2787" s="32">
        <v>24</v>
      </c>
      <c r="K2787" s="17" t="s">
        <v>16</v>
      </c>
      <c r="L2787" s="24">
        <v>1220.49</v>
      </c>
      <c r="M2787" s="24">
        <v>1519.8</v>
      </c>
      <c r="N2787" s="34">
        <f>((sales_data_1[[#This Row],[Unit_Price]]*(1-sales_data_1[[#This Row],[Discount]]))-sales_data_1[[#This Row],[Unit_Cost]])*sales_data_1[[#This Row],[Quantity_Sold]]</f>
        <v>2076.9120000000003</v>
      </c>
      <c r="O2787" s="17" t="s">
        <v>17</v>
      </c>
      <c r="P2787" s="26">
        <v>0.14000000000000001</v>
      </c>
      <c r="Q2787" s="17" t="s">
        <v>25</v>
      </c>
      <c r="R2787" s="17" t="s">
        <v>21</v>
      </c>
      <c r="S2787" s="50" t="str">
        <f t="shared" si="131"/>
        <v>Alice-West</v>
      </c>
      <c r="T2787" s="59" t="str">
        <f>IF(ROUND(sales_data_1[[#This Row],[Profit_Margin]],2)=ROUND((sales_data_1[[#This Row],[Unit_Price]]*(1-sales_data_1[[#This Row],[Discount]]) - sales_data_1[[#This Row],[Unit_Cost]])*sales_data_1[[#This Row],[Quantity_Sold]],2), "PASS", "CHECK")</f>
        <v>PASS</v>
      </c>
    </row>
    <row r="2788" spans="1:20" x14ac:dyDescent="0.35">
      <c r="A2788" s="7">
        <v>2787</v>
      </c>
      <c r="B2788" s="9">
        <v>1091</v>
      </c>
      <c r="C2788" s="14" t="str">
        <f>IFERROR(_xlfn.TEXTJOIN("-", TRUE, _xlfn.XLOOKUP(K2788, product_category_id_lookup!$A$2:$A$5, product_category_id_lookup!$B$2:$B$5), B2788), "Unknown Category")</f>
        <v>fd-1091</v>
      </c>
      <c r="D2788" s="8">
        <v>45509</v>
      </c>
      <c r="E2788" s="14">
        <f t="shared" si="129"/>
        <v>2024</v>
      </c>
      <c r="F2788" s="29" t="str">
        <f t="shared" si="130"/>
        <v>Aug</v>
      </c>
      <c r="G2788" s="17" t="s">
        <v>32</v>
      </c>
      <c r="H2788" s="17" t="s">
        <v>30</v>
      </c>
      <c r="I2788" s="24">
        <v>132117.4448</v>
      </c>
      <c r="J2788" s="32">
        <v>34</v>
      </c>
      <c r="K2788" s="17" t="s">
        <v>24</v>
      </c>
      <c r="L2788" s="24">
        <v>1578.05</v>
      </c>
      <c r="M2788" s="24">
        <v>4415.6899999999996</v>
      </c>
      <c r="N2788" s="34">
        <f>((sales_data_1[[#This Row],[Unit_Price]]*(1-sales_data_1[[#This Row],[Discount]]))-sales_data_1[[#This Row],[Unit_Cost]])*sales_data_1[[#This Row],[Quantity_Sold]]</f>
        <v>78463.7448</v>
      </c>
      <c r="O2788" s="17" t="s">
        <v>17</v>
      </c>
      <c r="P2788" s="26">
        <v>0.12</v>
      </c>
      <c r="Q2788" s="17" t="s">
        <v>25</v>
      </c>
      <c r="R2788" s="17" t="s">
        <v>21</v>
      </c>
      <c r="S2788" s="50" t="str">
        <f t="shared" si="131"/>
        <v>Eve-East</v>
      </c>
      <c r="T2788" s="59" t="str">
        <f>IF(ROUND(sales_data_1[[#This Row],[Profit_Margin]],2)=ROUND((sales_data_1[[#This Row],[Unit_Price]]*(1-sales_data_1[[#This Row],[Discount]]) - sales_data_1[[#This Row],[Unit_Cost]])*sales_data_1[[#This Row],[Quantity_Sold]],2), "PASS", "CHECK")</f>
        <v>PASS</v>
      </c>
    </row>
    <row r="2789" spans="1:20" x14ac:dyDescent="0.35">
      <c r="A2789" s="7">
        <v>2788</v>
      </c>
      <c r="B2789" s="9">
        <v>1076</v>
      </c>
      <c r="C2789" s="14" t="str">
        <f>IFERROR(_xlfn.TEXTJOIN("-", TRUE, _xlfn.XLOOKUP(K2789, product_category_id_lookup!$A$2:$A$5, product_category_id_lookup!$B$2:$B$5), B2789), "Unknown Category")</f>
        <v>etc-1076</v>
      </c>
      <c r="D2789" s="8">
        <v>45510</v>
      </c>
      <c r="E2789" s="14">
        <f t="shared" si="129"/>
        <v>2024</v>
      </c>
      <c r="F2789" s="29" t="str">
        <f t="shared" si="130"/>
        <v>Aug</v>
      </c>
      <c r="G2789" s="17" t="s">
        <v>29</v>
      </c>
      <c r="H2789" s="17" t="s">
        <v>23</v>
      </c>
      <c r="I2789" s="24">
        <v>162246.6145</v>
      </c>
      <c r="J2789" s="32">
        <v>41</v>
      </c>
      <c r="K2789" s="17" t="s">
        <v>31</v>
      </c>
      <c r="L2789" s="24">
        <v>2766.5</v>
      </c>
      <c r="M2789" s="24">
        <v>4165.51</v>
      </c>
      <c r="N2789" s="34">
        <f>((sales_data_1[[#This Row],[Unit_Price]]*(1-sales_data_1[[#This Row],[Discount]]))-sales_data_1[[#This Row],[Unit_Cost]])*sales_data_1[[#This Row],[Quantity_Sold]]</f>
        <v>48820.114500000003</v>
      </c>
      <c r="O2789" s="17" t="s">
        <v>27</v>
      </c>
      <c r="P2789" s="26">
        <v>0.05</v>
      </c>
      <c r="Q2789" s="17" t="s">
        <v>28</v>
      </c>
      <c r="R2789" s="17" t="s">
        <v>21</v>
      </c>
      <c r="S2789" s="50" t="str">
        <f t="shared" si="131"/>
        <v>Charlie-South</v>
      </c>
      <c r="T2789" s="59" t="str">
        <f>IF(ROUND(sales_data_1[[#This Row],[Profit_Margin]],2)=ROUND((sales_data_1[[#This Row],[Unit_Price]]*(1-sales_data_1[[#This Row],[Discount]]) - sales_data_1[[#This Row],[Unit_Cost]])*sales_data_1[[#This Row],[Quantity_Sold]],2), "PASS", "CHECK")</f>
        <v>PASS</v>
      </c>
    </row>
    <row r="2790" spans="1:20" x14ac:dyDescent="0.35">
      <c r="A2790" s="7">
        <v>2789</v>
      </c>
      <c r="B2790" s="9">
        <v>1091</v>
      </c>
      <c r="C2790" s="14" t="str">
        <f>IFERROR(_xlfn.TEXTJOIN("-", TRUE, _xlfn.XLOOKUP(K2790, product_category_id_lookup!$A$2:$A$5, product_category_id_lookup!$B$2:$B$5), B2790), "Unknown Category")</f>
        <v>fd-1091</v>
      </c>
      <c r="D2790" s="8">
        <v>45510</v>
      </c>
      <c r="E2790" s="14">
        <f t="shared" si="129"/>
        <v>2024</v>
      </c>
      <c r="F2790" s="29" t="str">
        <f t="shared" si="130"/>
        <v>Aug</v>
      </c>
      <c r="G2790" s="17" t="s">
        <v>14</v>
      </c>
      <c r="H2790" s="17" t="s">
        <v>15</v>
      </c>
      <c r="I2790" s="24">
        <v>151499.6496</v>
      </c>
      <c r="J2790" s="32">
        <v>39</v>
      </c>
      <c r="K2790" s="17" t="s">
        <v>24</v>
      </c>
      <c r="L2790" s="24">
        <v>2182.63</v>
      </c>
      <c r="M2790" s="24">
        <v>4132.5600000000004</v>
      </c>
      <c r="N2790" s="34">
        <f>((sales_data_1[[#This Row],[Unit_Price]]*(1-sales_data_1[[#This Row],[Discount]]))-sales_data_1[[#This Row],[Unit_Cost]])*sales_data_1[[#This Row],[Quantity_Sold]]</f>
        <v>66377.079599999997</v>
      </c>
      <c r="O2790" s="17" t="s">
        <v>17</v>
      </c>
      <c r="P2790" s="26">
        <v>0.06</v>
      </c>
      <c r="Q2790" s="17" t="s">
        <v>25</v>
      </c>
      <c r="R2790" s="17" t="s">
        <v>19</v>
      </c>
      <c r="S2790" s="50" t="str">
        <f t="shared" si="131"/>
        <v>Bob-North</v>
      </c>
      <c r="T2790" s="59" t="str">
        <f>IF(ROUND(sales_data_1[[#This Row],[Profit_Margin]],2)=ROUND((sales_data_1[[#This Row],[Unit_Price]]*(1-sales_data_1[[#This Row],[Discount]]) - sales_data_1[[#This Row],[Unit_Cost]])*sales_data_1[[#This Row],[Quantity_Sold]],2), "PASS", "CHECK")</f>
        <v>PASS</v>
      </c>
    </row>
    <row r="2791" spans="1:20" x14ac:dyDescent="0.35">
      <c r="A2791" s="7">
        <v>2790</v>
      </c>
      <c r="B2791" s="9">
        <v>1092</v>
      </c>
      <c r="C2791" s="14" t="str">
        <f>IFERROR(_xlfn.TEXTJOIN("-", TRUE, _xlfn.XLOOKUP(K2791, product_category_id_lookup!$A$2:$A$5, product_category_id_lookup!$B$2:$B$5), B2791), "Unknown Category")</f>
        <v>etc-1092</v>
      </c>
      <c r="D2791" s="8">
        <v>45510</v>
      </c>
      <c r="E2791" s="14">
        <f t="shared" si="129"/>
        <v>2024</v>
      </c>
      <c r="F2791" s="29" t="str">
        <f t="shared" si="130"/>
        <v>Aug</v>
      </c>
      <c r="G2791" s="17" t="s">
        <v>14</v>
      </c>
      <c r="H2791" s="17" t="s">
        <v>20</v>
      </c>
      <c r="I2791" s="24">
        <v>131997.761</v>
      </c>
      <c r="J2791" s="32">
        <v>47</v>
      </c>
      <c r="K2791" s="17" t="s">
        <v>31</v>
      </c>
      <c r="L2791" s="24">
        <v>422.63</v>
      </c>
      <c r="M2791" s="24">
        <v>4012.09</v>
      </c>
      <c r="N2791" s="34">
        <f>((sales_data_1[[#This Row],[Unit_Price]]*(1-sales_data_1[[#This Row],[Discount]]))-sales_data_1[[#This Row],[Unit_Cost]])*sales_data_1[[#This Row],[Quantity_Sold]]</f>
        <v>112134.15099999998</v>
      </c>
      <c r="O2791" s="17" t="s">
        <v>27</v>
      </c>
      <c r="P2791" s="26">
        <v>0.3</v>
      </c>
      <c r="Q2791" s="17" t="s">
        <v>18</v>
      </c>
      <c r="R2791" s="17" t="s">
        <v>21</v>
      </c>
      <c r="S2791" s="50" t="str">
        <f t="shared" si="131"/>
        <v>Bob-West</v>
      </c>
      <c r="T2791" s="59" t="str">
        <f>IF(ROUND(sales_data_1[[#This Row],[Profit_Margin]],2)=ROUND((sales_data_1[[#This Row],[Unit_Price]]*(1-sales_data_1[[#This Row],[Discount]]) - sales_data_1[[#This Row],[Unit_Cost]])*sales_data_1[[#This Row],[Quantity_Sold]],2), "PASS", "CHECK")</f>
        <v>PASS</v>
      </c>
    </row>
    <row r="2792" spans="1:20" x14ac:dyDescent="0.35">
      <c r="A2792" s="7">
        <v>2791</v>
      </c>
      <c r="B2792" s="9">
        <v>1041</v>
      </c>
      <c r="C2792" s="14" t="str">
        <f>IFERROR(_xlfn.TEXTJOIN("-", TRUE, _xlfn.XLOOKUP(K2792, product_category_id_lookup!$A$2:$A$5, product_category_id_lookup!$B$2:$B$5), B2792), "Unknown Category")</f>
        <v>fnt-1041</v>
      </c>
      <c r="D2792" s="8">
        <v>45511</v>
      </c>
      <c r="E2792" s="14">
        <f t="shared" si="129"/>
        <v>2024</v>
      </c>
      <c r="F2792" s="29" t="str">
        <f t="shared" si="130"/>
        <v>Aug</v>
      </c>
      <c r="G2792" s="17" t="s">
        <v>29</v>
      </c>
      <c r="H2792" s="17" t="s">
        <v>20</v>
      </c>
      <c r="I2792" s="24">
        <v>3131.7940417212717</v>
      </c>
      <c r="J2792" s="32">
        <v>1</v>
      </c>
      <c r="K2792" s="17" t="s">
        <v>16</v>
      </c>
      <c r="L2792" s="24">
        <v>3109.56</v>
      </c>
      <c r="M2792" s="24">
        <v>3138.62</v>
      </c>
      <c r="N2792" s="34">
        <f>((sales_data_1[[#This Row],[Unit_Price]]*(1-sales_data_1[[#This Row],[Discount]]))-sales_data_1[[#This Row],[Unit_Cost]])*sales_data_1[[#This Row],[Quantity_Sold]]</f>
        <v>29.059999999999945</v>
      </c>
      <c r="O2792" s="17" t="s">
        <v>17</v>
      </c>
      <c r="P2792" s="26">
        <v>0</v>
      </c>
      <c r="Q2792" s="17" t="s">
        <v>28</v>
      </c>
      <c r="R2792" s="17" t="s">
        <v>21</v>
      </c>
      <c r="S2792" s="50" t="str">
        <f t="shared" si="131"/>
        <v>Charlie-West</v>
      </c>
      <c r="T2792" s="59" t="str">
        <f>IF(ROUND(sales_data_1[[#This Row],[Profit_Margin]],2)=ROUND((sales_data_1[[#This Row],[Unit_Price]]*(1-sales_data_1[[#This Row],[Discount]]) - sales_data_1[[#This Row],[Unit_Cost]])*sales_data_1[[#This Row],[Quantity_Sold]],2), "PASS", "CHECK")</f>
        <v>PASS</v>
      </c>
    </row>
    <row r="2793" spans="1:20" x14ac:dyDescent="0.35">
      <c r="A2793" s="7">
        <v>2792</v>
      </c>
      <c r="B2793" s="9">
        <v>1007</v>
      </c>
      <c r="C2793" s="14" t="str">
        <f>IFERROR(_xlfn.TEXTJOIN("-", TRUE, _xlfn.XLOOKUP(K2793, product_category_id_lookup!$A$2:$A$5, product_category_id_lookup!$B$2:$B$5), B2793), "Unknown Category")</f>
        <v>fnt-1007</v>
      </c>
      <c r="D2793" s="8">
        <v>45511</v>
      </c>
      <c r="E2793" s="14">
        <f t="shared" si="129"/>
        <v>2024</v>
      </c>
      <c r="F2793" s="29" t="str">
        <f t="shared" si="130"/>
        <v>Aug</v>
      </c>
      <c r="G2793" s="17" t="s">
        <v>29</v>
      </c>
      <c r="H2793" s="17" t="s">
        <v>20</v>
      </c>
      <c r="I2793" s="24">
        <v>51748.350725409779</v>
      </c>
      <c r="J2793" s="32">
        <v>34</v>
      </c>
      <c r="K2793" s="17" t="s">
        <v>16</v>
      </c>
      <c r="L2793" s="24">
        <v>1492.72</v>
      </c>
      <c r="M2793" s="24">
        <v>1522.28</v>
      </c>
      <c r="N2793" s="34">
        <f>((sales_data_1[[#This Row],[Unit_Price]]*(1-sales_data_1[[#This Row],[Discount]]))-sales_data_1[[#This Row],[Unit_Cost]])*sales_data_1[[#This Row],[Quantity_Sold]]</f>
        <v>1005.0399999999981</v>
      </c>
      <c r="O2793" s="17" t="s">
        <v>27</v>
      </c>
      <c r="P2793" s="26">
        <v>0</v>
      </c>
      <c r="Q2793" s="17" t="s">
        <v>28</v>
      </c>
      <c r="R2793" s="17" t="s">
        <v>21</v>
      </c>
      <c r="S2793" s="50" t="str">
        <f t="shared" si="131"/>
        <v>Charlie-West</v>
      </c>
      <c r="T2793" s="59" t="str">
        <f>IF(ROUND(sales_data_1[[#This Row],[Profit_Margin]],2)=ROUND((sales_data_1[[#This Row],[Unit_Price]]*(1-sales_data_1[[#This Row],[Discount]]) - sales_data_1[[#This Row],[Unit_Cost]])*sales_data_1[[#This Row],[Quantity_Sold]],2), "PASS", "CHECK")</f>
        <v>PASS</v>
      </c>
    </row>
    <row r="2794" spans="1:20" x14ac:dyDescent="0.35">
      <c r="A2794" s="7">
        <v>2793</v>
      </c>
      <c r="B2794" s="9">
        <v>1019</v>
      </c>
      <c r="C2794" s="14" t="str">
        <f>IFERROR(_xlfn.TEXTJOIN("-", TRUE, _xlfn.XLOOKUP(K2794, product_category_id_lookup!$A$2:$A$5, product_category_id_lookup!$B$2:$B$5), B2794), "Unknown Category")</f>
        <v>ctg-1019</v>
      </c>
      <c r="D2794" s="8">
        <v>45512</v>
      </c>
      <c r="E2794" s="14">
        <f t="shared" si="129"/>
        <v>2024</v>
      </c>
      <c r="F2794" s="29" t="str">
        <f t="shared" si="130"/>
        <v>Aug</v>
      </c>
      <c r="G2794" s="17" t="s">
        <v>22</v>
      </c>
      <c r="H2794" s="17" t="s">
        <v>20</v>
      </c>
      <c r="I2794" s="24">
        <v>61027.436800000003</v>
      </c>
      <c r="J2794" s="32">
        <v>22</v>
      </c>
      <c r="K2794" s="17" t="s">
        <v>26</v>
      </c>
      <c r="L2794" s="24">
        <v>2440.14</v>
      </c>
      <c r="M2794" s="24">
        <v>3511.36</v>
      </c>
      <c r="N2794" s="34">
        <f>((sales_data_1[[#This Row],[Unit_Price]]*(1-sales_data_1[[#This Row],[Discount]]))-sales_data_1[[#This Row],[Unit_Cost]])*sales_data_1[[#This Row],[Quantity_Sold]]</f>
        <v>7344.3568000000041</v>
      </c>
      <c r="O2794" s="17" t="s">
        <v>17</v>
      </c>
      <c r="P2794" s="26">
        <v>0.21</v>
      </c>
      <c r="Q2794" s="17" t="s">
        <v>28</v>
      </c>
      <c r="R2794" s="17" t="s">
        <v>19</v>
      </c>
      <c r="S2794" s="50" t="str">
        <f t="shared" si="131"/>
        <v>David-West</v>
      </c>
      <c r="T2794" s="59" t="str">
        <f>IF(ROUND(sales_data_1[[#This Row],[Profit_Margin]],2)=ROUND((sales_data_1[[#This Row],[Unit_Price]]*(1-sales_data_1[[#This Row],[Discount]]) - sales_data_1[[#This Row],[Unit_Cost]])*sales_data_1[[#This Row],[Quantity_Sold]],2), "PASS", "CHECK")</f>
        <v>PASS</v>
      </c>
    </row>
    <row r="2795" spans="1:20" x14ac:dyDescent="0.35">
      <c r="A2795" s="7">
        <v>2794</v>
      </c>
      <c r="B2795" s="9">
        <v>1001</v>
      </c>
      <c r="C2795" s="14" t="str">
        <f>IFERROR(_xlfn.TEXTJOIN("-", TRUE, _xlfn.XLOOKUP(K2795, product_category_id_lookup!$A$2:$A$5, product_category_id_lookup!$B$2:$B$5), B2795), "Unknown Category")</f>
        <v>fd-1001</v>
      </c>
      <c r="D2795" s="8">
        <v>45512</v>
      </c>
      <c r="E2795" s="14">
        <f t="shared" si="129"/>
        <v>2024</v>
      </c>
      <c r="F2795" s="29" t="str">
        <f t="shared" si="130"/>
        <v>Aug</v>
      </c>
      <c r="G2795" s="17" t="s">
        <v>14</v>
      </c>
      <c r="H2795" s="17" t="s">
        <v>15</v>
      </c>
      <c r="I2795" s="24">
        <v>65049.029500000011</v>
      </c>
      <c r="J2795" s="32">
        <v>17</v>
      </c>
      <c r="K2795" s="17" t="s">
        <v>24</v>
      </c>
      <c r="L2795" s="24">
        <v>3294.09</v>
      </c>
      <c r="M2795" s="24">
        <v>4204.8500000000004</v>
      </c>
      <c r="N2795" s="34">
        <f>((sales_data_1[[#This Row],[Unit_Price]]*(1-sales_data_1[[#This Row],[Discount]]))-sales_data_1[[#This Row],[Unit_Cost]])*sales_data_1[[#This Row],[Quantity_Sold]]</f>
        <v>9049.4995000000072</v>
      </c>
      <c r="O2795" s="17" t="s">
        <v>17</v>
      </c>
      <c r="P2795" s="26">
        <v>0.09</v>
      </c>
      <c r="Q2795" s="17" t="s">
        <v>18</v>
      </c>
      <c r="R2795" s="17" t="s">
        <v>19</v>
      </c>
      <c r="S2795" s="50" t="str">
        <f t="shared" si="131"/>
        <v>Bob-North</v>
      </c>
      <c r="T2795" s="59" t="str">
        <f>IF(ROUND(sales_data_1[[#This Row],[Profit_Margin]],2)=ROUND((sales_data_1[[#This Row],[Unit_Price]]*(1-sales_data_1[[#This Row],[Discount]]) - sales_data_1[[#This Row],[Unit_Cost]])*sales_data_1[[#This Row],[Quantity_Sold]],2), "PASS", "CHECK")</f>
        <v>PASS</v>
      </c>
    </row>
    <row r="2796" spans="1:20" x14ac:dyDescent="0.35">
      <c r="A2796" s="7">
        <v>2795</v>
      </c>
      <c r="B2796" s="9">
        <v>1016</v>
      </c>
      <c r="C2796" s="14" t="str">
        <f>IFERROR(_xlfn.TEXTJOIN("-", TRUE, _xlfn.XLOOKUP(K2796, product_category_id_lookup!$A$2:$A$5, product_category_id_lookup!$B$2:$B$5), B2796), "Unknown Category")</f>
        <v>ctg-1016</v>
      </c>
      <c r="D2796" s="8">
        <v>45512</v>
      </c>
      <c r="E2796" s="14">
        <f t="shared" si="129"/>
        <v>2024</v>
      </c>
      <c r="F2796" s="29" t="str">
        <f t="shared" si="130"/>
        <v>Aug</v>
      </c>
      <c r="G2796" s="17" t="s">
        <v>32</v>
      </c>
      <c r="H2796" s="17" t="s">
        <v>23</v>
      </c>
      <c r="I2796" s="24">
        <v>48126.78</v>
      </c>
      <c r="J2796" s="32">
        <v>18</v>
      </c>
      <c r="K2796" s="17" t="s">
        <v>26</v>
      </c>
      <c r="L2796" s="24">
        <v>2158.66</v>
      </c>
      <c r="M2796" s="24">
        <v>2673.71</v>
      </c>
      <c r="N2796" s="34">
        <f>((sales_data_1[[#This Row],[Unit_Price]]*(1-sales_data_1[[#This Row],[Discount]]))-sales_data_1[[#This Row],[Unit_Cost]])*sales_data_1[[#This Row],[Quantity_Sold]]</f>
        <v>9270.9000000000033</v>
      </c>
      <c r="O2796" s="17" t="s">
        <v>17</v>
      </c>
      <c r="P2796" s="26">
        <v>0</v>
      </c>
      <c r="Q2796" s="17" t="s">
        <v>25</v>
      </c>
      <c r="R2796" s="17" t="s">
        <v>21</v>
      </c>
      <c r="S2796" s="50" t="str">
        <f t="shared" si="131"/>
        <v>Eve-South</v>
      </c>
      <c r="T2796" s="59" t="str">
        <f>IF(ROUND(sales_data_1[[#This Row],[Profit_Margin]],2)=ROUND((sales_data_1[[#This Row],[Unit_Price]]*(1-sales_data_1[[#This Row],[Discount]]) - sales_data_1[[#This Row],[Unit_Cost]])*sales_data_1[[#This Row],[Quantity_Sold]],2), "PASS", "CHECK")</f>
        <v>PASS</v>
      </c>
    </row>
    <row r="2797" spans="1:20" x14ac:dyDescent="0.35">
      <c r="A2797" s="7">
        <v>2796</v>
      </c>
      <c r="B2797" s="9">
        <v>1063</v>
      </c>
      <c r="C2797" s="14" t="str">
        <f>IFERROR(_xlfn.TEXTJOIN("-", TRUE, _xlfn.XLOOKUP(K2797, product_category_id_lookup!$A$2:$A$5, product_category_id_lookup!$B$2:$B$5), B2797), "Unknown Category")</f>
        <v>etc-1063</v>
      </c>
      <c r="D2797" s="8">
        <v>45512</v>
      </c>
      <c r="E2797" s="14">
        <f t="shared" si="129"/>
        <v>2024</v>
      </c>
      <c r="F2797" s="29" t="str">
        <f t="shared" si="130"/>
        <v>Aug</v>
      </c>
      <c r="G2797" s="17" t="s">
        <v>22</v>
      </c>
      <c r="H2797" s="17" t="s">
        <v>30</v>
      </c>
      <c r="I2797" s="24">
        <v>200284.36800000005</v>
      </c>
      <c r="J2797" s="32">
        <v>46</v>
      </c>
      <c r="K2797" s="17" t="s">
        <v>31</v>
      </c>
      <c r="L2797" s="24">
        <v>3324.54</v>
      </c>
      <c r="M2797" s="24">
        <v>5442.51</v>
      </c>
      <c r="N2797" s="34">
        <f>((sales_data_1[[#This Row],[Unit_Price]]*(1-sales_data_1[[#This Row],[Discount]]))-sales_data_1[[#This Row],[Unit_Cost]])*sales_data_1[[#This Row],[Quantity_Sold]]</f>
        <v>47355.528000000035</v>
      </c>
      <c r="O2797" s="17" t="s">
        <v>27</v>
      </c>
      <c r="P2797" s="26">
        <v>0.2</v>
      </c>
      <c r="Q2797" s="17" t="s">
        <v>25</v>
      </c>
      <c r="R2797" s="17" t="s">
        <v>19</v>
      </c>
      <c r="S2797" s="50" t="str">
        <f t="shared" si="131"/>
        <v>David-East</v>
      </c>
      <c r="T2797" s="59" t="str">
        <f>IF(ROUND(sales_data_1[[#This Row],[Profit_Margin]],2)=ROUND((sales_data_1[[#This Row],[Unit_Price]]*(1-sales_data_1[[#This Row],[Discount]]) - sales_data_1[[#This Row],[Unit_Cost]])*sales_data_1[[#This Row],[Quantity_Sold]],2), "PASS", "CHECK")</f>
        <v>PASS</v>
      </c>
    </row>
    <row r="2798" spans="1:20" x14ac:dyDescent="0.35">
      <c r="A2798" s="7">
        <v>2797</v>
      </c>
      <c r="B2798" s="9">
        <v>1028</v>
      </c>
      <c r="C2798" s="14" t="str">
        <f>IFERROR(_xlfn.TEXTJOIN("-", TRUE, _xlfn.XLOOKUP(K2798, product_category_id_lookup!$A$2:$A$5, product_category_id_lookup!$B$2:$B$5), B2798), "Unknown Category")</f>
        <v>fd-1028</v>
      </c>
      <c r="D2798" s="8">
        <v>45513</v>
      </c>
      <c r="E2798" s="14">
        <f t="shared" si="129"/>
        <v>2024</v>
      </c>
      <c r="F2798" s="29" t="str">
        <f t="shared" si="130"/>
        <v>Aug</v>
      </c>
      <c r="G2798" s="17" t="s">
        <v>32</v>
      </c>
      <c r="H2798" s="17" t="s">
        <v>15</v>
      </c>
      <c r="I2798" s="24">
        <v>19218.963200000002</v>
      </c>
      <c r="J2798" s="32">
        <v>8</v>
      </c>
      <c r="K2798" s="17" t="s">
        <v>24</v>
      </c>
      <c r="L2798" s="24">
        <v>945.84</v>
      </c>
      <c r="M2798" s="24">
        <v>2929.72</v>
      </c>
      <c r="N2798" s="34">
        <f>((sales_data_1[[#This Row],[Unit_Price]]*(1-sales_data_1[[#This Row],[Discount]]))-sales_data_1[[#This Row],[Unit_Cost]])*sales_data_1[[#This Row],[Quantity_Sold]]</f>
        <v>11652.243200000001</v>
      </c>
      <c r="O2798" s="17" t="s">
        <v>17</v>
      </c>
      <c r="P2798" s="26">
        <v>0.18</v>
      </c>
      <c r="Q2798" s="17" t="s">
        <v>18</v>
      </c>
      <c r="R2798" s="17" t="s">
        <v>21</v>
      </c>
      <c r="S2798" s="50" t="str">
        <f t="shared" si="131"/>
        <v>Eve-North</v>
      </c>
      <c r="T2798" s="59" t="str">
        <f>IF(ROUND(sales_data_1[[#This Row],[Profit_Margin]],2)=ROUND((sales_data_1[[#This Row],[Unit_Price]]*(1-sales_data_1[[#This Row],[Discount]]) - sales_data_1[[#This Row],[Unit_Cost]])*sales_data_1[[#This Row],[Quantity_Sold]],2), "PASS", "CHECK")</f>
        <v>PASS</v>
      </c>
    </row>
    <row r="2799" spans="1:20" x14ac:dyDescent="0.35">
      <c r="A2799" s="7">
        <v>2798</v>
      </c>
      <c r="B2799" s="9">
        <v>1010</v>
      </c>
      <c r="C2799" s="14" t="str">
        <f>IFERROR(_xlfn.TEXTJOIN("-", TRUE, _xlfn.XLOOKUP(K2799, product_category_id_lookup!$A$2:$A$5, product_category_id_lookup!$B$2:$B$5), B2799), "Unknown Category")</f>
        <v>fnt-1010</v>
      </c>
      <c r="D2799" s="8">
        <v>45513</v>
      </c>
      <c r="E2799" s="14">
        <f t="shared" si="129"/>
        <v>2024</v>
      </c>
      <c r="F2799" s="29" t="str">
        <f t="shared" si="130"/>
        <v>Aug</v>
      </c>
      <c r="G2799" s="17" t="s">
        <v>14</v>
      </c>
      <c r="H2799" s="17" t="s">
        <v>15</v>
      </c>
      <c r="I2799" s="24">
        <v>133370.77319092184</v>
      </c>
      <c r="J2799" s="32">
        <v>30</v>
      </c>
      <c r="K2799" s="17" t="s">
        <v>16</v>
      </c>
      <c r="L2799" s="24">
        <v>3803.22</v>
      </c>
      <c r="M2799" s="24">
        <v>4495.83</v>
      </c>
      <c r="N2799" s="34">
        <f>((sales_data_1[[#This Row],[Unit_Price]]*(1-sales_data_1[[#This Row],[Discount]]))-sales_data_1[[#This Row],[Unit_Cost]])*sales_data_1[[#This Row],[Quantity_Sold]]</f>
        <v>19429.550999999996</v>
      </c>
      <c r="O2799" s="17" t="s">
        <v>17</v>
      </c>
      <c r="P2799" s="26">
        <v>0.01</v>
      </c>
      <c r="Q2799" s="17" t="s">
        <v>28</v>
      </c>
      <c r="R2799" s="17" t="s">
        <v>19</v>
      </c>
      <c r="S2799" s="50" t="str">
        <f t="shared" si="131"/>
        <v>Bob-North</v>
      </c>
      <c r="T2799" s="59" t="str">
        <f>IF(ROUND(sales_data_1[[#This Row],[Profit_Margin]],2)=ROUND((sales_data_1[[#This Row],[Unit_Price]]*(1-sales_data_1[[#This Row],[Discount]]) - sales_data_1[[#This Row],[Unit_Cost]])*sales_data_1[[#This Row],[Quantity_Sold]],2), "PASS", "CHECK")</f>
        <v>PASS</v>
      </c>
    </row>
    <row r="2800" spans="1:20" x14ac:dyDescent="0.35">
      <c r="A2800" s="7">
        <v>2799</v>
      </c>
      <c r="B2800" s="9">
        <v>1075</v>
      </c>
      <c r="C2800" s="14" t="str">
        <f>IFERROR(_xlfn.TEXTJOIN("-", TRUE, _xlfn.XLOOKUP(K2800, product_category_id_lookup!$A$2:$A$5, product_category_id_lookup!$B$2:$B$5), B2800), "Unknown Category")</f>
        <v>fd-1075</v>
      </c>
      <c r="D2800" s="8">
        <v>45514</v>
      </c>
      <c r="E2800" s="14">
        <f t="shared" si="129"/>
        <v>2024</v>
      </c>
      <c r="F2800" s="29" t="str">
        <f t="shared" si="130"/>
        <v>Aug</v>
      </c>
      <c r="G2800" s="17" t="s">
        <v>14</v>
      </c>
      <c r="H2800" s="17" t="s">
        <v>20</v>
      </c>
      <c r="I2800" s="24">
        <v>112326.45304084945</v>
      </c>
      <c r="J2800" s="32">
        <v>23</v>
      </c>
      <c r="K2800" s="17" t="s">
        <v>24</v>
      </c>
      <c r="L2800" s="24">
        <v>4086.48</v>
      </c>
      <c r="M2800" s="24">
        <v>4949.2</v>
      </c>
      <c r="N2800" s="34">
        <f>((sales_data_1[[#This Row],[Unit_Price]]*(1-sales_data_1[[#This Row],[Discount]]))-sales_data_1[[#This Row],[Unit_Cost]])*sales_data_1[[#This Row],[Quantity_Sold]]</f>
        <v>18704.243999999992</v>
      </c>
      <c r="O2800" s="17" t="s">
        <v>17</v>
      </c>
      <c r="P2800" s="26">
        <v>0.01</v>
      </c>
      <c r="Q2800" s="17" t="s">
        <v>25</v>
      </c>
      <c r="R2800" s="17" t="s">
        <v>19</v>
      </c>
      <c r="S2800" s="50" t="str">
        <f t="shared" si="131"/>
        <v>Bob-West</v>
      </c>
      <c r="T2800" s="59" t="str">
        <f>IF(ROUND(sales_data_1[[#This Row],[Profit_Margin]],2)=ROUND((sales_data_1[[#This Row],[Unit_Price]]*(1-sales_data_1[[#This Row],[Discount]]) - sales_data_1[[#This Row],[Unit_Cost]])*sales_data_1[[#This Row],[Quantity_Sold]],2), "PASS", "CHECK")</f>
        <v>PASS</v>
      </c>
    </row>
    <row r="2801" spans="1:20" x14ac:dyDescent="0.35">
      <c r="A2801" s="7">
        <v>2800</v>
      </c>
      <c r="B2801" s="9">
        <v>1021</v>
      </c>
      <c r="C2801" s="14" t="str">
        <f>IFERROR(_xlfn.TEXTJOIN("-", TRUE, _xlfn.XLOOKUP(K2801, product_category_id_lookup!$A$2:$A$5, product_category_id_lookup!$B$2:$B$5), B2801), "Unknown Category")</f>
        <v>fnt-1021</v>
      </c>
      <c r="D2801" s="8">
        <v>45515</v>
      </c>
      <c r="E2801" s="14">
        <f t="shared" si="129"/>
        <v>2024</v>
      </c>
      <c r="F2801" s="29" t="str">
        <f t="shared" si="130"/>
        <v>Aug</v>
      </c>
      <c r="G2801" s="17" t="s">
        <v>32</v>
      </c>
      <c r="H2801" s="17" t="s">
        <v>15</v>
      </c>
      <c r="I2801" s="24">
        <v>31635.057999999997</v>
      </c>
      <c r="J2801" s="32">
        <v>26</v>
      </c>
      <c r="K2801" s="17" t="s">
        <v>16</v>
      </c>
      <c r="L2801" s="24">
        <v>1195.3599999999999</v>
      </c>
      <c r="M2801" s="24">
        <v>1738.19</v>
      </c>
      <c r="N2801" s="34">
        <f>((sales_data_1[[#This Row],[Unit_Price]]*(1-sales_data_1[[#This Row],[Discount]]))-sales_data_1[[#This Row],[Unit_Cost]])*sales_data_1[[#This Row],[Quantity_Sold]]</f>
        <v>555.69800000000123</v>
      </c>
      <c r="O2801" s="17" t="s">
        <v>17</v>
      </c>
      <c r="P2801" s="26">
        <v>0.3</v>
      </c>
      <c r="Q2801" s="17" t="s">
        <v>18</v>
      </c>
      <c r="R2801" s="17" t="s">
        <v>21</v>
      </c>
      <c r="S2801" s="50" t="str">
        <f t="shared" si="131"/>
        <v>Eve-North</v>
      </c>
      <c r="T2801" s="59" t="str">
        <f>IF(ROUND(sales_data_1[[#This Row],[Profit_Margin]],2)=ROUND((sales_data_1[[#This Row],[Unit_Price]]*(1-sales_data_1[[#This Row],[Discount]]) - sales_data_1[[#This Row],[Unit_Cost]])*sales_data_1[[#This Row],[Quantity_Sold]],2), "PASS", "CHECK")</f>
        <v>PASS</v>
      </c>
    </row>
    <row r="2802" spans="1:20" x14ac:dyDescent="0.35">
      <c r="A2802" s="7">
        <v>2801</v>
      </c>
      <c r="B2802" s="9">
        <v>1073</v>
      </c>
      <c r="C2802" s="14" t="str">
        <f>IFERROR(_xlfn.TEXTJOIN("-", TRUE, _xlfn.XLOOKUP(K2802, product_category_id_lookup!$A$2:$A$5, product_category_id_lookup!$B$2:$B$5), B2802), "Unknown Category")</f>
        <v>fd-1073</v>
      </c>
      <c r="D2802" s="8">
        <v>45516</v>
      </c>
      <c r="E2802" s="14">
        <f t="shared" si="129"/>
        <v>2024</v>
      </c>
      <c r="F2802" s="29" t="str">
        <f t="shared" si="130"/>
        <v>Aug</v>
      </c>
      <c r="G2802" s="17" t="s">
        <v>32</v>
      </c>
      <c r="H2802" s="17" t="s">
        <v>20</v>
      </c>
      <c r="I2802" s="24">
        <v>80018.404999999999</v>
      </c>
      <c r="J2802" s="32">
        <v>38</v>
      </c>
      <c r="K2802" s="17" t="s">
        <v>24</v>
      </c>
      <c r="L2802" s="24">
        <v>400.29</v>
      </c>
      <c r="M2802" s="24">
        <v>2477.35</v>
      </c>
      <c r="N2802" s="34">
        <f>((sales_data_1[[#This Row],[Unit_Price]]*(1-sales_data_1[[#This Row],[Discount]]))-sales_data_1[[#This Row],[Unit_Cost]])*sales_data_1[[#This Row],[Quantity_Sold]]</f>
        <v>64807.385000000002</v>
      </c>
      <c r="O2802" s="17" t="s">
        <v>27</v>
      </c>
      <c r="P2802" s="26">
        <v>0.15</v>
      </c>
      <c r="Q2802" s="17" t="s">
        <v>28</v>
      </c>
      <c r="R2802" s="17" t="s">
        <v>19</v>
      </c>
      <c r="S2802" s="50" t="str">
        <f t="shared" si="131"/>
        <v>Eve-West</v>
      </c>
      <c r="T2802" s="59" t="str">
        <f>IF(ROUND(sales_data_1[[#This Row],[Profit_Margin]],2)=ROUND((sales_data_1[[#This Row],[Unit_Price]]*(1-sales_data_1[[#This Row],[Discount]]) - sales_data_1[[#This Row],[Unit_Cost]])*sales_data_1[[#This Row],[Quantity_Sold]],2), "PASS", "CHECK")</f>
        <v>PASS</v>
      </c>
    </row>
    <row r="2803" spans="1:20" x14ac:dyDescent="0.35">
      <c r="A2803" s="7">
        <v>2802</v>
      </c>
      <c r="B2803" s="9">
        <v>1022</v>
      </c>
      <c r="C2803" s="14" t="str">
        <f>IFERROR(_xlfn.TEXTJOIN("-", TRUE, _xlfn.XLOOKUP(K2803, product_category_id_lookup!$A$2:$A$5, product_category_id_lookup!$B$2:$B$5), B2803), "Unknown Category")</f>
        <v>fnt-1022</v>
      </c>
      <c r="D2803" s="8">
        <v>45516</v>
      </c>
      <c r="E2803" s="14">
        <f t="shared" si="129"/>
        <v>2024</v>
      </c>
      <c r="F2803" s="29" t="str">
        <f t="shared" si="130"/>
        <v>Aug</v>
      </c>
      <c r="G2803" s="17" t="s">
        <v>32</v>
      </c>
      <c r="H2803" s="17" t="s">
        <v>15</v>
      </c>
      <c r="I2803" s="24">
        <v>124332.71319999998</v>
      </c>
      <c r="J2803" s="32">
        <v>37</v>
      </c>
      <c r="K2803" s="17" t="s">
        <v>16</v>
      </c>
      <c r="L2803" s="24">
        <v>1340.94</v>
      </c>
      <c r="M2803" s="24">
        <v>4097.9799999999996</v>
      </c>
      <c r="N2803" s="34">
        <f>((sales_data_1[[#This Row],[Unit_Price]]*(1-sales_data_1[[#This Row],[Discount]]))-sales_data_1[[#This Row],[Unit_Cost]])*sales_data_1[[#This Row],[Quantity_Sold]]</f>
        <v>74717.933199999985</v>
      </c>
      <c r="O2803" s="17" t="s">
        <v>17</v>
      </c>
      <c r="P2803" s="26">
        <v>0.18</v>
      </c>
      <c r="Q2803" s="17" t="s">
        <v>28</v>
      </c>
      <c r="R2803" s="17" t="s">
        <v>21</v>
      </c>
      <c r="S2803" s="50" t="str">
        <f t="shared" si="131"/>
        <v>Eve-North</v>
      </c>
      <c r="T2803" s="59" t="str">
        <f>IF(ROUND(sales_data_1[[#This Row],[Profit_Margin]],2)=ROUND((sales_data_1[[#This Row],[Unit_Price]]*(1-sales_data_1[[#This Row],[Discount]]) - sales_data_1[[#This Row],[Unit_Cost]])*sales_data_1[[#This Row],[Quantity_Sold]],2), "PASS", "CHECK")</f>
        <v>PASS</v>
      </c>
    </row>
    <row r="2804" spans="1:20" x14ac:dyDescent="0.35">
      <c r="A2804" s="7">
        <v>2803</v>
      </c>
      <c r="B2804" s="9">
        <v>1087</v>
      </c>
      <c r="C2804" s="14" t="str">
        <f>IFERROR(_xlfn.TEXTJOIN("-", TRUE, _xlfn.XLOOKUP(K2804, product_category_id_lookup!$A$2:$A$5, product_category_id_lookup!$B$2:$B$5), B2804), "Unknown Category")</f>
        <v>etc-1087</v>
      </c>
      <c r="D2804" s="8">
        <v>45517</v>
      </c>
      <c r="E2804" s="14">
        <f t="shared" si="129"/>
        <v>2024</v>
      </c>
      <c r="F2804" s="29" t="str">
        <f t="shared" si="130"/>
        <v>Aug</v>
      </c>
      <c r="G2804" s="17" t="s">
        <v>33</v>
      </c>
      <c r="H2804" s="17" t="s">
        <v>23</v>
      </c>
      <c r="I2804" s="24">
        <v>3024.6697736005294</v>
      </c>
      <c r="J2804" s="32">
        <v>1</v>
      </c>
      <c r="K2804" s="17" t="s">
        <v>31</v>
      </c>
      <c r="L2804" s="24">
        <v>2660.48</v>
      </c>
      <c r="M2804" s="24">
        <v>3183.85</v>
      </c>
      <c r="N2804" s="34">
        <f>((sales_data_1[[#This Row],[Unit_Price]]*(1-sales_data_1[[#This Row],[Discount]]))-sales_data_1[[#This Row],[Unit_Cost]])*sales_data_1[[#This Row],[Quantity_Sold]]</f>
        <v>364.17749999999978</v>
      </c>
      <c r="O2804" s="17" t="s">
        <v>17</v>
      </c>
      <c r="P2804" s="26">
        <v>0.05</v>
      </c>
      <c r="Q2804" s="17" t="s">
        <v>25</v>
      </c>
      <c r="R2804" s="17" t="s">
        <v>19</v>
      </c>
      <c r="S2804" s="50" t="str">
        <f t="shared" si="131"/>
        <v>Alice-South</v>
      </c>
      <c r="T2804" s="59" t="str">
        <f>IF(ROUND(sales_data_1[[#This Row],[Profit_Margin]],2)=ROUND((sales_data_1[[#This Row],[Unit_Price]]*(1-sales_data_1[[#This Row],[Discount]]) - sales_data_1[[#This Row],[Unit_Cost]])*sales_data_1[[#This Row],[Quantity_Sold]],2), "PASS", "CHECK")</f>
        <v>PASS</v>
      </c>
    </row>
    <row r="2805" spans="1:20" x14ac:dyDescent="0.35">
      <c r="A2805" s="7">
        <v>2804</v>
      </c>
      <c r="B2805" s="9">
        <v>1043</v>
      </c>
      <c r="C2805" s="14" t="str">
        <f>IFERROR(_xlfn.TEXTJOIN("-", TRUE, _xlfn.XLOOKUP(K2805, product_category_id_lookup!$A$2:$A$5, product_category_id_lookup!$B$2:$B$5), B2805), "Unknown Category")</f>
        <v>fnt-1043</v>
      </c>
      <c r="D2805" s="8">
        <v>45517</v>
      </c>
      <c r="E2805" s="14">
        <f t="shared" si="129"/>
        <v>2024</v>
      </c>
      <c r="F2805" s="29" t="str">
        <f t="shared" si="130"/>
        <v>Aug</v>
      </c>
      <c r="G2805" s="17" t="s">
        <v>14</v>
      </c>
      <c r="H2805" s="17" t="s">
        <v>15</v>
      </c>
      <c r="I2805" s="24">
        <v>53171.318199999994</v>
      </c>
      <c r="J2805" s="32">
        <v>11</v>
      </c>
      <c r="K2805" s="17" t="s">
        <v>16</v>
      </c>
      <c r="L2805" s="24">
        <v>1383.55</v>
      </c>
      <c r="M2805" s="24">
        <v>5311.82</v>
      </c>
      <c r="N2805" s="34">
        <f>((sales_data_1[[#This Row],[Unit_Price]]*(1-sales_data_1[[#This Row],[Discount]]))-sales_data_1[[#This Row],[Unit_Cost]])*sales_data_1[[#This Row],[Quantity_Sold]]</f>
        <v>37952.268199999999</v>
      </c>
      <c r="O2805" s="17" t="s">
        <v>27</v>
      </c>
      <c r="P2805" s="26">
        <v>0.09</v>
      </c>
      <c r="Q2805" s="17" t="s">
        <v>28</v>
      </c>
      <c r="R2805" s="17" t="s">
        <v>21</v>
      </c>
      <c r="S2805" s="50" t="str">
        <f t="shared" si="131"/>
        <v>Bob-North</v>
      </c>
      <c r="T2805" s="59" t="str">
        <f>IF(ROUND(sales_data_1[[#This Row],[Profit_Margin]],2)=ROUND((sales_data_1[[#This Row],[Unit_Price]]*(1-sales_data_1[[#This Row],[Discount]]) - sales_data_1[[#This Row],[Unit_Cost]])*sales_data_1[[#This Row],[Quantity_Sold]],2), "PASS", "CHECK")</f>
        <v>PASS</v>
      </c>
    </row>
    <row r="2806" spans="1:20" x14ac:dyDescent="0.35">
      <c r="A2806" s="7">
        <v>2805</v>
      </c>
      <c r="B2806" s="9">
        <v>1071</v>
      </c>
      <c r="C2806" s="14" t="str">
        <f>IFERROR(_xlfn.TEXTJOIN("-", TRUE, _xlfn.XLOOKUP(K2806, product_category_id_lookup!$A$2:$A$5, product_category_id_lookup!$B$2:$B$5), B2806), "Unknown Category")</f>
        <v>fd-1071</v>
      </c>
      <c r="D2806" s="8">
        <v>45518</v>
      </c>
      <c r="E2806" s="14">
        <f t="shared" si="129"/>
        <v>2024</v>
      </c>
      <c r="F2806" s="29" t="str">
        <f t="shared" si="130"/>
        <v>Aug</v>
      </c>
      <c r="G2806" s="17" t="s">
        <v>32</v>
      </c>
      <c r="H2806" s="17" t="s">
        <v>30</v>
      </c>
      <c r="I2806" s="24">
        <v>65178.719552679977</v>
      </c>
      <c r="J2806" s="32">
        <v>24</v>
      </c>
      <c r="K2806" s="17" t="s">
        <v>24</v>
      </c>
      <c r="L2806" s="24">
        <v>2622.9</v>
      </c>
      <c r="M2806" s="24">
        <v>2819.51</v>
      </c>
      <c r="N2806" s="34">
        <f>((sales_data_1[[#This Row],[Unit_Price]]*(1-sales_data_1[[#This Row],[Discount]]))-sales_data_1[[#This Row],[Unit_Cost]])*sales_data_1[[#This Row],[Quantity_Sold]]</f>
        <v>2011.9104000000007</v>
      </c>
      <c r="O2806" s="17" t="s">
        <v>17</v>
      </c>
      <c r="P2806" s="26">
        <v>0.04</v>
      </c>
      <c r="Q2806" s="17" t="s">
        <v>18</v>
      </c>
      <c r="R2806" s="17" t="s">
        <v>19</v>
      </c>
      <c r="S2806" s="50" t="str">
        <f t="shared" si="131"/>
        <v>Eve-East</v>
      </c>
      <c r="T2806" s="59" t="str">
        <f>IF(ROUND(sales_data_1[[#This Row],[Profit_Margin]],2)=ROUND((sales_data_1[[#This Row],[Unit_Price]]*(1-sales_data_1[[#This Row],[Discount]]) - sales_data_1[[#This Row],[Unit_Cost]])*sales_data_1[[#This Row],[Quantity_Sold]],2), "PASS", "CHECK")</f>
        <v>PASS</v>
      </c>
    </row>
    <row r="2807" spans="1:20" x14ac:dyDescent="0.35">
      <c r="A2807" s="7">
        <v>2806</v>
      </c>
      <c r="B2807" s="9">
        <v>1075</v>
      </c>
      <c r="C2807" s="14" t="str">
        <f>IFERROR(_xlfn.TEXTJOIN("-", TRUE, _xlfn.XLOOKUP(K2807, product_category_id_lookup!$A$2:$A$5, product_category_id_lookup!$B$2:$B$5), B2807), "Unknown Category")</f>
        <v>fd-1075</v>
      </c>
      <c r="D2807" s="8">
        <v>45518</v>
      </c>
      <c r="E2807" s="14">
        <f t="shared" si="129"/>
        <v>2024</v>
      </c>
      <c r="F2807" s="29" t="str">
        <f t="shared" si="130"/>
        <v>Aug</v>
      </c>
      <c r="G2807" s="17" t="s">
        <v>33</v>
      </c>
      <c r="H2807" s="17" t="s">
        <v>30</v>
      </c>
      <c r="I2807" s="24">
        <v>144033.386</v>
      </c>
      <c r="J2807" s="32">
        <v>35</v>
      </c>
      <c r="K2807" s="17" t="s">
        <v>24</v>
      </c>
      <c r="L2807" s="24">
        <v>3774.51</v>
      </c>
      <c r="M2807" s="24">
        <v>4958.12</v>
      </c>
      <c r="N2807" s="34">
        <f>((sales_data_1[[#This Row],[Unit_Price]]*(1-sales_data_1[[#This Row],[Discount]]))-sales_data_1[[#This Row],[Unit_Cost]])*sales_data_1[[#This Row],[Quantity_Sold]]</f>
        <v>11925.535999999989</v>
      </c>
      <c r="O2807" s="17" t="s">
        <v>17</v>
      </c>
      <c r="P2807" s="26">
        <v>0.17</v>
      </c>
      <c r="Q2807" s="17" t="s">
        <v>18</v>
      </c>
      <c r="R2807" s="17" t="s">
        <v>19</v>
      </c>
      <c r="S2807" s="50" t="str">
        <f t="shared" si="131"/>
        <v>Alice-East</v>
      </c>
      <c r="T2807" s="59" t="str">
        <f>IF(ROUND(sales_data_1[[#This Row],[Profit_Margin]],2)=ROUND((sales_data_1[[#This Row],[Unit_Price]]*(1-sales_data_1[[#This Row],[Discount]]) - sales_data_1[[#This Row],[Unit_Cost]])*sales_data_1[[#This Row],[Quantity_Sold]],2), "PASS", "CHECK")</f>
        <v>PASS</v>
      </c>
    </row>
    <row r="2808" spans="1:20" x14ac:dyDescent="0.35">
      <c r="A2808" s="7">
        <v>2807</v>
      </c>
      <c r="B2808" s="9">
        <v>1005</v>
      </c>
      <c r="C2808" s="14" t="str">
        <f>IFERROR(_xlfn.TEXTJOIN("-", TRUE, _xlfn.XLOOKUP(K2808, product_category_id_lookup!$A$2:$A$5, product_category_id_lookup!$B$2:$B$5), B2808), "Unknown Category")</f>
        <v>fnt-1005</v>
      </c>
      <c r="D2808" s="8">
        <v>45518</v>
      </c>
      <c r="E2808" s="14">
        <f t="shared" si="129"/>
        <v>2024</v>
      </c>
      <c r="F2808" s="29" t="str">
        <f t="shared" si="130"/>
        <v>Aug</v>
      </c>
      <c r="G2808" s="17" t="s">
        <v>14</v>
      </c>
      <c r="H2808" s="17" t="s">
        <v>20</v>
      </c>
      <c r="I2808" s="24">
        <v>138166.19880000001</v>
      </c>
      <c r="J2808" s="32">
        <v>42</v>
      </c>
      <c r="K2808" s="17" t="s">
        <v>16</v>
      </c>
      <c r="L2808" s="24">
        <v>1057.75</v>
      </c>
      <c r="M2808" s="24">
        <v>3696.26</v>
      </c>
      <c r="N2808" s="34">
        <f>((sales_data_1[[#This Row],[Unit_Price]]*(1-sales_data_1[[#This Row],[Discount]]))-sales_data_1[[#This Row],[Unit_Cost]])*sales_data_1[[#This Row],[Quantity_Sold]]</f>
        <v>93740.698800000013</v>
      </c>
      <c r="O2808" s="17" t="s">
        <v>17</v>
      </c>
      <c r="P2808" s="26">
        <v>0.11</v>
      </c>
      <c r="Q2808" s="17" t="s">
        <v>25</v>
      </c>
      <c r="R2808" s="17" t="s">
        <v>19</v>
      </c>
      <c r="S2808" s="50" t="str">
        <f t="shared" si="131"/>
        <v>Bob-West</v>
      </c>
      <c r="T2808" s="59" t="str">
        <f>IF(ROUND(sales_data_1[[#This Row],[Profit_Margin]],2)=ROUND((sales_data_1[[#This Row],[Unit_Price]]*(1-sales_data_1[[#This Row],[Discount]]) - sales_data_1[[#This Row],[Unit_Cost]])*sales_data_1[[#This Row],[Quantity_Sold]],2), "PASS", "CHECK")</f>
        <v>PASS</v>
      </c>
    </row>
    <row r="2809" spans="1:20" x14ac:dyDescent="0.35">
      <c r="A2809" s="7">
        <v>2808</v>
      </c>
      <c r="B2809" s="9">
        <v>1060</v>
      </c>
      <c r="C2809" s="14" t="str">
        <f>IFERROR(_xlfn.TEXTJOIN("-", TRUE, _xlfn.XLOOKUP(K2809, product_category_id_lookup!$A$2:$A$5, product_category_id_lookup!$B$2:$B$5), B2809), "Unknown Category")</f>
        <v>etc-1060</v>
      </c>
      <c r="D2809" s="8">
        <v>45520</v>
      </c>
      <c r="E2809" s="14">
        <f t="shared" si="129"/>
        <v>2024</v>
      </c>
      <c r="F2809" s="29" t="str">
        <f t="shared" si="130"/>
        <v>Aug</v>
      </c>
      <c r="G2809" s="17" t="s">
        <v>22</v>
      </c>
      <c r="H2809" s="17" t="s">
        <v>30</v>
      </c>
      <c r="I2809" s="24">
        <v>13112.3856</v>
      </c>
      <c r="J2809" s="32">
        <v>4</v>
      </c>
      <c r="K2809" s="17" t="s">
        <v>31</v>
      </c>
      <c r="L2809" s="24">
        <v>2999.61</v>
      </c>
      <c r="M2809" s="24">
        <v>3811.74</v>
      </c>
      <c r="N2809" s="34">
        <f>((sales_data_1[[#This Row],[Unit_Price]]*(1-sales_data_1[[#This Row],[Discount]]))-sales_data_1[[#This Row],[Unit_Cost]])*sales_data_1[[#This Row],[Quantity_Sold]]</f>
        <v>1113.9455999999991</v>
      </c>
      <c r="O2809" s="17" t="s">
        <v>27</v>
      </c>
      <c r="P2809" s="26">
        <v>0.14000000000000001</v>
      </c>
      <c r="Q2809" s="17" t="s">
        <v>18</v>
      </c>
      <c r="R2809" s="17" t="s">
        <v>21</v>
      </c>
      <c r="S2809" s="50" t="str">
        <f t="shared" si="131"/>
        <v>David-East</v>
      </c>
      <c r="T2809" s="59" t="str">
        <f>IF(ROUND(sales_data_1[[#This Row],[Profit_Margin]],2)=ROUND((sales_data_1[[#This Row],[Unit_Price]]*(1-sales_data_1[[#This Row],[Discount]]) - sales_data_1[[#This Row],[Unit_Cost]])*sales_data_1[[#This Row],[Quantity_Sold]],2), "PASS", "CHECK")</f>
        <v>PASS</v>
      </c>
    </row>
    <row r="2810" spans="1:20" x14ac:dyDescent="0.35">
      <c r="A2810" s="7">
        <v>2809</v>
      </c>
      <c r="B2810" s="9">
        <v>1016</v>
      </c>
      <c r="C2810" s="14" t="str">
        <f>IFERROR(_xlfn.TEXTJOIN("-", TRUE, _xlfn.XLOOKUP(K2810, product_category_id_lookup!$A$2:$A$5, product_category_id_lookup!$B$2:$B$5), B2810), "Unknown Category")</f>
        <v>etc-1016</v>
      </c>
      <c r="D2810" s="8">
        <v>45520</v>
      </c>
      <c r="E2810" s="14">
        <f t="shared" si="129"/>
        <v>2024</v>
      </c>
      <c r="F2810" s="29" t="str">
        <f t="shared" si="130"/>
        <v>Aug</v>
      </c>
      <c r="G2810" s="17" t="s">
        <v>14</v>
      </c>
      <c r="H2810" s="17" t="s">
        <v>15</v>
      </c>
      <c r="I2810" s="24">
        <v>20877.152002227158</v>
      </c>
      <c r="J2810" s="32">
        <v>6</v>
      </c>
      <c r="K2810" s="17" t="s">
        <v>31</v>
      </c>
      <c r="L2810" s="24">
        <v>2656.36</v>
      </c>
      <c r="M2810" s="24">
        <v>3595.2</v>
      </c>
      <c r="N2810" s="34">
        <f>((sales_data_1[[#This Row],[Unit_Price]]*(1-sales_data_1[[#This Row],[Discount]]))-sales_data_1[[#This Row],[Unit_Cost]])*sales_data_1[[#This Row],[Quantity_Sold]]</f>
        <v>4985.9039999999968</v>
      </c>
      <c r="O2810" s="17" t="s">
        <v>27</v>
      </c>
      <c r="P2810" s="26">
        <v>0.03</v>
      </c>
      <c r="Q2810" s="17" t="s">
        <v>18</v>
      </c>
      <c r="R2810" s="17" t="s">
        <v>19</v>
      </c>
      <c r="S2810" s="50" t="str">
        <f t="shared" si="131"/>
        <v>Bob-North</v>
      </c>
      <c r="T2810" s="59" t="str">
        <f>IF(ROUND(sales_data_1[[#This Row],[Profit_Margin]],2)=ROUND((sales_data_1[[#This Row],[Unit_Price]]*(1-sales_data_1[[#This Row],[Discount]]) - sales_data_1[[#This Row],[Unit_Cost]])*sales_data_1[[#This Row],[Quantity_Sold]],2), "PASS", "CHECK")</f>
        <v>PASS</v>
      </c>
    </row>
    <row r="2811" spans="1:20" x14ac:dyDescent="0.35">
      <c r="A2811" s="7">
        <v>2810</v>
      </c>
      <c r="B2811" s="9">
        <v>1003</v>
      </c>
      <c r="C2811" s="14" t="str">
        <f>IFERROR(_xlfn.TEXTJOIN("-", TRUE, _xlfn.XLOOKUP(K2811, product_category_id_lookup!$A$2:$A$5, product_category_id_lookup!$B$2:$B$5), B2811), "Unknown Category")</f>
        <v>fnt-1003</v>
      </c>
      <c r="D2811" s="8">
        <v>45520</v>
      </c>
      <c r="E2811" s="14">
        <f t="shared" si="129"/>
        <v>2024</v>
      </c>
      <c r="F2811" s="29" t="str">
        <f t="shared" si="130"/>
        <v>Aug</v>
      </c>
      <c r="G2811" s="17" t="s">
        <v>29</v>
      </c>
      <c r="H2811" s="17" t="s">
        <v>23</v>
      </c>
      <c r="I2811" s="24">
        <v>60487.686000000002</v>
      </c>
      <c r="J2811" s="32">
        <v>14</v>
      </c>
      <c r="K2811" s="17" t="s">
        <v>16</v>
      </c>
      <c r="L2811" s="24">
        <v>3412.38</v>
      </c>
      <c r="M2811" s="24">
        <v>4800.6099999999997</v>
      </c>
      <c r="N2811" s="34">
        <f>((sales_data_1[[#This Row],[Unit_Price]]*(1-sales_data_1[[#This Row],[Discount]]))-sales_data_1[[#This Row],[Unit_Cost]])*sales_data_1[[#This Row],[Quantity_Sold]]</f>
        <v>12714.365999999998</v>
      </c>
      <c r="O2811" s="17" t="s">
        <v>17</v>
      </c>
      <c r="P2811" s="26">
        <v>0.1</v>
      </c>
      <c r="Q2811" s="17" t="s">
        <v>28</v>
      </c>
      <c r="R2811" s="17" t="s">
        <v>19</v>
      </c>
      <c r="S2811" s="50" t="str">
        <f t="shared" si="131"/>
        <v>Charlie-South</v>
      </c>
      <c r="T2811" s="59" t="str">
        <f>IF(ROUND(sales_data_1[[#This Row],[Profit_Margin]],2)=ROUND((sales_data_1[[#This Row],[Unit_Price]]*(1-sales_data_1[[#This Row],[Discount]]) - sales_data_1[[#This Row],[Unit_Cost]])*sales_data_1[[#This Row],[Quantity_Sold]],2), "PASS", "CHECK")</f>
        <v>PASS</v>
      </c>
    </row>
    <row r="2812" spans="1:20" x14ac:dyDescent="0.35">
      <c r="A2812" s="7">
        <v>2811</v>
      </c>
      <c r="B2812" s="9">
        <v>1008</v>
      </c>
      <c r="C2812" s="14" t="str">
        <f>IFERROR(_xlfn.TEXTJOIN("-", TRUE, _xlfn.XLOOKUP(K2812, product_category_id_lookup!$A$2:$A$5, product_category_id_lookup!$B$2:$B$5), B2812), "Unknown Category")</f>
        <v>fd-1008</v>
      </c>
      <c r="D2812" s="8">
        <v>45520</v>
      </c>
      <c r="E2812" s="14">
        <f t="shared" si="129"/>
        <v>2024</v>
      </c>
      <c r="F2812" s="29" t="str">
        <f t="shared" si="130"/>
        <v>Aug</v>
      </c>
      <c r="G2812" s="17" t="s">
        <v>29</v>
      </c>
      <c r="H2812" s="17" t="s">
        <v>15</v>
      </c>
      <c r="I2812" s="24">
        <v>123003.3428</v>
      </c>
      <c r="J2812" s="32">
        <v>26</v>
      </c>
      <c r="K2812" s="17" t="s">
        <v>24</v>
      </c>
      <c r="L2812" s="24">
        <v>318.38</v>
      </c>
      <c r="M2812" s="24">
        <v>5032.87</v>
      </c>
      <c r="N2812" s="34">
        <f>((sales_data_1[[#This Row],[Unit_Price]]*(1-sales_data_1[[#This Row],[Discount]]))-sales_data_1[[#This Row],[Unit_Cost]])*sales_data_1[[#This Row],[Quantity_Sold]]</f>
        <v>114725.46279999999</v>
      </c>
      <c r="O2812" s="17" t="s">
        <v>27</v>
      </c>
      <c r="P2812" s="26">
        <v>0.06</v>
      </c>
      <c r="Q2812" s="17" t="s">
        <v>25</v>
      </c>
      <c r="R2812" s="17" t="s">
        <v>21</v>
      </c>
      <c r="S2812" s="50" t="str">
        <f t="shared" si="131"/>
        <v>Charlie-North</v>
      </c>
      <c r="T2812" s="59" t="str">
        <f>IF(ROUND(sales_data_1[[#This Row],[Profit_Margin]],2)=ROUND((sales_data_1[[#This Row],[Unit_Price]]*(1-sales_data_1[[#This Row],[Discount]]) - sales_data_1[[#This Row],[Unit_Cost]])*sales_data_1[[#This Row],[Quantity_Sold]],2), "PASS", "CHECK")</f>
        <v>PASS</v>
      </c>
    </row>
    <row r="2813" spans="1:20" x14ac:dyDescent="0.35">
      <c r="A2813" s="7">
        <v>2812</v>
      </c>
      <c r="B2813" s="9">
        <v>1066</v>
      </c>
      <c r="C2813" s="14" t="str">
        <f>IFERROR(_xlfn.TEXTJOIN("-", TRUE, _xlfn.XLOOKUP(K2813, product_category_id_lookup!$A$2:$A$5, product_category_id_lookup!$B$2:$B$5), B2813), "Unknown Category")</f>
        <v>fd-1066</v>
      </c>
      <c r="D2813" s="8">
        <v>45521</v>
      </c>
      <c r="E2813" s="14">
        <f t="shared" si="129"/>
        <v>2024</v>
      </c>
      <c r="F2813" s="29" t="str">
        <f t="shared" si="130"/>
        <v>Aug</v>
      </c>
      <c r="G2813" s="17" t="s">
        <v>22</v>
      </c>
      <c r="H2813" s="17" t="s">
        <v>15</v>
      </c>
      <c r="I2813" s="24">
        <v>21441.348000000002</v>
      </c>
      <c r="J2813" s="32">
        <v>6</v>
      </c>
      <c r="K2813" s="17" t="s">
        <v>24</v>
      </c>
      <c r="L2813" s="24">
        <v>2911.92</v>
      </c>
      <c r="M2813" s="24">
        <v>4411.8</v>
      </c>
      <c r="N2813" s="34">
        <f>((sales_data_1[[#This Row],[Unit_Price]]*(1-sales_data_1[[#This Row],[Discount]]))-sales_data_1[[#This Row],[Unit_Cost]])*sales_data_1[[#This Row],[Quantity_Sold]]</f>
        <v>3969.8280000000022</v>
      </c>
      <c r="O2813" s="17" t="s">
        <v>17</v>
      </c>
      <c r="P2813" s="26">
        <v>0.19</v>
      </c>
      <c r="Q2813" s="17" t="s">
        <v>18</v>
      </c>
      <c r="R2813" s="17" t="s">
        <v>21</v>
      </c>
      <c r="S2813" s="50" t="str">
        <f t="shared" si="131"/>
        <v>David-North</v>
      </c>
      <c r="T2813" s="59" t="str">
        <f>IF(ROUND(sales_data_1[[#This Row],[Profit_Margin]],2)=ROUND((sales_data_1[[#This Row],[Unit_Price]]*(1-sales_data_1[[#This Row],[Discount]]) - sales_data_1[[#This Row],[Unit_Cost]])*sales_data_1[[#This Row],[Quantity_Sold]],2), "PASS", "CHECK")</f>
        <v>PASS</v>
      </c>
    </row>
    <row r="2814" spans="1:20" x14ac:dyDescent="0.35">
      <c r="A2814" s="7">
        <v>2813</v>
      </c>
      <c r="B2814" s="9">
        <v>1062</v>
      </c>
      <c r="C2814" s="14" t="str">
        <f>IFERROR(_xlfn.TEXTJOIN("-", TRUE, _xlfn.XLOOKUP(K2814, product_category_id_lookup!$A$2:$A$5, product_category_id_lookup!$B$2:$B$5), B2814), "Unknown Category")</f>
        <v>fd-1062</v>
      </c>
      <c r="D2814" s="8">
        <v>45521</v>
      </c>
      <c r="E2814" s="14">
        <f t="shared" si="129"/>
        <v>2024</v>
      </c>
      <c r="F2814" s="29" t="str">
        <f t="shared" si="130"/>
        <v>Aug</v>
      </c>
      <c r="G2814" s="17" t="s">
        <v>22</v>
      </c>
      <c r="H2814" s="17" t="s">
        <v>20</v>
      </c>
      <c r="I2814" s="24">
        <v>92324.06277252447</v>
      </c>
      <c r="J2814" s="32">
        <v>40</v>
      </c>
      <c r="K2814" s="17" t="s">
        <v>24</v>
      </c>
      <c r="L2814" s="24">
        <v>2201.42</v>
      </c>
      <c r="M2814" s="24">
        <v>2427.42</v>
      </c>
      <c r="N2814" s="34">
        <f>((sales_data_1[[#This Row],[Unit_Price]]*(1-sales_data_1[[#This Row],[Discount]]))-sales_data_1[[#This Row],[Unit_Cost]])*sales_data_1[[#This Row],[Quantity_Sold]]</f>
        <v>4185.1599999999962</v>
      </c>
      <c r="O2814" s="17" t="s">
        <v>27</v>
      </c>
      <c r="P2814" s="26">
        <v>0.05</v>
      </c>
      <c r="Q2814" s="17" t="s">
        <v>25</v>
      </c>
      <c r="R2814" s="17" t="s">
        <v>21</v>
      </c>
      <c r="S2814" s="50" t="str">
        <f t="shared" si="131"/>
        <v>David-West</v>
      </c>
      <c r="T2814" s="59" t="str">
        <f>IF(ROUND(sales_data_1[[#This Row],[Profit_Margin]],2)=ROUND((sales_data_1[[#This Row],[Unit_Price]]*(1-sales_data_1[[#This Row],[Discount]]) - sales_data_1[[#This Row],[Unit_Cost]])*sales_data_1[[#This Row],[Quantity_Sold]],2), "PASS", "CHECK")</f>
        <v>PASS</v>
      </c>
    </row>
    <row r="2815" spans="1:20" x14ac:dyDescent="0.35">
      <c r="A2815" s="7">
        <v>2814</v>
      </c>
      <c r="B2815" s="9">
        <v>1076</v>
      </c>
      <c r="C2815" s="14" t="str">
        <f>IFERROR(_xlfn.TEXTJOIN("-", TRUE, _xlfn.XLOOKUP(K2815, product_category_id_lookup!$A$2:$A$5, product_category_id_lookup!$B$2:$B$5), B2815), "Unknown Category")</f>
        <v>ctg-1076</v>
      </c>
      <c r="D2815" s="8">
        <v>45521</v>
      </c>
      <c r="E2815" s="14">
        <f t="shared" si="129"/>
        <v>2024</v>
      </c>
      <c r="F2815" s="29" t="str">
        <f t="shared" si="130"/>
        <v>Aug</v>
      </c>
      <c r="G2815" s="17" t="s">
        <v>22</v>
      </c>
      <c r="H2815" s="17" t="s">
        <v>15</v>
      </c>
      <c r="I2815" s="24">
        <v>69256.915200000003</v>
      </c>
      <c r="J2815" s="32">
        <v>18</v>
      </c>
      <c r="K2815" s="17" t="s">
        <v>26</v>
      </c>
      <c r="L2815" s="24">
        <v>3203.67</v>
      </c>
      <c r="M2815" s="24">
        <v>5062.6400000000003</v>
      </c>
      <c r="N2815" s="34">
        <f>((sales_data_1[[#This Row],[Unit_Price]]*(1-sales_data_1[[#This Row],[Discount]]))-sales_data_1[[#This Row],[Unit_Cost]])*sales_data_1[[#This Row],[Quantity_Sold]]</f>
        <v>11590.855200000002</v>
      </c>
      <c r="O2815" s="17" t="s">
        <v>27</v>
      </c>
      <c r="P2815" s="26">
        <v>0.24</v>
      </c>
      <c r="Q2815" s="17" t="s">
        <v>28</v>
      </c>
      <c r="R2815" s="17" t="s">
        <v>19</v>
      </c>
      <c r="S2815" s="50" t="str">
        <f t="shared" si="131"/>
        <v>David-North</v>
      </c>
      <c r="T2815" s="59" t="str">
        <f>IF(ROUND(sales_data_1[[#This Row],[Profit_Margin]],2)=ROUND((sales_data_1[[#This Row],[Unit_Price]]*(1-sales_data_1[[#This Row],[Discount]]) - sales_data_1[[#This Row],[Unit_Cost]])*sales_data_1[[#This Row],[Quantity_Sold]],2), "PASS", "CHECK")</f>
        <v>PASS</v>
      </c>
    </row>
    <row r="2816" spans="1:20" x14ac:dyDescent="0.35">
      <c r="A2816" s="7">
        <v>2815</v>
      </c>
      <c r="B2816" s="9">
        <v>1001</v>
      </c>
      <c r="C2816" s="14" t="str">
        <f>IFERROR(_xlfn.TEXTJOIN("-", TRUE, _xlfn.XLOOKUP(K2816, product_category_id_lookup!$A$2:$A$5, product_category_id_lookup!$B$2:$B$5), B2816), "Unknown Category")</f>
        <v>etc-1001</v>
      </c>
      <c r="D2816" s="8">
        <v>45521</v>
      </c>
      <c r="E2816" s="14">
        <f t="shared" si="129"/>
        <v>2024</v>
      </c>
      <c r="F2816" s="29" t="str">
        <f t="shared" si="130"/>
        <v>Aug</v>
      </c>
      <c r="G2816" s="17" t="s">
        <v>29</v>
      </c>
      <c r="H2816" s="17" t="s">
        <v>15</v>
      </c>
      <c r="I2816" s="24">
        <v>171595.584</v>
      </c>
      <c r="J2816" s="32">
        <v>48</v>
      </c>
      <c r="K2816" s="17" t="s">
        <v>31</v>
      </c>
      <c r="L2816" s="24">
        <v>1916.61</v>
      </c>
      <c r="M2816" s="24">
        <v>4525.2</v>
      </c>
      <c r="N2816" s="34">
        <f>((sales_data_1[[#This Row],[Unit_Price]]*(1-sales_data_1[[#This Row],[Discount]]))-sales_data_1[[#This Row],[Unit_Cost]])*sales_data_1[[#This Row],[Quantity_Sold]]</f>
        <v>79598.304000000004</v>
      </c>
      <c r="O2816" s="17" t="s">
        <v>17</v>
      </c>
      <c r="P2816" s="26">
        <v>0.21</v>
      </c>
      <c r="Q2816" s="17" t="s">
        <v>18</v>
      </c>
      <c r="R2816" s="17" t="s">
        <v>19</v>
      </c>
      <c r="S2816" s="50" t="str">
        <f t="shared" si="131"/>
        <v>Charlie-North</v>
      </c>
      <c r="T2816" s="59" t="str">
        <f>IF(ROUND(sales_data_1[[#This Row],[Profit_Margin]],2)=ROUND((sales_data_1[[#This Row],[Unit_Price]]*(1-sales_data_1[[#This Row],[Discount]]) - sales_data_1[[#This Row],[Unit_Cost]])*sales_data_1[[#This Row],[Quantity_Sold]],2), "PASS", "CHECK")</f>
        <v>PASS</v>
      </c>
    </row>
    <row r="2817" spans="1:20" x14ac:dyDescent="0.35">
      <c r="A2817" s="7">
        <v>2816</v>
      </c>
      <c r="B2817" s="9">
        <v>1026</v>
      </c>
      <c r="C2817" s="14" t="str">
        <f>IFERROR(_xlfn.TEXTJOIN("-", TRUE, _xlfn.XLOOKUP(K2817, product_category_id_lookup!$A$2:$A$5, product_category_id_lookup!$B$2:$B$5), B2817), "Unknown Category")</f>
        <v>fnt-1026</v>
      </c>
      <c r="D2817" s="8">
        <v>45523</v>
      </c>
      <c r="E2817" s="14">
        <f t="shared" si="129"/>
        <v>2024</v>
      </c>
      <c r="F2817" s="29" t="str">
        <f t="shared" si="130"/>
        <v>Aug</v>
      </c>
      <c r="G2817" s="17" t="s">
        <v>32</v>
      </c>
      <c r="H2817" s="17" t="s">
        <v>30</v>
      </c>
      <c r="I2817" s="24">
        <v>2763.9413999999997</v>
      </c>
      <c r="J2817" s="32">
        <v>2</v>
      </c>
      <c r="K2817" s="17" t="s">
        <v>16</v>
      </c>
      <c r="L2817" s="24">
        <v>137</v>
      </c>
      <c r="M2817" s="24">
        <v>1485.99</v>
      </c>
      <c r="N2817" s="34">
        <f>((sales_data_1[[#This Row],[Unit_Price]]*(1-sales_data_1[[#This Row],[Discount]]))-sales_data_1[[#This Row],[Unit_Cost]])*sales_data_1[[#This Row],[Quantity_Sold]]</f>
        <v>2489.9413999999997</v>
      </c>
      <c r="O2817" s="17" t="s">
        <v>27</v>
      </c>
      <c r="P2817" s="26">
        <v>7.0000000000000007E-2</v>
      </c>
      <c r="Q2817" s="17" t="s">
        <v>25</v>
      </c>
      <c r="R2817" s="17" t="s">
        <v>21</v>
      </c>
      <c r="S2817" s="50" t="str">
        <f t="shared" si="131"/>
        <v>Eve-East</v>
      </c>
      <c r="T2817" s="59" t="str">
        <f>IF(ROUND(sales_data_1[[#This Row],[Profit_Margin]],2)=ROUND((sales_data_1[[#This Row],[Unit_Price]]*(1-sales_data_1[[#This Row],[Discount]]) - sales_data_1[[#This Row],[Unit_Cost]])*sales_data_1[[#This Row],[Quantity_Sold]],2), "PASS", "CHECK")</f>
        <v>PASS</v>
      </c>
    </row>
    <row r="2818" spans="1:20" x14ac:dyDescent="0.35">
      <c r="A2818" s="7">
        <v>2817</v>
      </c>
      <c r="B2818" s="9">
        <v>1072</v>
      </c>
      <c r="C2818" s="14" t="str">
        <f>IFERROR(_xlfn.TEXTJOIN("-", TRUE, _xlfn.XLOOKUP(K2818, product_category_id_lookup!$A$2:$A$5, product_category_id_lookup!$B$2:$B$5), B2818), "Unknown Category")</f>
        <v>fd-1072</v>
      </c>
      <c r="D2818" s="8">
        <v>45523</v>
      </c>
      <c r="E2818" s="14">
        <f t="shared" ref="E2818:E2881" si="132">YEAR(D2818)</f>
        <v>2024</v>
      </c>
      <c r="F2818" s="29" t="str">
        <f t="shared" ref="F2818:F2881" si="133">LEFT(TEXT(D2818,"mmmm"),3)</f>
        <v>Aug</v>
      </c>
      <c r="G2818" s="17" t="s">
        <v>33</v>
      </c>
      <c r="H2818" s="17" t="s">
        <v>20</v>
      </c>
      <c r="I2818" s="24">
        <v>42543.467999999993</v>
      </c>
      <c r="J2818" s="32">
        <v>24</v>
      </c>
      <c r="K2818" s="17" t="s">
        <v>24</v>
      </c>
      <c r="L2818" s="24">
        <v>1627.29</v>
      </c>
      <c r="M2818" s="24">
        <v>1790.55</v>
      </c>
      <c r="N2818" s="34">
        <f>((sales_data_1[[#This Row],[Unit_Price]]*(1-sales_data_1[[#This Row],[Discount]]))-sales_data_1[[#This Row],[Unit_Cost]])*sales_data_1[[#This Row],[Quantity_Sold]]</f>
        <v>3488.507999999998</v>
      </c>
      <c r="O2818" s="17" t="s">
        <v>27</v>
      </c>
      <c r="P2818" s="26">
        <v>0.01</v>
      </c>
      <c r="Q2818" s="17" t="s">
        <v>25</v>
      </c>
      <c r="R2818" s="17" t="s">
        <v>21</v>
      </c>
      <c r="S2818" s="50" t="str">
        <f t="shared" ref="S2818:S2881" si="134">_xlfn.CONCAT(G2818,"-",H2818)</f>
        <v>Alice-West</v>
      </c>
      <c r="T2818" s="59" t="str">
        <f>IF(ROUND(sales_data_1[[#This Row],[Profit_Margin]],2)=ROUND((sales_data_1[[#This Row],[Unit_Price]]*(1-sales_data_1[[#This Row],[Discount]]) - sales_data_1[[#This Row],[Unit_Cost]])*sales_data_1[[#This Row],[Quantity_Sold]],2), "PASS", "CHECK")</f>
        <v>PASS</v>
      </c>
    </row>
    <row r="2819" spans="1:20" x14ac:dyDescent="0.35">
      <c r="A2819" s="7">
        <v>2818</v>
      </c>
      <c r="B2819" s="9">
        <v>1056</v>
      </c>
      <c r="C2819" s="14" t="str">
        <f>IFERROR(_xlfn.TEXTJOIN("-", TRUE, _xlfn.XLOOKUP(K2819, product_category_id_lookup!$A$2:$A$5, product_category_id_lookup!$B$2:$B$5), B2819), "Unknown Category")</f>
        <v>etc-1056</v>
      </c>
      <c r="D2819" s="8">
        <v>45523</v>
      </c>
      <c r="E2819" s="14">
        <f t="shared" si="132"/>
        <v>2024</v>
      </c>
      <c r="F2819" s="29" t="str">
        <f t="shared" si="133"/>
        <v>Aug</v>
      </c>
      <c r="G2819" s="17" t="s">
        <v>32</v>
      </c>
      <c r="H2819" s="17" t="s">
        <v>15</v>
      </c>
      <c r="I2819" s="24">
        <v>53259.186399999999</v>
      </c>
      <c r="J2819" s="32">
        <v>14</v>
      </c>
      <c r="K2819" s="17" t="s">
        <v>31</v>
      </c>
      <c r="L2819" s="24">
        <v>3470.63</v>
      </c>
      <c r="M2819" s="24">
        <v>4135.03</v>
      </c>
      <c r="N2819" s="34">
        <f>((sales_data_1[[#This Row],[Unit_Price]]*(1-sales_data_1[[#This Row],[Discount]]))-sales_data_1[[#This Row],[Unit_Cost]])*sales_data_1[[#This Row],[Quantity_Sold]]</f>
        <v>4670.3663999999944</v>
      </c>
      <c r="O2819" s="17" t="s">
        <v>27</v>
      </c>
      <c r="P2819" s="26">
        <v>0.08</v>
      </c>
      <c r="Q2819" s="17" t="s">
        <v>25</v>
      </c>
      <c r="R2819" s="17" t="s">
        <v>19</v>
      </c>
      <c r="S2819" s="50" t="str">
        <f t="shared" si="134"/>
        <v>Eve-North</v>
      </c>
      <c r="T2819" s="59" t="str">
        <f>IF(ROUND(sales_data_1[[#This Row],[Profit_Margin]],2)=ROUND((sales_data_1[[#This Row],[Unit_Price]]*(1-sales_data_1[[#This Row],[Discount]]) - sales_data_1[[#This Row],[Unit_Cost]])*sales_data_1[[#This Row],[Quantity_Sold]],2), "PASS", "CHECK")</f>
        <v>PASS</v>
      </c>
    </row>
    <row r="2820" spans="1:20" x14ac:dyDescent="0.35">
      <c r="A2820" s="7">
        <v>2819</v>
      </c>
      <c r="B2820" s="9">
        <v>1029</v>
      </c>
      <c r="C2820" s="14" t="str">
        <f>IFERROR(_xlfn.TEXTJOIN("-", TRUE, _xlfn.XLOOKUP(K2820, product_category_id_lookup!$A$2:$A$5, product_category_id_lookup!$B$2:$B$5), B2820), "Unknown Category")</f>
        <v>fnt-1029</v>
      </c>
      <c r="D2820" s="8">
        <v>45523</v>
      </c>
      <c r="E2820" s="14">
        <f t="shared" si="132"/>
        <v>2024</v>
      </c>
      <c r="F2820" s="29" t="str">
        <f t="shared" si="133"/>
        <v>Aug</v>
      </c>
      <c r="G2820" s="17" t="s">
        <v>22</v>
      </c>
      <c r="H2820" s="17" t="s">
        <v>30</v>
      </c>
      <c r="I2820" s="24">
        <v>24677.625</v>
      </c>
      <c r="J2820" s="32">
        <v>6</v>
      </c>
      <c r="K2820" s="17" t="s">
        <v>16</v>
      </c>
      <c r="L2820" s="24">
        <v>563.75</v>
      </c>
      <c r="M2820" s="24">
        <v>4838.75</v>
      </c>
      <c r="N2820" s="34">
        <f>((sales_data_1[[#This Row],[Unit_Price]]*(1-sales_data_1[[#This Row],[Discount]]))-sales_data_1[[#This Row],[Unit_Cost]])*sales_data_1[[#This Row],[Quantity_Sold]]</f>
        <v>21295.125</v>
      </c>
      <c r="O2820" s="17" t="s">
        <v>27</v>
      </c>
      <c r="P2820" s="26">
        <v>0.15</v>
      </c>
      <c r="Q2820" s="17" t="s">
        <v>18</v>
      </c>
      <c r="R2820" s="17" t="s">
        <v>19</v>
      </c>
      <c r="S2820" s="50" t="str">
        <f t="shared" si="134"/>
        <v>David-East</v>
      </c>
      <c r="T2820" s="59" t="str">
        <f>IF(ROUND(sales_data_1[[#This Row],[Profit_Margin]],2)=ROUND((sales_data_1[[#This Row],[Unit_Price]]*(1-sales_data_1[[#This Row],[Discount]]) - sales_data_1[[#This Row],[Unit_Cost]])*sales_data_1[[#This Row],[Quantity_Sold]],2), "PASS", "CHECK")</f>
        <v>PASS</v>
      </c>
    </row>
    <row r="2821" spans="1:20" x14ac:dyDescent="0.35">
      <c r="A2821" s="7">
        <v>2820</v>
      </c>
      <c r="B2821" s="9">
        <v>1018</v>
      </c>
      <c r="C2821" s="14" t="str">
        <f>IFERROR(_xlfn.TEXTJOIN("-", TRUE, _xlfn.XLOOKUP(K2821, product_category_id_lookup!$A$2:$A$5, product_category_id_lookup!$B$2:$B$5), B2821), "Unknown Category")</f>
        <v>fnt-1018</v>
      </c>
      <c r="D2821" s="8">
        <v>45523</v>
      </c>
      <c r="E2821" s="14">
        <f t="shared" si="132"/>
        <v>2024</v>
      </c>
      <c r="F2821" s="29" t="str">
        <f t="shared" si="133"/>
        <v>Aug</v>
      </c>
      <c r="G2821" s="17" t="s">
        <v>29</v>
      </c>
      <c r="H2821" s="17" t="s">
        <v>20</v>
      </c>
      <c r="I2821" s="24">
        <v>70440.578999999998</v>
      </c>
      <c r="J2821" s="32">
        <v>43</v>
      </c>
      <c r="K2821" s="17" t="s">
        <v>16</v>
      </c>
      <c r="L2821" s="24">
        <v>1121.8599999999999</v>
      </c>
      <c r="M2821" s="24">
        <v>1654.7</v>
      </c>
      <c r="N2821" s="34">
        <f>((sales_data_1[[#This Row],[Unit_Price]]*(1-sales_data_1[[#This Row],[Discount]]))-sales_data_1[[#This Row],[Unit_Cost]])*sales_data_1[[#This Row],[Quantity_Sold]]</f>
        <v>22200.599000000006</v>
      </c>
      <c r="O2821" s="17" t="s">
        <v>17</v>
      </c>
      <c r="P2821" s="26">
        <v>0.01</v>
      </c>
      <c r="Q2821" s="17" t="s">
        <v>25</v>
      </c>
      <c r="R2821" s="17" t="s">
        <v>19</v>
      </c>
      <c r="S2821" s="50" t="str">
        <f t="shared" si="134"/>
        <v>Charlie-West</v>
      </c>
      <c r="T2821" s="59" t="str">
        <f>IF(ROUND(sales_data_1[[#This Row],[Profit_Margin]],2)=ROUND((sales_data_1[[#This Row],[Unit_Price]]*(1-sales_data_1[[#This Row],[Discount]]) - sales_data_1[[#This Row],[Unit_Cost]])*sales_data_1[[#This Row],[Quantity_Sold]],2), "PASS", "CHECK")</f>
        <v>PASS</v>
      </c>
    </row>
    <row r="2822" spans="1:20" x14ac:dyDescent="0.35">
      <c r="A2822" s="7">
        <v>2821</v>
      </c>
      <c r="B2822" s="9">
        <v>1048</v>
      </c>
      <c r="C2822" s="14" t="str">
        <f>IFERROR(_xlfn.TEXTJOIN("-", TRUE, _xlfn.XLOOKUP(K2822, product_category_id_lookup!$A$2:$A$5, product_category_id_lookup!$B$2:$B$5), B2822), "Unknown Category")</f>
        <v>fnt-1048</v>
      </c>
      <c r="D2822" s="8">
        <v>45523</v>
      </c>
      <c r="E2822" s="14">
        <f t="shared" si="132"/>
        <v>2024</v>
      </c>
      <c r="F2822" s="29" t="str">
        <f t="shared" si="133"/>
        <v>Aug</v>
      </c>
      <c r="G2822" s="17" t="s">
        <v>14</v>
      </c>
      <c r="H2822" s="17" t="s">
        <v>15</v>
      </c>
      <c r="I2822" s="24">
        <v>103137.95959999999</v>
      </c>
      <c r="J2822" s="32">
        <v>26</v>
      </c>
      <c r="K2822" s="17" t="s">
        <v>16</v>
      </c>
      <c r="L2822" s="24">
        <v>2835.93</v>
      </c>
      <c r="M2822" s="24">
        <v>4612.6099999999997</v>
      </c>
      <c r="N2822" s="34">
        <f>((sales_data_1[[#This Row],[Unit_Price]]*(1-sales_data_1[[#This Row],[Discount]]))-sales_data_1[[#This Row],[Unit_Cost]])*sales_data_1[[#This Row],[Quantity_Sold]]</f>
        <v>29403.779599999991</v>
      </c>
      <c r="O2822" s="17" t="s">
        <v>17</v>
      </c>
      <c r="P2822" s="26">
        <v>0.14000000000000001</v>
      </c>
      <c r="Q2822" s="17" t="s">
        <v>18</v>
      </c>
      <c r="R2822" s="17" t="s">
        <v>19</v>
      </c>
      <c r="S2822" s="50" t="str">
        <f t="shared" si="134"/>
        <v>Bob-North</v>
      </c>
      <c r="T2822" s="59" t="str">
        <f>IF(ROUND(sales_data_1[[#This Row],[Profit_Margin]],2)=ROUND((sales_data_1[[#This Row],[Unit_Price]]*(1-sales_data_1[[#This Row],[Discount]]) - sales_data_1[[#This Row],[Unit_Cost]])*sales_data_1[[#This Row],[Quantity_Sold]],2), "PASS", "CHECK")</f>
        <v>PASS</v>
      </c>
    </row>
    <row r="2823" spans="1:20" x14ac:dyDescent="0.35">
      <c r="A2823" s="7">
        <v>2822</v>
      </c>
      <c r="B2823" s="9">
        <v>1012</v>
      </c>
      <c r="C2823" s="14" t="str">
        <f>IFERROR(_xlfn.TEXTJOIN("-", TRUE, _xlfn.XLOOKUP(K2823, product_category_id_lookup!$A$2:$A$5, product_category_id_lookup!$B$2:$B$5), B2823), "Unknown Category")</f>
        <v>ctg-1012</v>
      </c>
      <c r="D2823" s="8">
        <v>45523</v>
      </c>
      <c r="E2823" s="14">
        <f t="shared" si="132"/>
        <v>2024</v>
      </c>
      <c r="F2823" s="29" t="str">
        <f t="shared" si="133"/>
        <v>Aug</v>
      </c>
      <c r="G2823" s="17" t="s">
        <v>22</v>
      </c>
      <c r="H2823" s="17" t="s">
        <v>23</v>
      </c>
      <c r="I2823" s="24">
        <v>181686.48713236031</v>
      </c>
      <c r="J2823" s="32">
        <v>39</v>
      </c>
      <c r="K2823" s="17" t="s">
        <v>26</v>
      </c>
      <c r="L2823" s="24">
        <v>3715.45</v>
      </c>
      <c r="M2823" s="24">
        <v>4717.1400000000003</v>
      </c>
      <c r="N2823" s="34">
        <f>((sales_data_1[[#This Row],[Unit_Price]]*(1-sales_data_1[[#This Row],[Discount]]))-sales_data_1[[#This Row],[Unit_Cost]])*sales_data_1[[#This Row],[Quantity_Sold]]</f>
        <v>37226.22540000001</v>
      </c>
      <c r="O2823" s="17" t="s">
        <v>17</v>
      </c>
      <c r="P2823" s="26">
        <v>0.01</v>
      </c>
      <c r="Q2823" s="17" t="s">
        <v>25</v>
      </c>
      <c r="R2823" s="17" t="s">
        <v>19</v>
      </c>
      <c r="S2823" s="50" t="str">
        <f t="shared" si="134"/>
        <v>David-South</v>
      </c>
      <c r="T2823" s="59" t="str">
        <f>IF(ROUND(sales_data_1[[#This Row],[Profit_Margin]],2)=ROUND((sales_data_1[[#This Row],[Unit_Price]]*(1-sales_data_1[[#This Row],[Discount]]) - sales_data_1[[#This Row],[Unit_Cost]])*sales_data_1[[#This Row],[Quantity_Sold]],2), "PASS", "CHECK")</f>
        <v>PASS</v>
      </c>
    </row>
    <row r="2824" spans="1:20" x14ac:dyDescent="0.35">
      <c r="A2824" s="7">
        <v>2823</v>
      </c>
      <c r="B2824" s="9">
        <v>1002</v>
      </c>
      <c r="C2824" s="14" t="str">
        <f>IFERROR(_xlfn.TEXTJOIN("-", TRUE, _xlfn.XLOOKUP(K2824, product_category_id_lookup!$A$2:$A$5, product_category_id_lookup!$B$2:$B$5), B2824), "Unknown Category")</f>
        <v>ctg-1002</v>
      </c>
      <c r="D2824" s="8">
        <v>45523</v>
      </c>
      <c r="E2824" s="14">
        <f t="shared" si="132"/>
        <v>2024</v>
      </c>
      <c r="F2824" s="29" t="str">
        <f t="shared" si="133"/>
        <v>Aug</v>
      </c>
      <c r="G2824" s="17" t="s">
        <v>32</v>
      </c>
      <c r="H2824" s="17" t="s">
        <v>20</v>
      </c>
      <c r="I2824" s="24">
        <v>71487.415999999997</v>
      </c>
      <c r="J2824" s="32">
        <v>22</v>
      </c>
      <c r="K2824" s="17" t="s">
        <v>26</v>
      </c>
      <c r="L2824" s="24">
        <v>1246.77</v>
      </c>
      <c r="M2824" s="24">
        <v>4113.2</v>
      </c>
      <c r="N2824" s="34">
        <f>((sales_data_1[[#This Row],[Unit_Price]]*(1-sales_data_1[[#This Row],[Discount]]))-sales_data_1[[#This Row],[Unit_Cost]])*sales_data_1[[#This Row],[Quantity_Sold]]</f>
        <v>44058.475999999995</v>
      </c>
      <c r="O2824" s="17" t="s">
        <v>17</v>
      </c>
      <c r="P2824" s="26">
        <v>0.21</v>
      </c>
      <c r="Q2824" s="17" t="s">
        <v>25</v>
      </c>
      <c r="R2824" s="17" t="s">
        <v>21</v>
      </c>
      <c r="S2824" s="50" t="str">
        <f t="shared" si="134"/>
        <v>Eve-West</v>
      </c>
      <c r="T2824" s="59" t="str">
        <f>IF(ROUND(sales_data_1[[#This Row],[Profit_Margin]],2)=ROUND((sales_data_1[[#This Row],[Unit_Price]]*(1-sales_data_1[[#This Row],[Discount]]) - sales_data_1[[#This Row],[Unit_Cost]])*sales_data_1[[#This Row],[Quantity_Sold]],2), "PASS", "CHECK")</f>
        <v>PASS</v>
      </c>
    </row>
    <row r="2825" spans="1:20" x14ac:dyDescent="0.35">
      <c r="A2825" s="7">
        <v>2824</v>
      </c>
      <c r="B2825" s="9">
        <v>1075</v>
      </c>
      <c r="C2825" s="14" t="str">
        <f>IFERROR(_xlfn.TEXTJOIN("-", TRUE, _xlfn.XLOOKUP(K2825, product_category_id_lookup!$A$2:$A$5, product_category_id_lookup!$B$2:$B$5), B2825), "Unknown Category")</f>
        <v>fd-1075</v>
      </c>
      <c r="D2825" s="8">
        <v>45524</v>
      </c>
      <c r="E2825" s="14">
        <f t="shared" si="132"/>
        <v>2024</v>
      </c>
      <c r="F2825" s="29" t="str">
        <f t="shared" si="133"/>
        <v>Aug</v>
      </c>
      <c r="G2825" s="17" t="s">
        <v>33</v>
      </c>
      <c r="H2825" s="17" t="s">
        <v>20</v>
      </c>
      <c r="I2825" s="24">
        <v>51670.832499999997</v>
      </c>
      <c r="J2825" s="32">
        <v>35</v>
      </c>
      <c r="K2825" s="17" t="s">
        <v>24</v>
      </c>
      <c r="L2825" s="24">
        <v>1444.23</v>
      </c>
      <c r="M2825" s="24">
        <v>1554.01</v>
      </c>
      <c r="N2825" s="34">
        <f>((sales_data_1[[#This Row],[Unit_Price]]*(1-sales_data_1[[#This Row],[Discount]]))-sales_data_1[[#This Row],[Unit_Cost]])*sales_data_1[[#This Row],[Quantity_Sold]]</f>
        <v>1122.7824999999939</v>
      </c>
      <c r="O2825" s="17" t="s">
        <v>27</v>
      </c>
      <c r="P2825" s="26">
        <v>0.05</v>
      </c>
      <c r="Q2825" s="17" t="s">
        <v>18</v>
      </c>
      <c r="R2825" s="17" t="s">
        <v>21</v>
      </c>
      <c r="S2825" s="50" t="str">
        <f t="shared" si="134"/>
        <v>Alice-West</v>
      </c>
      <c r="T2825" s="59" t="str">
        <f>IF(ROUND(sales_data_1[[#This Row],[Profit_Margin]],2)=ROUND((sales_data_1[[#This Row],[Unit_Price]]*(1-sales_data_1[[#This Row],[Discount]]) - sales_data_1[[#This Row],[Unit_Cost]])*sales_data_1[[#This Row],[Quantity_Sold]],2), "PASS", "CHECK")</f>
        <v>PASS</v>
      </c>
    </row>
    <row r="2826" spans="1:20" x14ac:dyDescent="0.35">
      <c r="A2826" s="7">
        <v>2825</v>
      </c>
      <c r="B2826" s="9">
        <v>1062</v>
      </c>
      <c r="C2826" s="14" t="str">
        <f>IFERROR(_xlfn.TEXTJOIN("-", TRUE, _xlfn.XLOOKUP(K2826, product_category_id_lookup!$A$2:$A$5, product_category_id_lookup!$B$2:$B$5), B2826), "Unknown Category")</f>
        <v>etc-1062</v>
      </c>
      <c r="D2826" s="8">
        <v>45524</v>
      </c>
      <c r="E2826" s="14">
        <f t="shared" si="132"/>
        <v>2024</v>
      </c>
      <c r="F2826" s="29" t="str">
        <f t="shared" si="133"/>
        <v>Aug</v>
      </c>
      <c r="G2826" s="17" t="s">
        <v>32</v>
      </c>
      <c r="H2826" s="17" t="s">
        <v>15</v>
      </c>
      <c r="I2826" s="24">
        <v>71638.562700000009</v>
      </c>
      <c r="J2826" s="32">
        <v>17</v>
      </c>
      <c r="K2826" s="17" t="s">
        <v>31</v>
      </c>
      <c r="L2826" s="24">
        <v>1997.73</v>
      </c>
      <c r="M2826" s="24">
        <v>5202.51</v>
      </c>
      <c r="N2826" s="34">
        <f>((sales_data_1[[#This Row],[Unit_Price]]*(1-sales_data_1[[#This Row],[Discount]]))-sales_data_1[[#This Row],[Unit_Cost]])*sales_data_1[[#This Row],[Quantity_Sold]]</f>
        <v>37677.152700000006</v>
      </c>
      <c r="O2826" s="17" t="s">
        <v>27</v>
      </c>
      <c r="P2826" s="26">
        <v>0.19</v>
      </c>
      <c r="Q2826" s="17" t="s">
        <v>18</v>
      </c>
      <c r="R2826" s="17" t="s">
        <v>21</v>
      </c>
      <c r="S2826" s="50" t="str">
        <f t="shared" si="134"/>
        <v>Eve-North</v>
      </c>
      <c r="T2826" s="59" t="str">
        <f>IF(ROUND(sales_data_1[[#This Row],[Profit_Margin]],2)=ROUND((sales_data_1[[#This Row],[Unit_Price]]*(1-sales_data_1[[#This Row],[Discount]]) - sales_data_1[[#This Row],[Unit_Cost]])*sales_data_1[[#This Row],[Quantity_Sold]],2), "PASS", "CHECK")</f>
        <v>PASS</v>
      </c>
    </row>
    <row r="2827" spans="1:20" x14ac:dyDescent="0.35">
      <c r="A2827" s="7">
        <v>2826</v>
      </c>
      <c r="B2827" s="9">
        <v>1059</v>
      </c>
      <c r="C2827" s="14" t="str">
        <f>IFERROR(_xlfn.TEXTJOIN("-", TRUE, _xlfn.XLOOKUP(K2827, product_category_id_lookup!$A$2:$A$5, product_category_id_lookup!$B$2:$B$5), B2827), "Unknown Category")</f>
        <v>ctg-1059</v>
      </c>
      <c r="D2827" s="8">
        <v>45525</v>
      </c>
      <c r="E2827" s="14">
        <f t="shared" si="132"/>
        <v>2024</v>
      </c>
      <c r="F2827" s="29" t="str">
        <f t="shared" si="133"/>
        <v>Aug</v>
      </c>
      <c r="G2827" s="17" t="s">
        <v>29</v>
      </c>
      <c r="H2827" s="17" t="s">
        <v>30</v>
      </c>
      <c r="I2827" s="24">
        <v>21649.017599999999</v>
      </c>
      <c r="J2827" s="32">
        <v>8</v>
      </c>
      <c r="K2827" s="17" t="s">
        <v>26</v>
      </c>
      <c r="L2827" s="24">
        <v>1659.18</v>
      </c>
      <c r="M2827" s="24">
        <v>3758.51</v>
      </c>
      <c r="N2827" s="34">
        <f>((sales_data_1[[#This Row],[Unit_Price]]*(1-sales_data_1[[#This Row],[Discount]]))-sales_data_1[[#This Row],[Unit_Cost]])*sales_data_1[[#This Row],[Quantity_Sold]]</f>
        <v>8375.5775999999987</v>
      </c>
      <c r="O2827" s="17" t="s">
        <v>27</v>
      </c>
      <c r="P2827" s="26">
        <v>0.28000000000000003</v>
      </c>
      <c r="Q2827" s="17" t="s">
        <v>28</v>
      </c>
      <c r="R2827" s="17" t="s">
        <v>19</v>
      </c>
      <c r="S2827" s="50" t="str">
        <f t="shared" si="134"/>
        <v>Charlie-East</v>
      </c>
      <c r="T2827" s="59" t="str">
        <f>IF(ROUND(sales_data_1[[#This Row],[Profit_Margin]],2)=ROUND((sales_data_1[[#This Row],[Unit_Price]]*(1-sales_data_1[[#This Row],[Discount]]) - sales_data_1[[#This Row],[Unit_Cost]])*sales_data_1[[#This Row],[Quantity_Sold]],2), "PASS", "CHECK")</f>
        <v>PASS</v>
      </c>
    </row>
    <row r="2828" spans="1:20" x14ac:dyDescent="0.35">
      <c r="A2828" s="7">
        <v>2827</v>
      </c>
      <c r="B2828" s="9">
        <v>1029</v>
      </c>
      <c r="C2828" s="14" t="str">
        <f>IFERROR(_xlfn.TEXTJOIN("-", TRUE, _xlfn.XLOOKUP(K2828, product_category_id_lookup!$A$2:$A$5, product_category_id_lookup!$B$2:$B$5), B2828), "Unknown Category")</f>
        <v>fd-1029</v>
      </c>
      <c r="D2828" s="8">
        <v>45525</v>
      </c>
      <c r="E2828" s="14">
        <f t="shared" si="132"/>
        <v>2024</v>
      </c>
      <c r="F2828" s="29" t="str">
        <f t="shared" si="133"/>
        <v>Aug</v>
      </c>
      <c r="G2828" s="17" t="s">
        <v>33</v>
      </c>
      <c r="H2828" s="17" t="s">
        <v>20</v>
      </c>
      <c r="I2828" s="24">
        <v>146641.22880000001</v>
      </c>
      <c r="J2828" s="32">
        <v>32</v>
      </c>
      <c r="K2828" s="17" t="s">
        <v>24</v>
      </c>
      <c r="L2828" s="24">
        <v>4002.92</v>
      </c>
      <c r="M2828" s="24">
        <v>5207.43</v>
      </c>
      <c r="N2828" s="34">
        <f>((sales_data_1[[#This Row],[Unit_Price]]*(1-sales_data_1[[#This Row],[Discount]]))-sales_data_1[[#This Row],[Unit_Cost]])*sales_data_1[[#This Row],[Quantity_Sold]]</f>
        <v>18547.788800000009</v>
      </c>
      <c r="O2828" s="17" t="s">
        <v>17</v>
      </c>
      <c r="P2828" s="26">
        <v>0.12</v>
      </c>
      <c r="Q2828" s="17" t="s">
        <v>25</v>
      </c>
      <c r="R2828" s="17" t="s">
        <v>21</v>
      </c>
      <c r="S2828" s="50" t="str">
        <f t="shared" si="134"/>
        <v>Alice-West</v>
      </c>
      <c r="T2828" s="59" t="str">
        <f>IF(ROUND(sales_data_1[[#This Row],[Profit_Margin]],2)=ROUND((sales_data_1[[#This Row],[Unit_Price]]*(1-sales_data_1[[#This Row],[Discount]]) - sales_data_1[[#This Row],[Unit_Cost]])*sales_data_1[[#This Row],[Quantity_Sold]],2), "PASS", "CHECK")</f>
        <v>PASS</v>
      </c>
    </row>
    <row r="2829" spans="1:20" x14ac:dyDescent="0.35">
      <c r="A2829" s="7">
        <v>2828</v>
      </c>
      <c r="B2829" s="9">
        <v>1020</v>
      </c>
      <c r="C2829" s="14" t="str">
        <f>IFERROR(_xlfn.TEXTJOIN("-", TRUE, _xlfn.XLOOKUP(K2829, product_category_id_lookup!$A$2:$A$5, product_category_id_lookup!$B$2:$B$5), B2829), "Unknown Category")</f>
        <v>ctg-1020</v>
      </c>
      <c r="D2829" s="8">
        <v>45525</v>
      </c>
      <c r="E2829" s="14">
        <f t="shared" si="132"/>
        <v>2024</v>
      </c>
      <c r="F2829" s="29" t="str">
        <f t="shared" si="133"/>
        <v>Aug</v>
      </c>
      <c r="G2829" s="17" t="s">
        <v>32</v>
      </c>
      <c r="H2829" s="17" t="s">
        <v>20</v>
      </c>
      <c r="I2829" s="24">
        <v>58420.914999999994</v>
      </c>
      <c r="J2829" s="32">
        <v>14</v>
      </c>
      <c r="K2829" s="17" t="s">
        <v>26</v>
      </c>
      <c r="L2829" s="24">
        <v>2221.5500000000002</v>
      </c>
      <c r="M2829" s="24">
        <v>4392.55</v>
      </c>
      <c r="N2829" s="34">
        <f>((sales_data_1[[#This Row],[Unit_Price]]*(1-sales_data_1[[#This Row],[Discount]]))-sales_data_1[[#This Row],[Unit_Cost]])*sales_data_1[[#This Row],[Quantity_Sold]]</f>
        <v>27319.214999999993</v>
      </c>
      <c r="O2829" s="17" t="s">
        <v>17</v>
      </c>
      <c r="P2829" s="26">
        <v>0.05</v>
      </c>
      <c r="Q2829" s="17" t="s">
        <v>18</v>
      </c>
      <c r="R2829" s="17" t="s">
        <v>21</v>
      </c>
      <c r="S2829" s="50" t="str">
        <f t="shared" si="134"/>
        <v>Eve-West</v>
      </c>
      <c r="T2829" s="59" t="str">
        <f>IF(ROUND(sales_data_1[[#This Row],[Profit_Margin]],2)=ROUND((sales_data_1[[#This Row],[Unit_Price]]*(1-sales_data_1[[#This Row],[Discount]]) - sales_data_1[[#This Row],[Unit_Cost]])*sales_data_1[[#This Row],[Quantity_Sold]],2), "PASS", "CHECK")</f>
        <v>PASS</v>
      </c>
    </row>
    <row r="2830" spans="1:20" x14ac:dyDescent="0.35">
      <c r="A2830" s="7">
        <v>2829</v>
      </c>
      <c r="B2830" s="9">
        <v>1077</v>
      </c>
      <c r="C2830" s="14" t="str">
        <f>IFERROR(_xlfn.TEXTJOIN("-", TRUE, _xlfn.XLOOKUP(K2830, product_category_id_lookup!$A$2:$A$5, product_category_id_lookup!$B$2:$B$5), B2830), "Unknown Category")</f>
        <v>fd-1077</v>
      </c>
      <c r="D2830" s="8">
        <v>45525</v>
      </c>
      <c r="E2830" s="14">
        <f t="shared" si="132"/>
        <v>2024</v>
      </c>
      <c r="F2830" s="29" t="str">
        <f t="shared" si="133"/>
        <v>Aug</v>
      </c>
      <c r="G2830" s="17" t="s">
        <v>14</v>
      </c>
      <c r="H2830" s="17" t="s">
        <v>23</v>
      </c>
      <c r="I2830" s="24">
        <v>145410.62159999998</v>
      </c>
      <c r="J2830" s="32">
        <v>37</v>
      </c>
      <c r="K2830" s="17" t="s">
        <v>24</v>
      </c>
      <c r="L2830" s="24">
        <v>1391.47</v>
      </c>
      <c r="M2830" s="24">
        <v>4734.96</v>
      </c>
      <c r="N2830" s="34">
        <f>((sales_data_1[[#This Row],[Unit_Price]]*(1-sales_data_1[[#This Row],[Discount]]))-sales_data_1[[#This Row],[Unit_Cost]])*sales_data_1[[#This Row],[Quantity_Sold]]</f>
        <v>93926.231599999999</v>
      </c>
      <c r="O2830" s="17" t="s">
        <v>17</v>
      </c>
      <c r="P2830" s="26">
        <v>0.17</v>
      </c>
      <c r="Q2830" s="17" t="s">
        <v>25</v>
      </c>
      <c r="R2830" s="17" t="s">
        <v>19</v>
      </c>
      <c r="S2830" s="50" t="str">
        <f t="shared" si="134"/>
        <v>Bob-South</v>
      </c>
      <c r="T2830" s="59" t="str">
        <f>IF(ROUND(sales_data_1[[#This Row],[Profit_Margin]],2)=ROUND((sales_data_1[[#This Row],[Unit_Price]]*(1-sales_data_1[[#This Row],[Discount]]) - sales_data_1[[#This Row],[Unit_Cost]])*sales_data_1[[#This Row],[Quantity_Sold]],2), "PASS", "CHECK")</f>
        <v>PASS</v>
      </c>
    </row>
    <row r="2831" spans="1:20" x14ac:dyDescent="0.35">
      <c r="A2831" s="7">
        <v>2830</v>
      </c>
      <c r="B2831" s="9">
        <v>1098</v>
      </c>
      <c r="C2831" s="14" t="str">
        <f>IFERROR(_xlfn.TEXTJOIN("-", TRUE, _xlfn.XLOOKUP(K2831, product_category_id_lookup!$A$2:$A$5, product_category_id_lookup!$B$2:$B$5), B2831), "Unknown Category")</f>
        <v>etc-1098</v>
      </c>
      <c r="D2831" s="8">
        <v>45526</v>
      </c>
      <c r="E2831" s="14">
        <f t="shared" si="132"/>
        <v>2024</v>
      </c>
      <c r="F2831" s="29" t="str">
        <f t="shared" si="133"/>
        <v>Aug</v>
      </c>
      <c r="G2831" s="17" t="s">
        <v>32</v>
      </c>
      <c r="H2831" s="17" t="s">
        <v>30</v>
      </c>
      <c r="I2831" s="24">
        <v>9291.9705000000013</v>
      </c>
      <c r="J2831" s="32">
        <v>47</v>
      </c>
      <c r="K2831" s="17" t="s">
        <v>31</v>
      </c>
      <c r="L2831" s="24">
        <v>181.59</v>
      </c>
      <c r="M2831" s="24">
        <v>232.59</v>
      </c>
      <c r="N2831" s="34">
        <f>((sales_data_1[[#This Row],[Unit_Price]]*(1-sales_data_1[[#This Row],[Discount]]))-sales_data_1[[#This Row],[Unit_Cost]])*sales_data_1[[#This Row],[Quantity_Sold]]</f>
        <v>757.24050000000034</v>
      </c>
      <c r="O2831" s="17" t="s">
        <v>17</v>
      </c>
      <c r="P2831" s="26">
        <v>0.15</v>
      </c>
      <c r="Q2831" s="17" t="s">
        <v>25</v>
      </c>
      <c r="R2831" s="17" t="s">
        <v>21</v>
      </c>
      <c r="S2831" s="50" t="str">
        <f t="shared" si="134"/>
        <v>Eve-East</v>
      </c>
      <c r="T2831" s="59" t="str">
        <f>IF(ROUND(sales_data_1[[#This Row],[Profit_Margin]],2)=ROUND((sales_data_1[[#This Row],[Unit_Price]]*(1-sales_data_1[[#This Row],[Discount]]) - sales_data_1[[#This Row],[Unit_Cost]])*sales_data_1[[#This Row],[Quantity_Sold]],2), "PASS", "CHECK")</f>
        <v>PASS</v>
      </c>
    </row>
    <row r="2832" spans="1:20" x14ac:dyDescent="0.35">
      <c r="A2832" s="7">
        <v>2831</v>
      </c>
      <c r="B2832" s="9">
        <v>1085</v>
      </c>
      <c r="C2832" s="14" t="str">
        <f>IFERROR(_xlfn.TEXTJOIN("-", TRUE, _xlfn.XLOOKUP(K2832, product_category_id_lookup!$A$2:$A$5, product_category_id_lookup!$B$2:$B$5), B2832), "Unknown Category")</f>
        <v>ctg-1085</v>
      </c>
      <c r="D2832" s="8">
        <v>45526</v>
      </c>
      <c r="E2832" s="14">
        <f t="shared" si="132"/>
        <v>2024</v>
      </c>
      <c r="F2832" s="29" t="str">
        <f t="shared" si="133"/>
        <v>Aug</v>
      </c>
      <c r="G2832" s="17" t="s">
        <v>14</v>
      </c>
      <c r="H2832" s="17" t="s">
        <v>20</v>
      </c>
      <c r="I2832" s="24">
        <v>36842.462399999997</v>
      </c>
      <c r="J2832" s="32">
        <v>8</v>
      </c>
      <c r="K2832" s="17" t="s">
        <v>26</v>
      </c>
      <c r="L2832" s="24">
        <v>878.84</v>
      </c>
      <c r="M2832" s="24">
        <v>4747.74</v>
      </c>
      <c r="N2832" s="34">
        <f>((sales_data_1[[#This Row],[Unit_Price]]*(1-sales_data_1[[#This Row],[Discount]]))-sales_data_1[[#This Row],[Unit_Cost]])*sales_data_1[[#This Row],[Quantity_Sold]]</f>
        <v>29811.742399999996</v>
      </c>
      <c r="O2832" s="17" t="s">
        <v>27</v>
      </c>
      <c r="P2832" s="26">
        <v>0.03</v>
      </c>
      <c r="Q2832" s="17" t="s">
        <v>25</v>
      </c>
      <c r="R2832" s="17" t="s">
        <v>21</v>
      </c>
      <c r="S2832" s="50" t="str">
        <f t="shared" si="134"/>
        <v>Bob-West</v>
      </c>
      <c r="T2832" s="59" t="str">
        <f>IF(ROUND(sales_data_1[[#This Row],[Profit_Margin]],2)=ROUND((sales_data_1[[#This Row],[Unit_Price]]*(1-sales_data_1[[#This Row],[Discount]]) - sales_data_1[[#This Row],[Unit_Cost]])*sales_data_1[[#This Row],[Quantity_Sold]],2), "PASS", "CHECK")</f>
        <v>PASS</v>
      </c>
    </row>
    <row r="2833" spans="1:20" x14ac:dyDescent="0.35">
      <c r="A2833" s="7">
        <v>2832</v>
      </c>
      <c r="B2833" s="9">
        <v>1079</v>
      </c>
      <c r="C2833" s="14" t="str">
        <f>IFERROR(_xlfn.TEXTJOIN("-", TRUE, _xlfn.XLOOKUP(K2833, product_category_id_lookup!$A$2:$A$5, product_category_id_lookup!$B$2:$B$5), B2833), "Unknown Category")</f>
        <v>etc-1079</v>
      </c>
      <c r="D2833" s="8">
        <v>45527</v>
      </c>
      <c r="E2833" s="14">
        <f t="shared" si="132"/>
        <v>2024</v>
      </c>
      <c r="F2833" s="29" t="str">
        <f t="shared" si="133"/>
        <v>Aug</v>
      </c>
      <c r="G2833" s="17" t="s">
        <v>29</v>
      </c>
      <c r="H2833" s="17" t="s">
        <v>30</v>
      </c>
      <c r="I2833" s="24">
        <v>85208.452499999999</v>
      </c>
      <c r="J2833" s="32">
        <v>29</v>
      </c>
      <c r="K2833" s="17" t="s">
        <v>31</v>
      </c>
      <c r="L2833" s="24">
        <v>1549.42</v>
      </c>
      <c r="M2833" s="24">
        <v>3917.63</v>
      </c>
      <c r="N2833" s="34">
        <f>((sales_data_1[[#This Row],[Unit_Price]]*(1-sales_data_1[[#This Row],[Discount]]))-sales_data_1[[#This Row],[Unit_Cost]])*sales_data_1[[#This Row],[Quantity_Sold]]</f>
        <v>40275.272499999992</v>
      </c>
      <c r="O2833" s="17" t="s">
        <v>17</v>
      </c>
      <c r="P2833" s="26">
        <v>0.25</v>
      </c>
      <c r="Q2833" s="17" t="s">
        <v>18</v>
      </c>
      <c r="R2833" s="17" t="s">
        <v>19</v>
      </c>
      <c r="S2833" s="50" t="str">
        <f t="shared" si="134"/>
        <v>Charlie-East</v>
      </c>
      <c r="T2833" s="59" t="str">
        <f>IF(ROUND(sales_data_1[[#This Row],[Profit_Margin]],2)=ROUND((sales_data_1[[#This Row],[Unit_Price]]*(1-sales_data_1[[#This Row],[Discount]]) - sales_data_1[[#This Row],[Unit_Cost]])*sales_data_1[[#This Row],[Quantity_Sold]],2), "PASS", "CHECK")</f>
        <v>PASS</v>
      </c>
    </row>
    <row r="2834" spans="1:20" x14ac:dyDescent="0.35">
      <c r="A2834" s="7">
        <v>2833</v>
      </c>
      <c r="B2834" s="9">
        <v>1097</v>
      </c>
      <c r="C2834" s="14" t="str">
        <f>IFERROR(_xlfn.TEXTJOIN("-", TRUE, _xlfn.XLOOKUP(K2834, product_category_id_lookup!$A$2:$A$5, product_category_id_lookup!$B$2:$B$5), B2834), "Unknown Category")</f>
        <v>etc-1097</v>
      </c>
      <c r="D2834" s="8">
        <v>45527</v>
      </c>
      <c r="E2834" s="14">
        <f t="shared" si="132"/>
        <v>2024</v>
      </c>
      <c r="F2834" s="29" t="str">
        <f t="shared" si="133"/>
        <v>Aug</v>
      </c>
      <c r="G2834" s="17" t="s">
        <v>33</v>
      </c>
      <c r="H2834" s="17" t="s">
        <v>23</v>
      </c>
      <c r="I2834" s="24">
        <v>123784.25050000001</v>
      </c>
      <c r="J2834" s="32">
        <v>43</v>
      </c>
      <c r="K2834" s="17" t="s">
        <v>31</v>
      </c>
      <c r="L2834" s="24">
        <v>621.66999999999996</v>
      </c>
      <c r="M2834" s="24">
        <v>3386.71</v>
      </c>
      <c r="N2834" s="34">
        <f>((sales_data_1[[#This Row],[Unit_Price]]*(1-sales_data_1[[#This Row],[Discount]]))-sales_data_1[[#This Row],[Unit_Cost]])*sales_data_1[[#This Row],[Quantity_Sold]]</f>
        <v>97052.440499999997</v>
      </c>
      <c r="O2834" s="17" t="s">
        <v>17</v>
      </c>
      <c r="P2834" s="26">
        <v>0.15</v>
      </c>
      <c r="Q2834" s="17" t="s">
        <v>18</v>
      </c>
      <c r="R2834" s="17" t="s">
        <v>19</v>
      </c>
      <c r="S2834" s="50" t="str">
        <f t="shared" si="134"/>
        <v>Alice-South</v>
      </c>
      <c r="T2834" s="59" t="str">
        <f>IF(ROUND(sales_data_1[[#This Row],[Profit_Margin]],2)=ROUND((sales_data_1[[#This Row],[Unit_Price]]*(1-sales_data_1[[#This Row],[Discount]]) - sales_data_1[[#This Row],[Unit_Cost]])*sales_data_1[[#This Row],[Quantity_Sold]],2), "PASS", "CHECK")</f>
        <v>PASS</v>
      </c>
    </row>
    <row r="2835" spans="1:20" x14ac:dyDescent="0.35">
      <c r="A2835" s="7">
        <v>2834</v>
      </c>
      <c r="B2835" s="9">
        <v>1012</v>
      </c>
      <c r="C2835" s="14" t="str">
        <f>IFERROR(_xlfn.TEXTJOIN("-", TRUE, _xlfn.XLOOKUP(K2835, product_category_id_lookup!$A$2:$A$5, product_category_id_lookup!$B$2:$B$5), B2835), "Unknown Category")</f>
        <v>fd-1012</v>
      </c>
      <c r="D2835" s="8">
        <v>45528</v>
      </c>
      <c r="E2835" s="14">
        <f t="shared" si="132"/>
        <v>2024</v>
      </c>
      <c r="F2835" s="29" t="str">
        <f t="shared" si="133"/>
        <v>Aug</v>
      </c>
      <c r="G2835" s="17" t="s">
        <v>14</v>
      </c>
      <c r="H2835" s="17" t="s">
        <v>30</v>
      </c>
      <c r="I2835" s="24">
        <v>6355.8158649696124</v>
      </c>
      <c r="J2835" s="32">
        <v>2</v>
      </c>
      <c r="K2835" s="17" t="s">
        <v>24</v>
      </c>
      <c r="L2835" s="24">
        <v>3143.99</v>
      </c>
      <c r="M2835" s="24">
        <v>3218.76</v>
      </c>
      <c r="N2835" s="34">
        <f>((sales_data_1[[#This Row],[Unit_Price]]*(1-sales_data_1[[#This Row],[Discount]]))-sales_data_1[[#This Row],[Unit_Cost]])*sales_data_1[[#This Row],[Quantity_Sold]]</f>
        <v>85.164800000000469</v>
      </c>
      <c r="O2835" s="17" t="s">
        <v>17</v>
      </c>
      <c r="P2835" s="26">
        <v>0.01</v>
      </c>
      <c r="Q2835" s="17" t="s">
        <v>25</v>
      </c>
      <c r="R2835" s="17" t="s">
        <v>21</v>
      </c>
      <c r="S2835" s="50" t="str">
        <f t="shared" si="134"/>
        <v>Bob-East</v>
      </c>
      <c r="T2835" s="59" t="str">
        <f>IF(ROUND(sales_data_1[[#This Row],[Profit_Margin]],2)=ROUND((sales_data_1[[#This Row],[Unit_Price]]*(1-sales_data_1[[#This Row],[Discount]]) - sales_data_1[[#This Row],[Unit_Cost]])*sales_data_1[[#This Row],[Quantity_Sold]],2), "PASS", "CHECK")</f>
        <v>PASS</v>
      </c>
    </row>
    <row r="2836" spans="1:20" x14ac:dyDescent="0.35">
      <c r="A2836" s="7">
        <v>2835</v>
      </c>
      <c r="B2836" s="9">
        <v>1005</v>
      </c>
      <c r="C2836" s="14" t="str">
        <f>IFERROR(_xlfn.TEXTJOIN("-", TRUE, _xlfn.XLOOKUP(K2836, product_category_id_lookup!$A$2:$A$5, product_category_id_lookup!$B$2:$B$5), B2836), "Unknown Category")</f>
        <v>ctg-1005</v>
      </c>
      <c r="D2836" s="8">
        <v>45528</v>
      </c>
      <c r="E2836" s="14">
        <f t="shared" si="132"/>
        <v>2024</v>
      </c>
      <c r="F2836" s="29" t="str">
        <f t="shared" si="133"/>
        <v>Aug</v>
      </c>
      <c r="G2836" s="17" t="s">
        <v>22</v>
      </c>
      <c r="H2836" s="17" t="s">
        <v>30</v>
      </c>
      <c r="I2836" s="24">
        <v>26118.379499999999</v>
      </c>
      <c r="J2836" s="32">
        <v>15</v>
      </c>
      <c r="K2836" s="17" t="s">
        <v>26</v>
      </c>
      <c r="L2836" s="24">
        <v>1712.12</v>
      </c>
      <c r="M2836" s="24">
        <v>2452.4299999999998</v>
      </c>
      <c r="N2836" s="34">
        <f>((sales_data_1[[#This Row],[Unit_Price]]*(1-sales_data_1[[#This Row],[Discount]]))-sales_data_1[[#This Row],[Unit_Cost]])*sales_data_1[[#This Row],[Quantity_Sold]]</f>
        <v>436.57949999999914</v>
      </c>
      <c r="O2836" s="17" t="s">
        <v>27</v>
      </c>
      <c r="P2836" s="26">
        <v>0.28999999999999998</v>
      </c>
      <c r="Q2836" s="17" t="s">
        <v>28</v>
      </c>
      <c r="R2836" s="17" t="s">
        <v>21</v>
      </c>
      <c r="S2836" s="50" t="str">
        <f t="shared" si="134"/>
        <v>David-East</v>
      </c>
      <c r="T2836" s="59" t="str">
        <f>IF(ROUND(sales_data_1[[#This Row],[Profit_Margin]],2)=ROUND((sales_data_1[[#This Row],[Unit_Price]]*(1-sales_data_1[[#This Row],[Discount]]) - sales_data_1[[#This Row],[Unit_Cost]])*sales_data_1[[#This Row],[Quantity_Sold]],2), "PASS", "CHECK")</f>
        <v>PASS</v>
      </c>
    </row>
    <row r="2837" spans="1:20" x14ac:dyDescent="0.35">
      <c r="A2837" s="7">
        <v>2836</v>
      </c>
      <c r="B2837" s="9">
        <v>1015</v>
      </c>
      <c r="C2837" s="14" t="str">
        <f>IFERROR(_xlfn.TEXTJOIN("-", TRUE, _xlfn.XLOOKUP(K2837, product_category_id_lookup!$A$2:$A$5, product_category_id_lookup!$B$2:$B$5), B2837), "Unknown Category")</f>
        <v>ctg-1015</v>
      </c>
      <c r="D2837" s="8">
        <v>45528</v>
      </c>
      <c r="E2837" s="14">
        <f t="shared" si="132"/>
        <v>2024</v>
      </c>
      <c r="F2837" s="29" t="str">
        <f t="shared" si="133"/>
        <v>Aug</v>
      </c>
      <c r="G2837" s="17" t="s">
        <v>33</v>
      </c>
      <c r="H2837" s="17" t="s">
        <v>20</v>
      </c>
      <c r="I2837" s="24">
        <v>51380.900999999998</v>
      </c>
      <c r="J2837" s="32">
        <v>13</v>
      </c>
      <c r="K2837" s="17" t="s">
        <v>26</v>
      </c>
      <c r="L2837" s="24">
        <v>874.38</v>
      </c>
      <c r="M2837" s="24">
        <v>5341.05</v>
      </c>
      <c r="N2837" s="34">
        <f>((sales_data_1[[#This Row],[Unit_Price]]*(1-sales_data_1[[#This Row],[Discount]]))-sales_data_1[[#This Row],[Unit_Cost]])*sales_data_1[[#This Row],[Quantity_Sold]]</f>
        <v>40013.960999999996</v>
      </c>
      <c r="O2837" s="17" t="s">
        <v>27</v>
      </c>
      <c r="P2837" s="26">
        <v>0.26</v>
      </c>
      <c r="Q2837" s="17" t="s">
        <v>28</v>
      </c>
      <c r="R2837" s="17" t="s">
        <v>21</v>
      </c>
      <c r="S2837" s="50" t="str">
        <f t="shared" si="134"/>
        <v>Alice-West</v>
      </c>
      <c r="T2837" s="59" t="str">
        <f>IF(ROUND(sales_data_1[[#This Row],[Profit_Margin]],2)=ROUND((sales_data_1[[#This Row],[Unit_Price]]*(1-sales_data_1[[#This Row],[Discount]]) - sales_data_1[[#This Row],[Unit_Cost]])*sales_data_1[[#This Row],[Quantity_Sold]],2), "PASS", "CHECK")</f>
        <v>PASS</v>
      </c>
    </row>
    <row r="2838" spans="1:20" x14ac:dyDescent="0.35">
      <c r="A2838" s="7">
        <v>2837</v>
      </c>
      <c r="B2838" s="9">
        <v>1014</v>
      </c>
      <c r="C2838" s="14" t="str">
        <f>IFERROR(_xlfn.TEXTJOIN("-", TRUE, _xlfn.XLOOKUP(K2838, product_category_id_lookup!$A$2:$A$5, product_category_id_lookup!$B$2:$B$5), B2838), "Unknown Category")</f>
        <v>etc-1014</v>
      </c>
      <c r="D2838" s="8">
        <v>45528</v>
      </c>
      <c r="E2838" s="14">
        <f t="shared" si="132"/>
        <v>2024</v>
      </c>
      <c r="F2838" s="29" t="str">
        <f t="shared" si="133"/>
        <v>Aug</v>
      </c>
      <c r="G2838" s="17" t="s">
        <v>22</v>
      </c>
      <c r="H2838" s="17" t="s">
        <v>23</v>
      </c>
      <c r="I2838" s="24">
        <v>197904.29119999998</v>
      </c>
      <c r="J2838" s="32">
        <v>47</v>
      </c>
      <c r="K2838" s="17" t="s">
        <v>31</v>
      </c>
      <c r="L2838" s="24">
        <v>2980.36</v>
      </c>
      <c r="M2838" s="24">
        <v>4784.92</v>
      </c>
      <c r="N2838" s="34">
        <f>((sales_data_1[[#This Row],[Unit_Price]]*(1-sales_data_1[[#This Row],[Discount]]))-sales_data_1[[#This Row],[Unit_Cost]])*sales_data_1[[#This Row],[Quantity_Sold]]</f>
        <v>57827.37119999998</v>
      </c>
      <c r="O2838" s="17" t="s">
        <v>27</v>
      </c>
      <c r="P2838" s="26">
        <v>0.12</v>
      </c>
      <c r="Q2838" s="17" t="s">
        <v>28</v>
      </c>
      <c r="R2838" s="17" t="s">
        <v>21</v>
      </c>
      <c r="S2838" s="50" t="str">
        <f t="shared" si="134"/>
        <v>David-South</v>
      </c>
      <c r="T2838" s="59" t="str">
        <f>IF(ROUND(sales_data_1[[#This Row],[Profit_Margin]],2)=ROUND((sales_data_1[[#This Row],[Unit_Price]]*(1-sales_data_1[[#This Row],[Discount]]) - sales_data_1[[#This Row],[Unit_Cost]])*sales_data_1[[#This Row],[Quantity_Sold]],2), "PASS", "CHECK")</f>
        <v>PASS</v>
      </c>
    </row>
    <row r="2839" spans="1:20" x14ac:dyDescent="0.35">
      <c r="A2839" s="7">
        <v>2838</v>
      </c>
      <c r="B2839" s="9">
        <v>1064</v>
      </c>
      <c r="C2839" s="14" t="str">
        <f>IFERROR(_xlfn.TEXTJOIN("-", TRUE, _xlfn.XLOOKUP(K2839, product_category_id_lookup!$A$2:$A$5, product_category_id_lookup!$B$2:$B$5), B2839), "Unknown Category")</f>
        <v>fd-1064</v>
      </c>
      <c r="D2839" s="8">
        <v>45529</v>
      </c>
      <c r="E2839" s="14">
        <f t="shared" si="132"/>
        <v>2024</v>
      </c>
      <c r="F2839" s="29" t="str">
        <f t="shared" si="133"/>
        <v>Aug</v>
      </c>
      <c r="G2839" s="17" t="s">
        <v>33</v>
      </c>
      <c r="H2839" s="17" t="s">
        <v>23</v>
      </c>
      <c r="I2839" s="24">
        <v>25341.952000000001</v>
      </c>
      <c r="J2839" s="32">
        <v>23</v>
      </c>
      <c r="K2839" s="17" t="s">
        <v>24</v>
      </c>
      <c r="L2839" s="24">
        <v>862.32</v>
      </c>
      <c r="M2839" s="24">
        <v>1377.28</v>
      </c>
      <c r="N2839" s="34">
        <f>((sales_data_1[[#This Row],[Unit_Price]]*(1-sales_data_1[[#This Row],[Discount]]))-sales_data_1[[#This Row],[Unit_Cost]])*sales_data_1[[#This Row],[Quantity_Sold]]</f>
        <v>5508.5920000000006</v>
      </c>
      <c r="O2839" s="17" t="s">
        <v>27</v>
      </c>
      <c r="P2839" s="26">
        <v>0.2</v>
      </c>
      <c r="Q2839" s="17" t="s">
        <v>18</v>
      </c>
      <c r="R2839" s="17" t="s">
        <v>21</v>
      </c>
      <c r="S2839" s="50" t="str">
        <f t="shared" si="134"/>
        <v>Alice-South</v>
      </c>
      <c r="T2839" s="59" t="str">
        <f>IF(ROUND(sales_data_1[[#This Row],[Profit_Margin]],2)=ROUND((sales_data_1[[#This Row],[Unit_Price]]*(1-sales_data_1[[#This Row],[Discount]]) - sales_data_1[[#This Row],[Unit_Cost]])*sales_data_1[[#This Row],[Quantity_Sold]],2), "PASS", "CHECK")</f>
        <v>PASS</v>
      </c>
    </row>
    <row r="2840" spans="1:20" x14ac:dyDescent="0.35">
      <c r="A2840" s="7">
        <v>2839</v>
      </c>
      <c r="B2840" s="9">
        <v>1024</v>
      </c>
      <c r="C2840" s="14" t="str">
        <f>IFERROR(_xlfn.TEXTJOIN("-", TRUE, _xlfn.XLOOKUP(K2840, product_category_id_lookup!$A$2:$A$5, product_category_id_lookup!$B$2:$B$5), B2840), "Unknown Category")</f>
        <v>etc-1024</v>
      </c>
      <c r="D2840" s="8">
        <v>45529</v>
      </c>
      <c r="E2840" s="14">
        <f t="shared" si="132"/>
        <v>2024</v>
      </c>
      <c r="F2840" s="29" t="str">
        <f t="shared" si="133"/>
        <v>Aug</v>
      </c>
      <c r="G2840" s="17" t="s">
        <v>33</v>
      </c>
      <c r="H2840" s="17" t="s">
        <v>30</v>
      </c>
      <c r="I2840" s="24">
        <v>123856.23558291612</v>
      </c>
      <c r="J2840" s="32">
        <v>29</v>
      </c>
      <c r="K2840" s="17" t="s">
        <v>31</v>
      </c>
      <c r="L2840" s="24">
        <v>3613.21</v>
      </c>
      <c r="M2840" s="24">
        <v>4309.74</v>
      </c>
      <c r="N2840" s="34">
        <f>((sales_data_1[[#This Row],[Unit_Price]]*(1-sales_data_1[[#This Row],[Discount]]))-sales_data_1[[#This Row],[Unit_Cost]])*sales_data_1[[#This Row],[Quantity_Sold]]</f>
        <v>18949.545400000003</v>
      </c>
      <c r="O2840" s="17" t="s">
        <v>17</v>
      </c>
      <c r="P2840" s="26">
        <v>0.01</v>
      </c>
      <c r="Q2840" s="17" t="s">
        <v>28</v>
      </c>
      <c r="R2840" s="17" t="s">
        <v>19</v>
      </c>
      <c r="S2840" s="50" t="str">
        <f t="shared" si="134"/>
        <v>Alice-East</v>
      </c>
      <c r="T2840" s="59" t="str">
        <f>IF(ROUND(sales_data_1[[#This Row],[Profit_Margin]],2)=ROUND((sales_data_1[[#This Row],[Unit_Price]]*(1-sales_data_1[[#This Row],[Discount]]) - sales_data_1[[#This Row],[Unit_Cost]])*sales_data_1[[#This Row],[Quantity_Sold]],2), "PASS", "CHECK")</f>
        <v>PASS</v>
      </c>
    </row>
    <row r="2841" spans="1:20" x14ac:dyDescent="0.35">
      <c r="A2841" s="7">
        <v>2840</v>
      </c>
      <c r="B2841" s="9">
        <v>1064</v>
      </c>
      <c r="C2841" s="14" t="str">
        <f>IFERROR(_xlfn.TEXTJOIN("-", TRUE, _xlfn.XLOOKUP(K2841, product_category_id_lookup!$A$2:$A$5, product_category_id_lookup!$B$2:$B$5), B2841), "Unknown Category")</f>
        <v>fd-1064</v>
      </c>
      <c r="D2841" s="8">
        <v>45529</v>
      </c>
      <c r="E2841" s="14">
        <f t="shared" si="132"/>
        <v>2024</v>
      </c>
      <c r="F2841" s="29" t="str">
        <f t="shared" si="133"/>
        <v>Aug</v>
      </c>
      <c r="G2841" s="17" t="s">
        <v>32</v>
      </c>
      <c r="H2841" s="17" t="s">
        <v>20</v>
      </c>
      <c r="I2841" s="24">
        <v>54831.753599999996</v>
      </c>
      <c r="J2841" s="32">
        <v>13</v>
      </c>
      <c r="K2841" s="17" t="s">
        <v>24</v>
      </c>
      <c r="L2841" s="24">
        <v>945.58</v>
      </c>
      <c r="M2841" s="24">
        <v>4393.57</v>
      </c>
      <c r="N2841" s="34">
        <f>((sales_data_1[[#This Row],[Unit_Price]]*(1-sales_data_1[[#This Row],[Discount]]))-sales_data_1[[#This Row],[Unit_Cost]])*sales_data_1[[#This Row],[Quantity_Sold]]</f>
        <v>42539.213599999995</v>
      </c>
      <c r="O2841" s="17" t="s">
        <v>17</v>
      </c>
      <c r="P2841" s="26">
        <v>0.04</v>
      </c>
      <c r="Q2841" s="17" t="s">
        <v>28</v>
      </c>
      <c r="R2841" s="17" t="s">
        <v>21</v>
      </c>
      <c r="S2841" s="50" t="str">
        <f t="shared" si="134"/>
        <v>Eve-West</v>
      </c>
      <c r="T2841" s="59" t="str">
        <f>IF(ROUND(sales_data_1[[#This Row],[Profit_Margin]],2)=ROUND((sales_data_1[[#This Row],[Unit_Price]]*(1-sales_data_1[[#This Row],[Discount]]) - sales_data_1[[#This Row],[Unit_Cost]])*sales_data_1[[#This Row],[Quantity_Sold]],2), "PASS", "CHECK")</f>
        <v>PASS</v>
      </c>
    </row>
    <row r="2842" spans="1:20" x14ac:dyDescent="0.35">
      <c r="A2842" s="7">
        <v>2841</v>
      </c>
      <c r="B2842" s="9">
        <v>1005</v>
      </c>
      <c r="C2842" s="14" t="str">
        <f>IFERROR(_xlfn.TEXTJOIN("-", TRUE, _xlfn.XLOOKUP(K2842, product_category_id_lookup!$A$2:$A$5, product_category_id_lookup!$B$2:$B$5), B2842), "Unknown Category")</f>
        <v>fd-1005</v>
      </c>
      <c r="D2842" s="8">
        <v>45530</v>
      </c>
      <c r="E2842" s="14">
        <f t="shared" si="132"/>
        <v>2024</v>
      </c>
      <c r="F2842" s="29" t="str">
        <f t="shared" si="133"/>
        <v>Aug</v>
      </c>
      <c r="G2842" s="17" t="s">
        <v>33</v>
      </c>
      <c r="H2842" s="17" t="s">
        <v>15</v>
      </c>
      <c r="I2842" s="24">
        <v>45039.6276</v>
      </c>
      <c r="J2842" s="32">
        <v>22</v>
      </c>
      <c r="K2842" s="17" t="s">
        <v>24</v>
      </c>
      <c r="L2842" s="24">
        <v>356.76</v>
      </c>
      <c r="M2842" s="24">
        <v>2380.5300000000002</v>
      </c>
      <c r="N2842" s="34">
        <f>((sales_data_1[[#This Row],[Unit_Price]]*(1-sales_data_1[[#This Row],[Discount]]))-sales_data_1[[#This Row],[Unit_Cost]])*sales_data_1[[#This Row],[Quantity_Sold]]</f>
        <v>37190.907600000006</v>
      </c>
      <c r="O2842" s="17" t="s">
        <v>27</v>
      </c>
      <c r="P2842" s="26">
        <v>0.14000000000000001</v>
      </c>
      <c r="Q2842" s="17" t="s">
        <v>25</v>
      </c>
      <c r="R2842" s="17" t="s">
        <v>19</v>
      </c>
      <c r="S2842" s="50" t="str">
        <f t="shared" si="134"/>
        <v>Alice-North</v>
      </c>
      <c r="T2842" s="59" t="str">
        <f>IF(ROUND(sales_data_1[[#This Row],[Profit_Margin]],2)=ROUND((sales_data_1[[#This Row],[Unit_Price]]*(1-sales_data_1[[#This Row],[Discount]]) - sales_data_1[[#This Row],[Unit_Cost]])*sales_data_1[[#This Row],[Quantity_Sold]],2), "PASS", "CHECK")</f>
        <v>PASS</v>
      </c>
    </row>
    <row r="2843" spans="1:20" x14ac:dyDescent="0.35">
      <c r="A2843" s="7">
        <v>2842</v>
      </c>
      <c r="B2843" s="9">
        <v>1070</v>
      </c>
      <c r="C2843" s="14" t="str">
        <f>IFERROR(_xlfn.TEXTJOIN("-", TRUE, _xlfn.XLOOKUP(K2843, product_category_id_lookup!$A$2:$A$5, product_category_id_lookup!$B$2:$B$5), B2843), "Unknown Category")</f>
        <v>fnt-1070</v>
      </c>
      <c r="D2843" s="8">
        <v>45530</v>
      </c>
      <c r="E2843" s="14">
        <f t="shared" si="132"/>
        <v>2024</v>
      </c>
      <c r="F2843" s="29" t="str">
        <f t="shared" si="133"/>
        <v>Aug</v>
      </c>
      <c r="G2843" s="17" t="s">
        <v>14</v>
      </c>
      <c r="H2843" s="17" t="s">
        <v>23</v>
      </c>
      <c r="I2843" s="24">
        <v>52425.796499999997</v>
      </c>
      <c r="J2843" s="32">
        <v>15</v>
      </c>
      <c r="K2843" s="17" t="s">
        <v>16</v>
      </c>
      <c r="L2843" s="24">
        <v>136.71</v>
      </c>
      <c r="M2843" s="24">
        <v>4922.6099999999997</v>
      </c>
      <c r="N2843" s="34">
        <f>((sales_data_1[[#This Row],[Unit_Price]]*(1-sales_data_1[[#This Row],[Discount]]))-sales_data_1[[#This Row],[Unit_Cost]])*sales_data_1[[#This Row],[Quantity_Sold]]</f>
        <v>50375.146499999995</v>
      </c>
      <c r="O2843" s="17" t="s">
        <v>27</v>
      </c>
      <c r="P2843" s="26">
        <v>0.28999999999999998</v>
      </c>
      <c r="Q2843" s="17" t="s">
        <v>18</v>
      </c>
      <c r="R2843" s="17" t="s">
        <v>21</v>
      </c>
      <c r="S2843" s="50" t="str">
        <f t="shared" si="134"/>
        <v>Bob-South</v>
      </c>
      <c r="T2843" s="59" t="str">
        <f>IF(ROUND(sales_data_1[[#This Row],[Profit_Margin]],2)=ROUND((sales_data_1[[#This Row],[Unit_Price]]*(1-sales_data_1[[#This Row],[Discount]]) - sales_data_1[[#This Row],[Unit_Cost]])*sales_data_1[[#This Row],[Quantity_Sold]],2), "PASS", "CHECK")</f>
        <v>PASS</v>
      </c>
    </row>
    <row r="2844" spans="1:20" x14ac:dyDescent="0.35">
      <c r="A2844" s="7">
        <v>2843</v>
      </c>
      <c r="B2844" s="9">
        <v>1077</v>
      </c>
      <c r="C2844" s="14" t="str">
        <f>IFERROR(_xlfn.TEXTJOIN("-", TRUE, _xlfn.XLOOKUP(K2844, product_category_id_lookup!$A$2:$A$5, product_category_id_lookup!$B$2:$B$5), B2844), "Unknown Category")</f>
        <v>fd-1077</v>
      </c>
      <c r="D2844" s="8">
        <v>45531</v>
      </c>
      <c r="E2844" s="14">
        <f t="shared" si="132"/>
        <v>2024</v>
      </c>
      <c r="F2844" s="29" t="str">
        <f t="shared" si="133"/>
        <v>Aug</v>
      </c>
      <c r="G2844" s="17" t="s">
        <v>32</v>
      </c>
      <c r="H2844" s="17" t="s">
        <v>30</v>
      </c>
      <c r="I2844" s="24">
        <v>79558.574723456564</v>
      </c>
      <c r="J2844" s="32">
        <v>29</v>
      </c>
      <c r="K2844" s="17" t="s">
        <v>24</v>
      </c>
      <c r="L2844" s="24">
        <v>2722.5</v>
      </c>
      <c r="M2844" s="24">
        <v>2768.29</v>
      </c>
      <c r="N2844" s="34">
        <f>((sales_data_1[[#This Row],[Unit_Price]]*(1-sales_data_1[[#This Row],[Discount]]))-sales_data_1[[#This Row],[Unit_Cost]])*sales_data_1[[#This Row],[Quantity_Sold]]</f>
        <v>525.10589999999183</v>
      </c>
      <c r="O2844" s="17" t="s">
        <v>17</v>
      </c>
      <c r="P2844" s="26">
        <v>0.01</v>
      </c>
      <c r="Q2844" s="17" t="s">
        <v>28</v>
      </c>
      <c r="R2844" s="17" t="s">
        <v>21</v>
      </c>
      <c r="S2844" s="50" t="str">
        <f t="shared" si="134"/>
        <v>Eve-East</v>
      </c>
      <c r="T2844" s="59" t="str">
        <f>IF(ROUND(sales_data_1[[#This Row],[Profit_Margin]],2)=ROUND((sales_data_1[[#This Row],[Unit_Price]]*(1-sales_data_1[[#This Row],[Discount]]) - sales_data_1[[#This Row],[Unit_Cost]])*sales_data_1[[#This Row],[Quantity_Sold]],2), "PASS", "CHECK")</f>
        <v>PASS</v>
      </c>
    </row>
    <row r="2845" spans="1:20" x14ac:dyDescent="0.35">
      <c r="A2845" s="7">
        <v>2844</v>
      </c>
      <c r="B2845" s="9">
        <v>1001</v>
      </c>
      <c r="C2845" s="14" t="str">
        <f>IFERROR(_xlfn.TEXTJOIN("-", TRUE, _xlfn.XLOOKUP(K2845, product_category_id_lookup!$A$2:$A$5, product_category_id_lookup!$B$2:$B$5), B2845), "Unknown Category")</f>
        <v>fnt-1001</v>
      </c>
      <c r="D2845" s="8">
        <v>45531</v>
      </c>
      <c r="E2845" s="14">
        <f t="shared" si="132"/>
        <v>2024</v>
      </c>
      <c r="F2845" s="29" t="str">
        <f t="shared" si="133"/>
        <v>Aug</v>
      </c>
      <c r="G2845" s="17" t="s">
        <v>33</v>
      </c>
      <c r="H2845" s="17" t="s">
        <v>20</v>
      </c>
      <c r="I2845" s="24">
        <v>182359.90887258737</v>
      </c>
      <c r="J2845" s="32">
        <v>39</v>
      </c>
      <c r="K2845" s="17" t="s">
        <v>16</v>
      </c>
      <c r="L2845" s="24">
        <v>4554.71</v>
      </c>
      <c r="M2845" s="24">
        <v>4720.7299999999996</v>
      </c>
      <c r="N2845" s="34">
        <f>((sales_data_1[[#This Row],[Unit_Price]]*(1-sales_data_1[[#This Row],[Discount]]))-sales_data_1[[#This Row],[Unit_Cost]])*sales_data_1[[#This Row],[Quantity_Sold]]</f>
        <v>4633.6952999999803</v>
      </c>
      <c r="O2845" s="17" t="s">
        <v>27</v>
      </c>
      <c r="P2845" s="26">
        <v>0.01</v>
      </c>
      <c r="Q2845" s="17" t="s">
        <v>25</v>
      </c>
      <c r="R2845" s="17" t="s">
        <v>21</v>
      </c>
      <c r="S2845" s="50" t="str">
        <f t="shared" si="134"/>
        <v>Alice-West</v>
      </c>
      <c r="T2845" s="59" t="str">
        <f>IF(ROUND(sales_data_1[[#This Row],[Profit_Margin]],2)=ROUND((sales_data_1[[#This Row],[Unit_Price]]*(1-sales_data_1[[#This Row],[Discount]]) - sales_data_1[[#This Row],[Unit_Cost]])*sales_data_1[[#This Row],[Quantity_Sold]],2), "PASS", "CHECK")</f>
        <v>PASS</v>
      </c>
    </row>
    <row r="2846" spans="1:20" x14ac:dyDescent="0.35">
      <c r="A2846" s="7">
        <v>2845</v>
      </c>
      <c r="B2846" s="9">
        <v>1028</v>
      </c>
      <c r="C2846" s="14" t="str">
        <f>IFERROR(_xlfn.TEXTJOIN("-", TRUE, _xlfn.XLOOKUP(K2846, product_category_id_lookup!$A$2:$A$5, product_category_id_lookup!$B$2:$B$5), B2846), "Unknown Category")</f>
        <v>fd-1028</v>
      </c>
      <c r="D2846" s="8">
        <v>45532</v>
      </c>
      <c r="E2846" s="14">
        <f t="shared" si="132"/>
        <v>2024</v>
      </c>
      <c r="F2846" s="29" t="str">
        <f t="shared" si="133"/>
        <v>Aug</v>
      </c>
      <c r="G2846" s="17" t="s">
        <v>33</v>
      </c>
      <c r="H2846" s="17" t="s">
        <v>30</v>
      </c>
      <c r="I2846" s="24">
        <v>2413.6266000000001</v>
      </c>
      <c r="J2846" s="32">
        <v>1</v>
      </c>
      <c r="K2846" s="17" t="s">
        <v>24</v>
      </c>
      <c r="L2846" s="24">
        <v>2196.6</v>
      </c>
      <c r="M2846" s="24">
        <v>3134.58</v>
      </c>
      <c r="N2846" s="34">
        <f>((sales_data_1[[#This Row],[Unit_Price]]*(1-sales_data_1[[#This Row],[Discount]]))-sales_data_1[[#This Row],[Unit_Cost]])*sales_data_1[[#This Row],[Quantity_Sold]]</f>
        <v>217.02660000000014</v>
      </c>
      <c r="O2846" s="17" t="s">
        <v>27</v>
      </c>
      <c r="P2846" s="26">
        <v>0.23</v>
      </c>
      <c r="Q2846" s="17" t="s">
        <v>18</v>
      </c>
      <c r="R2846" s="17" t="s">
        <v>19</v>
      </c>
      <c r="S2846" s="50" t="str">
        <f t="shared" si="134"/>
        <v>Alice-East</v>
      </c>
      <c r="T2846" s="59" t="str">
        <f>IF(ROUND(sales_data_1[[#This Row],[Profit_Margin]],2)=ROUND((sales_data_1[[#This Row],[Unit_Price]]*(1-sales_data_1[[#This Row],[Discount]]) - sales_data_1[[#This Row],[Unit_Cost]])*sales_data_1[[#This Row],[Quantity_Sold]],2), "PASS", "CHECK")</f>
        <v>PASS</v>
      </c>
    </row>
    <row r="2847" spans="1:20" x14ac:dyDescent="0.35">
      <c r="A2847" s="7">
        <v>2846</v>
      </c>
      <c r="B2847" s="9">
        <v>1024</v>
      </c>
      <c r="C2847" s="14" t="str">
        <f>IFERROR(_xlfn.TEXTJOIN("-", TRUE, _xlfn.XLOOKUP(K2847, product_category_id_lookup!$A$2:$A$5, product_category_id_lookup!$B$2:$B$5), B2847), "Unknown Category")</f>
        <v>ctg-1024</v>
      </c>
      <c r="D2847" s="8">
        <v>45532</v>
      </c>
      <c r="E2847" s="14">
        <f t="shared" si="132"/>
        <v>2024</v>
      </c>
      <c r="F2847" s="29" t="str">
        <f t="shared" si="133"/>
        <v>Aug</v>
      </c>
      <c r="G2847" s="17" t="s">
        <v>33</v>
      </c>
      <c r="H2847" s="17" t="s">
        <v>23</v>
      </c>
      <c r="I2847" s="24">
        <v>172461.08499999999</v>
      </c>
      <c r="J2847" s="32">
        <v>50</v>
      </c>
      <c r="K2847" s="17" t="s">
        <v>26</v>
      </c>
      <c r="L2847" s="24">
        <v>1635.15</v>
      </c>
      <c r="M2847" s="24">
        <v>3875.53</v>
      </c>
      <c r="N2847" s="34">
        <f>((sales_data_1[[#This Row],[Unit_Price]]*(1-sales_data_1[[#This Row],[Discount]]))-sales_data_1[[#This Row],[Unit_Cost]])*sales_data_1[[#This Row],[Quantity_Sold]]</f>
        <v>90703.584999999992</v>
      </c>
      <c r="O2847" s="17" t="s">
        <v>17</v>
      </c>
      <c r="P2847" s="26">
        <v>0.11</v>
      </c>
      <c r="Q2847" s="17" t="s">
        <v>18</v>
      </c>
      <c r="R2847" s="17" t="s">
        <v>19</v>
      </c>
      <c r="S2847" s="50" t="str">
        <f t="shared" si="134"/>
        <v>Alice-South</v>
      </c>
      <c r="T2847" s="59" t="str">
        <f>IF(ROUND(sales_data_1[[#This Row],[Profit_Margin]],2)=ROUND((sales_data_1[[#This Row],[Unit_Price]]*(1-sales_data_1[[#This Row],[Discount]]) - sales_data_1[[#This Row],[Unit_Cost]])*sales_data_1[[#This Row],[Quantity_Sold]],2), "PASS", "CHECK")</f>
        <v>PASS</v>
      </c>
    </row>
    <row r="2848" spans="1:20" x14ac:dyDescent="0.35">
      <c r="A2848" s="7">
        <v>2847</v>
      </c>
      <c r="B2848" s="9">
        <v>1047</v>
      </c>
      <c r="C2848" s="14" t="str">
        <f>IFERROR(_xlfn.TEXTJOIN("-", TRUE, _xlfn.XLOOKUP(K2848, product_category_id_lookup!$A$2:$A$5, product_category_id_lookup!$B$2:$B$5), B2848), "Unknown Category")</f>
        <v>fd-1047</v>
      </c>
      <c r="D2848" s="8">
        <v>45533</v>
      </c>
      <c r="E2848" s="14">
        <f t="shared" si="132"/>
        <v>2024</v>
      </c>
      <c r="F2848" s="29" t="str">
        <f t="shared" si="133"/>
        <v>Aug</v>
      </c>
      <c r="G2848" s="17" t="s">
        <v>29</v>
      </c>
      <c r="H2848" s="17" t="s">
        <v>15</v>
      </c>
      <c r="I2848" s="24">
        <v>7103.4948000000004</v>
      </c>
      <c r="J2848" s="32">
        <v>3</v>
      </c>
      <c r="K2848" s="17" t="s">
        <v>24</v>
      </c>
      <c r="L2848" s="24">
        <v>1780.61</v>
      </c>
      <c r="M2848" s="24">
        <v>2573.73</v>
      </c>
      <c r="N2848" s="34">
        <f>((sales_data_1[[#This Row],[Unit_Price]]*(1-sales_data_1[[#This Row],[Discount]]))-sales_data_1[[#This Row],[Unit_Cost]])*sales_data_1[[#This Row],[Quantity_Sold]]</f>
        <v>1761.6648000000002</v>
      </c>
      <c r="O2848" s="17" t="s">
        <v>27</v>
      </c>
      <c r="P2848" s="26">
        <v>0.08</v>
      </c>
      <c r="Q2848" s="17" t="s">
        <v>25</v>
      </c>
      <c r="R2848" s="17" t="s">
        <v>21</v>
      </c>
      <c r="S2848" s="50" t="str">
        <f t="shared" si="134"/>
        <v>Charlie-North</v>
      </c>
      <c r="T2848" s="59" t="str">
        <f>IF(ROUND(sales_data_1[[#This Row],[Profit_Margin]],2)=ROUND((sales_data_1[[#This Row],[Unit_Price]]*(1-sales_data_1[[#This Row],[Discount]]) - sales_data_1[[#This Row],[Unit_Cost]])*sales_data_1[[#This Row],[Quantity_Sold]],2), "PASS", "CHECK")</f>
        <v>PASS</v>
      </c>
    </row>
    <row r="2849" spans="1:20" x14ac:dyDescent="0.35">
      <c r="A2849" s="7">
        <v>2848</v>
      </c>
      <c r="B2849" s="9">
        <v>1054</v>
      </c>
      <c r="C2849" s="14" t="str">
        <f>IFERROR(_xlfn.TEXTJOIN("-", TRUE, _xlfn.XLOOKUP(K2849, product_category_id_lookup!$A$2:$A$5, product_category_id_lookup!$B$2:$B$5), B2849), "Unknown Category")</f>
        <v>fd-1054</v>
      </c>
      <c r="D2849" s="8">
        <v>45533</v>
      </c>
      <c r="E2849" s="14">
        <f t="shared" si="132"/>
        <v>2024</v>
      </c>
      <c r="F2849" s="29" t="str">
        <f t="shared" si="133"/>
        <v>Aug</v>
      </c>
      <c r="G2849" s="17" t="s">
        <v>14</v>
      </c>
      <c r="H2849" s="17" t="s">
        <v>15</v>
      </c>
      <c r="I2849" s="24">
        <v>87176.37</v>
      </c>
      <c r="J2849" s="32">
        <v>20</v>
      </c>
      <c r="K2849" s="17" t="s">
        <v>24</v>
      </c>
      <c r="L2849" s="24">
        <v>2744.56</v>
      </c>
      <c r="M2849" s="24">
        <v>4588.2299999999996</v>
      </c>
      <c r="N2849" s="34">
        <f>((sales_data_1[[#This Row],[Unit_Price]]*(1-sales_data_1[[#This Row],[Discount]]))-sales_data_1[[#This Row],[Unit_Cost]])*sales_data_1[[#This Row],[Quantity_Sold]]</f>
        <v>32285.169999999991</v>
      </c>
      <c r="O2849" s="17" t="s">
        <v>17</v>
      </c>
      <c r="P2849" s="26">
        <v>0.05</v>
      </c>
      <c r="Q2849" s="17" t="s">
        <v>25</v>
      </c>
      <c r="R2849" s="17" t="s">
        <v>21</v>
      </c>
      <c r="S2849" s="50" t="str">
        <f t="shared" si="134"/>
        <v>Bob-North</v>
      </c>
      <c r="T2849" s="59" t="str">
        <f>IF(ROUND(sales_data_1[[#This Row],[Profit_Margin]],2)=ROUND((sales_data_1[[#This Row],[Unit_Price]]*(1-sales_data_1[[#This Row],[Discount]]) - sales_data_1[[#This Row],[Unit_Cost]])*sales_data_1[[#This Row],[Quantity_Sold]],2), "PASS", "CHECK")</f>
        <v>PASS</v>
      </c>
    </row>
    <row r="2850" spans="1:20" x14ac:dyDescent="0.35">
      <c r="A2850" s="7">
        <v>2849</v>
      </c>
      <c r="B2850" s="9">
        <v>1074</v>
      </c>
      <c r="C2850" s="14" t="str">
        <f>IFERROR(_xlfn.TEXTJOIN("-", TRUE, _xlfn.XLOOKUP(K2850, product_category_id_lookup!$A$2:$A$5, product_category_id_lookup!$B$2:$B$5), B2850), "Unknown Category")</f>
        <v>fnt-1074</v>
      </c>
      <c r="D2850" s="8">
        <v>45534</v>
      </c>
      <c r="E2850" s="14">
        <f t="shared" si="132"/>
        <v>2024</v>
      </c>
      <c r="F2850" s="29" t="str">
        <f t="shared" si="133"/>
        <v>Aug</v>
      </c>
      <c r="G2850" s="17" t="s">
        <v>14</v>
      </c>
      <c r="H2850" s="17" t="s">
        <v>20</v>
      </c>
      <c r="I2850" s="24">
        <v>13085.183599999998</v>
      </c>
      <c r="J2850" s="32">
        <v>4</v>
      </c>
      <c r="K2850" s="17" t="s">
        <v>16</v>
      </c>
      <c r="L2850" s="24">
        <v>2715.83</v>
      </c>
      <c r="M2850" s="24">
        <v>3372.47</v>
      </c>
      <c r="N2850" s="34">
        <f>((sales_data_1[[#This Row],[Unit_Price]]*(1-sales_data_1[[#This Row],[Discount]]))-sales_data_1[[#This Row],[Unit_Cost]])*sales_data_1[[#This Row],[Quantity_Sold]]</f>
        <v>2221.8635999999988</v>
      </c>
      <c r="O2850" s="17" t="s">
        <v>27</v>
      </c>
      <c r="P2850" s="26">
        <v>0.03</v>
      </c>
      <c r="Q2850" s="17" t="s">
        <v>18</v>
      </c>
      <c r="R2850" s="17" t="s">
        <v>19</v>
      </c>
      <c r="S2850" s="50" t="str">
        <f t="shared" si="134"/>
        <v>Bob-West</v>
      </c>
      <c r="T2850" s="59" t="str">
        <f>IF(ROUND(sales_data_1[[#This Row],[Profit_Margin]],2)=ROUND((sales_data_1[[#This Row],[Unit_Price]]*(1-sales_data_1[[#This Row],[Discount]]) - sales_data_1[[#This Row],[Unit_Cost]])*sales_data_1[[#This Row],[Quantity_Sold]],2), "PASS", "CHECK")</f>
        <v>PASS</v>
      </c>
    </row>
    <row r="2851" spans="1:20" x14ac:dyDescent="0.35">
      <c r="A2851" s="7">
        <v>2850</v>
      </c>
      <c r="B2851" s="9">
        <v>1046</v>
      </c>
      <c r="C2851" s="14" t="str">
        <f>IFERROR(_xlfn.TEXTJOIN("-", TRUE, _xlfn.XLOOKUP(K2851, product_category_id_lookup!$A$2:$A$5, product_category_id_lookup!$B$2:$B$5), B2851), "Unknown Category")</f>
        <v>fd-1046</v>
      </c>
      <c r="D2851" s="8">
        <v>45534</v>
      </c>
      <c r="E2851" s="14">
        <f t="shared" si="132"/>
        <v>2024</v>
      </c>
      <c r="F2851" s="29" t="str">
        <f t="shared" si="133"/>
        <v>Aug</v>
      </c>
      <c r="G2851" s="17" t="s">
        <v>32</v>
      </c>
      <c r="H2851" s="17" t="s">
        <v>20</v>
      </c>
      <c r="I2851" s="24">
        <v>117938.5064</v>
      </c>
      <c r="J2851" s="32">
        <v>34</v>
      </c>
      <c r="K2851" s="17" t="s">
        <v>24</v>
      </c>
      <c r="L2851" s="24">
        <v>2983.37</v>
      </c>
      <c r="M2851" s="24">
        <v>4687.54</v>
      </c>
      <c r="N2851" s="34">
        <f>((sales_data_1[[#This Row],[Unit_Price]]*(1-sales_data_1[[#This Row],[Discount]]))-sales_data_1[[#This Row],[Unit_Cost]])*sales_data_1[[#This Row],[Quantity_Sold]]</f>
        <v>16503.926399999997</v>
      </c>
      <c r="O2851" s="17" t="s">
        <v>27</v>
      </c>
      <c r="P2851" s="26">
        <v>0.26</v>
      </c>
      <c r="Q2851" s="17" t="s">
        <v>18</v>
      </c>
      <c r="R2851" s="17" t="s">
        <v>21</v>
      </c>
      <c r="S2851" s="50" t="str">
        <f t="shared" si="134"/>
        <v>Eve-West</v>
      </c>
      <c r="T2851" s="59" t="str">
        <f>IF(ROUND(sales_data_1[[#This Row],[Profit_Margin]],2)=ROUND((sales_data_1[[#This Row],[Unit_Price]]*(1-sales_data_1[[#This Row],[Discount]]) - sales_data_1[[#This Row],[Unit_Cost]])*sales_data_1[[#This Row],[Quantity_Sold]],2), "PASS", "CHECK")</f>
        <v>PASS</v>
      </c>
    </row>
    <row r="2852" spans="1:20" x14ac:dyDescent="0.35">
      <c r="A2852" s="7">
        <v>2851</v>
      </c>
      <c r="B2852" s="9">
        <v>1042</v>
      </c>
      <c r="C2852" s="14" t="str">
        <f>IFERROR(_xlfn.TEXTJOIN("-", TRUE, _xlfn.XLOOKUP(K2852, product_category_id_lookup!$A$2:$A$5, product_category_id_lookup!$B$2:$B$5), B2852), "Unknown Category")</f>
        <v>fnt-1042</v>
      </c>
      <c r="D2852" s="8">
        <v>45534</v>
      </c>
      <c r="E2852" s="14">
        <f t="shared" si="132"/>
        <v>2024</v>
      </c>
      <c r="F2852" s="29" t="str">
        <f t="shared" si="133"/>
        <v>Aug</v>
      </c>
      <c r="G2852" s="17" t="s">
        <v>32</v>
      </c>
      <c r="H2852" s="17" t="s">
        <v>30</v>
      </c>
      <c r="I2852" s="24">
        <v>140727.93119999999</v>
      </c>
      <c r="J2852" s="32">
        <v>36</v>
      </c>
      <c r="K2852" s="17" t="s">
        <v>16</v>
      </c>
      <c r="L2852" s="24">
        <v>1936.14</v>
      </c>
      <c r="M2852" s="24">
        <v>5282.58</v>
      </c>
      <c r="N2852" s="34">
        <f>((sales_data_1[[#This Row],[Unit_Price]]*(1-sales_data_1[[#This Row],[Discount]]))-sales_data_1[[#This Row],[Unit_Cost]])*sales_data_1[[#This Row],[Quantity_Sold]]</f>
        <v>71026.891199999998</v>
      </c>
      <c r="O2852" s="17" t="s">
        <v>27</v>
      </c>
      <c r="P2852" s="26">
        <v>0.26</v>
      </c>
      <c r="Q2852" s="17" t="s">
        <v>28</v>
      </c>
      <c r="R2852" s="17" t="s">
        <v>21</v>
      </c>
      <c r="S2852" s="50" t="str">
        <f t="shared" si="134"/>
        <v>Eve-East</v>
      </c>
      <c r="T2852" s="59" t="str">
        <f>IF(ROUND(sales_data_1[[#This Row],[Profit_Margin]],2)=ROUND((sales_data_1[[#This Row],[Unit_Price]]*(1-sales_data_1[[#This Row],[Discount]]) - sales_data_1[[#This Row],[Unit_Cost]])*sales_data_1[[#This Row],[Quantity_Sold]],2), "PASS", "CHECK")</f>
        <v>PASS</v>
      </c>
    </row>
    <row r="2853" spans="1:20" x14ac:dyDescent="0.35">
      <c r="A2853" s="7">
        <v>2852</v>
      </c>
      <c r="B2853" s="9">
        <v>1095</v>
      </c>
      <c r="C2853" s="14" t="str">
        <f>IFERROR(_xlfn.TEXTJOIN("-", TRUE, _xlfn.XLOOKUP(K2853, product_category_id_lookup!$A$2:$A$5, product_category_id_lookup!$B$2:$B$5), B2853), "Unknown Category")</f>
        <v>etc-1095</v>
      </c>
      <c r="D2853" s="8">
        <v>45534</v>
      </c>
      <c r="E2853" s="14">
        <f t="shared" si="132"/>
        <v>2024</v>
      </c>
      <c r="F2853" s="29" t="str">
        <f t="shared" si="133"/>
        <v>Aug</v>
      </c>
      <c r="G2853" s="17" t="s">
        <v>14</v>
      </c>
      <c r="H2853" s="17" t="s">
        <v>30</v>
      </c>
      <c r="I2853" s="24">
        <v>147808.50839999999</v>
      </c>
      <c r="J2853" s="32">
        <v>42</v>
      </c>
      <c r="K2853" s="17" t="s">
        <v>31</v>
      </c>
      <c r="L2853" s="24">
        <v>1771.57</v>
      </c>
      <c r="M2853" s="24">
        <v>3784.14</v>
      </c>
      <c r="N2853" s="34">
        <f>((sales_data_1[[#This Row],[Unit_Price]]*(1-sales_data_1[[#This Row],[Discount]]))-sales_data_1[[#This Row],[Unit_Cost]])*sales_data_1[[#This Row],[Quantity_Sold]]</f>
        <v>73402.568399999975</v>
      </c>
      <c r="O2853" s="17" t="s">
        <v>27</v>
      </c>
      <c r="P2853" s="26">
        <v>7.0000000000000007E-2</v>
      </c>
      <c r="Q2853" s="17" t="s">
        <v>28</v>
      </c>
      <c r="R2853" s="17" t="s">
        <v>19</v>
      </c>
      <c r="S2853" s="50" t="str">
        <f t="shared" si="134"/>
        <v>Bob-East</v>
      </c>
      <c r="T2853" s="59" t="str">
        <f>IF(ROUND(sales_data_1[[#This Row],[Profit_Margin]],2)=ROUND((sales_data_1[[#This Row],[Unit_Price]]*(1-sales_data_1[[#This Row],[Discount]]) - sales_data_1[[#This Row],[Unit_Cost]])*sales_data_1[[#This Row],[Quantity_Sold]],2), "PASS", "CHECK")</f>
        <v>PASS</v>
      </c>
    </row>
    <row r="2854" spans="1:20" x14ac:dyDescent="0.35">
      <c r="A2854" s="7">
        <v>2853</v>
      </c>
      <c r="B2854" s="9">
        <v>1092</v>
      </c>
      <c r="C2854" s="14" t="str">
        <f>IFERROR(_xlfn.TEXTJOIN("-", TRUE, _xlfn.XLOOKUP(K2854, product_category_id_lookup!$A$2:$A$5, product_category_id_lookup!$B$2:$B$5), B2854), "Unknown Category")</f>
        <v>ctg-1092</v>
      </c>
      <c r="D2854" s="8">
        <v>45535</v>
      </c>
      <c r="E2854" s="14">
        <f t="shared" si="132"/>
        <v>2024</v>
      </c>
      <c r="F2854" s="29" t="str">
        <f t="shared" si="133"/>
        <v>Aug</v>
      </c>
      <c r="G2854" s="17" t="s">
        <v>14</v>
      </c>
      <c r="H2854" s="17" t="s">
        <v>20</v>
      </c>
      <c r="I2854" s="24">
        <v>149165.98289999997</v>
      </c>
      <c r="J2854" s="32">
        <v>31</v>
      </c>
      <c r="K2854" s="17" t="s">
        <v>26</v>
      </c>
      <c r="L2854" s="24">
        <v>4487.1499999999996</v>
      </c>
      <c r="M2854" s="24">
        <v>4860.41</v>
      </c>
      <c r="N2854" s="34">
        <f>((sales_data_1[[#This Row],[Unit_Price]]*(1-sales_data_1[[#This Row],[Discount]]))-sales_data_1[[#This Row],[Unit_Cost]])*sales_data_1[[#This Row],[Quantity_Sold]]</f>
        <v>10064.332899999992</v>
      </c>
      <c r="O2854" s="17" t="s">
        <v>17</v>
      </c>
      <c r="P2854" s="26">
        <v>0.01</v>
      </c>
      <c r="Q2854" s="17" t="s">
        <v>25</v>
      </c>
      <c r="R2854" s="17" t="s">
        <v>21</v>
      </c>
      <c r="S2854" s="50" t="str">
        <f t="shared" si="134"/>
        <v>Bob-West</v>
      </c>
      <c r="T2854" s="59" t="str">
        <f>IF(ROUND(sales_data_1[[#This Row],[Profit_Margin]],2)=ROUND((sales_data_1[[#This Row],[Unit_Price]]*(1-sales_data_1[[#This Row],[Discount]]) - sales_data_1[[#This Row],[Unit_Cost]])*sales_data_1[[#This Row],[Quantity_Sold]],2), "PASS", "CHECK")</f>
        <v>PASS</v>
      </c>
    </row>
    <row r="2855" spans="1:20" x14ac:dyDescent="0.35">
      <c r="A2855" s="7">
        <v>2854</v>
      </c>
      <c r="B2855" s="9">
        <v>1020</v>
      </c>
      <c r="C2855" s="14" t="str">
        <f>IFERROR(_xlfn.TEXTJOIN("-", TRUE, _xlfn.XLOOKUP(K2855, product_category_id_lookup!$A$2:$A$5, product_category_id_lookup!$B$2:$B$5), B2855), "Unknown Category")</f>
        <v>fnt-1020</v>
      </c>
      <c r="D2855" s="8">
        <v>45535</v>
      </c>
      <c r="E2855" s="14">
        <f t="shared" si="132"/>
        <v>2024</v>
      </c>
      <c r="F2855" s="29" t="str">
        <f t="shared" si="133"/>
        <v>Aug</v>
      </c>
      <c r="G2855" s="17" t="s">
        <v>14</v>
      </c>
      <c r="H2855" s="17" t="s">
        <v>15</v>
      </c>
      <c r="I2855" s="24">
        <v>218181.57842725626</v>
      </c>
      <c r="J2855" s="32">
        <v>41</v>
      </c>
      <c r="K2855" s="17" t="s">
        <v>16</v>
      </c>
      <c r="L2855" s="24">
        <v>4797.21</v>
      </c>
      <c r="M2855" s="24">
        <v>5440.07</v>
      </c>
      <c r="N2855" s="34">
        <f>((sales_data_1[[#This Row],[Unit_Price]]*(1-sales_data_1[[#This Row],[Discount]]))-sales_data_1[[#This Row],[Unit_Cost]])*sales_data_1[[#This Row],[Quantity_Sold]]</f>
        <v>21896.402599999976</v>
      </c>
      <c r="O2855" s="17" t="s">
        <v>17</v>
      </c>
      <c r="P2855" s="26">
        <v>0.02</v>
      </c>
      <c r="Q2855" s="17" t="s">
        <v>25</v>
      </c>
      <c r="R2855" s="17" t="s">
        <v>19</v>
      </c>
      <c r="S2855" s="50" t="str">
        <f t="shared" si="134"/>
        <v>Bob-North</v>
      </c>
      <c r="T2855" s="59" t="str">
        <f>IF(ROUND(sales_data_1[[#This Row],[Profit_Margin]],2)=ROUND((sales_data_1[[#This Row],[Unit_Price]]*(1-sales_data_1[[#This Row],[Discount]]) - sales_data_1[[#This Row],[Unit_Cost]])*sales_data_1[[#This Row],[Quantity_Sold]],2), "PASS", "CHECK")</f>
        <v>PASS</v>
      </c>
    </row>
    <row r="2856" spans="1:20" x14ac:dyDescent="0.35">
      <c r="A2856" s="7">
        <v>2855</v>
      </c>
      <c r="B2856" s="9">
        <v>1076</v>
      </c>
      <c r="C2856" s="14" t="str">
        <f>IFERROR(_xlfn.TEXTJOIN("-", TRUE, _xlfn.XLOOKUP(K2856, product_category_id_lookup!$A$2:$A$5, product_category_id_lookup!$B$2:$B$5), B2856), "Unknown Category")</f>
        <v>ctg-1076</v>
      </c>
      <c r="D2856" s="8">
        <v>45536</v>
      </c>
      <c r="E2856" s="14">
        <f t="shared" si="132"/>
        <v>2024</v>
      </c>
      <c r="F2856" s="29" t="str">
        <f t="shared" si="133"/>
        <v>Sep</v>
      </c>
      <c r="G2856" s="17" t="s">
        <v>29</v>
      </c>
      <c r="H2856" s="17" t="s">
        <v>30</v>
      </c>
      <c r="I2856" s="24">
        <v>49987.413999999997</v>
      </c>
      <c r="J2856" s="32">
        <v>10</v>
      </c>
      <c r="K2856" s="17" t="s">
        <v>26</v>
      </c>
      <c r="L2856" s="24">
        <v>4860.5600000000004</v>
      </c>
      <c r="M2856" s="24">
        <v>5317.81</v>
      </c>
      <c r="N2856" s="34">
        <f>((sales_data_1[[#This Row],[Unit_Price]]*(1-sales_data_1[[#This Row],[Discount]]))-sales_data_1[[#This Row],[Unit_Cost]])*sales_data_1[[#This Row],[Quantity_Sold]]</f>
        <v>1381.8139999999948</v>
      </c>
      <c r="O2856" s="17" t="s">
        <v>27</v>
      </c>
      <c r="P2856" s="26">
        <v>0.06</v>
      </c>
      <c r="Q2856" s="17" t="s">
        <v>18</v>
      </c>
      <c r="R2856" s="17" t="s">
        <v>21</v>
      </c>
      <c r="S2856" s="50" t="str">
        <f t="shared" si="134"/>
        <v>Charlie-East</v>
      </c>
      <c r="T2856" s="59" t="str">
        <f>IF(ROUND(sales_data_1[[#This Row],[Profit_Margin]],2)=ROUND((sales_data_1[[#This Row],[Unit_Price]]*(1-sales_data_1[[#This Row],[Discount]]) - sales_data_1[[#This Row],[Unit_Cost]])*sales_data_1[[#This Row],[Quantity_Sold]],2), "PASS", "CHECK")</f>
        <v>PASS</v>
      </c>
    </row>
    <row r="2857" spans="1:20" x14ac:dyDescent="0.35">
      <c r="A2857" s="7">
        <v>2856</v>
      </c>
      <c r="B2857" s="9">
        <v>1029</v>
      </c>
      <c r="C2857" s="14" t="str">
        <f>IFERROR(_xlfn.TEXTJOIN("-", TRUE, _xlfn.XLOOKUP(K2857, product_category_id_lookup!$A$2:$A$5, product_category_id_lookup!$B$2:$B$5), B2857), "Unknown Category")</f>
        <v>fnt-1029</v>
      </c>
      <c r="D2857" s="8">
        <v>45536</v>
      </c>
      <c r="E2857" s="14">
        <f t="shared" si="132"/>
        <v>2024</v>
      </c>
      <c r="F2857" s="29" t="str">
        <f t="shared" si="133"/>
        <v>Sep</v>
      </c>
      <c r="G2857" s="17" t="s">
        <v>33</v>
      </c>
      <c r="H2857" s="17" t="s">
        <v>20</v>
      </c>
      <c r="I2857" s="24">
        <v>219757.465</v>
      </c>
      <c r="J2857" s="32">
        <v>50</v>
      </c>
      <c r="K2857" s="17" t="s">
        <v>16</v>
      </c>
      <c r="L2857" s="24">
        <v>4046.2</v>
      </c>
      <c r="M2857" s="24">
        <v>4938.37</v>
      </c>
      <c r="N2857" s="34">
        <f>((sales_data_1[[#This Row],[Unit_Price]]*(1-sales_data_1[[#This Row],[Discount]]))-sales_data_1[[#This Row],[Unit_Cost]])*sales_data_1[[#This Row],[Quantity_Sold]]</f>
        <v>17447.465000000011</v>
      </c>
      <c r="O2857" s="17" t="s">
        <v>27</v>
      </c>
      <c r="P2857" s="26">
        <v>0.11</v>
      </c>
      <c r="Q2857" s="17" t="s">
        <v>25</v>
      </c>
      <c r="R2857" s="17" t="s">
        <v>19</v>
      </c>
      <c r="S2857" s="50" t="str">
        <f t="shared" si="134"/>
        <v>Alice-West</v>
      </c>
      <c r="T2857" s="59" t="str">
        <f>IF(ROUND(sales_data_1[[#This Row],[Profit_Margin]],2)=ROUND((sales_data_1[[#This Row],[Unit_Price]]*(1-sales_data_1[[#This Row],[Discount]]) - sales_data_1[[#This Row],[Unit_Cost]])*sales_data_1[[#This Row],[Quantity_Sold]],2), "PASS", "CHECK")</f>
        <v>PASS</v>
      </c>
    </row>
    <row r="2858" spans="1:20" x14ac:dyDescent="0.35">
      <c r="A2858" s="7">
        <v>2857</v>
      </c>
      <c r="B2858" s="9">
        <v>1027</v>
      </c>
      <c r="C2858" s="14" t="str">
        <f>IFERROR(_xlfn.TEXTJOIN("-", TRUE, _xlfn.XLOOKUP(K2858, product_category_id_lookup!$A$2:$A$5, product_category_id_lookup!$B$2:$B$5), B2858), "Unknown Category")</f>
        <v>fd-1027</v>
      </c>
      <c r="D2858" s="8">
        <v>45537</v>
      </c>
      <c r="E2858" s="14">
        <f t="shared" si="132"/>
        <v>2024</v>
      </c>
      <c r="F2858" s="29" t="str">
        <f t="shared" si="133"/>
        <v>Sep</v>
      </c>
      <c r="G2858" s="17" t="s">
        <v>32</v>
      </c>
      <c r="H2858" s="17" t="s">
        <v>15</v>
      </c>
      <c r="I2858" s="24">
        <v>75491.118000000002</v>
      </c>
      <c r="J2858" s="32">
        <v>36</v>
      </c>
      <c r="K2858" s="17" t="s">
        <v>24</v>
      </c>
      <c r="L2858" s="24">
        <v>1497</v>
      </c>
      <c r="M2858" s="24">
        <v>2467.0300000000002</v>
      </c>
      <c r="N2858" s="34">
        <f>((sales_data_1[[#This Row],[Unit_Price]]*(1-sales_data_1[[#This Row],[Discount]]))-sales_data_1[[#This Row],[Unit_Cost]])*sales_data_1[[#This Row],[Quantity_Sold]]</f>
        <v>21599.118000000002</v>
      </c>
      <c r="O2858" s="17" t="s">
        <v>27</v>
      </c>
      <c r="P2858" s="26">
        <v>0.15</v>
      </c>
      <c r="Q2858" s="17" t="s">
        <v>25</v>
      </c>
      <c r="R2858" s="17" t="s">
        <v>19</v>
      </c>
      <c r="S2858" s="50" t="str">
        <f t="shared" si="134"/>
        <v>Eve-North</v>
      </c>
      <c r="T2858" s="59" t="str">
        <f>IF(ROUND(sales_data_1[[#This Row],[Profit_Margin]],2)=ROUND((sales_data_1[[#This Row],[Unit_Price]]*(1-sales_data_1[[#This Row],[Discount]]) - sales_data_1[[#This Row],[Unit_Cost]])*sales_data_1[[#This Row],[Quantity_Sold]],2), "PASS", "CHECK")</f>
        <v>PASS</v>
      </c>
    </row>
    <row r="2859" spans="1:20" x14ac:dyDescent="0.35">
      <c r="A2859" s="7">
        <v>2858</v>
      </c>
      <c r="B2859" s="9">
        <v>1050</v>
      </c>
      <c r="C2859" s="14" t="str">
        <f>IFERROR(_xlfn.TEXTJOIN("-", TRUE, _xlfn.XLOOKUP(K2859, product_category_id_lookup!$A$2:$A$5, product_category_id_lookup!$B$2:$B$5), B2859), "Unknown Category")</f>
        <v>fnt-1050</v>
      </c>
      <c r="D2859" s="8">
        <v>45538</v>
      </c>
      <c r="E2859" s="14">
        <f t="shared" si="132"/>
        <v>2024</v>
      </c>
      <c r="F2859" s="29" t="str">
        <f t="shared" si="133"/>
        <v>Sep</v>
      </c>
      <c r="G2859" s="17" t="s">
        <v>14</v>
      </c>
      <c r="H2859" s="17" t="s">
        <v>23</v>
      </c>
      <c r="I2859" s="24">
        <v>4470.9078587450476</v>
      </c>
      <c r="J2859" s="32">
        <v>2</v>
      </c>
      <c r="K2859" s="17" t="s">
        <v>16</v>
      </c>
      <c r="L2859" s="24">
        <v>2191.23</v>
      </c>
      <c r="M2859" s="24">
        <v>2240.83</v>
      </c>
      <c r="N2859" s="34">
        <f>((sales_data_1[[#This Row],[Unit_Price]]*(1-sales_data_1[[#This Row],[Discount]]))-sales_data_1[[#This Row],[Unit_Cost]])*sales_data_1[[#This Row],[Quantity_Sold]]</f>
        <v>99.199999999999818</v>
      </c>
      <c r="O2859" s="17" t="s">
        <v>27</v>
      </c>
      <c r="P2859" s="26">
        <v>0</v>
      </c>
      <c r="Q2859" s="17" t="s">
        <v>25</v>
      </c>
      <c r="R2859" s="17" t="s">
        <v>19</v>
      </c>
      <c r="S2859" s="50" t="str">
        <f t="shared" si="134"/>
        <v>Bob-South</v>
      </c>
      <c r="T2859" s="59" t="str">
        <f>IF(ROUND(sales_data_1[[#This Row],[Profit_Margin]],2)=ROUND((sales_data_1[[#This Row],[Unit_Price]]*(1-sales_data_1[[#This Row],[Discount]]) - sales_data_1[[#This Row],[Unit_Cost]])*sales_data_1[[#This Row],[Quantity_Sold]],2), "PASS", "CHECK")</f>
        <v>PASS</v>
      </c>
    </row>
    <row r="2860" spans="1:20" x14ac:dyDescent="0.35">
      <c r="A2860" s="7">
        <v>2859</v>
      </c>
      <c r="B2860" s="9">
        <v>1040</v>
      </c>
      <c r="C2860" s="14" t="str">
        <f>IFERROR(_xlfn.TEXTJOIN("-", TRUE, _xlfn.XLOOKUP(K2860, product_category_id_lookup!$A$2:$A$5, product_category_id_lookup!$B$2:$B$5), B2860), "Unknown Category")</f>
        <v>etc-1040</v>
      </c>
      <c r="D2860" s="8">
        <v>45538</v>
      </c>
      <c r="E2860" s="14">
        <f t="shared" si="132"/>
        <v>2024</v>
      </c>
      <c r="F2860" s="29" t="str">
        <f t="shared" si="133"/>
        <v>Sep</v>
      </c>
      <c r="G2860" s="17" t="s">
        <v>22</v>
      </c>
      <c r="H2860" s="17" t="s">
        <v>15</v>
      </c>
      <c r="I2860" s="24">
        <v>77031.045611384194</v>
      </c>
      <c r="J2860" s="32">
        <v>18</v>
      </c>
      <c r="K2860" s="17" t="s">
        <v>31</v>
      </c>
      <c r="L2860" s="24">
        <v>4102.26</v>
      </c>
      <c r="M2860" s="24">
        <v>4426.6000000000004</v>
      </c>
      <c r="N2860" s="34">
        <f>((sales_data_1[[#This Row],[Unit_Price]]*(1-sales_data_1[[#This Row],[Discount]]))-sales_data_1[[#This Row],[Unit_Cost]])*sales_data_1[[#This Row],[Quantity_Sold]]</f>
        <v>3447.7560000000067</v>
      </c>
      <c r="O2860" s="17" t="s">
        <v>17</v>
      </c>
      <c r="P2860" s="26">
        <v>0.03</v>
      </c>
      <c r="Q2860" s="17" t="s">
        <v>28</v>
      </c>
      <c r="R2860" s="17" t="s">
        <v>21</v>
      </c>
      <c r="S2860" s="50" t="str">
        <f t="shared" si="134"/>
        <v>David-North</v>
      </c>
      <c r="T2860" s="59" t="str">
        <f>IF(ROUND(sales_data_1[[#This Row],[Profit_Margin]],2)=ROUND((sales_data_1[[#This Row],[Unit_Price]]*(1-sales_data_1[[#This Row],[Discount]]) - sales_data_1[[#This Row],[Unit_Cost]])*sales_data_1[[#This Row],[Quantity_Sold]],2), "PASS", "CHECK")</f>
        <v>PASS</v>
      </c>
    </row>
    <row r="2861" spans="1:20" x14ac:dyDescent="0.35">
      <c r="A2861" s="7">
        <v>2860</v>
      </c>
      <c r="B2861" s="9">
        <v>1014</v>
      </c>
      <c r="C2861" s="14" t="str">
        <f>IFERROR(_xlfn.TEXTJOIN("-", TRUE, _xlfn.XLOOKUP(K2861, product_category_id_lookup!$A$2:$A$5, product_category_id_lookup!$B$2:$B$5), B2861), "Unknown Category")</f>
        <v>fnt-1014</v>
      </c>
      <c r="D2861" s="8">
        <v>45538</v>
      </c>
      <c r="E2861" s="14">
        <f t="shared" si="132"/>
        <v>2024</v>
      </c>
      <c r="F2861" s="29" t="str">
        <f t="shared" si="133"/>
        <v>Sep</v>
      </c>
      <c r="G2861" s="17" t="s">
        <v>32</v>
      </c>
      <c r="H2861" s="17" t="s">
        <v>23</v>
      </c>
      <c r="I2861" s="24">
        <v>19224.925999999999</v>
      </c>
      <c r="J2861" s="32">
        <v>14</v>
      </c>
      <c r="K2861" s="17" t="s">
        <v>16</v>
      </c>
      <c r="L2861" s="24">
        <v>530.16</v>
      </c>
      <c r="M2861" s="24">
        <v>1615.54</v>
      </c>
      <c r="N2861" s="34">
        <f>((sales_data_1[[#This Row],[Unit_Price]]*(1-sales_data_1[[#This Row],[Discount]]))-sales_data_1[[#This Row],[Unit_Cost]])*sales_data_1[[#This Row],[Quantity_Sold]]</f>
        <v>11802.685999999998</v>
      </c>
      <c r="O2861" s="17" t="s">
        <v>27</v>
      </c>
      <c r="P2861" s="26">
        <v>0.15</v>
      </c>
      <c r="Q2861" s="17" t="s">
        <v>25</v>
      </c>
      <c r="R2861" s="17" t="s">
        <v>21</v>
      </c>
      <c r="S2861" s="50" t="str">
        <f t="shared" si="134"/>
        <v>Eve-South</v>
      </c>
      <c r="T2861" s="59" t="str">
        <f>IF(ROUND(sales_data_1[[#This Row],[Profit_Margin]],2)=ROUND((sales_data_1[[#This Row],[Unit_Price]]*(1-sales_data_1[[#This Row],[Discount]]) - sales_data_1[[#This Row],[Unit_Cost]])*sales_data_1[[#This Row],[Quantity_Sold]],2), "PASS", "CHECK")</f>
        <v>PASS</v>
      </c>
    </row>
    <row r="2862" spans="1:20" x14ac:dyDescent="0.35">
      <c r="A2862" s="7">
        <v>2861</v>
      </c>
      <c r="B2862" s="9">
        <v>1018</v>
      </c>
      <c r="C2862" s="14" t="str">
        <f>IFERROR(_xlfn.TEXTJOIN("-", TRUE, _xlfn.XLOOKUP(K2862, product_category_id_lookup!$A$2:$A$5, product_category_id_lookup!$B$2:$B$5), B2862), "Unknown Category")</f>
        <v>ctg-1018</v>
      </c>
      <c r="D2862" s="8">
        <v>45538</v>
      </c>
      <c r="E2862" s="14">
        <f t="shared" si="132"/>
        <v>2024</v>
      </c>
      <c r="F2862" s="29" t="str">
        <f t="shared" si="133"/>
        <v>Sep</v>
      </c>
      <c r="G2862" s="17" t="s">
        <v>22</v>
      </c>
      <c r="H2862" s="17" t="s">
        <v>23</v>
      </c>
      <c r="I2862" s="24">
        <v>179922.21883331833</v>
      </c>
      <c r="J2862" s="32">
        <v>37</v>
      </c>
      <c r="K2862" s="17" t="s">
        <v>26</v>
      </c>
      <c r="L2862" s="24">
        <v>4187.5</v>
      </c>
      <c r="M2862" s="24">
        <v>5015.96</v>
      </c>
      <c r="N2862" s="34">
        <f>((sales_data_1[[#This Row],[Unit_Price]]*(1-sales_data_1[[#This Row],[Discount]]))-sales_data_1[[#This Row],[Unit_Cost]])*sales_data_1[[#This Row],[Quantity_Sold]]</f>
        <v>25085.304400000008</v>
      </c>
      <c r="O2862" s="17" t="s">
        <v>27</v>
      </c>
      <c r="P2862" s="26">
        <v>0.03</v>
      </c>
      <c r="Q2862" s="17" t="s">
        <v>25</v>
      </c>
      <c r="R2862" s="17" t="s">
        <v>19</v>
      </c>
      <c r="S2862" s="50" t="str">
        <f t="shared" si="134"/>
        <v>David-South</v>
      </c>
      <c r="T2862" s="59" t="str">
        <f>IF(ROUND(sales_data_1[[#This Row],[Profit_Margin]],2)=ROUND((sales_data_1[[#This Row],[Unit_Price]]*(1-sales_data_1[[#This Row],[Discount]]) - sales_data_1[[#This Row],[Unit_Cost]])*sales_data_1[[#This Row],[Quantity_Sold]],2), "PASS", "CHECK")</f>
        <v>PASS</v>
      </c>
    </row>
    <row r="2863" spans="1:20" x14ac:dyDescent="0.35">
      <c r="A2863" s="7">
        <v>2862</v>
      </c>
      <c r="B2863" s="9">
        <v>1012</v>
      </c>
      <c r="C2863" s="14" t="str">
        <f>IFERROR(_xlfn.TEXTJOIN("-", TRUE, _xlfn.XLOOKUP(K2863, product_category_id_lookup!$A$2:$A$5, product_category_id_lookup!$B$2:$B$5), B2863), "Unknown Category")</f>
        <v>etc-1012</v>
      </c>
      <c r="D2863" s="8">
        <v>45538</v>
      </c>
      <c r="E2863" s="14">
        <f t="shared" si="132"/>
        <v>2024</v>
      </c>
      <c r="F2863" s="29" t="str">
        <f t="shared" si="133"/>
        <v>Sep</v>
      </c>
      <c r="G2863" s="17" t="s">
        <v>22</v>
      </c>
      <c r="H2863" s="17" t="s">
        <v>30</v>
      </c>
      <c r="I2863" s="24">
        <v>141501.59100000001</v>
      </c>
      <c r="J2863" s="32">
        <v>42</v>
      </c>
      <c r="K2863" s="17" t="s">
        <v>31</v>
      </c>
      <c r="L2863" s="24">
        <v>1989.2</v>
      </c>
      <c r="M2863" s="24">
        <v>3963.63</v>
      </c>
      <c r="N2863" s="34">
        <f>((sales_data_1[[#This Row],[Unit_Price]]*(1-sales_data_1[[#This Row],[Discount]]))-sales_data_1[[#This Row],[Unit_Cost]])*sales_data_1[[#This Row],[Quantity_Sold]]</f>
        <v>57955.191000000006</v>
      </c>
      <c r="O2863" s="17" t="s">
        <v>27</v>
      </c>
      <c r="P2863" s="26">
        <v>0.15</v>
      </c>
      <c r="Q2863" s="17" t="s">
        <v>28</v>
      </c>
      <c r="R2863" s="17" t="s">
        <v>19</v>
      </c>
      <c r="S2863" s="50" t="str">
        <f t="shared" si="134"/>
        <v>David-East</v>
      </c>
      <c r="T2863" s="59" t="str">
        <f>IF(ROUND(sales_data_1[[#This Row],[Profit_Margin]],2)=ROUND((sales_data_1[[#This Row],[Unit_Price]]*(1-sales_data_1[[#This Row],[Discount]]) - sales_data_1[[#This Row],[Unit_Cost]])*sales_data_1[[#This Row],[Quantity_Sold]],2), "PASS", "CHECK")</f>
        <v>PASS</v>
      </c>
    </row>
    <row r="2864" spans="1:20" x14ac:dyDescent="0.35">
      <c r="A2864" s="7">
        <v>2863</v>
      </c>
      <c r="B2864" s="9">
        <v>1097</v>
      </c>
      <c r="C2864" s="14" t="str">
        <f>IFERROR(_xlfn.TEXTJOIN("-", TRUE, _xlfn.XLOOKUP(K2864, product_category_id_lookup!$A$2:$A$5, product_category_id_lookup!$B$2:$B$5), B2864), "Unknown Category")</f>
        <v>ctg-1097</v>
      </c>
      <c r="D2864" s="8">
        <v>45539</v>
      </c>
      <c r="E2864" s="14">
        <f t="shared" si="132"/>
        <v>2024</v>
      </c>
      <c r="F2864" s="29" t="str">
        <f t="shared" si="133"/>
        <v>Sep</v>
      </c>
      <c r="G2864" s="17" t="s">
        <v>29</v>
      </c>
      <c r="H2864" s="17" t="s">
        <v>15</v>
      </c>
      <c r="I2864" s="24">
        <v>24902.483999999997</v>
      </c>
      <c r="J2864" s="32">
        <v>12</v>
      </c>
      <c r="K2864" s="17" t="s">
        <v>26</v>
      </c>
      <c r="L2864" s="24">
        <v>1192.5899999999999</v>
      </c>
      <c r="M2864" s="24">
        <v>2441.42</v>
      </c>
      <c r="N2864" s="34">
        <f>((sales_data_1[[#This Row],[Unit_Price]]*(1-sales_data_1[[#This Row],[Discount]]))-sales_data_1[[#This Row],[Unit_Cost]])*sales_data_1[[#This Row],[Quantity_Sold]]</f>
        <v>10591.403999999999</v>
      </c>
      <c r="O2864" s="17" t="s">
        <v>17</v>
      </c>
      <c r="P2864" s="26">
        <v>0.15</v>
      </c>
      <c r="Q2864" s="17" t="s">
        <v>28</v>
      </c>
      <c r="R2864" s="17" t="s">
        <v>21</v>
      </c>
      <c r="S2864" s="50" t="str">
        <f t="shared" si="134"/>
        <v>Charlie-North</v>
      </c>
      <c r="T2864" s="59" t="str">
        <f>IF(ROUND(sales_data_1[[#This Row],[Profit_Margin]],2)=ROUND((sales_data_1[[#This Row],[Unit_Price]]*(1-sales_data_1[[#This Row],[Discount]]) - sales_data_1[[#This Row],[Unit_Cost]])*sales_data_1[[#This Row],[Quantity_Sold]],2), "PASS", "CHECK")</f>
        <v>PASS</v>
      </c>
    </row>
    <row r="2865" spans="1:20" x14ac:dyDescent="0.35">
      <c r="A2865" s="7">
        <v>2864</v>
      </c>
      <c r="B2865" s="9">
        <v>1079</v>
      </c>
      <c r="C2865" s="14" t="str">
        <f>IFERROR(_xlfn.TEXTJOIN("-", TRUE, _xlfn.XLOOKUP(K2865, product_category_id_lookup!$A$2:$A$5, product_category_id_lookup!$B$2:$B$5), B2865), "Unknown Category")</f>
        <v>ctg-1079</v>
      </c>
      <c r="D2865" s="8">
        <v>45540</v>
      </c>
      <c r="E2865" s="14">
        <f t="shared" si="132"/>
        <v>2024</v>
      </c>
      <c r="F2865" s="29" t="str">
        <f t="shared" si="133"/>
        <v>Sep</v>
      </c>
      <c r="G2865" s="17" t="s">
        <v>29</v>
      </c>
      <c r="H2865" s="17" t="s">
        <v>20</v>
      </c>
      <c r="I2865" s="24">
        <v>30233.563200000001</v>
      </c>
      <c r="J2865" s="32">
        <v>12</v>
      </c>
      <c r="K2865" s="17" t="s">
        <v>26</v>
      </c>
      <c r="L2865" s="24">
        <v>747.46</v>
      </c>
      <c r="M2865" s="24">
        <v>3451.32</v>
      </c>
      <c r="N2865" s="34">
        <f>((sales_data_1[[#This Row],[Unit_Price]]*(1-sales_data_1[[#This Row],[Discount]]))-sales_data_1[[#This Row],[Unit_Cost]])*sales_data_1[[#This Row],[Quantity_Sold]]</f>
        <v>21264.0432</v>
      </c>
      <c r="O2865" s="17" t="s">
        <v>17</v>
      </c>
      <c r="P2865" s="26">
        <v>0.27</v>
      </c>
      <c r="Q2865" s="17" t="s">
        <v>25</v>
      </c>
      <c r="R2865" s="17" t="s">
        <v>19</v>
      </c>
      <c r="S2865" s="50" t="str">
        <f t="shared" si="134"/>
        <v>Charlie-West</v>
      </c>
      <c r="T2865" s="59" t="str">
        <f>IF(ROUND(sales_data_1[[#This Row],[Profit_Margin]],2)=ROUND((sales_data_1[[#This Row],[Unit_Price]]*(1-sales_data_1[[#This Row],[Discount]]) - sales_data_1[[#This Row],[Unit_Cost]])*sales_data_1[[#This Row],[Quantity_Sold]],2), "PASS", "CHECK")</f>
        <v>PASS</v>
      </c>
    </row>
    <row r="2866" spans="1:20" x14ac:dyDescent="0.35">
      <c r="A2866" s="7">
        <v>2865</v>
      </c>
      <c r="B2866" s="9">
        <v>1061</v>
      </c>
      <c r="C2866" s="14" t="str">
        <f>IFERROR(_xlfn.TEXTJOIN("-", TRUE, _xlfn.XLOOKUP(K2866, product_category_id_lookup!$A$2:$A$5, product_category_id_lookup!$B$2:$B$5), B2866), "Unknown Category")</f>
        <v>fd-1061</v>
      </c>
      <c r="D2866" s="8">
        <v>45541</v>
      </c>
      <c r="E2866" s="14">
        <f t="shared" si="132"/>
        <v>2024</v>
      </c>
      <c r="F2866" s="29" t="str">
        <f t="shared" si="133"/>
        <v>Sep</v>
      </c>
      <c r="G2866" s="17" t="s">
        <v>14</v>
      </c>
      <c r="H2866" s="17" t="s">
        <v>30</v>
      </c>
      <c r="I2866" s="24">
        <v>2641.32</v>
      </c>
      <c r="J2866" s="32">
        <v>8</v>
      </c>
      <c r="K2866" s="17" t="s">
        <v>24</v>
      </c>
      <c r="L2866" s="24">
        <v>312.57</v>
      </c>
      <c r="M2866" s="24">
        <v>366.85</v>
      </c>
      <c r="N2866" s="34">
        <f>((sales_data_1[[#This Row],[Unit_Price]]*(1-sales_data_1[[#This Row],[Discount]]))-sales_data_1[[#This Row],[Unit_Cost]])*sales_data_1[[#This Row],[Quantity_Sold]]</f>
        <v>140.76000000000022</v>
      </c>
      <c r="O2866" s="17" t="s">
        <v>27</v>
      </c>
      <c r="P2866" s="26">
        <v>0.1</v>
      </c>
      <c r="Q2866" s="17" t="s">
        <v>28</v>
      </c>
      <c r="R2866" s="17" t="s">
        <v>19</v>
      </c>
      <c r="S2866" s="50" t="str">
        <f t="shared" si="134"/>
        <v>Bob-East</v>
      </c>
      <c r="T2866" s="59" t="str">
        <f>IF(ROUND(sales_data_1[[#This Row],[Profit_Margin]],2)=ROUND((sales_data_1[[#This Row],[Unit_Price]]*(1-sales_data_1[[#This Row],[Discount]]) - sales_data_1[[#This Row],[Unit_Cost]])*sales_data_1[[#This Row],[Quantity_Sold]],2), "PASS", "CHECK")</f>
        <v>PASS</v>
      </c>
    </row>
    <row r="2867" spans="1:20" x14ac:dyDescent="0.35">
      <c r="A2867" s="7">
        <v>2866</v>
      </c>
      <c r="B2867" s="9">
        <v>1060</v>
      </c>
      <c r="C2867" s="14" t="str">
        <f>IFERROR(_xlfn.TEXTJOIN("-", TRUE, _xlfn.XLOOKUP(K2867, product_category_id_lookup!$A$2:$A$5, product_category_id_lookup!$B$2:$B$5), B2867), "Unknown Category")</f>
        <v>fnt-1060</v>
      </c>
      <c r="D2867" s="8">
        <v>45541</v>
      </c>
      <c r="E2867" s="14">
        <f t="shared" si="132"/>
        <v>2024</v>
      </c>
      <c r="F2867" s="29" t="str">
        <f t="shared" si="133"/>
        <v>Sep</v>
      </c>
      <c r="G2867" s="17" t="s">
        <v>14</v>
      </c>
      <c r="H2867" s="17" t="s">
        <v>30</v>
      </c>
      <c r="I2867" s="24">
        <v>17758.598399999999</v>
      </c>
      <c r="J2867" s="32">
        <v>6</v>
      </c>
      <c r="K2867" s="17" t="s">
        <v>16</v>
      </c>
      <c r="L2867" s="24">
        <v>1464.82</v>
      </c>
      <c r="M2867" s="24">
        <v>3083.09</v>
      </c>
      <c r="N2867" s="34">
        <f>((sales_data_1[[#This Row],[Unit_Price]]*(1-sales_data_1[[#This Row],[Discount]]))-sales_data_1[[#This Row],[Unit_Cost]])*sales_data_1[[#This Row],[Quantity_Sold]]</f>
        <v>8969.6784000000007</v>
      </c>
      <c r="O2867" s="17" t="s">
        <v>17</v>
      </c>
      <c r="P2867" s="26">
        <v>0.04</v>
      </c>
      <c r="Q2867" s="17" t="s">
        <v>25</v>
      </c>
      <c r="R2867" s="17" t="s">
        <v>21</v>
      </c>
      <c r="S2867" s="50" t="str">
        <f t="shared" si="134"/>
        <v>Bob-East</v>
      </c>
      <c r="T2867" s="59" t="str">
        <f>IF(ROUND(sales_data_1[[#This Row],[Profit_Margin]],2)=ROUND((sales_data_1[[#This Row],[Unit_Price]]*(1-sales_data_1[[#This Row],[Discount]]) - sales_data_1[[#This Row],[Unit_Cost]])*sales_data_1[[#This Row],[Quantity_Sold]],2), "PASS", "CHECK")</f>
        <v>PASS</v>
      </c>
    </row>
    <row r="2868" spans="1:20" x14ac:dyDescent="0.35">
      <c r="A2868" s="7">
        <v>2867</v>
      </c>
      <c r="B2868" s="9">
        <v>1036</v>
      </c>
      <c r="C2868" s="14" t="str">
        <f>IFERROR(_xlfn.TEXTJOIN("-", TRUE, _xlfn.XLOOKUP(K2868, product_category_id_lookup!$A$2:$A$5, product_category_id_lookup!$B$2:$B$5), B2868), "Unknown Category")</f>
        <v>fd-1036</v>
      </c>
      <c r="D2868" s="8">
        <v>45541</v>
      </c>
      <c r="E2868" s="14">
        <f t="shared" si="132"/>
        <v>2024</v>
      </c>
      <c r="F2868" s="29" t="str">
        <f t="shared" si="133"/>
        <v>Sep</v>
      </c>
      <c r="G2868" s="17" t="s">
        <v>29</v>
      </c>
      <c r="H2868" s="17" t="s">
        <v>23</v>
      </c>
      <c r="I2868" s="24">
        <v>20171.520000000004</v>
      </c>
      <c r="J2868" s="32">
        <v>10</v>
      </c>
      <c r="K2868" s="17" t="s">
        <v>24</v>
      </c>
      <c r="L2868" s="24">
        <v>679.68</v>
      </c>
      <c r="M2868" s="24">
        <v>2241.2800000000002</v>
      </c>
      <c r="N2868" s="34">
        <f>((sales_data_1[[#This Row],[Unit_Price]]*(1-sales_data_1[[#This Row],[Discount]]))-sales_data_1[[#This Row],[Unit_Cost]])*sales_data_1[[#This Row],[Quantity_Sold]]</f>
        <v>13374.720000000001</v>
      </c>
      <c r="O2868" s="17" t="s">
        <v>17</v>
      </c>
      <c r="P2868" s="26">
        <v>0.1</v>
      </c>
      <c r="Q2868" s="17" t="s">
        <v>25</v>
      </c>
      <c r="R2868" s="17" t="s">
        <v>21</v>
      </c>
      <c r="S2868" s="50" t="str">
        <f t="shared" si="134"/>
        <v>Charlie-South</v>
      </c>
      <c r="T2868" s="59" t="str">
        <f>IF(ROUND(sales_data_1[[#This Row],[Profit_Margin]],2)=ROUND((sales_data_1[[#This Row],[Unit_Price]]*(1-sales_data_1[[#This Row],[Discount]]) - sales_data_1[[#This Row],[Unit_Cost]])*sales_data_1[[#This Row],[Quantity_Sold]],2), "PASS", "CHECK")</f>
        <v>PASS</v>
      </c>
    </row>
    <row r="2869" spans="1:20" x14ac:dyDescent="0.35">
      <c r="A2869" s="7">
        <v>2868</v>
      </c>
      <c r="B2869" s="9">
        <v>1068</v>
      </c>
      <c r="C2869" s="14" t="str">
        <f>IFERROR(_xlfn.TEXTJOIN("-", TRUE, _xlfn.XLOOKUP(K2869, product_category_id_lookup!$A$2:$A$5, product_category_id_lookup!$B$2:$B$5), B2869), "Unknown Category")</f>
        <v>fnt-1068</v>
      </c>
      <c r="D2869" s="8">
        <v>45541</v>
      </c>
      <c r="E2869" s="14">
        <f t="shared" si="132"/>
        <v>2024</v>
      </c>
      <c r="F2869" s="29" t="str">
        <f t="shared" si="133"/>
        <v>Sep</v>
      </c>
      <c r="G2869" s="17" t="s">
        <v>33</v>
      </c>
      <c r="H2869" s="17" t="s">
        <v>23</v>
      </c>
      <c r="I2869" s="24">
        <v>80995.200000000012</v>
      </c>
      <c r="J2869" s="32">
        <v>50</v>
      </c>
      <c r="K2869" s="17" t="s">
        <v>16</v>
      </c>
      <c r="L2869" s="24">
        <v>962.74</v>
      </c>
      <c r="M2869" s="24">
        <v>2076.8000000000002</v>
      </c>
      <c r="N2869" s="34">
        <f>((sales_data_1[[#This Row],[Unit_Price]]*(1-sales_data_1[[#This Row],[Discount]]))-sales_data_1[[#This Row],[Unit_Cost]])*sales_data_1[[#This Row],[Quantity_Sold]]</f>
        <v>32858.200000000012</v>
      </c>
      <c r="O2869" s="17" t="s">
        <v>27</v>
      </c>
      <c r="P2869" s="26">
        <v>0.22</v>
      </c>
      <c r="Q2869" s="17" t="s">
        <v>25</v>
      </c>
      <c r="R2869" s="17" t="s">
        <v>21</v>
      </c>
      <c r="S2869" s="50" t="str">
        <f t="shared" si="134"/>
        <v>Alice-South</v>
      </c>
      <c r="T2869" s="59" t="str">
        <f>IF(ROUND(sales_data_1[[#This Row],[Profit_Margin]],2)=ROUND((sales_data_1[[#This Row],[Unit_Price]]*(1-sales_data_1[[#This Row],[Discount]]) - sales_data_1[[#This Row],[Unit_Cost]])*sales_data_1[[#This Row],[Quantity_Sold]],2), "PASS", "CHECK")</f>
        <v>PASS</v>
      </c>
    </row>
    <row r="2870" spans="1:20" x14ac:dyDescent="0.35">
      <c r="A2870" s="7">
        <v>2869</v>
      </c>
      <c r="B2870" s="9">
        <v>1060</v>
      </c>
      <c r="C2870" s="14" t="str">
        <f>IFERROR(_xlfn.TEXTJOIN("-", TRUE, _xlfn.XLOOKUP(K2870, product_category_id_lookup!$A$2:$A$5, product_category_id_lookup!$B$2:$B$5), B2870), "Unknown Category")</f>
        <v>fnt-1060</v>
      </c>
      <c r="D2870" s="8">
        <v>45541</v>
      </c>
      <c r="E2870" s="14">
        <f t="shared" si="132"/>
        <v>2024</v>
      </c>
      <c r="F2870" s="29" t="str">
        <f t="shared" si="133"/>
        <v>Sep</v>
      </c>
      <c r="G2870" s="17" t="s">
        <v>29</v>
      </c>
      <c r="H2870" s="17" t="s">
        <v>30</v>
      </c>
      <c r="I2870" s="24">
        <v>166574.65720000002</v>
      </c>
      <c r="J2870" s="32">
        <v>49</v>
      </c>
      <c r="K2870" s="17" t="s">
        <v>16</v>
      </c>
      <c r="L2870" s="24">
        <v>1246.1199999999999</v>
      </c>
      <c r="M2870" s="24">
        <v>3695.09</v>
      </c>
      <c r="N2870" s="34">
        <f>((sales_data_1[[#This Row],[Unit_Price]]*(1-sales_data_1[[#This Row],[Discount]]))-sales_data_1[[#This Row],[Unit_Cost]])*sales_data_1[[#This Row],[Quantity_Sold]]</f>
        <v>105514.77720000001</v>
      </c>
      <c r="O2870" s="17" t="s">
        <v>17</v>
      </c>
      <c r="P2870" s="26">
        <v>0.08</v>
      </c>
      <c r="Q2870" s="17" t="s">
        <v>25</v>
      </c>
      <c r="R2870" s="17" t="s">
        <v>21</v>
      </c>
      <c r="S2870" s="50" t="str">
        <f t="shared" si="134"/>
        <v>Charlie-East</v>
      </c>
      <c r="T2870" s="59" t="str">
        <f>IF(ROUND(sales_data_1[[#This Row],[Profit_Margin]],2)=ROUND((sales_data_1[[#This Row],[Unit_Price]]*(1-sales_data_1[[#This Row],[Discount]]) - sales_data_1[[#This Row],[Unit_Cost]])*sales_data_1[[#This Row],[Quantity_Sold]],2), "PASS", "CHECK")</f>
        <v>PASS</v>
      </c>
    </row>
    <row r="2871" spans="1:20" x14ac:dyDescent="0.35">
      <c r="A2871" s="7">
        <v>2870</v>
      </c>
      <c r="B2871" s="9">
        <v>1078</v>
      </c>
      <c r="C2871" s="14" t="str">
        <f>IFERROR(_xlfn.TEXTJOIN("-", TRUE, _xlfn.XLOOKUP(K2871, product_category_id_lookup!$A$2:$A$5, product_category_id_lookup!$B$2:$B$5), B2871), "Unknown Category")</f>
        <v>etc-1078</v>
      </c>
      <c r="D2871" s="8">
        <v>45541</v>
      </c>
      <c r="E2871" s="14">
        <f t="shared" si="132"/>
        <v>2024</v>
      </c>
      <c r="F2871" s="29" t="str">
        <f t="shared" si="133"/>
        <v>Sep</v>
      </c>
      <c r="G2871" s="17" t="s">
        <v>33</v>
      </c>
      <c r="H2871" s="17" t="s">
        <v>23</v>
      </c>
      <c r="I2871" s="24">
        <v>181776.50399999999</v>
      </c>
      <c r="J2871" s="32">
        <v>40</v>
      </c>
      <c r="K2871" s="17" t="s">
        <v>31</v>
      </c>
      <c r="L2871" s="24">
        <v>1800.35</v>
      </c>
      <c r="M2871" s="24">
        <v>4993.8599999999997</v>
      </c>
      <c r="N2871" s="34">
        <f>((sales_data_1[[#This Row],[Unit_Price]]*(1-sales_data_1[[#This Row],[Discount]]))-sales_data_1[[#This Row],[Unit_Cost]])*sales_data_1[[#This Row],[Quantity_Sold]]</f>
        <v>109762.50399999999</v>
      </c>
      <c r="O2871" s="17" t="s">
        <v>17</v>
      </c>
      <c r="P2871" s="26">
        <v>0.09</v>
      </c>
      <c r="Q2871" s="17" t="s">
        <v>28</v>
      </c>
      <c r="R2871" s="17" t="s">
        <v>21</v>
      </c>
      <c r="S2871" s="50" t="str">
        <f t="shared" si="134"/>
        <v>Alice-South</v>
      </c>
      <c r="T2871" s="59" t="str">
        <f>IF(ROUND(sales_data_1[[#This Row],[Profit_Margin]],2)=ROUND((sales_data_1[[#This Row],[Unit_Price]]*(1-sales_data_1[[#This Row],[Discount]]) - sales_data_1[[#This Row],[Unit_Cost]])*sales_data_1[[#This Row],[Quantity_Sold]],2), "PASS", "CHECK")</f>
        <v>PASS</v>
      </c>
    </row>
    <row r="2872" spans="1:20" x14ac:dyDescent="0.35">
      <c r="A2872" s="7">
        <v>2871</v>
      </c>
      <c r="B2872" s="9">
        <v>1064</v>
      </c>
      <c r="C2872" s="14" t="str">
        <f>IFERROR(_xlfn.TEXTJOIN("-", TRUE, _xlfn.XLOOKUP(K2872, product_category_id_lookup!$A$2:$A$5, product_category_id_lookup!$B$2:$B$5), B2872), "Unknown Category")</f>
        <v>etc-1064</v>
      </c>
      <c r="D2872" s="8">
        <v>45542</v>
      </c>
      <c r="E2872" s="14">
        <f t="shared" si="132"/>
        <v>2024</v>
      </c>
      <c r="F2872" s="29" t="str">
        <f t="shared" si="133"/>
        <v>Sep</v>
      </c>
      <c r="G2872" s="17" t="s">
        <v>33</v>
      </c>
      <c r="H2872" s="17" t="s">
        <v>23</v>
      </c>
      <c r="I2872" s="24">
        <v>4059.0264000000002</v>
      </c>
      <c r="J2872" s="32">
        <v>2</v>
      </c>
      <c r="K2872" s="17" t="s">
        <v>31</v>
      </c>
      <c r="L2872" s="24">
        <v>467.21</v>
      </c>
      <c r="M2872" s="24">
        <v>2601.94</v>
      </c>
      <c r="N2872" s="34">
        <f>((sales_data_1[[#This Row],[Unit_Price]]*(1-sales_data_1[[#This Row],[Discount]]))-sales_data_1[[#This Row],[Unit_Cost]])*sales_data_1[[#This Row],[Quantity_Sold]]</f>
        <v>3124.6064000000001</v>
      </c>
      <c r="O2872" s="17" t="s">
        <v>17</v>
      </c>
      <c r="P2872" s="26">
        <v>0.22</v>
      </c>
      <c r="Q2872" s="17" t="s">
        <v>28</v>
      </c>
      <c r="R2872" s="17" t="s">
        <v>21</v>
      </c>
      <c r="S2872" s="50" t="str">
        <f t="shared" si="134"/>
        <v>Alice-South</v>
      </c>
      <c r="T2872" s="59" t="str">
        <f>IF(ROUND(sales_data_1[[#This Row],[Profit_Margin]],2)=ROUND((sales_data_1[[#This Row],[Unit_Price]]*(1-sales_data_1[[#This Row],[Discount]]) - sales_data_1[[#This Row],[Unit_Cost]])*sales_data_1[[#This Row],[Quantity_Sold]],2), "PASS", "CHECK")</f>
        <v>PASS</v>
      </c>
    </row>
    <row r="2873" spans="1:20" x14ac:dyDescent="0.35">
      <c r="A2873" s="7">
        <v>2872</v>
      </c>
      <c r="B2873" s="9">
        <v>1021</v>
      </c>
      <c r="C2873" s="14" t="str">
        <f>IFERROR(_xlfn.TEXTJOIN("-", TRUE, _xlfn.XLOOKUP(K2873, product_category_id_lookup!$A$2:$A$5, product_category_id_lookup!$B$2:$B$5), B2873), "Unknown Category")</f>
        <v>fnt-1021</v>
      </c>
      <c r="D2873" s="8">
        <v>45542</v>
      </c>
      <c r="E2873" s="14">
        <f t="shared" si="132"/>
        <v>2024</v>
      </c>
      <c r="F2873" s="29" t="str">
        <f t="shared" si="133"/>
        <v>Sep</v>
      </c>
      <c r="G2873" s="17" t="s">
        <v>33</v>
      </c>
      <c r="H2873" s="17" t="s">
        <v>23</v>
      </c>
      <c r="I2873" s="24">
        <v>31313.015999999996</v>
      </c>
      <c r="J2873" s="32">
        <v>12</v>
      </c>
      <c r="K2873" s="17" t="s">
        <v>16</v>
      </c>
      <c r="L2873" s="24">
        <v>1813.24</v>
      </c>
      <c r="M2873" s="24">
        <v>3106.45</v>
      </c>
      <c r="N2873" s="34">
        <f>((sales_data_1[[#This Row],[Unit_Price]]*(1-sales_data_1[[#This Row],[Discount]]))-sales_data_1[[#This Row],[Unit_Cost]])*sales_data_1[[#This Row],[Quantity_Sold]]</f>
        <v>9554.135999999995</v>
      </c>
      <c r="O2873" s="17" t="s">
        <v>27</v>
      </c>
      <c r="P2873" s="26">
        <v>0.16</v>
      </c>
      <c r="Q2873" s="17" t="s">
        <v>28</v>
      </c>
      <c r="R2873" s="17" t="s">
        <v>19</v>
      </c>
      <c r="S2873" s="50" t="str">
        <f t="shared" si="134"/>
        <v>Alice-South</v>
      </c>
      <c r="T2873" s="59" t="str">
        <f>IF(ROUND(sales_data_1[[#This Row],[Profit_Margin]],2)=ROUND((sales_data_1[[#This Row],[Unit_Price]]*(1-sales_data_1[[#This Row],[Discount]]) - sales_data_1[[#This Row],[Unit_Cost]])*sales_data_1[[#This Row],[Quantity_Sold]],2), "PASS", "CHECK")</f>
        <v>PASS</v>
      </c>
    </row>
    <row r="2874" spans="1:20" x14ac:dyDescent="0.35">
      <c r="A2874" s="7">
        <v>2873</v>
      </c>
      <c r="B2874" s="9">
        <v>1099</v>
      </c>
      <c r="C2874" s="14" t="str">
        <f>IFERROR(_xlfn.TEXTJOIN("-", TRUE, _xlfn.XLOOKUP(K2874, product_category_id_lookup!$A$2:$A$5, product_category_id_lookup!$B$2:$B$5), B2874), "Unknown Category")</f>
        <v>fnt-1099</v>
      </c>
      <c r="D2874" s="8">
        <v>45542</v>
      </c>
      <c r="E2874" s="14">
        <f t="shared" si="132"/>
        <v>2024</v>
      </c>
      <c r="F2874" s="29" t="str">
        <f t="shared" si="133"/>
        <v>Sep</v>
      </c>
      <c r="G2874" s="17" t="s">
        <v>33</v>
      </c>
      <c r="H2874" s="17" t="s">
        <v>20</v>
      </c>
      <c r="I2874" s="24">
        <v>129898.3648</v>
      </c>
      <c r="J2874" s="32">
        <v>41</v>
      </c>
      <c r="K2874" s="17" t="s">
        <v>16</v>
      </c>
      <c r="L2874" s="24">
        <v>1884.57</v>
      </c>
      <c r="M2874" s="24">
        <v>3266.24</v>
      </c>
      <c r="N2874" s="34">
        <f>((sales_data_1[[#This Row],[Unit_Price]]*(1-sales_data_1[[#This Row],[Discount]]))-sales_data_1[[#This Row],[Unit_Cost]])*sales_data_1[[#This Row],[Quantity_Sold]]</f>
        <v>52630.994799999993</v>
      </c>
      <c r="O2874" s="17" t="s">
        <v>27</v>
      </c>
      <c r="P2874" s="26">
        <v>0.03</v>
      </c>
      <c r="Q2874" s="17" t="s">
        <v>28</v>
      </c>
      <c r="R2874" s="17" t="s">
        <v>21</v>
      </c>
      <c r="S2874" s="50" t="str">
        <f t="shared" si="134"/>
        <v>Alice-West</v>
      </c>
      <c r="T2874" s="59" t="str">
        <f>IF(ROUND(sales_data_1[[#This Row],[Profit_Margin]],2)=ROUND((sales_data_1[[#This Row],[Unit_Price]]*(1-sales_data_1[[#This Row],[Discount]]) - sales_data_1[[#This Row],[Unit_Cost]])*sales_data_1[[#This Row],[Quantity_Sold]],2), "PASS", "CHECK")</f>
        <v>PASS</v>
      </c>
    </row>
    <row r="2875" spans="1:20" x14ac:dyDescent="0.35">
      <c r="A2875" s="7">
        <v>2874</v>
      </c>
      <c r="B2875" s="9">
        <v>1024</v>
      </c>
      <c r="C2875" s="14" t="str">
        <f>IFERROR(_xlfn.TEXTJOIN("-", TRUE, _xlfn.XLOOKUP(K2875, product_category_id_lookup!$A$2:$A$5, product_category_id_lookup!$B$2:$B$5), B2875), "Unknown Category")</f>
        <v>etc-1024</v>
      </c>
      <c r="D2875" s="8">
        <v>45543</v>
      </c>
      <c r="E2875" s="14">
        <f t="shared" si="132"/>
        <v>2024</v>
      </c>
      <c r="F2875" s="29" t="str">
        <f t="shared" si="133"/>
        <v>Sep</v>
      </c>
      <c r="G2875" s="17" t="s">
        <v>33</v>
      </c>
      <c r="H2875" s="17" t="s">
        <v>23</v>
      </c>
      <c r="I2875" s="24">
        <v>9188.0319</v>
      </c>
      <c r="J2875" s="32">
        <v>3</v>
      </c>
      <c r="K2875" s="17" t="s">
        <v>31</v>
      </c>
      <c r="L2875" s="24">
        <v>2214.62</v>
      </c>
      <c r="M2875" s="24">
        <v>4313.63</v>
      </c>
      <c r="N2875" s="34">
        <f>((sales_data_1[[#This Row],[Unit_Price]]*(1-sales_data_1[[#This Row],[Discount]]))-sales_data_1[[#This Row],[Unit_Cost]])*sales_data_1[[#This Row],[Quantity_Sold]]</f>
        <v>2544.1718999999998</v>
      </c>
      <c r="O2875" s="17" t="s">
        <v>17</v>
      </c>
      <c r="P2875" s="26">
        <v>0.28999999999999998</v>
      </c>
      <c r="Q2875" s="17" t="s">
        <v>28</v>
      </c>
      <c r="R2875" s="17" t="s">
        <v>21</v>
      </c>
      <c r="S2875" s="50" t="str">
        <f t="shared" si="134"/>
        <v>Alice-South</v>
      </c>
      <c r="T2875" s="59" t="str">
        <f>IF(ROUND(sales_data_1[[#This Row],[Profit_Margin]],2)=ROUND((sales_data_1[[#This Row],[Unit_Price]]*(1-sales_data_1[[#This Row],[Discount]]) - sales_data_1[[#This Row],[Unit_Cost]])*sales_data_1[[#This Row],[Quantity_Sold]],2), "PASS", "CHECK")</f>
        <v>PASS</v>
      </c>
    </row>
    <row r="2876" spans="1:20" x14ac:dyDescent="0.35">
      <c r="A2876" s="7">
        <v>2875</v>
      </c>
      <c r="B2876" s="9">
        <v>1060</v>
      </c>
      <c r="C2876" s="14" t="str">
        <f>IFERROR(_xlfn.TEXTJOIN("-", TRUE, _xlfn.XLOOKUP(K2876, product_category_id_lookup!$A$2:$A$5, product_category_id_lookup!$B$2:$B$5), B2876), "Unknown Category")</f>
        <v>fd-1060</v>
      </c>
      <c r="D2876" s="8">
        <v>45543</v>
      </c>
      <c r="E2876" s="14">
        <f t="shared" si="132"/>
        <v>2024</v>
      </c>
      <c r="F2876" s="29" t="str">
        <f t="shared" si="133"/>
        <v>Sep</v>
      </c>
      <c r="G2876" s="17" t="s">
        <v>22</v>
      </c>
      <c r="H2876" s="17" t="s">
        <v>30</v>
      </c>
      <c r="I2876" s="24">
        <v>22604.734461084627</v>
      </c>
      <c r="J2876" s="32">
        <v>5</v>
      </c>
      <c r="K2876" s="17" t="s">
        <v>24</v>
      </c>
      <c r="L2876" s="24">
        <v>3832.45</v>
      </c>
      <c r="M2876" s="24">
        <v>4696.42</v>
      </c>
      <c r="N2876" s="34">
        <f>((sales_data_1[[#This Row],[Unit_Price]]*(1-sales_data_1[[#This Row],[Discount]]))-sales_data_1[[#This Row],[Unit_Cost]])*sales_data_1[[#This Row],[Quantity_Sold]]</f>
        <v>3380.5659999999989</v>
      </c>
      <c r="O2876" s="17" t="s">
        <v>17</v>
      </c>
      <c r="P2876" s="26">
        <v>0.04</v>
      </c>
      <c r="Q2876" s="17" t="s">
        <v>25</v>
      </c>
      <c r="R2876" s="17" t="s">
        <v>19</v>
      </c>
      <c r="S2876" s="50" t="str">
        <f t="shared" si="134"/>
        <v>David-East</v>
      </c>
      <c r="T2876" s="59" t="str">
        <f>IF(ROUND(sales_data_1[[#This Row],[Profit_Margin]],2)=ROUND((sales_data_1[[#This Row],[Unit_Price]]*(1-sales_data_1[[#This Row],[Discount]]) - sales_data_1[[#This Row],[Unit_Cost]])*sales_data_1[[#This Row],[Quantity_Sold]],2), "PASS", "CHECK")</f>
        <v>PASS</v>
      </c>
    </row>
    <row r="2877" spans="1:20" x14ac:dyDescent="0.35">
      <c r="A2877" s="7">
        <v>2876</v>
      </c>
      <c r="B2877" s="9">
        <v>1061</v>
      </c>
      <c r="C2877" s="14" t="str">
        <f>IFERROR(_xlfn.TEXTJOIN("-", TRUE, _xlfn.XLOOKUP(K2877, product_category_id_lookup!$A$2:$A$5, product_category_id_lookup!$B$2:$B$5), B2877), "Unknown Category")</f>
        <v>fnt-1061</v>
      </c>
      <c r="D2877" s="8">
        <v>45543</v>
      </c>
      <c r="E2877" s="14">
        <f t="shared" si="132"/>
        <v>2024</v>
      </c>
      <c r="F2877" s="29" t="str">
        <f t="shared" si="133"/>
        <v>Sep</v>
      </c>
      <c r="G2877" s="17" t="s">
        <v>22</v>
      </c>
      <c r="H2877" s="17" t="s">
        <v>23</v>
      </c>
      <c r="I2877" s="24">
        <v>34185.139200000005</v>
      </c>
      <c r="J2877" s="32">
        <v>12</v>
      </c>
      <c r="K2877" s="17" t="s">
        <v>16</v>
      </c>
      <c r="L2877" s="24">
        <v>2500.4899999999998</v>
      </c>
      <c r="M2877" s="24">
        <v>3096.48</v>
      </c>
      <c r="N2877" s="34">
        <f>((sales_data_1[[#This Row],[Unit_Price]]*(1-sales_data_1[[#This Row],[Discount]]))-sales_data_1[[#This Row],[Unit_Cost]])*sales_data_1[[#This Row],[Quantity_Sold]]</f>
        <v>4179.2592000000059</v>
      </c>
      <c r="O2877" s="17" t="s">
        <v>27</v>
      </c>
      <c r="P2877" s="26">
        <v>0.08</v>
      </c>
      <c r="Q2877" s="17" t="s">
        <v>18</v>
      </c>
      <c r="R2877" s="17" t="s">
        <v>21</v>
      </c>
      <c r="S2877" s="50" t="str">
        <f t="shared" si="134"/>
        <v>David-South</v>
      </c>
      <c r="T2877" s="59" t="str">
        <f>IF(ROUND(sales_data_1[[#This Row],[Profit_Margin]],2)=ROUND((sales_data_1[[#This Row],[Unit_Price]]*(1-sales_data_1[[#This Row],[Discount]]) - sales_data_1[[#This Row],[Unit_Cost]])*sales_data_1[[#This Row],[Quantity_Sold]],2), "PASS", "CHECK")</f>
        <v>PASS</v>
      </c>
    </row>
    <row r="2878" spans="1:20" x14ac:dyDescent="0.35">
      <c r="A2878" s="7">
        <v>2877</v>
      </c>
      <c r="B2878" s="9">
        <v>1004</v>
      </c>
      <c r="C2878" s="14" t="str">
        <f>IFERROR(_xlfn.TEXTJOIN("-", TRUE, _xlfn.XLOOKUP(K2878, product_category_id_lookup!$A$2:$A$5, product_category_id_lookup!$B$2:$B$5), B2878), "Unknown Category")</f>
        <v>fd-1004</v>
      </c>
      <c r="D2878" s="8">
        <v>45543</v>
      </c>
      <c r="E2878" s="14">
        <f t="shared" si="132"/>
        <v>2024</v>
      </c>
      <c r="F2878" s="29" t="str">
        <f t="shared" si="133"/>
        <v>Sep</v>
      </c>
      <c r="G2878" s="17" t="s">
        <v>33</v>
      </c>
      <c r="H2878" s="17" t="s">
        <v>30</v>
      </c>
      <c r="I2878" s="24">
        <v>60837.061400000006</v>
      </c>
      <c r="J2878" s="32">
        <v>38</v>
      </c>
      <c r="K2878" s="17" t="s">
        <v>24</v>
      </c>
      <c r="L2878" s="24">
        <v>1400.41</v>
      </c>
      <c r="M2878" s="24">
        <v>1650.49</v>
      </c>
      <c r="N2878" s="34">
        <f>((sales_data_1[[#This Row],[Unit_Price]]*(1-sales_data_1[[#This Row],[Discount]]))-sales_data_1[[#This Row],[Unit_Cost]])*sales_data_1[[#This Row],[Quantity_Sold]]</f>
        <v>7621.4813999999988</v>
      </c>
      <c r="O2878" s="17" t="s">
        <v>17</v>
      </c>
      <c r="P2878" s="26">
        <v>0.03</v>
      </c>
      <c r="Q2878" s="17" t="s">
        <v>28</v>
      </c>
      <c r="R2878" s="17" t="s">
        <v>21</v>
      </c>
      <c r="S2878" s="50" t="str">
        <f t="shared" si="134"/>
        <v>Alice-East</v>
      </c>
      <c r="T2878" s="59" t="str">
        <f>IF(ROUND(sales_data_1[[#This Row],[Profit_Margin]],2)=ROUND((sales_data_1[[#This Row],[Unit_Price]]*(1-sales_data_1[[#This Row],[Discount]]) - sales_data_1[[#This Row],[Unit_Cost]])*sales_data_1[[#This Row],[Quantity_Sold]],2), "PASS", "CHECK")</f>
        <v>PASS</v>
      </c>
    </row>
    <row r="2879" spans="1:20" x14ac:dyDescent="0.35">
      <c r="A2879" s="7">
        <v>2878</v>
      </c>
      <c r="B2879" s="9">
        <v>1089</v>
      </c>
      <c r="C2879" s="14" t="str">
        <f>IFERROR(_xlfn.TEXTJOIN("-", TRUE, _xlfn.XLOOKUP(K2879, product_category_id_lookup!$A$2:$A$5, product_category_id_lookup!$B$2:$B$5), B2879), "Unknown Category")</f>
        <v>fnt-1089</v>
      </c>
      <c r="D2879" s="8">
        <v>45543</v>
      </c>
      <c r="E2879" s="14">
        <f t="shared" si="132"/>
        <v>2024</v>
      </c>
      <c r="F2879" s="29" t="str">
        <f t="shared" si="133"/>
        <v>Sep</v>
      </c>
      <c r="G2879" s="17" t="s">
        <v>14</v>
      </c>
      <c r="H2879" s="17" t="s">
        <v>30</v>
      </c>
      <c r="I2879" s="24">
        <v>137413.11600000001</v>
      </c>
      <c r="J2879" s="32">
        <v>37</v>
      </c>
      <c r="K2879" s="17" t="s">
        <v>16</v>
      </c>
      <c r="L2879" s="24">
        <v>2660.93</v>
      </c>
      <c r="M2879" s="24">
        <v>4126.5200000000004</v>
      </c>
      <c r="N2879" s="34">
        <f>((sales_data_1[[#This Row],[Unit_Price]]*(1-sales_data_1[[#This Row],[Discount]]))-sales_data_1[[#This Row],[Unit_Cost]])*sales_data_1[[#This Row],[Quantity_Sold]]</f>
        <v>38958.70600000002</v>
      </c>
      <c r="O2879" s="17" t="s">
        <v>27</v>
      </c>
      <c r="P2879" s="26">
        <v>0.1</v>
      </c>
      <c r="Q2879" s="17" t="s">
        <v>25</v>
      </c>
      <c r="R2879" s="17" t="s">
        <v>21</v>
      </c>
      <c r="S2879" s="50" t="str">
        <f t="shared" si="134"/>
        <v>Bob-East</v>
      </c>
      <c r="T2879" s="59" t="str">
        <f>IF(ROUND(sales_data_1[[#This Row],[Profit_Margin]],2)=ROUND((sales_data_1[[#This Row],[Unit_Price]]*(1-sales_data_1[[#This Row],[Discount]]) - sales_data_1[[#This Row],[Unit_Cost]])*sales_data_1[[#This Row],[Quantity_Sold]],2), "PASS", "CHECK")</f>
        <v>PASS</v>
      </c>
    </row>
    <row r="2880" spans="1:20" x14ac:dyDescent="0.35">
      <c r="A2880" s="7">
        <v>2879</v>
      </c>
      <c r="B2880" s="9">
        <v>1047</v>
      </c>
      <c r="C2880" s="14" t="str">
        <f>IFERROR(_xlfn.TEXTJOIN("-", TRUE, _xlfn.XLOOKUP(K2880, product_category_id_lookup!$A$2:$A$5, product_category_id_lookup!$B$2:$B$5), B2880), "Unknown Category")</f>
        <v>etc-1047</v>
      </c>
      <c r="D2880" s="8">
        <v>45543</v>
      </c>
      <c r="E2880" s="14">
        <f t="shared" si="132"/>
        <v>2024</v>
      </c>
      <c r="F2880" s="29" t="str">
        <f t="shared" si="133"/>
        <v>Sep</v>
      </c>
      <c r="G2880" s="17" t="s">
        <v>22</v>
      </c>
      <c r="H2880" s="17" t="s">
        <v>23</v>
      </c>
      <c r="I2880" s="24">
        <v>106438.28679999999</v>
      </c>
      <c r="J2880" s="32">
        <v>23</v>
      </c>
      <c r="K2880" s="17" t="s">
        <v>31</v>
      </c>
      <c r="L2880" s="24">
        <v>1844.53</v>
      </c>
      <c r="M2880" s="24">
        <v>4923.1400000000003</v>
      </c>
      <c r="N2880" s="34">
        <f>((sales_data_1[[#This Row],[Unit_Price]]*(1-sales_data_1[[#This Row],[Discount]]))-sales_data_1[[#This Row],[Unit_Cost]])*sales_data_1[[#This Row],[Quantity_Sold]]</f>
        <v>64014.096799999999</v>
      </c>
      <c r="O2880" s="17" t="s">
        <v>17</v>
      </c>
      <c r="P2880" s="26">
        <v>0.06</v>
      </c>
      <c r="Q2880" s="17" t="s">
        <v>18</v>
      </c>
      <c r="R2880" s="17" t="s">
        <v>21</v>
      </c>
      <c r="S2880" s="50" t="str">
        <f t="shared" si="134"/>
        <v>David-South</v>
      </c>
      <c r="T2880" s="59" t="str">
        <f>IF(ROUND(sales_data_1[[#This Row],[Profit_Margin]],2)=ROUND((sales_data_1[[#This Row],[Unit_Price]]*(1-sales_data_1[[#This Row],[Discount]]) - sales_data_1[[#This Row],[Unit_Cost]])*sales_data_1[[#This Row],[Quantity_Sold]],2), "PASS", "CHECK")</f>
        <v>PASS</v>
      </c>
    </row>
    <row r="2881" spans="1:20" x14ac:dyDescent="0.35">
      <c r="A2881" s="7">
        <v>2880</v>
      </c>
      <c r="B2881" s="9">
        <v>1084</v>
      </c>
      <c r="C2881" s="14" t="str">
        <f>IFERROR(_xlfn.TEXTJOIN("-", TRUE, _xlfn.XLOOKUP(K2881, product_category_id_lookup!$A$2:$A$5, product_category_id_lookup!$B$2:$B$5), B2881), "Unknown Category")</f>
        <v>fnt-1084</v>
      </c>
      <c r="D2881" s="8">
        <v>45544</v>
      </c>
      <c r="E2881" s="14">
        <f t="shared" si="132"/>
        <v>2024</v>
      </c>
      <c r="F2881" s="29" t="str">
        <f t="shared" si="133"/>
        <v>Sep</v>
      </c>
      <c r="G2881" s="17" t="s">
        <v>14</v>
      </c>
      <c r="H2881" s="17" t="s">
        <v>23</v>
      </c>
      <c r="I2881" s="24">
        <v>124540.66800000001</v>
      </c>
      <c r="J2881" s="32">
        <v>28</v>
      </c>
      <c r="K2881" s="17" t="s">
        <v>16</v>
      </c>
      <c r="L2881" s="24">
        <v>3818.9</v>
      </c>
      <c r="M2881" s="24">
        <v>4942.09</v>
      </c>
      <c r="N2881" s="34">
        <f>((sales_data_1[[#This Row],[Unit_Price]]*(1-sales_data_1[[#This Row],[Discount]]))-sales_data_1[[#This Row],[Unit_Cost]])*sales_data_1[[#This Row],[Quantity_Sold]]</f>
        <v>17611.468000000008</v>
      </c>
      <c r="O2881" s="17" t="s">
        <v>17</v>
      </c>
      <c r="P2881" s="26">
        <v>0.1</v>
      </c>
      <c r="Q2881" s="17" t="s">
        <v>18</v>
      </c>
      <c r="R2881" s="17" t="s">
        <v>19</v>
      </c>
      <c r="S2881" s="50" t="str">
        <f t="shared" si="134"/>
        <v>Bob-South</v>
      </c>
      <c r="T2881" s="59" t="str">
        <f>IF(ROUND(sales_data_1[[#This Row],[Profit_Margin]],2)=ROUND((sales_data_1[[#This Row],[Unit_Price]]*(1-sales_data_1[[#This Row],[Discount]]) - sales_data_1[[#This Row],[Unit_Cost]])*sales_data_1[[#This Row],[Quantity_Sold]],2), "PASS", "CHECK")</f>
        <v>PASS</v>
      </c>
    </row>
    <row r="2882" spans="1:20" x14ac:dyDescent="0.35">
      <c r="A2882" s="7">
        <v>2881</v>
      </c>
      <c r="B2882" s="9">
        <v>1083</v>
      </c>
      <c r="C2882" s="14" t="str">
        <f>IFERROR(_xlfn.TEXTJOIN("-", TRUE, _xlfn.XLOOKUP(K2882, product_category_id_lookup!$A$2:$A$5, product_category_id_lookup!$B$2:$B$5), B2882), "Unknown Category")</f>
        <v>ctg-1083</v>
      </c>
      <c r="D2882" s="8">
        <v>45544</v>
      </c>
      <c r="E2882" s="14">
        <f t="shared" ref="E2882:E2945" si="135">YEAR(D2882)</f>
        <v>2024</v>
      </c>
      <c r="F2882" s="29" t="str">
        <f t="shared" ref="F2882:F2945" si="136">LEFT(TEXT(D2882,"mmmm"),3)</f>
        <v>Sep</v>
      </c>
      <c r="G2882" s="17" t="s">
        <v>32</v>
      </c>
      <c r="H2882" s="17" t="s">
        <v>23</v>
      </c>
      <c r="I2882" s="24">
        <v>110409.0295</v>
      </c>
      <c r="J2882" s="32">
        <v>35</v>
      </c>
      <c r="K2882" s="17" t="s">
        <v>26</v>
      </c>
      <c r="L2882" s="24">
        <v>2482.89</v>
      </c>
      <c r="M2882" s="24">
        <v>4096.8100000000004</v>
      </c>
      <c r="N2882" s="34">
        <f>((sales_data_1[[#This Row],[Unit_Price]]*(1-sales_data_1[[#This Row],[Discount]]))-sales_data_1[[#This Row],[Unit_Cost]])*sales_data_1[[#This Row],[Quantity_Sold]]</f>
        <v>23507.87950000001</v>
      </c>
      <c r="O2882" s="17" t="s">
        <v>27</v>
      </c>
      <c r="P2882" s="26">
        <v>0.23</v>
      </c>
      <c r="Q2882" s="17" t="s">
        <v>18</v>
      </c>
      <c r="R2882" s="17" t="s">
        <v>19</v>
      </c>
      <c r="S2882" s="50" t="str">
        <f t="shared" ref="S2882:S2945" si="137">_xlfn.CONCAT(G2882,"-",H2882)</f>
        <v>Eve-South</v>
      </c>
      <c r="T2882" s="59" t="str">
        <f>IF(ROUND(sales_data_1[[#This Row],[Profit_Margin]],2)=ROUND((sales_data_1[[#This Row],[Unit_Price]]*(1-sales_data_1[[#This Row],[Discount]]) - sales_data_1[[#This Row],[Unit_Cost]])*sales_data_1[[#This Row],[Quantity_Sold]],2), "PASS", "CHECK")</f>
        <v>PASS</v>
      </c>
    </row>
    <row r="2883" spans="1:20" x14ac:dyDescent="0.35">
      <c r="A2883" s="7">
        <v>2882</v>
      </c>
      <c r="B2883" s="9">
        <v>1043</v>
      </c>
      <c r="C2883" s="14" t="str">
        <f>IFERROR(_xlfn.TEXTJOIN("-", TRUE, _xlfn.XLOOKUP(K2883, product_category_id_lookup!$A$2:$A$5, product_category_id_lookup!$B$2:$B$5), B2883), "Unknown Category")</f>
        <v>ctg-1043</v>
      </c>
      <c r="D2883" s="8">
        <v>45544</v>
      </c>
      <c r="E2883" s="14">
        <f t="shared" si="135"/>
        <v>2024</v>
      </c>
      <c r="F2883" s="29" t="str">
        <f t="shared" si="136"/>
        <v>Sep</v>
      </c>
      <c r="G2883" s="17" t="s">
        <v>14</v>
      </c>
      <c r="H2883" s="17" t="s">
        <v>15</v>
      </c>
      <c r="I2883" s="24">
        <v>50092.847999999998</v>
      </c>
      <c r="J2883" s="32">
        <v>15</v>
      </c>
      <c r="K2883" s="17" t="s">
        <v>26</v>
      </c>
      <c r="L2883" s="24">
        <v>1676.06</v>
      </c>
      <c r="M2883" s="24">
        <v>3478.67</v>
      </c>
      <c r="N2883" s="34">
        <f>((sales_data_1[[#This Row],[Unit_Price]]*(1-sales_data_1[[#This Row],[Discount]]))-sales_data_1[[#This Row],[Unit_Cost]])*sales_data_1[[#This Row],[Quantity_Sold]]</f>
        <v>24951.948000000004</v>
      </c>
      <c r="O2883" s="17" t="s">
        <v>27</v>
      </c>
      <c r="P2883" s="26">
        <v>0.04</v>
      </c>
      <c r="Q2883" s="17" t="s">
        <v>25</v>
      </c>
      <c r="R2883" s="17" t="s">
        <v>21</v>
      </c>
      <c r="S2883" s="50" t="str">
        <f t="shared" si="137"/>
        <v>Bob-North</v>
      </c>
      <c r="T2883" s="59" t="str">
        <f>IF(ROUND(sales_data_1[[#This Row],[Profit_Margin]],2)=ROUND((sales_data_1[[#This Row],[Unit_Price]]*(1-sales_data_1[[#This Row],[Discount]]) - sales_data_1[[#This Row],[Unit_Cost]])*sales_data_1[[#This Row],[Quantity_Sold]],2), "PASS", "CHECK")</f>
        <v>PASS</v>
      </c>
    </row>
    <row r="2884" spans="1:20" x14ac:dyDescent="0.35">
      <c r="A2884" s="7">
        <v>2883</v>
      </c>
      <c r="B2884" s="9">
        <v>1014</v>
      </c>
      <c r="C2884" s="14" t="str">
        <f>IFERROR(_xlfn.TEXTJOIN("-", TRUE, _xlfn.XLOOKUP(K2884, product_category_id_lookup!$A$2:$A$5, product_category_id_lookup!$B$2:$B$5), B2884), "Unknown Category")</f>
        <v>fd-1014</v>
      </c>
      <c r="D2884" s="8">
        <v>45544</v>
      </c>
      <c r="E2884" s="14">
        <f t="shared" si="135"/>
        <v>2024</v>
      </c>
      <c r="F2884" s="29" t="str">
        <f t="shared" si="136"/>
        <v>Sep</v>
      </c>
      <c r="G2884" s="17" t="s">
        <v>29</v>
      </c>
      <c r="H2884" s="17" t="s">
        <v>23</v>
      </c>
      <c r="I2884" s="24">
        <v>63742.631400000006</v>
      </c>
      <c r="J2884" s="32">
        <v>27</v>
      </c>
      <c r="K2884" s="17" t="s">
        <v>24</v>
      </c>
      <c r="L2884" s="24">
        <v>1165.23</v>
      </c>
      <c r="M2884" s="24">
        <v>2511.5300000000002</v>
      </c>
      <c r="N2884" s="34">
        <f>((sales_data_1[[#This Row],[Unit_Price]]*(1-sales_data_1[[#This Row],[Discount]]))-sales_data_1[[#This Row],[Unit_Cost]])*sales_data_1[[#This Row],[Quantity_Sold]]</f>
        <v>32281.421400000003</v>
      </c>
      <c r="O2884" s="17" t="s">
        <v>27</v>
      </c>
      <c r="P2884" s="26">
        <v>0.06</v>
      </c>
      <c r="Q2884" s="17" t="s">
        <v>25</v>
      </c>
      <c r="R2884" s="17" t="s">
        <v>19</v>
      </c>
      <c r="S2884" s="50" t="str">
        <f t="shared" si="137"/>
        <v>Charlie-South</v>
      </c>
      <c r="T2884" s="59" t="str">
        <f>IF(ROUND(sales_data_1[[#This Row],[Profit_Margin]],2)=ROUND((sales_data_1[[#This Row],[Unit_Price]]*(1-sales_data_1[[#This Row],[Discount]]) - sales_data_1[[#This Row],[Unit_Cost]])*sales_data_1[[#This Row],[Quantity_Sold]],2), "PASS", "CHECK")</f>
        <v>PASS</v>
      </c>
    </row>
    <row r="2885" spans="1:20" x14ac:dyDescent="0.35">
      <c r="A2885" s="7">
        <v>2884</v>
      </c>
      <c r="B2885" s="9">
        <v>1041</v>
      </c>
      <c r="C2885" s="14" t="str">
        <f>IFERROR(_xlfn.TEXTJOIN("-", TRUE, _xlfn.XLOOKUP(K2885, product_category_id_lookup!$A$2:$A$5, product_category_id_lookup!$B$2:$B$5), B2885), "Unknown Category")</f>
        <v>etc-1041</v>
      </c>
      <c r="D2885" s="8">
        <v>45545</v>
      </c>
      <c r="E2885" s="14">
        <f t="shared" si="135"/>
        <v>2024</v>
      </c>
      <c r="F2885" s="29" t="str">
        <f t="shared" si="136"/>
        <v>Sep</v>
      </c>
      <c r="G2885" s="17" t="s">
        <v>14</v>
      </c>
      <c r="H2885" s="17" t="s">
        <v>23</v>
      </c>
      <c r="I2885" s="24">
        <v>53059.7886</v>
      </c>
      <c r="J2885" s="32">
        <v>13</v>
      </c>
      <c r="K2885" s="17" t="s">
        <v>31</v>
      </c>
      <c r="L2885" s="24">
        <v>667.37</v>
      </c>
      <c r="M2885" s="24">
        <v>4585.9799999999996</v>
      </c>
      <c r="N2885" s="34">
        <f>((sales_data_1[[#This Row],[Unit_Price]]*(1-sales_data_1[[#This Row],[Discount]]))-sales_data_1[[#This Row],[Unit_Cost]])*sales_data_1[[#This Row],[Quantity_Sold]]</f>
        <v>44383.978600000002</v>
      </c>
      <c r="O2885" s="17" t="s">
        <v>17</v>
      </c>
      <c r="P2885" s="26">
        <v>0.11</v>
      </c>
      <c r="Q2885" s="17" t="s">
        <v>25</v>
      </c>
      <c r="R2885" s="17" t="s">
        <v>19</v>
      </c>
      <c r="S2885" s="50" t="str">
        <f t="shared" si="137"/>
        <v>Bob-South</v>
      </c>
      <c r="T2885" s="59" t="str">
        <f>IF(ROUND(sales_data_1[[#This Row],[Profit_Margin]],2)=ROUND((sales_data_1[[#This Row],[Unit_Price]]*(1-sales_data_1[[#This Row],[Discount]]) - sales_data_1[[#This Row],[Unit_Cost]])*sales_data_1[[#This Row],[Quantity_Sold]],2), "PASS", "CHECK")</f>
        <v>PASS</v>
      </c>
    </row>
    <row r="2886" spans="1:20" x14ac:dyDescent="0.35">
      <c r="A2886" s="7">
        <v>2885</v>
      </c>
      <c r="B2886" s="9">
        <v>1071</v>
      </c>
      <c r="C2886" s="14" t="str">
        <f>IFERROR(_xlfn.TEXTJOIN("-", TRUE, _xlfn.XLOOKUP(K2886, product_category_id_lookup!$A$2:$A$5, product_category_id_lookup!$B$2:$B$5), B2886), "Unknown Category")</f>
        <v>ctg-1071</v>
      </c>
      <c r="D2886" s="8">
        <v>45545</v>
      </c>
      <c r="E2886" s="14">
        <f t="shared" si="135"/>
        <v>2024</v>
      </c>
      <c r="F2886" s="29" t="str">
        <f t="shared" si="136"/>
        <v>Sep</v>
      </c>
      <c r="G2886" s="17" t="s">
        <v>29</v>
      </c>
      <c r="H2886" s="17" t="s">
        <v>23</v>
      </c>
      <c r="I2886" s="24">
        <v>169040.22400000002</v>
      </c>
      <c r="J2886" s="32">
        <v>40</v>
      </c>
      <c r="K2886" s="17" t="s">
        <v>26</v>
      </c>
      <c r="L2886" s="24">
        <v>2542</v>
      </c>
      <c r="M2886" s="24">
        <v>4913.96</v>
      </c>
      <c r="N2886" s="34">
        <f>((sales_data_1[[#This Row],[Unit_Price]]*(1-sales_data_1[[#This Row],[Discount]]))-sales_data_1[[#This Row],[Unit_Cost]])*sales_data_1[[#This Row],[Quantity_Sold]]</f>
        <v>67360.224000000017</v>
      </c>
      <c r="O2886" s="17" t="s">
        <v>17</v>
      </c>
      <c r="P2886" s="26">
        <v>0.14000000000000001</v>
      </c>
      <c r="Q2886" s="17" t="s">
        <v>18</v>
      </c>
      <c r="R2886" s="17" t="s">
        <v>21</v>
      </c>
      <c r="S2886" s="50" t="str">
        <f t="shared" si="137"/>
        <v>Charlie-South</v>
      </c>
      <c r="T2886" s="59" t="str">
        <f>IF(ROUND(sales_data_1[[#This Row],[Profit_Margin]],2)=ROUND((sales_data_1[[#This Row],[Unit_Price]]*(1-sales_data_1[[#This Row],[Discount]]) - sales_data_1[[#This Row],[Unit_Cost]])*sales_data_1[[#This Row],[Quantity_Sold]],2), "PASS", "CHECK")</f>
        <v>PASS</v>
      </c>
    </row>
    <row r="2887" spans="1:20" x14ac:dyDescent="0.35">
      <c r="A2887" s="7">
        <v>2886</v>
      </c>
      <c r="B2887" s="9">
        <v>1040</v>
      </c>
      <c r="C2887" s="14" t="str">
        <f>IFERROR(_xlfn.TEXTJOIN("-", TRUE, _xlfn.XLOOKUP(K2887, product_category_id_lookup!$A$2:$A$5, product_category_id_lookup!$B$2:$B$5), B2887), "Unknown Category")</f>
        <v>fnt-1040</v>
      </c>
      <c r="D2887" s="8">
        <v>45546</v>
      </c>
      <c r="E2887" s="14">
        <f t="shared" si="135"/>
        <v>2024</v>
      </c>
      <c r="F2887" s="29" t="str">
        <f t="shared" si="136"/>
        <v>Sep</v>
      </c>
      <c r="G2887" s="17" t="s">
        <v>14</v>
      </c>
      <c r="H2887" s="17" t="s">
        <v>23</v>
      </c>
      <c r="I2887" s="24">
        <v>61976.163600000007</v>
      </c>
      <c r="J2887" s="32">
        <v>36</v>
      </c>
      <c r="K2887" s="17" t="s">
        <v>16</v>
      </c>
      <c r="L2887" s="24">
        <v>1106.55</v>
      </c>
      <c r="M2887" s="24">
        <v>2179.19</v>
      </c>
      <c r="N2887" s="34">
        <f>((sales_data_1[[#This Row],[Unit_Price]]*(1-sales_data_1[[#This Row],[Discount]]))-sales_data_1[[#This Row],[Unit_Cost]])*sales_data_1[[#This Row],[Quantity_Sold]]</f>
        <v>22140.363600000008</v>
      </c>
      <c r="O2887" s="17" t="s">
        <v>27</v>
      </c>
      <c r="P2887" s="26">
        <v>0.21</v>
      </c>
      <c r="Q2887" s="17" t="s">
        <v>25</v>
      </c>
      <c r="R2887" s="17" t="s">
        <v>21</v>
      </c>
      <c r="S2887" s="50" t="str">
        <f t="shared" si="137"/>
        <v>Bob-South</v>
      </c>
      <c r="T2887" s="59" t="str">
        <f>IF(ROUND(sales_data_1[[#This Row],[Profit_Margin]],2)=ROUND((sales_data_1[[#This Row],[Unit_Price]]*(1-sales_data_1[[#This Row],[Discount]]) - sales_data_1[[#This Row],[Unit_Cost]])*sales_data_1[[#This Row],[Quantity_Sold]],2), "PASS", "CHECK")</f>
        <v>PASS</v>
      </c>
    </row>
    <row r="2888" spans="1:20" x14ac:dyDescent="0.35">
      <c r="A2888" s="7">
        <v>2887</v>
      </c>
      <c r="B2888" s="9">
        <v>1051</v>
      </c>
      <c r="C2888" s="14" t="str">
        <f>IFERROR(_xlfn.TEXTJOIN("-", TRUE, _xlfn.XLOOKUP(K2888, product_category_id_lookup!$A$2:$A$5, product_category_id_lookup!$B$2:$B$5), B2888), "Unknown Category")</f>
        <v>etc-1051</v>
      </c>
      <c r="D2888" s="8">
        <v>45546</v>
      </c>
      <c r="E2888" s="14">
        <f t="shared" si="135"/>
        <v>2024</v>
      </c>
      <c r="F2888" s="29" t="str">
        <f t="shared" si="136"/>
        <v>Sep</v>
      </c>
      <c r="G2888" s="17" t="s">
        <v>32</v>
      </c>
      <c r="H2888" s="17" t="s">
        <v>23</v>
      </c>
      <c r="I2888" s="24">
        <v>41851.620000000003</v>
      </c>
      <c r="J2888" s="32">
        <v>10</v>
      </c>
      <c r="K2888" s="17" t="s">
        <v>31</v>
      </c>
      <c r="L2888" s="24">
        <v>336.04</v>
      </c>
      <c r="M2888" s="24">
        <v>4314.6000000000004</v>
      </c>
      <c r="N2888" s="34">
        <f>((sales_data_1[[#This Row],[Unit_Price]]*(1-sales_data_1[[#This Row],[Discount]]))-sales_data_1[[#This Row],[Unit_Cost]])*sales_data_1[[#This Row],[Quantity_Sold]]</f>
        <v>38491.22</v>
      </c>
      <c r="O2888" s="17" t="s">
        <v>27</v>
      </c>
      <c r="P2888" s="26">
        <v>0.03</v>
      </c>
      <c r="Q2888" s="17" t="s">
        <v>25</v>
      </c>
      <c r="R2888" s="17" t="s">
        <v>21</v>
      </c>
      <c r="S2888" s="50" t="str">
        <f t="shared" si="137"/>
        <v>Eve-South</v>
      </c>
      <c r="T2888" s="59" t="str">
        <f>IF(ROUND(sales_data_1[[#This Row],[Profit_Margin]],2)=ROUND((sales_data_1[[#This Row],[Unit_Price]]*(1-sales_data_1[[#This Row],[Discount]]) - sales_data_1[[#This Row],[Unit_Cost]])*sales_data_1[[#This Row],[Quantity_Sold]],2), "PASS", "CHECK")</f>
        <v>PASS</v>
      </c>
    </row>
    <row r="2889" spans="1:20" x14ac:dyDescent="0.35">
      <c r="A2889" s="7">
        <v>2888</v>
      </c>
      <c r="B2889" s="9">
        <v>1061</v>
      </c>
      <c r="C2889" s="14" t="str">
        <f>IFERROR(_xlfn.TEXTJOIN("-", TRUE, _xlfn.XLOOKUP(K2889, product_category_id_lookup!$A$2:$A$5, product_category_id_lookup!$B$2:$B$5), B2889), "Unknown Category")</f>
        <v>etc-1061</v>
      </c>
      <c r="D2889" s="8">
        <v>45546</v>
      </c>
      <c r="E2889" s="14">
        <f t="shared" si="135"/>
        <v>2024</v>
      </c>
      <c r="F2889" s="29" t="str">
        <f t="shared" si="136"/>
        <v>Sep</v>
      </c>
      <c r="G2889" s="17" t="s">
        <v>29</v>
      </c>
      <c r="H2889" s="17" t="s">
        <v>15</v>
      </c>
      <c r="I2889" s="24">
        <v>117198.5508</v>
      </c>
      <c r="J2889" s="32">
        <v>34</v>
      </c>
      <c r="K2889" s="17" t="s">
        <v>31</v>
      </c>
      <c r="L2889" s="24">
        <v>1116.45</v>
      </c>
      <c r="M2889" s="24">
        <v>4658.13</v>
      </c>
      <c r="N2889" s="34">
        <f>((sales_data_1[[#This Row],[Unit_Price]]*(1-sales_data_1[[#This Row],[Discount]]))-sales_data_1[[#This Row],[Unit_Cost]])*sales_data_1[[#This Row],[Quantity_Sold]]</f>
        <v>79239.250800000009</v>
      </c>
      <c r="O2889" s="17" t="s">
        <v>17</v>
      </c>
      <c r="P2889" s="26">
        <v>0.26</v>
      </c>
      <c r="Q2889" s="17" t="s">
        <v>28</v>
      </c>
      <c r="R2889" s="17" t="s">
        <v>19</v>
      </c>
      <c r="S2889" s="50" t="str">
        <f t="shared" si="137"/>
        <v>Charlie-North</v>
      </c>
      <c r="T2889" s="59" t="str">
        <f>IF(ROUND(sales_data_1[[#This Row],[Profit_Margin]],2)=ROUND((sales_data_1[[#This Row],[Unit_Price]]*(1-sales_data_1[[#This Row],[Discount]]) - sales_data_1[[#This Row],[Unit_Cost]])*sales_data_1[[#This Row],[Quantity_Sold]],2), "PASS", "CHECK")</f>
        <v>PASS</v>
      </c>
    </row>
    <row r="2890" spans="1:20" x14ac:dyDescent="0.35">
      <c r="A2890" s="7">
        <v>2889</v>
      </c>
      <c r="B2890" s="9">
        <v>1067</v>
      </c>
      <c r="C2890" s="14" t="str">
        <f>IFERROR(_xlfn.TEXTJOIN("-", TRUE, _xlfn.XLOOKUP(K2890, product_category_id_lookup!$A$2:$A$5, product_category_id_lookup!$B$2:$B$5), B2890), "Unknown Category")</f>
        <v>etc-1067</v>
      </c>
      <c r="D2890" s="8">
        <v>45547</v>
      </c>
      <c r="E2890" s="14">
        <f t="shared" si="135"/>
        <v>2024</v>
      </c>
      <c r="F2890" s="29" t="str">
        <f t="shared" si="136"/>
        <v>Sep</v>
      </c>
      <c r="G2890" s="17" t="s">
        <v>29</v>
      </c>
      <c r="H2890" s="17" t="s">
        <v>23</v>
      </c>
      <c r="I2890" s="24">
        <v>14845.1191</v>
      </c>
      <c r="J2890" s="32">
        <v>17</v>
      </c>
      <c r="K2890" s="17" t="s">
        <v>31</v>
      </c>
      <c r="L2890" s="24">
        <v>511.65</v>
      </c>
      <c r="M2890" s="24">
        <v>1105.3699999999999</v>
      </c>
      <c r="N2890" s="34">
        <f>((sales_data_1[[#This Row],[Unit_Price]]*(1-sales_data_1[[#This Row],[Discount]]))-sales_data_1[[#This Row],[Unit_Cost]])*sales_data_1[[#This Row],[Quantity_Sold]]</f>
        <v>6147.0691000000006</v>
      </c>
      <c r="O2890" s="17" t="s">
        <v>17</v>
      </c>
      <c r="P2890" s="26">
        <v>0.21</v>
      </c>
      <c r="Q2890" s="17" t="s">
        <v>28</v>
      </c>
      <c r="R2890" s="17" t="s">
        <v>19</v>
      </c>
      <c r="S2890" s="50" t="str">
        <f t="shared" si="137"/>
        <v>Charlie-South</v>
      </c>
      <c r="T2890" s="59" t="str">
        <f>IF(ROUND(sales_data_1[[#This Row],[Profit_Margin]],2)=ROUND((sales_data_1[[#This Row],[Unit_Price]]*(1-sales_data_1[[#This Row],[Discount]]) - sales_data_1[[#This Row],[Unit_Cost]])*sales_data_1[[#This Row],[Quantity_Sold]],2), "PASS", "CHECK")</f>
        <v>PASS</v>
      </c>
    </row>
    <row r="2891" spans="1:20" x14ac:dyDescent="0.35">
      <c r="A2891" s="7">
        <v>2890</v>
      </c>
      <c r="B2891" s="9">
        <v>1090</v>
      </c>
      <c r="C2891" s="14" t="str">
        <f>IFERROR(_xlfn.TEXTJOIN("-", TRUE, _xlfn.XLOOKUP(K2891, product_category_id_lookup!$A$2:$A$5, product_category_id_lookup!$B$2:$B$5), B2891), "Unknown Category")</f>
        <v>fd-1090</v>
      </c>
      <c r="D2891" s="8">
        <v>45547</v>
      </c>
      <c r="E2891" s="14">
        <f t="shared" si="135"/>
        <v>2024</v>
      </c>
      <c r="F2891" s="29" t="str">
        <f t="shared" si="136"/>
        <v>Sep</v>
      </c>
      <c r="G2891" s="17" t="s">
        <v>14</v>
      </c>
      <c r="H2891" s="17" t="s">
        <v>30</v>
      </c>
      <c r="I2891" s="24">
        <v>84632.687999999995</v>
      </c>
      <c r="J2891" s="32">
        <v>35</v>
      </c>
      <c r="K2891" s="17" t="s">
        <v>24</v>
      </c>
      <c r="L2891" s="24">
        <v>1026.04</v>
      </c>
      <c r="M2891" s="24">
        <v>3181.68</v>
      </c>
      <c r="N2891" s="34">
        <f>((sales_data_1[[#This Row],[Unit_Price]]*(1-sales_data_1[[#This Row],[Discount]]))-sales_data_1[[#This Row],[Unit_Cost]])*sales_data_1[[#This Row],[Quantity_Sold]]</f>
        <v>48721.287999999993</v>
      </c>
      <c r="O2891" s="17" t="s">
        <v>27</v>
      </c>
      <c r="P2891" s="26">
        <v>0.24</v>
      </c>
      <c r="Q2891" s="17" t="s">
        <v>18</v>
      </c>
      <c r="R2891" s="17" t="s">
        <v>21</v>
      </c>
      <c r="S2891" s="50" t="str">
        <f t="shared" si="137"/>
        <v>Bob-East</v>
      </c>
      <c r="T2891" s="59" t="str">
        <f>IF(ROUND(sales_data_1[[#This Row],[Profit_Margin]],2)=ROUND((sales_data_1[[#This Row],[Unit_Price]]*(1-sales_data_1[[#This Row],[Discount]]) - sales_data_1[[#This Row],[Unit_Cost]])*sales_data_1[[#This Row],[Quantity_Sold]],2), "PASS", "CHECK")</f>
        <v>PASS</v>
      </c>
    </row>
    <row r="2892" spans="1:20" x14ac:dyDescent="0.35">
      <c r="A2892" s="7">
        <v>2891</v>
      </c>
      <c r="B2892" s="9">
        <v>1084</v>
      </c>
      <c r="C2892" s="14" t="str">
        <f>IFERROR(_xlfn.TEXTJOIN("-", TRUE, _xlfn.XLOOKUP(K2892, product_category_id_lookup!$A$2:$A$5, product_category_id_lookup!$B$2:$B$5), B2892), "Unknown Category")</f>
        <v>ctg-1084</v>
      </c>
      <c r="D2892" s="8">
        <v>45548</v>
      </c>
      <c r="E2892" s="14">
        <f t="shared" si="135"/>
        <v>2024</v>
      </c>
      <c r="F2892" s="29" t="str">
        <f t="shared" si="136"/>
        <v>Sep</v>
      </c>
      <c r="G2892" s="17" t="s">
        <v>32</v>
      </c>
      <c r="H2892" s="17" t="s">
        <v>23</v>
      </c>
      <c r="I2892" s="24">
        <v>3978.6725999999999</v>
      </c>
      <c r="J2892" s="32">
        <v>1</v>
      </c>
      <c r="K2892" s="17" t="s">
        <v>26</v>
      </c>
      <c r="L2892" s="24">
        <v>973.21</v>
      </c>
      <c r="M2892" s="24">
        <v>4059.87</v>
      </c>
      <c r="N2892" s="34">
        <f>((sales_data_1[[#This Row],[Unit_Price]]*(1-sales_data_1[[#This Row],[Discount]]))-sales_data_1[[#This Row],[Unit_Cost]])*sales_data_1[[#This Row],[Quantity_Sold]]</f>
        <v>3005.4625999999998</v>
      </c>
      <c r="O2892" s="17" t="s">
        <v>27</v>
      </c>
      <c r="P2892" s="26">
        <v>0.02</v>
      </c>
      <c r="Q2892" s="17" t="s">
        <v>25</v>
      </c>
      <c r="R2892" s="17" t="s">
        <v>21</v>
      </c>
      <c r="S2892" s="50" t="str">
        <f t="shared" si="137"/>
        <v>Eve-South</v>
      </c>
      <c r="T2892" s="59" t="str">
        <f>IF(ROUND(sales_data_1[[#This Row],[Profit_Margin]],2)=ROUND((sales_data_1[[#This Row],[Unit_Price]]*(1-sales_data_1[[#This Row],[Discount]]) - sales_data_1[[#This Row],[Unit_Cost]])*sales_data_1[[#This Row],[Quantity_Sold]],2), "PASS", "CHECK")</f>
        <v>PASS</v>
      </c>
    </row>
    <row r="2893" spans="1:20" x14ac:dyDescent="0.35">
      <c r="A2893" s="7">
        <v>2892</v>
      </c>
      <c r="B2893" s="9">
        <v>1071</v>
      </c>
      <c r="C2893" s="14" t="str">
        <f>IFERROR(_xlfn.TEXTJOIN("-", TRUE, _xlfn.XLOOKUP(K2893, product_category_id_lookup!$A$2:$A$5, product_category_id_lookup!$B$2:$B$5), B2893), "Unknown Category")</f>
        <v>fd-1071</v>
      </c>
      <c r="D2893" s="8">
        <v>45548</v>
      </c>
      <c r="E2893" s="14">
        <f t="shared" si="135"/>
        <v>2024</v>
      </c>
      <c r="F2893" s="29" t="str">
        <f t="shared" si="136"/>
        <v>Sep</v>
      </c>
      <c r="G2893" s="17" t="s">
        <v>32</v>
      </c>
      <c r="H2893" s="17" t="s">
        <v>23</v>
      </c>
      <c r="I2893" s="24">
        <v>70470.049999999988</v>
      </c>
      <c r="J2893" s="32">
        <v>20</v>
      </c>
      <c r="K2893" s="17" t="s">
        <v>24</v>
      </c>
      <c r="L2893" s="24">
        <v>206.66</v>
      </c>
      <c r="M2893" s="24">
        <v>3708.95</v>
      </c>
      <c r="N2893" s="34">
        <f>((sales_data_1[[#This Row],[Unit_Price]]*(1-sales_data_1[[#This Row],[Discount]]))-sales_data_1[[#This Row],[Unit_Cost]])*sales_data_1[[#This Row],[Quantity_Sold]]</f>
        <v>66336.849999999991</v>
      </c>
      <c r="O2893" s="17" t="s">
        <v>17</v>
      </c>
      <c r="P2893" s="26">
        <v>0.05</v>
      </c>
      <c r="Q2893" s="17" t="s">
        <v>25</v>
      </c>
      <c r="R2893" s="17" t="s">
        <v>19</v>
      </c>
      <c r="S2893" s="50" t="str">
        <f t="shared" si="137"/>
        <v>Eve-South</v>
      </c>
      <c r="T2893" s="59" t="str">
        <f>IF(ROUND(sales_data_1[[#This Row],[Profit_Margin]],2)=ROUND((sales_data_1[[#This Row],[Unit_Price]]*(1-sales_data_1[[#This Row],[Discount]]) - sales_data_1[[#This Row],[Unit_Cost]])*sales_data_1[[#This Row],[Quantity_Sold]],2), "PASS", "CHECK")</f>
        <v>PASS</v>
      </c>
    </row>
    <row r="2894" spans="1:20" x14ac:dyDescent="0.35">
      <c r="A2894" s="7">
        <v>2893</v>
      </c>
      <c r="B2894" s="9">
        <v>1032</v>
      </c>
      <c r="C2894" s="14" t="str">
        <f>IFERROR(_xlfn.TEXTJOIN("-", TRUE, _xlfn.XLOOKUP(K2894, product_category_id_lookup!$A$2:$A$5, product_category_id_lookup!$B$2:$B$5), B2894), "Unknown Category")</f>
        <v>ctg-1032</v>
      </c>
      <c r="D2894" s="8">
        <v>45549</v>
      </c>
      <c r="E2894" s="14">
        <f t="shared" si="135"/>
        <v>2024</v>
      </c>
      <c r="F2894" s="29" t="str">
        <f t="shared" si="136"/>
        <v>Sep</v>
      </c>
      <c r="G2894" s="17" t="s">
        <v>32</v>
      </c>
      <c r="H2894" s="17" t="s">
        <v>20</v>
      </c>
      <c r="I2894" s="24">
        <v>5884.4368000000004</v>
      </c>
      <c r="J2894" s="32">
        <v>2</v>
      </c>
      <c r="K2894" s="17" t="s">
        <v>26</v>
      </c>
      <c r="L2894" s="24">
        <v>1664.78</v>
      </c>
      <c r="M2894" s="24">
        <v>3871.34</v>
      </c>
      <c r="N2894" s="34">
        <f>((sales_data_1[[#This Row],[Unit_Price]]*(1-sales_data_1[[#This Row],[Discount]]))-sales_data_1[[#This Row],[Unit_Cost]])*sales_data_1[[#This Row],[Quantity_Sold]]</f>
        <v>2554.8768000000005</v>
      </c>
      <c r="O2894" s="17" t="s">
        <v>17</v>
      </c>
      <c r="P2894" s="26">
        <v>0.24</v>
      </c>
      <c r="Q2894" s="17" t="s">
        <v>25</v>
      </c>
      <c r="R2894" s="17" t="s">
        <v>21</v>
      </c>
      <c r="S2894" s="50" t="str">
        <f t="shared" si="137"/>
        <v>Eve-West</v>
      </c>
      <c r="T2894" s="59" t="str">
        <f>IF(ROUND(sales_data_1[[#This Row],[Profit_Margin]],2)=ROUND((sales_data_1[[#This Row],[Unit_Price]]*(1-sales_data_1[[#This Row],[Discount]]) - sales_data_1[[#This Row],[Unit_Cost]])*sales_data_1[[#This Row],[Quantity_Sold]],2), "PASS", "CHECK")</f>
        <v>PASS</v>
      </c>
    </row>
    <row r="2895" spans="1:20" x14ac:dyDescent="0.35">
      <c r="A2895" s="7">
        <v>2894</v>
      </c>
      <c r="B2895" s="9">
        <v>1078</v>
      </c>
      <c r="C2895" s="14" t="str">
        <f>IFERROR(_xlfn.TEXTJOIN("-", TRUE, _xlfn.XLOOKUP(K2895, product_category_id_lookup!$A$2:$A$5, product_category_id_lookup!$B$2:$B$5), B2895), "Unknown Category")</f>
        <v>ctg-1078</v>
      </c>
      <c r="D2895" s="8">
        <v>45549</v>
      </c>
      <c r="E2895" s="14">
        <f t="shared" si="135"/>
        <v>2024</v>
      </c>
      <c r="F2895" s="29" t="str">
        <f t="shared" si="136"/>
        <v>Sep</v>
      </c>
      <c r="G2895" s="17" t="s">
        <v>32</v>
      </c>
      <c r="H2895" s="17" t="s">
        <v>15</v>
      </c>
      <c r="I2895" s="24">
        <v>54251.537400000001</v>
      </c>
      <c r="J2895" s="32">
        <v>27</v>
      </c>
      <c r="K2895" s="17" t="s">
        <v>26</v>
      </c>
      <c r="L2895" s="24">
        <v>1833.71</v>
      </c>
      <c r="M2895" s="24">
        <v>2071.46</v>
      </c>
      <c r="N2895" s="34">
        <f>((sales_data_1[[#This Row],[Unit_Price]]*(1-sales_data_1[[#This Row],[Discount]]))-sales_data_1[[#This Row],[Unit_Cost]])*sales_data_1[[#This Row],[Quantity_Sold]]</f>
        <v>4741.3673999999983</v>
      </c>
      <c r="O2895" s="17" t="s">
        <v>27</v>
      </c>
      <c r="P2895" s="26">
        <v>0.03</v>
      </c>
      <c r="Q2895" s="17" t="s">
        <v>18</v>
      </c>
      <c r="R2895" s="17" t="s">
        <v>21</v>
      </c>
      <c r="S2895" s="50" t="str">
        <f t="shared" si="137"/>
        <v>Eve-North</v>
      </c>
      <c r="T2895" s="59" t="str">
        <f>IF(ROUND(sales_data_1[[#This Row],[Profit_Margin]],2)=ROUND((sales_data_1[[#This Row],[Unit_Price]]*(1-sales_data_1[[#This Row],[Discount]]) - sales_data_1[[#This Row],[Unit_Cost]])*sales_data_1[[#This Row],[Quantity_Sold]],2), "PASS", "CHECK")</f>
        <v>PASS</v>
      </c>
    </row>
    <row r="2896" spans="1:20" x14ac:dyDescent="0.35">
      <c r="A2896" s="7">
        <v>2895</v>
      </c>
      <c r="B2896" s="9">
        <v>1072</v>
      </c>
      <c r="C2896" s="14" t="str">
        <f>IFERROR(_xlfn.TEXTJOIN("-", TRUE, _xlfn.XLOOKUP(K2896, product_category_id_lookup!$A$2:$A$5, product_category_id_lookup!$B$2:$B$5), B2896), "Unknown Category")</f>
        <v>ctg-1072</v>
      </c>
      <c r="D2896" s="8">
        <v>45549</v>
      </c>
      <c r="E2896" s="14">
        <f t="shared" si="135"/>
        <v>2024</v>
      </c>
      <c r="F2896" s="29" t="str">
        <f t="shared" si="136"/>
        <v>Sep</v>
      </c>
      <c r="G2896" s="17" t="s">
        <v>22</v>
      </c>
      <c r="H2896" s="17" t="s">
        <v>15</v>
      </c>
      <c r="I2896" s="24">
        <v>37416.819799999997</v>
      </c>
      <c r="J2896" s="32">
        <v>17</v>
      </c>
      <c r="K2896" s="17" t="s">
        <v>26</v>
      </c>
      <c r="L2896" s="24">
        <v>476.53</v>
      </c>
      <c r="M2896" s="24">
        <v>2974.31</v>
      </c>
      <c r="N2896" s="34">
        <f>((sales_data_1[[#This Row],[Unit_Price]]*(1-sales_data_1[[#This Row],[Discount]]))-sales_data_1[[#This Row],[Unit_Cost]])*sales_data_1[[#This Row],[Quantity_Sold]]</f>
        <v>29315.809799999999</v>
      </c>
      <c r="O2896" s="17" t="s">
        <v>17</v>
      </c>
      <c r="P2896" s="26">
        <v>0.26</v>
      </c>
      <c r="Q2896" s="17" t="s">
        <v>25</v>
      </c>
      <c r="R2896" s="17" t="s">
        <v>21</v>
      </c>
      <c r="S2896" s="50" t="str">
        <f t="shared" si="137"/>
        <v>David-North</v>
      </c>
      <c r="T2896" s="59" t="str">
        <f>IF(ROUND(sales_data_1[[#This Row],[Profit_Margin]],2)=ROUND((sales_data_1[[#This Row],[Unit_Price]]*(1-sales_data_1[[#This Row],[Discount]]) - sales_data_1[[#This Row],[Unit_Cost]])*sales_data_1[[#This Row],[Quantity_Sold]],2), "PASS", "CHECK")</f>
        <v>PASS</v>
      </c>
    </row>
    <row r="2897" spans="1:20" x14ac:dyDescent="0.35">
      <c r="A2897" s="7">
        <v>2896</v>
      </c>
      <c r="B2897" s="9">
        <v>1058</v>
      </c>
      <c r="C2897" s="14" t="str">
        <f>IFERROR(_xlfn.TEXTJOIN("-", TRUE, _xlfn.XLOOKUP(K2897, product_category_id_lookup!$A$2:$A$5, product_category_id_lookup!$B$2:$B$5), B2897), "Unknown Category")</f>
        <v>fnt-1058</v>
      </c>
      <c r="D2897" s="8">
        <v>45549</v>
      </c>
      <c r="E2897" s="14">
        <f t="shared" si="135"/>
        <v>2024</v>
      </c>
      <c r="F2897" s="29" t="str">
        <f t="shared" si="136"/>
        <v>Sep</v>
      </c>
      <c r="G2897" s="17" t="s">
        <v>32</v>
      </c>
      <c r="H2897" s="17" t="s">
        <v>23</v>
      </c>
      <c r="I2897" s="24">
        <v>78033.458799999993</v>
      </c>
      <c r="J2897" s="32">
        <v>44</v>
      </c>
      <c r="K2897" s="17" t="s">
        <v>16</v>
      </c>
      <c r="L2897" s="24">
        <v>1087.8</v>
      </c>
      <c r="M2897" s="24">
        <v>2497.87</v>
      </c>
      <c r="N2897" s="34">
        <f>((sales_data_1[[#This Row],[Unit_Price]]*(1-sales_data_1[[#This Row],[Discount]]))-sales_data_1[[#This Row],[Unit_Cost]])*sales_data_1[[#This Row],[Quantity_Sold]]</f>
        <v>30170.258799999996</v>
      </c>
      <c r="O2897" s="17" t="s">
        <v>27</v>
      </c>
      <c r="P2897" s="26">
        <v>0.28999999999999998</v>
      </c>
      <c r="Q2897" s="17" t="s">
        <v>25</v>
      </c>
      <c r="R2897" s="17" t="s">
        <v>19</v>
      </c>
      <c r="S2897" s="50" t="str">
        <f t="shared" si="137"/>
        <v>Eve-South</v>
      </c>
      <c r="T2897" s="59" t="str">
        <f>IF(ROUND(sales_data_1[[#This Row],[Profit_Margin]],2)=ROUND((sales_data_1[[#This Row],[Unit_Price]]*(1-sales_data_1[[#This Row],[Discount]]) - sales_data_1[[#This Row],[Unit_Cost]])*sales_data_1[[#This Row],[Quantity_Sold]],2), "PASS", "CHECK")</f>
        <v>PASS</v>
      </c>
    </row>
    <row r="2898" spans="1:20" x14ac:dyDescent="0.35">
      <c r="A2898" s="7">
        <v>2897</v>
      </c>
      <c r="B2898" s="9">
        <v>1008</v>
      </c>
      <c r="C2898" s="14" t="str">
        <f>IFERROR(_xlfn.TEXTJOIN("-", TRUE, _xlfn.XLOOKUP(K2898, product_category_id_lookup!$A$2:$A$5, product_category_id_lookup!$B$2:$B$5), B2898), "Unknown Category")</f>
        <v>etc-1008</v>
      </c>
      <c r="D2898" s="8">
        <v>45550</v>
      </c>
      <c r="E2898" s="14">
        <f t="shared" si="135"/>
        <v>2024</v>
      </c>
      <c r="F2898" s="29" t="str">
        <f t="shared" si="136"/>
        <v>Sep</v>
      </c>
      <c r="G2898" s="17" t="s">
        <v>22</v>
      </c>
      <c r="H2898" s="17" t="s">
        <v>20</v>
      </c>
      <c r="I2898" s="24">
        <v>21667.613999999998</v>
      </c>
      <c r="J2898" s="32">
        <v>10</v>
      </c>
      <c r="K2898" s="17" t="s">
        <v>31</v>
      </c>
      <c r="L2898" s="24">
        <v>1912.74</v>
      </c>
      <c r="M2898" s="24">
        <v>2519.4899999999998</v>
      </c>
      <c r="N2898" s="34">
        <f>((sales_data_1[[#This Row],[Unit_Price]]*(1-sales_data_1[[#This Row],[Discount]]))-sales_data_1[[#This Row],[Unit_Cost]])*sales_data_1[[#This Row],[Quantity_Sold]]</f>
        <v>2540.2139999999986</v>
      </c>
      <c r="O2898" s="17" t="s">
        <v>27</v>
      </c>
      <c r="P2898" s="26">
        <v>0.14000000000000001</v>
      </c>
      <c r="Q2898" s="17" t="s">
        <v>18</v>
      </c>
      <c r="R2898" s="17" t="s">
        <v>19</v>
      </c>
      <c r="S2898" s="50" t="str">
        <f t="shared" si="137"/>
        <v>David-West</v>
      </c>
      <c r="T2898" s="59" t="str">
        <f>IF(ROUND(sales_data_1[[#This Row],[Profit_Margin]],2)=ROUND((sales_data_1[[#This Row],[Unit_Price]]*(1-sales_data_1[[#This Row],[Discount]]) - sales_data_1[[#This Row],[Unit_Cost]])*sales_data_1[[#This Row],[Quantity_Sold]],2), "PASS", "CHECK")</f>
        <v>PASS</v>
      </c>
    </row>
    <row r="2899" spans="1:20" x14ac:dyDescent="0.35">
      <c r="A2899" s="7">
        <v>2898</v>
      </c>
      <c r="B2899" s="9">
        <v>1026</v>
      </c>
      <c r="C2899" s="14" t="str">
        <f>IFERROR(_xlfn.TEXTJOIN("-", TRUE, _xlfn.XLOOKUP(K2899, product_category_id_lookup!$A$2:$A$5, product_category_id_lookup!$B$2:$B$5), B2899), "Unknown Category")</f>
        <v>fd-1026</v>
      </c>
      <c r="D2899" s="8">
        <v>45550</v>
      </c>
      <c r="E2899" s="14">
        <f t="shared" si="135"/>
        <v>2024</v>
      </c>
      <c r="F2899" s="29" t="str">
        <f t="shared" si="136"/>
        <v>Sep</v>
      </c>
      <c r="G2899" s="17" t="s">
        <v>32</v>
      </c>
      <c r="H2899" s="17" t="s">
        <v>30</v>
      </c>
      <c r="I2899" s="24">
        <v>81654.973252830678</v>
      </c>
      <c r="J2899" s="32">
        <v>18</v>
      </c>
      <c r="K2899" s="17" t="s">
        <v>24</v>
      </c>
      <c r="L2899" s="24">
        <v>4045.92</v>
      </c>
      <c r="M2899" s="24">
        <v>4672.3500000000004</v>
      </c>
      <c r="N2899" s="34">
        <f>((sales_data_1[[#This Row],[Unit_Price]]*(1-sales_data_1[[#This Row],[Discount]]))-sales_data_1[[#This Row],[Unit_Cost]])*sales_data_1[[#This Row],[Quantity_Sold]]</f>
        <v>8752.6710000000021</v>
      </c>
      <c r="O2899" s="17" t="s">
        <v>17</v>
      </c>
      <c r="P2899" s="26">
        <v>0.03</v>
      </c>
      <c r="Q2899" s="17" t="s">
        <v>25</v>
      </c>
      <c r="R2899" s="17" t="s">
        <v>21</v>
      </c>
      <c r="S2899" s="50" t="str">
        <f t="shared" si="137"/>
        <v>Eve-East</v>
      </c>
      <c r="T2899" s="59" t="str">
        <f>IF(ROUND(sales_data_1[[#This Row],[Profit_Margin]],2)=ROUND((sales_data_1[[#This Row],[Unit_Price]]*(1-sales_data_1[[#This Row],[Discount]]) - sales_data_1[[#This Row],[Unit_Cost]])*sales_data_1[[#This Row],[Quantity_Sold]],2), "PASS", "CHECK")</f>
        <v>PASS</v>
      </c>
    </row>
    <row r="2900" spans="1:20" x14ac:dyDescent="0.35">
      <c r="A2900" s="7">
        <v>2899</v>
      </c>
      <c r="B2900" s="9">
        <v>1022</v>
      </c>
      <c r="C2900" s="14" t="str">
        <f>IFERROR(_xlfn.TEXTJOIN("-", TRUE, _xlfn.XLOOKUP(K2900, product_category_id_lookup!$A$2:$A$5, product_category_id_lookup!$B$2:$B$5), B2900), "Unknown Category")</f>
        <v>fnt-1022</v>
      </c>
      <c r="D2900" s="8">
        <v>45550</v>
      </c>
      <c r="E2900" s="14">
        <f t="shared" si="135"/>
        <v>2024</v>
      </c>
      <c r="F2900" s="29" t="str">
        <f t="shared" si="136"/>
        <v>Sep</v>
      </c>
      <c r="G2900" s="17" t="s">
        <v>33</v>
      </c>
      <c r="H2900" s="17" t="s">
        <v>30</v>
      </c>
      <c r="I2900" s="24">
        <v>116975.1655360719</v>
      </c>
      <c r="J2900" s="32">
        <v>24</v>
      </c>
      <c r="K2900" s="17" t="s">
        <v>16</v>
      </c>
      <c r="L2900" s="24">
        <v>4306.3100000000004</v>
      </c>
      <c r="M2900" s="24">
        <v>4876.1400000000003</v>
      </c>
      <c r="N2900" s="34">
        <f>((sales_data_1[[#This Row],[Unit_Price]]*(1-sales_data_1[[#This Row],[Discount]]))-sales_data_1[[#This Row],[Unit_Cost]])*sales_data_1[[#This Row],[Quantity_Sold]]</f>
        <v>13675.919999999998</v>
      </c>
      <c r="O2900" s="17" t="s">
        <v>27</v>
      </c>
      <c r="P2900" s="26">
        <v>0</v>
      </c>
      <c r="Q2900" s="17" t="s">
        <v>18</v>
      </c>
      <c r="R2900" s="17" t="s">
        <v>21</v>
      </c>
      <c r="S2900" s="50" t="str">
        <f t="shared" si="137"/>
        <v>Alice-East</v>
      </c>
      <c r="T2900" s="59" t="str">
        <f>IF(ROUND(sales_data_1[[#This Row],[Profit_Margin]],2)=ROUND((sales_data_1[[#This Row],[Unit_Price]]*(1-sales_data_1[[#This Row],[Discount]]) - sales_data_1[[#This Row],[Unit_Cost]])*sales_data_1[[#This Row],[Quantity_Sold]],2), "PASS", "CHECK")</f>
        <v>PASS</v>
      </c>
    </row>
    <row r="2901" spans="1:20" x14ac:dyDescent="0.35">
      <c r="A2901" s="7">
        <v>2900</v>
      </c>
      <c r="B2901" s="9">
        <v>1005</v>
      </c>
      <c r="C2901" s="14" t="str">
        <f>IFERROR(_xlfn.TEXTJOIN("-", TRUE, _xlfn.XLOOKUP(K2901, product_category_id_lookup!$A$2:$A$5, product_category_id_lookup!$B$2:$B$5), B2901), "Unknown Category")</f>
        <v>fnt-1005</v>
      </c>
      <c r="D2901" s="8">
        <v>45550</v>
      </c>
      <c r="E2901" s="14">
        <f t="shared" si="135"/>
        <v>2024</v>
      </c>
      <c r="F2901" s="29" t="str">
        <f t="shared" si="136"/>
        <v>Sep</v>
      </c>
      <c r="G2901" s="17" t="s">
        <v>22</v>
      </c>
      <c r="H2901" s="17" t="s">
        <v>15</v>
      </c>
      <c r="I2901" s="24">
        <v>75145.649999999994</v>
      </c>
      <c r="J2901" s="32">
        <v>15</v>
      </c>
      <c r="K2901" s="17" t="s">
        <v>16</v>
      </c>
      <c r="L2901" s="24">
        <v>2093.58</v>
      </c>
      <c r="M2901" s="24">
        <v>5009.71</v>
      </c>
      <c r="N2901" s="34">
        <f>((sales_data_1[[#This Row],[Unit_Price]]*(1-sales_data_1[[#This Row],[Discount]]))-sales_data_1[[#This Row],[Unit_Cost]])*sales_data_1[[#This Row],[Quantity_Sold]]</f>
        <v>43741.950000000004</v>
      </c>
      <c r="O2901" s="17" t="s">
        <v>17</v>
      </c>
      <c r="P2901" s="26">
        <v>0</v>
      </c>
      <c r="Q2901" s="17" t="s">
        <v>25</v>
      </c>
      <c r="R2901" s="17" t="s">
        <v>21</v>
      </c>
      <c r="S2901" s="50" t="str">
        <f t="shared" si="137"/>
        <v>David-North</v>
      </c>
      <c r="T2901" s="59" t="str">
        <f>IF(ROUND(sales_data_1[[#This Row],[Profit_Margin]],2)=ROUND((sales_data_1[[#This Row],[Unit_Price]]*(1-sales_data_1[[#This Row],[Discount]]) - sales_data_1[[#This Row],[Unit_Cost]])*sales_data_1[[#This Row],[Quantity_Sold]],2), "PASS", "CHECK")</f>
        <v>PASS</v>
      </c>
    </row>
    <row r="2902" spans="1:20" x14ac:dyDescent="0.35">
      <c r="A2902" s="7">
        <v>2901</v>
      </c>
      <c r="B2902" s="9">
        <v>1030</v>
      </c>
      <c r="C2902" s="14" t="str">
        <f>IFERROR(_xlfn.TEXTJOIN("-", TRUE, _xlfn.XLOOKUP(K2902, product_category_id_lookup!$A$2:$A$5, product_category_id_lookup!$B$2:$B$5), B2902), "Unknown Category")</f>
        <v>fd-1030</v>
      </c>
      <c r="D2902" s="8">
        <v>45550</v>
      </c>
      <c r="E2902" s="14">
        <f t="shared" si="135"/>
        <v>2024</v>
      </c>
      <c r="F2902" s="29" t="str">
        <f t="shared" si="136"/>
        <v>Sep</v>
      </c>
      <c r="G2902" s="17" t="s">
        <v>32</v>
      </c>
      <c r="H2902" s="17" t="s">
        <v>20</v>
      </c>
      <c r="I2902" s="24">
        <v>222447.71999999997</v>
      </c>
      <c r="J2902" s="32">
        <v>46</v>
      </c>
      <c r="K2902" s="17" t="s">
        <v>24</v>
      </c>
      <c r="L2902" s="24">
        <v>1453.35</v>
      </c>
      <c r="M2902" s="24">
        <v>5495.25</v>
      </c>
      <c r="N2902" s="34">
        <f>((sales_data_1[[#This Row],[Unit_Price]]*(1-sales_data_1[[#This Row],[Discount]]))-sales_data_1[[#This Row],[Unit_Cost]])*sales_data_1[[#This Row],[Quantity_Sold]]</f>
        <v>155593.62</v>
      </c>
      <c r="O2902" s="17" t="s">
        <v>27</v>
      </c>
      <c r="P2902" s="26">
        <v>0.12</v>
      </c>
      <c r="Q2902" s="17" t="s">
        <v>28</v>
      </c>
      <c r="R2902" s="17" t="s">
        <v>21</v>
      </c>
      <c r="S2902" s="50" t="str">
        <f t="shared" si="137"/>
        <v>Eve-West</v>
      </c>
      <c r="T2902" s="59" t="str">
        <f>IF(ROUND(sales_data_1[[#This Row],[Profit_Margin]],2)=ROUND((sales_data_1[[#This Row],[Unit_Price]]*(1-sales_data_1[[#This Row],[Discount]]) - sales_data_1[[#This Row],[Unit_Cost]])*sales_data_1[[#This Row],[Quantity_Sold]],2), "PASS", "CHECK")</f>
        <v>PASS</v>
      </c>
    </row>
    <row r="2903" spans="1:20" x14ac:dyDescent="0.35">
      <c r="A2903" s="7">
        <v>2902</v>
      </c>
      <c r="B2903" s="9">
        <v>1079</v>
      </c>
      <c r="C2903" s="14" t="str">
        <f>IFERROR(_xlfn.TEXTJOIN("-", TRUE, _xlfn.XLOOKUP(K2903, product_category_id_lookup!$A$2:$A$5, product_category_id_lookup!$B$2:$B$5), B2903), "Unknown Category")</f>
        <v>fd-1079</v>
      </c>
      <c r="D2903" s="8">
        <v>45551</v>
      </c>
      <c r="E2903" s="14">
        <f t="shared" si="135"/>
        <v>2024</v>
      </c>
      <c r="F2903" s="29" t="str">
        <f t="shared" si="136"/>
        <v>Sep</v>
      </c>
      <c r="G2903" s="17" t="s">
        <v>14</v>
      </c>
      <c r="H2903" s="17" t="s">
        <v>23</v>
      </c>
      <c r="I2903" s="24">
        <v>57633.974999999999</v>
      </c>
      <c r="J2903" s="32">
        <v>21</v>
      </c>
      <c r="K2903" s="17" t="s">
        <v>24</v>
      </c>
      <c r="L2903" s="24">
        <v>818.33</v>
      </c>
      <c r="M2903" s="24">
        <v>3191.25</v>
      </c>
      <c r="N2903" s="34">
        <f>((sales_data_1[[#This Row],[Unit_Price]]*(1-sales_data_1[[#This Row],[Discount]]))-sales_data_1[[#This Row],[Unit_Cost]])*sales_data_1[[#This Row],[Quantity_Sold]]</f>
        <v>40449.044999999998</v>
      </c>
      <c r="O2903" s="17" t="s">
        <v>27</v>
      </c>
      <c r="P2903" s="26">
        <v>0.14000000000000001</v>
      </c>
      <c r="Q2903" s="17" t="s">
        <v>25</v>
      </c>
      <c r="R2903" s="17" t="s">
        <v>21</v>
      </c>
      <c r="S2903" s="50" t="str">
        <f t="shared" si="137"/>
        <v>Bob-South</v>
      </c>
      <c r="T2903" s="59" t="str">
        <f>IF(ROUND(sales_data_1[[#This Row],[Profit_Margin]],2)=ROUND((sales_data_1[[#This Row],[Unit_Price]]*(1-sales_data_1[[#This Row],[Discount]]) - sales_data_1[[#This Row],[Unit_Cost]])*sales_data_1[[#This Row],[Quantity_Sold]],2), "PASS", "CHECK")</f>
        <v>PASS</v>
      </c>
    </row>
    <row r="2904" spans="1:20" x14ac:dyDescent="0.35">
      <c r="A2904" s="7">
        <v>2903</v>
      </c>
      <c r="B2904" s="9">
        <v>1070</v>
      </c>
      <c r="C2904" s="14" t="str">
        <f>IFERROR(_xlfn.TEXTJOIN("-", TRUE, _xlfn.XLOOKUP(K2904, product_category_id_lookup!$A$2:$A$5, product_category_id_lookup!$B$2:$B$5), B2904), "Unknown Category")</f>
        <v>ctg-1070</v>
      </c>
      <c r="D2904" s="8">
        <v>45551</v>
      </c>
      <c r="E2904" s="14">
        <f t="shared" si="135"/>
        <v>2024</v>
      </c>
      <c r="F2904" s="29" t="str">
        <f t="shared" si="136"/>
        <v>Sep</v>
      </c>
      <c r="G2904" s="17" t="s">
        <v>22</v>
      </c>
      <c r="H2904" s="17" t="s">
        <v>15</v>
      </c>
      <c r="I2904" s="24">
        <v>94315.735799999995</v>
      </c>
      <c r="J2904" s="32">
        <v>22</v>
      </c>
      <c r="K2904" s="17" t="s">
        <v>26</v>
      </c>
      <c r="L2904" s="24">
        <v>634.09</v>
      </c>
      <c r="M2904" s="24">
        <v>5292.69</v>
      </c>
      <c r="N2904" s="34">
        <f>((sales_data_1[[#This Row],[Unit_Price]]*(1-sales_data_1[[#This Row],[Discount]]))-sales_data_1[[#This Row],[Unit_Cost]])*sales_data_1[[#This Row],[Quantity_Sold]]</f>
        <v>80365.755799999984</v>
      </c>
      <c r="O2904" s="17" t="s">
        <v>17</v>
      </c>
      <c r="P2904" s="26">
        <v>0.19</v>
      </c>
      <c r="Q2904" s="17" t="s">
        <v>18</v>
      </c>
      <c r="R2904" s="17" t="s">
        <v>19</v>
      </c>
      <c r="S2904" s="50" t="str">
        <f t="shared" si="137"/>
        <v>David-North</v>
      </c>
      <c r="T2904" s="59" t="str">
        <f>IF(ROUND(sales_data_1[[#This Row],[Profit_Margin]],2)=ROUND((sales_data_1[[#This Row],[Unit_Price]]*(1-sales_data_1[[#This Row],[Discount]]) - sales_data_1[[#This Row],[Unit_Cost]])*sales_data_1[[#This Row],[Quantity_Sold]],2), "PASS", "CHECK")</f>
        <v>PASS</v>
      </c>
    </row>
    <row r="2905" spans="1:20" x14ac:dyDescent="0.35">
      <c r="A2905" s="7">
        <v>2904</v>
      </c>
      <c r="B2905" s="9">
        <v>1022</v>
      </c>
      <c r="C2905" s="14" t="str">
        <f>IFERROR(_xlfn.TEXTJOIN("-", TRUE, _xlfn.XLOOKUP(K2905, product_category_id_lookup!$A$2:$A$5, product_category_id_lookup!$B$2:$B$5), B2905), "Unknown Category")</f>
        <v>fnt-1022</v>
      </c>
      <c r="D2905" s="8">
        <v>45552</v>
      </c>
      <c r="E2905" s="14">
        <f t="shared" si="135"/>
        <v>2024</v>
      </c>
      <c r="F2905" s="29" t="str">
        <f t="shared" si="136"/>
        <v>Sep</v>
      </c>
      <c r="G2905" s="17" t="s">
        <v>29</v>
      </c>
      <c r="H2905" s="17" t="s">
        <v>23</v>
      </c>
      <c r="I2905" s="24">
        <v>159441.72777371993</v>
      </c>
      <c r="J2905" s="32">
        <v>34</v>
      </c>
      <c r="K2905" s="17" t="s">
        <v>16</v>
      </c>
      <c r="L2905" s="24">
        <v>4571.2</v>
      </c>
      <c r="M2905" s="24">
        <v>4814.3999999999996</v>
      </c>
      <c r="N2905" s="34">
        <f>((sales_data_1[[#This Row],[Unit_Price]]*(1-sales_data_1[[#This Row],[Discount]]))-sales_data_1[[#This Row],[Unit_Cost]])*sales_data_1[[#This Row],[Quantity_Sold]]</f>
        <v>3358.112000000001</v>
      </c>
      <c r="O2905" s="17" t="s">
        <v>27</v>
      </c>
      <c r="P2905" s="26">
        <v>0.03</v>
      </c>
      <c r="Q2905" s="17" t="s">
        <v>25</v>
      </c>
      <c r="R2905" s="17" t="s">
        <v>21</v>
      </c>
      <c r="S2905" s="50" t="str">
        <f t="shared" si="137"/>
        <v>Charlie-South</v>
      </c>
      <c r="T2905" s="59" t="str">
        <f>IF(ROUND(sales_data_1[[#This Row],[Profit_Margin]],2)=ROUND((sales_data_1[[#This Row],[Unit_Price]]*(1-sales_data_1[[#This Row],[Discount]]) - sales_data_1[[#This Row],[Unit_Cost]])*sales_data_1[[#This Row],[Quantity_Sold]],2), "PASS", "CHECK")</f>
        <v>PASS</v>
      </c>
    </row>
    <row r="2906" spans="1:20" x14ac:dyDescent="0.35">
      <c r="A2906" s="7">
        <v>2905</v>
      </c>
      <c r="B2906" s="9">
        <v>1015</v>
      </c>
      <c r="C2906" s="14" t="str">
        <f>IFERROR(_xlfn.TEXTJOIN("-", TRUE, _xlfn.XLOOKUP(K2906, product_category_id_lookup!$A$2:$A$5, product_category_id_lookup!$B$2:$B$5), B2906), "Unknown Category")</f>
        <v>ctg-1015</v>
      </c>
      <c r="D2906" s="8">
        <v>45552</v>
      </c>
      <c r="E2906" s="14">
        <f t="shared" si="135"/>
        <v>2024</v>
      </c>
      <c r="F2906" s="29" t="str">
        <f t="shared" si="136"/>
        <v>Sep</v>
      </c>
      <c r="G2906" s="17" t="s">
        <v>29</v>
      </c>
      <c r="H2906" s="17" t="s">
        <v>30</v>
      </c>
      <c r="I2906" s="24">
        <v>30843.1584</v>
      </c>
      <c r="J2906" s="32">
        <v>12</v>
      </c>
      <c r="K2906" s="17" t="s">
        <v>26</v>
      </c>
      <c r="L2906" s="24">
        <v>1944</v>
      </c>
      <c r="M2906" s="24">
        <v>3569.81</v>
      </c>
      <c r="N2906" s="34">
        <f>((sales_data_1[[#This Row],[Unit_Price]]*(1-sales_data_1[[#This Row],[Discount]]))-sales_data_1[[#This Row],[Unit_Cost]])*sales_data_1[[#This Row],[Quantity_Sold]]</f>
        <v>7515.1583999999984</v>
      </c>
      <c r="O2906" s="17" t="s">
        <v>27</v>
      </c>
      <c r="P2906" s="26">
        <v>0.28000000000000003</v>
      </c>
      <c r="Q2906" s="17" t="s">
        <v>18</v>
      </c>
      <c r="R2906" s="17" t="s">
        <v>21</v>
      </c>
      <c r="S2906" s="50" t="str">
        <f t="shared" si="137"/>
        <v>Charlie-East</v>
      </c>
      <c r="T2906" s="59" t="str">
        <f>IF(ROUND(sales_data_1[[#This Row],[Profit_Margin]],2)=ROUND((sales_data_1[[#This Row],[Unit_Price]]*(1-sales_data_1[[#This Row],[Discount]]) - sales_data_1[[#This Row],[Unit_Cost]])*sales_data_1[[#This Row],[Quantity_Sold]],2), "PASS", "CHECK")</f>
        <v>PASS</v>
      </c>
    </row>
    <row r="2907" spans="1:20" x14ac:dyDescent="0.35">
      <c r="A2907" s="7">
        <v>2906</v>
      </c>
      <c r="B2907" s="9">
        <v>1094</v>
      </c>
      <c r="C2907" s="14" t="str">
        <f>IFERROR(_xlfn.TEXTJOIN("-", TRUE, _xlfn.XLOOKUP(K2907, product_category_id_lookup!$A$2:$A$5, product_category_id_lookup!$B$2:$B$5), B2907), "Unknown Category")</f>
        <v>etc-1094</v>
      </c>
      <c r="D2907" s="8">
        <v>45553</v>
      </c>
      <c r="E2907" s="14">
        <f t="shared" si="135"/>
        <v>2024</v>
      </c>
      <c r="F2907" s="29" t="str">
        <f t="shared" si="136"/>
        <v>Sep</v>
      </c>
      <c r="G2907" s="17" t="s">
        <v>29</v>
      </c>
      <c r="H2907" s="17" t="s">
        <v>20</v>
      </c>
      <c r="I2907" s="24">
        <v>55068.384000000005</v>
      </c>
      <c r="J2907" s="32">
        <v>15</v>
      </c>
      <c r="K2907" s="17" t="s">
        <v>31</v>
      </c>
      <c r="L2907" s="24">
        <v>1960.42</v>
      </c>
      <c r="M2907" s="24">
        <v>4830.5600000000004</v>
      </c>
      <c r="N2907" s="34">
        <f>((sales_data_1[[#This Row],[Unit_Price]]*(1-sales_data_1[[#This Row],[Discount]]))-sales_data_1[[#This Row],[Unit_Cost]])*sales_data_1[[#This Row],[Quantity_Sold]]</f>
        <v>25662.084000000003</v>
      </c>
      <c r="O2907" s="17" t="s">
        <v>17</v>
      </c>
      <c r="P2907" s="26">
        <v>0.24</v>
      </c>
      <c r="Q2907" s="17" t="s">
        <v>18</v>
      </c>
      <c r="R2907" s="17" t="s">
        <v>19</v>
      </c>
      <c r="S2907" s="50" t="str">
        <f t="shared" si="137"/>
        <v>Charlie-West</v>
      </c>
      <c r="T2907" s="59" t="str">
        <f>IF(ROUND(sales_data_1[[#This Row],[Profit_Margin]],2)=ROUND((sales_data_1[[#This Row],[Unit_Price]]*(1-sales_data_1[[#This Row],[Discount]]) - sales_data_1[[#This Row],[Unit_Cost]])*sales_data_1[[#This Row],[Quantity_Sold]],2), "PASS", "CHECK")</f>
        <v>PASS</v>
      </c>
    </row>
    <row r="2908" spans="1:20" x14ac:dyDescent="0.35">
      <c r="A2908" s="7">
        <v>2907</v>
      </c>
      <c r="B2908" s="9">
        <v>1044</v>
      </c>
      <c r="C2908" s="14" t="str">
        <f>IFERROR(_xlfn.TEXTJOIN("-", TRUE, _xlfn.XLOOKUP(K2908, product_category_id_lookup!$A$2:$A$5, product_category_id_lookup!$B$2:$B$5), B2908), "Unknown Category")</f>
        <v>etc-1044</v>
      </c>
      <c r="D2908" s="8">
        <v>45553</v>
      </c>
      <c r="E2908" s="14">
        <f t="shared" si="135"/>
        <v>2024</v>
      </c>
      <c r="F2908" s="29" t="str">
        <f t="shared" si="136"/>
        <v>Sep</v>
      </c>
      <c r="G2908" s="17" t="s">
        <v>14</v>
      </c>
      <c r="H2908" s="17" t="s">
        <v>30</v>
      </c>
      <c r="I2908" s="24">
        <v>100311.2187</v>
      </c>
      <c r="J2908" s="32">
        <v>33</v>
      </c>
      <c r="K2908" s="17" t="s">
        <v>31</v>
      </c>
      <c r="L2908" s="24">
        <v>191.86</v>
      </c>
      <c r="M2908" s="24">
        <v>3662.33</v>
      </c>
      <c r="N2908" s="34">
        <f>((sales_data_1[[#This Row],[Unit_Price]]*(1-sales_data_1[[#This Row],[Discount]]))-sales_data_1[[#This Row],[Unit_Cost]])*sales_data_1[[#This Row],[Quantity_Sold]]</f>
        <v>93979.838699999993</v>
      </c>
      <c r="O2908" s="17" t="s">
        <v>27</v>
      </c>
      <c r="P2908" s="26">
        <v>0.17</v>
      </c>
      <c r="Q2908" s="17" t="s">
        <v>25</v>
      </c>
      <c r="R2908" s="17" t="s">
        <v>21</v>
      </c>
      <c r="S2908" s="50" t="str">
        <f t="shared" si="137"/>
        <v>Bob-East</v>
      </c>
      <c r="T2908" s="59" t="str">
        <f>IF(ROUND(sales_data_1[[#This Row],[Profit_Margin]],2)=ROUND((sales_data_1[[#This Row],[Unit_Price]]*(1-sales_data_1[[#This Row],[Discount]]) - sales_data_1[[#This Row],[Unit_Cost]])*sales_data_1[[#This Row],[Quantity_Sold]],2), "PASS", "CHECK")</f>
        <v>PASS</v>
      </c>
    </row>
    <row r="2909" spans="1:20" x14ac:dyDescent="0.35">
      <c r="A2909" s="7">
        <v>2908</v>
      </c>
      <c r="B2909" s="9">
        <v>1025</v>
      </c>
      <c r="C2909" s="14" t="str">
        <f>IFERROR(_xlfn.TEXTJOIN("-", TRUE, _xlfn.XLOOKUP(K2909, product_category_id_lookup!$A$2:$A$5, product_category_id_lookup!$B$2:$B$5), B2909), "Unknown Category")</f>
        <v>ctg-1025</v>
      </c>
      <c r="D2909" s="8">
        <v>45554</v>
      </c>
      <c r="E2909" s="14">
        <f t="shared" si="135"/>
        <v>2024</v>
      </c>
      <c r="F2909" s="29" t="str">
        <f t="shared" si="136"/>
        <v>Sep</v>
      </c>
      <c r="G2909" s="17" t="s">
        <v>33</v>
      </c>
      <c r="H2909" s="17" t="s">
        <v>15</v>
      </c>
      <c r="I2909" s="24">
        <v>4190.9088000000002</v>
      </c>
      <c r="J2909" s="32">
        <v>16</v>
      </c>
      <c r="K2909" s="17" t="s">
        <v>26</v>
      </c>
      <c r="L2909" s="24">
        <v>177.99</v>
      </c>
      <c r="M2909" s="24">
        <v>335.81</v>
      </c>
      <c r="N2909" s="34">
        <f>((sales_data_1[[#This Row],[Unit_Price]]*(1-sales_data_1[[#This Row],[Discount]]))-sales_data_1[[#This Row],[Unit_Cost]])*sales_data_1[[#This Row],[Quantity_Sold]]</f>
        <v>1343.0688</v>
      </c>
      <c r="O2909" s="17" t="s">
        <v>27</v>
      </c>
      <c r="P2909" s="26">
        <v>0.22</v>
      </c>
      <c r="Q2909" s="17" t="s">
        <v>18</v>
      </c>
      <c r="R2909" s="17" t="s">
        <v>19</v>
      </c>
      <c r="S2909" s="50" t="str">
        <f t="shared" si="137"/>
        <v>Alice-North</v>
      </c>
      <c r="T2909" s="59" t="str">
        <f>IF(ROUND(sales_data_1[[#This Row],[Profit_Margin]],2)=ROUND((sales_data_1[[#This Row],[Unit_Price]]*(1-sales_data_1[[#This Row],[Discount]]) - sales_data_1[[#This Row],[Unit_Cost]])*sales_data_1[[#This Row],[Quantity_Sold]],2), "PASS", "CHECK")</f>
        <v>PASS</v>
      </c>
    </row>
    <row r="2910" spans="1:20" x14ac:dyDescent="0.35">
      <c r="A2910" s="7">
        <v>2909</v>
      </c>
      <c r="B2910" s="9">
        <v>1098</v>
      </c>
      <c r="C2910" s="14" t="str">
        <f>IFERROR(_xlfn.TEXTJOIN("-", TRUE, _xlfn.XLOOKUP(K2910, product_category_id_lookup!$A$2:$A$5, product_category_id_lookup!$B$2:$B$5), B2910), "Unknown Category")</f>
        <v>etc-1098</v>
      </c>
      <c r="D2910" s="8">
        <v>45554</v>
      </c>
      <c r="E2910" s="14">
        <f t="shared" si="135"/>
        <v>2024</v>
      </c>
      <c r="F2910" s="29" t="str">
        <f t="shared" si="136"/>
        <v>Sep</v>
      </c>
      <c r="G2910" s="17" t="s">
        <v>33</v>
      </c>
      <c r="H2910" s="17" t="s">
        <v>30</v>
      </c>
      <c r="I2910" s="24">
        <v>3551.5956000000001</v>
      </c>
      <c r="J2910" s="32">
        <v>1</v>
      </c>
      <c r="K2910" s="17" t="s">
        <v>31</v>
      </c>
      <c r="L2910" s="24">
        <v>1116.4100000000001</v>
      </c>
      <c r="M2910" s="24">
        <v>3860.43</v>
      </c>
      <c r="N2910" s="34">
        <f>((sales_data_1[[#This Row],[Unit_Price]]*(1-sales_data_1[[#This Row],[Discount]]))-sales_data_1[[#This Row],[Unit_Cost]])*sales_data_1[[#This Row],[Quantity_Sold]]</f>
        <v>2435.1855999999998</v>
      </c>
      <c r="O2910" s="17" t="s">
        <v>17</v>
      </c>
      <c r="P2910" s="26">
        <v>0.08</v>
      </c>
      <c r="Q2910" s="17" t="s">
        <v>28</v>
      </c>
      <c r="R2910" s="17" t="s">
        <v>19</v>
      </c>
      <c r="S2910" s="50" t="str">
        <f t="shared" si="137"/>
        <v>Alice-East</v>
      </c>
      <c r="T2910" s="59" t="str">
        <f>IF(ROUND(sales_data_1[[#This Row],[Profit_Margin]],2)=ROUND((sales_data_1[[#This Row],[Unit_Price]]*(1-sales_data_1[[#This Row],[Discount]]) - sales_data_1[[#This Row],[Unit_Cost]])*sales_data_1[[#This Row],[Quantity_Sold]],2), "PASS", "CHECK")</f>
        <v>PASS</v>
      </c>
    </row>
    <row r="2911" spans="1:20" x14ac:dyDescent="0.35">
      <c r="A2911" s="7">
        <v>2910</v>
      </c>
      <c r="B2911" s="9">
        <v>1072</v>
      </c>
      <c r="C2911" s="14" t="str">
        <f>IFERROR(_xlfn.TEXTJOIN("-", TRUE, _xlfn.XLOOKUP(K2911, product_category_id_lookup!$A$2:$A$5, product_category_id_lookup!$B$2:$B$5), B2911), "Unknown Category")</f>
        <v>fd-1072</v>
      </c>
      <c r="D2911" s="8">
        <v>45554</v>
      </c>
      <c r="E2911" s="14">
        <f t="shared" si="135"/>
        <v>2024</v>
      </c>
      <c r="F2911" s="29" t="str">
        <f t="shared" si="136"/>
        <v>Sep</v>
      </c>
      <c r="G2911" s="17" t="s">
        <v>32</v>
      </c>
      <c r="H2911" s="17" t="s">
        <v>23</v>
      </c>
      <c r="I2911" s="24">
        <v>209781.25979999997</v>
      </c>
      <c r="J2911" s="32">
        <v>49</v>
      </c>
      <c r="K2911" s="17" t="s">
        <v>24</v>
      </c>
      <c r="L2911" s="24">
        <v>601.59</v>
      </c>
      <c r="M2911" s="24">
        <v>4413.66</v>
      </c>
      <c r="N2911" s="34">
        <f>((sales_data_1[[#This Row],[Unit_Price]]*(1-sales_data_1[[#This Row],[Discount]]))-sales_data_1[[#This Row],[Unit_Cost]])*sales_data_1[[#This Row],[Quantity_Sold]]</f>
        <v>180303.34979999997</v>
      </c>
      <c r="O2911" s="17" t="s">
        <v>17</v>
      </c>
      <c r="P2911" s="26">
        <v>0.03</v>
      </c>
      <c r="Q2911" s="17" t="s">
        <v>18</v>
      </c>
      <c r="R2911" s="17" t="s">
        <v>21</v>
      </c>
      <c r="S2911" s="50" t="str">
        <f t="shared" si="137"/>
        <v>Eve-South</v>
      </c>
      <c r="T2911" s="59" t="str">
        <f>IF(ROUND(sales_data_1[[#This Row],[Profit_Margin]],2)=ROUND((sales_data_1[[#This Row],[Unit_Price]]*(1-sales_data_1[[#This Row],[Discount]]) - sales_data_1[[#This Row],[Unit_Cost]])*sales_data_1[[#This Row],[Quantity_Sold]],2), "PASS", "CHECK")</f>
        <v>PASS</v>
      </c>
    </row>
    <row r="2912" spans="1:20" x14ac:dyDescent="0.35">
      <c r="A2912" s="7">
        <v>2911</v>
      </c>
      <c r="B2912" s="9">
        <v>1006</v>
      </c>
      <c r="C2912" s="14" t="str">
        <f>IFERROR(_xlfn.TEXTJOIN("-", TRUE, _xlfn.XLOOKUP(K2912, product_category_id_lookup!$A$2:$A$5, product_category_id_lookup!$B$2:$B$5), B2912), "Unknown Category")</f>
        <v>etc-1006</v>
      </c>
      <c r="D2912" s="8">
        <v>45555</v>
      </c>
      <c r="E2912" s="14">
        <f t="shared" si="135"/>
        <v>2024</v>
      </c>
      <c r="F2912" s="29" t="str">
        <f t="shared" si="136"/>
        <v>Sep</v>
      </c>
      <c r="G2912" s="17" t="s">
        <v>14</v>
      </c>
      <c r="H2912" s="17" t="s">
        <v>15</v>
      </c>
      <c r="I2912" s="24">
        <v>26784.381399999998</v>
      </c>
      <c r="J2912" s="32">
        <v>7</v>
      </c>
      <c r="K2912" s="17" t="s">
        <v>31</v>
      </c>
      <c r="L2912" s="24">
        <v>3360.7</v>
      </c>
      <c r="M2912" s="24">
        <v>5170.7299999999996</v>
      </c>
      <c r="N2912" s="34">
        <f>((sales_data_1[[#This Row],[Unit_Price]]*(1-sales_data_1[[#This Row],[Discount]]))-sales_data_1[[#This Row],[Unit_Cost]])*sales_data_1[[#This Row],[Quantity_Sold]]</f>
        <v>3259.4813999999988</v>
      </c>
      <c r="O2912" s="17" t="s">
        <v>17</v>
      </c>
      <c r="P2912" s="26">
        <v>0.26</v>
      </c>
      <c r="Q2912" s="17" t="s">
        <v>18</v>
      </c>
      <c r="R2912" s="17" t="s">
        <v>19</v>
      </c>
      <c r="S2912" s="50" t="str">
        <f t="shared" si="137"/>
        <v>Bob-North</v>
      </c>
      <c r="T2912" s="59" t="str">
        <f>IF(ROUND(sales_data_1[[#This Row],[Profit_Margin]],2)=ROUND((sales_data_1[[#This Row],[Unit_Price]]*(1-sales_data_1[[#This Row],[Discount]]) - sales_data_1[[#This Row],[Unit_Cost]])*sales_data_1[[#This Row],[Quantity_Sold]],2), "PASS", "CHECK")</f>
        <v>PASS</v>
      </c>
    </row>
    <row r="2913" spans="1:20" x14ac:dyDescent="0.35">
      <c r="A2913" s="7">
        <v>2912</v>
      </c>
      <c r="B2913" s="9">
        <v>1093</v>
      </c>
      <c r="C2913" s="14" t="str">
        <f>IFERROR(_xlfn.TEXTJOIN("-", TRUE, _xlfn.XLOOKUP(K2913, product_category_id_lookup!$A$2:$A$5, product_category_id_lookup!$B$2:$B$5), B2913), "Unknown Category")</f>
        <v>etc-1093</v>
      </c>
      <c r="D2913" s="8">
        <v>45555</v>
      </c>
      <c r="E2913" s="14">
        <f t="shared" si="135"/>
        <v>2024</v>
      </c>
      <c r="F2913" s="29" t="str">
        <f t="shared" si="136"/>
        <v>Sep</v>
      </c>
      <c r="G2913" s="17" t="s">
        <v>33</v>
      </c>
      <c r="H2913" s="17" t="s">
        <v>30</v>
      </c>
      <c r="I2913" s="24">
        <v>111529.23319999999</v>
      </c>
      <c r="J2913" s="32">
        <v>31</v>
      </c>
      <c r="K2913" s="17" t="s">
        <v>31</v>
      </c>
      <c r="L2913" s="24">
        <v>1374.22</v>
      </c>
      <c r="M2913" s="24">
        <v>4861.78</v>
      </c>
      <c r="N2913" s="34">
        <f>((sales_data_1[[#This Row],[Unit_Price]]*(1-sales_data_1[[#This Row],[Discount]]))-sales_data_1[[#This Row],[Unit_Cost]])*sales_data_1[[#This Row],[Quantity_Sold]]</f>
        <v>68928.413199999995</v>
      </c>
      <c r="O2913" s="17" t="s">
        <v>27</v>
      </c>
      <c r="P2913" s="26">
        <v>0.26</v>
      </c>
      <c r="Q2913" s="17" t="s">
        <v>28</v>
      </c>
      <c r="R2913" s="17" t="s">
        <v>19</v>
      </c>
      <c r="S2913" s="50" t="str">
        <f t="shared" si="137"/>
        <v>Alice-East</v>
      </c>
      <c r="T2913" s="59" t="str">
        <f>IF(ROUND(sales_data_1[[#This Row],[Profit_Margin]],2)=ROUND((sales_data_1[[#This Row],[Unit_Price]]*(1-sales_data_1[[#This Row],[Discount]]) - sales_data_1[[#This Row],[Unit_Cost]])*sales_data_1[[#This Row],[Quantity_Sold]],2), "PASS", "CHECK")</f>
        <v>PASS</v>
      </c>
    </row>
    <row r="2914" spans="1:20" x14ac:dyDescent="0.35">
      <c r="A2914" s="7">
        <v>2913</v>
      </c>
      <c r="B2914" s="9">
        <v>1067</v>
      </c>
      <c r="C2914" s="14" t="str">
        <f>IFERROR(_xlfn.TEXTJOIN("-", TRUE, _xlfn.XLOOKUP(K2914, product_category_id_lookup!$A$2:$A$5, product_category_id_lookup!$B$2:$B$5), B2914), "Unknown Category")</f>
        <v>fd-1067</v>
      </c>
      <c r="D2914" s="8">
        <v>45556</v>
      </c>
      <c r="E2914" s="14">
        <f t="shared" si="135"/>
        <v>2024</v>
      </c>
      <c r="F2914" s="29" t="str">
        <f t="shared" si="136"/>
        <v>Sep</v>
      </c>
      <c r="G2914" s="17" t="s">
        <v>22</v>
      </c>
      <c r="H2914" s="17" t="s">
        <v>30</v>
      </c>
      <c r="I2914" s="24">
        <v>46077.02075096601</v>
      </c>
      <c r="J2914" s="32">
        <v>33</v>
      </c>
      <c r="K2914" s="17" t="s">
        <v>24</v>
      </c>
      <c r="L2914" s="24">
        <v>1165.3599999999999</v>
      </c>
      <c r="M2914" s="24">
        <v>1428.84</v>
      </c>
      <c r="N2914" s="34">
        <f>((sales_data_1[[#This Row],[Unit_Price]]*(1-sales_data_1[[#This Row],[Discount]]))-sales_data_1[[#This Row],[Unit_Cost]])*sales_data_1[[#This Row],[Quantity_Sold]]</f>
        <v>7751.8055999999988</v>
      </c>
      <c r="O2914" s="17" t="s">
        <v>27</v>
      </c>
      <c r="P2914" s="26">
        <v>0.02</v>
      </c>
      <c r="Q2914" s="17" t="s">
        <v>28</v>
      </c>
      <c r="R2914" s="17" t="s">
        <v>21</v>
      </c>
      <c r="S2914" s="50" t="str">
        <f t="shared" si="137"/>
        <v>David-East</v>
      </c>
      <c r="T2914" s="59" t="str">
        <f>IF(ROUND(sales_data_1[[#This Row],[Profit_Margin]],2)=ROUND((sales_data_1[[#This Row],[Unit_Price]]*(1-sales_data_1[[#This Row],[Discount]]) - sales_data_1[[#This Row],[Unit_Cost]])*sales_data_1[[#This Row],[Quantity_Sold]],2), "PASS", "CHECK")</f>
        <v>PASS</v>
      </c>
    </row>
    <row r="2915" spans="1:20" x14ac:dyDescent="0.35">
      <c r="A2915" s="7">
        <v>2914</v>
      </c>
      <c r="B2915" s="9">
        <v>1025</v>
      </c>
      <c r="C2915" s="14" t="str">
        <f>IFERROR(_xlfn.TEXTJOIN("-", TRUE, _xlfn.XLOOKUP(K2915, product_category_id_lookup!$A$2:$A$5, product_category_id_lookup!$B$2:$B$5), B2915), "Unknown Category")</f>
        <v>ctg-1025</v>
      </c>
      <c r="D2915" s="8">
        <v>45556</v>
      </c>
      <c r="E2915" s="14">
        <f t="shared" si="135"/>
        <v>2024</v>
      </c>
      <c r="F2915" s="29" t="str">
        <f t="shared" si="136"/>
        <v>Sep</v>
      </c>
      <c r="G2915" s="17" t="s">
        <v>22</v>
      </c>
      <c r="H2915" s="17" t="s">
        <v>15</v>
      </c>
      <c r="I2915" s="24">
        <v>123446.24399999999</v>
      </c>
      <c r="J2915" s="32">
        <v>30</v>
      </c>
      <c r="K2915" s="17" t="s">
        <v>26</v>
      </c>
      <c r="L2915" s="24">
        <v>3346.92</v>
      </c>
      <c r="M2915" s="24">
        <v>4472.6899999999996</v>
      </c>
      <c r="N2915" s="34">
        <f>((sales_data_1[[#This Row],[Unit_Price]]*(1-sales_data_1[[#This Row],[Discount]]))-sales_data_1[[#This Row],[Unit_Cost]])*sales_data_1[[#This Row],[Quantity_Sold]]</f>
        <v>23038.643999999986</v>
      </c>
      <c r="O2915" s="17" t="s">
        <v>17</v>
      </c>
      <c r="P2915" s="26">
        <v>0.08</v>
      </c>
      <c r="Q2915" s="17" t="s">
        <v>18</v>
      </c>
      <c r="R2915" s="17" t="s">
        <v>21</v>
      </c>
      <c r="S2915" s="50" t="str">
        <f t="shared" si="137"/>
        <v>David-North</v>
      </c>
      <c r="T2915" s="59" t="str">
        <f>IF(ROUND(sales_data_1[[#This Row],[Profit_Margin]],2)=ROUND((sales_data_1[[#This Row],[Unit_Price]]*(1-sales_data_1[[#This Row],[Discount]]) - sales_data_1[[#This Row],[Unit_Cost]])*sales_data_1[[#This Row],[Quantity_Sold]],2), "PASS", "CHECK")</f>
        <v>PASS</v>
      </c>
    </row>
    <row r="2916" spans="1:20" x14ac:dyDescent="0.35">
      <c r="A2916" s="7">
        <v>2915</v>
      </c>
      <c r="B2916" s="9">
        <v>1092</v>
      </c>
      <c r="C2916" s="14" t="str">
        <f>IFERROR(_xlfn.TEXTJOIN("-", TRUE, _xlfn.XLOOKUP(K2916, product_category_id_lookup!$A$2:$A$5, product_category_id_lookup!$B$2:$B$5), B2916), "Unknown Category")</f>
        <v>fnt-1092</v>
      </c>
      <c r="D2916" s="8">
        <v>45556</v>
      </c>
      <c r="E2916" s="14">
        <f t="shared" si="135"/>
        <v>2024</v>
      </c>
      <c r="F2916" s="29" t="str">
        <f t="shared" si="136"/>
        <v>Sep</v>
      </c>
      <c r="G2916" s="17" t="s">
        <v>22</v>
      </c>
      <c r="H2916" s="17" t="s">
        <v>20</v>
      </c>
      <c r="I2916" s="24">
        <v>56824.755000000005</v>
      </c>
      <c r="J2916" s="32">
        <v>26</v>
      </c>
      <c r="K2916" s="17" t="s">
        <v>16</v>
      </c>
      <c r="L2916" s="24">
        <v>762.78</v>
      </c>
      <c r="M2916" s="24">
        <v>2914.09</v>
      </c>
      <c r="N2916" s="34">
        <f>((sales_data_1[[#This Row],[Unit_Price]]*(1-sales_data_1[[#This Row],[Discount]]))-sales_data_1[[#This Row],[Unit_Cost]])*sales_data_1[[#This Row],[Quantity_Sold]]</f>
        <v>36992.475000000006</v>
      </c>
      <c r="O2916" s="17" t="s">
        <v>17</v>
      </c>
      <c r="P2916" s="26">
        <v>0.25</v>
      </c>
      <c r="Q2916" s="17" t="s">
        <v>18</v>
      </c>
      <c r="R2916" s="17" t="s">
        <v>21</v>
      </c>
      <c r="S2916" s="50" t="str">
        <f t="shared" si="137"/>
        <v>David-West</v>
      </c>
      <c r="T2916" s="59" t="str">
        <f>IF(ROUND(sales_data_1[[#This Row],[Profit_Margin]],2)=ROUND((sales_data_1[[#This Row],[Unit_Price]]*(1-sales_data_1[[#This Row],[Discount]]) - sales_data_1[[#This Row],[Unit_Cost]])*sales_data_1[[#This Row],[Quantity_Sold]],2), "PASS", "CHECK")</f>
        <v>PASS</v>
      </c>
    </row>
    <row r="2917" spans="1:20" x14ac:dyDescent="0.35">
      <c r="A2917" s="7">
        <v>2916</v>
      </c>
      <c r="B2917" s="9">
        <v>1060</v>
      </c>
      <c r="C2917" s="14" t="str">
        <f>IFERROR(_xlfn.TEXTJOIN("-", TRUE, _xlfn.XLOOKUP(K2917, product_category_id_lookup!$A$2:$A$5, product_category_id_lookup!$B$2:$B$5), B2917), "Unknown Category")</f>
        <v>fd-1060</v>
      </c>
      <c r="D2917" s="8">
        <v>45556</v>
      </c>
      <c r="E2917" s="14">
        <f t="shared" si="135"/>
        <v>2024</v>
      </c>
      <c r="F2917" s="29" t="str">
        <f t="shared" si="136"/>
        <v>Sep</v>
      </c>
      <c r="G2917" s="17" t="s">
        <v>33</v>
      </c>
      <c r="H2917" s="17" t="s">
        <v>30</v>
      </c>
      <c r="I2917" s="24">
        <v>72903.499199999991</v>
      </c>
      <c r="J2917" s="32">
        <v>18</v>
      </c>
      <c r="K2917" s="17" t="s">
        <v>24</v>
      </c>
      <c r="L2917" s="24">
        <v>221.91</v>
      </c>
      <c r="M2917" s="24">
        <v>4821.66</v>
      </c>
      <c r="N2917" s="34">
        <f>((sales_data_1[[#This Row],[Unit_Price]]*(1-sales_data_1[[#This Row],[Discount]]))-sales_data_1[[#This Row],[Unit_Cost]])*sales_data_1[[#This Row],[Quantity_Sold]]</f>
        <v>68909.119200000001</v>
      </c>
      <c r="O2917" s="17" t="s">
        <v>27</v>
      </c>
      <c r="P2917" s="26">
        <v>0.16</v>
      </c>
      <c r="Q2917" s="17" t="s">
        <v>25</v>
      </c>
      <c r="R2917" s="17" t="s">
        <v>21</v>
      </c>
      <c r="S2917" s="50" t="str">
        <f t="shared" si="137"/>
        <v>Alice-East</v>
      </c>
      <c r="T2917" s="59" t="str">
        <f>IF(ROUND(sales_data_1[[#This Row],[Profit_Margin]],2)=ROUND((sales_data_1[[#This Row],[Unit_Price]]*(1-sales_data_1[[#This Row],[Discount]]) - sales_data_1[[#This Row],[Unit_Cost]])*sales_data_1[[#This Row],[Quantity_Sold]],2), "PASS", "CHECK")</f>
        <v>PASS</v>
      </c>
    </row>
    <row r="2918" spans="1:20" x14ac:dyDescent="0.35">
      <c r="A2918" s="7">
        <v>2917</v>
      </c>
      <c r="B2918" s="9">
        <v>1044</v>
      </c>
      <c r="C2918" s="14" t="str">
        <f>IFERROR(_xlfn.TEXTJOIN("-", TRUE, _xlfn.XLOOKUP(K2918, product_category_id_lookup!$A$2:$A$5, product_category_id_lookup!$B$2:$B$5), B2918), "Unknown Category")</f>
        <v>fnt-1044</v>
      </c>
      <c r="D2918" s="8">
        <v>45556</v>
      </c>
      <c r="E2918" s="14">
        <f t="shared" si="135"/>
        <v>2024</v>
      </c>
      <c r="F2918" s="29" t="str">
        <f t="shared" si="136"/>
        <v>Sep</v>
      </c>
      <c r="G2918" s="17" t="s">
        <v>29</v>
      </c>
      <c r="H2918" s="17" t="s">
        <v>20</v>
      </c>
      <c r="I2918" s="24">
        <v>112285.80480000001</v>
      </c>
      <c r="J2918" s="32">
        <v>38</v>
      </c>
      <c r="K2918" s="17" t="s">
        <v>16</v>
      </c>
      <c r="L2918" s="24">
        <v>397.99</v>
      </c>
      <c r="M2918" s="24">
        <v>3788.32</v>
      </c>
      <c r="N2918" s="34">
        <f>((sales_data_1[[#This Row],[Unit_Price]]*(1-sales_data_1[[#This Row],[Discount]]))-sales_data_1[[#This Row],[Unit_Cost]])*sales_data_1[[#This Row],[Quantity_Sold]]</f>
        <v>97162.184800000017</v>
      </c>
      <c r="O2918" s="17" t="s">
        <v>17</v>
      </c>
      <c r="P2918" s="26">
        <v>0.22</v>
      </c>
      <c r="Q2918" s="17" t="s">
        <v>28</v>
      </c>
      <c r="R2918" s="17" t="s">
        <v>19</v>
      </c>
      <c r="S2918" s="50" t="str">
        <f t="shared" si="137"/>
        <v>Charlie-West</v>
      </c>
      <c r="T2918" s="59" t="str">
        <f>IF(ROUND(sales_data_1[[#This Row],[Profit_Margin]],2)=ROUND((sales_data_1[[#This Row],[Unit_Price]]*(1-sales_data_1[[#This Row],[Discount]]) - sales_data_1[[#This Row],[Unit_Cost]])*sales_data_1[[#This Row],[Quantity_Sold]],2), "PASS", "CHECK")</f>
        <v>PASS</v>
      </c>
    </row>
    <row r="2919" spans="1:20" x14ac:dyDescent="0.35">
      <c r="A2919" s="7">
        <v>2918</v>
      </c>
      <c r="B2919" s="9">
        <v>1073</v>
      </c>
      <c r="C2919" s="14" t="str">
        <f>IFERROR(_xlfn.TEXTJOIN("-", TRUE, _xlfn.XLOOKUP(K2919, product_category_id_lookup!$A$2:$A$5, product_category_id_lookup!$B$2:$B$5), B2919), "Unknown Category")</f>
        <v>ctg-1073</v>
      </c>
      <c r="D2919" s="8">
        <v>45557</v>
      </c>
      <c r="E2919" s="14">
        <f t="shared" si="135"/>
        <v>2024</v>
      </c>
      <c r="F2919" s="29" t="str">
        <f t="shared" si="136"/>
        <v>Sep</v>
      </c>
      <c r="G2919" s="17" t="s">
        <v>33</v>
      </c>
      <c r="H2919" s="17" t="s">
        <v>23</v>
      </c>
      <c r="I2919" s="24">
        <v>133761.4803</v>
      </c>
      <c r="J2919" s="32">
        <v>43</v>
      </c>
      <c r="K2919" s="17" t="s">
        <v>26</v>
      </c>
      <c r="L2919" s="24">
        <v>3072.11</v>
      </c>
      <c r="M2919" s="24">
        <v>3840.41</v>
      </c>
      <c r="N2919" s="34">
        <f>((sales_data_1[[#This Row],[Unit_Price]]*(1-sales_data_1[[#This Row],[Discount]]))-sales_data_1[[#This Row],[Unit_Cost]])*sales_data_1[[#This Row],[Quantity_Sold]]</f>
        <v>1660.750300000002</v>
      </c>
      <c r="O2919" s="17" t="s">
        <v>17</v>
      </c>
      <c r="P2919" s="26">
        <v>0.19</v>
      </c>
      <c r="Q2919" s="17" t="s">
        <v>25</v>
      </c>
      <c r="R2919" s="17" t="s">
        <v>21</v>
      </c>
      <c r="S2919" s="50" t="str">
        <f t="shared" si="137"/>
        <v>Alice-South</v>
      </c>
      <c r="T2919" s="59" t="str">
        <f>IF(ROUND(sales_data_1[[#This Row],[Profit_Margin]],2)=ROUND((sales_data_1[[#This Row],[Unit_Price]]*(1-sales_data_1[[#This Row],[Discount]]) - sales_data_1[[#This Row],[Unit_Cost]])*sales_data_1[[#This Row],[Quantity_Sold]],2), "PASS", "CHECK")</f>
        <v>PASS</v>
      </c>
    </row>
    <row r="2920" spans="1:20" x14ac:dyDescent="0.35">
      <c r="A2920" s="7">
        <v>2919</v>
      </c>
      <c r="B2920" s="9">
        <v>1095</v>
      </c>
      <c r="C2920" s="14" t="str">
        <f>IFERROR(_xlfn.TEXTJOIN("-", TRUE, _xlfn.XLOOKUP(K2920, product_category_id_lookup!$A$2:$A$5, product_category_id_lookup!$B$2:$B$5), B2920), "Unknown Category")</f>
        <v>fnt-1095</v>
      </c>
      <c r="D2920" s="8">
        <v>45557</v>
      </c>
      <c r="E2920" s="14">
        <f t="shared" si="135"/>
        <v>2024</v>
      </c>
      <c r="F2920" s="29" t="str">
        <f t="shared" si="136"/>
        <v>Sep</v>
      </c>
      <c r="G2920" s="17" t="s">
        <v>33</v>
      </c>
      <c r="H2920" s="17" t="s">
        <v>20</v>
      </c>
      <c r="I2920" s="24">
        <v>59698.970100000006</v>
      </c>
      <c r="J2920" s="32">
        <v>21</v>
      </c>
      <c r="K2920" s="17" t="s">
        <v>16</v>
      </c>
      <c r="L2920" s="24">
        <v>801.51</v>
      </c>
      <c r="M2920" s="24">
        <v>3425.07</v>
      </c>
      <c r="N2920" s="34">
        <f>((sales_data_1[[#This Row],[Unit_Price]]*(1-sales_data_1[[#This Row],[Discount]]))-sales_data_1[[#This Row],[Unit_Cost]])*sales_data_1[[#This Row],[Quantity_Sold]]</f>
        <v>42867.260100000007</v>
      </c>
      <c r="O2920" s="17" t="s">
        <v>17</v>
      </c>
      <c r="P2920" s="26">
        <v>0.17</v>
      </c>
      <c r="Q2920" s="17" t="s">
        <v>28</v>
      </c>
      <c r="R2920" s="17" t="s">
        <v>19</v>
      </c>
      <c r="S2920" s="50" t="str">
        <f t="shared" si="137"/>
        <v>Alice-West</v>
      </c>
      <c r="T2920" s="59" t="str">
        <f>IF(ROUND(sales_data_1[[#This Row],[Profit_Margin]],2)=ROUND((sales_data_1[[#This Row],[Unit_Price]]*(1-sales_data_1[[#This Row],[Discount]]) - sales_data_1[[#This Row],[Unit_Cost]])*sales_data_1[[#This Row],[Quantity_Sold]],2), "PASS", "CHECK")</f>
        <v>PASS</v>
      </c>
    </row>
    <row r="2921" spans="1:20" x14ac:dyDescent="0.35">
      <c r="A2921" s="7">
        <v>2920</v>
      </c>
      <c r="B2921" s="9">
        <v>1027</v>
      </c>
      <c r="C2921" s="14" t="str">
        <f>IFERROR(_xlfn.TEXTJOIN("-", TRUE, _xlfn.XLOOKUP(K2921, product_category_id_lookup!$A$2:$A$5, product_category_id_lookup!$B$2:$B$5), B2921), "Unknown Category")</f>
        <v>fd-1027</v>
      </c>
      <c r="D2921" s="8">
        <v>45558</v>
      </c>
      <c r="E2921" s="14">
        <f t="shared" si="135"/>
        <v>2024</v>
      </c>
      <c r="F2921" s="29" t="str">
        <f t="shared" si="136"/>
        <v>Sep</v>
      </c>
      <c r="G2921" s="17" t="s">
        <v>32</v>
      </c>
      <c r="H2921" s="17" t="s">
        <v>20</v>
      </c>
      <c r="I2921" s="24">
        <v>18544.5821</v>
      </c>
      <c r="J2921" s="32">
        <v>11</v>
      </c>
      <c r="K2921" s="17" t="s">
        <v>24</v>
      </c>
      <c r="L2921" s="24">
        <v>1591.2</v>
      </c>
      <c r="M2921" s="24">
        <v>2031.17</v>
      </c>
      <c r="N2921" s="34">
        <f>((sales_data_1[[#This Row],[Unit_Price]]*(1-sales_data_1[[#This Row],[Discount]]))-sales_data_1[[#This Row],[Unit_Cost]])*sales_data_1[[#This Row],[Quantity_Sold]]</f>
        <v>1041.3821000000003</v>
      </c>
      <c r="O2921" s="17" t="s">
        <v>27</v>
      </c>
      <c r="P2921" s="26">
        <v>0.17</v>
      </c>
      <c r="Q2921" s="17" t="s">
        <v>28</v>
      </c>
      <c r="R2921" s="17" t="s">
        <v>19</v>
      </c>
      <c r="S2921" s="50" t="str">
        <f t="shared" si="137"/>
        <v>Eve-West</v>
      </c>
      <c r="T2921" s="59" t="str">
        <f>IF(ROUND(sales_data_1[[#This Row],[Profit_Margin]],2)=ROUND((sales_data_1[[#This Row],[Unit_Price]]*(1-sales_data_1[[#This Row],[Discount]]) - sales_data_1[[#This Row],[Unit_Cost]])*sales_data_1[[#This Row],[Quantity_Sold]],2), "PASS", "CHECK")</f>
        <v>PASS</v>
      </c>
    </row>
    <row r="2922" spans="1:20" x14ac:dyDescent="0.35">
      <c r="A2922" s="7">
        <v>2921</v>
      </c>
      <c r="B2922" s="9">
        <v>1097</v>
      </c>
      <c r="C2922" s="14" t="str">
        <f>IFERROR(_xlfn.TEXTJOIN("-", TRUE, _xlfn.XLOOKUP(K2922, product_category_id_lookup!$A$2:$A$5, product_category_id_lookup!$B$2:$B$5), B2922), "Unknown Category")</f>
        <v>fd-1097</v>
      </c>
      <c r="D2922" s="8">
        <v>45558</v>
      </c>
      <c r="E2922" s="14">
        <f t="shared" si="135"/>
        <v>2024</v>
      </c>
      <c r="F2922" s="29" t="str">
        <f t="shared" si="136"/>
        <v>Sep</v>
      </c>
      <c r="G2922" s="17" t="s">
        <v>14</v>
      </c>
      <c r="H2922" s="17" t="s">
        <v>15</v>
      </c>
      <c r="I2922" s="24">
        <v>83622.870800000004</v>
      </c>
      <c r="J2922" s="32">
        <v>17</v>
      </c>
      <c r="K2922" s="17" t="s">
        <v>24</v>
      </c>
      <c r="L2922" s="24">
        <v>4846.6400000000003</v>
      </c>
      <c r="M2922" s="24">
        <v>5019.38</v>
      </c>
      <c r="N2922" s="34">
        <f>((sales_data_1[[#This Row],[Unit_Price]]*(1-sales_data_1[[#This Row],[Discount]]))-sales_data_1[[#This Row],[Unit_Cost]])*sales_data_1[[#This Row],[Quantity_Sold]]</f>
        <v>1229.9907999999959</v>
      </c>
      <c r="O2922" s="17" t="s">
        <v>17</v>
      </c>
      <c r="P2922" s="26">
        <v>0.02</v>
      </c>
      <c r="Q2922" s="17" t="s">
        <v>28</v>
      </c>
      <c r="R2922" s="17" t="s">
        <v>19</v>
      </c>
      <c r="S2922" s="50" t="str">
        <f t="shared" si="137"/>
        <v>Bob-North</v>
      </c>
      <c r="T2922" s="59" t="str">
        <f>IF(ROUND(sales_data_1[[#This Row],[Profit_Margin]],2)=ROUND((sales_data_1[[#This Row],[Unit_Price]]*(1-sales_data_1[[#This Row],[Discount]]) - sales_data_1[[#This Row],[Unit_Cost]])*sales_data_1[[#This Row],[Quantity_Sold]],2), "PASS", "CHECK")</f>
        <v>PASS</v>
      </c>
    </row>
    <row r="2923" spans="1:20" x14ac:dyDescent="0.35">
      <c r="A2923" s="7">
        <v>2922</v>
      </c>
      <c r="B2923" s="9">
        <v>1043</v>
      </c>
      <c r="C2923" s="14" t="str">
        <f>IFERROR(_xlfn.TEXTJOIN("-", TRUE, _xlfn.XLOOKUP(K2923, product_category_id_lookup!$A$2:$A$5, product_category_id_lookup!$B$2:$B$5), B2923), "Unknown Category")</f>
        <v>ctg-1043</v>
      </c>
      <c r="D2923" s="8">
        <v>45558</v>
      </c>
      <c r="E2923" s="14">
        <f t="shared" si="135"/>
        <v>2024</v>
      </c>
      <c r="F2923" s="29" t="str">
        <f t="shared" si="136"/>
        <v>Sep</v>
      </c>
      <c r="G2923" s="17" t="s">
        <v>32</v>
      </c>
      <c r="H2923" s="17" t="s">
        <v>23</v>
      </c>
      <c r="I2923" s="24">
        <v>77061.967199999999</v>
      </c>
      <c r="J2923" s="32">
        <v>18</v>
      </c>
      <c r="K2923" s="17" t="s">
        <v>26</v>
      </c>
      <c r="L2923" s="24">
        <v>3271.25</v>
      </c>
      <c r="M2923" s="24">
        <v>4810.3599999999997</v>
      </c>
      <c r="N2923" s="34">
        <f>((sales_data_1[[#This Row],[Unit_Price]]*(1-sales_data_1[[#This Row],[Discount]]))-sales_data_1[[#This Row],[Unit_Cost]])*sales_data_1[[#This Row],[Quantity_Sold]]</f>
        <v>18179.467200000003</v>
      </c>
      <c r="O2923" s="17" t="s">
        <v>17</v>
      </c>
      <c r="P2923" s="26">
        <v>0.11</v>
      </c>
      <c r="Q2923" s="17" t="s">
        <v>28</v>
      </c>
      <c r="R2923" s="17" t="s">
        <v>21</v>
      </c>
      <c r="S2923" s="50" t="str">
        <f t="shared" si="137"/>
        <v>Eve-South</v>
      </c>
      <c r="T2923" s="59" t="str">
        <f>IF(ROUND(sales_data_1[[#This Row],[Profit_Margin]],2)=ROUND((sales_data_1[[#This Row],[Unit_Price]]*(1-sales_data_1[[#This Row],[Discount]]) - sales_data_1[[#This Row],[Unit_Cost]])*sales_data_1[[#This Row],[Quantity_Sold]],2), "PASS", "CHECK")</f>
        <v>PASS</v>
      </c>
    </row>
    <row r="2924" spans="1:20" x14ac:dyDescent="0.35">
      <c r="A2924" s="7">
        <v>2923</v>
      </c>
      <c r="B2924" s="9">
        <v>1064</v>
      </c>
      <c r="C2924" s="14" t="str">
        <f>IFERROR(_xlfn.TEXTJOIN("-", TRUE, _xlfn.XLOOKUP(K2924, product_category_id_lookup!$A$2:$A$5, product_category_id_lookup!$B$2:$B$5), B2924), "Unknown Category")</f>
        <v>etc-1064</v>
      </c>
      <c r="D2924" s="8">
        <v>45559</v>
      </c>
      <c r="E2924" s="14">
        <f t="shared" si="135"/>
        <v>2024</v>
      </c>
      <c r="F2924" s="29" t="str">
        <f t="shared" si="136"/>
        <v>Sep</v>
      </c>
      <c r="G2924" s="17" t="s">
        <v>29</v>
      </c>
      <c r="H2924" s="17" t="s">
        <v>30</v>
      </c>
      <c r="I2924" s="24">
        <v>70662.426900000006</v>
      </c>
      <c r="J2924" s="32">
        <v>19</v>
      </c>
      <c r="K2924" s="17" t="s">
        <v>31</v>
      </c>
      <c r="L2924" s="24">
        <v>3244.14</v>
      </c>
      <c r="M2924" s="24">
        <v>4707.6899999999996</v>
      </c>
      <c r="N2924" s="34">
        <f>((sales_data_1[[#This Row],[Unit_Price]]*(1-sales_data_1[[#This Row],[Discount]]))-sales_data_1[[#This Row],[Unit_Cost]])*sales_data_1[[#This Row],[Quantity_Sold]]</f>
        <v>9023.7669000000024</v>
      </c>
      <c r="O2924" s="17" t="s">
        <v>27</v>
      </c>
      <c r="P2924" s="26">
        <v>0.21</v>
      </c>
      <c r="Q2924" s="17" t="s">
        <v>18</v>
      </c>
      <c r="R2924" s="17" t="s">
        <v>21</v>
      </c>
      <c r="S2924" s="50" t="str">
        <f t="shared" si="137"/>
        <v>Charlie-East</v>
      </c>
      <c r="T2924" s="59" t="str">
        <f>IF(ROUND(sales_data_1[[#This Row],[Profit_Margin]],2)=ROUND((sales_data_1[[#This Row],[Unit_Price]]*(1-sales_data_1[[#This Row],[Discount]]) - sales_data_1[[#This Row],[Unit_Cost]])*sales_data_1[[#This Row],[Quantity_Sold]],2), "PASS", "CHECK")</f>
        <v>PASS</v>
      </c>
    </row>
    <row r="2925" spans="1:20" x14ac:dyDescent="0.35">
      <c r="A2925" s="7">
        <v>2924</v>
      </c>
      <c r="B2925" s="9">
        <v>1015</v>
      </c>
      <c r="C2925" s="14" t="str">
        <f>IFERROR(_xlfn.TEXTJOIN("-", TRUE, _xlfn.XLOOKUP(K2925, product_category_id_lookup!$A$2:$A$5, product_category_id_lookup!$B$2:$B$5), B2925), "Unknown Category")</f>
        <v>fd-1015</v>
      </c>
      <c r="D2925" s="8">
        <v>45559</v>
      </c>
      <c r="E2925" s="14">
        <f t="shared" si="135"/>
        <v>2024</v>
      </c>
      <c r="F2925" s="29" t="str">
        <f t="shared" si="136"/>
        <v>Sep</v>
      </c>
      <c r="G2925" s="17" t="s">
        <v>14</v>
      </c>
      <c r="H2925" s="17" t="s">
        <v>30</v>
      </c>
      <c r="I2925" s="24">
        <v>83922.432000000001</v>
      </c>
      <c r="J2925" s="32">
        <v>24</v>
      </c>
      <c r="K2925" s="17" t="s">
        <v>24</v>
      </c>
      <c r="L2925" s="24">
        <v>595.63</v>
      </c>
      <c r="M2925" s="24">
        <v>3973.6</v>
      </c>
      <c r="N2925" s="34">
        <f>((sales_data_1[[#This Row],[Unit_Price]]*(1-sales_data_1[[#This Row],[Discount]]))-sales_data_1[[#This Row],[Unit_Cost]])*sales_data_1[[#This Row],[Quantity_Sold]]</f>
        <v>69627.312000000005</v>
      </c>
      <c r="O2925" s="17" t="s">
        <v>17</v>
      </c>
      <c r="P2925" s="26">
        <v>0.12</v>
      </c>
      <c r="Q2925" s="17" t="s">
        <v>28</v>
      </c>
      <c r="R2925" s="17" t="s">
        <v>19</v>
      </c>
      <c r="S2925" s="50" t="str">
        <f t="shared" si="137"/>
        <v>Bob-East</v>
      </c>
      <c r="T2925" s="59" t="str">
        <f>IF(ROUND(sales_data_1[[#This Row],[Profit_Margin]],2)=ROUND((sales_data_1[[#This Row],[Unit_Price]]*(1-sales_data_1[[#This Row],[Discount]]) - sales_data_1[[#This Row],[Unit_Cost]])*sales_data_1[[#This Row],[Quantity_Sold]],2), "PASS", "CHECK")</f>
        <v>PASS</v>
      </c>
    </row>
    <row r="2926" spans="1:20" x14ac:dyDescent="0.35">
      <c r="A2926" s="7">
        <v>2925</v>
      </c>
      <c r="B2926" s="9">
        <v>1091</v>
      </c>
      <c r="C2926" s="14" t="str">
        <f>IFERROR(_xlfn.TEXTJOIN("-", TRUE, _xlfn.XLOOKUP(K2926, product_category_id_lookup!$A$2:$A$5, product_category_id_lookup!$B$2:$B$5), B2926), "Unknown Category")</f>
        <v>fd-1091</v>
      </c>
      <c r="D2926" s="8">
        <v>45560</v>
      </c>
      <c r="E2926" s="14">
        <f t="shared" si="135"/>
        <v>2024</v>
      </c>
      <c r="F2926" s="29" t="str">
        <f t="shared" si="136"/>
        <v>Sep</v>
      </c>
      <c r="G2926" s="17" t="s">
        <v>33</v>
      </c>
      <c r="H2926" s="17" t="s">
        <v>30</v>
      </c>
      <c r="I2926" s="24">
        <v>129567.45119999998</v>
      </c>
      <c r="J2926" s="32">
        <v>44</v>
      </c>
      <c r="K2926" s="17" t="s">
        <v>24</v>
      </c>
      <c r="L2926" s="24">
        <v>775.76</v>
      </c>
      <c r="M2926" s="24">
        <v>3166.36</v>
      </c>
      <c r="N2926" s="34">
        <f>((sales_data_1[[#This Row],[Unit_Price]]*(1-sales_data_1[[#This Row],[Discount]]))-sales_data_1[[#This Row],[Unit_Cost]])*sales_data_1[[#This Row],[Quantity_Sold]]</f>
        <v>95434.011199999979</v>
      </c>
      <c r="O2926" s="17" t="s">
        <v>17</v>
      </c>
      <c r="P2926" s="26">
        <v>7.0000000000000007E-2</v>
      </c>
      <c r="Q2926" s="17" t="s">
        <v>28</v>
      </c>
      <c r="R2926" s="17" t="s">
        <v>21</v>
      </c>
      <c r="S2926" s="50" t="str">
        <f t="shared" si="137"/>
        <v>Alice-East</v>
      </c>
      <c r="T2926" s="59" t="str">
        <f>IF(ROUND(sales_data_1[[#This Row],[Profit_Margin]],2)=ROUND((sales_data_1[[#This Row],[Unit_Price]]*(1-sales_data_1[[#This Row],[Discount]]) - sales_data_1[[#This Row],[Unit_Cost]])*sales_data_1[[#This Row],[Quantity_Sold]],2), "PASS", "CHECK")</f>
        <v>PASS</v>
      </c>
    </row>
    <row r="2927" spans="1:20" x14ac:dyDescent="0.35">
      <c r="A2927" s="7">
        <v>2926</v>
      </c>
      <c r="B2927" s="9">
        <v>1043</v>
      </c>
      <c r="C2927" s="14" t="str">
        <f>IFERROR(_xlfn.TEXTJOIN("-", TRUE, _xlfn.XLOOKUP(K2927, product_category_id_lookup!$A$2:$A$5, product_category_id_lookup!$B$2:$B$5), B2927), "Unknown Category")</f>
        <v>fd-1043</v>
      </c>
      <c r="D2927" s="8">
        <v>45561</v>
      </c>
      <c r="E2927" s="14">
        <f t="shared" si="135"/>
        <v>2024</v>
      </c>
      <c r="F2927" s="29" t="str">
        <f t="shared" si="136"/>
        <v>Sep</v>
      </c>
      <c r="G2927" s="17" t="s">
        <v>22</v>
      </c>
      <c r="H2927" s="17" t="s">
        <v>23</v>
      </c>
      <c r="I2927" s="24">
        <v>8898.2039999999997</v>
      </c>
      <c r="J2927" s="32">
        <v>5</v>
      </c>
      <c r="K2927" s="17" t="s">
        <v>24</v>
      </c>
      <c r="L2927" s="24">
        <v>799.18</v>
      </c>
      <c r="M2927" s="24">
        <v>2118.62</v>
      </c>
      <c r="N2927" s="34">
        <f>((sales_data_1[[#This Row],[Unit_Price]]*(1-sales_data_1[[#This Row],[Discount]]))-sales_data_1[[#This Row],[Unit_Cost]])*sales_data_1[[#This Row],[Quantity_Sold]]</f>
        <v>4902.3040000000001</v>
      </c>
      <c r="O2927" s="17" t="s">
        <v>17</v>
      </c>
      <c r="P2927" s="26">
        <v>0.16</v>
      </c>
      <c r="Q2927" s="17" t="s">
        <v>18</v>
      </c>
      <c r="R2927" s="17" t="s">
        <v>21</v>
      </c>
      <c r="S2927" s="50" t="str">
        <f t="shared" si="137"/>
        <v>David-South</v>
      </c>
      <c r="T2927" s="59" t="str">
        <f>IF(ROUND(sales_data_1[[#This Row],[Profit_Margin]],2)=ROUND((sales_data_1[[#This Row],[Unit_Price]]*(1-sales_data_1[[#This Row],[Discount]]) - sales_data_1[[#This Row],[Unit_Cost]])*sales_data_1[[#This Row],[Quantity_Sold]],2), "PASS", "CHECK")</f>
        <v>PASS</v>
      </c>
    </row>
    <row r="2928" spans="1:20" x14ac:dyDescent="0.35">
      <c r="A2928" s="7">
        <v>2927</v>
      </c>
      <c r="B2928" s="9">
        <v>1024</v>
      </c>
      <c r="C2928" s="14" t="str">
        <f>IFERROR(_xlfn.TEXTJOIN("-", TRUE, _xlfn.XLOOKUP(K2928, product_category_id_lookup!$A$2:$A$5, product_category_id_lookup!$B$2:$B$5), B2928), "Unknown Category")</f>
        <v>ctg-1024</v>
      </c>
      <c r="D2928" s="8">
        <v>45561</v>
      </c>
      <c r="E2928" s="14">
        <f t="shared" si="135"/>
        <v>2024</v>
      </c>
      <c r="F2928" s="29" t="str">
        <f t="shared" si="136"/>
        <v>Sep</v>
      </c>
      <c r="G2928" s="17" t="s">
        <v>32</v>
      </c>
      <c r="H2928" s="17" t="s">
        <v>15</v>
      </c>
      <c r="I2928" s="24">
        <v>102143.808</v>
      </c>
      <c r="J2928" s="32">
        <v>30</v>
      </c>
      <c r="K2928" s="17" t="s">
        <v>26</v>
      </c>
      <c r="L2928" s="24">
        <v>2434.48</v>
      </c>
      <c r="M2928" s="24">
        <v>4728.88</v>
      </c>
      <c r="N2928" s="34">
        <f>((sales_data_1[[#This Row],[Unit_Price]]*(1-sales_data_1[[#This Row],[Discount]]))-sales_data_1[[#This Row],[Unit_Cost]])*sales_data_1[[#This Row],[Quantity_Sold]]</f>
        <v>29109.407999999999</v>
      </c>
      <c r="O2928" s="17" t="s">
        <v>27</v>
      </c>
      <c r="P2928" s="26">
        <v>0.28000000000000003</v>
      </c>
      <c r="Q2928" s="17" t="s">
        <v>18</v>
      </c>
      <c r="R2928" s="17" t="s">
        <v>21</v>
      </c>
      <c r="S2928" s="50" t="str">
        <f t="shared" si="137"/>
        <v>Eve-North</v>
      </c>
      <c r="T2928" s="59" t="str">
        <f>IF(ROUND(sales_data_1[[#This Row],[Profit_Margin]],2)=ROUND((sales_data_1[[#This Row],[Unit_Price]]*(1-sales_data_1[[#This Row],[Discount]]) - sales_data_1[[#This Row],[Unit_Cost]])*sales_data_1[[#This Row],[Quantity_Sold]],2), "PASS", "CHECK")</f>
        <v>PASS</v>
      </c>
    </row>
    <row r="2929" spans="1:20" x14ac:dyDescent="0.35">
      <c r="A2929" s="7">
        <v>2928</v>
      </c>
      <c r="B2929" s="9">
        <v>1076</v>
      </c>
      <c r="C2929" s="14" t="str">
        <f>IFERROR(_xlfn.TEXTJOIN("-", TRUE, _xlfn.XLOOKUP(K2929, product_category_id_lookup!$A$2:$A$5, product_category_id_lookup!$B$2:$B$5), B2929), "Unknown Category")</f>
        <v>etc-1076</v>
      </c>
      <c r="D2929" s="8">
        <v>45561</v>
      </c>
      <c r="E2929" s="14">
        <f t="shared" si="135"/>
        <v>2024</v>
      </c>
      <c r="F2929" s="29" t="str">
        <f t="shared" si="136"/>
        <v>Sep</v>
      </c>
      <c r="G2929" s="17" t="s">
        <v>29</v>
      </c>
      <c r="H2929" s="17" t="s">
        <v>30</v>
      </c>
      <c r="I2929" s="24">
        <v>62850.670499999993</v>
      </c>
      <c r="J2929" s="32">
        <v>43</v>
      </c>
      <c r="K2929" s="17" t="s">
        <v>31</v>
      </c>
      <c r="L2929" s="24">
        <v>245.62</v>
      </c>
      <c r="M2929" s="24">
        <v>1680.05</v>
      </c>
      <c r="N2929" s="34">
        <f>((sales_data_1[[#This Row],[Unit_Price]]*(1-sales_data_1[[#This Row],[Discount]]))-sales_data_1[[#This Row],[Unit_Cost]])*sales_data_1[[#This Row],[Quantity_Sold]]</f>
        <v>52289.010499999989</v>
      </c>
      <c r="O2929" s="17" t="s">
        <v>17</v>
      </c>
      <c r="P2929" s="26">
        <v>0.13</v>
      </c>
      <c r="Q2929" s="17" t="s">
        <v>25</v>
      </c>
      <c r="R2929" s="17" t="s">
        <v>19</v>
      </c>
      <c r="S2929" s="50" t="str">
        <f t="shared" si="137"/>
        <v>Charlie-East</v>
      </c>
      <c r="T2929" s="59" t="str">
        <f>IF(ROUND(sales_data_1[[#This Row],[Profit_Margin]],2)=ROUND((sales_data_1[[#This Row],[Unit_Price]]*(1-sales_data_1[[#This Row],[Discount]]) - sales_data_1[[#This Row],[Unit_Cost]])*sales_data_1[[#This Row],[Quantity_Sold]],2), "PASS", "CHECK")</f>
        <v>PASS</v>
      </c>
    </row>
    <row r="2930" spans="1:20" x14ac:dyDescent="0.35">
      <c r="A2930" s="7">
        <v>2929</v>
      </c>
      <c r="B2930" s="9">
        <v>1010</v>
      </c>
      <c r="C2930" s="14" t="str">
        <f>IFERROR(_xlfn.TEXTJOIN("-", TRUE, _xlfn.XLOOKUP(K2930, product_category_id_lookup!$A$2:$A$5, product_category_id_lookup!$B$2:$B$5), B2930), "Unknown Category")</f>
        <v>etc-1010</v>
      </c>
      <c r="D2930" s="8">
        <v>45561</v>
      </c>
      <c r="E2930" s="14">
        <f t="shared" si="135"/>
        <v>2024</v>
      </c>
      <c r="F2930" s="29" t="str">
        <f t="shared" si="136"/>
        <v>Sep</v>
      </c>
      <c r="G2930" s="17" t="s">
        <v>14</v>
      </c>
      <c r="H2930" s="17" t="s">
        <v>23</v>
      </c>
      <c r="I2930" s="24">
        <v>127397.54160000001</v>
      </c>
      <c r="J2930" s="32">
        <v>42</v>
      </c>
      <c r="K2930" s="17" t="s">
        <v>31</v>
      </c>
      <c r="L2930" s="24">
        <v>1671.63</v>
      </c>
      <c r="M2930" s="24">
        <v>4099.0200000000004</v>
      </c>
      <c r="N2930" s="34">
        <f>((sales_data_1[[#This Row],[Unit_Price]]*(1-sales_data_1[[#This Row],[Discount]]))-sales_data_1[[#This Row],[Unit_Cost]])*sales_data_1[[#This Row],[Quantity_Sold]]</f>
        <v>57189.081600000005</v>
      </c>
      <c r="O2930" s="17" t="s">
        <v>17</v>
      </c>
      <c r="P2930" s="26">
        <v>0.26</v>
      </c>
      <c r="Q2930" s="17" t="s">
        <v>18</v>
      </c>
      <c r="R2930" s="17" t="s">
        <v>21</v>
      </c>
      <c r="S2930" s="50" t="str">
        <f t="shared" si="137"/>
        <v>Bob-South</v>
      </c>
      <c r="T2930" s="59" t="str">
        <f>IF(ROUND(sales_data_1[[#This Row],[Profit_Margin]],2)=ROUND((sales_data_1[[#This Row],[Unit_Price]]*(1-sales_data_1[[#This Row],[Discount]]) - sales_data_1[[#This Row],[Unit_Cost]])*sales_data_1[[#This Row],[Quantity_Sold]],2), "PASS", "CHECK")</f>
        <v>PASS</v>
      </c>
    </row>
    <row r="2931" spans="1:20" x14ac:dyDescent="0.35">
      <c r="A2931" s="7">
        <v>2930</v>
      </c>
      <c r="B2931" s="9">
        <v>1021</v>
      </c>
      <c r="C2931" s="14" t="str">
        <f>IFERROR(_xlfn.TEXTJOIN("-", TRUE, _xlfn.XLOOKUP(K2931, product_category_id_lookup!$A$2:$A$5, product_category_id_lookup!$B$2:$B$5), B2931), "Unknown Category")</f>
        <v>etc-1021</v>
      </c>
      <c r="D2931" s="8">
        <v>45561</v>
      </c>
      <c r="E2931" s="14">
        <f t="shared" si="135"/>
        <v>2024</v>
      </c>
      <c r="F2931" s="29" t="str">
        <f t="shared" si="136"/>
        <v>Sep</v>
      </c>
      <c r="G2931" s="17" t="s">
        <v>32</v>
      </c>
      <c r="H2931" s="17" t="s">
        <v>23</v>
      </c>
      <c r="I2931" s="24">
        <v>79806.719999999987</v>
      </c>
      <c r="J2931" s="32">
        <v>20</v>
      </c>
      <c r="K2931" s="17" t="s">
        <v>31</v>
      </c>
      <c r="L2931" s="24">
        <v>1102.32</v>
      </c>
      <c r="M2931" s="24">
        <v>4750.3999999999996</v>
      </c>
      <c r="N2931" s="34">
        <f>((sales_data_1[[#This Row],[Unit_Price]]*(1-sales_data_1[[#This Row],[Discount]]))-sales_data_1[[#This Row],[Unit_Cost]])*sales_data_1[[#This Row],[Quantity_Sold]]</f>
        <v>57760.319999999992</v>
      </c>
      <c r="O2931" s="17" t="s">
        <v>17</v>
      </c>
      <c r="P2931" s="26">
        <v>0.16</v>
      </c>
      <c r="Q2931" s="17" t="s">
        <v>28</v>
      </c>
      <c r="R2931" s="17" t="s">
        <v>19</v>
      </c>
      <c r="S2931" s="50" t="str">
        <f t="shared" si="137"/>
        <v>Eve-South</v>
      </c>
      <c r="T2931" s="59" t="str">
        <f>IF(ROUND(sales_data_1[[#This Row],[Profit_Margin]],2)=ROUND((sales_data_1[[#This Row],[Unit_Price]]*(1-sales_data_1[[#This Row],[Discount]]) - sales_data_1[[#This Row],[Unit_Cost]])*sales_data_1[[#This Row],[Quantity_Sold]],2), "PASS", "CHECK")</f>
        <v>PASS</v>
      </c>
    </row>
    <row r="2932" spans="1:20" x14ac:dyDescent="0.35">
      <c r="A2932" s="7">
        <v>2931</v>
      </c>
      <c r="B2932" s="9">
        <v>1005</v>
      </c>
      <c r="C2932" s="14" t="str">
        <f>IFERROR(_xlfn.TEXTJOIN("-", TRUE, _xlfn.XLOOKUP(K2932, product_category_id_lookup!$A$2:$A$5, product_category_id_lookup!$B$2:$B$5), B2932), "Unknown Category")</f>
        <v>fd-1005</v>
      </c>
      <c r="D2932" s="8">
        <v>45562</v>
      </c>
      <c r="E2932" s="14">
        <f t="shared" si="135"/>
        <v>2024</v>
      </c>
      <c r="F2932" s="29" t="str">
        <f t="shared" si="136"/>
        <v>Sep</v>
      </c>
      <c r="G2932" s="17" t="s">
        <v>22</v>
      </c>
      <c r="H2932" s="17" t="s">
        <v>15</v>
      </c>
      <c r="I2932" s="24">
        <v>152038.99619999999</v>
      </c>
      <c r="J2932" s="32">
        <v>39</v>
      </c>
      <c r="K2932" s="17" t="s">
        <v>24</v>
      </c>
      <c r="L2932" s="24">
        <v>1857.91</v>
      </c>
      <c r="M2932" s="24">
        <v>4754.1899999999996</v>
      </c>
      <c r="N2932" s="34">
        <f>((sales_data_1[[#This Row],[Unit_Price]]*(1-sales_data_1[[#This Row],[Discount]]))-sales_data_1[[#This Row],[Unit_Cost]])*sales_data_1[[#This Row],[Quantity_Sold]]</f>
        <v>79580.506199999989</v>
      </c>
      <c r="O2932" s="17" t="s">
        <v>27</v>
      </c>
      <c r="P2932" s="26">
        <v>0.18</v>
      </c>
      <c r="Q2932" s="17" t="s">
        <v>25</v>
      </c>
      <c r="R2932" s="17" t="s">
        <v>21</v>
      </c>
      <c r="S2932" s="50" t="str">
        <f t="shared" si="137"/>
        <v>David-North</v>
      </c>
      <c r="T2932" s="59" t="str">
        <f>IF(ROUND(sales_data_1[[#This Row],[Profit_Margin]],2)=ROUND((sales_data_1[[#This Row],[Unit_Price]]*(1-sales_data_1[[#This Row],[Discount]]) - sales_data_1[[#This Row],[Unit_Cost]])*sales_data_1[[#This Row],[Quantity_Sold]],2), "PASS", "CHECK")</f>
        <v>PASS</v>
      </c>
    </row>
    <row r="2933" spans="1:20" x14ac:dyDescent="0.35">
      <c r="A2933" s="7">
        <v>2932</v>
      </c>
      <c r="B2933" s="9">
        <v>1068</v>
      </c>
      <c r="C2933" s="14" t="str">
        <f>IFERROR(_xlfn.TEXTJOIN("-", TRUE, _xlfn.XLOOKUP(K2933, product_category_id_lookup!$A$2:$A$5, product_category_id_lookup!$B$2:$B$5), B2933), "Unknown Category")</f>
        <v>fnt-1068</v>
      </c>
      <c r="D2933" s="8">
        <v>45563</v>
      </c>
      <c r="E2933" s="14">
        <f t="shared" si="135"/>
        <v>2024</v>
      </c>
      <c r="F2933" s="29" t="str">
        <f t="shared" si="136"/>
        <v>Sep</v>
      </c>
      <c r="G2933" s="17" t="s">
        <v>22</v>
      </c>
      <c r="H2933" s="17" t="s">
        <v>15</v>
      </c>
      <c r="I2933" s="24">
        <v>6227.3684515585646</v>
      </c>
      <c r="J2933" s="32">
        <v>3</v>
      </c>
      <c r="K2933" s="17" t="s">
        <v>16</v>
      </c>
      <c r="L2933" s="24">
        <v>1942.6</v>
      </c>
      <c r="M2933" s="24">
        <v>2116.6799999999998</v>
      </c>
      <c r="N2933" s="34">
        <f>((sales_data_1[[#This Row],[Unit_Price]]*(1-sales_data_1[[#This Row],[Discount]]))-sales_data_1[[#This Row],[Unit_Cost]])*sales_data_1[[#This Row],[Quantity_Sold]]</f>
        <v>395.23919999999998</v>
      </c>
      <c r="O2933" s="17" t="s">
        <v>17</v>
      </c>
      <c r="P2933" s="26">
        <v>0.02</v>
      </c>
      <c r="Q2933" s="17" t="s">
        <v>25</v>
      </c>
      <c r="R2933" s="17" t="s">
        <v>19</v>
      </c>
      <c r="S2933" s="50" t="str">
        <f t="shared" si="137"/>
        <v>David-North</v>
      </c>
      <c r="T2933" s="59" t="str">
        <f>IF(ROUND(sales_data_1[[#This Row],[Profit_Margin]],2)=ROUND((sales_data_1[[#This Row],[Unit_Price]]*(1-sales_data_1[[#This Row],[Discount]]) - sales_data_1[[#This Row],[Unit_Cost]])*sales_data_1[[#This Row],[Quantity_Sold]],2), "PASS", "CHECK")</f>
        <v>PASS</v>
      </c>
    </row>
    <row r="2934" spans="1:20" x14ac:dyDescent="0.35">
      <c r="A2934" s="7">
        <v>2933</v>
      </c>
      <c r="B2934" s="9">
        <v>1078</v>
      </c>
      <c r="C2934" s="14" t="str">
        <f>IFERROR(_xlfn.TEXTJOIN("-", TRUE, _xlfn.XLOOKUP(K2934, product_category_id_lookup!$A$2:$A$5, product_category_id_lookup!$B$2:$B$5), B2934), "Unknown Category")</f>
        <v>fnt-1078</v>
      </c>
      <c r="D2934" s="8">
        <v>45563</v>
      </c>
      <c r="E2934" s="14">
        <f t="shared" si="135"/>
        <v>2024</v>
      </c>
      <c r="F2934" s="29" t="str">
        <f t="shared" si="136"/>
        <v>Sep</v>
      </c>
      <c r="G2934" s="17" t="s">
        <v>22</v>
      </c>
      <c r="H2934" s="17" t="s">
        <v>15</v>
      </c>
      <c r="I2934" s="24">
        <v>51963.119000000006</v>
      </c>
      <c r="J2934" s="32">
        <v>19</v>
      </c>
      <c r="K2934" s="17" t="s">
        <v>16</v>
      </c>
      <c r="L2934" s="24">
        <v>1659.98</v>
      </c>
      <c r="M2934" s="24">
        <v>3461.9</v>
      </c>
      <c r="N2934" s="34">
        <f>((sales_data_1[[#This Row],[Unit_Price]]*(1-sales_data_1[[#This Row],[Discount]]))-sales_data_1[[#This Row],[Unit_Cost]])*sales_data_1[[#This Row],[Quantity_Sold]]</f>
        <v>20423.499000000003</v>
      </c>
      <c r="O2934" s="17" t="s">
        <v>27</v>
      </c>
      <c r="P2934" s="26">
        <v>0.21</v>
      </c>
      <c r="Q2934" s="17" t="s">
        <v>28</v>
      </c>
      <c r="R2934" s="17" t="s">
        <v>19</v>
      </c>
      <c r="S2934" s="50" t="str">
        <f t="shared" si="137"/>
        <v>David-North</v>
      </c>
      <c r="T2934" s="59" t="str">
        <f>IF(ROUND(sales_data_1[[#This Row],[Profit_Margin]],2)=ROUND((sales_data_1[[#This Row],[Unit_Price]]*(1-sales_data_1[[#This Row],[Discount]]) - sales_data_1[[#This Row],[Unit_Cost]])*sales_data_1[[#This Row],[Quantity_Sold]],2), "PASS", "CHECK")</f>
        <v>PASS</v>
      </c>
    </row>
    <row r="2935" spans="1:20" x14ac:dyDescent="0.35">
      <c r="A2935" s="7">
        <v>2934</v>
      </c>
      <c r="B2935" s="9">
        <v>1088</v>
      </c>
      <c r="C2935" s="14" t="str">
        <f>IFERROR(_xlfn.TEXTJOIN("-", TRUE, _xlfn.XLOOKUP(K2935, product_category_id_lookup!$A$2:$A$5, product_category_id_lookup!$B$2:$B$5), B2935), "Unknown Category")</f>
        <v>ctg-1088</v>
      </c>
      <c r="D2935" s="8">
        <v>45563</v>
      </c>
      <c r="E2935" s="14">
        <f t="shared" si="135"/>
        <v>2024</v>
      </c>
      <c r="F2935" s="29" t="str">
        <f t="shared" si="136"/>
        <v>Sep</v>
      </c>
      <c r="G2935" s="17" t="s">
        <v>33</v>
      </c>
      <c r="H2935" s="17" t="s">
        <v>30</v>
      </c>
      <c r="I2935" s="24">
        <v>127050.29659999999</v>
      </c>
      <c r="J2935" s="32">
        <v>37</v>
      </c>
      <c r="K2935" s="17" t="s">
        <v>26</v>
      </c>
      <c r="L2935" s="24">
        <v>2088.19</v>
      </c>
      <c r="M2935" s="24">
        <v>3652.97</v>
      </c>
      <c r="N2935" s="34">
        <f>((sales_data_1[[#This Row],[Unit_Price]]*(1-sales_data_1[[#This Row],[Discount]]))-sales_data_1[[#This Row],[Unit_Cost]])*sales_data_1[[#This Row],[Quantity_Sold]]</f>
        <v>49787.266599999981</v>
      </c>
      <c r="O2935" s="17" t="s">
        <v>17</v>
      </c>
      <c r="P2935" s="26">
        <v>0.06</v>
      </c>
      <c r="Q2935" s="17" t="s">
        <v>28</v>
      </c>
      <c r="R2935" s="17" t="s">
        <v>19</v>
      </c>
      <c r="S2935" s="50" t="str">
        <f t="shared" si="137"/>
        <v>Alice-East</v>
      </c>
      <c r="T2935" s="59" t="str">
        <f>IF(ROUND(sales_data_1[[#This Row],[Profit_Margin]],2)=ROUND((sales_data_1[[#This Row],[Unit_Price]]*(1-sales_data_1[[#This Row],[Discount]]) - sales_data_1[[#This Row],[Unit_Cost]])*sales_data_1[[#This Row],[Quantity_Sold]],2), "PASS", "CHECK")</f>
        <v>PASS</v>
      </c>
    </row>
    <row r="2936" spans="1:20" x14ac:dyDescent="0.35">
      <c r="A2936" s="7">
        <v>2935</v>
      </c>
      <c r="B2936" s="9">
        <v>1039</v>
      </c>
      <c r="C2936" s="14" t="str">
        <f>IFERROR(_xlfn.TEXTJOIN("-", TRUE, _xlfn.XLOOKUP(K2936, product_category_id_lookup!$A$2:$A$5, product_category_id_lookup!$B$2:$B$5), B2936), "Unknown Category")</f>
        <v>fd-1039</v>
      </c>
      <c r="D2936" s="8">
        <v>45563</v>
      </c>
      <c r="E2936" s="14">
        <f t="shared" si="135"/>
        <v>2024</v>
      </c>
      <c r="F2936" s="29" t="str">
        <f t="shared" si="136"/>
        <v>Sep</v>
      </c>
      <c r="G2936" s="17" t="s">
        <v>29</v>
      </c>
      <c r="H2936" s="17" t="s">
        <v>30</v>
      </c>
      <c r="I2936" s="24">
        <v>91714.946400000001</v>
      </c>
      <c r="J2936" s="32">
        <v>22</v>
      </c>
      <c r="K2936" s="17" t="s">
        <v>24</v>
      </c>
      <c r="L2936" s="24">
        <v>152.66</v>
      </c>
      <c r="M2936" s="24">
        <v>4962.93</v>
      </c>
      <c r="N2936" s="34">
        <f>((sales_data_1[[#This Row],[Unit_Price]]*(1-sales_data_1[[#This Row],[Discount]]))-sales_data_1[[#This Row],[Unit_Cost]])*sales_data_1[[#This Row],[Quantity_Sold]]</f>
        <v>88356.426400000011</v>
      </c>
      <c r="O2936" s="17" t="s">
        <v>27</v>
      </c>
      <c r="P2936" s="26">
        <v>0.16</v>
      </c>
      <c r="Q2936" s="17" t="s">
        <v>28</v>
      </c>
      <c r="R2936" s="17" t="s">
        <v>21</v>
      </c>
      <c r="S2936" s="50" t="str">
        <f t="shared" si="137"/>
        <v>Charlie-East</v>
      </c>
      <c r="T2936" s="59" t="str">
        <f>IF(ROUND(sales_data_1[[#This Row],[Profit_Margin]],2)=ROUND((sales_data_1[[#This Row],[Unit_Price]]*(1-sales_data_1[[#This Row],[Discount]]) - sales_data_1[[#This Row],[Unit_Cost]])*sales_data_1[[#This Row],[Quantity_Sold]],2), "PASS", "CHECK")</f>
        <v>PASS</v>
      </c>
    </row>
    <row r="2937" spans="1:20" x14ac:dyDescent="0.35">
      <c r="A2937" s="7">
        <v>2936</v>
      </c>
      <c r="B2937" s="9">
        <v>1083</v>
      </c>
      <c r="C2937" s="14" t="str">
        <f>IFERROR(_xlfn.TEXTJOIN("-", TRUE, _xlfn.XLOOKUP(K2937, product_category_id_lookup!$A$2:$A$5, product_category_id_lookup!$B$2:$B$5), B2937), "Unknown Category")</f>
        <v>fd-1083</v>
      </c>
      <c r="D2937" s="8">
        <v>45563</v>
      </c>
      <c r="E2937" s="14">
        <f t="shared" si="135"/>
        <v>2024</v>
      </c>
      <c r="F2937" s="29" t="str">
        <f t="shared" si="136"/>
        <v>Sep</v>
      </c>
      <c r="G2937" s="17" t="s">
        <v>22</v>
      </c>
      <c r="H2937" s="17" t="s">
        <v>23</v>
      </c>
      <c r="I2937" s="24">
        <v>185095.43549999999</v>
      </c>
      <c r="J2937" s="32">
        <v>45</v>
      </c>
      <c r="K2937" s="17" t="s">
        <v>24</v>
      </c>
      <c r="L2937" s="24">
        <v>227.39</v>
      </c>
      <c r="M2937" s="24">
        <v>4422.83</v>
      </c>
      <c r="N2937" s="34">
        <f>((sales_data_1[[#This Row],[Unit_Price]]*(1-sales_data_1[[#This Row],[Discount]]))-sales_data_1[[#This Row],[Unit_Cost]])*sales_data_1[[#This Row],[Quantity_Sold]]</f>
        <v>174862.8855</v>
      </c>
      <c r="O2937" s="17" t="s">
        <v>27</v>
      </c>
      <c r="P2937" s="26">
        <v>7.0000000000000007E-2</v>
      </c>
      <c r="Q2937" s="17" t="s">
        <v>18</v>
      </c>
      <c r="R2937" s="17" t="s">
        <v>19</v>
      </c>
      <c r="S2937" s="50" t="str">
        <f t="shared" si="137"/>
        <v>David-South</v>
      </c>
      <c r="T2937" s="59" t="str">
        <f>IF(ROUND(sales_data_1[[#This Row],[Profit_Margin]],2)=ROUND((sales_data_1[[#This Row],[Unit_Price]]*(1-sales_data_1[[#This Row],[Discount]]) - sales_data_1[[#This Row],[Unit_Cost]])*sales_data_1[[#This Row],[Quantity_Sold]],2), "PASS", "CHECK")</f>
        <v>PASS</v>
      </c>
    </row>
    <row r="2938" spans="1:20" x14ac:dyDescent="0.35">
      <c r="A2938" s="7">
        <v>2937</v>
      </c>
      <c r="B2938" s="9">
        <v>1024</v>
      </c>
      <c r="C2938" s="14" t="str">
        <f>IFERROR(_xlfn.TEXTJOIN("-", TRUE, _xlfn.XLOOKUP(K2938, product_category_id_lookup!$A$2:$A$5, product_category_id_lookup!$B$2:$B$5), B2938), "Unknown Category")</f>
        <v>etc-1024</v>
      </c>
      <c r="D2938" s="8">
        <v>45564</v>
      </c>
      <c r="E2938" s="14">
        <f t="shared" si="135"/>
        <v>2024</v>
      </c>
      <c r="F2938" s="29" t="str">
        <f t="shared" si="136"/>
        <v>Sep</v>
      </c>
      <c r="G2938" s="17" t="s">
        <v>14</v>
      </c>
      <c r="H2938" s="17" t="s">
        <v>30</v>
      </c>
      <c r="I2938" s="24">
        <v>2918.6783999999998</v>
      </c>
      <c r="J2938" s="32">
        <v>1</v>
      </c>
      <c r="K2938" s="17" t="s">
        <v>31</v>
      </c>
      <c r="L2938" s="24">
        <v>385.25</v>
      </c>
      <c r="M2938" s="24">
        <v>3944.16</v>
      </c>
      <c r="N2938" s="34">
        <f>((sales_data_1[[#This Row],[Unit_Price]]*(1-sales_data_1[[#This Row],[Discount]]))-sales_data_1[[#This Row],[Unit_Cost]])*sales_data_1[[#This Row],[Quantity_Sold]]</f>
        <v>2533.4283999999998</v>
      </c>
      <c r="O2938" s="17" t="s">
        <v>27</v>
      </c>
      <c r="P2938" s="26">
        <v>0.26</v>
      </c>
      <c r="Q2938" s="17" t="s">
        <v>28</v>
      </c>
      <c r="R2938" s="17" t="s">
        <v>19</v>
      </c>
      <c r="S2938" s="50" t="str">
        <f t="shared" si="137"/>
        <v>Bob-East</v>
      </c>
      <c r="T2938" s="59" t="str">
        <f>IF(ROUND(sales_data_1[[#This Row],[Profit_Margin]],2)=ROUND((sales_data_1[[#This Row],[Unit_Price]]*(1-sales_data_1[[#This Row],[Discount]]) - sales_data_1[[#This Row],[Unit_Cost]])*sales_data_1[[#This Row],[Quantity_Sold]],2), "PASS", "CHECK")</f>
        <v>PASS</v>
      </c>
    </row>
    <row r="2939" spans="1:20" x14ac:dyDescent="0.35">
      <c r="A2939" s="7">
        <v>2938</v>
      </c>
      <c r="B2939" s="9">
        <v>1092</v>
      </c>
      <c r="C2939" s="14" t="str">
        <f>IFERROR(_xlfn.TEXTJOIN("-", TRUE, _xlfn.XLOOKUP(K2939, product_category_id_lookup!$A$2:$A$5, product_category_id_lookup!$B$2:$B$5), B2939), "Unknown Category")</f>
        <v>ctg-1092</v>
      </c>
      <c r="D2939" s="8">
        <v>45564</v>
      </c>
      <c r="E2939" s="14">
        <f t="shared" si="135"/>
        <v>2024</v>
      </c>
      <c r="F2939" s="29" t="str">
        <f t="shared" si="136"/>
        <v>Sep</v>
      </c>
      <c r="G2939" s="17" t="s">
        <v>14</v>
      </c>
      <c r="H2939" s="17" t="s">
        <v>30</v>
      </c>
      <c r="I2939" s="24">
        <v>27240.153600000001</v>
      </c>
      <c r="J2939" s="32">
        <v>8</v>
      </c>
      <c r="K2939" s="17" t="s">
        <v>26</v>
      </c>
      <c r="L2939" s="24">
        <v>1918.18</v>
      </c>
      <c r="M2939" s="24">
        <v>3869.34</v>
      </c>
      <c r="N2939" s="34">
        <f>((sales_data_1[[#This Row],[Unit_Price]]*(1-sales_data_1[[#This Row],[Discount]]))-sales_data_1[[#This Row],[Unit_Cost]])*sales_data_1[[#This Row],[Quantity_Sold]]</f>
        <v>11894.713600000001</v>
      </c>
      <c r="O2939" s="17" t="s">
        <v>27</v>
      </c>
      <c r="P2939" s="26">
        <v>0.12</v>
      </c>
      <c r="Q2939" s="17" t="s">
        <v>25</v>
      </c>
      <c r="R2939" s="17" t="s">
        <v>19</v>
      </c>
      <c r="S2939" s="50" t="str">
        <f t="shared" si="137"/>
        <v>Bob-East</v>
      </c>
      <c r="T2939" s="59" t="str">
        <f>IF(ROUND(sales_data_1[[#This Row],[Profit_Margin]],2)=ROUND((sales_data_1[[#This Row],[Unit_Price]]*(1-sales_data_1[[#This Row],[Discount]]) - sales_data_1[[#This Row],[Unit_Cost]])*sales_data_1[[#This Row],[Quantity_Sold]],2), "PASS", "CHECK")</f>
        <v>PASS</v>
      </c>
    </row>
    <row r="2940" spans="1:20" x14ac:dyDescent="0.35">
      <c r="A2940" s="7">
        <v>2939</v>
      </c>
      <c r="B2940" s="9">
        <v>1090</v>
      </c>
      <c r="C2940" s="14" t="str">
        <f>IFERROR(_xlfn.TEXTJOIN("-", TRUE, _xlfn.XLOOKUP(K2940, product_category_id_lookup!$A$2:$A$5, product_category_id_lookup!$B$2:$B$5), B2940), "Unknown Category")</f>
        <v>ctg-1090</v>
      </c>
      <c r="D2940" s="8">
        <v>45564</v>
      </c>
      <c r="E2940" s="14">
        <f t="shared" si="135"/>
        <v>2024</v>
      </c>
      <c r="F2940" s="29" t="str">
        <f t="shared" si="136"/>
        <v>Sep</v>
      </c>
      <c r="G2940" s="17" t="s">
        <v>32</v>
      </c>
      <c r="H2940" s="17" t="s">
        <v>15</v>
      </c>
      <c r="I2940" s="24">
        <v>151366.71480000002</v>
      </c>
      <c r="J2940" s="32">
        <v>38</v>
      </c>
      <c r="K2940" s="17" t="s">
        <v>26</v>
      </c>
      <c r="L2940" s="24">
        <v>2824.4</v>
      </c>
      <c r="M2940" s="24">
        <v>4237.59</v>
      </c>
      <c r="N2940" s="34">
        <f>((sales_data_1[[#This Row],[Unit_Price]]*(1-sales_data_1[[#This Row],[Discount]]))-sales_data_1[[#This Row],[Unit_Cost]])*sales_data_1[[#This Row],[Quantity_Sold]]</f>
        <v>44039.514800000004</v>
      </c>
      <c r="O2940" s="17" t="s">
        <v>17</v>
      </c>
      <c r="P2940" s="26">
        <v>0.06</v>
      </c>
      <c r="Q2940" s="17" t="s">
        <v>18</v>
      </c>
      <c r="R2940" s="17" t="s">
        <v>21</v>
      </c>
      <c r="S2940" s="50" t="str">
        <f t="shared" si="137"/>
        <v>Eve-North</v>
      </c>
      <c r="T2940" s="59" t="str">
        <f>IF(ROUND(sales_data_1[[#This Row],[Profit_Margin]],2)=ROUND((sales_data_1[[#This Row],[Unit_Price]]*(1-sales_data_1[[#This Row],[Discount]]) - sales_data_1[[#This Row],[Unit_Cost]])*sales_data_1[[#This Row],[Quantity_Sold]],2), "PASS", "CHECK")</f>
        <v>PASS</v>
      </c>
    </row>
    <row r="2941" spans="1:20" x14ac:dyDescent="0.35">
      <c r="A2941" s="7">
        <v>2940</v>
      </c>
      <c r="B2941" s="9">
        <v>1076</v>
      </c>
      <c r="C2941" s="14" t="str">
        <f>IFERROR(_xlfn.TEXTJOIN("-", TRUE, _xlfn.XLOOKUP(K2941, product_category_id_lookup!$A$2:$A$5, product_category_id_lookup!$B$2:$B$5), B2941), "Unknown Category")</f>
        <v>etc-1076</v>
      </c>
      <c r="D2941" s="8">
        <v>45565</v>
      </c>
      <c r="E2941" s="14">
        <f t="shared" si="135"/>
        <v>2024</v>
      </c>
      <c r="F2941" s="29" t="str">
        <f t="shared" si="136"/>
        <v>Sep</v>
      </c>
      <c r="G2941" s="17" t="s">
        <v>14</v>
      </c>
      <c r="H2941" s="17" t="s">
        <v>20</v>
      </c>
      <c r="I2941" s="24">
        <v>1629.8981495879516</v>
      </c>
      <c r="J2941" s="32">
        <v>2</v>
      </c>
      <c r="K2941" s="17" t="s">
        <v>31</v>
      </c>
      <c r="L2941" s="24">
        <v>755.02</v>
      </c>
      <c r="M2941" s="24">
        <v>829.39</v>
      </c>
      <c r="N2941" s="34">
        <f>((sales_data_1[[#This Row],[Unit_Price]]*(1-sales_data_1[[#This Row],[Discount]]))-sales_data_1[[#This Row],[Unit_Cost]])*sales_data_1[[#This Row],[Quantity_Sold]]</f>
        <v>115.56439999999998</v>
      </c>
      <c r="O2941" s="17" t="s">
        <v>17</v>
      </c>
      <c r="P2941" s="26">
        <v>0.02</v>
      </c>
      <c r="Q2941" s="17" t="s">
        <v>25</v>
      </c>
      <c r="R2941" s="17" t="s">
        <v>21</v>
      </c>
      <c r="S2941" s="50" t="str">
        <f t="shared" si="137"/>
        <v>Bob-West</v>
      </c>
      <c r="T2941" s="59" t="str">
        <f>IF(ROUND(sales_data_1[[#This Row],[Profit_Margin]],2)=ROUND((sales_data_1[[#This Row],[Unit_Price]]*(1-sales_data_1[[#This Row],[Discount]]) - sales_data_1[[#This Row],[Unit_Cost]])*sales_data_1[[#This Row],[Quantity_Sold]],2), "PASS", "CHECK")</f>
        <v>PASS</v>
      </c>
    </row>
    <row r="2942" spans="1:20" x14ac:dyDescent="0.35">
      <c r="A2942" s="7">
        <v>2941</v>
      </c>
      <c r="B2942" s="9">
        <v>1001</v>
      </c>
      <c r="C2942" s="14" t="str">
        <f>IFERROR(_xlfn.TEXTJOIN("-", TRUE, _xlfn.XLOOKUP(K2942, product_category_id_lookup!$A$2:$A$5, product_category_id_lookup!$B$2:$B$5), B2942), "Unknown Category")</f>
        <v>etc-1001</v>
      </c>
      <c r="D2942" s="8">
        <v>45565</v>
      </c>
      <c r="E2942" s="14">
        <f t="shared" si="135"/>
        <v>2024</v>
      </c>
      <c r="F2942" s="29" t="str">
        <f t="shared" si="136"/>
        <v>Sep</v>
      </c>
      <c r="G2942" s="17" t="s">
        <v>32</v>
      </c>
      <c r="H2942" s="17" t="s">
        <v>30</v>
      </c>
      <c r="I2942" s="24">
        <v>21689.892</v>
      </c>
      <c r="J2942" s="32">
        <v>6</v>
      </c>
      <c r="K2942" s="17" t="s">
        <v>31</v>
      </c>
      <c r="L2942" s="24">
        <v>2792</v>
      </c>
      <c r="M2942" s="24">
        <v>5164.26</v>
      </c>
      <c r="N2942" s="34">
        <f>((sales_data_1[[#This Row],[Unit_Price]]*(1-sales_data_1[[#This Row],[Discount]]))-sales_data_1[[#This Row],[Unit_Cost]])*sales_data_1[[#This Row],[Quantity_Sold]]</f>
        <v>4937.8919999999998</v>
      </c>
      <c r="O2942" s="17" t="s">
        <v>27</v>
      </c>
      <c r="P2942" s="26">
        <v>0.3</v>
      </c>
      <c r="Q2942" s="17" t="s">
        <v>28</v>
      </c>
      <c r="R2942" s="17" t="s">
        <v>19</v>
      </c>
      <c r="S2942" s="50" t="str">
        <f t="shared" si="137"/>
        <v>Eve-East</v>
      </c>
      <c r="T2942" s="59" t="str">
        <f>IF(ROUND(sales_data_1[[#This Row],[Profit_Margin]],2)=ROUND((sales_data_1[[#This Row],[Unit_Price]]*(1-sales_data_1[[#This Row],[Discount]]) - sales_data_1[[#This Row],[Unit_Cost]])*sales_data_1[[#This Row],[Quantity_Sold]],2), "PASS", "CHECK")</f>
        <v>PASS</v>
      </c>
    </row>
    <row r="2943" spans="1:20" x14ac:dyDescent="0.35">
      <c r="A2943" s="7">
        <v>2942</v>
      </c>
      <c r="B2943" s="9">
        <v>1021</v>
      </c>
      <c r="C2943" s="14" t="str">
        <f>IFERROR(_xlfn.TEXTJOIN("-", TRUE, _xlfn.XLOOKUP(K2943, product_category_id_lookup!$A$2:$A$5, product_category_id_lookup!$B$2:$B$5), B2943), "Unknown Category")</f>
        <v>fd-1021</v>
      </c>
      <c r="D2943" s="8">
        <v>45565</v>
      </c>
      <c r="E2943" s="14">
        <f t="shared" si="135"/>
        <v>2024</v>
      </c>
      <c r="F2943" s="29" t="str">
        <f t="shared" si="136"/>
        <v>Sep</v>
      </c>
      <c r="G2943" s="17" t="s">
        <v>29</v>
      </c>
      <c r="H2943" s="17" t="s">
        <v>23</v>
      </c>
      <c r="I2943" s="24">
        <v>21035.283500000001</v>
      </c>
      <c r="J2943" s="32">
        <v>5</v>
      </c>
      <c r="K2943" s="17" t="s">
        <v>24</v>
      </c>
      <c r="L2943" s="24">
        <v>1532.14</v>
      </c>
      <c r="M2943" s="24">
        <v>4727.03</v>
      </c>
      <c r="N2943" s="34">
        <f>((sales_data_1[[#This Row],[Unit_Price]]*(1-sales_data_1[[#This Row],[Discount]]))-sales_data_1[[#This Row],[Unit_Cost]])*sales_data_1[[#This Row],[Quantity_Sold]]</f>
        <v>13374.583499999999</v>
      </c>
      <c r="O2943" s="17" t="s">
        <v>17</v>
      </c>
      <c r="P2943" s="26">
        <v>0.11</v>
      </c>
      <c r="Q2943" s="17" t="s">
        <v>18</v>
      </c>
      <c r="R2943" s="17" t="s">
        <v>19</v>
      </c>
      <c r="S2943" s="50" t="str">
        <f t="shared" si="137"/>
        <v>Charlie-South</v>
      </c>
      <c r="T2943" s="59" t="str">
        <f>IF(ROUND(sales_data_1[[#This Row],[Profit_Margin]],2)=ROUND((sales_data_1[[#This Row],[Unit_Price]]*(1-sales_data_1[[#This Row],[Discount]]) - sales_data_1[[#This Row],[Unit_Cost]])*sales_data_1[[#This Row],[Quantity_Sold]],2), "PASS", "CHECK")</f>
        <v>PASS</v>
      </c>
    </row>
    <row r="2944" spans="1:20" x14ac:dyDescent="0.35">
      <c r="A2944" s="7">
        <v>2943</v>
      </c>
      <c r="B2944" s="9">
        <v>1085</v>
      </c>
      <c r="C2944" s="14" t="str">
        <f>IFERROR(_xlfn.TEXTJOIN("-", TRUE, _xlfn.XLOOKUP(K2944, product_category_id_lookup!$A$2:$A$5, product_category_id_lookup!$B$2:$B$5), B2944), "Unknown Category")</f>
        <v>fnt-1085</v>
      </c>
      <c r="D2944" s="8">
        <v>45565</v>
      </c>
      <c r="E2944" s="14">
        <f t="shared" si="135"/>
        <v>2024</v>
      </c>
      <c r="F2944" s="29" t="str">
        <f t="shared" si="136"/>
        <v>Sep</v>
      </c>
      <c r="G2944" s="17" t="s">
        <v>33</v>
      </c>
      <c r="H2944" s="17" t="s">
        <v>20</v>
      </c>
      <c r="I2944" s="24">
        <v>88592.95</v>
      </c>
      <c r="J2944" s="32">
        <v>25</v>
      </c>
      <c r="K2944" s="17" t="s">
        <v>16</v>
      </c>
      <c r="L2944" s="24">
        <v>2371.1</v>
      </c>
      <c r="M2944" s="24">
        <v>4169.08</v>
      </c>
      <c r="N2944" s="34">
        <f>((sales_data_1[[#This Row],[Unit_Price]]*(1-sales_data_1[[#This Row],[Discount]]))-sales_data_1[[#This Row],[Unit_Cost]])*sales_data_1[[#This Row],[Quantity_Sold]]</f>
        <v>29315.449999999997</v>
      </c>
      <c r="O2944" s="17" t="s">
        <v>17</v>
      </c>
      <c r="P2944" s="26">
        <v>0.15</v>
      </c>
      <c r="Q2944" s="17" t="s">
        <v>18</v>
      </c>
      <c r="R2944" s="17" t="s">
        <v>19</v>
      </c>
      <c r="S2944" s="50" t="str">
        <f t="shared" si="137"/>
        <v>Alice-West</v>
      </c>
      <c r="T2944" s="59" t="str">
        <f>IF(ROUND(sales_data_1[[#This Row],[Profit_Margin]],2)=ROUND((sales_data_1[[#This Row],[Unit_Price]]*(1-sales_data_1[[#This Row],[Discount]]) - sales_data_1[[#This Row],[Unit_Cost]])*sales_data_1[[#This Row],[Quantity_Sold]],2), "PASS", "CHECK")</f>
        <v>PASS</v>
      </c>
    </row>
    <row r="2945" spans="1:20" x14ac:dyDescent="0.35">
      <c r="A2945" s="7">
        <v>2944</v>
      </c>
      <c r="B2945" s="9">
        <v>1053</v>
      </c>
      <c r="C2945" s="14" t="str">
        <f>IFERROR(_xlfn.TEXTJOIN("-", TRUE, _xlfn.XLOOKUP(K2945, product_category_id_lookup!$A$2:$A$5, product_category_id_lookup!$B$2:$B$5), B2945), "Unknown Category")</f>
        <v>fd-1053</v>
      </c>
      <c r="D2945" s="8">
        <v>45565</v>
      </c>
      <c r="E2945" s="14">
        <f t="shared" si="135"/>
        <v>2024</v>
      </c>
      <c r="F2945" s="29" t="str">
        <f t="shared" si="136"/>
        <v>Sep</v>
      </c>
      <c r="G2945" s="17" t="s">
        <v>22</v>
      </c>
      <c r="H2945" s="17" t="s">
        <v>15</v>
      </c>
      <c r="I2945" s="24">
        <v>69772.374000000011</v>
      </c>
      <c r="J2945" s="32">
        <v>15</v>
      </c>
      <c r="K2945" s="17" t="s">
        <v>24</v>
      </c>
      <c r="L2945" s="24">
        <v>1476.76</v>
      </c>
      <c r="M2945" s="24">
        <v>4746.42</v>
      </c>
      <c r="N2945" s="34">
        <f>((sales_data_1[[#This Row],[Unit_Price]]*(1-sales_data_1[[#This Row],[Discount]]))-sales_data_1[[#This Row],[Unit_Cost]])*sales_data_1[[#This Row],[Quantity_Sold]]</f>
        <v>47620.974000000002</v>
      </c>
      <c r="O2945" s="17" t="s">
        <v>27</v>
      </c>
      <c r="P2945" s="26">
        <v>0.02</v>
      </c>
      <c r="Q2945" s="17" t="s">
        <v>25</v>
      </c>
      <c r="R2945" s="17" t="s">
        <v>21</v>
      </c>
      <c r="S2945" s="50" t="str">
        <f t="shared" si="137"/>
        <v>David-North</v>
      </c>
      <c r="T2945" s="59" t="str">
        <f>IF(ROUND(sales_data_1[[#This Row],[Profit_Margin]],2)=ROUND((sales_data_1[[#This Row],[Unit_Price]]*(1-sales_data_1[[#This Row],[Discount]]) - sales_data_1[[#This Row],[Unit_Cost]])*sales_data_1[[#This Row],[Quantity_Sold]],2), "PASS", "CHECK")</f>
        <v>PASS</v>
      </c>
    </row>
    <row r="2946" spans="1:20" x14ac:dyDescent="0.35">
      <c r="A2946" s="7">
        <v>2945</v>
      </c>
      <c r="B2946" s="9">
        <v>1077</v>
      </c>
      <c r="C2946" s="14" t="str">
        <f>IFERROR(_xlfn.TEXTJOIN("-", TRUE, _xlfn.XLOOKUP(K2946, product_category_id_lookup!$A$2:$A$5, product_category_id_lookup!$B$2:$B$5), B2946), "Unknown Category")</f>
        <v>ctg-1077</v>
      </c>
      <c r="D2946" s="8">
        <v>45565</v>
      </c>
      <c r="E2946" s="14">
        <f t="shared" ref="E2946:E3009" si="138">YEAR(D2946)</f>
        <v>2024</v>
      </c>
      <c r="F2946" s="29" t="str">
        <f t="shared" ref="F2946:F3009" si="139">LEFT(TEXT(D2946,"mmmm"),3)</f>
        <v>Sep</v>
      </c>
      <c r="G2946" s="17" t="s">
        <v>32</v>
      </c>
      <c r="H2946" s="17" t="s">
        <v>20</v>
      </c>
      <c r="I2946" s="24">
        <v>85648.982399999994</v>
      </c>
      <c r="J2946" s="32">
        <v>46</v>
      </c>
      <c r="K2946" s="17" t="s">
        <v>26</v>
      </c>
      <c r="L2946" s="24">
        <v>317.32</v>
      </c>
      <c r="M2946" s="24">
        <v>1919.52</v>
      </c>
      <c r="N2946" s="34">
        <f>((sales_data_1[[#This Row],[Unit_Price]]*(1-sales_data_1[[#This Row],[Discount]]))-sales_data_1[[#This Row],[Unit_Cost]])*sales_data_1[[#This Row],[Quantity_Sold]]</f>
        <v>71052.262399999992</v>
      </c>
      <c r="O2946" s="17" t="s">
        <v>27</v>
      </c>
      <c r="P2946" s="26">
        <v>0.03</v>
      </c>
      <c r="Q2946" s="17" t="s">
        <v>18</v>
      </c>
      <c r="R2946" s="17" t="s">
        <v>21</v>
      </c>
      <c r="S2946" s="50" t="str">
        <f t="shared" ref="S2946:S3009" si="140">_xlfn.CONCAT(G2946,"-",H2946)</f>
        <v>Eve-West</v>
      </c>
      <c r="T2946" s="59" t="str">
        <f>IF(ROUND(sales_data_1[[#This Row],[Profit_Margin]],2)=ROUND((sales_data_1[[#This Row],[Unit_Price]]*(1-sales_data_1[[#This Row],[Discount]]) - sales_data_1[[#This Row],[Unit_Cost]])*sales_data_1[[#This Row],[Quantity_Sold]],2), "PASS", "CHECK")</f>
        <v>PASS</v>
      </c>
    </row>
    <row r="2947" spans="1:20" x14ac:dyDescent="0.35">
      <c r="A2947" s="7">
        <v>2946</v>
      </c>
      <c r="B2947" s="9">
        <v>1099</v>
      </c>
      <c r="C2947" s="14" t="str">
        <f>IFERROR(_xlfn.TEXTJOIN("-", TRUE, _xlfn.XLOOKUP(K2947, product_category_id_lookup!$A$2:$A$5, product_category_id_lookup!$B$2:$B$5), B2947), "Unknown Category")</f>
        <v>ctg-1099</v>
      </c>
      <c r="D2947" s="8">
        <v>45566</v>
      </c>
      <c r="E2947" s="14">
        <f t="shared" si="138"/>
        <v>2024</v>
      </c>
      <c r="F2947" s="29" t="str">
        <f t="shared" si="139"/>
        <v>Oct</v>
      </c>
      <c r="G2947" s="17" t="s">
        <v>29</v>
      </c>
      <c r="H2947" s="17" t="s">
        <v>20</v>
      </c>
      <c r="I2947" s="24">
        <v>18400.524299999997</v>
      </c>
      <c r="J2947" s="32">
        <v>9</v>
      </c>
      <c r="K2947" s="17" t="s">
        <v>26</v>
      </c>
      <c r="L2947" s="24">
        <v>1544.5</v>
      </c>
      <c r="M2947" s="24">
        <v>2198.39</v>
      </c>
      <c r="N2947" s="34">
        <f>((sales_data_1[[#This Row],[Unit_Price]]*(1-sales_data_1[[#This Row],[Discount]]))-sales_data_1[[#This Row],[Unit_Cost]])*sales_data_1[[#This Row],[Quantity_Sold]]</f>
        <v>4500.0242999999982</v>
      </c>
      <c r="O2947" s="17" t="s">
        <v>27</v>
      </c>
      <c r="P2947" s="26">
        <v>7.0000000000000007E-2</v>
      </c>
      <c r="Q2947" s="17" t="s">
        <v>25</v>
      </c>
      <c r="R2947" s="17" t="s">
        <v>19</v>
      </c>
      <c r="S2947" s="50" t="str">
        <f t="shared" si="140"/>
        <v>Charlie-West</v>
      </c>
      <c r="T2947" s="59" t="str">
        <f>IF(ROUND(sales_data_1[[#This Row],[Profit_Margin]],2)=ROUND((sales_data_1[[#This Row],[Unit_Price]]*(1-sales_data_1[[#This Row],[Discount]]) - sales_data_1[[#This Row],[Unit_Cost]])*sales_data_1[[#This Row],[Quantity_Sold]],2), "PASS", "CHECK")</f>
        <v>PASS</v>
      </c>
    </row>
    <row r="2948" spans="1:20" x14ac:dyDescent="0.35">
      <c r="A2948" s="7">
        <v>2947</v>
      </c>
      <c r="B2948" s="9">
        <v>1088</v>
      </c>
      <c r="C2948" s="14" t="str">
        <f>IFERROR(_xlfn.TEXTJOIN("-", TRUE, _xlfn.XLOOKUP(K2948, product_category_id_lookup!$A$2:$A$5, product_category_id_lookup!$B$2:$B$5), B2948), "Unknown Category")</f>
        <v>fnt-1088</v>
      </c>
      <c r="D2948" s="8">
        <v>45566</v>
      </c>
      <c r="E2948" s="14">
        <f t="shared" si="138"/>
        <v>2024</v>
      </c>
      <c r="F2948" s="29" t="str">
        <f t="shared" si="139"/>
        <v>Oct</v>
      </c>
      <c r="G2948" s="17" t="s">
        <v>29</v>
      </c>
      <c r="H2948" s="17" t="s">
        <v>30</v>
      </c>
      <c r="I2948" s="24">
        <v>82932.203200000004</v>
      </c>
      <c r="J2948" s="32">
        <v>28</v>
      </c>
      <c r="K2948" s="17" t="s">
        <v>16</v>
      </c>
      <c r="L2948" s="24">
        <v>252.73</v>
      </c>
      <c r="M2948" s="24">
        <v>3897.19</v>
      </c>
      <c r="N2948" s="34">
        <f>((sales_data_1[[#This Row],[Unit_Price]]*(1-sales_data_1[[#This Row],[Discount]]))-sales_data_1[[#This Row],[Unit_Cost]])*sales_data_1[[#This Row],[Quantity_Sold]]</f>
        <v>75855.763200000001</v>
      </c>
      <c r="O2948" s="17" t="s">
        <v>27</v>
      </c>
      <c r="P2948" s="26">
        <v>0.24</v>
      </c>
      <c r="Q2948" s="17" t="s">
        <v>28</v>
      </c>
      <c r="R2948" s="17" t="s">
        <v>19</v>
      </c>
      <c r="S2948" s="50" t="str">
        <f t="shared" si="140"/>
        <v>Charlie-East</v>
      </c>
      <c r="T2948" s="59" t="str">
        <f>IF(ROUND(sales_data_1[[#This Row],[Profit_Margin]],2)=ROUND((sales_data_1[[#This Row],[Unit_Price]]*(1-sales_data_1[[#This Row],[Discount]]) - sales_data_1[[#This Row],[Unit_Cost]])*sales_data_1[[#This Row],[Quantity_Sold]],2), "PASS", "CHECK")</f>
        <v>PASS</v>
      </c>
    </row>
    <row r="2949" spans="1:20" x14ac:dyDescent="0.35">
      <c r="A2949" s="7">
        <v>2948</v>
      </c>
      <c r="B2949" s="9">
        <v>1097</v>
      </c>
      <c r="C2949" s="14" t="str">
        <f>IFERROR(_xlfn.TEXTJOIN("-", TRUE, _xlfn.XLOOKUP(K2949, product_category_id_lookup!$A$2:$A$5, product_category_id_lookup!$B$2:$B$5), B2949), "Unknown Category")</f>
        <v>fd-1097</v>
      </c>
      <c r="D2949" s="8">
        <v>45567</v>
      </c>
      <c r="E2949" s="14">
        <f t="shared" si="138"/>
        <v>2024</v>
      </c>
      <c r="F2949" s="29" t="str">
        <f t="shared" si="139"/>
        <v>Oct</v>
      </c>
      <c r="G2949" s="17" t="s">
        <v>22</v>
      </c>
      <c r="H2949" s="17" t="s">
        <v>30</v>
      </c>
      <c r="I2949" s="24">
        <v>205533.77300000002</v>
      </c>
      <c r="J2949" s="32">
        <v>46</v>
      </c>
      <c r="K2949" s="17" t="s">
        <v>24</v>
      </c>
      <c r="L2949" s="24">
        <v>4033.74</v>
      </c>
      <c r="M2949" s="24">
        <v>4703.29</v>
      </c>
      <c r="N2949" s="34">
        <f>((sales_data_1[[#This Row],[Unit_Price]]*(1-sales_data_1[[#This Row],[Discount]]))-sales_data_1[[#This Row],[Unit_Cost]])*sales_data_1[[#This Row],[Quantity_Sold]]</f>
        <v>19981.733000000015</v>
      </c>
      <c r="O2949" s="17" t="s">
        <v>27</v>
      </c>
      <c r="P2949" s="26">
        <v>0.05</v>
      </c>
      <c r="Q2949" s="17" t="s">
        <v>25</v>
      </c>
      <c r="R2949" s="17" t="s">
        <v>19</v>
      </c>
      <c r="S2949" s="50" t="str">
        <f t="shared" si="140"/>
        <v>David-East</v>
      </c>
      <c r="T2949" s="59" t="str">
        <f>IF(ROUND(sales_data_1[[#This Row],[Profit_Margin]],2)=ROUND((sales_data_1[[#This Row],[Unit_Price]]*(1-sales_data_1[[#This Row],[Discount]]) - sales_data_1[[#This Row],[Unit_Cost]])*sales_data_1[[#This Row],[Quantity_Sold]],2), "PASS", "CHECK")</f>
        <v>PASS</v>
      </c>
    </row>
    <row r="2950" spans="1:20" x14ac:dyDescent="0.35">
      <c r="A2950" s="7">
        <v>2949</v>
      </c>
      <c r="B2950" s="9">
        <v>1030</v>
      </c>
      <c r="C2950" s="14" t="str">
        <f>IFERROR(_xlfn.TEXTJOIN("-", TRUE, _xlfn.XLOOKUP(K2950, product_category_id_lookup!$A$2:$A$5, product_category_id_lookup!$B$2:$B$5), B2950), "Unknown Category")</f>
        <v>fd-1030</v>
      </c>
      <c r="D2950" s="8">
        <v>45567</v>
      </c>
      <c r="E2950" s="14">
        <f t="shared" si="138"/>
        <v>2024</v>
      </c>
      <c r="F2950" s="29" t="str">
        <f t="shared" si="139"/>
        <v>Oct</v>
      </c>
      <c r="G2950" s="17" t="s">
        <v>29</v>
      </c>
      <c r="H2950" s="17" t="s">
        <v>30</v>
      </c>
      <c r="I2950" s="24">
        <v>83242.286400000012</v>
      </c>
      <c r="J2950" s="32">
        <v>48</v>
      </c>
      <c r="K2950" s="17" t="s">
        <v>24</v>
      </c>
      <c r="L2950" s="24">
        <v>1135.01</v>
      </c>
      <c r="M2950" s="24">
        <v>1905.73</v>
      </c>
      <c r="N2950" s="34">
        <f>((sales_data_1[[#This Row],[Unit_Price]]*(1-sales_data_1[[#This Row],[Discount]]))-sales_data_1[[#This Row],[Unit_Cost]])*sales_data_1[[#This Row],[Quantity_Sold]]</f>
        <v>28761.806400000005</v>
      </c>
      <c r="O2950" s="17" t="s">
        <v>17</v>
      </c>
      <c r="P2950" s="26">
        <v>0.09</v>
      </c>
      <c r="Q2950" s="17" t="s">
        <v>18</v>
      </c>
      <c r="R2950" s="17" t="s">
        <v>19</v>
      </c>
      <c r="S2950" s="50" t="str">
        <f t="shared" si="140"/>
        <v>Charlie-East</v>
      </c>
      <c r="T2950" s="59" t="str">
        <f>IF(ROUND(sales_data_1[[#This Row],[Profit_Margin]],2)=ROUND((sales_data_1[[#This Row],[Unit_Price]]*(1-sales_data_1[[#This Row],[Discount]]) - sales_data_1[[#This Row],[Unit_Cost]])*sales_data_1[[#This Row],[Quantity_Sold]],2), "PASS", "CHECK")</f>
        <v>PASS</v>
      </c>
    </row>
    <row r="2951" spans="1:20" x14ac:dyDescent="0.35">
      <c r="A2951" s="7">
        <v>2950</v>
      </c>
      <c r="B2951" s="9">
        <v>1090</v>
      </c>
      <c r="C2951" s="14" t="str">
        <f>IFERROR(_xlfn.TEXTJOIN("-", TRUE, _xlfn.XLOOKUP(K2951, product_category_id_lookup!$A$2:$A$5, product_category_id_lookup!$B$2:$B$5), B2951), "Unknown Category")</f>
        <v>ctg-1090</v>
      </c>
      <c r="D2951" s="8">
        <v>45567</v>
      </c>
      <c r="E2951" s="14">
        <f t="shared" si="138"/>
        <v>2024</v>
      </c>
      <c r="F2951" s="29" t="str">
        <f t="shared" si="139"/>
        <v>Oct</v>
      </c>
      <c r="G2951" s="17" t="s">
        <v>33</v>
      </c>
      <c r="H2951" s="17" t="s">
        <v>23</v>
      </c>
      <c r="I2951" s="24">
        <v>63148.995000000003</v>
      </c>
      <c r="J2951" s="32">
        <v>25</v>
      </c>
      <c r="K2951" s="17" t="s">
        <v>26</v>
      </c>
      <c r="L2951" s="24">
        <v>1355.53</v>
      </c>
      <c r="M2951" s="24">
        <v>2775.78</v>
      </c>
      <c r="N2951" s="34">
        <f>((sales_data_1[[#This Row],[Unit_Price]]*(1-sales_data_1[[#This Row],[Discount]]))-sales_data_1[[#This Row],[Unit_Cost]])*sales_data_1[[#This Row],[Quantity_Sold]]</f>
        <v>29260.745000000003</v>
      </c>
      <c r="O2951" s="17" t="s">
        <v>17</v>
      </c>
      <c r="P2951" s="26">
        <v>0.09</v>
      </c>
      <c r="Q2951" s="17" t="s">
        <v>25</v>
      </c>
      <c r="R2951" s="17" t="s">
        <v>21</v>
      </c>
      <c r="S2951" s="50" t="str">
        <f t="shared" si="140"/>
        <v>Alice-South</v>
      </c>
      <c r="T2951" s="59" t="str">
        <f>IF(ROUND(sales_data_1[[#This Row],[Profit_Margin]],2)=ROUND((sales_data_1[[#This Row],[Unit_Price]]*(1-sales_data_1[[#This Row],[Discount]]) - sales_data_1[[#This Row],[Unit_Cost]])*sales_data_1[[#This Row],[Quantity_Sold]],2), "PASS", "CHECK")</f>
        <v>PASS</v>
      </c>
    </row>
    <row r="2952" spans="1:20" x14ac:dyDescent="0.35">
      <c r="A2952" s="7">
        <v>2951</v>
      </c>
      <c r="B2952" s="9">
        <v>1031</v>
      </c>
      <c r="C2952" s="14" t="str">
        <f>IFERROR(_xlfn.TEXTJOIN("-", TRUE, _xlfn.XLOOKUP(K2952, product_category_id_lookup!$A$2:$A$5, product_category_id_lookup!$B$2:$B$5), B2952), "Unknown Category")</f>
        <v>fnt-1031</v>
      </c>
      <c r="D2952" s="8">
        <v>45567</v>
      </c>
      <c r="E2952" s="14">
        <f t="shared" si="138"/>
        <v>2024</v>
      </c>
      <c r="F2952" s="29" t="str">
        <f t="shared" si="139"/>
        <v>Oct</v>
      </c>
      <c r="G2952" s="17" t="s">
        <v>14</v>
      </c>
      <c r="H2952" s="17" t="s">
        <v>20</v>
      </c>
      <c r="I2952" s="24">
        <v>98886.06</v>
      </c>
      <c r="J2952" s="32">
        <v>30</v>
      </c>
      <c r="K2952" s="17" t="s">
        <v>16</v>
      </c>
      <c r="L2952" s="24">
        <v>2186.5500000000002</v>
      </c>
      <c r="M2952" s="24">
        <v>3622.2</v>
      </c>
      <c r="N2952" s="34">
        <f>((sales_data_1[[#This Row],[Unit_Price]]*(1-sales_data_1[[#This Row],[Discount]]))-sales_data_1[[#This Row],[Unit_Cost]])*sales_data_1[[#This Row],[Quantity_Sold]]</f>
        <v>33289.55999999999</v>
      </c>
      <c r="O2952" s="17" t="s">
        <v>27</v>
      </c>
      <c r="P2952" s="26">
        <v>0.09</v>
      </c>
      <c r="Q2952" s="17" t="s">
        <v>28</v>
      </c>
      <c r="R2952" s="17" t="s">
        <v>21</v>
      </c>
      <c r="S2952" s="50" t="str">
        <f t="shared" si="140"/>
        <v>Bob-West</v>
      </c>
      <c r="T2952" s="59" t="str">
        <f>IF(ROUND(sales_data_1[[#This Row],[Profit_Margin]],2)=ROUND((sales_data_1[[#This Row],[Unit_Price]]*(1-sales_data_1[[#This Row],[Discount]]) - sales_data_1[[#This Row],[Unit_Cost]])*sales_data_1[[#This Row],[Quantity_Sold]],2), "PASS", "CHECK")</f>
        <v>PASS</v>
      </c>
    </row>
    <row r="2953" spans="1:20" x14ac:dyDescent="0.35">
      <c r="A2953" s="7">
        <v>2952</v>
      </c>
      <c r="B2953" s="9">
        <v>1070</v>
      </c>
      <c r="C2953" s="14" t="str">
        <f>IFERROR(_xlfn.TEXTJOIN("-", TRUE, _xlfn.XLOOKUP(K2953, product_category_id_lookup!$A$2:$A$5, product_category_id_lookup!$B$2:$B$5), B2953), "Unknown Category")</f>
        <v>ctg-1070</v>
      </c>
      <c r="D2953" s="8">
        <v>45567</v>
      </c>
      <c r="E2953" s="14">
        <f t="shared" si="138"/>
        <v>2024</v>
      </c>
      <c r="F2953" s="29" t="str">
        <f t="shared" si="139"/>
        <v>Oct</v>
      </c>
      <c r="G2953" s="17" t="s">
        <v>32</v>
      </c>
      <c r="H2953" s="17" t="s">
        <v>23</v>
      </c>
      <c r="I2953" s="24">
        <v>108974.92199999999</v>
      </c>
      <c r="J2953" s="32">
        <v>35</v>
      </c>
      <c r="K2953" s="17" t="s">
        <v>26</v>
      </c>
      <c r="L2953" s="24">
        <v>331.88</v>
      </c>
      <c r="M2953" s="24">
        <v>3706.63</v>
      </c>
      <c r="N2953" s="34">
        <f>((sales_data_1[[#This Row],[Unit_Price]]*(1-sales_data_1[[#This Row],[Discount]]))-sales_data_1[[#This Row],[Unit_Cost]])*sales_data_1[[#This Row],[Quantity_Sold]]</f>
        <v>97359.121999999988</v>
      </c>
      <c r="O2953" s="17" t="s">
        <v>17</v>
      </c>
      <c r="P2953" s="26">
        <v>0.16</v>
      </c>
      <c r="Q2953" s="17" t="s">
        <v>18</v>
      </c>
      <c r="R2953" s="17" t="s">
        <v>21</v>
      </c>
      <c r="S2953" s="50" t="str">
        <f t="shared" si="140"/>
        <v>Eve-South</v>
      </c>
      <c r="T2953" s="59" t="str">
        <f>IF(ROUND(sales_data_1[[#This Row],[Profit_Margin]],2)=ROUND((sales_data_1[[#This Row],[Unit_Price]]*(1-sales_data_1[[#This Row],[Discount]]) - sales_data_1[[#This Row],[Unit_Cost]])*sales_data_1[[#This Row],[Quantity_Sold]],2), "PASS", "CHECK")</f>
        <v>PASS</v>
      </c>
    </row>
    <row r="2954" spans="1:20" x14ac:dyDescent="0.35">
      <c r="A2954" s="7">
        <v>2953</v>
      </c>
      <c r="B2954" s="9">
        <v>1024</v>
      </c>
      <c r="C2954" s="14" t="str">
        <f>IFERROR(_xlfn.TEXTJOIN("-", TRUE, _xlfn.XLOOKUP(K2954, product_category_id_lookup!$A$2:$A$5, product_category_id_lookup!$B$2:$B$5), B2954), "Unknown Category")</f>
        <v>ctg-1024</v>
      </c>
      <c r="D2954" s="8">
        <v>45568</v>
      </c>
      <c r="E2954" s="14">
        <f t="shared" si="138"/>
        <v>2024</v>
      </c>
      <c r="F2954" s="29" t="str">
        <f t="shared" si="139"/>
        <v>Oct</v>
      </c>
      <c r="G2954" s="17" t="s">
        <v>32</v>
      </c>
      <c r="H2954" s="17" t="s">
        <v>20</v>
      </c>
      <c r="I2954" s="24">
        <v>67610.665199999989</v>
      </c>
      <c r="J2954" s="32">
        <v>26</v>
      </c>
      <c r="K2954" s="17" t="s">
        <v>26</v>
      </c>
      <c r="L2954" s="24">
        <v>2379.66</v>
      </c>
      <c r="M2954" s="24">
        <v>2796.14</v>
      </c>
      <c r="N2954" s="34">
        <f>((sales_data_1[[#This Row],[Unit_Price]]*(1-sales_data_1[[#This Row],[Discount]]))-sales_data_1[[#This Row],[Unit_Cost]])*sales_data_1[[#This Row],[Quantity_Sold]]</f>
        <v>5739.5051999999987</v>
      </c>
      <c r="O2954" s="17" t="s">
        <v>27</v>
      </c>
      <c r="P2954" s="26">
        <v>7.0000000000000007E-2</v>
      </c>
      <c r="Q2954" s="17" t="s">
        <v>28</v>
      </c>
      <c r="R2954" s="17" t="s">
        <v>21</v>
      </c>
      <c r="S2954" s="50" t="str">
        <f t="shared" si="140"/>
        <v>Eve-West</v>
      </c>
      <c r="T2954" s="59" t="str">
        <f>IF(ROUND(sales_data_1[[#This Row],[Profit_Margin]],2)=ROUND((sales_data_1[[#This Row],[Unit_Price]]*(1-sales_data_1[[#This Row],[Discount]]) - sales_data_1[[#This Row],[Unit_Cost]])*sales_data_1[[#This Row],[Quantity_Sold]],2), "PASS", "CHECK")</f>
        <v>PASS</v>
      </c>
    </row>
    <row r="2955" spans="1:20" x14ac:dyDescent="0.35">
      <c r="A2955" s="7">
        <v>2954</v>
      </c>
      <c r="B2955" s="9">
        <v>1066</v>
      </c>
      <c r="C2955" s="14" t="str">
        <f>IFERROR(_xlfn.TEXTJOIN("-", TRUE, _xlfn.XLOOKUP(K2955, product_category_id_lookup!$A$2:$A$5, product_category_id_lookup!$B$2:$B$5), B2955), "Unknown Category")</f>
        <v>fnt-1066</v>
      </c>
      <c r="D2955" s="8">
        <v>45568</v>
      </c>
      <c r="E2955" s="14">
        <f t="shared" si="138"/>
        <v>2024</v>
      </c>
      <c r="F2955" s="29" t="str">
        <f t="shared" si="139"/>
        <v>Oct</v>
      </c>
      <c r="G2955" s="17" t="s">
        <v>33</v>
      </c>
      <c r="H2955" s="17" t="s">
        <v>15</v>
      </c>
      <c r="I2955" s="24">
        <v>92637.036800000002</v>
      </c>
      <c r="J2955" s="32">
        <v>32</v>
      </c>
      <c r="K2955" s="17" t="s">
        <v>16</v>
      </c>
      <c r="L2955" s="24">
        <v>1269.44</v>
      </c>
      <c r="M2955" s="24">
        <v>3759.62</v>
      </c>
      <c r="N2955" s="34">
        <f>((sales_data_1[[#This Row],[Unit_Price]]*(1-sales_data_1[[#This Row],[Discount]]))-sales_data_1[[#This Row],[Unit_Cost]])*sales_data_1[[#This Row],[Quantity_Sold]]</f>
        <v>52014.9568</v>
      </c>
      <c r="O2955" s="17" t="s">
        <v>27</v>
      </c>
      <c r="P2955" s="26">
        <v>0.23</v>
      </c>
      <c r="Q2955" s="17" t="s">
        <v>18</v>
      </c>
      <c r="R2955" s="17" t="s">
        <v>21</v>
      </c>
      <c r="S2955" s="50" t="str">
        <f t="shared" si="140"/>
        <v>Alice-North</v>
      </c>
      <c r="T2955" s="59" t="str">
        <f>IF(ROUND(sales_data_1[[#This Row],[Profit_Margin]],2)=ROUND((sales_data_1[[#This Row],[Unit_Price]]*(1-sales_data_1[[#This Row],[Discount]]) - sales_data_1[[#This Row],[Unit_Cost]])*sales_data_1[[#This Row],[Quantity_Sold]],2), "PASS", "CHECK")</f>
        <v>PASS</v>
      </c>
    </row>
    <row r="2956" spans="1:20" x14ac:dyDescent="0.35">
      <c r="A2956" s="7">
        <v>2955</v>
      </c>
      <c r="B2956" s="9">
        <v>1057</v>
      </c>
      <c r="C2956" s="14" t="str">
        <f>IFERROR(_xlfn.TEXTJOIN("-", TRUE, _xlfn.XLOOKUP(K2956, product_category_id_lookup!$A$2:$A$5, product_category_id_lookup!$B$2:$B$5), B2956), "Unknown Category")</f>
        <v>fnt-1057</v>
      </c>
      <c r="D2956" s="8">
        <v>45569</v>
      </c>
      <c r="E2956" s="14">
        <f t="shared" si="138"/>
        <v>2024</v>
      </c>
      <c r="F2956" s="29" t="str">
        <f t="shared" si="139"/>
        <v>Oct</v>
      </c>
      <c r="G2956" s="17" t="s">
        <v>29</v>
      </c>
      <c r="H2956" s="17" t="s">
        <v>30</v>
      </c>
      <c r="I2956" s="24">
        <v>157992.5398</v>
      </c>
      <c r="J2956" s="32">
        <v>47</v>
      </c>
      <c r="K2956" s="17" t="s">
        <v>16</v>
      </c>
      <c r="L2956" s="24">
        <v>2557.48</v>
      </c>
      <c r="M2956" s="24">
        <v>3576.11</v>
      </c>
      <c r="N2956" s="34">
        <f>((sales_data_1[[#This Row],[Unit_Price]]*(1-sales_data_1[[#This Row],[Discount]]))-sales_data_1[[#This Row],[Unit_Cost]])*sales_data_1[[#This Row],[Quantity_Sold]]</f>
        <v>37790.979800000001</v>
      </c>
      <c r="O2956" s="17" t="s">
        <v>17</v>
      </c>
      <c r="P2956" s="26">
        <v>0.06</v>
      </c>
      <c r="Q2956" s="17" t="s">
        <v>28</v>
      </c>
      <c r="R2956" s="17" t="s">
        <v>21</v>
      </c>
      <c r="S2956" s="50" t="str">
        <f t="shared" si="140"/>
        <v>Charlie-East</v>
      </c>
      <c r="T2956" s="59" t="str">
        <f>IF(ROUND(sales_data_1[[#This Row],[Profit_Margin]],2)=ROUND((sales_data_1[[#This Row],[Unit_Price]]*(1-sales_data_1[[#This Row],[Discount]]) - sales_data_1[[#This Row],[Unit_Cost]])*sales_data_1[[#This Row],[Quantity_Sold]],2), "PASS", "CHECK")</f>
        <v>PASS</v>
      </c>
    </row>
    <row r="2957" spans="1:20" x14ac:dyDescent="0.35">
      <c r="A2957" s="7">
        <v>2956</v>
      </c>
      <c r="B2957" s="9">
        <v>1097</v>
      </c>
      <c r="C2957" s="14" t="str">
        <f>IFERROR(_xlfn.TEXTJOIN("-", TRUE, _xlfn.XLOOKUP(K2957, product_category_id_lookup!$A$2:$A$5, product_category_id_lookup!$B$2:$B$5), B2957), "Unknown Category")</f>
        <v>fd-1097</v>
      </c>
      <c r="D2957" s="8">
        <v>45569</v>
      </c>
      <c r="E2957" s="14">
        <f t="shared" si="138"/>
        <v>2024</v>
      </c>
      <c r="F2957" s="29" t="str">
        <f t="shared" si="139"/>
        <v>Oct</v>
      </c>
      <c r="G2957" s="17" t="s">
        <v>29</v>
      </c>
      <c r="H2957" s="17" t="s">
        <v>23</v>
      </c>
      <c r="I2957" s="24">
        <v>231289.03039999999</v>
      </c>
      <c r="J2957" s="32">
        <v>46</v>
      </c>
      <c r="K2957" s="17" t="s">
        <v>24</v>
      </c>
      <c r="L2957" s="24">
        <v>2585.25</v>
      </c>
      <c r="M2957" s="24">
        <v>5348.96</v>
      </c>
      <c r="N2957" s="34">
        <f>((sales_data_1[[#This Row],[Unit_Price]]*(1-sales_data_1[[#This Row],[Discount]]))-sales_data_1[[#This Row],[Unit_Cost]])*sales_data_1[[#This Row],[Quantity_Sold]]</f>
        <v>112367.53039999999</v>
      </c>
      <c r="O2957" s="17" t="s">
        <v>17</v>
      </c>
      <c r="P2957" s="26">
        <v>0.06</v>
      </c>
      <c r="Q2957" s="17" t="s">
        <v>25</v>
      </c>
      <c r="R2957" s="17" t="s">
        <v>19</v>
      </c>
      <c r="S2957" s="50" t="str">
        <f t="shared" si="140"/>
        <v>Charlie-South</v>
      </c>
      <c r="T2957" s="59" t="str">
        <f>IF(ROUND(sales_data_1[[#This Row],[Profit_Margin]],2)=ROUND((sales_data_1[[#This Row],[Unit_Price]]*(1-sales_data_1[[#This Row],[Discount]]) - sales_data_1[[#This Row],[Unit_Cost]])*sales_data_1[[#This Row],[Quantity_Sold]],2), "PASS", "CHECK")</f>
        <v>PASS</v>
      </c>
    </row>
    <row r="2958" spans="1:20" x14ac:dyDescent="0.35">
      <c r="A2958" s="7">
        <v>2957</v>
      </c>
      <c r="B2958" s="9">
        <v>1061</v>
      </c>
      <c r="C2958" s="14" t="str">
        <f>IFERROR(_xlfn.TEXTJOIN("-", TRUE, _xlfn.XLOOKUP(K2958, product_category_id_lookup!$A$2:$A$5, product_category_id_lookup!$B$2:$B$5), B2958), "Unknown Category")</f>
        <v>ctg-1061</v>
      </c>
      <c r="D2958" s="8">
        <v>45569</v>
      </c>
      <c r="E2958" s="14">
        <f t="shared" si="138"/>
        <v>2024</v>
      </c>
      <c r="F2958" s="29" t="str">
        <f t="shared" si="139"/>
        <v>Oct</v>
      </c>
      <c r="G2958" s="17" t="s">
        <v>22</v>
      </c>
      <c r="H2958" s="17" t="s">
        <v>15</v>
      </c>
      <c r="I2958" s="24">
        <v>148368.39679999999</v>
      </c>
      <c r="J2958" s="32">
        <v>32</v>
      </c>
      <c r="K2958" s="17" t="s">
        <v>26</v>
      </c>
      <c r="L2958" s="24">
        <v>1017.56</v>
      </c>
      <c r="M2958" s="24">
        <v>4932.46</v>
      </c>
      <c r="N2958" s="34">
        <f>((sales_data_1[[#This Row],[Unit_Price]]*(1-sales_data_1[[#This Row],[Discount]]))-sales_data_1[[#This Row],[Unit_Cost]])*sales_data_1[[#This Row],[Quantity_Sold]]</f>
        <v>115806.47679999999</v>
      </c>
      <c r="O2958" s="17" t="s">
        <v>17</v>
      </c>
      <c r="P2958" s="26">
        <v>0.06</v>
      </c>
      <c r="Q2958" s="17" t="s">
        <v>28</v>
      </c>
      <c r="R2958" s="17" t="s">
        <v>19</v>
      </c>
      <c r="S2958" s="50" t="str">
        <f t="shared" si="140"/>
        <v>David-North</v>
      </c>
      <c r="T2958" s="59" t="str">
        <f>IF(ROUND(sales_data_1[[#This Row],[Profit_Margin]],2)=ROUND((sales_data_1[[#This Row],[Unit_Price]]*(1-sales_data_1[[#This Row],[Discount]]) - sales_data_1[[#This Row],[Unit_Cost]])*sales_data_1[[#This Row],[Quantity_Sold]],2), "PASS", "CHECK")</f>
        <v>PASS</v>
      </c>
    </row>
    <row r="2959" spans="1:20" x14ac:dyDescent="0.35">
      <c r="A2959" s="7">
        <v>2958</v>
      </c>
      <c r="B2959" s="9">
        <v>1088</v>
      </c>
      <c r="C2959" s="14" t="str">
        <f>IFERROR(_xlfn.TEXTJOIN("-", TRUE, _xlfn.XLOOKUP(K2959, product_category_id_lookup!$A$2:$A$5, product_category_id_lookup!$B$2:$B$5), B2959), "Unknown Category")</f>
        <v>ctg-1088</v>
      </c>
      <c r="D2959" s="8">
        <v>45570</v>
      </c>
      <c r="E2959" s="14">
        <f t="shared" si="138"/>
        <v>2024</v>
      </c>
      <c r="F2959" s="29" t="str">
        <f t="shared" si="139"/>
        <v>Oct</v>
      </c>
      <c r="G2959" s="17" t="s">
        <v>22</v>
      </c>
      <c r="H2959" s="17" t="s">
        <v>20</v>
      </c>
      <c r="I2959" s="24">
        <v>22094.14441498863</v>
      </c>
      <c r="J2959" s="32">
        <v>5</v>
      </c>
      <c r="K2959" s="17" t="s">
        <v>26</v>
      </c>
      <c r="L2959" s="24">
        <v>4318.96</v>
      </c>
      <c r="M2959" s="24">
        <v>4526.09</v>
      </c>
      <c r="N2959" s="34">
        <f>((sales_data_1[[#This Row],[Unit_Price]]*(1-sales_data_1[[#This Row],[Discount]]))-sales_data_1[[#This Row],[Unit_Cost]])*sales_data_1[[#This Row],[Quantity_Sold]]</f>
        <v>583.04099999999835</v>
      </c>
      <c r="O2959" s="17" t="s">
        <v>27</v>
      </c>
      <c r="P2959" s="26">
        <v>0.02</v>
      </c>
      <c r="Q2959" s="17" t="s">
        <v>25</v>
      </c>
      <c r="R2959" s="17" t="s">
        <v>21</v>
      </c>
      <c r="S2959" s="50" t="str">
        <f t="shared" si="140"/>
        <v>David-West</v>
      </c>
      <c r="T2959" s="59" t="str">
        <f>IF(ROUND(sales_data_1[[#This Row],[Profit_Margin]],2)=ROUND((sales_data_1[[#This Row],[Unit_Price]]*(1-sales_data_1[[#This Row],[Discount]]) - sales_data_1[[#This Row],[Unit_Cost]])*sales_data_1[[#This Row],[Quantity_Sold]],2), "PASS", "CHECK")</f>
        <v>PASS</v>
      </c>
    </row>
    <row r="2960" spans="1:20" x14ac:dyDescent="0.35">
      <c r="A2960" s="7">
        <v>2959</v>
      </c>
      <c r="B2960" s="9">
        <v>1088</v>
      </c>
      <c r="C2960" s="14" t="str">
        <f>IFERROR(_xlfn.TEXTJOIN("-", TRUE, _xlfn.XLOOKUP(K2960, product_category_id_lookup!$A$2:$A$5, product_category_id_lookup!$B$2:$B$5), B2960), "Unknown Category")</f>
        <v>fnt-1088</v>
      </c>
      <c r="D2960" s="8">
        <v>45570</v>
      </c>
      <c r="E2960" s="14">
        <f t="shared" si="138"/>
        <v>2024</v>
      </c>
      <c r="F2960" s="29" t="str">
        <f t="shared" si="139"/>
        <v>Oct</v>
      </c>
      <c r="G2960" s="17" t="s">
        <v>29</v>
      </c>
      <c r="H2960" s="17" t="s">
        <v>30</v>
      </c>
      <c r="I2960" s="24">
        <v>12229.388000000001</v>
      </c>
      <c r="J2960" s="32">
        <v>8</v>
      </c>
      <c r="K2960" s="17" t="s">
        <v>16</v>
      </c>
      <c r="L2960" s="24">
        <v>418.42</v>
      </c>
      <c r="M2960" s="24">
        <v>1609.13</v>
      </c>
      <c r="N2960" s="34">
        <f>((sales_data_1[[#This Row],[Unit_Price]]*(1-sales_data_1[[#This Row],[Discount]]))-sales_data_1[[#This Row],[Unit_Cost]])*sales_data_1[[#This Row],[Quantity_Sold]]</f>
        <v>8882.0280000000002</v>
      </c>
      <c r="O2960" s="17" t="s">
        <v>27</v>
      </c>
      <c r="P2960" s="26">
        <v>0.05</v>
      </c>
      <c r="Q2960" s="17" t="s">
        <v>18</v>
      </c>
      <c r="R2960" s="17" t="s">
        <v>19</v>
      </c>
      <c r="S2960" s="50" t="str">
        <f t="shared" si="140"/>
        <v>Charlie-East</v>
      </c>
      <c r="T2960" s="59" t="str">
        <f>IF(ROUND(sales_data_1[[#This Row],[Profit_Margin]],2)=ROUND((sales_data_1[[#This Row],[Unit_Price]]*(1-sales_data_1[[#This Row],[Discount]]) - sales_data_1[[#This Row],[Unit_Cost]])*sales_data_1[[#This Row],[Quantity_Sold]],2), "PASS", "CHECK")</f>
        <v>PASS</v>
      </c>
    </row>
    <row r="2961" spans="1:20" x14ac:dyDescent="0.35">
      <c r="A2961" s="7">
        <v>2960</v>
      </c>
      <c r="B2961" s="9">
        <v>1083</v>
      </c>
      <c r="C2961" s="14" t="str">
        <f>IFERROR(_xlfn.TEXTJOIN("-", TRUE, _xlfn.XLOOKUP(K2961, product_category_id_lookup!$A$2:$A$5, product_category_id_lookup!$B$2:$B$5), B2961), "Unknown Category")</f>
        <v>etc-1083</v>
      </c>
      <c r="D2961" s="8">
        <v>45570</v>
      </c>
      <c r="E2961" s="14">
        <f t="shared" si="138"/>
        <v>2024</v>
      </c>
      <c r="F2961" s="29" t="str">
        <f t="shared" si="139"/>
        <v>Oct</v>
      </c>
      <c r="G2961" s="17" t="s">
        <v>33</v>
      </c>
      <c r="H2961" s="17" t="s">
        <v>20</v>
      </c>
      <c r="I2961" s="24">
        <v>86776.300799999997</v>
      </c>
      <c r="J2961" s="32">
        <v>48</v>
      </c>
      <c r="K2961" s="17" t="s">
        <v>31</v>
      </c>
      <c r="L2961" s="24">
        <v>1161.72</v>
      </c>
      <c r="M2961" s="24">
        <v>2152.19</v>
      </c>
      <c r="N2961" s="34">
        <f>((sales_data_1[[#This Row],[Unit_Price]]*(1-sales_data_1[[#This Row],[Discount]]))-sales_data_1[[#This Row],[Unit_Cost]])*sales_data_1[[#This Row],[Quantity_Sold]]</f>
        <v>31013.7408</v>
      </c>
      <c r="O2961" s="17" t="s">
        <v>27</v>
      </c>
      <c r="P2961" s="26">
        <v>0.16</v>
      </c>
      <c r="Q2961" s="17" t="s">
        <v>18</v>
      </c>
      <c r="R2961" s="17" t="s">
        <v>19</v>
      </c>
      <c r="S2961" s="50" t="str">
        <f t="shared" si="140"/>
        <v>Alice-West</v>
      </c>
      <c r="T2961" s="59" t="str">
        <f>IF(ROUND(sales_data_1[[#This Row],[Profit_Margin]],2)=ROUND((sales_data_1[[#This Row],[Unit_Price]]*(1-sales_data_1[[#This Row],[Discount]]) - sales_data_1[[#This Row],[Unit_Cost]])*sales_data_1[[#This Row],[Quantity_Sold]],2), "PASS", "CHECK")</f>
        <v>PASS</v>
      </c>
    </row>
    <row r="2962" spans="1:20" x14ac:dyDescent="0.35">
      <c r="A2962" s="7">
        <v>2961</v>
      </c>
      <c r="B2962" s="9">
        <v>1011</v>
      </c>
      <c r="C2962" s="14" t="str">
        <f>IFERROR(_xlfn.TEXTJOIN("-", TRUE, _xlfn.XLOOKUP(K2962, product_category_id_lookup!$A$2:$A$5, product_category_id_lookup!$B$2:$B$5), B2962), "Unknown Category")</f>
        <v>ctg-1011</v>
      </c>
      <c r="D2962" s="8">
        <v>45571</v>
      </c>
      <c r="E2962" s="14">
        <f t="shared" si="138"/>
        <v>2024</v>
      </c>
      <c r="F2962" s="29" t="str">
        <f t="shared" si="139"/>
        <v>Oct</v>
      </c>
      <c r="G2962" s="17" t="s">
        <v>32</v>
      </c>
      <c r="H2962" s="17" t="s">
        <v>20</v>
      </c>
      <c r="I2962" s="24">
        <v>168379.09109999999</v>
      </c>
      <c r="J2962" s="32">
        <v>41</v>
      </c>
      <c r="K2962" s="17" t="s">
        <v>26</v>
      </c>
      <c r="L2962" s="24">
        <v>3918</v>
      </c>
      <c r="M2962" s="24">
        <v>5198.49</v>
      </c>
      <c r="N2962" s="34">
        <f>((sales_data_1[[#This Row],[Unit_Price]]*(1-sales_data_1[[#This Row],[Discount]]))-sales_data_1[[#This Row],[Unit_Cost]])*sales_data_1[[#This Row],[Quantity_Sold]]</f>
        <v>7741.0910999999996</v>
      </c>
      <c r="O2962" s="17" t="s">
        <v>27</v>
      </c>
      <c r="P2962" s="26">
        <v>0.21</v>
      </c>
      <c r="Q2962" s="17" t="s">
        <v>25</v>
      </c>
      <c r="R2962" s="17" t="s">
        <v>21</v>
      </c>
      <c r="S2962" s="50" t="str">
        <f t="shared" si="140"/>
        <v>Eve-West</v>
      </c>
      <c r="T2962" s="59" t="str">
        <f>IF(ROUND(sales_data_1[[#This Row],[Profit_Margin]],2)=ROUND((sales_data_1[[#This Row],[Unit_Price]]*(1-sales_data_1[[#This Row],[Discount]]) - sales_data_1[[#This Row],[Unit_Cost]])*sales_data_1[[#This Row],[Quantity_Sold]],2), "PASS", "CHECK")</f>
        <v>PASS</v>
      </c>
    </row>
    <row r="2963" spans="1:20" x14ac:dyDescent="0.35">
      <c r="A2963" s="7">
        <v>2962</v>
      </c>
      <c r="B2963" s="9">
        <v>1014</v>
      </c>
      <c r="C2963" s="14" t="str">
        <f>IFERROR(_xlfn.TEXTJOIN("-", TRUE, _xlfn.XLOOKUP(K2963, product_category_id_lookup!$A$2:$A$5, product_category_id_lookup!$B$2:$B$5), B2963), "Unknown Category")</f>
        <v>etc-1014</v>
      </c>
      <c r="D2963" s="8">
        <v>45571</v>
      </c>
      <c r="E2963" s="14">
        <f t="shared" si="138"/>
        <v>2024</v>
      </c>
      <c r="F2963" s="29" t="str">
        <f t="shared" si="139"/>
        <v>Oct</v>
      </c>
      <c r="G2963" s="17" t="s">
        <v>32</v>
      </c>
      <c r="H2963" s="17" t="s">
        <v>15</v>
      </c>
      <c r="I2963" s="24">
        <v>21187.526399999999</v>
      </c>
      <c r="J2963" s="32">
        <v>16</v>
      </c>
      <c r="K2963" s="17" t="s">
        <v>31</v>
      </c>
      <c r="L2963" s="24">
        <v>705.07</v>
      </c>
      <c r="M2963" s="24">
        <v>1439.37</v>
      </c>
      <c r="N2963" s="34">
        <f>((sales_data_1[[#This Row],[Unit_Price]]*(1-sales_data_1[[#This Row],[Discount]]))-sales_data_1[[#This Row],[Unit_Cost]])*sales_data_1[[#This Row],[Quantity_Sold]]</f>
        <v>9906.406399999998</v>
      </c>
      <c r="O2963" s="17" t="s">
        <v>17</v>
      </c>
      <c r="P2963" s="26">
        <v>0.08</v>
      </c>
      <c r="Q2963" s="17" t="s">
        <v>18</v>
      </c>
      <c r="R2963" s="17" t="s">
        <v>19</v>
      </c>
      <c r="S2963" s="50" t="str">
        <f t="shared" si="140"/>
        <v>Eve-North</v>
      </c>
      <c r="T2963" s="59" t="str">
        <f>IF(ROUND(sales_data_1[[#This Row],[Profit_Margin]],2)=ROUND((sales_data_1[[#This Row],[Unit_Price]]*(1-sales_data_1[[#This Row],[Discount]]) - sales_data_1[[#This Row],[Unit_Cost]])*sales_data_1[[#This Row],[Quantity_Sold]],2), "PASS", "CHECK")</f>
        <v>PASS</v>
      </c>
    </row>
    <row r="2964" spans="1:20" x14ac:dyDescent="0.35">
      <c r="A2964" s="7">
        <v>2963</v>
      </c>
      <c r="B2964" s="9">
        <v>1006</v>
      </c>
      <c r="C2964" s="14" t="str">
        <f>IFERROR(_xlfn.TEXTJOIN("-", TRUE, _xlfn.XLOOKUP(K2964, product_category_id_lookup!$A$2:$A$5, product_category_id_lookup!$B$2:$B$5), B2964), "Unknown Category")</f>
        <v>etc-1006</v>
      </c>
      <c r="D2964" s="8">
        <v>45571</v>
      </c>
      <c r="E2964" s="14">
        <f t="shared" si="138"/>
        <v>2024</v>
      </c>
      <c r="F2964" s="29" t="str">
        <f t="shared" si="139"/>
        <v>Oct</v>
      </c>
      <c r="G2964" s="17" t="s">
        <v>14</v>
      </c>
      <c r="H2964" s="17" t="s">
        <v>23</v>
      </c>
      <c r="I2964" s="24">
        <v>27608.748</v>
      </c>
      <c r="J2964" s="32">
        <v>24</v>
      </c>
      <c r="K2964" s="17" t="s">
        <v>31</v>
      </c>
      <c r="L2964" s="24">
        <v>329.07</v>
      </c>
      <c r="M2964" s="24">
        <v>1353.37</v>
      </c>
      <c r="N2964" s="34">
        <f>((sales_data_1[[#This Row],[Unit_Price]]*(1-sales_data_1[[#This Row],[Discount]]))-sales_data_1[[#This Row],[Unit_Cost]])*sales_data_1[[#This Row],[Quantity_Sold]]</f>
        <v>19711.067999999999</v>
      </c>
      <c r="O2964" s="17" t="s">
        <v>27</v>
      </c>
      <c r="P2964" s="26">
        <v>0.15</v>
      </c>
      <c r="Q2964" s="17" t="s">
        <v>25</v>
      </c>
      <c r="R2964" s="17" t="s">
        <v>21</v>
      </c>
      <c r="S2964" s="50" t="str">
        <f t="shared" si="140"/>
        <v>Bob-South</v>
      </c>
      <c r="T2964" s="59" t="str">
        <f>IF(ROUND(sales_data_1[[#This Row],[Profit_Margin]],2)=ROUND((sales_data_1[[#This Row],[Unit_Price]]*(1-sales_data_1[[#This Row],[Discount]]) - sales_data_1[[#This Row],[Unit_Cost]])*sales_data_1[[#This Row],[Quantity_Sold]],2), "PASS", "CHECK")</f>
        <v>PASS</v>
      </c>
    </row>
    <row r="2965" spans="1:20" x14ac:dyDescent="0.35">
      <c r="A2965" s="7">
        <v>2964</v>
      </c>
      <c r="B2965" s="9">
        <v>1100</v>
      </c>
      <c r="C2965" s="14" t="str">
        <f>IFERROR(_xlfn.TEXTJOIN("-", TRUE, _xlfn.XLOOKUP(K2965, product_category_id_lookup!$A$2:$A$5, product_category_id_lookup!$B$2:$B$5), B2965), "Unknown Category")</f>
        <v>etc-1100</v>
      </c>
      <c r="D2965" s="8">
        <v>45571</v>
      </c>
      <c r="E2965" s="14">
        <f t="shared" si="138"/>
        <v>2024</v>
      </c>
      <c r="F2965" s="29" t="str">
        <f t="shared" si="139"/>
        <v>Oct</v>
      </c>
      <c r="G2965" s="17" t="s">
        <v>22</v>
      </c>
      <c r="H2965" s="17" t="s">
        <v>20</v>
      </c>
      <c r="I2965" s="24">
        <v>130135.30140000001</v>
      </c>
      <c r="J2965" s="32">
        <v>47</v>
      </c>
      <c r="K2965" s="17" t="s">
        <v>31</v>
      </c>
      <c r="L2965" s="24">
        <v>585.36</v>
      </c>
      <c r="M2965" s="24">
        <v>3549.79</v>
      </c>
      <c r="N2965" s="34">
        <f>((sales_data_1[[#This Row],[Unit_Price]]*(1-sales_data_1[[#This Row],[Discount]]))-sales_data_1[[#This Row],[Unit_Cost]])*sales_data_1[[#This Row],[Quantity_Sold]]</f>
        <v>102623.3814</v>
      </c>
      <c r="O2965" s="17" t="s">
        <v>27</v>
      </c>
      <c r="P2965" s="26">
        <v>0.22</v>
      </c>
      <c r="Q2965" s="17" t="s">
        <v>28</v>
      </c>
      <c r="R2965" s="17" t="s">
        <v>19</v>
      </c>
      <c r="S2965" s="50" t="str">
        <f t="shared" si="140"/>
        <v>David-West</v>
      </c>
      <c r="T2965" s="59" t="str">
        <f>IF(ROUND(sales_data_1[[#This Row],[Profit_Margin]],2)=ROUND((sales_data_1[[#This Row],[Unit_Price]]*(1-sales_data_1[[#This Row],[Discount]]) - sales_data_1[[#This Row],[Unit_Cost]])*sales_data_1[[#This Row],[Quantity_Sold]],2), "PASS", "CHECK")</f>
        <v>PASS</v>
      </c>
    </row>
    <row r="2966" spans="1:20" x14ac:dyDescent="0.35">
      <c r="A2966" s="7">
        <v>2965</v>
      </c>
      <c r="B2966" s="9">
        <v>1042</v>
      </c>
      <c r="C2966" s="14" t="str">
        <f>IFERROR(_xlfn.TEXTJOIN("-", TRUE, _xlfn.XLOOKUP(K2966, product_category_id_lookup!$A$2:$A$5, product_category_id_lookup!$B$2:$B$5), B2966), "Unknown Category")</f>
        <v>fd-1042</v>
      </c>
      <c r="D2966" s="8">
        <v>45571</v>
      </c>
      <c r="E2966" s="14">
        <f t="shared" si="138"/>
        <v>2024</v>
      </c>
      <c r="F2966" s="29" t="str">
        <f t="shared" si="139"/>
        <v>Oct</v>
      </c>
      <c r="G2966" s="17" t="s">
        <v>22</v>
      </c>
      <c r="H2966" s="17" t="s">
        <v>23</v>
      </c>
      <c r="I2966" s="24">
        <v>211713.9031</v>
      </c>
      <c r="J2966" s="32">
        <v>49</v>
      </c>
      <c r="K2966" s="17" t="s">
        <v>24</v>
      </c>
      <c r="L2966" s="24">
        <v>1390.02</v>
      </c>
      <c r="M2966" s="24">
        <v>4854.71</v>
      </c>
      <c r="N2966" s="34">
        <f>((sales_data_1[[#This Row],[Unit_Price]]*(1-sales_data_1[[#This Row],[Discount]]))-sales_data_1[[#This Row],[Unit_Cost]])*sales_data_1[[#This Row],[Quantity_Sold]]</f>
        <v>143602.92309999999</v>
      </c>
      <c r="O2966" s="17" t="s">
        <v>17</v>
      </c>
      <c r="P2966" s="26">
        <v>0.11</v>
      </c>
      <c r="Q2966" s="17" t="s">
        <v>28</v>
      </c>
      <c r="R2966" s="17" t="s">
        <v>19</v>
      </c>
      <c r="S2966" s="50" t="str">
        <f t="shared" si="140"/>
        <v>David-South</v>
      </c>
      <c r="T2966" s="59" t="str">
        <f>IF(ROUND(sales_data_1[[#This Row],[Profit_Margin]],2)=ROUND((sales_data_1[[#This Row],[Unit_Price]]*(1-sales_data_1[[#This Row],[Discount]]) - sales_data_1[[#This Row],[Unit_Cost]])*sales_data_1[[#This Row],[Quantity_Sold]],2), "PASS", "CHECK")</f>
        <v>PASS</v>
      </c>
    </row>
    <row r="2967" spans="1:20" x14ac:dyDescent="0.35">
      <c r="A2967" s="7">
        <v>2966</v>
      </c>
      <c r="B2967" s="9">
        <v>1051</v>
      </c>
      <c r="C2967" s="14" t="str">
        <f>IFERROR(_xlfn.TEXTJOIN("-", TRUE, _xlfn.XLOOKUP(K2967, product_category_id_lookup!$A$2:$A$5, product_category_id_lookup!$B$2:$B$5), B2967), "Unknown Category")</f>
        <v>fnt-1051</v>
      </c>
      <c r="D2967" s="8">
        <v>45572</v>
      </c>
      <c r="E2967" s="14">
        <f t="shared" si="138"/>
        <v>2024</v>
      </c>
      <c r="F2967" s="29" t="str">
        <f t="shared" si="139"/>
        <v>Oct</v>
      </c>
      <c r="G2967" s="17" t="s">
        <v>14</v>
      </c>
      <c r="H2967" s="17" t="s">
        <v>20</v>
      </c>
      <c r="I2967" s="24">
        <v>62539.149500000007</v>
      </c>
      <c r="J2967" s="32">
        <v>17</v>
      </c>
      <c r="K2967" s="17" t="s">
        <v>16</v>
      </c>
      <c r="L2967" s="24">
        <v>3568.29</v>
      </c>
      <c r="M2967" s="24">
        <v>3792.55</v>
      </c>
      <c r="N2967" s="34">
        <f>((sales_data_1[[#This Row],[Unit_Price]]*(1-sales_data_1[[#This Row],[Discount]]))-sales_data_1[[#This Row],[Unit_Cost]])*sales_data_1[[#This Row],[Quantity_Sold]]</f>
        <v>1878.2195000000047</v>
      </c>
      <c r="O2967" s="17" t="s">
        <v>17</v>
      </c>
      <c r="P2967" s="26">
        <v>0.03</v>
      </c>
      <c r="Q2967" s="17" t="s">
        <v>28</v>
      </c>
      <c r="R2967" s="17" t="s">
        <v>21</v>
      </c>
      <c r="S2967" s="50" t="str">
        <f t="shared" si="140"/>
        <v>Bob-West</v>
      </c>
      <c r="T2967" s="59" t="str">
        <f>IF(ROUND(sales_data_1[[#This Row],[Profit_Margin]],2)=ROUND((sales_data_1[[#This Row],[Unit_Price]]*(1-sales_data_1[[#This Row],[Discount]]) - sales_data_1[[#This Row],[Unit_Cost]])*sales_data_1[[#This Row],[Quantity_Sold]],2), "PASS", "CHECK")</f>
        <v>PASS</v>
      </c>
    </row>
    <row r="2968" spans="1:20" x14ac:dyDescent="0.35">
      <c r="A2968" s="7">
        <v>2967</v>
      </c>
      <c r="B2968" s="9">
        <v>1026</v>
      </c>
      <c r="C2968" s="14" t="str">
        <f>IFERROR(_xlfn.TEXTJOIN("-", TRUE, _xlfn.XLOOKUP(K2968, product_category_id_lookup!$A$2:$A$5, product_category_id_lookup!$B$2:$B$5), B2968), "Unknown Category")</f>
        <v>fd-1026</v>
      </c>
      <c r="D2968" s="8">
        <v>45572</v>
      </c>
      <c r="E2968" s="14">
        <f t="shared" si="138"/>
        <v>2024</v>
      </c>
      <c r="F2968" s="29" t="str">
        <f t="shared" si="139"/>
        <v>Oct</v>
      </c>
      <c r="G2968" s="17" t="s">
        <v>33</v>
      </c>
      <c r="H2968" s="17" t="s">
        <v>23</v>
      </c>
      <c r="I2968" s="24">
        <v>104055.98000000001</v>
      </c>
      <c r="J2968" s="32">
        <v>34</v>
      </c>
      <c r="K2968" s="17" t="s">
        <v>24</v>
      </c>
      <c r="L2968" s="24">
        <v>2754.68</v>
      </c>
      <c r="M2968" s="24">
        <v>4372.1000000000004</v>
      </c>
      <c r="N2968" s="34">
        <f>((sales_data_1[[#This Row],[Unit_Price]]*(1-sales_data_1[[#This Row],[Discount]]))-sales_data_1[[#This Row],[Unit_Cost]])*sales_data_1[[#This Row],[Quantity_Sold]]</f>
        <v>10396.860000000015</v>
      </c>
      <c r="O2968" s="17" t="s">
        <v>27</v>
      </c>
      <c r="P2968" s="26">
        <v>0.3</v>
      </c>
      <c r="Q2968" s="17" t="s">
        <v>18</v>
      </c>
      <c r="R2968" s="17" t="s">
        <v>19</v>
      </c>
      <c r="S2968" s="50" t="str">
        <f t="shared" si="140"/>
        <v>Alice-South</v>
      </c>
      <c r="T2968" s="59" t="str">
        <f>IF(ROUND(sales_data_1[[#This Row],[Profit_Margin]],2)=ROUND((sales_data_1[[#This Row],[Unit_Price]]*(1-sales_data_1[[#This Row],[Discount]]) - sales_data_1[[#This Row],[Unit_Cost]])*sales_data_1[[#This Row],[Quantity_Sold]],2), "PASS", "CHECK")</f>
        <v>PASS</v>
      </c>
    </row>
    <row r="2969" spans="1:20" x14ac:dyDescent="0.35">
      <c r="A2969" s="7">
        <v>2968</v>
      </c>
      <c r="B2969" s="9">
        <v>1011</v>
      </c>
      <c r="C2969" s="14" t="str">
        <f>IFERROR(_xlfn.TEXTJOIN("-", TRUE, _xlfn.XLOOKUP(K2969, product_category_id_lookup!$A$2:$A$5, product_category_id_lookup!$B$2:$B$5), B2969), "Unknown Category")</f>
        <v>fd-1011</v>
      </c>
      <c r="D2969" s="8">
        <v>45572</v>
      </c>
      <c r="E2969" s="14">
        <f t="shared" si="138"/>
        <v>2024</v>
      </c>
      <c r="F2969" s="29" t="str">
        <f t="shared" si="139"/>
        <v>Oct</v>
      </c>
      <c r="G2969" s="17" t="s">
        <v>22</v>
      </c>
      <c r="H2969" s="17" t="s">
        <v>30</v>
      </c>
      <c r="I2969" s="24">
        <v>95129.143200000006</v>
      </c>
      <c r="J2969" s="32">
        <v>36</v>
      </c>
      <c r="K2969" s="17" t="s">
        <v>24</v>
      </c>
      <c r="L2969" s="24">
        <v>247.25</v>
      </c>
      <c r="M2969" s="24">
        <v>2903.82</v>
      </c>
      <c r="N2969" s="34">
        <f>((sales_data_1[[#This Row],[Unit_Price]]*(1-sales_data_1[[#This Row],[Discount]]))-sales_data_1[[#This Row],[Unit_Cost]])*sales_data_1[[#This Row],[Quantity_Sold]]</f>
        <v>86228.143200000006</v>
      </c>
      <c r="O2969" s="17" t="s">
        <v>17</v>
      </c>
      <c r="P2969" s="26">
        <v>0.09</v>
      </c>
      <c r="Q2969" s="17" t="s">
        <v>25</v>
      </c>
      <c r="R2969" s="17" t="s">
        <v>19</v>
      </c>
      <c r="S2969" s="50" t="str">
        <f t="shared" si="140"/>
        <v>David-East</v>
      </c>
      <c r="T2969" s="59" t="str">
        <f>IF(ROUND(sales_data_1[[#This Row],[Profit_Margin]],2)=ROUND((sales_data_1[[#This Row],[Unit_Price]]*(1-sales_data_1[[#This Row],[Discount]]) - sales_data_1[[#This Row],[Unit_Cost]])*sales_data_1[[#This Row],[Quantity_Sold]],2), "PASS", "CHECK")</f>
        <v>PASS</v>
      </c>
    </row>
    <row r="2970" spans="1:20" x14ac:dyDescent="0.35">
      <c r="A2970" s="7">
        <v>2969</v>
      </c>
      <c r="B2970" s="9">
        <v>1013</v>
      </c>
      <c r="C2970" s="14" t="str">
        <f>IFERROR(_xlfn.TEXTJOIN("-", TRUE, _xlfn.XLOOKUP(K2970, product_category_id_lookup!$A$2:$A$5, product_category_id_lookup!$B$2:$B$5), B2970), "Unknown Category")</f>
        <v>fd-1013</v>
      </c>
      <c r="D2970" s="8">
        <v>45573</v>
      </c>
      <c r="E2970" s="14">
        <f t="shared" si="138"/>
        <v>2024</v>
      </c>
      <c r="F2970" s="29" t="str">
        <f t="shared" si="139"/>
        <v>Oct</v>
      </c>
      <c r="G2970" s="17" t="s">
        <v>22</v>
      </c>
      <c r="H2970" s="17" t="s">
        <v>23</v>
      </c>
      <c r="I2970" s="24">
        <v>106404.48</v>
      </c>
      <c r="J2970" s="32">
        <v>28</v>
      </c>
      <c r="K2970" s="17" t="s">
        <v>24</v>
      </c>
      <c r="L2970" s="24">
        <v>3530.03</v>
      </c>
      <c r="M2970" s="24">
        <v>4750.2</v>
      </c>
      <c r="N2970" s="34">
        <f>((sales_data_1[[#This Row],[Unit_Price]]*(1-sales_data_1[[#This Row],[Discount]]))-sales_data_1[[#This Row],[Unit_Cost]])*sales_data_1[[#This Row],[Quantity_Sold]]</f>
        <v>7563.6399999999903</v>
      </c>
      <c r="O2970" s="17" t="s">
        <v>27</v>
      </c>
      <c r="P2970" s="26">
        <v>0.2</v>
      </c>
      <c r="Q2970" s="17" t="s">
        <v>25</v>
      </c>
      <c r="R2970" s="17" t="s">
        <v>19</v>
      </c>
      <c r="S2970" s="50" t="str">
        <f t="shared" si="140"/>
        <v>David-South</v>
      </c>
      <c r="T2970" s="59" t="str">
        <f>IF(ROUND(sales_data_1[[#This Row],[Profit_Margin]],2)=ROUND((sales_data_1[[#This Row],[Unit_Price]]*(1-sales_data_1[[#This Row],[Discount]]) - sales_data_1[[#This Row],[Unit_Cost]])*sales_data_1[[#This Row],[Quantity_Sold]],2), "PASS", "CHECK")</f>
        <v>PASS</v>
      </c>
    </row>
    <row r="2971" spans="1:20" x14ac:dyDescent="0.35">
      <c r="A2971" s="7">
        <v>2970</v>
      </c>
      <c r="B2971" s="9">
        <v>1077</v>
      </c>
      <c r="C2971" s="14" t="str">
        <f>IFERROR(_xlfn.TEXTJOIN("-", TRUE, _xlfn.XLOOKUP(K2971, product_category_id_lookup!$A$2:$A$5, product_category_id_lookup!$B$2:$B$5), B2971), "Unknown Category")</f>
        <v>etc-1077</v>
      </c>
      <c r="D2971" s="8">
        <v>45573</v>
      </c>
      <c r="E2971" s="14">
        <f t="shared" si="138"/>
        <v>2024</v>
      </c>
      <c r="F2971" s="29" t="str">
        <f t="shared" si="139"/>
        <v>Oct</v>
      </c>
      <c r="G2971" s="17" t="s">
        <v>22</v>
      </c>
      <c r="H2971" s="17" t="s">
        <v>23</v>
      </c>
      <c r="I2971" s="24">
        <v>159811.68</v>
      </c>
      <c r="J2971" s="32">
        <v>40</v>
      </c>
      <c r="K2971" s="17" t="s">
        <v>31</v>
      </c>
      <c r="L2971" s="24">
        <v>3485.41</v>
      </c>
      <c r="M2971" s="24">
        <v>4756.3</v>
      </c>
      <c r="N2971" s="34">
        <f>((sales_data_1[[#This Row],[Unit_Price]]*(1-sales_data_1[[#This Row],[Discount]]))-sales_data_1[[#This Row],[Unit_Cost]])*sales_data_1[[#This Row],[Quantity_Sold]]</f>
        <v>20395.280000000002</v>
      </c>
      <c r="O2971" s="17" t="s">
        <v>17</v>
      </c>
      <c r="P2971" s="26">
        <v>0.16</v>
      </c>
      <c r="Q2971" s="17" t="s">
        <v>18</v>
      </c>
      <c r="R2971" s="17" t="s">
        <v>19</v>
      </c>
      <c r="S2971" s="50" t="str">
        <f t="shared" si="140"/>
        <v>David-South</v>
      </c>
      <c r="T2971" s="59" t="str">
        <f>IF(ROUND(sales_data_1[[#This Row],[Profit_Margin]],2)=ROUND((sales_data_1[[#This Row],[Unit_Price]]*(1-sales_data_1[[#This Row],[Discount]]) - sales_data_1[[#This Row],[Unit_Cost]])*sales_data_1[[#This Row],[Quantity_Sold]],2), "PASS", "CHECK")</f>
        <v>PASS</v>
      </c>
    </row>
    <row r="2972" spans="1:20" x14ac:dyDescent="0.35">
      <c r="A2972" s="7">
        <v>2971</v>
      </c>
      <c r="B2972" s="9">
        <v>1100</v>
      </c>
      <c r="C2972" s="14" t="str">
        <f>IFERROR(_xlfn.TEXTJOIN("-", TRUE, _xlfn.XLOOKUP(K2972, product_category_id_lookup!$A$2:$A$5, product_category_id_lookup!$B$2:$B$5), B2972), "Unknown Category")</f>
        <v>fnt-1100</v>
      </c>
      <c r="D2972" s="8">
        <v>45573</v>
      </c>
      <c r="E2972" s="14">
        <f t="shared" si="138"/>
        <v>2024</v>
      </c>
      <c r="F2972" s="29" t="str">
        <f t="shared" si="139"/>
        <v>Oct</v>
      </c>
      <c r="G2972" s="17" t="s">
        <v>29</v>
      </c>
      <c r="H2972" s="17" t="s">
        <v>20</v>
      </c>
      <c r="I2972" s="24">
        <v>98698.752000000008</v>
      </c>
      <c r="J2972" s="32">
        <v>20</v>
      </c>
      <c r="K2972" s="17" t="s">
        <v>16</v>
      </c>
      <c r="L2972" s="24">
        <v>2005</v>
      </c>
      <c r="M2972" s="24">
        <v>5140.5600000000004</v>
      </c>
      <c r="N2972" s="34">
        <f>((sales_data_1[[#This Row],[Unit_Price]]*(1-sales_data_1[[#This Row],[Discount]]))-sales_data_1[[#This Row],[Unit_Cost]])*sales_data_1[[#This Row],[Quantity_Sold]]</f>
        <v>58598.752000000008</v>
      </c>
      <c r="O2972" s="17" t="s">
        <v>27</v>
      </c>
      <c r="P2972" s="26">
        <v>0.04</v>
      </c>
      <c r="Q2972" s="17" t="s">
        <v>18</v>
      </c>
      <c r="R2972" s="17" t="s">
        <v>21</v>
      </c>
      <c r="S2972" s="50" t="str">
        <f t="shared" si="140"/>
        <v>Charlie-West</v>
      </c>
      <c r="T2972" s="59" t="str">
        <f>IF(ROUND(sales_data_1[[#This Row],[Profit_Margin]],2)=ROUND((sales_data_1[[#This Row],[Unit_Price]]*(1-sales_data_1[[#This Row],[Discount]]) - sales_data_1[[#This Row],[Unit_Cost]])*sales_data_1[[#This Row],[Quantity_Sold]],2), "PASS", "CHECK")</f>
        <v>PASS</v>
      </c>
    </row>
    <row r="2973" spans="1:20" x14ac:dyDescent="0.35">
      <c r="A2973" s="7">
        <v>2972</v>
      </c>
      <c r="B2973" s="9">
        <v>1081</v>
      </c>
      <c r="C2973" s="14" t="str">
        <f>IFERROR(_xlfn.TEXTJOIN("-", TRUE, _xlfn.XLOOKUP(K2973, product_category_id_lookup!$A$2:$A$5, product_category_id_lookup!$B$2:$B$5), B2973), "Unknown Category")</f>
        <v>fd-1081</v>
      </c>
      <c r="D2973" s="8">
        <v>45574</v>
      </c>
      <c r="E2973" s="14">
        <f t="shared" si="138"/>
        <v>2024</v>
      </c>
      <c r="F2973" s="29" t="str">
        <f t="shared" si="139"/>
        <v>Oct</v>
      </c>
      <c r="G2973" s="17" t="s">
        <v>33</v>
      </c>
      <c r="H2973" s="17" t="s">
        <v>20</v>
      </c>
      <c r="I2973" s="24">
        <v>73258.667999999991</v>
      </c>
      <c r="J2973" s="32">
        <v>21</v>
      </c>
      <c r="K2973" s="17" t="s">
        <v>24</v>
      </c>
      <c r="L2973" s="24">
        <v>2975.3</v>
      </c>
      <c r="M2973" s="24">
        <v>3876.12</v>
      </c>
      <c r="N2973" s="34">
        <f>((sales_data_1[[#This Row],[Unit_Price]]*(1-sales_data_1[[#This Row],[Discount]]))-sales_data_1[[#This Row],[Unit_Cost]])*sales_data_1[[#This Row],[Quantity_Sold]]</f>
        <v>10777.367999999991</v>
      </c>
      <c r="O2973" s="17" t="s">
        <v>27</v>
      </c>
      <c r="P2973" s="26">
        <v>0.1</v>
      </c>
      <c r="Q2973" s="17" t="s">
        <v>25</v>
      </c>
      <c r="R2973" s="17" t="s">
        <v>21</v>
      </c>
      <c r="S2973" s="50" t="str">
        <f t="shared" si="140"/>
        <v>Alice-West</v>
      </c>
      <c r="T2973" s="59" t="str">
        <f>IF(ROUND(sales_data_1[[#This Row],[Profit_Margin]],2)=ROUND((sales_data_1[[#This Row],[Unit_Price]]*(1-sales_data_1[[#This Row],[Discount]]) - sales_data_1[[#This Row],[Unit_Cost]])*sales_data_1[[#This Row],[Quantity_Sold]],2), "PASS", "CHECK")</f>
        <v>PASS</v>
      </c>
    </row>
    <row r="2974" spans="1:20" x14ac:dyDescent="0.35">
      <c r="A2974" s="7">
        <v>2973</v>
      </c>
      <c r="B2974" s="9">
        <v>1048</v>
      </c>
      <c r="C2974" s="14" t="str">
        <f>IFERROR(_xlfn.TEXTJOIN("-", TRUE, _xlfn.XLOOKUP(K2974, product_category_id_lookup!$A$2:$A$5, product_category_id_lookup!$B$2:$B$5), B2974), "Unknown Category")</f>
        <v>etc-1048</v>
      </c>
      <c r="D2974" s="8">
        <v>45574</v>
      </c>
      <c r="E2974" s="14">
        <f t="shared" si="138"/>
        <v>2024</v>
      </c>
      <c r="F2974" s="29" t="str">
        <f t="shared" si="139"/>
        <v>Oct</v>
      </c>
      <c r="G2974" s="17" t="s">
        <v>33</v>
      </c>
      <c r="H2974" s="17" t="s">
        <v>20</v>
      </c>
      <c r="I2974" s="24">
        <v>87272.734499999991</v>
      </c>
      <c r="J2974" s="32">
        <v>35</v>
      </c>
      <c r="K2974" s="17" t="s">
        <v>31</v>
      </c>
      <c r="L2974" s="24">
        <v>1714.63</v>
      </c>
      <c r="M2974" s="24">
        <v>2681.19</v>
      </c>
      <c r="N2974" s="34">
        <f>((sales_data_1[[#This Row],[Unit_Price]]*(1-sales_data_1[[#This Row],[Discount]]))-sales_data_1[[#This Row],[Unit_Cost]])*sales_data_1[[#This Row],[Quantity_Sold]]</f>
        <v>27260.684499999992</v>
      </c>
      <c r="O2974" s="17" t="s">
        <v>27</v>
      </c>
      <c r="P2974" s="26">
        <v>7.0000000000000007E-2</v>
      </c>
      <c r="Q2974" s="17" t="s">
        <v>18</v>
      </c>
      <c r="R2974" s="17" t="s">
        <v>21</v>
      </c>
      <c r="S2974" s="50" t="str">
        <f t="shared" si="140"/>
        <v>Alice-West</v>
      </c>
      <c r="T2974" s="59" t="str">
        <f>IF(ROUND(sales_data_1[[#This Row],[Profit_Margin]],2)=ROUND((sales_data_1[[#This Row],[Unit_Price]]*(1-sales_data_1[[#This Row],[Discount]]) - sales_data_1[[#This Row],[Unit_Cost]])*sales_data_1[[#This Row],[Quantity_Sold]],2), "PASS", "CHECK")</f>
        <v>PASS</v>
      </c>
    </row>
    <row r="2975" spans="1:20" x14ac:dyDescent="0.35">
      <c r="A2975" s="7">
        <v>2974</v>
      </c>
      <c r="B2975" s="9">
        <v>1038</v>
      </c>
      <c r="C2975" s="14" t="str">
        <f>IFERROR(_xlfn.TEXTJOIN("-", TRUE, _xlfn.XLOOKUP(K2975, product_category_id_lookup!$A$2:$A$5, product_category_id_lookup!$B$2:$B$5), B2975), "Unknown Category")</f>
        <v>etc-1038</v>
      </c>
      <c r="D2975" s="8">
        <v>45575</v>
      </c>
      <c r="E2975" s="14">
        <f t="shared" si="138"/>
        <v>2024</v>
      </c>
      <c r="F2975" s="29" t="str">
        <f t="shared" si="139"/>
        <v>Oct</v>
      </c>
      <c r="G2975" s="17" t="s">
        <v>29</v>
      </c>
      <c r="H2975" s="17" t="s">
        <v>23</v>
      </c>
      <c r="I2975" s="24">
        <v>23793.039540131467</v>
      </c>
      <c r="J2975" s="32">
        <v>7</v>
      </c>
      <c r="K2975" s="17" t="s">
        <v>31</v>
      </c>
      <c r="L2975" s="24">
        <v>3312.17</v>
      </c>
      <c r="M2975" s="24">
        <v>3412.44</v>
      </c>
      <c r="N2975" s="34">
        <f>((sales_data_1[[#This Row],[Unit_Price]]*(1-sales_data_1[[#This Row],[Discount]]))-sales_data_1[[#This Row],[Unit_Cost]])*sales_data_1[[#This Row],[Quantity_Sold]]</f>
        <v>701.88999999999987</v>
      </c>
      <c r="O2975" s="17" t="s">
        <v>17</v>
      </c>
      <c r="P2975" s="26">
        <v>0</v>
      </c>
      <c r="Q2975" s="17" t="s">
        <v>18</v>
      </c>
      <c r="R2975" s="17" t="s">
        <v>21</v>
      </c>
      <c r="S2975" s="50" t="str">
        <f t="shared" si="140"/>
        <v>Charlie-South</v>
      </c>
      <c r="T2975" s="59" t="str">
        <f>IF(ROUND(sales_data_1[[#This Row],[Profit_Margin]],2)=ROUND((sales_data_1[[#This Row],[Unit_Price]]*(1-sales_data_1[[#This Row],[Discount]]) - sales_data_1[[#This Row],[Unit_Cost]])*sales_data_1[[#This Row],[Quantity_Sold]],2), "PASS", "CHECK")</f>
        <v>PASS</v>
      </c>
    </row>
    <row r="2976" spans="1:20" x14ac:dyDescent="0.35">
      <c r="A2976" s="7">
        <v>2975</v>
      </c>
      <c r="B2976" s="9">
        <v>1077</v>
      </c>
      <c r="C2976" s="14" t="str">
        <f>IFERROR(_xlfn.TEXTJOIN("-", TRUE, _xlfn.XLOOKUP(K2976, product_category_id_lookup!$A$2:$A$5, product_category_id_lookup!$B$2:$B$5), B2976), "Unknown Category")</f>
        <v>etc-1077</v>
      </c>
      <c r="D2976" s="8">
        <v>45575</v>
      </c>
      <c r="E2976" s="14">
        <f t="shared" si="138"/>
        <v>2024</v>
      </c>
      <c r="F2976" s="29" t="str">
        <f t="shared" si="139"/>
        <v>Oct</v>
      </c>
      <c r="G2976" s="17" t="s">
        <v>14</v>
      </c>
      <c r="H2976" s="17" t="s">
        <v>23</v>
      </c>
      <c r="I2976" s="24">
        <v>57180.184600000001</v>
      </c>
      <c r="J2976" s="32">
        <v>38</v>
      </c>
      <c r="K2976" s="17" t="s">
        <v>31</v>
      </c>
      <c r="L2976" s="24">
        <v>1418.42</v>
      </c>
      <c r="M2976" s="24">
        <v>1954.21</v>
      </c>
      <c r="N2976" s="34">
        <f>((sales_data_1[[#This Row],[Unit_Price]]*(1-sales_data_1[[#This Row],[Discount]]))-sales_data_1[[#This Row],[Unit_Cost]])*sales_data_1[[#This Row],[Quantity_Sold]]</f>
        <v>3280.2245999999986</v>
      </c>
      <c r="O2976" s="17" t="s">
        <v>27</v>
      </c>
      <c r="P2976" s="26">
        <v>0.23</v>
      </c>
      <c r="Q2976" s="17" t="s">
        <v>28</v>
      </c>
      <c r="R2976" s="17" t="s">
        <v>19</v>
      </c>
      <c r="S2976" s="50" t="str">
        <f t="shared" si="140"/>
        <v>Bob-South</v>
      </c>
      <c r="T2976" s="59" t="str">
        <f>IF(ROUND(sales_data_1[[#This Row],[Profit_Margin]],2)=ROUND((sales_data_1[[#This Row],[Unit_Price]]*(1-sales_data_1[[#This Row],[Discount]]) - sales_data_1[[#This Row],[Unit_Cost]])*sales_data_1[[#This Row],[Quantity_Sold]],2), "PASS", "CHECK")</f>
        <v>PASS</v>
      </c>
    </row>
    <row r="2977" spans="1:20" x14ac:dyDescent="0.35">
      <c r="A2977" s="7">
        <v>2976</v>
      </c>
      <c r="B2977" s="9">
        <v>1045</v>
      </c>
      <c r="C2977" s="14" t="str">
        <f>IFERROR(_xlfn.TEXTJOIN("-", TRUE, _xlfn.XLOOKUP(K2977, product_category_id_lookup!$A$2:$A$5, product_category_id_lookup!$B$2:$B$5), B2977), "Unknown Category")</f>
        <v>fnt-1045</v>
      </c>
      <c r="D2977" s="8">
        <v>45575</v>
      </c>
      <c r="E2977" s="14">
        <f t="shared" si="138"/>
        <v>2024</v>
      </c>
      <c r="F2977" s="29" t="str">
        <f t="shared" si="139"/>
        <v>Oct</v>
      </c>
      <c r="G2977" s="17" t="s">
        <v>32</v>
      </c>
      <c r="H2977" s="17" t="s">
        <v>20</v>
      </c>
      <c r="I2977" s="24">
        <v>32721.249599999999</v>
      </c>
      <c r="J2977" s="32">
        <v>9</v>
      </c>
      <c r="K2977" s="17" t="s">
        <v>16</v>
      </c>
      <c r="L2977" s="24">
        <v>2644.64</v>
      </c>
      <c r="M2977" s="24">
        <v>3867.76</v>
      </c>
      <c r="N2977" s="34">
        <f>((sales_data_1[[#This Row],[Unit_Price]]*(1-sales_data_1[[#This Row],[Discount]]))-sales_data_1[[#This Row],[Unit_Cost]])*sales_data_1[[#This Row],[Quantity_Sold]]</f>
        <v>8919.4896000000008</v>
      </c>
      <c r="O2977" s="17" t="s">
        <v>27</v>
      </c>
      <c r="P2977" s="26">
        <v>0.06</v>
      </c>
      <c r="Q2977" s="17" t="s">
        <v>28</v>
      </c>
      <c r="R2977" s="17" t="s">
        <v>19</v>
      </c>
      <c r="S2977" s="50" t="str">
        <f t="shared" si="140"/>
        <v>Eve-West</v>
      </c>
      <c r="T2977" s="59" t="str">
        <f>IF(ROUND(sales_data_1[[#This Row],[Profit_Margin]],2)=ROUND((sales_data_1[[#This Row],[Unit_Price]]*(1-sales_data_1[[#This Row],[Discount]]) - sales_data_1[[#This Row],[Unit_Cost]])*sales_data_1[[#This Row],[Quantity_Sold]],2), "PASS", "CHECK")</f>
        <v>PASS</v>
      </c>
    </row>
    <row r="2978" spans="1:20" x14ac:dyDescent="0.35">
      <c r="A2978" s="7">
        <v>2977</v>
      </c>
      <c r="B2978" s="9">
        <v>1069</v>
      </c>
      <c r="C2978" s="14" t="str">
        <f>IFERROR(_xlfn.TEXTJOIN("-", TRUE, _xlfn.XLOOKUP(K2978, product_category_id_lookup!$A$2:$A$5, product_category_id_lookup!$B$2:$B$5), B2978), "Unknown Category")</f>
        <v>fnt-1069</v>
      </c>
      <c r="D2978" s="8">
        <v>45575</v>
      </c>
      <c r="E2978" s="14">
        <f t="shared" si="138"/>
        <v>2024</v>
      </c>
      <c r="F2978" s="29" t="str">
        <f t="shared" si="139"/>
        <v>Oct</v>
      </c>
      <c r="G2978" s="17" t="s">
        <v>22</v>
      </c>
      <c r="H2978" s="17" t="s">
        <v>30</v>
      </c>
      <c r="I2978" s="24">
        <v>181964.71859999999</v>
      </c>
      <c r="J2978" s="32">
        <v>42</v>
      </c>
      <c r="K2978" s="17" t="s">
        <v>16</v>
      </c>
      <c r="L2978" s="24">
        <v>2504.3000000000002</v>
      </c>
      <c r="M2978" s="24">
        <v>4867.97</v>
      </c>
      <c r="N2978" s="34">
        <f>((sales_data_1[[#This Row],[Unit_Price]]*(1-sales_data_1[[#This Row],[Discount]]))-sales_data_1[[#This Row],[Unit_Cost]])*sales_data_1[[#This Row],[Quantity_Sold]]</f>
        <v>76784.118600000002</v>
      </c>
      <c r="O2978" s="17" t="s">
        <v>27</v>
      </c>
      <c r="P2978" s="26">
        <v>0.11</v>
      </c>
      <c r="Q2978" s="17" t="s">
        <v>28</v>
      </c>
      <c r="R2978" s="17" t="s">
        <v>21</v>
      </c>
      <c r="S2978" s="50" t="str">
        <f t="shared" si="140"/>
        <v>David-East</v>
      </c>
      <c r="T2978" s="59" t="str">
        <f>IF(ROUND(sales_data_1[[#This Row],[Profit_Margin]],2)=ROUND((sales_data_1[[#This Row],[Unit_Price]]*(1-sales_data_1[[#This Row],[Discount]]) - sales_data_1[[#This Row],[Unit_Cost]])*sales_data_1[[#This Row],[Quantity_Sold]],2), "PASS", "CHECK")</f>
        <v>PASS</v>
      </c>
    </row>
    <row r="2979" spans="1:20" x14ac:dyDescent="0.35">
      <c r="A2979" s="7">
        <v>2978</v>
      </c>
      <c r="B2979" s="9">
        <v>1010</v>
      </c>
      <c r="C2979" s="14" t="str">
        <f>IFERROR(_xlfn.TEXTJOIN("-", TRUE, _xlfn.XLOOKUP(K2979, product_category_id_lookup!$A$2:$A$5, product_category_id_lookup!$B$2:$B$5), B2979), "Unknown Category")</f>
        <v>fd-1010</v>
      </c>
      <c r="D2979" s="8">
        <v>45576</v>
      </c>
      <c r="E2979" s="14">
        <f t="shared" si="138"/>
        <v>2024</v>
      </c>
      <c r="F2979" s="29" t="str">
        <f t="shared" si="139"/>
        <v>Oct</v>
      </c>
      <c r="G2979" s="17" t="s">
        <v>33</v>
      </c>
      <c r="H2979" s="17" t="s">
        <v>20</v>
      </c>
      <c r="I2979" s="24">
        <v>3210.4416000000001</v>
      </c>
      <c r="J2979" s="32">
        <v>1</v>
      </c>
      <c r="K2979" s="17" t="s">
        <v>24</v>
      </c>
      <c r="L2979" s="24">
        <v>533.04</v>
      </c>
      <c r="M2979" s="24">
        <v>3344.21</v>
      </c>
      <c r="N2979" s="34">
        <f>((sales_data_1[[#This Row],[Unit_Price]]*(1-sales_data_1[[#This Row],[Discount]]))-sales_data_1[[#This Row],[Unit_Cost]])*sales_data_1[[#This Row],[Quantity_Sold]]</f>
        <v>2677.4016000000001</v>
      </c>
      <c r="O2979" s="17" t="s">
        <v>17</v>
      </c>
      <c r="P2979" s="26">
        <v>0.04</v>
      </c>
      <c r="Q2979" s="17" t="s">
        <v>18</v>
      </c>
      <c r="R2979" s="17" t="s">
        <v>19</v>
      </c>
      <c r="S2979" s="50" t="str">
        <f t="shared" si="140"/>
        <v>Alice-West</v>
      </c>
      <c r="T2979" s="59" t="str">
        <f>IF(ROUND(sales_data_1[[#This Row],[Profit_Margin]],2)=ROUND((sales_data_1[[#This Row],[Unit_Price]]*(1-sales_data_1[[#This Row],[Discount]]) - sales_data_1[[#This Row],[Unit_Cost]])*sales_data_1[[#This Row],[Quantity_Sold]],2), "PASS", "CHECK")</f>
        <v>PASS</v>
      </c>
    </row>
    <row r="2980" spans="1:20" x14ac:dyDescent="0.35">
      <c r="A2980" s="7">
        <v>2979</v>
      </c>
      <c r="B2980" s="9">
        <v>1016</v>
      </c>
      <c r="C2980" s="14" t="str">
        <f>IFERROR(_xlfn.TEXTJOIN("-", TRUE, _xlfn.XLOOKUP(K2980, product_category_id_lookup!$A$2:$A$5, product_category_id_lookup!$B$2:$B$5), B2980), "Unknown Category")</f>
        <v>ctg-1016</v>
      </c>
      <c r="D2980" s="8">
        <v>45576</v>
      </c>
      <c r="E2980" s="14">
        <f t="shared" si="138"/>
        <v>2024</v>
      </c>
      <c r="F2980" s="29" t="str">
        <f t="shared" si="139"/>
        <v>Oct</v>
      </c>
      <c r="G2980" s="17" t="s">
        <v>32</v>
      </c>
      <c r="H2980" s="17" t="s">
        <v>30</v>
      </c>
      <c r="I2980" s="24">
        <v>36285.168299999998</v>
      </c>
      <c r="J2980" s="32">
        <v>31</v>
      </c>
      <c r="K2980" s="17" t="s">
        <v>26</v>
      </c>
      <c r="L2980" s="24">
        <v>179.94</v>
      </c>
      <c r="M2980" s="24">
        <v>1603.41</v>
      </c>
      <c r="N2980" s="34">
        <f>((sales_data_1[[#This Row],[Unit_Price]]*(1-sales_data_1[[#This Row],[Discount]]))-sales_data_1[[#This Row],[Unit_Cost]])*sales_data_1[[#This Row],[Quantity_Sold]]</f>
        <v>30707.028299999998</v>
      </c>
      <c r="O2980" s="17" t="s">
        <v>27</v>
      </c>
      <c r="P2980" s="26">
        <v>0.27</v>
      </c>
      <c r="Q2980" s="17" t="s">
        <v>25</v>
      </c>
      <c r="R2980" s="17" t="s">
        <v>19</v>
      </c>
      <c r="S2980" s="50" t="str">
        <f t="shared" si="140"/>
        <v>Eve-East</v>
      </c>
      <c r="T2980" s="59" t="str">
        <f>IF(ROUND(sales_data_1[[#This Row],[Profit_Margin]],2)=ROUND((sales_data_1[[#This Row],[Unit_Price]]*(1-sales_data_1[[#This Row],[Discount]]) - sales_data_1[[#This Row],[Unit_Cost]])*sales_data_1[[#This Row],[Quantity_Sold]],2), "PASS", "CHECK")</f>
        <v>PASS</v>
      </c>
    </row>
    <row r="2981" spans="1:20" x14ac:dyDescent="0.35">
      <c r="A2981" s="7">
        <v>2980</v>
      </c>
      <c r="B2981" s="9">
        <v>1027</v>
      </c>
      <c r="C2981" s="14" t="str">
        <f>IFERROR(_xlfn.TEXTJOIN("-", TRUE, _xlfn.XLOOKUP(K2981, product_category_id_lookup!$A$2:$A$5, product_category_id_lookup!$B$2:$B$5), B2981), "Unknown Category")</f>
        <v>fnt-1027</v>
      </c>
      <c r="D2981" s="8">
        <v>45576</v>
      </c>
      <c r="E2981" s="14">
        <f t="shared" si="138"/>
        <v>2024</v>
      </c>
      <c r="F2981" s="29" t="str">
        <f t="shared" si="139"/>
        <v>Oct</v>
      </c>
      <c r="G2981" s="17" t="s">
        <v>22</v>
      </c>
      <c r="H2981" s="17" t="s">
        <v>20</v>
      </c>
      <c r="I2981" s="24">
        <v>47910.166200000007</v>
      </c>
      <c r="J2981" s="32">
        <v>13</v>
      </c>
      <c r="K2981" s="17" t="s">
        <v>16</v>
      </c>
      <c r="L2981" s="24">
        <v>1225.81</v>
      </c>
      <c r="M2981" s="24">
        <v>4665.0600000000004</v>
      </c>
      <c r="N2981" s="34">
        <f>((sales_data_1[[#This Row],[Unit_Price]]*(1-sales_data_1[[#This Row],[Discount]]))-sales_data_1[[#This Row],[Unit_Cost]])*sales_data_1[[#This Row],[Quantity_Sold]]</f>
        <v>31974.636200000004</v>
      </c>
      <c r="O2981" s="17" t="s">
        <v>17</v>
      </c>
      <c r="P2981" s="26">
        <v>0.21</v>
      </c>
      <c r="Q2981" s="17" t="s">
        <v>25</v>
      </c>
      <c r="R2981" s="17" t="s">
        <v>21</v>
      </c>
      <c r="S2981" s="50" t="str">
        <f t="shared" si="140"/>
        <v>David-West</v>
      </c>
      <c r="T2981" s="59" t="str">
        <f>IF(ROUND(sales_data_1[[#This Row],[Profit_Margin]],2)=ROUND((sales_data_1[[#This Row],[Unit_Price]]*(1-sales_data_1[[#This Row],[Discount]]) - sales_data_1[[#This Row],[Unit_Cost]])*sales_data_1[[#This Row],[Quantity_Sold]],2), "PASS", "CHECK")</f>
        <v>PASS</v>
      </c>
    </row>
    <row r="2982" spans="1:20" x14ac:dyDescent="0.35">
      <c r="A2982" s="7">
        <v>2981</v>
      </c>
      <c r="B2982" s="9">
        <v>1100</v>
      </c>
      <c r="C2982" s="14" t="str">
        <f>IFERROR(_xlfn.TEXTJOIN("-", TRUE, _xlfn.XLOOKUP(K2982, product_category_id_lookup!$A$2:$A$5, product_category_id_lookup!$B$2:$B$5), B2982), "Unknown Category")</f>
        <v>fnt-1100</v>
      </c>
      <c r="D2982" s="8">
        <v>45576</v>
      </c>
      <c r="E2982" s="14">
        <f t="shared" si="138"/>
        <v>2024</v>
      </c>
      <c r="F2982" s="29" t="str">
        <f t="shared" si="139"/>
        <v>Oct</v>
      </c>
      <c r="G2982" s="17" t="s">
        <v>14</v>
      </c>
      <c r="H2982" s="17" t="s">
        <v>20</v>
      </c>
      <c r="I2982" s="24">
        <v>62858.268000000004</v>
      </c>
      <c r="J2982" s="32">
        <v>18</v>
      </c>
      <c r="K2982" s="17" t="s">
        <v>16</v>
      </c>
      <c r="L2982" s="24">
        <v>489.29</v>
      </c>
      <c r="M2982" s="24">
        <v>3527.4</v>
      </c>
      <c r="N2982" s="34">
        <f>((sales_data_1[[#This Row],[Unit_Price]]*(1-sales_data_1[[#This Row],[Discount]]))-sales_data_1[[#This Row],[Unit_Cost]])*sales_data_1[[#This Row],[Quantity_Sold]]</f>
        <v>54051.048000000003</v>
      </c>
      <c r="O2982" s="17" t="s">
        <v>17</v>
      </c>
      <c r="P2982" s="26">
        <v>0.01</v>
      </c>
      <c r="Q2982" s="17" t="s">
        <v>28</v>
      </c>
      <c r="R2982" s="17" t="s">
        <v>19</v>
      </c>
      <c r="S2982" s="50" t="str">
        <f t="shared" si="140"/>
        <v>Bob-West</v>
      </c>
      <c r="T2982" s="59" t="str">
        <f>IF(ROUND(sales_data_1[[#This Row],[Profit_Margin]],2)=ROUND((sales_data_1[[#This Row],[Unit_Price]]*(1-sales_data_1[[#This Row],[Discount]]) - sales_data_1[[#This Row],[Unit_Cost]])*sales_data_1[[#This Row],[Quantity_Sold]],2), "PASS", "CHECK")</f>
        <v>PASS</v>
      </c>
    </row>
    <row r="2983" spans="1:20" x14ac:dyDescent="0.35">
      <c r="A2983" s="7">
        <v>2982</v>
      </c>
      <c r="B2983" s="9">
        <v>1060</v>
      </c>
      <c r="C2983" s="14" t="str">
        <f>IFERROR(_xlfn.TEXTJOIN("-", TRUE, _xlfn.XLOOKUP(K2983, product_category_id_lookup!$A$2:$A$5, product_category_id_lookup!$B$2:$B$5), B2983), "Unknown Category")</f>
        <v>etc-1060</v>
      </c>
      <c r="D2983" s="8">
        <v>45576</v>
      </c>
      <c r="E2983" s="14">
        <f t="shared" si="138"/>
        <v>2024</v>
      </c>
      <c r="F2983" s="29" t="str">
        <f t="shared" si="139"/>
        <v>Oct</v>
      </c>
      <c r="G2983" s="17" t="s">
        <v>32</v>
      </c>
      <c r="H2983" s="17" t="s">
        <v>15</v>
      </c>
      <c r="I2983" s="24">
        <v>106438.4256</v>
      </c>
      <c r="J2983" s="32">
        <v>26</v>
      </c>
      <c r="K2983" s="17" t="s">
        <v>31</v>
      </c>
      <c r="L2983" s="24">
        <v>1637.36</v>
      </c>
      <c r="M2983" s="24">
        <v>5386.56</v>
      </c>
      <c r="N2983" s="34">
        <f>((sales_data_1[[#This Row],[Unit_Price]]*(1-sales_data_1[[#This Row],[Discount]]))-sales_data_1[[#This Row],[Unit_Cost]])*sales_data_1[[#This Row],[Quantity_Sold]]</f>
        <v>63867.065600000016</v>
      </c>
      <c r="O2983" s="17" t="s">
        <v>17</v>
      </c>
      <c r="P2983" s="26">
        <v>0.24</v>
      </c>
      <c r="Q2983" s="17" t="s">
        <v>25</v>
      </c>
      <c r="R2983" s="17" t="s">
        <v>19</v>
      </c>
      <c r="S2983" s="50" t="str">
        <f t="shared" si="140"/>
        <v>Eve-North</v>
      </c>
      <c r="T2983" s="59" t="str">
        <f>IF(ROUND(sales_data_1[[#This Row],[Profit_Margin]],2)=ROUND((sales_data_1[[#This Row],[Unit_Price]]*(1-sales_data_1[[#This Row],[Discount]]) - sales_data_1[[#This Row],[Unit_Cost]])*sales_data_1[[#This Row],[Quantity_Sold]],2), "PASS", "CHECK")</f>
        <v>PASS</v>
      </c>
    </row>
    <row r="2984" spans="1:20" x14ac:dyDescent="0.35">
      <c r="A2984" s="7">
        <v>2983</v>
      </c>
      <c r="B2984" s="9">
        <v>1090</v>
      </c>
      <c r="C2984" s="14" t="str">
        <f>IFERROR(_xlfn.TEXTJOIN("-", TRUE, _xlfn.XLOOKUP(K2984, product_category_id_lookup!$A$2:$A$5, product_category_id_lookup!$B$2:$B$5), B2984), "Unknown Category")</f>
        <v>ctg-1090</v>
      </c>
      <c r="D2984" s="8">
        <v>45576</v>
      </c>
      <c r="E2984" s="14">
        <f t="shared" si="138"/>
        <v>2024</v>
      </c>
      <c r="F2984" s="29" t="str">
        <f t="shared" si="139"/>
        <v>Oct</v>
      </c>
      <c r="G2984" s="17" t="s">
        <v>14</v>
      </c>
      <c r="H2984" s="17" t="s">
        <v>23</v>
      </c>
      <c r="I2984" s="24">
        <v>110770.45</v>
      </c>
      <c r="J2984" s="32">
        <v>35</v>
      </c>
      <c r="K2984" s="17" t="s">
        <v>26</v>
      </c>
      <c r="L2984" s="24">
        <v>1081.48</v>
      </c>
      <c r="M2984" s="24">
        <v>3164.87</v>
      </c>
      <c r="N2984" s="34">
        <f>((sales_data_1[[#This Row],[Unit_Price]]*(1-sales_data_1[[#This Row],[Discount]]))-sales_data_1[[#This Row],[Unit_Cost]])*sales_data_1[[#This Row],[Quantity_Sold]]</f>
        <v>72918.649999999994</v>
      </c>
      <c r="O2984" s="17" t="s">
        <v>17</v>
      </c>
      <c r="P2984" s="26">
        <v>0</v>
      </c>
      <c r="Q2984" s="17" t="s">
        <v>28</v>
      </c>
      <c r="R2984" s="17" t="s">
        <v>19</v>
      </c>
      <c r="S2984" s="50" t="str">
        <f t="shared" si="140"/>
        <v>Bob-South</v>
      </c>
      <c r="T2984" s="59" t="str">
        <f>IF(ROUND(sales_data_1[[#This Row],[Profit_Margin]],2)=ROUND((sales_data_1[[#This Row],[Unit_Price]]*(1-sales_data_1[[#This Row],[Discount]]) - sales_data_1[[#This Row],[Unit_Cost]])*sales_data_1[[#This Row],[Quantity_Sold]],2), "PASS", "CHECK")</f>
        <v>PASS</v>
      </c>
    </row>
    <row r="2985" spans="1:20" x14ac:dyDescent="0.35">
      <c r="A2985" s="7">
        <v>2984</v>
      </c>
      <c r="B2985" s="9">
        <v>1082</v>
      </c>
      <c r="C2985" s="14" t="str">
        <f>IFERROR(_xlfn.TEXTJOIN("-", TRUE, _xlfn.XLOOKUP(K2985, product_category_id_lookup!$A$2:$A$5, product_category_id_lookup!$B$2:$B$5), B2985), "Unknown Category")</f>
        <v>ctg-1082</v>
      </c>
      <c r="D2985" s="8">
        <v>45576</v>
      </c>
      <c r="E2985" s="14">
        <f t="shared" si="138"/>
        <v>2024</v>
      </c>
      <c r="F2985" s="29" t="str">
        <f t="shared" si="139"/>
        <v>Oct</v>
      </c>
      <c r="G2985" s="17" t="s">
        <v>32</v>
      </c>
      <c r="H2985" s="17" t="s">
        <v>15</v>
      </c>
      <c r="I2985" s="24">
        <v>163765.51999999999</v>
      </c>
      <c r="J2985" s="32">
        <v>46</v>
      </c>
      <c r="K2985" s="17" t="s">
        <v>26</v>
      </c>
      <c r="L2985" s="24">
        <v>1677.77</v>
      </c>
      <c r="M2985" s="24">
        <v>4450.1499999999996</v>
      </c>
      <c r="N2985" s="34">
        <f>((sales_data_1[[#This Row],[Unit_Price]]*(1-sales_data_1[[#This Row],[Discount]]))-sales_data_1[[#This Row],[Unit_Cost]])*sales_data_1[[#This Row],[Quantity_Sold]]</f>
        <v>86588.099999999991</v>
      </c>
      <c r="O2985" s="17" t="s">
        <v>17</v>
      </c>
      <c r="P2985" s="26">
        <v>0.2</v>
      </c>
      <c r="Q2985" s="17" t="s">
        <v>18</v>
      </c>
      <c r="R2985" s="17" t="s">
        <v>21</v>
      </c>
      <c r="S2985" s="50" t="str">
        <f t="shared" si="140"/>
        <v>Eve-North</v>
      </c>
      <c r="T2985" s="59" t="str">
        <f>IF(ROUND(sales_data_1[[#This Row],[Profit_Margin]],2)=ROUND((sales_data_1[[#This Row],[Unit_Price]]*(1-sales_data_1[[#This Row],[Discount]]) - sales_data_1[[#This Row],[Unit_Cost]])*sales_data_1[[#This Row],[Quantity_Sold]],2), "PASS", "CHECK")</f>
        <v>PASS</v>
      </c>
    </row>
    <row r="2986" spans="1:20" x14ac:dyDescent="0.35">
      <c r="A2986" s="7">
        <v>2985</v>
      </c>
      <c r="B2986" s="9">
        <v>1053</v>
      </c>
      <c r="C2986" s="14" t="str">
        <f>IFERROR(_xlfn.TEXTJOIN("-", TRUE, _xlfn.XLOOKUP(K2986, product_category_id_lookup!$A$2:$A$5, product_category_id_lookup!$B$2:$B$5), B2986), "Unknown Category")</f>
        <v>fnt-1053</v>
      </c>
      <c r="D2986" s="8">
        <v>45577</v>
      </c>
      <c r="E2986" s="14">
        <f t="shared" si="138"/>
        <v>2024</v>
      </c>
      <c r="F2986" s="29" t="str">
        <f t="shared" si="139"/>
        <v>Oct</v>
      </c>
      <c r="G2986" s="17" t="s">
        <v>14</v>
      </c>
      <c r="H2986" s="17" t="s">
        <v>23</v>
      </c>
      <c r="I2986" s="24">
        <v>8980.1040000000012</v>
      </c>
      <c r="J2986" s="32">
        <v>3</v>
      </c>
      <c r="K2986" s="17" t="s">
        <v>16</v>
      </c>
      <c r="L2986" s="24">
        <v>2036.79</v>
      </c>
      <c r="M2986" s="24">
        <v>3741.71</v>
      </c>
      <c r="N2986" s="34">
        <f>((sales_data_1[[#This Row],[Unit_Price]]*(1-sales_data_1[[#This Row],[Discount]]))-sales_data_1[[#This Row],[Unit_Cost]])*sales_data_1[[#This Row],[Quantity_Sold]]</f>
        <v>2869.7340000000013</v>
      </c>
      <c r="O2986" s="17" t="s">
        <v>27</v>
      </c>
      <c r="P2986" s="26">
        <v>0.2</v>
      </c>
      <c r="Q2986" s="17" t="s">
        <v>28</v>
      </c>
      <c r="R2986" s="17" t="s">
        <v>21</v>
      </c>
      <c r="S2986" s="50" t="str">
        <f t="shared" si="140"/>
        <v>Bob-South</v>
      </c>
      <c r="T2986" s="59" t="str">
        <f>IF(ROUND(sales_data_1[[#This Row],[Profit_Margin]],2)=ROUND((sales_data_1[[#This Row],[Unit_Price]]*(1-sales_data_1[[#This Row],[Discount]]) - sales_data_1[[#This Row],[Unit_Cost]])*sales_data_1[[#This Row],[Quantity_Sold]],2), "PASS", "CHECK")</f>
        <v>PASS</v>
      </c>
    </row>
    <row r="2987" spans="1:20" x14ac:dyDescent="0.35">
      <c r="A2987" s="7">
        <v>2986</v>
      </c>
      <c r="B2987" s="9">
        <v>1090</v>
      </c>
      <c r="C2987" s="14" t="str">
        <f>IFERROR(_xlfn.TEXTJOIN("-", TRUE, _xlfn.XLOOKUP(K2987, product_category_id_lookup!$A$2:$A$5, product_category_id_lookup!$B$2:$B$5), B2987), "Unknown Category")</f>
        <v>etc-1090</v>
      </c>
      <c r="D2987" s="8">
        <v>45577</v>
      </c>
      <c r="E2987" s="14">
        <f t="shared" si="138"/>
        <v>2024</v>
      </c>
      <c r="F2987" s="29" t="str">
        <f t="shared" si="139"/>
        <v>Oct</v>
      </c>
      <c r="G2987" s="17" t="s">
        <v>32</v>
      </c>
      <c r="H2987" s="17" t="s">
        <v>15</v>
      </c>
      <c r="I2987" s="24">
        <v>104401.2613053934</v>
      </c>
      <c r="J2987" s="32">
        <v>46</v>
      </c>
      <c r="K2987" s="17" t="s">
        <v>31</v>
      </c>
      <c r="L2987" s="24">
        <v>1991.36</v>
      </c>
      <c r="M2987" s="24">
        <v>2319.9299999999998</v>
      </c>
      <c r="N2987" s="34">
        <f>((sales_data_1[[#This Row],[Unit_Price]]*(1-sales_data_1[[#This Row],[Discount]]))-sales_data_1[[#This Row],[Unit_Cost]])*sales_data_1[[#This Row],[Quantity_Sold]]</f>
        <v>12979.884399999997</v>
      </c>
      <c r="O2987" s="17" t="s">
        <v>27</v>
      </c>
      <c r="P2987" s="26">
        <v>0.02</v>
      </c>
      <c r="Q2987" s="17" t="s">
        <v>18</v>
      </c>
      <c r="R2987" s="17" t="s">
        <v>21</v>
      </c>
      <c r="S2987" s="50" t="str">
        <f t="shared" si="140"/>
        <v>Eve-North</v>
      </c>
      <c r="T2987" s="59" t="str">
        <f>IF(ROUND(sales_data_1[[#This Row],[Profit_Margin]],2)=ROUND((sales_data_1[[#This Row],[Unit_Price]]*(1-sales_data_1[[#This Row],[Discount]]) - sales_data_1[[#This Row],[Unit_Cost]])*sales_data_1[[#This Row],[Quantity_Sold]],2), "PASS", "CHECK")</f>
        <v>PASS</v>
      </c>
    </row>
    <row r="2988" spans="1:20" x14ac:dyDescent="0.35">
      <c r="A2988" s="7">
        <v>2987</v>
      </c>
      <c r="B2988" s="9">
        <v>1054</v>
      </c>
      <c r="C2988" s="14" t="str">
        <f>IFERROR(_xlfn.TEXTJOIN("-", TRUE, _xlfn.XLOOKUP(K2988, product_category_id_lookup!$A$2:$A$5, product_category_id_lookup!$B$2:$B$5), B2988), "Unknown Category")</f>
        <v>fd-1054</v>
      </c>
      <c r="D2988" s="8">
        <v>45577</v>
      </c>
      <c r="E2988" s="14">
        <f t="shared" si="138"/>
        <v>2024</v>
      </c>
      <c r="F2988" s="29" t="str">
        <f t="shared" si="139"/>
        <v>Oct</v>
      </c>
      <c r="G2988" s="17" t="s">
        <v>29</v>
      </c>
      <c r="H2988" s="17" t="s">
        <v>20</v>
      </c>
      <c r="I2988" s="24">
        <v>146248.53700000001</v>
      </c>
      <c r="J2988" s="32">
        <v>29</v>
      </c>
      <c r="K2988" s="17" t="s">
        <v>24</v>
      </c>
      <c r="L2988" s="24">
        <v>2361.4499999999998</v>
      </c>
      <c r="M2988" s="24">
        <v>5364.95</v>
      </c>
      <c r="N2988" s="34">
        <f>((sales_data_1[[#This Row],[Unit_Price]]*(1-sales_data_1[[#This Row],[Discount]]))-sales_data_1[[#This Row],[Unit_Cost]])*sales_data_1[[#This Row],[Quantity_Sold]]</f>
        <v>77766.487000000008</v>
      </c>
      <c r="O2988" s="17" t="s">
        <v>27</v>
      </c>
      <c r="P2988" s="26">
        <v>0.06</v>
      </c>
      <c r="Q2988" s="17" t="s">
        <v>18</v>
      </c>
      <c r="R2988" s="17" t="s">
        <v>19</v>
      </c>
      <c r="S2988" s="50" t="str">
        <f t="shared" si="140"/>
        <v>Charlie-West</v>
      </c>
      <c r="T2988" s="59" t="str">
        <f>IF(ROUND(sales_data_1[[#This Row],[Profit_Margin]],2)=ROUND((sales_data_1[[#This Row],[Unit_Price]]*(1-sales_data_1[[#This Row],[Discount]]) - sales_data_1[[#This Row],[Unit_Cost]])*sales_data_1[[#This Row],[Quantity_Sold]],2), "PASS", "CHECK")</f>
        <v>PASS</v>
      </c>
    </row>
    <row r="2989" spans="1:20" x14ac:dyDescent="0.35">
      <c r="A2989" s="7">
        <v>2988</v>
      </c>
      <c r="B2989" s="9">
        <v>1089</v>
      </c>
      <c r="C2989" s="14" t="str">
        <f>IFERROR(_xlfn.TEXTJOIN("-", TRUE, _xlfn.XLOOKUP(K2989, product_category_id_lookup!$A$2:$A$5, product_category_id_lookup!$B$2:$B$5), B2989), "Unknown Category")</f>
        <v>ctg-1089</v>
      </c>
      <c r="D2989" s="8">
        <v>45578</v>
      </c>
      <c r="E2989" s="14">
        <f t="shared" si="138"/>
        <v>2024</v>
      </c>
      <c r="F2989" s="29" t="str">
        <f t="shared" si="139"/>
        <v>Oct</v>
      </c>
      <c r="G2989" s="17" t="s">
        <v>22</v>
      </c>
      <c r="H2989" s="17" t="s">
        <v>30</v>
      </c>
      <c r="I2989" s="24">
        <v>21671.980000000003</v>
      </c>
      <c r="J2989" s="32">
        <v>5</v>
      </c>
      <c r="K2989" s="17" t="s">
        <v>26</v>
      </c>
      <c r="L2989" s="24">
        <v>3975.31</v>
      </c>
      <c r="M2989" s="24">
        <v>4711.3</v>
      </c>
      <c r="N2989" s="34">
        <f>((sales_data_1[[#This Row],[Unit_Price]]*(1-sales_data_1[[#This Row],[Discount]]))-sales_data_1[[#This Row],[Unit_Cost]])*sales_data_1[[#This Row],[Quantity_Sold]]</f>
        <v>1795.4300000000035</v>
      </c>
      <c r="O2989" s="17" t="s">
        <v>17</v>
      </c>
      <c r="P2989" s="26">
        <v>0.08</v>
      </c>
      <c r="Q2989" s="17" t="s">
        <v>28</v>
      </c>
      <c r="R2989" s="17" t="s">
        <v>21</v>
      </c>
      <c r="S2989" s="50" t="str">
        <f t="shared" si="140"/>
        <v>David-East</v>
      </c>
      <c r="T2989" s="59" t="str">
        <f>IF(ROUND(sales_data_1[[#This Row],[Profit_Margin]],2)=ROUND((sales_data_1[[#This Row],[Unit_Price]]*(1-sales_data_1[[#This Row],[Discount]]) - sales_data_1[[#This Row],[Unit_Cost]])*sales_data_1[[#This Row],[Quantity_Sold]],2), "PASS", "CHECK")</f>
        <v>PASS</v>
      </c>
    </row>
    <row r="2990" spans="1:20" x14ac:dyDescent="0.35">
      <c r="A2990" s="7">
        <v>2989</v>
      </c>
      <c r="B2990" s="9">
        <v>1020</v>
      </c>
      <c r="C2990" s="14" t="str">
        <f>IFERROR(_xlfn.TEXTJOIN("-", TRUE, _xlfn.XLOOKUP(K2990, product_category_id_lookup!$A$2:$A$5, product_category_id_lookup!$B$2:$B$5), B2990), "Unknown Category")</f>
        <v>fd-1020</v>
      </c>
      <c r="D2990" s="8">
        <v>45579</v>
      </c>
      <c r="E2990" s="14">
        <f t="shared" si="138"/>
        <v>2024</v>
      </c>
      <c r="F2990" s="29" t="str">
        <f t="shared" si="139"/>
        <v>Oct</v>
      </c>
      <c r="G2990" s="17" t="s">
        <v>14</v>
      </c>
      <c r="H2990" s="17" t="s">
        <v>15</v>
      </c>
      <c r="I2990" s="24">
        <v>175309.70685499124</v>
      </c>
      <c r="J2990" s="32">
        <v>37</v>
      </c>
      <c r="K2990" s="17" t="s">
        <v>24</v>
      </c>
      <c r="L2990" s="24">
        <v>4644.51</v>
      </c>
      <c r="M2990" s="24">
        <v>4760.37</v>
      </c>
      <c r="N2990" s="34">
        <f>((sales_data_1[[#This Row],[Unit_Price]]*(1-sales_data_1[[#This Row],[Discount]]))-sales_data_1[[#This Row],[Unit_Cost]])*sales_data_1[[#This Row],[Quantity_Sold]]</f>
        <v>4286.8199999999879</v>
      </c>
      <c r="O2990" s="17" t="s">
        <v>27</v>
      </c>
      <c r="P2990" s="26">
        <v>0</v>
      </c>
      <c r="Q2990" s="17" t="s">
        <v>25</v>
      </c>
      <c r="R2990" s="17" t="s">
        <v>19</v>
      </c>
      <c r="S2990" s="50" t="str">
        <f t="shared" si="140"/>
        <v>Bob-North</v>
      </c>
      <c r="T2990" s="59" t="str">
        <f>IF(ROUND(sales_data_1[[#This Row],[Profit_Margin]],2)=ROUND((sales_data_1[[#This Row],[Unit_Price]]*(1-sales_data_1[[#This Row],[Discount]]) - sales_data_1[[#This Row],[Unit_Cost]])*sales_data_1[[#This Row],[Quantity_Sold]],2), "PASS", "CHECK")</f>
        <v>PASS</v>
      </c>
    </row>
    <row r="2991" spans="1:20" x14ac:dyDescent="0.35">
      <c r="A2991" s="7">
        <v>2990</v>
      </c>
      <c r="B2991" s="9">
        <v>1084</v>
      </c>
      <c r="C2991" s="14" t="str">
        <f>IFERROR(_xlfn.TEXTJOIN("-", TRUE, _xlfn.XLOOKUP(K2991, product_category_id_lookup!$A$2:$A$5, product_category_id_lookup!$B$2:$B$5), B2991), "Unknown Category")</f>
        <v>ctg-1084</v>
      </c>
      <c r="D2991" s="8">
        <v>45579</v>
      </c>
      <c r="E2991" s="14">
        <f t="shared" si="138"/>
        <v>2024</v>
      </c>
      <c r="F2991" s="29" t="str">
        <f t="shared" si="139"/>
        <v>Oct</v>
      </c>
      <c r="G2991" s="17" t="s">
        <v>14</v>
      </c>
      <c r="H2991" s="17" t="s">
        <v>30</v>
      </c>
      <c r="I2991" s="24">
        <v>65152.08</v>
      </c>
      <c r="J2991" s="32">
        <v>45</v>
      </c>
      <c r="K2991" s="17" t="s">
        <v>26</v>
      </c>
      <c r="L2991" s="24">
        <v>1148.68</v>
      </c>
      <c r="M2991" s="24">
        <v>1508.15</v>
      </c>
      <c r="N2991" s="34">
        <f>((sales_data_1[[#This Row],[Unit_Price]]*(1-sales_data_1[[#This Row],[Discount]]))-sales_data_1[[#This Row],[Unit_Cost]])*sales_data_1[[#This Row],[Quantity_Sold]]</f>
        <v>13461.48</v>
      </c>
      <c r="O2991" s="17" t="s">
        <v>27</v>
      </c>
      <c r="P2991" s="26">
        <v>0.04</v>
      </c>
      <c r="Q2991" s="17" t="s">
        <v>18</v>
      </c>
      <c r="R2991" s="17" t="s">
        <v>21</v>
      </c>
      <c r="S2991" s="50" t="str">
        <f t="shared" si="140"/>
        <v>Bob-East</v>
      </c>
      <c r="T2991" s="59" t="str">
        <f>IF(ROUND(sales_data_1[[#This Row],[Profit_Margin]],2)=ROUND((sales_data_1[[#This Row],[Unit_Price]]*(1-sales_data_1[[#This Row],[Discount]]) - sales_data_1[[#This Row],[Unit_Cost]])*sales_data_1[[#This Row],[Quantity_Sold]],2), "PASS", "CHECK")</f>
        <v>PASS</v>
      </c>
    </row>
    <row r="2992" spans="1:20" x14ac:dyDescent="0.35">
      <c r="A2992" s="7">
        <v>2991</v>
      </c>
      <c r="B2992" s="9">
        <v>1003</v>
      </c>
      <c r="C2992" s="14" t="str">
        <f>IFERROR(_xlfn.TEXTJOIN("-", TRUE, _xlfn.XLOOKUP(K2992, product_category_id_lookup!$A$2:$A$5, product_category_id_lookup!$B$2:$B$5), B2992), "Unknown Category")</f>
        <v>fnt-1003</v>
      </c>
      <c r="D2992" s="8">
        <v>45579</v>
      </c>
      <c r="E2992" s="14">
        <f t="shared" si="138"/>
        <v>2024</v>
      </c>
      <c r="F2992" s="29" t="str">
        <f t="shared" si="139"/>
        <v>Oct</v>
      </c>
      <c r="G2992" s="17" t="s">
        <v>22</v>
      </c>
      <c r="H2992" s="17" t="s">
        <v>20</v>
      </c>
      <c r="I2992" s="24">
        <v>123575.41835206926</v>
      </c>
      <c r="J2992" s="32">
        <v>35</v>
      </c>
      <c r="K2992" s="17" t="s">
        <v>16</v>
      </c>
      <c r="L2992" s="24">
        <v>2676.59</v>
      </c>
      <c r="M2992" s="24">
        <v>3556.81</v>
      </c>
      <c r="N2992" s="34">
        <f>((sales_data_1[[#This Row],[Unit_Price]]*(1-sales_data_1[[#This Row],[Discount]]))-sales_data_1[[#This Row],[Unit_Cost]])*sales_data_1[[#This Row],[Quantity_Sold]]</f>
        <v>29562.816499999994</v>
      </c>
      <c r="O2992" s="17" t="s">
        <v>27</v>
      </c>
      <c r="P2992" s="26">
        <v>0.01</v>
      </c>
      <c r="Q2992" s="17" t="s">
        <v>25</v>
      </c>
      <c r="R2992" s="17" t="s">
        <v>19</v>
      </c>
      <c r="S2992" s="50" t="str">
        <f t="shared" si="140"/>
        <v>David-West</v>
      </c>
      <c r="T2992" s="59" t="str">
        <f>IF(ROUND(sales_data_1[[#This Row],[Profit_Margin]],2)=ROUND((sales_data_1[[#This Row],[Unit_Price]]*(1-sales_data_1[[#This Row],[Discount]]) - sales_data_1[[#This Row],[Unit_Cost]])*sales_data_1[[#This Row],[Quantity_Sold]],2), "PASS", "CHECK")</f>
        <v>PASS</v>
      </c>
    </row>
    <row r="2993" spans="1:20" x14ac:dyDescent="0.35">
      <c r="A2993" s="7">
        <v>2992</v>
      </c>
      <c r="B2993" s="9">
        <v>1086</v>
      </c>
      <c r="C2993" s="14" t="str">
        <f>IFERROR(_xlfn.TEXTJOIN("-", TRUE, _xlfn.XLOOKUP(K2993, product_category_id_lookup!$A$2:$A$5, product_category_id_lookup!$B$2:$B$5), B2993), "Unknown Category")</f>
        <v>etc-1086</v>
      </c>
      <c r="D2993" s="8">
        <v>45579</v>
      </c>
      <c r="E2993" s="14">
        <f t="shared" si="138"/>
        <v>2024</v>
      </c>
      <c r="F2993" s="29" t="str">
        <f t="shared" si="139"/>
        <v>Oct</v>
      </c>
      <c r="G2993" s="17" t="s">
        <v>33</v>
      </c>
      <c r="H2993" s="17" t="s">
        <v>23</v>
      </c>
      <c r="I2993" s="24">
        <v>134431.71840000001</v>
      </c>
      <c r="J2993" s="32">
        <v>41</v>
      </c>
      <c r="K2993" s="17" t="s">
        <v>31</v>
      </c>
      <c r="L2993" s="24">
        <v>205.27</v>
      </c>
      <c r="M2993" s="24">
        <v>3903.36</v>
      </c>
      <c r="N2993" s="34">
        <f>((sales_data_1[[#This Row],[Unit_Price]]*(1-sales_data_1[[#This Row],[Discount]]))-sales_data_1[[#This Row],[Unit_Cost]])*sales_data_1[[#This Row],[Quantity_Sold]]</f>
        <v>126015.64840000001</v>
      </c>
      <c r="O2993" s="17" t="s">
        <v>17</v>
      </c>
      <c r="P2993" s="26">
        <v>0.16</v>
      </c>
      <c r="Q2993" s="17" t="s">
        <v>28</v>
      </c>
      <c r="R2993" s="17" t="s">
        <v>19</v>
      </c>
      <c r="S2993" s="50" t="str">
        <f t="shared" si="140"/>
        <v>Alice-South</v>
      </c>
      <c r="T2993" s="59" t="str">
        <f>IF(ROUND(sales_data_1[[#This Row],[Profit_Margin]],2)=ROUND((sales_data_1[[#This Row],[Unit_Price]]*(1-sales_data_1[[#This Row],[Discount]]) - sales_data_1[[#This Row],[Unit_Cost]])*sales_data_1[[#This Row],[Quantity_Sold]],2), "PASS", "CHECK")</f>
        <v>PASS</v>
      </c>
    </row>
    <row r="2994" spans="1:20" x14ac:dyDescent="0.35">
      <c r="A2994" s="7">
        <v>2993</v>
      </c>
      <c r="B2994" s="9">
        <v>1038</v>
      </c>
      <c r="C2994" s="14" t="str">
        <f>IFERROR(_xlfn.TEXTJOIN("-", TRUE, _xlfn.XLOOKUP(K2994, product_category_id_lookup!$A$2:$A$5, product_category_id_lookup!$B$2:$B$5), B2994), "Unknown Category")</f>
        <v>fnt-1038</v>
      </c>
      <c r="D2994" s="8">
        <v>45580</v>
      </c>
      <c r="E2994" s="14">
        <f t="shared" si="138"/>
        <v>2024</v>
      </c>
      <c r="F2994" s="29" t="str">
        <f t="shared" si="139"/>
        <v>Oct</v>
      </c>
      <c r="G2994" s="17" t="s">
        <v>29</v>
      </c>
      <c r="H2994" s="17" t="s">
        <v>15</v>
      </c>
      <c r="I2994" s="24">
        <v>29692.413</v>
      </c>
      <c r="J2994" s="32">
        <v>10</v>
      </c>
      <c r="K2994" s="17" t="s">
        <v>16</v>
      </c>
      <c r="L2994" s="24">
        <v>2558.2399999999998</v>
      </c>
      <c r="M2994" s="24">
        <v>3665.73</v>
      </c>
      <c r="N2994" s="34">
        <f>((sales_data_1[[#This Row],[Unit_Price]]*(1-sales_data_1[[#This Row],[Discount]]))-sales_data_1[[#This Row],[Unit_Cost]])*sales_data_1[[#This Row],[Quantity_Sold]]</f>
        <v>4110.0130000000036</v>
      </c>
      <c r="O2994" s="17" t="s">
        <v>17</v>
      </c>
      <c r="P2994" s="26">
        <v>0.19</v>
      </c>
      <c r="Q2994" s="17" t="s">
        <v>28</v>
      </c>
      <c r="R2994" s="17" t="s">
        <v>21</v>
      </c>
      <c r="S2994" s="50" t="str">
        <f t="shared" si="140"/>
        <v>Charlie-North</v>
      </c>
      <c r="T2994" s="59" t="str">
        <f>IF(ROUND(sales_data_1[[#This Row],[Profit_Margin]],2)=ROUND((sales_data_1[[#This Row],[Unit_Price]]*(1-sales_data_1[[#This Row],[Discount]]) - sales_data_1[[#This Row],[Unit_Cost]])*sales_data_1[[#This Row],[Quantity_Sold]],2), "PASS", "CHECK")</f>
        <v>PASS</v>
      </c>
    </row>
    <row r="2995" spans="1:20" x14ac:dyDescent="0.35">
      <c r="A2995" s="7">
        <v>2994</v>
      </c>
      <c r="B2995" s="9">
        <v>1035</v>
      </c>
      <c r="C2995" s="14" t="str">
        <f>IFERROR(_xlfn.TEXTJOIN("-", TRUE, _xlfn.XLOOKUP(K2995, product_category_id_lookup!$A$2:$A$5, product_category_id_lookup!$B$2:$B$5), B2995), "Unknown Category")</f>
        <v>ctg-1035</v>
      </c>
      <c r="D2995" s="8">
        <v>45580</v>
      </c>
      <c r="E2995" s="14">
        <f t="shared" si="138"/>
        <v>2024</v>
      </c>
      <c r="F2995" s="29" t="str">
        <f t="shared" si="139"/>
        <v>Oct</v>
      </c>
      <c r="G2995" s="17" t="s">
        <v>33</v>
      </c>
      <c r="H2995" s="17" t="s">
        <v>23</v>
      </c>
      <c r="I2995" s="24">
        <v>50184.269800000002</v>
      </c>
      <c r="J2995" s="32">
        <v>14</v>
      </c>
      <c r="K2995" s="17" t="s">
        <v>26</v>
      </c>
      <c r="L2995" s="24">
        <v>2241.85</v>
      </c>
      <c r="M2995" s="24">
        <v>4027.63</v>
      </c>
      <c r="N2995" s="34">
        <f>((sales_data_1[[#This Row],[Unit_Price]]*(1-sales_data_1[[#This Row],[Discount]]))-sales_data_1[[#This Row],[Unit_Cost]])*sales_data_1[[#This Row],[Quantity_Sold]]</f>
        <v>18798.369800000004</v>
      </c>
      <c r="O2995" s="17" t="s">
        <v>27</v>
      </c>
      <c r="P2995" s="26">
        <v>0.11</v>
      </c>
      <c r="Q2995" s="17" t="s">
        <v>25</v>
      </c>
      <c r="R2995" s="17" t="s">
        <v>21</v>
      </c>
      <c r="S2995" s="50" t="str">
        <f t="shared" si="140"/>
        <v>Alice-South</v>
      </c>
      <c r="T2995" s="59" t="str">
        <f>IF(ROUND(sales_data_1[[#This Row],[Profit_Margin]],2)=ROUND((sales_data_1[[#This Row],[Unit_Price]]*(1-sales_data_1[[#This Row],[Discount]]) - sales_data_1[[#This Row],[Unit_Cost]])*sales_data_1[[#This Row],[Quantity_Sold]],2), "PASS", "CHECK")</f>
        <v>PASS</v>
      </c>
    </row>
    <row r="2996" spans="1:20" x14ac:dyDescent="0.35">
      <c r="A2996" s="7">
        <v>2995</v>
      </c>
      <c r="B2996" s="9">
        <v>1039</v>
      </c>
      <c r="C2996" s="14" t="str">
        <f>IFERROR(_xlfn.TEXTJOIN("-", TRUE, _xlfn.XLOOKUP(K2996, product_category_id_lookup!$A$2:$A$5, product_category_id_lookup!$B$2:$B$5), B2996), "Unknown Category")</f>
        <v>ctg-1039</v>
      </c>
      <c r="D2996" s="8">
        <v>45580</v>
      </c>
      <c r="E2996" s="14">
        <f t="shared" si="138"/>
        <v>2024</v>
      </c>
      <c r="F2996" s="29" t="str">
        <f t="shared" si="139"/>
        <v>Oct</v>
      </c>
      <c r="G2996" s="17" t="s">
        <v>22</v>
      </c>
      <c r="H2996" s="17" t="s">
        <v>20</v>
      </c>
      <c r="I2996" s="24">
        <v>164960.34239999999</v>
      </c>
      <c r="J2996" s="32">
        <v>49</v>
      </c>
      <c r="K2996" s="17" t="s">
        <v>26</v>
      </c>
      <c r="L2996" s="24">
        <v>2686.73</v>
      </c>
      <c r="M2996" s="24">
        <v>3659.28</v>
      </c>
      <c r="N2996" s="34">
        <f>((sales_data_1[[#This Row],[Unit_Price]]*(1-sales_data_1[[#This Row],[Discount]]))-sales_data_1[[#This Row],[Unit_Cost]])*sales_data_1[[#This Row],[Quantity_Sold]]</f>
        <v>33310.572400000005</v>
      </c>
      <c r="O2996" s="17" t="s">
        <v>17</v>
      </c>
      <c r="P2996" s="26">
        <v>0.08</v>
      </c>
      <c r="Q2996" s="17" t="s">
        <v>28</v>
      </c>
      <c r="R2996" s="17" t="s">
        <v>21</v>
      </c>
      <c r="S2996" s="50" t="str">
        <f t="shared" si="140"/>
        <v>David-West</v>
      </c>
      <c r="T2996" s="59" t="str">
        <f>IF(ROUND(sales_data_1[[#This Row],[Profit_Margin]],2)=ROUND((sales_data_1[[#This Row],[Unit_Price]]*(1-sales_data_1[[#This Row],[Discount]]) - sales_data_1[[#This Row],[Unit_Cost]])*sales_data_1[[#This Row],[Quantity_Sold]],2), "PASS", "CHECK")</f>
        <v>PASS</v>
      </c>
    </row>
    <row r="2997" spans="1:20" x14ac:dyDescent="0.35">
      <c r="A2997" s="7">
        <v>2996</v>
      </c>
      <c r="B2997" s="9">
        <v>1073</v>
      </c>
      <c r="C2997" s="14" t="str">
        <f>IFERROR(_xlfn.TEXTJOIN("-", TRUE, _xlfn.XLOOKUP(K2997, product_category_id_lookup!$A$2:$A$5, product_category_id_lookup!$B$2:$B$5), B2997), "Unknown Category")</f>
        <v>fd-1073</v>
      </c>
      <c r="D2997" s="8">
        <v>45580</v>
      </c>
      <c r="E2997" s="14">
        <f t="shared" si="138"/>
        <v>2024</v>
      </c>
      <c r="F2997" s="29" t="str">
        <f t="shared" si="139"/>
        <v>Oct</v>
      </c>
      <c r="G2997" s="17" t="s">
        <v>33</v>
      </c>
      <c r="H2997" s="17" t="s">
        <v>20</v>
      </c>
      <c r="I2997" s="24">
        <v>55471.482000000004</v>
      </c>
      <c r="J2997" s="32">
        <v>20</v>
      </c>
      <c r="K2997" s="17" t="s">
        <v>24</v>
      </c>
      <c r="L2997" s="24">
        <v>964.39</v>
      </c>
      <c r="M2997" s="24">
        <v>2801.59</v>
      </c>
      <c r="N2997" s="34">
        <f>((sales_data_1[[#This Row],[Unit_Price]]*(1-sales_data_1[[#This Row],[Discount]]))-sales_data_1[[#This Row],[Unit_Cost]])*sales_data_1[[#This Row],[Quantity_Sold]]</f>
        <v>36183.682000000008</v>
      </c>
      <c r="O2997" s="17" t="s">
        <v>27</v>
      </c>
      <c r="P2997" s="26">
        <v>0.01</v>
      </c>
      <c r="Q2997" s="17" t="s">
        <v>18</v>
      </c>
      <c r="R2997" s="17" t="s">
        <v>21</v>
      </c>
      <c r="S2997" s="50" t="str">
        <f t="shared" si="140"/>
        <v>Alice-West</v>
      </c>
      <c r="T2997" s="59" t="str">
        <f>IF(ROUND(sales_data_1[[#This Row],[Profit_Margin]],2)=ROUND((sales_data_1[[#This Row],[Unit_Price]]*(1-sales_data_1[[#This Row],[Discount]]) - sales_data_1[[#This Row],[Unit_Cost]])*sales_data_1[[#This Row],[Quantity_Sold]],2), "PASS", "CHECK")</f>
        <v>PASS</v>
      </c>
    </row>
    <row r="2998" spans="1:20" x14ac:dyDescent="0.35">
      <c r="A2998" s="7">
        <v>2997</v>
      </c>
      <c r="B2998" s="9">
        <v>1099</v>
      </c>
      <c r="C2998" s="14" t="str">
        <f>IFERROR(_xlfn.TEXTJOIN("-", TRUE, _xlfn.XLOOKUP(K2998, product_category_id_lookup!$A$2:$A$5, product_category_id_lookup!$B$2:$B$5), B2998), "Unknown Category")</f>
        <v>etc-1099</v>
      </c>
      <c r="D2998" s="8">
        <v>45581</v>
      </c>
      <c r="E2998" s="14">
        <f t="shared" si="138"/>
        <v>2024</v>
      </c>
      <c r="F2998" s="29" t="str">
        <f t="shared" si="139"/>
        <v>Oct</v>
      </c>
      <c r="G2998" s="17" t="s">
        <v>29</v>
      </c>
      <c r="H2998" s="17" t="s">
        <v>30</v>
      </c>
      <c r="I2998" s="24">
        <v>13531.009599999998</v>
      </c>
      <c r="J2998" s="32">
        <v>4</v>
      </c>
      <c r="K2998" s="17" t="s">
        <v>31</v>
      </c>
      <c r="L2998" s="24">
        <v>784.47</v>
      </c>
      <c r="M2998" s="24">
        <v>4764.4399999999996</v>
      </c>
      <c r="N2998" s="34">
        <f>((sales_data_1[[#This Row],[Unit_Price]]*(1-sales_data_1[[#This Row],[Discount]]))-sales_data_1[[#This Row],[Unit_Cost]])*sales_data_1[[#This Row],[Quantity_Sold]]</f>
        <v>10393.129599999997</v>
      </c>
      <c r="O2998" s="17" t="s">
        <v>17</v>
      </c>
      <c r="P2998" s="26">
        <v>0.28999999999999998</v>
      </c>
      <c r="Q2998" s="17" t="s">
        <v>25</v>
      </c>
      <c r="R2998" s="17" t="s">
        <v>21</v>
      </c>
      <c r="S2998" s="50" t="str">
        <f t="shared" si="140"/>
        <v>Charlie-East</v>
      </c>
      <c r="T2998" s="59" t="str">
        <f>IF(ROUND(sales_data_1[[#This Row],[Profit_Margin]],2)=ROUND((sales_data_1[[#This Row],[Unit_Price]]*(1-sales_data_1[[#This Row],[Discount]]) - sales_data_1[[#This Row],[Unit_Cost]])*sales_data_1[[#This Row],[Quantity_Sold]],2), "PASS", "CHECK")</f>
        <v>PASS</v>
      </c>
    </row>
    <row r="2999" spans="1:20" x14ac:dyDescent="0.35">
      <c r="A2999" s="7">
        <v>2998</v>
      </c>
      <c r="B2999" s="9">
        <v>1016</v>
      </c>
      <c r="C2999" s="14" t="str">
        <f>IFERROR(_xlfn.TEXTJOIN("-", TRUE, _xlfn.XLOOKUP(K2999, product_category_id_lookup!$A$2:$A$5, product_category_id_lookup!$B$2:$B$5), B2999), "Unknown Category")</f>
        <v>fd-1016</v>
      </c>
      <c r="D2999" s="8">
        <v>45581</v>
      </c>
      <c r="E2999" s="14">
        <f t="shared" si="138"/>
        <v>2024</v>
      </c>
      <c r="F2999" s="29" t="str">
        <f t="shared" si="139"/>
        <v>Oct</v>
      </c>
      <c r="G2999" s="17" t="s">
        <v>14</v>
      </c>
      <c r="H2999" s="17" t="s">
        <v>20</v>
      </c>
      <c r="I2999" s="24">
        <v>105933.9452</v>
      </c>
      <c r="J2999" s="32">
        <v>37</v>
      </c>
      <c r="K2999" s="17" t="s">
        <v>24</v>
      </c>
      <c r="L2999" s="24">
        <v>2202.52</v>
      </c>
      <c r="M2999" s="24">
        <v>3767.21</v>
      </c>
      <c r="N2999" s="34">
        <f>((sales_data_1[[#This Row],[Unit_Price]]*(1-sales_data_1[[#This Row],[Discount]]))-sales_data_1[[#This Row],[Unit_Cost]])*sales_data_1[[#This Row],[Quantity_Sold]]</f>
        <v>24440.7052</v>
      </c>
      <c r="O2999" s="17" t="s">
        <v>27</v>
      </c>
      <c r="P2999" s="26">
        <v>0.24</v>
      </c>
      <c r="Q2999" s="17" t="s">
        <v>28</v>
      </c>
      <c r="R2999" s="17" t="s">
        <v>19</v>
      </c>
      <c r="S2999" s="50" t="str">
        <f t="shared" si="140"/>
        <v>Bob-West</v>
      </c>
      <c r="T2999" s="59" t="str">
        <f>IF(ROUND(sales_data_1[[#This Row],[Profit_Margin]],2)=ROUND((sales_data_1[[#This Row],[Unit_Price]]*(1-sales_data_1[[#This Row],[Discount]]) - sales_data_1[[#This Row],[Unit_Cost]])*sales_data_1[[#This Row],[Quantity_Sold]],2), "PASS", "CHECK")</f>
        <v>PASS</v>
      </c>
    </row>
    <row r="3000" spans="1:20" x14ac:dyDescent="0.35">
      <c r="A3000" s="7">
        <v>2999</v>
      </c>
      <c r="B3000" s="9">
        <v>1059</v>
      </c>
      <c r="C3000" s="14" t="str">
        <f>IFERROR(_xlfn.TEXTJOIN("-", TRUE, _xlfn.XLOOKUP(K3000, product_category_id_lookup!$A$2:$A$5, product_category_id_lookup!$B$2:$B$5), B3000), "Unknown Category")</f>
        <v>ctg-1059</v>
      </c>
      <c r="D3000" s="8">
        <v>45581</v>
      </c>
      <c r="E3000" s="14">
        <f t="shared" si="138"/>
        <v>2024</v>
      </c>
      <c r="F3000" s="29" t="str">
        <f t="shared" si="139"/>
        <v>Oct</v>
      </c>
      <c r="G3000" s="17" t="s">
        <v>14</v>
      </c>
      <c r="H3000" s="17" t="s">
        <v>20</v>
      </c>
      <c r="I3000" s="24">
        <v>67402.714399999997</v>
      </c>
      <c r="J3000" s="32">
        <v>23</v>
      </c>
      <c r="K3000" s="17" t="s">
        <v>26</v>
      </c>
      <c r="L3000" s="24">
        <v>1351.9</v>
      </c>
      <c r="M3000" s="24">
        <v>2990.36</v>
      </c>
      <c r="N3000" s="34">
        <f>((sales_data_1[[#This Row],[Unit_Price]]*(1-sales_data_1[[#This Row],[Discount]]))-sales_data_1[[#This Row],[Unit_Cost]])*sales_data_1[[#This Row],[Quantity_Sold]]</f>
        <v>36309.0144</v>
      </c>
      <c r="O3000" s="17" t="s">
        <v>17</v>
      </c>
      <c r="P3000" s="26">
        <v>0.02</v>
      </c>
      <c r="Q3000" s="17" t="s">
        <v>18</v>
      </c>
      <c r="R3000" s="17" t="s">
        <v>21</v>
      </c>
      <c r="S3000" s="50" t="str">
        <f t="shared" si="140"/>
        <v>Bob-West</v>
      </c>
      <c r="T3000" s="59" t="str">
        <f>IF(ROUND(sales_data_1[[#This Row],[Profit_Margin]],2)=ROUND((sales_data_1[[#This Row],[Unit_Price]]*(1-sales_data_1[[#This Row],[Discount]]) - sales_data_1[[#This Row],[Unit_Cost]])*sales_data_1[[#This Row],[Quantity_Sold]],2), "PASS", "CHECK")</f>
        <v>PASS</v>
      </c>
    </row>
    <row r="3001" spans="1:20" x14ac:dyDescent="0.35">
      <c r="A3001" s="7">
        <v>3000</v>
      </c>
      <c r="B3001" s="9">
        <v>1058</v>
      </c>
      <c r="C3001" s="14" t="str">
        <f>IFERROR(_xlfn.TEXTJOIN("-", TRUE, _xlfn.XLOOKUP(K3001, product_category_id_lookup!$A$2:$A$5, product_category_id_lookup!$B$2:$B$5), B3001), "Unknown Category")</f>
        <v>fd-1058</v>
      </c>
      <c r="D3001" s="8">
        <v>45581</v>
      </c>
      <c r="E3001" s="14">
        <f t="shared" si="138"/>
        <v>2024</v>
      </c>
      <c r="F3001" s="29" t="str">
        <f t="shared" si="139"/>
        <v>Oct</v>
      </c>
      <c r="G3001" s="17" t="s">
        <v>14</v>
      </c>
      <c r="H3001" s="17" t="s">
        <v>30</v>
      </c>
      <c r="I3001" s="24">
        <v>98755.826400000005</v>
      </c>
      <c r="J3001" s="32">
        <v>24</v>
      </c>
      <c r="K3001" s="17" t="s">
        <v>24</v>
      </c>
      <c r="L3001" s="24">
        <v>598.79999999999995</v>
      </c>
      <c r="M3001" s="24">
        <v>5343.93</v>
      </c>
      <c r="N3001" s="34">
        <f>((sales_data_1[[#This Row],[Unit_Price]]*(1-sales_data_1[[#This Row],[Discount]]))-sales_data_1[[#This Row],[Unit_Cost]])*sales_data_1[[#This Row],[Quantity_Sold]]</f>
        <v>84384.626400000008</v>
      </c>
      <c r="O3001" s="17" t="s">
        <v>17</v>
      </c>
      <c r="P3001" s="26">
        <v>0.23</v>
      </c>
      <c r="Q3001" s="17" t="s">
        <v>18</v>
      </c>
      <c r="R3001" s="17" t="s">
        <v>19</v>
      </c>
      <c r="S3001" s="50" t="str">
        <f t="shared" si="140"/>
        <v>Bob-East</v>
      </c>
      <c r="T3001" s="59" t="str">
        <f>IF(ROUND(sales_data_1[[#This Row],[Profit_Margin]],2)=ROUND((sales_data_1[[#This Row],[Unit_Price]]*(1-sales_data_1[[#This Row],[Discount]]) - sales_data_1[[#This Row],[Unit_Cost]])*sales_data_1[[#This Row],[Quantity_Sold]],2), "PASS", "CHECK")</f>
        <v>PASS</v>
      </c>
    </row>
    <row r="3002" spans="1:20" x14ac:dyDescent="0.35">
      <c r="A3002" s="7">
        <v>3001</v>
      </c>
      <c r="B3002" s="9">
        <v>1012</v>
      </c>
      <c r="C3002" s="14" t="str">
        <f>IFERROR(_xlfn.TEXTJOIN("-", TRUE, _xlfn.XLOOKUP(K3002, product_category_id_lookup!$A$2:$A$5, product_category_id_lookup!$B$2:$B$5), B3002), "Unknown Category")</f>
        <v>ctg-1012</v>
      </c>
      <c r="D3002" s="8">
        <v>45581</v>
      </c>
      <c r="E3002" s="14">
        <f t="shared" si="138"/>
        <v>2024</v>
      </c>
      <c r="F3002" s="29" t="str">
        <f t="shared" si="139"/>
        <v>Oct</v>
      </c>
      <c r="G3002" s="17" t="s">
        <v>32</v>
      </c>
      <c r="H3002" s="17" t="s">
        <v>20</v>
      </c>
      <c r="I3002" s="24">
        <v>134994.6648</v>
      </c>
      <c r="J3002" s="32">
        <v>36</v>
      </c>
      <c r="K3002" s="17" t="s">
        <v>26</v>
      </c>
      <c r="L3002" s="24">
        <v>664.53</v>
      </c>
      <c r="M3002" s="24">
        <v>4572.99</v>
      </c>
      <c r="N3002" s="34">
        <f>((sales_data_1[[#This Row],[Unit_Price]]*(1-sales_data_1[[#This Row],[Discount]]))-sales_data_1[[#This Row],[Unit_Cost]])*sales_data_1[[#This Row],[Quantity_Sold]]</f>
        <v>111071.58479999998</v>
      </c>
      <c r="O3002" s="17" t="s">
        <v>17</v>
      </c>
      <c r="P3002" s="26">
        <v>0.18</v>
      </c>
      <c r="Q3002" s="17" t="s">
        <v>25</v>
      </c>
      <c r="R3002" s="17" t="s">
        <v>21</v>
      </c>
      <c r="S3002" s="50" t="str">
        <f t="shared" si="140"/>
        <v>Eve-West</v>
      </c>
      <c r="T3002" s="59" t="str">
        <f>IF(ROUND(sales_data_1[[#This Row],[Profit_Margin]],2)=ROUND((sales_data_1[[#This Row],[Unit_Price]]*(1-sales_data_1[[#This Row],[Discount]]) - sales_data_1[[#This Row],[Unit_Cost]])*sales_data_1[[#This Row],[Quantity_Sold]],2), "PASS", "CHECK")</f>
        <v>PASS</v>
      </c>
    </row>
    <row r="3003" spans="1:20" x14ac:dyDescent="0.35">
      <c r="A3003" s="7">
        <v>3002</v>
      </c>
      <c r="B3003" s="9">
        <v>1080</v>
      </c>
      <c r="C3003" s="14" t="str">
        <f>IFERROR(_xlfn.TEXTJOIN("-", TRUE, _xlfn.XLOOKUP(K3003, product_category_id_lookup!$A$2:$A$5, product_category_id_lookup!$B$2:$B$5), B3003), "Unknown Category")</f>
        <v>fd-1080</v>
      </c>
      <c r="D3003" s="8">
        <v>45582</v>
      </c>
      <c r="E3003" s="14">
        <f t="shared" si="138"/>
        <v>2024</v>
      </c>
      <c r="F3003" s="29" t="str">
        <f t="shared" si="139"/>
        <v>Oct</v>
      </c>
      <c r="G3003" s="17" t="s">
        <v>29</v>
      </c>
      <c r="H3003" s="17" t="s">
        <v>15</v>
      </c>
      <c r="I3003" s="24">
        <v>32992.041631919448</v>
      </c>
      <c r="J3003" s="32">
        <v>7</v>
      </c>
      <c r="K3003" s="17" t="s">
        <v>24</v>
      </c>
      <c r="L3003" s="24">
        <v>4581.12</v>
      </c>
      <c r="M3003" s="24">
        <v>4720.6400000000003</v>
      </c>
      <c r="N3003" s="34">
        <f>((sales_data_1[[#This Row],[Unit_Price]]*(1-sales_data_1[[#This Row],[Discount]]))-sales_data_1[[#This Row],[Unit_Cost]])*sales_data_1[[#This Row],[Quantity_Sold]]</f>
        <v>976.64000000000306</v>
      </c>
      <c r="O3003" s="17" t="s">
        <v>17</v>
      </c>
      <c r="P3003" s="26">
        <v>0</v>
      </c>
      <c r="Q3003" s="17" t="s">
        <v>18</v>
      </c>
      <c r="R3003" s="17" t="s">
        <v>19</v>
      </c>
      <c r="S3003" s="50" t="str">
        <f t="shared" si="140"/>
        <v>Charlie-North</v>
      </c>
      <c r="T3003" s="59" t="str">
        <f>IF(ROUND(sales_data_1[[#This Row],[Profit_Margin]],2)=ROUND((sales_data_1[[#This Row],[Unit_Price]]*(1-sales_data_1[[#This Row],[Discount]]) - sales_data_1[[#This Row],[Unit_Cost]])*sales_data_1[[#This Row],[Quantity_Sold]],2), "PASS", "CHECK")</f>
        <v>PASS</v>
      </c>
    </row>
    <row r="3004" spans="1:20" x14ac:dyDescent="0.35">
      <c r="A3004" s="7">
        <v>3003</v>
      </c>
      <c r="B3004" s="9">
        <v>1094</v>
      </c>
      <c r="C3004" s="14" t="str">
        <f>IFERROR(_xlfn.TEXTJOIN("-", TRUE, _xlfn.XLOOKUP(K3004, product_category_id_lookup!$A$2:$A$5, product_category_id_lookup!$B$2:$B$5), B3004), "Unknown Category")</f>
        <v>etc-1094</v>
      </c>
      <c r="D3004" s="8">
        <v>45582</v>
      </c>
      <c r="E3004" s="14">
        <f t="shared" si="138"/>
        <v>2024</v>
      </c>
      <c r="F3004" s="29" t="str">
        <f t="shared" si="139"/>
        <v>Oct</v>
      </c>
      <c r="G3004" s="17" t="s">
        <v>33</v>
      </c>
      <c r="H3004" s="17" t="s">
        <v>30</v>
      </c>
      <c r="I3004" s="24">
        <v>43486.305600000007</v>
      </c>
      <c r="J3004" s="32">
        <v>12</v>
      </c>
      <c r="K3004" s="17" t="s">
        <v>31</v>
      </c>
      <c r="L3004" s="24">
        <v>398.73</v>
      </c>
      <c r="M3004" s="24">
        <v>4419.34</v>
      </c>
      <c r="N3004" s="34">
        <f>((sales_data_1[[#This Row],[Unit_Price]]*(1-sales_data_1[[#This Row],[Discount]]))-sales_data_1[[#This Row],[Unit_Cost]])*sales_data_1[[#This Row],[Quantity_Sold]]</f>
        <v>38701.545600000005</v>
      </c>
      <c r="O3004" s="17" t="s">
        <v>17</v>
      </c>
      <c r="P3004" s="26">
        <v>0.18</v>
      </c>
      <c r="Q3004" s="17" t="s">
        <v>18</v>
      </c>
      <c r="R3004" s="17" t="s">
        <v>19</v>
      </c>
      <c r="S3004" s="50" t="str">
        <f t="shared" si="140"/>
        <v>Alice-East</v>
      </c>
      <c r="T3004" s="59" t="str">
        <f>IF(ROUND(sales_data_1[[#This Row],[Profit_Margin]],2)=ROUND((sales_data_1[[#This Row],[Unit_Price]]*(1-sales_data_1[[#This Row],[Discount]]) - sales_data_1[[#This Row],[Unit_Cost]])*sales_data_1[[#This Row],[Quantity_Sold]],2), "PASS", "CHECK")</f>
        <v>PASS</v>
      </c>
    </row>
    <row r="3005" spans="1:20" x14ac:dyDescent="0.35">
      <c r="A3005" s="7">
        <v>3004</v>
      </c>
      <c r="B3005" s="9">
        <v>1096</v>
      </c>
      <c r="C3005" s="14" t="str">
        <f>IFERROR(_xlfn.TEXTJOIN("-", TRUE, _xlfn.XLOOKUP(K3005, product_category_id_lookup!$A$2:$A$5, product_category_id_lookup!$B$2:$B$5), B3005), "Unknown Category")</f>
        <v>ctg-1096</v>
      </c>
      <c r="D3005" s="8">
        <v>45582</v>
      </c>
      <c r="E3005" s="14">
        <f t="shared" si="138"/>
        <v>2024</v>
      </c>
      <c r="F3005" s="29" t="str">
        <f t="shared" si="139"/>
        <v>Oct</v>
      </c>
      <c r="G3005" s="17" t="s">
        <v>32</v>
      </c>
      <c r="H3005" s="17" t="s">
        <v>15</v>
      </c>
      <c r="I3005" s="24">
        <v>60161.444999999992</v>
      </c>
      <c r="J3005" s="32">
        <v>25</v>
      </c>
      <c r="K3005" s="17" t="s">
        <v>26</v>
      </c>
      <c r="L3005" s="24">
        <v>627.07000000000005</v>
      </c>
      <c r="M3005" s="24">
        <v>3251.97</v>
      </c>
      <c r="N3005" s="34">
        <f>((sales_data_1[[#This Row],[Unit_Price]]*(1-sales_data_1[[#This Row],[Discount]]))-sales_data_1[[#This Row],[Unit_Cost]])*sales_data_1[[#This Row],[Quantity_Sold]]</f>
        <v>44484.694999999985</v>
      </c>
      <c r="O3005" s="17" t="s">
        <v>27</v>
      </c>
      <c r="P3005" s="26">
        <v>0.26</v>
      </c>
      <c r="Q3005" s="17" t="s">
        <v>18</v>
      </c>
      <c r="R3005" s="17" t="s">
        <v>19</v>
      </c>
      <c r="S3005" s="50" t="str">
        <f t="shared" si="140"/>
        <v>Eve-North</v>
      </c>
      <c r="T3005" s="59" t="str">
        <f>IF(ROUND(sales_data_1[[#This Row],[Profit_Margin]],2)=ROUND((sales_data_1[[#This Row],[Unit_Price]]*(1-sales_data_1[[#This Row],[Discount]]) - sales_data_1[[#This Row],[Unit_Cost]])*sales_data_1[[#This Row],[Quantity_Sold]],2), "PASS", "CHECK")</f>
        <v>PASS</v>
      </c>
    </row>
    <row r="3006" spans="1:20" x14ac:dyDescent="0.35">
      <c r="A3006" s="7">
        <v>3005</v>
      </c>
      <c r="B3006" s="9">
        <v>1063</v>
      </c>
      <c r="C3006" s="14" t="str">
        <f>IFERROR(_xlfn.TEXTJOIN("-", TRUE, _xlfn.XLOOKUP(K3006, product_category_id_lookup!$A$2:$A$5, product_category_id_lookup!$B$2:$B$5), B3006), "Unknown Category")</f>
        <v>fnt-1063</v>
      </c>
      <c r="D3006" s="8">
        <v>45583</v>
      </c>
      <c r="E3006" s="14">
        <f t="shared" si="138"/>
        <v>2024</v>
      </c>
      <c r="F3006" s="29" t="str">
        <f t="shared" si="139"/>
        <v>Oct</v>
      </c>
      <c r="G3006" s="17" t="s">
        <v>33</v>
      </c>
      <c r="H3006" s="17" t="s">
        <v>20</v>
      </c>
      <c r="I3006" s="24">
        <v>2177.0804486643037</v>
      </c>
      <c r="J3006" s="32">
        <v>9</v>
      </c>
      <c r="K3006" s="17" t="s">
        <v>16</v>
      </c>
      <c r="L3006" s="24">
        <v>230.5</v>
      </c>
      <c r="M3006" s="24">
        <v>247.44</v>
      </c>
      <c r="N3006" s="34">
        <f>((sales_data_1[[#This Row],[Unit_Price]]*(1-sales_data_1[[#This Row],[Discount]]))-sales_data_1[[#This Row],[Unit_Cost]])*sales_data_1[[#This Row],[Quantity_Sold]]</f>
        <v>107.92079999999993</v>
      </c>
      <c r="O3006" s="17" t="s">
        <v>27</v>
      </c>
      <c r="P3006" s="26">
        <v>0.02</v>
      </c>
      <c r="Q3006" s="17" t="s">
        <v>18</v>
      </c>
      <c r="R3006" s="17" t="s">
        <v>21</v>
      </c>
      <c r="S3006" s="50" t="str">
        <f t="shared" si="140"/>
        <v>Alice-West</v>
      </c>
      <c r="T3006" s="59" t="str">
        <f>IF(ROUND(sales_data_1[[#This Row],[Profit_Margin]],2)=ROUND((sales_data_1[[#This Row],[Unit_Price]]*(1-sales_data_1[[#This Row],[Discount]]) - sales_data_1[[#This Row],[Unit_Cost]])*sales_data_1[[#This Row],[Quantity_Sold]],2), "PASS", "CHECK")</f>
        <v>PASS</v>
      </c>
    </row>
    <row r="3007" spans="1:20" x14ac:dyDescent="0.35">
      <c r="A3007" s="7">
        <v>3006</v>
      </c>
      <c r="B3007" s="9">
        <v>1035</v>
      </c>
      <c r="C3007" s="14" t="str">
        <f>IFERROR(_xlfn.TEXTJOIN("-", TRUE, _xlfn.XLOOKUP(K3007, product_category_id_lookup!$A$2:$A$5, product_category_id_lookup!$B$2:$B$5), B3007), "Unknown Category")</f>
        <v>etc-1035</v>
      </c>
      <c r="D3007" s="8">
        <v>45583</v>
      </c>
      <c r="E3007" s="14">
        <f t="shared" si="138"/>
        <v>2024</v>
      </c>
      <c r="F3007" s="29" t="str">
        <f t="shared" si="139"/>
        <v>Oct</v>
      </c>
      <c r="G3007" s="17" t="s">
        <v>32</v>
      </c>
      <c r="H3007" s="17" t="s">
        <v>23</v>
      </c>
      <c r="I3007" s="24">
        <v>92425.627600000007</v>
      </c>
      <c r="J3007" s="32">
        <v>41</v>
      </c>
      <c r="K3007" s="17" t="s">
        <v>31</v>
      </c>
      <c r="L3007" s="24">
        <v>1911.47</v>
      </c>
      <c r="M3007" s="24">
        <v>2621.2600000000002</v>
      </c>
      <c r="N3007" s="34">
        <f>((sales_data_1[[#This Row],[Unit_Price]]*(1-sales_data_1[[#This Row],[Discount]]))-sales_data_1[[#This Row],[Unit_Cost]])*sales_data_1[[#This Row],[Quantity_Sold]]</f>
        <v>14055.357600000007</v>
      </c>
      <c r="O3007" s="17" t="s">
        <v>17</v>
      </c>
      <c r="P3007" s="26">
        <v>0.14000000000000001</v>
      </c>
      <c r="Q3007" s="17" t="s">
        <v>18</v>
      </c>
      <c r="R3007" s="17" t="s">
        <v>21</v>
      </c>
      <c r="S3007" s="50" t="str">
        <f t="shared" si="140"/>
        <v>Eve-South</v>
      </c>
      <c r="T3007" s="59" t="str">
        <f>IF(ROUND(sales_data_1[[#This Row],[Profit_Margin]],2)=ROUND((sales_data_1[[#This Row],[Unit_Price]]*(1-sales_data_1[[#This Row],[Discount]]) - sales_data_1[[#This Row],[Unit_Cost]])*sales_data_1[[#This Row],[Quantity_Sold]],2), "PASS", "CHECK")</f>
        <v>PASS</v>
      </c>
    </row>
    <row r="3008" spans="1:20" x14ac:dyDescent="0.35">
      <c r="A3008" s="7">
        <v>3007</v>
      </c>
      <c r="B3008" s="9">
        <v>1095</v>
      </c>
      <c r="C3008" s="14" t="str">
        <f>IFERROR(_xlfn.TEXTJOIN("-", TRUE, _xlfn.XLOOKUP(K3008, product_category_id_lookup!$A$2:$A$5, product_category_id_lookup!$B$2:$B$5), B3008), "Unknown Category")</f>
        <v>etc-1095</v>
      </c>
      <c r="D3008" s="8">
        <v>45583</v>
      </c>
      <c r="E3008" s="14">
        <f t="shared" si="138"/>
        <v>2024</v>
      </c>
      <c r="F3008" s="29" t="str">
        <f t="shared" si="139"/>
        <v>Oct</v>
      </c>
      <c r="G3008" s="17" t="s">
        <v>32</v>
      </c>
      <c r="H3008" s="17" t="s">
        <v>23</v>
      </c>
      <c r="I3008" s="24">
        <v>29132.928899999999</v>
      </c>
      <c r="J3008" s="32">
        <v>17</v>
      </c>
      <c r="K3008" s="17" t="s">
        <v>31</v>
      </c>
      <c r="L3008" s="24">
        <v>366.53</v>
      </c>
      <c r="M3008" s="24">
        <v>1842.69</v>
      </c>
      <c r="N3008" s="34">
        <f>((sales_data_1[[#This Row],[Unit_Price]]*(1-sales_data_1[[#This Row],[Discount]]))-sales_data_1[[#This Row],[Unit_Cost]])*sales_data_1[[#This Row],[Quantity_Sold]]</f>
        <v>22901.918899999997</v>
      </c>
      <c r="O3008" s="17" t="s">
        <v>17</v>
      </c>
      <c r="P3008" s="26">
        <v>7.0000000000000007E-2</v>
      </c>
      <c r="Q3008" s="17" t="s">
        <v>28</v>
      </c>
      <c r="R3008" s="17" t="s">
        <v>19</v>
      </c>
      <c r="S3008" s="50" t="str">
        <f t="shared" si="140"/>
        <v>Eve-South</v>
      </c>
      <c r="T3008" s="59" t="str">
        <f>IF(ROUND(sales_data_1[[#This Row],[Profit_Margin]],2)=ROUND((sales_data_1[[#This Row],[Unit_Price]]*(1-sales_data_1[[#This Row],[Discount]]) - sales_data_1[[#This Row],[Unit_Cost]])*sales_data_1[[#This Row],[Quantity_Sold]],2), "PASS", "CHECK")</f>
        <v>PASS</v>
      </c>
    </row>
    <row r="3009" spans="1:20" x14ac:dyDescent="0.35">
      <c r="A3009" s="7">
        <v>3008</v>
      </c>
      <c r="B3009" s="9">
        <v>1020</v>
      </c>
      <c r="C3009" s="14" t="str">
        <f>IFERROR(_xlfn.TEXTJOIN("-", TRUE, _xlfn.XLOOKUP(K3009, product_category_id_lookup!$A$2:$A$5, product_category_id_lookup!$B$2:$B$5), B3009), "Unknown Category")</f>
        <v>fd-1020</v>
      </c>
      <c r="D3009" s="8">
        <v>45583</v>
      </c>
      <c r="E3009" s="14">
        <f t="shared" si="138"/>
        <v>2024</v>
      </c>
      <c r="F3009" s="29" t="str">
        <f t="shared" si="139"/>
        <v>Oct</v>
      </c>
      <c r="G3009" s="17" t="s">
        <v>29</v>
      </c>
      <c r="H3009" s="17" t="s">
        <v>30</v>
      </c>
      <c r="I3009" s="24">
        <v>29567.388800000001</v>
      </c>
      <c r="J3009" s="32">
        <v>8</v>
      </c>
      <c r="K3009" s="17" t="s">
        <v>24</v>
      </c>
      <c r="L3009" s="24">
        <v>305.56</v>
      </c>
      <c r="M3009" s="24">
        <v>4452.92</v>
      </c>
      <c r="N3009" s="34">
        <f>((sales_data_1[[#This Row],[Unit_Price]]*(1-sales_data_1[[#This Row],[Discount]]))-sales_data_1[[#This Row],[Unit_Cost]])*sales_data_1[[#This Row],[Quantity_Sold]]</f>
        <v>27122.908800000001</v>
      </c>
      <c r="O3009" s="17" t="s">
        <v>17</v>
      </c>
      <c r="P3009" s="26">
        <v>0.17</v>
      </c>
      <c r="Q3009" s="17" t="s">
        <v>18</v>
      </c>
      <c r="R3009" s="17" t="s">
        <v>19</v>
      </c>
      <c r="S3009" s="50" t="str">
        <f t="shared" si="140"/>
        <v>Charlie-East</v>
      </c>
      <c r="T3009" s="59" t="str">
        <f>IF(ROUND(sales_data_1[[#This Row],[Profit_Margin]],2)=ROUND((sales_data_1[[#This Row],[Unit_Price]]*(1-sales_data_1[[#This Row],[Discount]]) - sales_data_1[[#This Row],[Unit_Cost]])*sales_data_1[[#This Row],[Quantity_Sold]],2), "PASS", "CHECK")</f>
        <v>PASS</v>
      </c>
    </row>
    <row r="3010" spans="1:20" x14ac:dyDescent="0.35">
      <c r="A3010" s="7">
        <v>3009</v>
      </c>
      <c r="B3010" s="9">
        <v>1032</v>
      </c>
      <c r="C3010" s="14" t="str">
        <f>IFERROR(_xlfn.TEXTJOIN("-", TRUE, _xlfn.XLOOKUP(K3010, product_category_id_lookup!$A$2:$A$5, product_category_id_lookup!$B$2:$B$5), B3010), "Unknown Category")</f>
        <v>fd-1032</v>
      </c>
      <c r="D3010" s="8">
        <v>45584</v>
      </c>
      <c r="E3010" s="14">
        <f t="shared" ref="E3010:E3073" si="141">YEAR(D3010)</f>
        <v>2024</v>
      </c>
      <c r="F3010" s="29" t="str">
        <f t="shared" ref="F3010:F3073" si="142">LEFT(TEXT(D3010,"mmmm"),3)</f>
        <v>Oct</v>
      </c>
      <c r="G3010" s="17" t="s">
        <v>33</v>
      </c>
      <c r="H3010" s="17" t="s">
        <v>20</v>
      </c>
      <c r="I3010" s="24">
        <v>19359.847000000002</v>
      </c>
      <c r="J3010" s="32">
        <v>5</v>
      </c>
      <c r="K3010" s="17" t="s">
        <v>24</v>
      </c>
      <c r="L3010" s="24">
        <v>3518.11</v>
      </c>
      <c r="M3010" s="24">
        <v>4502.29</v>
      </c>
      <c r="N3010" s="34">
        <f>((sales_data_1[[#This Row],[Unit_Price]]*(1-sales_data_1[[#This Row],[Discount]]))-sales_data_1[[#This Row],[Unit_Cost]])*sales_data_1[[#This Row],[Quantity_Sold]]</f>
        <v>1769.2969999999991</v>
      </c>
      <c r="O3010" s="17" t="s">
        <v>27</v>
      </c>
      <c r="P3010" s="26">
        <v>0.14000000000000001</v>
      </c>
      <c r="Q3010" s="17" t="s">
        <v>18</v>
      </c>
      <c r="R3010" s="17" t="s">
        <v>21</v>
      </c>
      <c r="S3010" s="50" t="str">
        <f t="shared" ref="S3010:S3073" si="143">_xlfn.CONCAT(G3010,"-",H3010)</f>
        <v>Alice-West</v>
      </c>
      <c r="T3010" s="59" t="str">
        <f>IF(ROUND(sales_data_1[[#This Row],[Profit_Margin]],2)=ROUND((sales_data_1[[#This Row],[Unit_Price]]*(1-sales_data_1[[#This Row],[Discount]]) - sales_data_1[[#This Row],[Unit_Cost]])*sales_data_1[[#This Row],[Quantity_Sold]],2), "PASS", "CHECK")</f>
        <v>PASS</v>
      </c>
    </row>
    <row r="3011" spans="1:20" x14ac:dyDescent="0.35">
      <c r="A3011" s="7">
        <v>3010</v>
      </c>
      <c r="B3011" s="9">
        <v>1092</v>
      </c>
      <c r="C3011" s="14" t="str">
        <f>IFERROR(_xlfn.TEXTJOIN("-", TRUE, _xlfn.XLOOKUP(K3011, product_category_id_lookup!$A$2:$A$5, product_category_id_lookup!$B$2:$B$5), B3011), "Unknown Category")</f>
        <v>ctg-1092</v>
      </c>
      <c r="D3011" s="8">
        <v>45584</v>
      </c>
      <c r="E3011" s="14">
        <f t="shared" si="141"/>
        <v>2024</v>
      </c>
      <c r="F3011" s="29" t="str">
        <f t="shared" si="142"/>
        <v>Oct</v>
      </c>
      <c r="G3011" s="17" t="s">
        <v>32</v>
      </c>
      <c r="H3011" s="17" t="s">
        <v>20</v>
      </c>
      <c r="I3011" s="24">
        <v>49331.367599999998</v>
      </c>
      <c r="J3011" s="32">
        <v>12</v>
      </c>
      <c r="K3011" s="17" t="s">
        <v>26</v>
      </c>
      <c r="L3011" s="24">
        <v>3524.64</v>
      </c>
      <c r="M3011" s="24">
        <v>4238.09</v>
      </c>
      <c r="N3011" s="34">
        <f>((sales_data_1[[#This Row],[Unit_Price]]*(1-sales_data_1[[#This Row],[Discount]]))-sales_data_1[[#This Row],[Unit_Cost]])*sales_data_1[[#This Row],[Quantity_Sold]]</f>
        <v>7035.6875999999993</v>
      </c>
      <c r="O3011" s="17" t="s">
        <v>17</v>
      </c>
      <c r="P3011" s="26">
        <v>0.03</v>
      </c>
      <c r="Q3011" s="17" t="s">
        <v>18</v>
      </c>
      <c r="R3011" s="17" t="s">
        <v>19</v>
      </c>
      <c r="S3011" s="50" t="str">
        <f t="shared" si="143"/>
        <v>Eve-West</v>
      </c>
      <c r="T3011" s="59" t="str">
        <f>IF(ROUND(sales_data_1[[#This Row],[Profit_Margin]],2)=ROUND((sales_data_1[[#This Row],[Unit_Price]]*(1-sales_data_1[[#This Row],[Discount]]) - sales_data_1[[#This Row],[Unit_Cost]])*sales_data_1[[#This Row],[Quantity_Sold]],2), "PASS", "CHECK")</f>
        <v>PASS</v>
      </c>
    </row>
    <row r="3012" spans="1:20" x14ac:dyDescent="0.35">
      <c r="A3012" s="7">
        <v>3011</v>
      </c>
      <c r="B3012" s="9">
        <v>1078</v>
      </c>
      <c r="C3012" s="14" t="str">
        <f>IFERROR(_xlfn.TEXTJOIN("-", TRUE, _xlfn.XLOOKUP(K3012, product_category_id_lookup!$A$2:$A$5, product_category_id_lookup!$B$2:$B$5), B3012), "Unknown Category")</f>
        <v>ctg-1078</v>
      </c>
      <c r="D3012" s="8">
        <v>45584</v>
      </c>
      <c r="E3012" s="14">
        <f t="shared" si="141"/>
        <v>2024</v>
      </c>
      <c r="F3012" s="29" t="str">
        <f t="shared" si="142"/>
        <v>Oct</v>
      </c>
      <c r="G3012" s="17" t="s">
        <v>14</v>
      </c>
      <c r="H3012" s="17" t="s">
        <v>20</v>
      </c>
      <c r="I3012" s="24">
        <v>55685.193200000002</v>
      </c>
      <c r="J3012" s="32">
        <v>17</v>
      </c>
      <c r="K3012" s="17" t="s">
        <v>26</v>
      </c>
      <c r="L3012" s="24">
        <v>2405.6799999999998</v>
      </c>
      <c r="M3012" s="24">
        <v>3599.56</v>
      </c>
      <c r="N3012" s="34">
        <f>((sales_data_1[[#This Row],[Unit_Price]]*(1-sales_data_1[[#This Row],[Discount]]))-sales_data_1[[#This Row],[Unit_Cost]])*sales_data_1[[#This Row],[Quantity_Sold]]</f>
        <v>14788.633200000004</v>
      </c>
      <c r="O3012" s="17" t="s">
        <v>17</v>
      </c>
      <c r="P3012" s="26">
        <v>0.09</v>
      </c>
      <c r="Q3012" s="17" t="s">
        <v>28</v>
      </c>
      <c r="R3012" s="17" t="s">
        <v>21</v>
      </c>
      <c r="S3012" s="50" t="str">
        <f t="shared" si="143"/>
        <v>Bob-West</v>
      </c>
      <c r="T3012" s="59" t="str">
        <f>IF(ROUND(sales_data_1[[#This Row],[Profit_Margin]],2)=ROUND((sales_data_1[[#This Row],[Unit_Price]]*(1-sales_data_1[[#This Row],[Discount]]) - sales_data_1[[#This Row],[Unit_Cost]])*sales_data_1[[#This Row],[Quantity_Sold]],2), "PASS", "CHECK")</f>
        <v>PASS</v>
      </c>
    </row>
    <row r="3013" spans="1:20" x14ac:dyDescent="0.35">
      <c r="A3013" s="7">
        <v>3012</v>
      </c>
      <c r="B3013" s="9">
        <v>1078</v>
      </c>
      <c r="C3013" s="14" t="str">
        <f>IFERROR(_xlfn.TEXTJOIN("-", TRUE, _xlfn.XLOOKUP(K3013, product_category_id_lookup!$A$2:$A$5, product_category_id_lookup!$B$2:$B$5), B3013), "Unknown Category")</f>
        <v>fnt-1078</v>
      </c>
      <c r="D3013" s="8">
        <v>45584</v>
      </c>
      <c r="E3013" s="14">
        <f t="shared" si="141"/>
        <v>2024</v>
      </c>
      <c r="F3013" s="29" t="str">
        <f t="shared" si="142"/>
        <v>Oct</v>
      </c>
      <c r="G3013" s="17" t="s">
        <v>32</v>
      </c>
      <c r="H3013" s="17" t="s">
        <v>15</v>
      </c>
      <c r="I3013" s="24">
        <v>30954.252799999998</v>
      </c>
      <c r="J3013" s="32">
        <v>16</v>
      </c>
      <c r="K3013" s="17" t="s">
        <v>16</v>
      </c>
      <c r="L3013" s="24">
        <v>911.27</v>
      </c>
      <c r="M3013" s="24">
        <v>2545.58</v>
      </c>
      <c r="N3013" s="34">
        <f>((sales_data_1[[#This Row],[Unit_Price]]*(1-sales_data_1[[#This Row],[Discount]]))-sales_data_1[[#This Row],[Unit_Cost]])*sales_data_1[[#This Row],[Quantity_Sold]]</f>
        <v>16373.932799999999</v>
      </c>
      <c r="O3013" s="17" t="s">
        <v>27</v>
      </c>
      <c r="P3013" s="26">
        <v>0.24</v>
      </c>
      <c r="Q3013" s="17" t="s">
        <v>25</v>
      </c>
      <c r="R3013" s="17" t="s">
        <v>19</v>
      </c>
      <c r="S3013" s="50" t="str">
        <f t="shared" si="143"/>
        <v>Eve-North</v>
      </c>
      <c r="T3013" s="59" t="str">
        <f>IF(ROUND(sales_data_1[[#This Row],[Profit_Margin]],2)=ROUND((sales_data_1[[#This Row],[Unit_Price]]*(1-sales_data_1[[#This Row],[Discount]]) - sales_data_1[[#This Row],[Unit_Cost]])*sales_data_1[[#This Row],[Quantity_Sold]],2), "PASS", "CHECK")</f>
        <v>PASS</v>
      </c>
    </row>
    <row r="3014" spans="1:20" x14ac:dyDescent="0.35">
      <c r="A3014" s="7">
        <v>3013</v>
      </c>
      <c r="B3014" s="9">
        <v>1069</v>
      </c>
      <c r="C3014" s="14" t="str">
        <f>IFERROR(_xlfn.TEXTJOIN("-", TRUE, _xlfn.XLOOKUP(K3014, product_category_id_lookup!$A$2:$A$5, product_category_id_lookup!$B$2:$B$5), B3014), "Unknown Category")</f>
        <v>fd-1069</v>
      </c>
      <c r="D3014" s="8">
        <v>45584</v>
      </c>
      <c r="E3014" s="14">
        <f t="shared" si="141"/>
        <v>2024</v>
      </c>
      <c r="F3014" s="29" t="str">
        <f t="shared" si="142"/>
        <v>Oct</v>
      </c>
      <c r="G3014" s="17" t="s">
        <v>32</v>
      </c>
      <c r="H3014" s="17" t="s">
        <v>20</v>
      </c>
      <c r="I3014" s="24">
        <v>244549.06020138832</v>
      </c>
      <c r="J3014" s="32">
        <v>49</v>
      </c>
      <c r="K3014" s="17" t="s">
        <v>24</v>
      </c>
      <c r="L3014" s="24">
        <v>4084.24</v>
      </c>
      <c r="M3014" s="24">
        <v>4997.5200000000004</v>
      </c>
      <c r="N3014" s="34">
        <f>((sales_data_1[[#This Row],[Unit_Price]]*(1-sales_data_1[[#This Row],[Discount]]))-sales_data_1[[#This Row],[Unit_Cost]])*sales_data_1[[#This Row],[Quantity_Sold]]</f>
        <v>44750.72000000003</v>
      </c>
      <c r="O3014" s="17" t="s">
        <v>27</v>
      </c>
      <c r="P3014" s="26">
        <v>0</v>
      </c>
      <c r="Q3014" s="17" t="s">
        <v>18</v>
      </c>
      <c r="R3014" s="17" t="s">
        <v>19</v>
      </c>
      <c r="S3014" s="50" t="str">
        <f t="shared" si="143"/>
        <v>Eve-West</v>
      </c>
      <c r="T3014" s="59" t="str">
        <f>IF(ROUND(sales_data_1[[#This Row],[Profit_Margin]],2)=ROUND((sales_data_1[[#This Row],[Unit_Price]]*(1-sales_data_1[[#This Row],[Discount]]) - sales_data_1[[#This Row],[Unit_Cost]])*sales_data_1[[#This Row],[Quantity_Sold]],2), "PASS", "CHECK")</f>
        <v>PASS</v>
      </c>
    </row>
    <row r="3015" spans="1:20" x14ac:dyDescent="0.35">
      <c r="A3015" s="7">
        <v>3014</v>
      </c>
      <c r="B3015" s="9">
        <v>1028</v>
      </c>
      <c r="C3015" s="14" t="str">
        <f>IFERROR(_xlfn.TEXTJOIN("-", TRUE, _xlfn.XLOOKUP(K3015, product_category_id_lookup!$A$2:$A$5, product_category_id_lookup!$B$2:$B$5), B3015), "Unknown Category")</f>
        <v>fd-1028</v>
      </c>
      <c r="D3015" s="8">
        <v>45584</v>
      </c>
      <c r="E3015" s="14">
        <f t="shared" si="141"/>
        <v>2024</v>
      </c>
      <c r="F3015" s="29" t="str">
        <f t="shared" si="142"/>
        <v>Oct</v>
      </c>
      <c r="G3015" s="17" t="s">
        <v>33</v>
      </c>
      <c r="H3015" s="17" t="s">
        <v>15</v>
      </c>
      <c r="I3015" s="24">
        <v>184178.96739999999</v>
      </c>
      <c r="J3015" s="32">
        <v>43</v>
      </c>
      <c r="K3015" s="17" t="s">
        <v>24</v>
      </c>
      <c r="L3015" s="24">
        <v>1619.31</v>
      </c>
      <c r="M3015" s="24">
        <v>4812.62</v>
      </c>
      <c r="N3015" s="34">
        <f>((sales_data_1[[#This Row],[Unit_Price]]*(1-sales_data_1[[#This Row],[Discount]]))-sales_data_1[[#This Row],[Unit_Cost]])*sales_data_1[[#This Row],[Quantity_Sold]]</f>
        <v>114548.63739999998</v>
      </c>
      <c r="O3015" s="17" t="s">
        <v>17</v>
      </c>
      <c r="P3015" s="26">
        <v>0.11</v>
      </c>
      <c r="Q3015" s="17" t="s">
        <v>18</v>
      </c>
      <c r="R3015" s="17" t="s">
        <v>21</v>
      </c>
      <c r="S3015" s="50" t="str">
        <f t="shared" si="143"/>
        <v>Alice-North</v>
      </c>
      <c r="T3015" s="59" t="str">
        <f>IF(ROUND(sales_data_1[[#This Row],[Profit_Margin]],2)=ROUND((sales_data_1[[#This Row],[Unit_Price]]*(1-sales_data_1[[#This Row],[Discount]]) - sales_data_1[[#This Row],[Unit_Cost]])*sales_data_1[[#This Row],[Quantity_Sold]],2), "PASS", "CHECK")</f>
        <v>PASS</v>
      </c>
    </row>
    <row r="3016" spans="1:20" x14ac:dyDescent="0.35">
      <c r="A3016" s="7">
        <v>3015</v>
      </c>
      <c r="B3016" s="9">
        <v>1012</v>
      </c>
      <c r="C3016" s="14" t="str">
        <f>IFERROR(_xlfn.TEXTJOIN("-", TRUE, _xlfn.XLOOKUP(K3016, product_category_id_lookup!$A$2:$A$5, product_category_id_lookup!$B$2:$B$5), B3016), "Unknown Category")</f>
        <v>ctg-1012</v>
      </c>
      <c r="D3016" s="8">
        <v>45585</v>
      </c>
      <c r="E3016" s="14">
        <f t="shared" si="141"/>
        <v>2024</v>
      </c>
      <c r="F3016" s="29" t="str">
        <f t="shared" si="142"/>
        <v>Oct</v>
      </c>
      <c r="G3016" s="17" t="s">
        <v>22</v>
      </c>
      <c r="H3016" s="17" t="s">
        <v>20</v>
      </c>
      <c r="I3016" s="24">
        <v>33864.386400000003</v>
      </c>
      <c r="J3016" s="32">
        <v>12</v>
      </c>
      <c r="K3016" s="17" t="s">
        <v>26</v>
      </c>
      <c r="L3016" s="24">
        <v>2207.48</v>
      </c>
      <c r="M3016" s="24">
        <v>3617.99</v>
      </c>
      <c r="N3016" s="34">
        <f>((sales_data_1[[#This Row],[Unit_Price]]*(1-sales_data_1[[#This Row],[Discount]]))-sales_data_1[[#This Row],[Unit_Cost]])*sales_data_1[[#This Row],[Quantity_Sold]]</f>
        <v>7374.626400000001</v>
      </c>
      <c r="O3016" s="17" t="s">
        <v>27</v>
      </c>
      <c r="P3016" s="26">
        <v>0.22</v>
      </c>
      <c r="Q3016" s="17" t="s">
        <v>28</v>
      </c>
      <c r="R3016" s="17" t="s">
        <v>21</v>
      </c>
      <c r="S3016" s="50" t="str">
        <f t="shared" si="143"/>
        <v>David-West</v>
      </c>
      <c r="T3016" s="59" t="str">
        <f>IF(ROUND(sales_data_1[[#This Row],[Profit_Margin]],2)=ROUND((sales_data_1[[#This Row],[Unit_Price]]*(1-sales_data_1[[#This Row],[Discount]]) - sales_data_1[[#This Row],[Unit_Cost]])*sales_data_1[[#This Row],[Quantity_Sold]],2), "PASS", "CHECK")</f>
        <v>PASS</v>
      </c>
    </row>
    <row r="3017" spans="1:20" x14ac:dyDescent="0.35">
      <c r="A3017" s="7">
        <v>3016</v>
      </c>
      <c r="B3017" s="9">
        <v>1037</v>
      </c>
      <c r="C3017" s="14" t="str">
        <f>IFERROR(_xlfn.TEXTJOIN("-", TRUE, _xlfn.XLOOKUP(K3017, product_category_id_lookup!$A$2:$A$5, product_category_id_lookup!$B$2:$B$5), B3017), "Unknown Category")</f>
        <v>fnt-1037</v>
      </c>
      <c r="D3017" s="8">
        <v>45585</v>
      </c>
      <c r="E3017" s="14">
        <f t="shared" si="141"/>
        <v>2024</v>
      </c>
      <c r="F3017" s="29" t="str">
        <f t="shared" si="142"/>
        <v>Oct</v>
      </c>
      <c r="G3017" s="17" t="s">
        <v>33</v>
      </c>
      <c r="H3017" s="17" t="s">
        <v>15</v>
      </c>
      <c r="I3017" s="24">
        <v>134219.25</v>
      </c>
      <c r="J3017" s="32">
        <v>33</v>
      </c>
      <c r="K3017" s="17" t="s">
        <v>16</v>
      </c>
      <c r="L3017" s="24">
        <v>580.41999999999996</v>
      </c>
      <c r="M3017" s="24">
        <v>4067.25</v>
      </c>
      <c r="N3017" s="34">
        <f>((sales_data_1[[#This Row],[Unit_Price]]*(1-sales_data_1[[#This Row],[Discount]]))-sales_data_1[[#This Row],[Unit_Cost]])*sales_data_1[[#This Row],[Quantity_Sold]]</f>
        <v>115065.39</v>
      </c>
      <c r="O3017" s="17" t="s">
        <v>17</v>
      </c>
      <c r="P3017" s="26">
        <v>0</v>
      </c>
      <c r="Q3017" s="17" t="s">
        <v>28</v>
      </c>
      <c r="R3017" s="17" t="s">
        <v>19</v>
      </c>
      <c r="S3017" s="50" t="str">
        <f t="shared" si="143"/>
        <v>Alice-North</v>
      </c>
      <c r="T3017" s="59" t="str">
        <f>IF(ROUND(sales_data_1[[#This Row],[Profit_Margin]],2)=ROUND((sales_data_1[[#This Row],[Unit_Price]]*(1-sales_data_1[[#This Row],[Discount]]) - sales_data_1[[#This Row],[Unit_Cost]])*sales_data_1[[#This Row],[Quantity_Sold]],2), "PASS", "CHECK")</f>
        <v>PASS</v>
      </c>
    </row>
    <row r="3018" spans="1:20" x14ac:dyDescent="0.35">
      <c r="A3018" s="7">
        <v>3017</v>
      </c>
      <c r="B3018" s="9">
        <v>1041</v>
      </c>
      <c r="C3018" s="14" t="str">
        <f>IFERROR(_xlfn.TEXTJOIN("-", TRUE, _xlfn.XLOOKUP(K3018, product_category_id_lookup!$A$2:$A$5, product_category_id_lookup!$B$2:$B$5), B3018), "Unknown Category")</f>
        <v>fnt-1041</v>
      </c>
      <c r="D3018" s="8">
        <v>45586</v>
      </c>
      <c r="E3018" s="14">
        <f t="shared" si="141"/>
        <v>2024</v>
      </c>
      <c r="F3018" s="29" t="str">
        <f t="shared" si="142"/>
        <v>Oct</v>
      </c>
      <c r="G3018" s="17" t="s">
        <v>32</v>
      </c>
      <c r="H3018" s="17" t="s">
        <v>23</v>
      </c>
      <c r="I3018" s="24">
        <v>220606.11839999998</v>
      </c>
      <c r="J3018" s="32">
        <v>47</v>
      </c>
      <c r="K3018" s="17" t="s">
        <v>16</v>
      </c>
      <c r="L3018" s="24">
        <v>3381.14</v>
      </c>
      <c r="M3018" s="24">
        <v>4889.32</v>
      </c>
      <c r="N3018" s="34">
        <f>((sales_data_1[[#This Row],[Unit_Price]]*(1-sales_data_1[[#This Row],[Discount]]))-sales_data_1[[#This Row],[Unit_Cost]])*sales_data_1[[#This Row],[Quantity_Sold]]</f>
        <v>61692.538399999998</v>
      </c>
      <c r="O3018" s="17" t="s">
        <v>27</v>
      </c>
      <c r="P3018" s="26">
        <v>0.04</v>
      </c>
      <c r="Q3018" s="17" t="s">
        <v>28</v>
      </c>
      <c r="R3018" s="17" t="s">
        <v>21</v>
      </c>
      <c r="S3018" s="50" t="str">
        <f t="shared" si="143"/>
        <v>Eve-South</v>
      </c>
      <c r="T3018" s="59" t="str">
        <f>IF(ROUND(sales_data_1[[#This Row],[Profit_Margin]],2)=ROUND((sales_data_1[[#This Row],[Unit_Price]]*(1-sales_data_1[[#This Row],[Discount]]) - sales_data_1[[#This Row],[Unit_Cost]])*sales_data_1[[#This Row],[Quantity_Sold]],2), "PASS", "CHECK")</f>
        <v>PASS</v>
      </c>
    </row>
    <row r="3019" spans="1:20" x14ac:dyDescent="0.35">
      <c r="A3019" s="7">
        <v>3018</v>
      </c>
      <c r="B3019" s="9">
        <v>1047</v>
      </c>
      <c r="C3019" s="14" t="str">
        <f>IFERROR(_xlfn.TEXTJOIN("-", TRUE, _xlfn.XLOOKUP(K3019, product_category_id_lookup!$A$2:$A$5, product_category_id_lookup!$B$2:$B$5), B3019), "Unknown Category")</f>
        <v>ctg-1047</v>
      </c>
      <c r="D3019" s="8">
        <v>45586</v>
      </c>
      <c r="E3019" s="14">
        <f t="shared" si="141"/>
        <v>2024</v>
      </c>
      <c r="F3019" s="29" t="str">
        <f t="shared" si="142"/>
        <v>Oct</v>
      </c>
      <c r="G3019" s="17" t="s">
        <v>22</v>
      </c>
      <c r="H3019" s="17" t="s">
        <v>23</v>
      </c>
      <c r="I3019" s="24">
        <v>81259.147200000007</v>
      </c>
      <c r="J3019" s="32">
        <v>22</v>
      </c>
      <c r="K3019" s="17" t="s">
        <v>26</v>
      </c>
      <c r="L3019" s="24">
        <v>850.66</v>
      </c>
      <c r="M3019" s="24">
        <v>4397.1400000000003</v>
      </c>
      <c r="N3019" s="34">
        <f>((sales_data_1[[#This Row],[Unit_Price]]*(1-sales_data_1[[#This Row],[Discount]]))-sales_data_1[[#This Row],[Unit_Cost]])*sales_data_1[[#This Row],[Quantity_Sold]]</f>
        <v>62544.627200000003</v>
      </c>
      <c r="O3019" s="17" t="s">
        <v>27</v>
      </c>
      <c r="P3019" s="26">
        <v>0.16</v>
      </c>
      <c r="Q3019" s="17" t="s">
        <v>25</v>
      </c>
      <c r="R3019" s="17" t="s">
        <v>19</v>
      </c>
      <c r="S3019" s="50" t="str">
        <f t="shared" si="143"/>
        <v>David-South</v>
      </c>
      <c r="T3019" s="59" t="str">
        <f>IF(ROUND(sales_data_1[[#This Row],[Profit_Margin]],2)=ROUND((sales_data_1[[#This Row],[Unit_Price]]*(1-sales_data_1[[#This Row],[Discount]]) - sales_data_1[[#This Row],[Unit_Cost]])*sales_data_1[[#This Row],[Quantity_Sold]],2), "PASS", "CHECK")</f>
        <v>PASS</v>
      </c>
    </row>
    <row r="3020" spans="1:20" x14ac:dyDescent="0.35">
      <c r="A3020" s="7">
        <v>3019</v>
      </c>
      <c r="B3020" s="9">
        <v>1043</v>
      </c>
      <c r="C3020" s="14" t="str">
        <f>IFERROR(_xlfn.TEXTJOIN("-", TRUE, _xlfn.XLOOKUP(K3020, product_category_id_lookup!$A$2:$A$5, product_category_id_lookup!$B$2:$B$5), B3020), "Unknown Category")</f>
        <v>fd-1043</v>
      </c>
      <c r="D3020" s="8">
        <v>45587</v>
      </c>
      <c r="E3020" s="14">
        <f t="shared" si="141"/>
        <v>2024</v>
      </c>
      <c r="F3020" s="29" t="str">
        <f t="shared" si="142"/>
        <v>Oct</v>
      </c>
      <c r="G3020" s="17" t="s">
        <v>14</v>
      </c>
      <c r="H3020" s="17" t="s">
        <v>23</v>
      </c>
      <c r="I3020" s="24">
        <v>77450.3992</v>
      </c>
      <c r="J3020" s="32">
        <v>19</v>
      </c>
      <c r="K3020" s="17" t="s">
        <v>24</v>
      </c>
      <c r="L3020" s="24">
        <v>3298.39</v>
      </c>
      <c r="M3020" s="24">
        <v>5159.92</v>
      </c>
      <c r="N3020" s="34">
        <f>((sales_data_1[[#This Row],[Unit_Price]]*(1-sales_data_1[[#This Row],[Discount]]))-sales_data_1[[#This Row],[Unit_Cost]])*sales_data_1[[#This Row],[Quantity_Sold]]</f>
        <v>14780.989200000004</v>
      </c>
      <c r="O3020" s="17" t="s">
        <v>17</v>
      </c>
      <c r="P3020" s="26">
        <v>0.21</v>
      </c>
      <c r="Q3020" s="17" t="s">
        <v>25</v>
      </c>
      <c r="R3020" s="17" t="s">
        <v>19</v>
      </c>
      <c r="S3020" s="50" t="str">
        <f t="shared" si="143"/>
        <v>Bob-South</v>
      </c>
      <c r="T3020" s="59" t="str">
        <f>IF(ROUND(sales_data_1[[#This Row],[Profit_Margin]],2)=ROUND((sales_data_1[[#This Row],[Unit_Price]]*(1-sales_data_1[[#This Row],[Discount]]) - sales_data_1[[#This Row],[Unit_Cost]])*sales_data_1[[#This Row],[Quantity_Sold]],2), "PASS", "CHECK")</f>
        <v>PASS</v>
      </c>
    </row>
    <row r="3021" spans="1:20" x14ac:dyDescent="0.35">
      <c r="A3021" s="7">
        <v>3020</v>
      </c>
      <c r="B3021" s="9">
        <v>1028</v>
      </c>
      <c r="C3021" s="14" t="str">
        <f>IFERROR(_xlfn.TEXTJOIN("-", TRUE, _xlfn.XLOOKUP(K3021, product_category_id_lookup!$A$2:$A$5, product_category_id_lookup!$B$2:$B$5), B3021), "Unknown Category")</f>
        <v>etc-1028</v>
      </c>
      <c r="D3021" s="8">
        <v>45587</v>
      </c>
      <c r="E3021" s="14">
        <f t="shared" si="141"/>
        <v>2024</v>
      </c>
      <c r="F3021" s="29" t="str">
        <f t="shared" si="142"/>
        <v>Oct</v>
      </c>
      <c r="G3021" s="17" t="s">
        <v>14</v>
      </c>
      <c r="H3021" s="17" t="s">
        <v>15</v>
      </c>
      <c r="I3021" s="24">
        <v>97681.662400000001</v>
      </c>
      <c r="J3021" s="32">
        <v>28</v>
      </c>
      <c r="K3021" s="17" t="s">
        <v>31</v>
      </c>
      <c r="L3021" s="24">
        <v>2953.08</v>
      </c>
      <c r="M3021" s="24">
        <v>3791.99</v>
      </c>
      <c r="N3021" s="34">
        <f>((sales_data_1[[#This Row],[Unit_Price]]*(1-sales_data_1[[#This Row],[Discount]]))-sales_data_1[[#This Row],[Unit_Cost]])*sales_data_1[[#This Row],[Quantity_Sold]]</f>
        <v>14995.422399999999</v>
      </c>
      <c r="O3021" s="17" t="s">
        <v>27</v>
      </c>
      <c r="P3021" s="26">
        <v>0.08</v>
      </c>
      <c r="Q3021" s="17" t="s">
        <v>28</v>
      </c>
      <c r="R3021" s="17" t="s">
        <v>21</v>
      </c>
      <c r="S3021" s="50" t="str">
        <f t="shared" si="143"/>
        <v>Bob-North</v>
      </c>
      <c r="T3021" s="59" t="str">
        <f>IF(ROUND(sales_data_1[[#This Row],[Profit_Margin]],2)=ROUND((sales_data_1[[#This Row],[Unit_Price]]*(1-sales_data_1[[#This Row],[Discount]]) - sales_data_1[[#This Row],[Unit_Cost]])*sales_data_1[[#This Row],[Quantity_Sold]],2), "PASS", "CHECK")</f>
        <v>PASS</v>
      </c>
    </row>
    <row r="3022" spans="1:20" x14ac:dyDescent="0.35">
      <c r="A3022" s="7">
        <v>3021</v>
      </c>
      <c r="B3022" s="9">
        <v>1011</v>
      </c>
      <c r="C3022" s="14" t="str">
        <f>IFERROR(_xlfn.TEXTJOIN("-", TRUE, _xlfn.XLOOKUP(K3022, product_category_id_lookup!$A$2:$A$5, product_category_id_lookup!$B$2:$B$5), B3022), "Unknown Category")</f>
        <v>fd-1011</v>
      </c>
      <c r="D3022" s="8">
        <v>45587</v>
      </c>
      <c r="E3022" s="14">
        <f t="shared" si="141"/>
        <v>2024</v>
      </c>
      <c r="F3022" s="29" t="str">
        <f t="shared" si="142"/>
        <v>Oct</v>
      </c>
      <c r="G3022" s="17" t="s">
        <v>33</v>
      </c>
      <c r="H3022" s="17" t="s">
        <v>15</v>
      </c>
      <c r="I3022" s="24">
        <v>83747.472000000009</v>
      </c>
      <c r="J3022" s="32">
        <v>32</v>
      </c>
      <c r="K3022" s="17" t="s">
        <v>24</v>
      </c>
      <c r="L3022" s="24">
        <v>700.03</v>
      </c>
      <c r="M3022" s="24">
        <v>2698.05</v>
      </c>
      <c r="N3022" s="34">
        <f>((sales_data_1[[#This Row],[Unit_Price]]*(1-sales_data_1[[#This Row],[Discount]]))-sales_data_1[[#This Row],[Unit_Cost]])*sales_data_1[[#This Row],[Quantity_Sold]]</f>
        <v>61346.51200000001</v>
      </c>
      <c r="O3022" s="17" t="s">
        <v>27</v>
      </c>
      <c r="P3022" s="26">
        <v>0.03</v>
      </c>
      <c r="Q3022" s="17" t="s">
        <v>28</v>
      </c>
      <c r="R3022" s="17" t="s">
        <v>21</v>
      </c>
      <c r="S3022" s="50" t="str">
        <f t="shared" si="143"/>
        <v>Alice-North</v>
      </c>
      <c r="T3022" s="59" t="str">
        <f>IF(ROUND(sales_data_1[[#This Row],[Profit_Margin]],2)=ROUND((sales_data_1[[#This Row],[Unit_Price]]*(1-sales_data_1[[#This Row],[Discount]]) - sales_data_1[[#This Row],[Unit_Cost]])*sales_data_1[[#This Row],[Quantity_Sold]],2), "PASS", "CHECK")</f>
        <v>PASS</v>
      </c>
    </row>
    <row r="3023" spans="1:20" x14ac:dyDescent="0.35">
      <c r="A3023" s="7">
        <v>3022</v>
      </c>
      <c r="B3023" s="9">
        <v>1038</v>
      </c>
      <c r="C3023" s="14" t="str">
        <f>IFERROR(_xlfn.TEXTJOIN("-", TRUE, _xlfn.XLOOKUP(K3023, product_category_id_lookup!$A$2:$A$5, product_category_id_lookup!$B$2:$B$5), B3023), "Unknown Category")</f>
        <v>etc-1038</v>
      </c>
      <c r="D3023" s="8">
        <v>45587</v>
      </c>
      <c r="E3023" s="14">
        <f t="shared" si="141"/>
        <v>2024</v>
      </c>
      <c r="F3023" s="29" t="str">
        <f t="shared" si="142"/>
        <v>Oct</v>
      </c>
      <c r="G3023" s="17" t="s">
        <v>29</v>
      </c>
      <c r="H3023" s="17" t="s">
        <v>30</v>
      </c>
      <c r="I3023" s="24">
        <v>235186.52009999999</v>
      </c>
      <c r="J3023" s="32">
        <v>49</v>
      </c>
      <c r="K3023" s="17" t="s">
        <v>31</v>
      </c>
      <c r="L3023" s="24">
        <v>2595.15</v>
      </c>
      <c r="M3023" s="24">
        <v>4948.17</v>
      </c>
      <c r="N3023" s="34">
        <f>((sales_data_1[[#This Row],[Unit_Price]]*(1-sales_data_1[[#This Row],[Discount]]))-sales_data_1[[#This Row],[Unit_Cost]])*sales_data_1[[#This Row],[Quantity_Sold]]</f>
        <v>108024.1701</v>
      </c>
      <c r="O3023" s="17" t="s">
        <v>27</v>
      </c>
      <c r="P3023" s="26">
        <v>0.03</v>
      </c>
      <c r="Q3023" s="17" t="s">
        <v>28</v>
      </c>
      <c r="R3023" s="17" t="s">
        <v>21</v>
      </c>
      <c r="S3023" s="50" t="str">
        <f t="shared" si="143"/>
        <v>Charlie-East</v>
      </c>
      <c r="T3023" s="59" t="str">
        <f>IF(ROUND(sales_data_1[[#This Row],[Profit_Margin]],2)=ROUND((sales_data_1[[#This Row],[Unit_Price]]*(1-sales_data_1[[#This Row],[Discount]]) - sales_data_1[[#This Row],[Unit_Cost]])*sales_data_1[[#This Row],[Quantity_Sold]],2), "PASS", "CHECK")</f>
        <v>PASS</v>
      </c>
    </row>
    <row r="3024" spans="1:20" x14ac:dyDescent="0.35">
      <c r="A3024" s="7">
        <v>3023</v>
      </c>
      <c r="B3024" s="9">
        <v>1076</v>
      </c>
      <c r="C3024" s="14" t="str">
        <f>IFERROR(_xlfn.TEXTJOIN("-", TRUE, _xlfn.XLOOKUP(K3024, product_category_id_lookup!$A$2:$A$5, product_category_id_lookup!$B$2:$B$5), B3024), "Unknown Category")</f>
        <v>etc-1076</v>
      </c>
      <c r="D3024" s="8">
        <v>45589</v>
      </c>
      <c r="E3024" s="14">
        <f t="shared" si="141"/>
        <v>2024</v>
      </c>
      <c r="F3024" s="29" t="str">
        <f t="shared" si="142"/>
        <v>Oct</v>
      </c>
      <c r="G3024" s="17" t="s">
        <v>22</v>
      </c>
      <c r="H3024" s="17" t="s">
        <v>30</v>
      </c>
      <c r="I3024" s="24">
        <v>110190.02399999998</v>
      </c>
      <c r="J3024" s="32">
        <v>24</v>
      </c>
      <c r="K3024" s="17" t="s">
        <v>31</v>
      </c>
      <c r="L3024" s="24">
        <v>3516.82</v>
      </c>
      <c r="M3024" s="24">
        <v>4684.95</v>
      </c>
      <c r="N3024" s="34">
        <f>((sales_data_1[[#This Row],[Unit_Price]]*(1-sales_data_1[[#This Row],[Discount]]))-sales_data_1[[#This Row],[Unit_Cost]])*sales_data_1[[#This Row],[Quantity_Sold]]</f>
        <v>25786.343999999979</v>
      </c>
      <c r="O3024" s="17" t="s">
        <v>27</v>
      </c>
      <c r="P3024" s="26">
        <v>0.02</v>
      </c>
      <c r="Q3024" s="17" t="s">
        <v>18</v>
      </c>
      <c r="R3024" s="17" t="s">
        <v>21</v>
      </c>
      <c r="S3024" s="50" t="str">
        <f t="shared" si="143"/>
        <v>David-East</v>
      </c>
      <c r="T3024" s="59" t="str">
        <f>IF(ROUND(sales_data_1[[#This Row],[Profit_Margin]],2)=ROUND((sales_data_1[[#This Row],[Unit_Price]]*(1-sales_data_1[[#This Row],[Discount]]) - sales_data_1[[#This Row],[Unit_Cost]])*sales_data_1[[#This Row],[Quantity_Sold]],2), "PASS", "CHECK")</f>
        <v>PASS</v>
      </c>
    </row>
    <row r="3025" spans="1:20" x14ac:dyDescent="0.35">
      <c r="A3025" s="7">
        <v>3024</v>
      </c>
      <c r="B3025" s="9">
        <v>1078</v>
      </c>
      <c r="C3025" s="14" t="str">
        <f>IFERROR(_xlfn.TEXTJOIN("-", TRUE, _xlfn.XLOOKUP(K3025, product_category_id_lookup!$A$2:$A$5, product_category_id_lookup!$B$2:$B$5), B3025), "Unknown Category")</f>
        <v>fnt-1078</v>
      </c>
      <c r="D3025" s="8">
        <v>45589</v>
      </c>
      <c r="E3025" s="14">
        <f t="shared" si="141"/>
        <v>2024</v>
      </c>
      <c r="F3025" s="29" t="str">
        <f t="shared" si="142"/>
        <v>Oct</v>
      </c>
      <c r="G3025" s="17" t="s">
        <v>33</v>
      </c>
      <c r="H3025" s="17" t="s">
        <v>30</v>
      </c>
      <c r="I3025" s="24">
        <v>42901.283599999995</v>
      </c>
      <c r="J3025" s="32">
        <v>23</v>
      </c>
      <c r="K3025" s="17" t="s">
        <v>16</v>
      </c>
      <c r="L3025" s="24">
        <v>422.4</v>
      </c>
      <c r="M3025" s="24">
        <v>1903.34</v>
      </c>
      <c r="N3025" s="34">
        <f>((sales_data_1[[#This Row],[Unit_Price]]*(1-sales_data_1[[#This Row],[Discount]]))-sales_data_1[[#This Row],[Unit_Cost]])*sales_data_1[[#This Row],[Quantity_Sold]]</f>
        <v>33186.083599999998</v>
      </c>
      <c r="O3025" s="17" t="s">
        <v>27</v>
      </c>
      <c r="P3025" s="26">
        <v>0.02</v>
      </c>
      <c r="Q3025" s="17" t="s">
        <v>28</v>
      </c>
      <c r="R3025" s="17" t="s">
        <v>19</v>
      </c>
      <c r="S3025" s="50" t="str">
        <f t="shared" si="143"/>
        <v>Alice-East</v>
      </c>
      <c r="T3025" s="59" t="str">
        <f>IF(ROUND(sales_data_1[[#This Row],[Profit_Margin]],2)=ROUND((sales_data_1[[#This Row],[Unit_Price]]*(1-sales_data_1[[#This Row],[Discount]]) - sales_data_1[[#This Row],[Unit_Cost]])*sales_data_1[[#This Row],[Quantity_Sold]],2), "PASS", "CHECK")</f>
        <v>PASS</v>
      </c>
    </row>
    <row r="3026" spans="1:20" x14ac:dyDescent="0.35">
      <c r="A3026" s="7">
        <v>3025</v>
      </c>
      <c r="B3026" s="9">
        <v>1053</v>
      </c>
      <c r="C3026" s="14" t="str">
        <f>IFERROR(_xlfn.TEXTJOIN("-", TRUE, _xlfn.XLOOKUP(K3026, product_category_id_lookup!$A$2:$A$5, product_category_id_lookup!$B$2:$B$5), B3026), "Unknown Category")</f>
        <v>ctg-1053</v>
      </c>
      <c r="D3026" s="8">
        <v>45589</v>
      </c>
      <c r="E3026" s="14">
        <f t="shared" si="141"/>
        <v>2024</v>
      </c>
      <c r="F3026" s="29" t="str">
        <f t="shared" si="142"/>
        <v>Oct</v>
      </c>
      <c r="G3026" s="17" t="s">
        <v>29</v>
      </c>
      <c r="H3026" s="17" t="s">
        <v>23</v>
      </c>
      <c r="I3026" s="24">
        <v>179991.06840000002</v>
      </c>
      <c r="J3026" s="32">
        <v>47</v>
      </c>
      <c r="K3026" s="17" t="s">
        <v>26</v>
      </c>
      <c r="L3026" s="24">
        <v>383.05</v>
      </c>
      <c r="M3026" s="24">
        <v>4909.74</v>
      </c>
      <c r="N3026" s="34">
        <f>((sales_data_1[[#This Row],[Unit_Price]]*(1-sales_data_1[[#This Row],[Discount]]))-sales_data_1[[#This Row],[Unit_Cost]])*sales_data_1[[#This Row],[Quantity_Sold]]</f>
        <v>161987.71840000001</v>
      </c>
      <c r="O3026" s="17" t="s">
        <v>17</v>
      </c>
      <c r="P3026" s="26">
        <v>0.22</v>
      </c>
      <c r="Q3026" s="17" t="s">
        <v>25</v>
      </c>
      <c r="R3026" s="17" t="s">
        <v>19</v>
      </c>
      <c r="S3026" s="50" t="str">
        <f t="shared" si="143"/>
        <v>Charlie-South</v>
      </c>
      <c r="T3026" s="59" t="str">
        <f>IF(ROUND(sales_data_1[[#This Row],[Profit_Margin]],2)=ROUND((sales_data_1[[#This Row],[Unit_Price]]*(1-sales_data_1[[#This Row],[Discount]]) - sales_data_1[[#This Row],[Unit_Cost]])*sales_data_1[[#This Row],[Quantity_Sold]],2), "PASS", "CHECK")</f>
        <v>PASS</v>
      </c>
    </row>
    <row r="3027" spans="1:20" x14ac:dyDescent="0.35">
      <c r="A3027" s="7">
        <v>3026</v>
      </c>
      <c r="B3027" s="9">
        <v>1075</v>
      </c>
      <c r="C3027" s="14" t="str">
        <f>IFERROR(_xlfn.TEXTJOIN("-", TRUE, _xlfn.XLOOKUP(K3027, product_category_id_lookup!$A$2:$A$5, product_category_id_lookup!$B$2:$B$5), B3027), "Unknown Category")</f>
        <v>fnt-1075</v>
      </c>
      <c r="D3027" s="8">
        <v>45590</v>
      </c>
      <c r="E3027" s="14">
        <f t="shared" si="141"/>
        <v>2024</v>
      </c>
      <c r="F3027" s="29" t="str">
        <f t="shared" si="142"/>
        <v>Oct</v>
      </c>
      <c r="G3027" s="17" t="s">
        <v>32</v>
      </c>
      <c r="H3027" s="17" t="s">
        <v>30</v>
      </c>
      <c r="I3027" s="24">
        <v>6107.0792000000001</v>
      </c>
      <c r="J3027" s="32">
        <v>4</v>
      </c>
      <c r="K3027" s="17" t="s">
        <v>16</v>
      </c>
      <c r="L3027" s="24">
        <v>515.62</v>
      </c>
      <c r="M3027" s="24">
        <v>2150.38</v>
      </c>
      <c r="N3027" s="34">
        <f>((sales_data_1[[#This Row],[Unit_Price]]*(1-sales_data_1[[#This Row],[Discount]]))-sales_data_1[[#This Row],[Unit_Cost]])*sales_data_1[[#This Row],[Quantity_Sold]]</f>
        <v>4044.5992000000001</v>
      </c>
      <c r="O3027" s="17" t="s">
        <v>27</v>
      </c>
      <c r="P3027" s="26">
        <v>0.28999999999999998</v>
      </c>
      <c r="Q3027" s="17" t="s">
        <v>28</v>
      </c>
      <c r="R3027" s="17" t="s">
        <v>19</v>
      </c>
      <c r="S3027" s="50" t="str">
        <f t="shared" si="143"/>
        <v>Eve-East</v>
      </c>
      <c r="T3027" s="59" t="str">
        <f>IF(ROUND(sales_data_1[[#This Row],[Profit_Margin]],2)=ROUND((sales_data_1[[#This Row],[Unit_Price]]*(1-sales_data_1[[#This Row],[Discount]]) - sales_data_1[[#This Row],[Unit_Cost]])*sales_data_1[[#This Row],[Quantity_Sold]],2), "PASS", "CHECK")</f>
        <v>PASS</v>
      </c>
    </row>
    <row r="3028" spans="1:20" x14ac:dyDescent="0.35">
      <c r="A3028" s="7">
        <v>3027</v>
      </c>
      <c r="B3028" s="9">
        <v>1042</v>
      </c>
      <c r="C3028" s="14" t="str">
        <f>IFERROR(_xlfn.TEXTJOIN("-", TRUE, _xlfn.XLOOKUP(K3028, product_category_id_lookup!$A$2:$A$5, product_category_id_lookup!$B$2:$B$5), B3028), "Unknown Category")</f>
        <v>fd-1042</v>
      </c>
      <c r="D3028" s="8">
        <v>45591</v>
      </c>
      <c r="E3028" s="14">
        <f t="shared" si="141"/>
        <v>2024</v>
      </c>
      <c r="F3028" s="29" t="str">
        <f t="shared" si="142"/>
        <v>Oct</v>
      </c>
      <c r="G3028" s="17" t="s">
        <v>33</v>
      </c>
      <c r="H3028" s="17" t="s">
        <v>23</v>
      </c>
      <c r="I3028" s="24">
        <v>60233.514999999999</v>
      </c>
      <c r="J3028" s="32">
        <v>19</v>
      </c>
      <c r="K3028" s="17" t="s">
        <v>24</v>
      </c>
      <c r="L3028" s="24">
        <v>892.83</v>
      </c>
      <c r="M3028" s="24">
        <v>3819.5</v>
      </c>
      <c r="N3028" s="34">
        <f>((sales_data_1[[#This Row],[Unit_Price]]*(1-sales_data_1[[#This Row],[Discount]]))-sales_data_1[[#This Row],[Unit_Cost]])*sales_data_1[[#This Row],[Quantity_Sold]]</f>
        <v>43269.745000000003</v>
      </c>
      <c r="O3028" s="17" t="s">
        <v>17</v>
      </c>
      <c r="P3028" s="26">
        <v>0.17</v>
      </c>
      <c r="Q3028" s="17" t="s">
        <v>25</v>
      </c>
      <c r="R3028" s="17" t="s">
        <v>21</v>
      </c>
      <c r="S3028" s="50" t="str">
        <f t="shared" si="143"/>
        <v>Alice-South</v>
      </c>
      <c r="T3028" s="59" t="str">
        <f>IF(ROUND(sales_data_1[[#This Row],[Profit_Margin]],2)=ROUND((sales_data_1[[#This Row],[Unit_Price]]*(1-sales_data_1[[#This Row],[Discount]]) - sales_data_1[[#This Row],[Unit_Cost]])*sales_data_1[[#This Row],[Quantity_Sold]],2), "PASS", "CHECK")</f>
        <v>PASS</v>
      </c>
    </row>
    <row r="3029" spans="1:20" x14ac:dyDescent="0.35">
      <c r="A3029" s="7">
        <v>3028</v>
      </c>
      <c r="B3029" s="9">
        <v>1054</v>
      </c>
      <c r="C3029" s="14" t="str">
        <f>IFERROR(_xlfn.TEXTJOIN("-", TRUE, _xlfn.XLOOKUP(K3029, product_category_id_lookup!$A$2:$A$5, product_category_id_lookup!$B$2:$B$5), B3029), "Unknown Category")</f>
        <v>fd-1054</v>
      </c>
      <c r="D3029" s="8">
        <v>45591</v>
      </c>
      <c r="E3029" s="14">
        <f t="shared" si="141"/>
        <v>2024</v>
      </c>
      <c r="F3029" s="29" t="str">
        <f t="shared" si="142"/>
        <v>Oct</v>
      </c>
      <c r="G3029" s="17" t="s">
        <v>22</v>
      </c>
      <c r="H3029" s="17" t="s">
        <v>23</v>
      </c>
      <c r="I3029" s="24">
        <v>128341.08600000001</v>
      </c>
      <c r="J3029" s="32">
        <v>37</v>
      </c>
      <c r="K3029" s="17" t="s">
        <v>24</v>
      </c>
      <c r="L3029" s="24">
        <v>1564.85</v>
      </c>
      <c r="M3029" s="24">
        <v>4564.05</v>
      </c>
      <c r="N3029" s="34">
        <f>((sales_data_1[[#This Row],[Unit_Price]]*(1-sales_data_1[[#This Row],[Discount]]))-sales_data_1[[#This Row],[Unit_Cost]])*sales_data_1[[#This Row],[Quantity_Sold]]</f>
        <v>70441.636000000013</v>
      </c>
      <c r="O3029" s="17" t="s">
        <v>17</v>
      </c>
      <c r="P3029" s="26">
        <v>0.24</v>
      </c>
      <c r="Q3029" s="17" t="s">
        <v>25</v>
      </c>
      <c r="R3029" s="17" t="s">
        <v>21</v>
      </c>
      <c r="S3029" s="50" t="str">
        <f t="shared" si="143"/>
        <v>David-South</v>
      </c>
      <c r="T3029" s="59" t="str">
        <f>IF(ROUND(sales_data_1[[#This Row],[Profit_Margin]],2)=ROUND((sales_data_1[[#This Row],[Unit_Price]]*(1-sales_data_1[[#This Row],[Discount]]) - sales_data_1[[#This Row],[Unit_Cost]])*sales_data_1[[#This Row],[Quantity_Sold]],2), "PASS", "CHECK")</f>
        <v>PASS</v>
      </c>
    </row>
    <row r="3030" spans="1:20" x14ac:dyDescent="0.35">
      <c r="A3030" s="7">
        <v>3029</v>
      </c>
      <c r="B3030" s="9">
        <v>1003</v>
      </c>
      <c r="C3030" s="14" t="str">
        <f>IFERROR(_xlfn.TEXTJOIN("-", TRUE, _xlfn.XLOOKUP(K3030, product_category_id_lookup!$A$2:$A$5, product_category_id_lookup!$B$2:$B$5), B3030), "Unknown Category")</f>
        <v>ctg-1003</v>
      </c>
      <c r="D3030" s="8">
        <v>45592</v>
      </c>
      <c r="E3030" s="14">
        <f t="shared" si="141"/>
        <v>2024</v>
      </c>
      <c r="F3030" s="29" t="str">
        <f t="shared" si="142"/>
        <v>Oct</v>
      </c>
      <c r="G3030" s="17" t="s">
        <v>22</v>
      </c>
      <c r="H3030" s="17" t="s">
        <v>30</v>
      </c>
      <c r="I3030" s="24">
        <v>12816.230399999999</v>
      </c>
      <c r="J3030" s="32">
        <v>4</v>
      </c>
      <c r="K3030" s="17" t="s">
        <v>26</v>
      </c>
      <c r="L3030" s="24">
        <v>3170.65</v>
      </c>
      <c r="M3030" s="24">
        <v>4389.12</v>
      </c>
      <c r="N3030" s="34">
        <f>((sales_data_1[[#This Row],[Unit_Price]]*(1-sales_data_1[[#This Row],[Discount]]))-sales_data_1[[#This Row],[Unit_Cost]])*sales_data_1[[#This Row],[Quantity_Sold]]</f>
        <v>133.63039999999819</v>
      </c>
      <c r="O3030" s="17" t="s">
        <v>27</v>
      </c>
      <c r="P3030" s="26">
        <v>0.27</v>
      </c>
      <c r="Q3030" s="17" t="s">
        <v>25</v>
      </c>
      <c r="R3030" s="17" t="s">
        <v>21</v>
      </c>
      <c r="S3030" s="50" t="str">
        <f t="shared" si="143"/>
        <v>David-East</v>
      </c>
      <c r="T3030" s="59" t="str">
        <f>IF(ROUND(sales_data_1[[#This Row],[Profit_Margin]],2)=ROUND((sales_data_1[[#This Row],[Unit_Price]]*(1-sales_data_1[[#This Row],[Discount]]) - sales_data_1[[#This Row],[Unit_Cost]])*sales_data_1[[#This Row],[Quantity_Sold]],2), "PASS", "CHECK")</f>
        <v>PASS</v>
      </c>
    </row>
    <row r="3031" spans="1:20" x14ac:dyDescent="0.35">
      <c r="A3031" s="7">
        <v>3030</v>
      </c>
      <c r="B3031" s="9">
        <v>1063</v>
      </c>
      <c r="C3031" s="14" t="str">
        <f>IFERROR(_xlfn.TEXTJOIN("-", TRUE, _xlfn.XLOOKUP(K3031, product_category_id_lookup!$A$2:$A$5, product_category_id_lookup!$B$2:$B$5), B3031), "Unknown Category")</f>
        <v>ctg-1063</v>
      </c>
      <c r="D3031" s="8">
        <v>45592</v>
      </c>
      <c r="E3031" s="14">
        <f t="shared" si="141"/>
        <v>2024</v>
      </c>
      <c r="F3031" s="29" t="str">
        <f t="shared" si="142"/>
        <v>Oct</v>
      </c>
      <c r="G3031" s="17" t="s">
        <v>14</v>
      </c>
      <c r="H3031" s="17" t="s">
        <v>23</v>
      </c>
      <c r="I3031" s="24">
        <v>33660.912999999993</v>
      </c>
      <c r="J3031" s="32">
        <v>22</v>
      </c>
      <c r="K3031" s="17" t="s">
        <v>26</v>
      </c>
      <c r="L3031" s="24">
        <v>750.84</v>
      </c>
      <c r="M3031" s="24">
        <v>1610.57</v>
      </c>
      <c r="N3031" s="34">
        <f>((sales_data_1[[#This Row],[Unit_Price]]*(1-sales_data_1[[#This Row],[Discount]]))-sales_data_1[[#This Row],[Unit_Cost]])*sales_data_1[[#This Row],[Quantity_Sold]]</f>
        <v>17142.432999999994</v>
      </c>
      <c r="O3031" s="17" t="s">
        <v>17</v>
      </c>
      <c r="P3031" s="26">
        <v>0.05</v>
      </c>
      <c r="Q3031" s="17" t="s">
        <v>18</v>
      </c>
      <c r="R3031" s="17" t="s">
        <v>21</v>
      </c>
      <c r="S3031" s="50" t="str">
        <f t="shared" si="143"/>
        <v>Bob-South</v>
      </c>
      <c r="T3031" s="59" t="str">
        <f>IF(ROUND(sales_data_1[[#This Row],[Profit_Margin]],2)=ROUND((sales_data_1[[#This Row],[Unit_Price]]*(1-sales_data_1[[#This Row],[Discount]]) - sales_data_1[[#This Row],[Unit_Cost]])*sales_data_1[[#This Row],[Quantity_Sold]],2), "PASS", "CHECK")</f>
        <v>PASS</v>
      </c>
    </row>
    <row r="3032" spans="1:20" x14ac:dyDescent="0.35">
      <c r="A3032" s="7">
        <v>3031</v>
      </c>
      <c r="B3032" s="9">
        <v>1018</v>
      </c>
      <c r="C3032" s="14" t="str">
        <f>IFERROR(_xlfn.TEXTJOIN("-", TRUE, _xlfn.XLOOKUP(K3032, product_category_id_lookup!$A$2:$A$5, product_category_id_lookup!$B$2:$B$5), B3032), "Unknown Category")</f>
        <v>fnt-1018</v>
      </c>
      <c r="D3032" s="8">
        <v>45592</v>
      </c>
      <c r="E3032" s="14">
        <f t="shared" si="141"/>
        <v>2024</v>
      </c>
      <c r="F3032" s="29" t="str">
        <f t="shared" si="142"/>
        <v>Oct</v>
      </c>
      <c r="G3032" s="17" t="s">
        <v>14</v>
      </c>
      <c r="H3032" s="17" t="s">
        <v>15</v>
      </c>
      <c r="I3032" s="24">
        <v>82158.911100000012</v>
      </c>
      <c r="J3032" s="32">
        <v>21</v>
      </c>
      <c r="K3032" s="17" t="s">
        <v>16</v>
      </c>
      <c r="L3032" s="24">
        <v>1766.26</v>
      </c>
      <c r="M3032" s="24">
        <v>4496.93</v>
      </c>
      <c r="N3032" s="34">
        <f>((sales_data_1[[#This Row],[Unit_Price]]*(1-sales_data_1[[#This Row],[Discount]]))-sales_data_1[[#This Row],[Unit_Cost]])*sales_data_1[[#This Row],[Quantity_Sold]]</f>
        <v>45067.451100000013</v>
      </c>
      <c r="O3032" s="17" t="s">
        <v>27</v>
      </c>
      <c r="P3032" s="26">
        <v>0.13</v>
      </c>
      <c r="Q3032" s="17" t="s">
        <v>28</v>
      </c>
      <c r="R3032" s="17" t="s">
        <v>21</v>
      </c>
      <c r="S3032" s="50" t="str">
        <f t="shared" si="143"/>
        <v>Bob-North</v>
      </c>
      <c r="T3032" s="59" t="str">
        <f>IF(ROUND(sales_data_1[[#This Row],[Profit_Margin]],2)=ROUND((sales_data_1[[#This Row],[Unit_Price]]*(1-sales_data_1[[#This Row],[Discount]]) - sales_data_1[[#This Row],[Unit_Cost]])*sales_data_1[[#This Row],[Quantity_Sold]],2), "PASS", "CHECK")</f>
        <v>PASS</v>
      </c>
    </row>
    <row r="3033" spans="1:20" x14ac:dyDescent="0.35">
      <c r="A3033" s="7">
        <v>3032</v>
      </c>
      <c r="B3033" s="9">
        <v>1043</v>
      </c>
      <c r="C3033" s="14" t="str">
        <f>IFERROR(_xlfn.TEXTJOIN("-", TRUE, _xlfn.XLOOKUP(K3033, product_category_id_lookup!$A$2:$A$5, product_category_id_lookup!$B$2:$B$5), B3033), "Unknown Category")</f>
        <v>etc-1043</v>
      </c>
      <c r="D3033" s="8">
        <v>45594</v>
      </c>
      <c r="E3033" s="14">
        <f t="shared" si="141"/>
        <v>2024</v>
      </c>
      <c r="F3033" s="29" t="str">
        <f t="shared" si="142"/>
        <v>Oct</v>
      </c>
      <c r="G3033" s="17" t="s">
        <v>33</v>
      </c>
      <c r="H3033" s="17" t="s">
        <v>15</v>
      </c>
      <c r="I3033" s="24">
        <v>14949.571</v>
      </c>
      <c r="J3033" s="32">
        <v>5</v>
      </c>
      <c r="K3033" s="17" t="s">
        <v>31</v>
      </c>
      <c r="L3033" s="24">
        <v>2080.09</v>
      </c>
      <c r="M3033" s="24">
        <v>3285.62</v>
      </c>
      <c r="N3033" s="34">
        <f>((sales_data_1[[#This Row],[Unit_Price]]*(1-sales_data_1[[#This Row],[Discount]]))-sales_data_1[[#This Row],[Unit_Cost]])*sales_data_1[[#This Row],[Quantity_Sold]]</f>
        <v>4549.1210000000001</v>
      </c>
      <c r="O3033" s="17" t="s">
        <v>27</v>
      </c>
      <c r="P3033" s="26">
        <v>0.09</v>
      </c>
      <c r="Q3033" s="17" t="s">
        <v>18</v>
      </c>
      <c r="R3033" s="17" t="s">
        <v>21</v>
      </c>
      <c r="S3033" s="50" t="str">
        <f t="shared" si="143"/>
        <v>Alice-North</v>
      </c>
      <c r="T3033" s="59" t="str">
        <f>IF(ROUND(sales_data_1[[#This Row],[Profit_Margin]],2)=ROUND((sales_data_1[[#This Row],[Unit_Price]]*(1-sales_data_1[[#This Row],[Discount]]) - sales_data_1[[#This Row],[Unit_Cost]])*sales_data_1[[#This Row],[Quantity_Sold]],2), "PASS", "CHECK")</f>
        <v>PASS</v>
      </c>
    </row>
    <row r="3034" spans="1:20" x14ac:dyDescent="0.35">
      <c r="A3034" s="7">
        <v>3033</v>
      </c>
      <c r="B3034" s="9">
        <v>1021</v>
      </c>
      <c r="C3034" s="14" t="str">
        <f>IFERROR(_xlfn.TEXTJOIN("-", TRUE, _xlfn.XLOOKUP(K3034, product_category_id_lookup!$A$2:$A$5, product_category_id_lookup!$B$2:$B$5), B3034), "Unknown Category")</f>
        <v>ctg-1021</v>
      </c>
      <c r="D3034" s="8">
        <v>45595</v>
      </c>
      <c r="E3034" s="14">
        <f t="shared" si="141"/>
        <v>2024</v>
      </c>
      <c r="F3034" s="29" t="str">
        <f t="shared" si="142"/>
        <v>Oct</v>
      </c>
      <c r="G3034" s="17" t="s">
        <v>14</v>
      </c>
      <c r="H3034" s="17" t="s">
        <v>20</v>
      </c>
      <c r="I3034" s="24">
        <v>6393.1471999999994</v>
      </c>
      <c r="J3034" s="32">
        <v>2</v>
      </c>
      <c r="K3034" s="17" t="s">
        <v>26</v>
      </c>
      <c r="L3034" s="24">
        <v>525.17999999999995</v>
      </c>
      <c r="M3034" s="24">
        <v>3632.47</v>
      </c>
      <c r="N3034" s="34">
        <f>((sales_data_1[[#This Row],[Unit_Price]]*(1-sales_data_1[[#This Row],[Discount]]))-sales_data_1[[#This Row],[Unit_Cost]])*sales_data_1[[#This Row],[Quantity_Sold]]</f>
        <v>5342.7871999999998</v>
      </c>
      <c r="O3034" s="17" t="s">
        <v>27</v>
      </c>
      <c r="P3034" s="26">
        <v>0.12</v>
      </c>
      <c r="Q3034" s="17" t="s">
        <v>25</v>
      </c>
      <c r="R3034" s="17" t="s">
        <v>21</v>
      </c>
      <c r="S3034" s="50" t="str">
        <f t="shared" si="143"/>
        <v>Bob-West</v>
      </c>
      <c r="T3034" s="59" t="str">
        <f>IF(ROUND(sales_data_1[[#This Row],[Profit_Margin]],2)=ROUND((sales_data_1[[#This Row],[Unit_Price]]*(1-sales_data_1[[#This Row],[Discount]]) - sales_data_1[[#This Row],[Unit_Cost]])*sales_data_1[[#This Row],[Quantity_Sold]],2), "PASS", "CHECK")</f>
        <v>PASS</v>
      </c>
    </row>
    <row r="3035" spans="1:20" x14ac:dyDescent="0.35">
      <c r="A3035" s="7">
        <v>3034</v>
      </c>
      <c r="B3035" s="9">
        <v>1047</v>
      </c>
      <c r="C3035" s="14" t="str">
        <f>IFERROR(_xlfn.TEXTJOIN("-", TRUE, _xlfn.XLOOKUP(K3035, product_category_id_lookup!$A$2:$A$5, product_category_id_lookup!$B$2:$B$5), B3035), "Unknown Category")</f>
        <v>ctg-1047</v>
      </c>
      <c r="D3035" s="8">
        <v>45595</v>
      </c>
      <c r="E3035" s="14">
        <f t="shared" si="141"/>
        <v>2024</v>
      </c>
      <c r="F3035" s="29" t="str">
        <f t="shared" si="142"/>
        <v>Oct</v>
      </c>
      <c r="G3035" s="17" t="s">
        <v>33</v>
      </c>
      <c r="H3035" s="17" t="s">
        <v>15</v>
      </c>
      <c r="I3035" s="24">
        <v>127208.5913</v>
      </c>
      <c r="J3035" s="32">
        <v>49</v>
      </c>
      <c r="K3035" s="17" t="s">
        <v>26</v>
      </c>
      <c r="L3035" s="24">
        <v>510.48</v>
      </c>
      <c r="M3035" s="24">
        <v>3656.47</v>
      </c>
      <c r="N3035" s="34">
        <f>((sales_data_1[[#This Row],[Unit_Price]]*(1-sales_data_1[[#This Row],[Discount]]))-sales_data_1[[#This Row],[Unit_Cost]])*sales_data_1[[#This Row],[Quantity_Sold]]</f>
        <v>102195.0713</v>
      </c>
      <c r="O3035" s="17" t="s">
        <v>27</v>
      </c>
      <c r="P3035" s="26">
        <v>0.28999999999999998</v>
      </c>
      <c r="Q3035" s="17" t="s">
        <v>28</v>
      </c>
      <c r="R3035" s="17" t="s">
        <v>19</v>
      </c>
      <c r="S3035" s="50" t="str">
        <f t="shared" si="143"/>
        <v>Alice-North</v>
      </c>
      <c r="T3035" s="59" t="str">
        <f>IF(ROUND(sales_data_1[[#This Row],[Profit_Margin]],2)=ROUND((sales_data_1[[#This Row],[Unit_Price]]*(1-sales_data_1[[#This Row],[Discount]]) - sales_data_1[[#This Row],[Unit_Cost]])*sales_data_1[[#This Row],[Quantity_Sold]],2), "PASS", "CHECK")</f>
        <v>PASS</v>
      </c>
    </row>
    <row r="3036" spans="1:20" x14ac:dyDescent="0.35">
      <c r="A3036" s="7">
        <v>3035</v>
      </c>
      <c r="B3036" s="9">
        <v>1069</v>
      </c>
      <c r="C3036" s="14" t="str">
        <f>IFERROR(_xlfn.TEXTJOIN("-", TRUE, _xlfn.XLOOKUP(K3036, product_category_id_lookup!$A$2:$A$5, product_category_id_lookup!$B$2:$B$5), B3036), "Unknown Category")</f>
        <v>fd-1069</v>
      </c>
      <c r="D3036" s="8">
        <v>45596</v>
      </c>
      <c r="E3036" s="14">
        <f t="shared" si="141"/>
        <v>2024</v>
      </c>
      <c r="F3036" s="29" t="str">
        <f t="shared" si="142"/>
        <v>Oct</v>
      </c>
      <c r="G3036" s="17" t="s">
        <v>22</v>
      </c>
      <c r="H3036" s="17" t="s">
        <v>15</v>
      </c>
      <c r="I3036" s="24">
        <v>40253.302700000007</v>
      </c>
      <c r="J3036" s="32">
        <v>37</v>
      </c>
      <c r="K3036" s="17" t="s">
        <v>24</v>
      </c>
      <c r="L3036" s="24">
        <v>775.72</v>
      </c>
      <c r="M3036" s="24">
        <v>1222.3900000000001</v>
      </c>
      <c r="N3036" s="34">
        <f>((sales_data_1[[#This Row],[Unit_Price]]*(1-sales_data_1[[#This Row],[Discount]]))-sales_data_1[[#This Row],[Unit_Cost]])*sales_data_1[[#This Row],[Quantity_Sold]]</f>
        <v>11551.662700000003</v>
      </c>
      <c r="O3036" s="17" t="s">
        <v>27</v>
      </c>
      <c r="P3036" s="26">
        <v>0.11</v>
      </c>
      <c r="Q3036" s="17" t="s">
        <v>18</v>
      </c>
      <c r="R3036" s="17" t="s">
        <v>21</v>
      </c>
      <c r="S3036" s="50" t="str">
        <f t="shared" si="143"/>
        <v>David-North</v>
      </c>
      <c r="T3036" s="59" t="str">
        <f>IF(ROUND(sales_data_1[[#This Row],[Profit_Margin]],2)=ROUND((sales_data_1[[#This Row],[Unit_Price]]*(1-sales_data_1[[#This Row],[Discount]]) - sales_data_1[[#This Row],[Unit_Cost]])*sales_data_1[[#This Row],[Quantity_Sold]],2), "PASS", "CHECK")</f>
        <v>PASS</v>
      </c>
    </row>
    <row r="3037" spans="1:20" x14ac:dyDescent="0.35">
      <c r="A3037" s="7">
        <v>3036</v>
      </c>
      <c r="B3037" s="9">
        <v>1021</v>
      </c>
      <c r="C3037" s="14" t="str">
        <f>IFERROR(_xlfn.TEXTJOIN("-", TRUE, _xlfn.XLOOKUP(K3037, product_category_id_lookup!$A$2:$A$5, product_category_id_lookup!$B$2:$B$5), B3037), "Unknown Category")</f>
        <v>fnt-1021</v>
      </c>
      <c r="D3037" s="8">
        <v>45596</v>
      </c>
      <c r="E3037" s="14">
        <f t="shared" si="141"/>
        <v>2024</v>
      </c>
      <c r="F3037" s="29" t="str">
        <f t="shared" si="142"/>
        <v>Oct</v>
      </c>
      <c r="G3037" s="17" t="s">
        <v>14</v>
      </c>
      <c r="H3037" s="17" t="s">
        <v>15</v>
      </c>
      <c r="I3037" s="24">
        <v>29478.735000000001</v>
      </c>
      <c r="J3037" s="32">
        <v>11</v>
      </c>
      <c r="K3037" s="17" t="s">
        <v>16</v>
      </c>
      <c r="L3037" s="24">
        <v>1470.96</v>
      </c>
      <c r="M3037" s="24">
        <v>3308.5</v>
      </c>
      <c r="N3037" s="34">
        <f>((sales_data_1[[#This Row],[Unit_Price]]*(1-sales_data_1[[#This Row],[Discount]]))-sales_data_1[[#This Row],[Unit_Cost]])*sales_data_1[[#This Row],[Quantity_Sold]]</f>
        <v>13298.175000000003</v>
      </c>
      <c r="O3037" s="17" t="s">
        <v>17</v>
      </c>
      <c r="P3037" s="26">
        <v>0.19</v>
      </c>
      <c r="Q3037" s="17" t="s">
        <v>18</v>
      </c>
      <c r="R3037" s="17" t="s">
        <v>19</v>
      </c>
      <c r="S3037" s="50" t="str">
        <f t="shared" si="143"/>
        <v>Bob-North</v>
      </c>
      <c r="T3037" s="59" t="str">
        <f>IF(ROUND(sales_data_1[[#This Row],[Profit_Margin]],2)=ROUND((sales_data_1[[#This Row],[Unit_Price]]*(1-sales_data_1[[#This Row],[Discount]]) - sales_data_1[[#This Row],[Unit_Cost]])*sales_data_1[[#This Row],[Quantity_Sold]],2), "PASS", "CHECK")</f>
        <v>PASS</v>
      </c>
    </row>
    <row r="3038" spans="1:20" x14ac:dyDescent="0.35">
      <c r="A3038" s="7">
        <v>3037</v>
      </c>
      <c r="B3038" s="9">
        <v>1019</v>
      </c>
      <c r="C3038" s="14" t="str">
        <f>IFERROR(_xlfn.TEXTJOIN("-", TRUE, _xlfn.XLOOKUP(K3038, product_category_id_lookup!$A$2:$A$5, product_category_id_lookup!$B$2:$B$5), B3038), "Unknown Category")</f>
        <v>ctg-1019</v>
      </c>
      <c r="D3038" s="8">
        <v>45596</v>
      </c>
      <c r="E3038" s="14">
        <f t="shared" si="141"/>
        <v>2024</v>
      </c>
      <c r="F3038" s="29" t="str">
        <f t="shared" si="142"/>
        <v>Oct</v>
      </c>
      <c r="G3038" s="17" t="s">
        <v>29</v>
      </c>
      <c r="H3038" s="17" t="s">
        <v>15</v>
      </c>
      <c r="I3038" s="24">
        <v>101584.56000000001</v>
      </c>
      <c r="J3038" s="32">
        <v>46</v>
      </c>
      <c r="K3038" s="17" t="s">
        <v>26</v>
      </c>
      <c r="L3038" s="24">
        <v>1200.3900000000001</v>
      </c>
      <c r="M3038" s="24">
        <v>2208.36</v>
      </c>
      <c r="N3038" s="34">
        <f>((sales_data_1[[#This Row],[Unit_Price]]*(1-sales_data_1[[#This Row],[Discount]]))-sales_data_1[[#This Row],[Unit_Cost]])*sales_data_1[[#This Row],[Quantity_Sold]]</f>
        <v>46366.62</v>
      </c>
      <c r="O3038" s="17" t="s">
        <v>17</v>
      </c>
      <c r="P3038" s="26">
        <v>0</v>
      </c>
      <c r="Q3038" s="17" t="s">
        <v>25</v>
      </c>
      <c r="R3038" s="17" t="s">
        <v>19</v>
      </c>
      <c r="S3038" s="50" t="str">
        <f t="shared" si="143"/>
        <v>Charlie-North</v>
      </c>
      <c r="T3038" s="59" t="str">
        <f>IF(ROUND(sales_data_1[[#This Row],[Profit_Margin]],2)=ROUND((sales_data_1[[#This Row],[Unit_Price]]*(1-sales_data_1[[#This Row],[Discount]]) - sales_data_1[[#This Row],[Unit_Cost]])*sales_data_1[[#This Row],[Quantity_Sold]],2), "PASS", "CHECK")</f>
        <v>PASS</v>
      </c>
    </row>
    <row r="3039" spans="1:20" x14ac:dyDescent="0.35">
      <c r="A3039" s="7">
        <v>3038</v>
      </c>
      <c r="B3039" s="9">
        <v>1049</v>
      </c>
      <c r="C3039" s="14" t="str">
        <f>IFERROR(_xlfn.TEXTJOIN("-", TRUE, _xlfn.XLOOKUP(K3039, product_category_id_lookup!$A$2:$A$5, product_category_id_lookup!$B$2:$B$5), B3039), "Unknown Category")</f>
        <v>fnt-1049</v>
      </c>
      <c r="D3039" s="8">
        <v>45597</v>
      </c>
      <c r="E3039" s="14">
        <f t="shared" si="141"/>
        <v>2024</v>
      </c>
      <c r="F3039" s="29" t="str">
        <f t="shared" si="142"/>
        <v>Nov</v>
      </c>
      <c r="G3039" s="17" t="s">
        <v>14</v>
      </c>
      <c r="H3039" s="17" t="s">
        <v>15</v>
      </c>
      <c r="I3039" s="24">
        <v>33646.0311</v>
      </c>
      <c r="J3039" s="32">
        <v>11</v>
      </c>
      <c r="K3039" s="17" t="s">
        <v>16</v>
      </c>
      <c r="L3039" s="24">
        <v>2171.48</v>
      </c>
      <c r="M3039" s="24">
        <v>3153.33</v>
      </c>
      <c r="N3039" s="34">
        <f>((sales_data_1[[#This Row],[Unit_Price]]*(1-sales_data_1[[#This Row],[Discount]]))-sales_data_1[[#This Row],[Unit_Cost]])*sales_data_1[[#This Row],[Quantity_Sold]]</f>
        <v>9759.7510999999977</v>
      </c>
      <c r="O3039" s="17" t="s">
        <v>17</v>
      </c>
      <c r="P3039" s="26">
        <v>0.03</v>
      </c>
      <c r="Q3039" s="17" t="s">
        <v>25</v>
      </c>
      <c r="R3039" s="17" t="s">
        <v>21</v>
      </c>
      <c r="S3039" s="50" t="str">
        <f t="shared" si="143"/>
        <v>Bob-North</v>
      </c>
      <c r="T3039" s="59" t="str">
        <f>IF(ROUND(sales_data_1[[#This Row],[Profit_Margin]],2)=ROUND((sales_data_1[[#This Row],[Unit_Price]]*(1-sales_data_1[[#This Row],[Discount]]) - sales_data_1[[#This Row],[Unit_Cost]])*sales_data_1[[#This Row],[Quantity_Sold]],2), "PASS", "CHECK")</f>
        <v>PASS</v>
      </c>
    </row>
    <row r="3040" spans="1:20" x14ac:dyDescent="0.35">
      <c r="A3040" s="7">
        <v>3039</v>
      </c>
      <c r="B3040" s="9">
        <v>1011</v>
      </c>
      <c r="C3040" s="14" t="str">
        <f>IFERROR(_xlfn.TEXTJOIN("-", TRUE, _xlfn.XLOOKUP(K3040, product_category_id_lookup!$A$2:$A$5, product_category_id_lookup!$B$2:$B$5), B3040), "Unknown Category")</f>
        <v>fnt-1011</v>
      </c>
      <c r="D3040" s="8">
        <v>45598</v>
      </c>
      <c r="E3040" s="14">
        <f t="shared" si="141"/>
        <v>2024</v>
      </c>
      <c r="F3040" s="29" t="str">
        <f t="shared" si="142"/>
        <v>Nov</v>
      </c>
      <c r="G3040" s="17" t="s">
        <v>14</v>
      </c>
      <c r="H3040" s="17" t="s">
        <v>23</v>
      </c>
      <c r="I3040" s="24">
        <v>27697.279999999999</v>
      </c>
      <c r="J3040" s="32">
        <v>8</v>
      </c>
      <c r="K3040" s="17" t="s">
        <v>16</v>
      </c>
      <c r="L3040" s="24">
        <v>2837.71</v>
      </c>
      <c r="M3040" s="24">
        <v>3462.16</v>
      </c>
      <c r="N3040" s="34">
        <f>((sales_data_1[[#This Row],[Unit_Price]]*(1-sales_data_1[[#This Row],[Discount]]))-sales_data_1[[#This Row],[Unit_Cost]])*sales_data_1[[#This Row],[Quantity_Sold]]</f>
        <v>4995.5999999999985</v>
      </c>
      <c r="O3040" s="17" t="s">
        <v>27</v>
      </c>
      <c r="P3040" s="26">
        <v>0</v>
      </c>
      <c r="Q3040" s="17" t="s">
        <v>25</v>
      </c>
      <c r="R3040" s="17" t="s">
        <v>21</v>
      </c>
      <c r="S3040" s="50" t="str">
        <f t="shared" si="143"/>
        <v>Bob-South</v>
      </c>
      <c r="T3040" s="59" t="str">
        <f>IF(ROUND(sales_data_1[[#This Row],[Profit_Margin]],2)=ROUND((sales_data_1[[#This Row],[Unit_Price]]*(1-sales_data_1[[#This Row],[Discount]]) - sales_data_1[[#This Row],[Unit_Cost]])*sales_data_1[[#This Row],[Quantity_Sold]],2), "PASS", "CHECK")</f>
        <v>PASS</v>
      </c>
    </row>
    <row r="3041" spans="1:20" x14ac:dyDescent="0.35">
      <c r="A3041" s="7">
        <v>3040</v>
      </c>
      <c r="B3041" s="9">
        <v>1043</v>
      </c>
      <c r="C3041" s="14" t="str">
        <f>IFERROR(_xlfn.TEXTJOIN("-", TRUE, _xlfn.XLOOKUP(K3041, product_category_id_lookup!$A$2:$A$5, product_category_id_lookup!$B$2:$B$5), B3041), "Unknown Category")</f>
        <v>etc-1043</v>
      </c>
      <c r="D3041" s="8">
        <v>45598</v>
      </c>
      <c r="E3041" s="14">
        <f t="shared" si="141"/>
        <v>2024</v>
      </c>
      <c r="F3041" s="29" t="str">
        <f t="shared" si="142"/>
        <v>Nov</v>
      </c>
      <c r="G3041" s="17" t="s">
        <v>29</v>
      </c>
      <c r="H3041" s="17" t="s">
        <v>20</v>
      </c>
      <c r="I3041" s="24">
        <v>25718.9192</v>
      </c>
      <c r="J3041" s="32">
        <v>13</v>
      </c>
      <c r="K3041" s="17" t="s">
        <v>31</v>
      </c>
      <c r="L3041" s="24">
        <v>1404.73</v>
      </c>
      <c r="M3041" s="24">
        <v>2300.44</v>
      </c>
      <c r="N3041" s="34">
        <f>((sales_data_1[[#This Row],[Unit_Price]]*(1-sales_data_1[[#This Row],[Discount]]))-sales_data_1[[#This Row],[Unit_Cost]])*sales_data_1[[#This Row],[Quantity_Sold]]</f>
        <v>7457.4292000000005</v>
      </c>
      <c r="O3041" s="17" t="s">
        <v>17</v>
      </c>
      <c r="P3041" s="26">
        <v>0.14000000000000001</v>
      </c>
      <c r="Q3041" s="17" t="s">
        <v>18</v>
      </c>
      <c r="R3041" s="17" t="s">
        <v>19</v>
      </c>
      <c r="S3041" s="50" t="str">
        <f t="shared" si="143"/>
        <v>Charlie-West</v>
      </c>
      <c r="T3041" s="59" t="str">
        <f>IF(ROUND(sales_data_1[[#This Row],[Profit_Margin]],2)=ROUND((sales_data_1[[#This Row],[Unit_Price]]*(1-sales_data_1[[#This Row],[Discount]]) - sales_data_1[[#This Row],[Unit_Cost]])*sales_data_1[[#This Row],[Quantity_Sold]],2), "PASS", "CHECK")</f>
        <v>PASS</v>
      </c>
    </row>
    <row r="3042" spans="1:20" x14ac:dyDescent="0.35">
      <c r="A3042" s="7">
        <v>3041</v>
      </c>
      <c r="B3042" s="9">
        <v>1083</v>
      </c>
      <c r="C3042" s="14" t="str">
        <f>IFERROR(_xlfn.TEXTJOIN("-", TRUE, _xlfn.XLOOKUP(K3042, product_category_id_lookup!$A$2:$A$5, product_category_id_lookup!$B$2:$B$5), B3042), "Unknown Category")</f>
        <v>ctg-1083</v>
      </c>
      <c r="D3042" s="8">
        <v>45598</v>
      </c>
      <c r="E3042" s="14">
        <f t="shared" si="141"/>
        <v>2024</v>
      </c>
      <c r="F3042" s="29" t="str">
        <f t="shared" si="142"/>
        <v>Nov</v>
      </c>
      <c r="G3042" s="17" t="s">
        <v>33</v>
      </c>
      <c r="H3042" s="17" t="s">
        <v>23</v>
      </c>
      <c r="I3042" s="24">
        <v>29955.9048</v>
      </c>
      <c r="J3042" s="32">
        <v>8</v>
      </c>
      <c r="K3042" s="17" t="s">
        <v>26</v>
      </c>
      <c r="L3042" s="24">
        <v>1566.25</v>
      </c>
      <c r="M3042" s="24">
        <v>4207.29</v>
      </c>
      <c r="N3042" s="34">
        <f>((sales_data_1[[#This Row],[Unit_Price]]*(1-sales_data_1[[#This Row],[Discount]]))-sales_data_1[[#This Row],[Unit_Cost]])*sales_data_1[[#This Row],[Quantity_Sold]]</f>
        <v>17425.9048</v>
      </c>
      <c r="O3042" s="17" t="s">
        <v>27</v>
      </c>
      <c r="P3042" s="26">
        <v>0.11</v>
      </c>
      <c r="Q3042" s="17" t="s">
        <v>28</v>
      </c>
      <c r="R3042" s="17" t="s">
        <v>19</v>
      </c>
      <c r="S3042" s="50" t="str">
        <f t="shared" si="143"/>
        <v>Alice-South</v>
      </c>
      <c r="T3042" s="59" t="str">
        <f>IF(ROUND(sales_data_1[[#This Row],[Profit_Margin]],2)=ROUND((sales_data_1[[#This Row],[Unit_Price]]*(1-sales_data_1[[#This Row],[Discount]]) - sales_data_1[[#This Row],[Unit_Cost]])*sales_data_1[[#This Row],[Quantity_Sold]],2), "PASS", "CHECK")</f>
        <v>PASS</v>
      </c>
    </row>
    <row r="3043" spans="1:20" x14ac:dyDescent="0.35">
      <c r="A3043" s="7">
        <v>3042</v>
      </c>
      <c r="B3043" s="9">
        <v>1055</v>
      </c>
      <c r="C3043" s="14" t="str">
        <f>IFERROR(_xlfn.TEXTJOIN("-", TRUE, _xlfn.XLOOKUP(K3043, product_category_id_lookup!$A$2:$A$5, product_category_id_lookup!$B$2:$B$5), B3043), "Unknown Category")</f>
        <v>fd-1055</v>
      </c>
      <c r="D3043" s="8">
        <v>45598</v>
      </c>
      <c r="E3043" s="14">
        <f t="shared" si="141"/>
        <v>2024</v>
      </c>
      <c r="F3043" s="29" t="str">
        <f t="shared" si="142"/>
        <v>Nov</v>
      </c>
      <c r="G3043" s="17" t="s">
        <v>33</v>
      </c>
      <c r="H3043" s="17" t="s">
        <v>30</v>
      </c>
      <c r="I3043" s="24">
        <v>62495.919300000001</v>
      </c>
      <c r="J3043" s="32">
        <v>37</v>
      </c>
      <c r="K3043" s="17" t="s">
        <v>24</v>
      </c>
      <c r="L3043" s="24">
        <v>715.32</v>
      </c>
      <c r="M3043" s="24">
        <v>1941.47</v>
      </c>
      <c r="N3043" s="34">
        <f>((sales_data_1[[#This Row],[Unit_Price]]*(1-sales_data_1[[#This Row],[Discount]]))-sales_data_1[[#This Row],[Unit_Cost]])*sales_data_1[[#This Row],[Quantity_Sold]]</f>
        <v>36029.079299999998</v>
      </c>
      <c r="O3043" s="17" t="s">
        <v>27</v>
      </c>
      <c r="P3043" s="26">
        <v>0.13</v>
      </c>
      <c r="Q3043" s="17" t="s">
        <v>18</v>
      </c>
      <c r="R3043" s="17" t="s">
        <v>21</v>
      </c>
      <c r="S3043" s="50" t="str">
        <f t="shared" si="143"/>
        <v>Alice-East</v>
      </c>
      <c r="T3043" s="59" t="str">
        <f>IF(ROUND(sales_data_1[[#This Row],[Profit_Margin]],2)=ROUND((sales_data_1[[#This Row],[Unit_Price]]*(1-sales_data_1[[#This Row],[Discount]]) - sales_data_1[[#This Row],[Unit_Cost]])*sales_data_1[[#This Row],[Quantity_Sold]],2), "PASS", "CHECK")</f>
        <v>PASS</v>
      </c>
    </row>
    <row r="3044" spans="1:20" x14ac:dyDescent="0.35">
      <c r="A3044" s="7">
        <v>3043</v>
      </c>
      <c r="B3044" s="9">
        <v>1043</v>
      </c>
      <c r="C3044" s="14" t="str">
        <f>IFERROR(_xlfn.TEXTJOIN("-", TRUE, _xlfn.XLOOKUP(K3044, product_category_id_lookup!$A$2:$A$5, product_category_id_lookup!$B$2:$B$5), B3044), "Unknown Category")</f>
        <v>etc-1043</v>
      </c>
      <c r="D3044" s="8">
        <v>45599</v>
      </c>
      <c r="E3044" s="14">
        <f t="shared" si="141"/>
        <v>2024</v>
      </c>
      <c r="F3044" s="29" t="str">
        <f t="shared" si="142"/>
        <v>Nov</v>
      </c>
      <c r="G3044" s="17" t="s">
        <v>32</v>
      </c>
      <c r="H3044" s="17" t="s">
        <v>15</v>
      </c>
      <c r="I3044" s="24">
        <v>119217.88635440664</v>
      </c>
      <c r="J3044" s="32">
        <v>29</v>
      </c>
      <c r="K3044" s="17" t="s">
        <v>31</v>
      </c>
      <c r="L3044" s="24">
        <v>3160.61</v>
      </c>
      <c r="M3044" s="24">
        <v>4150.03</v>
      </c>
      <c r="N3044" s="34">
        <f>((sales_data_1[[#This Row],[Unit_Price]]*(1-sales_data_1[[#This Row],[Discount]]))-sales_data_1[[#This Row],[Unit_Cost]])*sales_data_1[[#This Row],[Quantity_Sold]]</f>
        <v>27489.671299999998</v>
      </c>
      <c r="O3044" s="17" t="s">
        <v>27</v>
      </c>
      <c r="P3044" s="26">
        <v>0.01</v>
      </c>
      <c r="Q3044" s="17" t="s">
        <v>28</v>
      </c>
      <c r="R3044" s="17" t="s">
        <v>19</v>
      </c>
      <c r="S3044" s="50" t="str">
        <f t="shared" si="143"/>
        <v>Eve-North</v>
      </c>
      <c r="T3044" s="59" t="str">
        <f>IF(ROUND(sales_data_1[[#This Row],[Profit_Margin]],2)=ROUND((sales_data_1[[#This Row],[Unit_Price]]*(1-sales_data_1[[#This Row],[Discount]]) - sales_data_1[[#This Row],[Unit_Cost]])*sales_data_1[[#This Row],[Quantity_Sold]],2), "PASS", "CHECK")</f>
        <v>PASS</v>
      </c>
    </row>
    <row r="3045" spans="1:20" x14ac:dyDescent="0.35">
      <c r="A3045" s="7">
        <v>3044</v>
      </c>
      <c r="B3045" s="9">
        <v>1082</v>
      </c>
      <c r="C3045" s="14" t="str">
        <f>IFERROR(_xlfn.TEXTJOIN("-", TRUE, _xlfn.XLOOKUP(K3045, product_category_id_lookup!$A$2:$A$5, product_category_id_lookup!$B$2:$B$5), B3045), "Unknown Category")</f>
        <v>ctg-1082</v>
      </c>
      <c r="D3045" s="8">
        <v>45599</v>
      </c>
      <c r="E3045" s="14">
        <f t="shared" si="141"/>
        <v>2024</v>
      </c>
      <c r="F3045" s="29" t="str">
        <f t="shared" si="142"/>
        <v>Nov</v>
      </c>
      <c r="G3045" s="17" t="s">
        <v>32</v>
      </c>
      <c r="H3045" s="17" t="s">
        <v>15</v>
      </c>
      <c r="I3045" s="24">
        <v>78630.916000000012</v>
      </c>
      <c r="J3045" s="32">
        <v>20</v>
      </c>
      <c r="K3045" s="17" t="s">
        <v>26</v>
      </c>
      <c r="L3045" s="24">
        <v>467.92</v>
      </c>
      <c r="M3045" s="24">
        <v>4320.38</v>
      </c>
      <c r="N3045" s="34">
        <f>((sales_data_1[[#This Row],[Unit_Price]]*(1-sales_data_1[[#This Row],[Discount]]))-sales_data_1[[#This Row],[Unit_Cost]])*sales_data_1[[#This Row],[Quantity_Sold]]</f>
        <v>69272.516000000003</v>
      </c>
      <c r="O3045" s="17" t="s">
        <v>27</v>
      </c>
      <c r="P3045" s="26">
        <v>0.09</v>
      </c>
      <c r="Q3045" s="17" t="s">
        <v>28</v>
      </c>
      <c r="R3045" s="17" t="s">
        <v>19</v>
      </c>
      <c r="S3045" s="50" t="str">
        <f t="shared" si="143"/>
        <v>Eve-North</v>
      </c>
      <c r="T3045" s="59" t="str">
        <f>IF(ROUND(sales_data_1[[#This Row],[Profit_Margin]],2)=ROUND((sales_data_1[[#This Row],[Unit_Price]]*(1-sales_data_1[[#This Row],[Discount]]) - sales_data_1[[#This Row],[Unit_Cost]])*sales_data_1[[#This Row],[Quantity_Sold]],2), "PASS", "CHECK")</f>
        <v>PASS</v>
      </c>
    </row>
    <row r="3046" spans="1:20" x14ac:dyDescent="0.35">
      <c r="A3046" s="7">
        <v>3045</v>
      </c>
      <c r="B3046" s="9">
        <v>1056</v>
      </c>
      <c r="C3046" s="14" t="str">
        <f>IFERROR(_xlfn.TEXTJOIN("-", TRUE, _xlfn.XLOOKUP(K3046, product_category_id_lookup!$A$2:$A$5, product_category_id_lookup!$B$2:$B$5), B3046), "Unknown Category")</f>
        <v>fnt-1056</v>
      </c>
      <c r="D3046" s="8">
        <v>45599</v>
      </c>
      <c r="E3046" s="14">
        <f t="shared" si="141"/>
        <v>2024</v>
      </c>
      <c r="F3046" s="29" t="str">
        <f t="shared" si="142"/>
        <v>Nov</v>
      </c>
      <c r="G3046" s="17" t="s">
        <v>32</v>
      </c>
      <c r="H3046" s="17" t="s">
        <v>23</v>
      </c>
      <c r="I3046" s="24">
        <v>111131.95199999999</v>
      </c>
      <c r="J3046" s="32">
        <v>43</v>
      </c>
      <c r="K3046" s="17" t="s">
        <v>16</v>
      </c>
      <c r="L3046" s="24">
        <v>424.99</v>
      </c>
      <c r="M3046" s="24">
        <v>2692.15</v>
      </c>
      <c r="N3046" s="34">
        <f>((sales_data_1[[#This Row],[Unit_Price]]*(1-sales_data_1[[#This Row],[Discount]]))-sales_data_1[[#This Row],[Unit_Cost]])*sales_data_1[[#This Row],[Quantity_Sold]]</f>
        <v>92857.382000000012</v>
      </c>
      <c r="O3046" s="17" t="s">
        <v>17</v>
      </c>
      <c r="P3046" s="26">
        <v>0.04</v>
      </c>
      <c r="Q3046" s="17" t="s">
        <v>18</v>
      </c>
      <c r="R3046" s="17" t="s">
        <v>21</v>
      </c>
      <c r="S3046" s="50" t="str">
        <f t="shared" si="143"/>
        <v>Eve-South</v>
      </c>
      <c r="T3046" s="59" t="str">
        <f>IF(ROUND(sales_data_1[[#This Row],[Profit_Margin]],2)=ROUND((sales_data_1[[#This Row],[Unit_Price]]*(1-sales_data_1[[#This Row],[Discount]]) - sales_data_1[[#This Row],[Unit_Cost]])*sales_data_1[[#This Row],[Quantity_Sold]],2), "PASS", "CHECK")</f>
        <v>PASS</v>
      </c>
    </row>
    <row r="3047" spans="1:20" x14ac:dyDescent="0.35">
      <c r="A3047" s="7">
        <v>3046</v>
      </c>
      <c r="B3047" s="9">
        <v>1063</v>
      </c>
      <c r="C3047" s="14" t="str">
        <f>IFERROR(_xlfn.TEXTJOIN("-", TRUE, _xlfn.XLOOKUP(K3047, product_category_id_lookup!$A$2:$A$5, product_category_id_lookup!$B$2:$B$5), B3047), "Unknown Category")</f>
        <v>fd-1063</v>
      </c>
      <c r="D3047" s="8">
        <v>45600</v>
      </c>
      <c r="E3047" s="14">
        <f t="shared" si="141"/>
        <v>2024</v>
      </c>
      <c r="F3047" s="29" t="str">
        <f t="shared" si="142"/>
        <v>Nov</v>
      </c>
      <c r="G3047" s="17" t="s">
        <v>29</v>
      </c>
      <c r="H3047" s="17" t="s">
        <v>15</v>
      </c>
      <c r="I3047" s="24">
        <v>141189.18</v>
      </c>
      <c r="J3047" s="32">
        <v>46</v>
      </c>
      <c r="K3047" s="17" t="s">
        <v>24</v>
      </c>
      <c r="L3047" s="24">
        <v>2529.8000000000002</v>
      </c>
      <c r="M3047" s="24">
        <v>4092.44</v>
      </c>
      <c r="N3047" s="34">
        <f>((sales_data_1[[#This Row],[Unit_Price]]*(1-sales_data_1[[#This Row],[Discount]]))-sales_data_1[[#This Row],[Unit_Cost]])*sales_data_1[[#This Row],[Quantity_Sold]]</f>
        <v>24818.37999999999</v>
      </c>
      <c r="O3047" s="17" t="s">
        <v>27</v>
      </c>
      <c r="P3047" s="26">
        <v>0.25</v>
      </c>
      <c r="Q3047" s="17" t="s">
        <v>28</v>
      </c>
      <c r="R3047" s="17" t="s">
        <v>21</v>
      </c>
      <c r="S3047" s="50" t="str">
        <f t="shared" si="143"/>
        <v>Charlie-North</v>
      </c>
      <c r="T3047" s="59" t="str">
        <f>IF(ROUND(sales_data_1[[#This Row],[Profit_Margin]],2)=ROUND((sales_data_1[[#This Row],[Unit_Price]]*(1-sales_data_1[[#This Row],[Discount]]) - sales_data_1[[#This Row],[Unit_Cost]])*sales_data_1[[#This Row],[Quantity_Sold]],2), "PASS", "CHECK")</f>
        <v>PASS</v>
      </c>
    </row>
    <row r="3048" spans="1:20" x14ac:dyDescent="0.35">
      <c r="A3048" s="7">
        <v>3047</v>
      </c>
      <c r="B3048" s="9">
        <v>1037</v>
      </c>
      <c r="C3048" s="14" t="str">
        <f>IFERROR(_xlfn.TEXTJOIN("-", TRUE, _xlfn.XLOOKUP(K3048, product_category_id_lookup!$A$2:$A$5, product_category_id_lookup!$B$2:$B$5), B3048), "Unknown Category")</f>
        <v>fd-1037</v>
      </c>
      <c r="D3048" s="8">
        <v>45600</v>
      </c>
      <c r="E3048" s="14">
        <f t="shared" si="141"/>
        <v>2024</v>
      </c>
      <c r="F3048" s="29" t="str">
        <f t="shared" si="142"/>
        <v>Nov</v>
      </c>
      <c r="G3048" s="17" t="s">
        <v>32</v>
      </c>
      <c r="H3048" s="17" t="s">
        <v>23</v>
      </c>
      <c r="I3048" s="24">
        <v>59343.91</v>
      </c>
      <c r="J3048" s="32">
        <v>25</v>
      </c>
      <c r="K3048" s="17" t="s">
        <v>24</v>
      </c>
      <c r="L3048" s="24">
        <v>1313.46</v>
      </c>
      <c r="M3048" s="24">
        <v>2580.17</v>
      </c>
      <c r="N3048" s="34">
        <f>((sales_data_1[[#This Row],[Unit_Price]]*(1-sales_data_1[[#This Row],[Discount]]))-sales_data_1[[#This Row],[Unit_Cost]])*sales_data_1[[#This Row],[Quantity_Sold]]</f>
        <v>26507.410000000003</v>
      </c>
      <c r="O3048" s="17" t="s">
        <v>17</v>
      </c>
      <c r="P3048" s="26">
        <v>0.08</v>
      </c>
      <c r="Q3048" s="17" t="s">
        <v>18</v>
      </c>
      <c r="R3048" s="17" t="s">
        <v>19</v>
      </c>
      <c r="S3048" s="50" t="str">
        <f t="shared" si="143"/>
        <v>Eve-South</v>
      </c>
      <c r="T3048" s="59" t="str">
        <f>IF(ROUND(sales_data_1[[#This Row],[Profit_Margin]],2)=ROUND((sales_data_1[[#This Row],[Unit_Price]]*(1-sales_data_1[[#This Row],[Discount]]) - sales_data_1[[#This Row],[Unit_Cost]])*sales_data_1[[#This Row],[Quantity_Sold]],2), "PASS", "CHECK")</f>
        <v>PASS</v>
      </c>
    </row>
    <row r="3049" spans="1:20" x14ac:dyDescent="0.35">
      <c r="A3049" s="7">
        <v>3048</v>
      </c>
      <c r="B3049" s="9">
        <v>1026</v>
      </c>
      <c r="C3049" s="14" t="str">
        <f>IFERROR(_xlfn.TEXTJOIN("-", TRUE, _xlfn.XLOOKUP(K3049, product_category_id_lookup!$A$2:$A$5, product_category_id_lookup!$B$2:$B$5), B3049), "Unknown Category")</f>
        <v>fnt-1026</v>
      </c>
      <c r="D3049" s="8">
        <v>45600</v>
      </c>
      <c r="E3049" s="14">
        <f t="shared" si="141"/>
        <v>2024</v>
      </c>
      <c r="F3049" s="29" t="str">
        <f t="shared" si="142"/>
        <v>Nov</v>
      </c>
      <c r="G3049" s="17" t="s">
        <v>22</v>
      </c>
      <c r="H3049" s="17" t="s">
        <v>30</v>
      </c>
      <c r="I3049" s="24">
        <v>79510.14</v>
      </c>
      <c r="J3049" s="32">
        <v>24</v>
      </c>
      <c r="K3049" s="17" t="s">
        <v>16</v>
      </c>
      <c r="L3049" s="24">
        <v>1642.41</v>
      </c>
      <c r="M3049" s="24">
        <v>4538.25</v>
      </c>
      <c r="N3049" s="34">
        <f>((sales_data_1[[#This Row],[Unit_Price]]*(1-sales_data_1[[#This Row],[Discount]]))-sales_data_1[[#This Row],[Unit_Cost]])*sales_data_1[[#This Row],[Quantity_Sold]]</f>
        <v>40092.300000000003</v>
      </c>
      <c r="O3049" s="17" t="s">
        <v>27</v>
      </c>
      <c r="P3049" s="26">
        <v>0.27</v>
      </c>
      <c r="Q3049" s="17" t="s">
        <v>18</v>
      </c>
      <c r="R3049" s="17" t="s">
        <v>19</v>
      </c>
      <c r="S3049" s="50" t="str">
        <f t="shared" si="143"/>
        <v>David-East</v>
      </c>
      <c r="T3049" s="59" t="str">
        <f>IF(ROUND(sales_data_1[[#This Row],[Profit_Margin]],2)=ROUND((sales_data_1[[#This Row],[Unit_Price]]*(1-sales_data_1[[#This Row],[Discount]]) - sales_data_1[[#This Row],[Unit_Cost]])*sales_data_1[[#This Row],[Quantity_Sold]],2), "PASS", "CHECK")</f>
        <v>PASS</v>
      </c>
    </row>
    <row r="3050" spans="1:20" x14ac:dyDescent="0.35">
      <c r="A3050" s="7">
        <v>3049</v>
      </c>
      <c r="B3050" s="9">
        <v>1051</v>
      </c>
      <c r="C3050" s="14" t="str">
        <f>IFERROR(_xlfn.TEXTJOIN("-", TRUE, _xlfn.XLOOKUP(K3050, product_category_id_lookup!$A$2:$A$5, product_category_id_lookup!$B$2:$B$5), B3050), "Unknown Category")</f>
        <v>fd-1051</v>
      </c>
      <c r="D3050" s="8">
        <v>45601</v>
      </c>
      <c r="E3050" s="14">
        <f t="shared" si="141"/>
        <v>2024</v>
      </c>
      <c r="F3050" s="29" t="str">
        <f t="shared" si="142"/>
        <v>Nov</v>
      </c>
      <c r="G3050" s="17" t="s">
        <v>32</v>
      </c>
      <c r="H3050" s="17" t="s">
        <v>30</v>
      </c>
      <c r="I3050" s="24">
        <v>122203.46299999999</v>
      </c>
      <c r="J3050" s="32">
        <v>43</v>
      </c>
      <c r="K3050" s="17" t="s">
        <v>24</v>
      </c>
      <c r="L3050" s="24">
        <v>2800</v>
      </c>
      <c r="M3050" s="24">
        <v>3343.46</v>
      </c>
      <c r="N3050" s="34">
        <f>((sales_data_1[[#This Row],[Unit_Price]]*(1-sales_data_1[[#This Row],[Discount]]))-sales_data_1[[#This Row],[Unit_Cost]])*sales_data_1[[#This Row],[Quantity_Sold]]</f>
        <v>1803.4629999999916</v>
      </c>
      <c r="O3050" s="17" t="s">
        <v>27</v>
      </c>
      <c r="P3050" s="26">
        <v>0.15</v>
      </c>
      <c r="Q3050" s="17" t="s">
        <v>25</v>
      </c>
      <c r="R3050" s="17" t="s">
        <v>21</v>
      </c>
      <c r="S3050" s="50" t="str">
        <f t="shared" si="143"/>
        <v>Eve-East</v>
      </c>
      <c r="T3050" s="59" t="str">
        <f>IF(ROUND(sales_data_1[[#This Row],[Profit_Margin]],2)=ROUND((sales_data_1[[#This Row],[Unit_Price]]*(1-sales_data_1[[#This Row],[Discount]]) - sales_data_1[[#This Row],[Unit_Cost]])*sales_data_1[[#This Row],[Quantity_Sold]],2), "PASS", "CHECK")</f>
        <v>PASS</v>
      </c>
    </row>
    <row r="3051" spans="1:20" x14ac:dyDescent="0.35">
      <c r="A3051" s="7">
        <v>3050</v>
      </c>
      <c r="B3051" s="9">
        <v>1068</v>
      </c>
      <c r="C3051" s="14" t="str">
        <f>IFERROR(_xlfn.TEXTJOIN("-", TRUE, _xlfn.XLOOKUP(K3051, product_category_id_lookup!$A$2:$A$5, product_category_id_lookup!$B$2:$B$5), B3051), "Unknown Category")</f>
        <v>ctg-1068</v>
      </c>
      <c r="D3051" s="8">
        <v>45602</v>
      </c>
      <c r="E3051" s="14">
        <f t="shared" si="141"/>
        <v>2024</v>
      </c>
      <c r="F3051" s="29" t="str">
        <f t="shared" si="142"/>
        <v>Nov</v>
      </c>
      <c r="G3051" s="17" t="s">
        <v>33</v>
      </c>
      <c r="H3051" s="17" t="s">
        <v>30</v>
      </c>
      <c r="I3051" s="24">
        <v>30989.758799999996</v>
      </c>
      <c r="J3051" s="32">
        <v>13</v>
      </c>
      <c r="K3051" s="17" t="s">
        <v>26</v>
      </c>
      <c r="L3051" s="24">
        <v>1558.13</v>
      </c>
      <c r="M3051" s="24">
        <v>2837.89</v>
      </c>
      <c r="N3051" s="34">
        <f>((sales_data_1[[#This Row],[Unit_Price]]*(1-sales_data_1[[#This Row],[Discount]]))-sales_data_1[[#This Row],[Unit_Cost]])*sales_data_1[[#This Row],[Quantity_Sold]]</f>
        <v>10734.068799999994</v>
      </c>
      <c r="O3051" s="17" t="s">
        <v>17</v>
      </c>
      <c r="P3051" s="26">
        <v>0.16</v>
      </c>
      <c r="Q3051" s="17" t="s">
        <v>25</v>
      </c>
      <c r="R3051" s="17" t="s">
        <v>19</v>
      </c>
      <c r="S3051" s="50" t="str">
        <f t="shared" si="143"/>
        <v>Alice-East</v>
      </c>
      <c r="T3051" s="59" t="str">
        <f>IF(ROUND(sales_data_1[[#This Row],[Profit_Margin]],2)=ROUND((sales_data_1[[#This Row],[Unit_Price]]*(1-sales_data_1[[#This Row],[Discount]]) - sales_data_1[[#This Row],[Unit_Cost]])*sales_data_1[[#This Row],[Quantity_Sold]],2), "PASS", "CHECK")</f>
        <v>PASS</v>
      </c>
    </row>
    <row r="3052" spans="1:20" x14ac:dyDescent="0.35">
      <c r="A3052" s="7">
        <v>3051</v>
      </c>
      <c r="B3052" s="9">
        <v>1082</v>
      </c>
      <c r="C3052" s="14" t="str">
        <f>IFERROR(_xlfn.TEXTJOIN("-", TRUE, _xlfn.XLOOKUP(K3052, product_category_id_lookup!$A$2:$A$5, product_category_id_lookup!$B$2:$B$5), B3052), "Unknown Category")</f>
        <v>ctg-1082</v>
      </c>
      <c r="D3052" s="8">
        <v>45603</v>
      </c>
      <c r="E3052" s="14">
        <f t="shared" si="141"/>
        <v>2024</v>
      </c>
      <c r="F3052" s="29" t="str">
        <f t="shared" si="142"/>
        <v>Nov</v>
      </c>
      <c r="G3052" s="17" t="s">
        <v>32</v>
      </c>
      <c r="H3052" s="17" t="s">
        <v>20</v>
      </c>
      <c r="I3052" s="24">
        <v>82065.67319999999</v>
      </c>
      <c r="J3052" s="32">
        <v>29</v>
      </c>
      <c r="K3052" s="17" t="s">
        <v>26</v>
      </c>
      <c r="L3052" s="24">
        <v>1677.31</v>
      </c>
      <c r="M3052" s="24">
        <v>3368.87</v>
      </c>
      <c r="N3052" s="34">
        <f>((sales_data_1[[#This Row],[Unit_Price]]*(1-sales_data_1[[#This Row],[Discount]]))-sales_data_1[[#This Row],[Unit_Cost]])*sales_data_1[[#This Row],[Quantity_Sold]]</f>
        <v>33423.683199999992</v>
      </c>
      <c r="O3052" s="17" t="s">
        <v>27</v>
      </c>
      <c r="P3052" s="26">
        <v>0.16</v>
      </c>
      <c r="Q3052" s="17" t="s">
        <v>28</v>
      </c>
      <c r="R3052" s="17" t="s">
        <v>19</v>
      </c>
      <c r="S3052" s="50" t="str">
        <f t="shared" si="143"/>
        <v>Eve-West</v>
      </c>
      <c r="T3052" s="59" t="str">
        <f>IF(ROUND(sales_data_1[[#This Row],[Profit_Margin]],2)=ROUND((sales_data_1[[#This Row],[Unit_Price]]*(1-sales_data_1[[#This Row],[Discount]]) - sales_data_1[[#This Row],[Unit_Cost]])*sales_data_1[[#This Row],[Quantity_Sold]],2), "PASS", "CHECK")</f>
        <v>PASS</v>
      </c>
    </row>
    <row r="3053" spans="1:20" x14ac:dyDescent="0.35">
      <c r="A3053" s="7">
        <v>3052</v>
      </c>
      <c r="B3053" s="9">
        <v>1082</v>
      </c>
      <c r="C3053" s="14" t="str">
        <f>IFERROR(_xlfn.TEXTJOIN("-", TRUE, _xlfn.XLOOKUP(K3053, product_category_id_lookup!$A$2:$A$5, product_category_id_lookup!$B$2:$B$5), B3053), "Unknown Category")</f>
        <v>fd-1082</v>
      </c>
      <c r="D3053" s="8">
        <v>45604</v>
      </c>
      <c r="E3053" s="14">
        <f t="shared" si="141"/>
        <v>2024</v>
      </c>
      <c r="F3053" s="29" t="str">
        <f t="shared" si="142"/>
        <v>Nov</v>
      </c>
      <c r="G3053" s="17" t="s">
        <v>32</v>
      </c>
      <c r="H3053" s="17" t="s">
        <v>15</v>
      </c>
      <c r="I3053" s="24">
        <v>204653.66727587066</v>
      </c>
      <c r="J3053" s="32">
        <v>40</v>
      </c>
      <c r="K3053" s="17" t="s">
        <v>24</v>
      </c>
      <c r="L3053" s="24">
        <v>4902.53</v>
      </c>
      <c r="M3053" s="24">
        <v>5207.3599999999997</v>
      </c>
      <c r="N3053" s="34">
        <f>((sales_data_1[[#This Row],[Unit_Price]]*(1-sales_data_1[[#This Row],[Discount]]))-sales_data_1[[#This Row],[Unit_Cost]])*sales_data_1[[#This Row],[Quantity_Sold]]</f>
        <v>8027.3119999999835</v>
      </c>
      <c r="O3053" s="17" t="s">
        <v>27</v>
      </c>
      <c r="P3053" s="26">
        <v>0.02</v>
      </c>
      <c r="Q3053" s="17" t="s">
        <v>25</v>
      </c>
      <c r="R3053" s="17" t="s">
        <v>21</v>
      </c>
      <c r="S3053" s="50" t="str">
        <f t="shared" si="143"/>
        <v>Eve-North</v>
      </c>
      <c r="T3053" s="59" t="str">
        <f>IF(ROUND(sales_data_1[[#This Row],[Profit_Margin]],2)=ROUND((sales_data_1[[#This Row],[Unit_Price]]*(1-sales_data_1[[#This Row],[Discount]]) - sales_data_1[[#This Row],[Unit_Cost]])*sales_data_1[[#This Row],[Quantity_Sold]],2), "PASS", "CHECK")</f>
        <v>PASS</v>
      </c>
    </row>
    <row r="3054" spans="1:20" x14ac:dyDescent="0.35">
      <c r="A3054" s="7">
        <v>3053</v>
      </c>
      <c r="B3054" s="9">
        <v>1062</v>
      </c>
      <c r="C3054" s="14" t="str">
        <f>IFERROR(_xlfn.TEXTJOIN("-", TRUE, _xlfn.XLOOKUP(K3054, product_category_id_lookup!$A$2:$A$5, product_category_id_lookup!$B$2:$B$5), B3054), "Unknown Category")</f>
        <v>fnt-1062</v>
      </c>
      <c r="D3054" s="8">
        <v>45604</v>
      </c>
      <c r="E3054" s="14">
        <f t="shared" si="141"/>
        <v>2024</v>
      </c>
      <c r="F3054" s="29" t="str">
        <f t="shared" si="142"/>
        <v>Nov</v>
      </c>
      <c r="G3054" s="17" t="s">
        <v>33</v>
      </c>
      <c r="H3054" s="17" t="s">
        <v>30</v>
      </c>
      <c r="I3054" s="24">
        <v>29223.838799999998</v>
      </c>
      <c r="J3054" s="32">
        <v>9</v>
      </c>
      <c r="K3054" s="17" t="s">
        <v>16</v>
      </c>
      <c r="L3054" s="24">
        <v>1149</v>
      </c>
      <c r="M3054" s="24">
        <v>4162.9399999999996</v>
      </c>
      <c r="N3054" s="34">
        <f>((sales_data_1[[#This Row],[Unit_Price]]*(1-sales_data_1[[#This Row],[Discount]]))-sales_data_1[[#This Row],[Unit_Cost]])*sales_data_1[[#This Row],[Quantity_Sold]]</f>
        <v>18882.838799999998</v>
      </c>
      <c r="O3054" s="17" t="s">
        <v>27</v>
      </c>
      <c r="P3054" s="26">
        <v>0.22</v>
      </c>
      <c r="Q3054" s="17" t="s">
        <v>28</v>
      </c>
      <c r="R3054" s="17" t="s">
        <v>19</v>
      </c>
      <c r="S3054" s="50" t="str">
        <f t="shared" si="143"/>
        <v>Alice-East</v>
      </c>
      <c r="T3054" s="59" t="str">
        <f>IF(ROUND(sales_data_1[[#This Row],[Profit_Margin]],2)=ROUND((sales_data_1[[#This Row],[Unit_Price]]*(1-sales_data_1[[#This Row],[Discount]]) - sales_data_1[[#This Row],[Unit_Cost]])*sales_data_1[[#This Row],[Quantity_Sold]],2), "PASS", "CHECK")</f>
        <v>PASS</v>
      </c>
    </row>
    <row r="3055" spans="1:20" x14ac:dyDescent="0.35">
      <c r="A3055" s="7">
        <v>3054</v>
      </c>
      <c r="B3055" s="9">
        <v>1073</v>
      </c>
      <c r="C3055" s="14" t="str">
        <f>IFERROR(_xlfn.TEXTJOIN("-", TRUE, _xlfn.XLOOKUP(K3055, product_category_id_lookup!$A$2:$A$5, product_category_id_lookup!$B$2:$B$5), B3055), "Unknown Category")</f>
        <v>fnt-1073</v>
      </c>
      <c r="D3055" s="8">
        <v>45604</v>
      </c>
      <c r="E3055" s="14">
        <f t="shared" si="141"/>
        <v>2024</v>
      </c>
      <c r="F3055" s="29" t="str">
        <f t="shared" si="142"/>
        <v>Nov</v>
      </c>
      <c r="G3055" s="17" t="s">
        <v>33</v>
      </c>
      <c r="H3055" s="17" t="s">
        <v>30</v>
      </c>
      <c r="I3055" s="24">
        <v>138892.03200000001</v>
      </c>
      <c r="J3055" s="32">
        <v>32</v>
      </c>
      <c r="K3055" s="17" t="s">
        <v>16</v>
      </c>
      <c r="L3055" s="24">
        <v>1554.85</v>
      </c>
      <c r="M3055" s="24">
        <v>4822.6400000000003</v>
      </c>
      <c r="N3055" s="34">
        <f>((sales_data_1[[#This Row],[Unit_Price]]*(1-sales_data_1[[#This Row],[Discount]]))-sales_data_1[[#This Row],[Unit_Cost]])*sales_data_1[[#This Row],[Quantity_Sold]]</f>
        <v>89136.832000000009</v>
      </c>
      <c r="O3055" s="17" t="s">
        <v>17</v>
      </c>
      <c r="P3055" s="26">
        <v>0.1</v>
      </c>
      <c r="Q3055" s="17" t="s">
        <v>25</v>
      </c>
      <c r="R3055" s="17" t="s">
        <v>21</v>
      </c>
      <c r="S3055" s="50" t="str">
        <f t="shared" si="143"/>
        <v>Alice-East</v>
      </c>
      <c r="T3055" s="59" t="str">
        <f>IF(ROUND(sales_data_1[[#This Row],[Profit_Margin]],2)=ROUND((sales_data_1[[#This Row],[Unit_Price]]*(1-sales_data_1[[#This Row],[Discount]]) - sales_data_1[[#This Row],[Unit_Cost]])*sales_data_1[[#This Row],[Quantity_Sold]],2), "PASS", "CHECK")</f>
        <v>PASS</v>
      </c>
    </row>
    <row r="3056" spans="1:20" x14ac:dyDescent="0.35">
      <c r="A3056" s="7">
        <v>3055</v>
      </c>
      <c r="B3056" s="9">
        <v>1064</v>
      </c>
      <c r="C3056" s="14" t="str">
        <f>IFERROR(_xlfn.TEXTJOIN("-", TRUE, _xlfn.XLOOKUP(K3056, product_category_id_lookup!$A$2:$A$5, product_category_id_lookup!$B$2:$B$5), B3056), "Unknown Category")</f>
        <v>etc-1064</v>
      </c>
      <c r="D3056" s="8">
        <v>45606</v>
      </c>
      <c r="E3056" s="14">
        <f t="shared" si="141"/>
        <v>2024</v>
      </c>
      <c r="F3056" s="29" t="str">
        <f t="shared" si="142"/>
        <v>Nov</v>
      </c>
      <c r="G3056" s="17" t="s">
        <v>29</v>
      </c>
      <c r="H3056" s="17" t="s">
        <v>20</v>
      </c>
      <c r="I3056" s="24">
        <v>77028.650999999998</v>
      </c>
      <c r="J3056" s="32">
        <v>35</v>
      </c>
      <c r="K3056" s="17" t="s">
        <v>31</v>
      </c>
      <c r="L3056" s="24">
        <v>1530.04</v>
      </c>
      <c r="M3056" s="24">
        <v>3014.82</v>
      </c>
      <c r="N3056" s="34">
        <f>((sales_data_1[[#This Row],[Unit_Price]]*(1-sales_data_1[[#This Row],[Discount]]))-sales_data_1[[#This Row],[Unit_Cost]])*sales_data_1[[#This Row],[Quantity_Sold]]</f>
        <v>23477.251000000004</v>
      </c>
      <c r="O3056" s="17" t="s">
        <v>17</v>
      </c>
      <c r="P3056" s="26">
        <v>0.27</v>
      </c>
      <c r="Q3056" s="17" t="s">
        <v>25</v>
      </c>
      <c r="R3056" s="17" t="s">
        <v>21</v>
      </c>
      <c r="S3056" s="50" t="str">
        <f t="shared" si="143"/>
        <v>Charlie-West</v>
      </c>
      <c r="T3056" s="59" t="str">
        <f>IF(ROUND(sales_data_1[[#This Row],[Profit_Margin]],2)=ROUND((sales_data_1[[#This Row],[Unit_Price]]*(1-sales_data_1[[#This Row],[Discount]]) - sales_data_1[[#This Row],[Unit_Cost]])*sales_data_1[[#This Row],[Quantity_Sold]],2), "PASS", "CHECK")</f>
        <v>PASS</v>
      </c>
    </row>
    <row r="3057" spans="1:20" x14ac:dyDescent="0.35">
      <c r="A3057" s="7">
        <v>3056</v>
      </c>
      <c r="B3057" s="9">
        <v>1076</v>
      </c>
      <c r="C3057" s="14" t="str">
        <f>IFERROR(_xlfn.TEXTJOIN("-", TRUE, _xlfn.XLOOKUP(K3057, product_category_id_lookup!$A$2:$A$5, product_category_id_lookup!$B$2:$B$5), B3057), "Unknown Category")</f>
        <v>fd-1076</v>
      </c>
      <c r="D3057" s="8">
        <v>45606</v>
      </c>
      <c r="E3057" s="14">
        <f t="shared" si="141"/>
        <v>2024</v>
      </c>
      <c r="F3057" s="29" t="str">
        <f t="shared" si="142"/>
        <v>Nov</v>
      </c>
      <c r="G3057" s="17" t="s">
        <v>22</v>
      </c>
      <c r="H3057" s="17" t="s">
        <v>20</v>
      </c>
      <c r="I3057" s="24">
        <v>96299.774999999994</v>
      </c>
      <c r="J3057" s="32">
        <v>45</v>
      </c>
      <c r="K3057" s="17" t="s">
        <v>24</v>
      </c>
      <c r="L3057" s="24">
        <v>949.17</v>
      </c>
      <c r="M3057" s="24">
        <v>2931.5</v>
      </c>
      <c r="N3057" s="34">
        <f>((sales_data_1[[#This Row],[Unit_Price]]*(1-sales_data_1[[#This Row],[Discount]]))-sales_data_1[[#This Row],[Unit_Cost]])*sales_data_1[[#This Row],[Quantity_Sold]]</f>
        <v>53587.124999999993</v>
      </c>
      <c r="O3057" s="17" t="s">
        <v>27</v>
      </c>
      <c r="P3057" s="26">
        <v>0.27</v>
      </c>
      <c r="Q3057" s="17" t="s">
        <v>18</v>
      </c>
      <c r="R3057" s="17" t="s">
        <v>21</v>
      </c>
      <c r="S3057" s="50" t="str">
        <f t="shared" si="143"/>
        <v>David-West</v>
      </c>
      <c r="T3057" s="59" t="str">
        <f>IF(ROUND(sales_data_1[[#This Row],[Profit_Margin]],2)=ROUND((sales_data_1[[#This Row],[Unit_Price]]*(1-sales_data_1[[#This Row],[Discount]]) - sales_data_1[[#This Row],[Unit_Cost]])*sales_data_1[[#This Row],[Quantity_Sold]],2), "PASS", "CHECK")</f>
        <v>PASS</v>
      </c>
    </row>
    <row r="3058" spans="1:20" x14ac:dyDescent="0.35">
      <c r="A3058" s="7">
        <v>3057</v>
      </c>
      <c r="B3058" s="9">
        <v>1052</v>
      </c>
      <c r="C3058" s="14" t="str">
        <f>IFERROR(_xlfn.TEXTJOIN("-", TRUE, _xlfn.XLOOKUP(K3058, product_category_id_lookup!$A$2:$A$5, product_category_id_lookup!$B$2:$B$5), B3058), "Unknown Category")</f>
        <v>fd-1052</v>
      </c>
      <c r="D3058" s="8">
        <v>45606</v>
      </c>
      <c r="E3058" s="14">
        <f t="shared" si="141"/>
        <v>2024</v>
      </c>
      <c r="F3058" s="29" t="str">
        <f t="shared" si="142"/>
        <v>Nov</v>
      </c>
      <c r="G3058" s="17" t="s">
        <v>14</v>
      </c>
      <c r="H3058" s="17" t="s">
        <v>23</v>
      </c>
      <c r="I3058" s="24">
        <v>107435.46</v>
      </c>
      <c r="J3058" s="32">
        <v>30</v>
      </c>
      <c r="K3058" s="17" t="s">
        <v>24</v>
      </c>
      <c r="L3058" s="24">
        <v>1583.41</v>
      </c>
      <c r="M3058" s="24">
        <v>4023.8</v>
      </c>
      <c r="N3058" s="34">
        <f>((sales_data_1[[#This Row],[Unit_Price]]*(1-sales_data_1[[#This Row],[Discount]]))-sales_data_1[[#This Row],[Unit_Cost]])*sales_data_1[[#This Row],[Quantity_Sold]]</f>
        <v>59933.16</v>
      </c>
      <c r="O3058" s="17" t="s">
        <v>27</v>
      </c>
      <c r="P3058" s="26">
        <v>0.11</v>
      </c>
      <c r="Q3058" s="17" t="s">
        <v>25</v>
      </c>
      <c r="R3058" s="17" t="s">
        <v>21</v>
      </c>
      <c r="S3058" s="50" t="str">
        <f t="shared" si="143"/>
        <v>Bob-South</v>
      </c>
      <c r="T3058" s="59" t="str">
        <f>IF(ROUND(sales_data_1[[#This Row],[Profit_Margin]],2)=ROUND((sales_data_1[[#This Row],[Unit_Price]]*(1-sales_data_1[[#This Row],[Discount]]) - sales_data_1[[#This Row],[Unit_Cost]])*sales_data_1[[#This Row],[Quantity_Sold]],2), "PASS", "CHECK")</f>
        <v>PASS</v>
      </c>
    </row>
    <row r="3059" spans="1:20" x14ac:dyDescent="0.35">
      <c r="A3059" s="7">
        <v>3058</v>
      </c>
      <c r="B3059" s="9">
        <v>1004</v>
      </c>
      <c r="C3059" s="14" t="str">
        <f>IFERROR(_xlfn.TEXTJOIN("-", TRUE, _xlfn.XLOOKUP(K3059, product_category_id_lookup!$A$2:$A$5, product_category_id_lookup!$B$2:$B$5), B3059), "Unknown Category")</f>
        <v>fd-1004</v>
      </c>
      <c r="D3059" s="8">
        <v>45606</v>
      </c>
      <c r="E3059" s="14">
        <f t="shared" si="141"/>
        <v>2024</v>
      </c>
      <c r="F3059" s="29" t="str">
        <f t="shared" si="142"/>
        <v>Nov</v>
      </c>
      <c r="G3059" s="17" t="s">
        <v>29</v>
      </c>
      <c r="H3059" s="17" t="s">
        <v>15</v>
      </c>
      <c r="I3059" s="24">
        <v>178487.76</v>
      </c>
      <c r="J3059" s="32">
        <v>41</v>
      </c>
      <c r="K3059" s="17" t="s">
        <v>24</v>
      </c>
      <c r="L3059" s="24">
        <v>2004.2</v>
      </c>
      <c r="M3059" s="24">
        <v>5121.6000000000004</v>
      </c>
      <c r="N3059" s="34">
        <f>((sales_data_1[[#This Row],[Unit_Price]]*(1-sales_data_1[[#This Row],[Discount]]))-sales_data_1[[#This Row],[Unit_Cost]])*sales_data_1[[#This Row],[Quantity_Sold]]</f>
        <v>96315.560000000027</v>
      </c>
      <c r="O3059" s="17" t="s">
        <v>27</v>
      </c>
      <c r="P3059" s="26">
        <v>0.15</v>
      </c>
      <c r="Q3059" s="17" t="s">
        <v>25</v>
      </c>
      <c r="R3059" s="17" t="s">
        <v>21</v>
      </c>
      <c r="S3059" s="50" t="str">
        <f t="shared" si="143"/>
        <v>Charlie-North</v>
      </c>
      <c r="T3059" s="59" t="str">
        <f>IF(ROUND(sales_data_1[[#This Row],[Profit_Margin]],2)=ROUND((sales_data_1[[#This Row],[Unit_Price]]*(1-sales_data_1[[#This Row],[Discount]]) - sales_data_1[[#This Row],[Unit_Cost]])*sales_data_1[[#This Row],[Quantity_Sold]],2), "PASS", "CHECK")</f>
        <v>PASS</v>
      </c>
    </row>
    <row r="3060" spans="1:20" x14ac:dyDescent="0.35">
      <c r="A3060" s="7">
        <v>3059</v>
      </c>
      <c r="B3060" s="9">
        <v>1055</v>
      </c>
      <c r="C3060" s="14" t="str">
        <f>IFERROR(_xlfn.TEXTJOIN("-", TRUE, _xlfn.XLOOKUP(K3060, product_category_id_lookup!$A$2:$A$5, product_category_id_lookup!$B$2:$B$5), B3060), "Unknown Category")</f>
        <v>fnt-1055</v>
      </c>
      <c r="D3060" s="8">
        <v>45608</v>
      </c>
      <c r="E3060" s="14">
        <f t="shared" si="141"/>
        <v>2024</v>
      </c>
      <c r="F3060" s="29" t="str">
        <f t="shared" si="142"/>
        <v>Nov</v>
      </c>
      <c r="G3060" s="17" t="s">
        <v>29</v>
      </c>
      <c r="H3060" s="17" t="s">
        <v>30</v>
      </c>
      <c r="I3060" s="24">
        <v>90557.056000000011</v>
      </c>
      <c r="J3060" s="32">
        <v>40</v>
      </c>
      <c r="K3060" s="17" t="s">
        <v>16</v>
      </c>
      <c r="L3060" s="24">
        <v>1269.6199999999999</v>
      </c>
      <c r="M3060" s="24">
        <v>3059.36</v>
      </c>
      <c r="N3060" s="34">
        <f>((sales_data_1[[#This Row],[Unit_Price]]*(1-sales_data_1[[#This Row],[Discount]]))-sales_data_1[[#This Row],[Unit_Cost]])*sales_data_1[[#This Row],[Quantity_Sold]]</f>
        <v>39772.256000000016</v>
      </c>
      <c r="O3060" s="17" t="s">
        <v>17</v>
      </c>
      <c r="P3060" s="26">
        <v>0.26</v>
      </c>
      <c r="Q3060" s="17" t="s">
        <v>18</v>
      </c>
      <c r="R3060" s="17" t="s">
        <v>21</v>
      </c>
      <c r="S3060" s="50" t="str">
        <f t="shared" si="143"/>
        <v>Charlie-East</v>
      </c>
      <c r="T3060" s="59" t="str">
        <f>IF(ROUND(sales_data_1[[#This Row],[Profit_Margin]],2)=ROUND((sales_data_1[[#This Row],[Unit_Price]]*(1-sales_data_1[[#This Row],[Discount]]) - sales_data_1[[#This Row],[Unit_Cost]])*sales_data_1[[#This Row],[Quantity_Sold]],2), "PASS", "CHECK")</f>
        <v>PASS</v>
      </c>
    </row>
    <row r="3061" spans="1:20" x14ac:dyDescent="0.35">
      <c r="A3061" s="7">
        <v>3060</v>
      </c>
      <c r="B3061" s="9">
        <v>1078</v>
      </c>
      <c r="C3061" s="14" t="str">
        <f>IFERROR(_xlfn.TEXTJOIN("-", TRUE, _xlfn.XLOOKUP(K3061, product_category_id_lookup!$A$2:$A$5, product_category_id_lookup!$B$2:$B$5), B3061), "Unknown Category")</f>
        <v>fd-1078</v>
      </c>
      <c r="D3061" s="8">
        <v>45609</v>
      </c>
      <c r="E3061" s="14">
        <f t="shared" si="141"/>
        <v>2024</v>
      </c>
      <c r="F3061" s="29" t="str">
        <f t="shared" si="142"/>
        <v>Nov</v>
      </c>
      <c r="G3061" s="17" t="s">
        <v>32</v>
      </c>
      <c r="H3061" s="17" t="s">
        <v>30</v>
      </c>
      <c r="I3061" s="24">
        <v>38647.600000000006</v>
      </c>
      <c r="J3061" s="32">
        <v>10</v>
      </c>
      <c r="K3061" s="17" t="s">
        <v>24</v>
      </c>
      <c r="L3061" s="24">
        <v>3828.19</v>
      </c>
      <c r="M3061" s="24">
        <v>3864.76</v>
      </c>
      <c r="N3061" s="34">
        <f>((sales_data_1[[#This Row],[Unit_Price]]*(1-sales_data_1[[#This Row],[Discount]]))-sales_data_1[[#This Row],[Unit_Cost]])*sales_data_1[[#This Row],[Quantity_Sold]]</f>
        <v>365.70000000000164</v>
      </c>
      <c r="O3061" s="17" t="s">
        <v>17</v>
      </c>
      <c r="P3061" s="26">
        <v>0</v>
      </c>
      <c r="Q3061" s="17" t="s">
        <v>18</v>
      </c>
      <c r="R3061" s="17" t="s">
        <v>21</v>
      </c>
      <c r="S3061" s="50" t="str">
        <f t="shared" si="143"/>
        <v>Eve-East</v>
      </c>
      <c r="T3061" s="59" t="str">
        <f>IF(ROUND(sales_data_1[[#This Row],[Profit_Margin]],2)=ROUND((sales_data_1[[#This Row],[Unit_Price]]*(1-sales_data_1[[#This Row],[Discount]]) - sales_data_1[[#This Row],[Unit_Cost]])*sales_data_1[[#This Row],[Quantity_Sold]],2), "PASS", "CHECK")</f>
        <v>PASS</v>
      </c>
    </row>
    <row r="3062" spans="1:20" x14ac:dyDescent="0.35">
      <c r="A3062" s="7">
        <v>3061</v>
      </c>
      <c r="B3062" s="9">
        <v>1078</v>
      </c>
      <c r="C3062" s="14" t="str">
        <f>IFERROR(_xlfn.TEXTJOIN("-", TRUE, _xlfn.XLOOKUP(K3062, product_category_id_lookup!$A$2:$A$5, product_category_id_lookup!$B$2:$B$5), B3062), "Unknown Category")</f>
        <v>fd-1078</v>
      </c>
      <c r="D3062" s="8">
        <v>45609</v>
      </c>
      <c r="E3062" s="14">
        <f t="shared" si="141"/>
        <v>2024</v>
      </c>
      <c r="F3062" s="29" t="str">
        <f t="shared" si="142"/>
        <v>Nov</v>
      </c>
      <c r="G3062" s="17" t="s">
        <v>29</v>
      </c>
      <c r="H3062" s="17" t="s">
        <v>30</v>
      </c>
      <c r="I3062" s="24">
        <v>94325.126481603729</v>
      </c>
      <c r="J3062" s="32">
        <v>27</v>
      </c>
      <c r="K3062" s="17" t="s">
        <v>24</v>
      </c>
      <c r="L3062" s="24">
        <v>3400.3</v>
      </c>
      <c r="M3062" s="24">
        <v>3515.1</v>
      </c>
      <c r="N3062" s="34">
        <f>((sales_data_1[[#This Row],[Unit_Price]]*(1-sales_data_1[[#This Row],[Discount]]))-sales_data_1[[#This Row],[Unit_Cost]])*sales_data_1[[#This Row],[Quantity_Sold]]</f>
        <v>2150.522999999997</v>
      </c>
      <c r="O3062" s="17" t="s">
        <v>27</v>
      </c>
      <c r="P3062" s="26">
        <v>0.01</v>
      </c>
      <c r="Q3062" s="17" t="s">
        <v>18</v>
      </c>
      <c r="R3062" s="17" t="s">
        <v>19</v>
      </c>
      <c r="S3062" s="50" t="str">
        <f t="shared" si="143"/>
        <v>Charlie-East</v>
      </c>
      <c r="T3062" s="59" t="str">
        <f>IF(ROUND(sales_data_1[[#This Row],[Profit_Margin]],2)=ROUND((sales_data_1[[#This Row],[Unit_Price]]*(1-sales_data_1[[#This Row],[Discount]]) - sales_data_1[[#This Row],[Unit_Cost]])*sales_data_1[[#This Row],[Quantity_Sold]],2), "PASS", "CHECK")</f>
        <v>PASS</v>
      </c>
    </row>
    <row r="3063" spans="1:20" x14ac:dyDescent="0.35">
      <c r="A3063" s="7">
        <v>3062</v>
      </c>
      <c r="B3063" s="9">
        <v>1096</v>
      </c>
      <c r="C3063" s="14" t="str">
        <f>IFERROR(_xlfn.TEXTJOIN("-", TRUE, _xlfn.XLOOKUP(K3063, product_category_id_lookup!$A$2:$A$5, product_category_id_lookup!$B$2:$B$5), B3063), "Unknown Category")</f>
        <v>fd-1096</v>
      </c>
      <c r="D3063" s="8">
        <v>45609</v>
      </c>
      <c r="E3063" s="14">
        <f t="shared" si="141"/>
        <v>2024</v>
      </c>
      <c r="F3063" s="29" t="str">
        <f t="shared" si="142"/>
        <v>Nov</v>
      </c>
      <c r="G3063" s="17" t="s">
        <v>33</v>
      </c>
      <c r="H3063" s="17" t="s">
        <v>30</v>
      </c>
      <c r="I3063" s="24">
        <v>178239.11112532631</v>
      </c>
      <c r="J3063" s="32">
        <v>47</v>
      </c>
      <c r="K3063" s="17" t="s">
        <v>24</v>
      </c>
      <c r="L3063" s="24">
        <v>3627.87</v>
      </c>
      <c r="M3063" s="24">
        <v>3815.67</v>
      </c>
      <c r="N3063" s="34">
        <f>((sales_data_1[[#This Row],[Unit_Price]]*(1-sales_data_1[[#This Row],[Discount]]))-sales_data_1[[#This Row],[Unit_Cost]])*sales_data_1[[#This Row],[Quantity_Sold]]</f>
        <v>7033.235100000009</v>
      </c>
      <c r="O3063" s="17" t="s">
        <v>17</v>
      </c>
      <c r="P3063" s="26">
        <v>0.01</v>
      </c>
      <c r="Q3063" s="17" t="s">
        <v>18</v>
      </c>
      <c r="R3063" s="17" t="s">
        <v>21</v>
      </c>
      <c r="S3063" s="50" t="str">
        <f t="shared" si="143"/>
        <v>Alice-East</v>
      </c>
      <c r="T3063" s="59" t="str">
        <f>IF(ROUND(sales_data_1[[#This Row],[Profit_Margin]],2)=ROUND((sales_data_1[[#This Row],[Unit_Price]]*(1-sales_data_1[[#This Row],[Discount]]) - sales_data_1[[#This Row],[Unit_Cost]])*sales_data_1[[#This Row],[Quantity_Sold]],2), "PASS", "CHECK")</f>
        <v>PASS</v>
      </c>
    </row>
    <row r="3064" spans="1:20" x14ac:dyDescent="0.35">
      <c r="A3064" s="7">
        <v>3063</v>
      </c>
      <c r="B3064" s="9">
        <v>1035</v>
      </c>
      <c r="C3064" s="14" t="str">
        <f>IFERROR(_xlfn.TEXTJOIN("-", TRUE, _xlfn.XLOOKUP(K3064, product_category_id_lookup!$A$2:$A$5, product_category_id_lookup!$B$2:$B$5), B3064), "Unknown Category")</f>
        <v>ctg-1035</v>
      </c>
      <c r="D3064" s="8">
        <v>45609</v>
      </c>
      <c r="E3064" s="14">
        <f t="shared" si="141"/>
        <v>2024</v>
      </c>
      <c r="F3064" s="29" t="str">
        <f t="shared" si="142"/>
        <v>Nov</v>
      </c>
      <c r="G3064" s="17" t="s">
        <v>29</v>
      </c>
      <c r="H3064" s="17" t="s">
        <v>30</v>
      </c>
      <c r="I3064" s="24">
        <v>179012.67749999999</v>
      </c>
      <c r="J3064" s="32">
        <v>45</v>
      </c>
      <c r="K3064" s="17" t="s">
        <v>26</v>
      </c>
      <c r="L3064" s="24">
        <v>3055.38</v>
      </c>
      <c r="M3064" s="24">
        <v>4680.07</v>
      </c>
      <c r="N3064" s="34">
        <f>((sales_data_1[[#This Row],[Unit_Price]]*(1-sales_data_1[[#This Row],[Discount]]))-sales_data_1[[#This Row],[Unit_Cost]])*sales_data_1[[#This Row],[Quantity_Sold]]</f>
        <v>41520.577499999985</v>
      </c>
      <c r="O3064" s="17" t="s">
        <v>27</v>
      </c>
      <c r="P3064" s="26">
        <v>0.15</v>
      </c>
      <c r="Q3064" s="17" t="s">
        <v>25</v>
      </c>
      <c r="R3064" s="17" t="s">
        <v>21</v>
      </c>
      <c r="S3064" s="50" t="str">
        <f t="shared" si="143"/>
        <v>Charlie-East</v>
      </c>
      <c r="T3064" s="59" t="str">
        <f>IF(ROUND(sales_data_1[[#This Row],[Profit_Margin]],2)=ROUND((sales_data_1[[#This Row],[Unit_Price]]*(1-sales_data_1[[#This Row],[Discount]]) - sales_data_1[[#This Row],[Unit_Cost]])*sales_data_1[[#This Row],[Quantity_Sold]],2), "PASS", "CHECK")</f>
        <v>PASS</v>
      </c>
    </row>
    <row r="3065" spans="1:20" x14ac:dyDescent="0.35">
      <c r="A3065" s="7">
        <v>3064</v>
      </c>
      <c r="B3065" s="9">
        <v>1039</v>
      </c>
      <c r="C3065" s="14" t="str">
        <f>IFERROR(_xlfn.TEXTJOIN("-", TRUE, _xlfn.XLOOKUP(K3065, product_category_id_lookup!$A$2:$A$5, product_category_id_lookup!$B$2:$B$5), B3065), "Unknown Category")</f>
        <v>fnt-1039</v>
      </c>
      <c r="D3065" s="8">
        <v>45609</v>
      </c>
      <c r="E3065" s="14">
        <f t="shared" si="141"/>
        <v>2024</v>
      </c>
      <c r="F3065" s="29" t="str">
        <f t="shared" si="142"/>
        <v>Nov</v>
      </c>
      <c r="G3065" s="17" t="s">
        <v>33</v>
      </c>
      <c r="H3065" s="17" t="s">
        <v>15</v>
      </c>
      <c r="I3065" s="24">
        <v>51099.145499999999</v>
      </c>
      <c r="J3065" s="32">
        <v>13</v>
      </c>
      <c r="K3065" s="17" t="s">
        <v>16</v>
      </c>
      <c r="L3065" s="24">
        <v>79.22</v>
      </c>
      <c r="M3065" s="24">
        <v>4518.05</v>
      </c>
      <c r="N3065" s="34">
        <f>((sales_data_1[[#This Row],[Unit_Price]]*(1-sales_data_1[[#This Row],[Discount]]))-sales_data_1[[#This Row],[Unit_Cost]])*sales_data_1[[#This Row],[Quantity_Sold]]</f>
        <v>50069.285500000005</v>
      </c>
      <c r="O3065" s="17" t="s">
        <v>17</v>
      </c>
      <c r="P3065" s="26">
        <v>0.13</v>
      </c>
      <c r="Q3065" s="17" t="s">
        <v>18</v>
      </c>
      <c r="R3065" s="17" t="s">
        <v>21</v>
      </c>
      <c r="S3065" s="50" t="str">
        <f t="shared" si="143"/>
        <v>Alice-North</v>
      </c>
      <c r="T3065" s="59" t="str">
        <f>IF(ROUND(sales_data_1[[#This Row],[Profit_Margin]],2)=ROUND((sales_data_1[[#This Row],[Unit_Price]]*(1-sales_data_1[[#This Row],[Discount]]) - sales_data_1[[#This Row],[Unit_Cost]])*sales_data_1[[#This Row],[Quantity_Sold]],2), "PASS", "CHECK")</f>
        <v>PASS</v>
      </c>
    </row>
    <row r="3066" spans="1:20" x14ac:dyDescent="0.35">
      <c r="A3066" s="7">
        <v>3065</v>
      </c>
      <c r="B3066" s="9">
        <v>1059</v>
      </c>
      <c r="C3066" s="14" t="str">
        <f>IFERROR(_xlfn.TEXTJOIN("-", TRUE, _xlfn.XLOOKUP(K3066, product_category_id_lookup!$A$2:$A$5, product_category_id_lookup!$B$2:$B$5), B3066), "Unknown Category")</f>
        <v>fd-1059</v>
      </c>
      <c r="D3066" s="8">
        <v>45609</v>
      </c>
      <c r="E3066" s="14">
        <f t="shared" si="141"/>
        <v>2024</v>
      </c>
      <c r="F3066" s="29" t="str">
        <f t="shared" si="142"/>
        <v>Nov</v>
      </c>
      <c r="G3066" s="17" t="s">
        <v>29</v>
      </c>
      <c r="H3066" s="17" t="s">
        <v>20</v>
      </c>
      <c r="I3066" s="24">
        <v>162452.022</v>
      </c>
      <c r="J3066" s="32">
        <v>47</v>
      </c>
      <c r="K3066" s="17" t="s">
        <v>24</v>
      </c>
      <c r="L3066" s="24">
        <v>341</v>
      </c>
      <c r="M3066" s="24">
        <v>4019.1</v>
      </c>
      <c r="N3066" s="34">
        <f>((sales_data_1[[#This Row],[Unit_Price]]*(1-sales_data_1[[#This Row],[Discount]]))-sales_data_1[[#This Row],[Unit_Cost]])*sales_data_1[[#This Row],[Quantity_Sold]]</f>
        <v>146425.022</v>
      </c>
      <c r="O3066" s="17" t="s">
        <v>27</v>
      </c>
      <c r="P3066" s="26">
        <v>0.14000000000000001</v>
      </c>
      <c r="Q3066" s="17" t="s">
        <v>28</v>
      </c>
      <c r="R3066" s="17" t="s">
        <v>19</v>
      </c>
      <c r="S3066" s="50" t="str">
        <f t="shared" si="143"/>
        <v>Charlie-West</v>
      </c>
      <c r="T3066" s="59" t="str">
        <f>IF(ROUND(sales_data_1[[#This Row],[Profit_Margin]],2)=ROUND((sales_data_1[[#This Row],[Unit_Price]]*(1-sales_data_1[[#This Row],[Discount]]) - sales_data_1[[#This Row],[Unit_Cost]])*sales_data_1[[#This Row],[Quantity_Sold]],2), "PASS", "CHECK")</f>
        <v>PASS</v>
      </c>
    </row>
    <row r="3067" spans="1:20" x14ac:dyDescent="0.35">
      <c r="A3067" s="7">
        <v>3066</v>
      </c>
      <c r="B3067" s="9">
        <v>1068</v>
      </c>
      <c r="C3067" s="14" t="str">
        <f>IFERROR(_xlfn.TEXTJOIN("-", TRUE, _xlfn.XLOOKUP(K3067, product_category_id_lookup!$A$2:$A$5, product_category_id_lookup!$B$2:$B$5), B3067), "Unknown Category")</f>
        <v>fnt-1068</v>
      </c>
      <c r="D3067" s="8">
        <v>45610</v>
      </c>
      <c r="E3067" s="14">
        <f t="shared" si="141"/>
        <v>2024</v>
      </c>
      <c r="F3067" s="29" t="str">
        <f t="shared" si="142"/>
        <v>Nov</v>
      </c>
      <c r="G3067" s="17" t="s">
        <v>33</v>
      </c>
      <c r="H3067" s="17" t="s">
        <v>23</v>
      </c>
      <c r="I3067" s="24">
        <v>68979.237599999993</v>
      </c>
      <c r="J3067" s="32">
        <v>28</v>
      </c>
      <c r="K3067" s="17" t="s">
        <v>16</v>
      </c>
      <c r="L3067" s="24">
        <v>1445.64</v>
      </c>
      <c r="M3067" s="24">
        <v>3158.39</v>
      </c>
      <c r="N3067" s="34">
        <f>((sales_data_1[[#This Row],[Unit_Price]]*(1-sales_data_1[[#This Row],[Discount]]))-sales_data_1[[#This Row],[Unit_Cost]])*sales_data_1[[#This Row],[Quantity_Sold]]</f>
        <v>28501.317599999991</v>
      </c>
      <c r="O3067" s="17" t="s">
        <v>17</v>
      </c>
      <c r="P3067" s="26">
        <v>0.22</v>
      </c>
      <c r="Q3067" s="17" t="s">
        <v>18</v>
      </c>
      <c r="R3067" s="17" t="s">
        <v>19</v>
      </c>
      <c r="S3067" s="50" t="str">
        <f t="shared" si="143"/>
        <v>Alice-South</v>
      </c>
      <c r="T3067" s="59" t="str">
        <f>IF(ROUND(sales_data_1[[#This Row],[Profit_Margin]],2)=ROUND((sales_data_1[[#This Row],[Unit_Price]]*(1-sales_data_1[[#This Row],[Discount]]) - sales_data_1[[#This Row],[Unit_Cost]])*sales_data_1[[#This Row],[Quantity_Sold]],2), "PASS", "CHECK")</f>
        <v>PASS</v>
      </c>
    </row>
    <row r="3068" spans="1:20" x14ac:dyDescent="0.35">
      <c r="A3068" s="7">
        <v>3067</v>
      </c>
      <c r="B3068" s="9">
        <v>1030</v>
      </c>
      <c r="C3068" s="14" t="str">
        <f>IFERROR(_xlfn.TEXTJOIN("-", TRUE, _xlfn.XLOOKUP(K3068, product_category_id_lookup!$A$2:$A$5, product_category_id_lookup!$B$2:$B$5), B3068), "Unknown Category")</f>
        <v>ctg-1030</v>
      </c>
      <c r="D3068" s="8">
        <v>45610</v>
      </c>
      <c r="E3068" s="14">
        <f t="shared" si="141"/>
        <v>2024</v>
      </c>
      <c r="F3068" s="29" t="str">
        <f t="shared" si="142"/>
        <v>Nov</v>
      </c>
      <c r="G3068" s="17" t="s">
        <v>22</v>
      </c>
      <c r="H3068" s="17" t="s">
        <v>30</v>
      </c>
      <c r="I3068" s="24">
        <v>106714.2384</v>
      </c>
      <c r="J3068" s="32">
        <v>27</v>
      </c>
      <c r="K3068" s="17" t="s">
        <v>26</v>
      </c>
      <c r="L3068" s="24">
        <v>2707.76</v>
      </c>
      <c r="M3068" s="24">
        <v>4033.04</v>
      </c>
      <c r="N3068" s="34">
        <f>((sales_data_1[[#This Row],[Unit_Price]]*(1-sales_data_1[[#This Row],[Discount]]))-sales_data_1[[#This Row],[Unit_Cost]])*sales_data_1[[#This Row],[Quantity_Sold]]</f>
        <v>33604.718399999991</v>
      </c>
      <c r="O3068" s="17" t="s">
        <v>17</v>
      </c>
      <c r="P3068" s="26">
        <v>0.02</v>
      </c>
      <c r="Q3068" s="17" t="s">
        <v>28</v>
      </c>
      <c r="R3068" s="17" t="s">
        <v>19</v>
      </c>
      <c r="S3068" s="50" t="str">
        <f t="shared" si="143"/>
        <v>David-East</v>
      </c>
      <c r="T3068" s="59" t="str">
        <f>IF(ROUND(sales_data_1[[#This Row],[Profit_Margin]],2)=ROUND((sales_data_1[[#This Row],[Unit_Price]]*(1-sales_data_1[[#This Row],[Discount]]) - sales_data_1[[#This Row],[Unit_Cost]])*sales_data_1[[#This Row],[Quantity_Sold]],2), "PASS", "CHECK")</f>
        <v>PASS</v>
      </c>
    </row>
    <row r="3069" spans="1:20" x14ac:dyDescent="0.35">
      <c r="A3069" s="7">
        <v>3068</v>
      </c>
      <c r="B3069" s="9">
        <v>1020</v>
      </c>
      <c r="C3069" s="14" t="str">
        <f>IFERROR(_xlfn.TEXTJOIN("-", TRUE, _xlfn.XLOOKUP(K3069, product_category_id_lookup!$A$2:$A$5, product_category_id_lookup!$B$2:$B$5), B3069), "Unknown Category")</f>
        <v>etc-1020</v>
      </c>
      <c r="D3069" s="8">
        <v>45611</v>
      </c>
      <c r="E3069" s="14">
        <f t="shared" si="141"/>
        <v>2024</v>
      </c>
      <c r="F3069" s="29" t="str">
        <f t="shared" si="142"/>
        <v>Nov</v>
      </c>
      <c r="G3069" s="17" t="s">
        <v>33</v>
      </c>
      <c r="H3069" s="17" t="s">
        <v>20</v>
      </c>
      <c r="I3069" s="24">
        <v>33950.802221655016</v>
      </c>
      <c r="J3069" s="32">
        <v>7</v>
      </c>
      <c r="K3069" s="17" t="s">
        <v>31</v>
      </c>
      <c r="L3069" s="24">
        <v>4822.74</v>
      </c>
      <c r="M3069" s="24">
        <v>4871.1099999999997</v>
      </c>
      <c r="N3069" s="34">
        <f>((sales_data_1[[#This Row],[Unit_Price]]*(1-sales_data_1[[#This Row],[Discount]]))-sales_data_1[[#This Row],[Unit_Cost]])*sales_data_1[[#This Row],[Quantity_Sold]]</f>
        <v>338.58999999999924</v>
      </c>
      <c r="O3069" s="17" t="s">
        <v>27</v>
      </c>
      <c r="P3069" s="26">
        <v>0</v>
      </c>
      <c r="Q3069" s="17" t="s">
        <v>28</v>
      </c>
      <c r="R3069" s="17" t="s">
        <v>21</v>
      </c>
      <c r="S3069" s="50" t="str">
        <f t="shared" si="143"/>
        <v>Alice-West</v>
      </c>
      <c r="T3069" s="59" t="str">
        <f>IF(ROUND(sales_data_1[[#This Row],[Profit_Margin]],2)=ROUND((sales_data_1[[#This Row],[Unit_Price]]*(1-sales_data_1[[#This Row],[Discount]]) - sales_data_1[[#This Row],[Unit_Cost]])*sales_data_1[[#This Row],[Quantity_Sold]],2), "PASS", "CHECK")</f>
        <v>PASS</v>
      </c>
    </row>
    <row r="3070" spans="1:20" x14ac:dyDescent="0.35">
      <c r="A3070" s="7">
        <v>3069</v>
      </c>
      <c r="B3070" s="9">
        <v>1025</v>
      </c>
      <c r="C3070" s="14" t="str">
        <f>IFERROR(_xlfn.TEXTJOIN("-", TRUE, _xlfn.XLOOKUP(K3070, product_category_id_lookup!$A$2:$A$5, product_category_id_lookup!$B$2:$B$5), B3070), "Unknown Category")</f>
        <v>fd-1025</v>
      </c>
      <c r="D3070" s="8">
        <v>45611</v>
      </c>
      <c r="E3070" s="14">
        <f t="shared" si="141"/>
        <v>2024</v>
      </c>
      <c r="F3070" s="29" t="str">
        <f t="shared" si="142"/>
        <v>Nov</v>
      </c>
      <c r="G3070" s="17" t="s">
        <v>29</v>
      </c>
      <c r="H3070" s="17" t="s">
        <v>23</v>
      </c>
      <c r="I3070" s="24">
        <v>16989.083999999999</v>
      </c>
      <c r="J3070" s="32">
        <v>10</v>
      </c>
      <c r="K3070" s="17" t="s">
        <v>24</v>
      </c>
      <c r="L3070" s="24">
        <v>1163.7</v>
      </c>
      <c r="M3070" s="24">
        <v>2022.51</v>
      </c>
      <c r="N3070" s="34">
        <f>((sales_data_1[[#This Row],[Unit_Price]]*(1-sales_data_1[[#This Row],[Discount]]))-sales_data_1[[#This Row],[Unit_Cost]])*sales_data_1[[#This Row],[Quantity_Sold]]</f>
        <v>5352.0839999999998</v>
      </c>
      <c r="O3070" s="17" t="s">
        <v>17</v>
      </c>
      <c r="P3070" s="26">
        <v>0.16</v>
      </c>
      <c r="Q3070" s="17" t="s">
        <v>28</v>
      </c>
      <c r="R3070" s="17" t="s">
        <v>19</v>
      </c>
      <c r="S3070" s="50" t="str">
        <f t="shared" si="143"/>
        <v>Charlie-South</v>
      </c>
      <c r="T3070" s="59" t="str">
        <f>IF(ROUND(sales_data_1[[#This Row],[Profit_Margin]],2)=ROUND((sales_data_1[[#This Row],[Unit_Price]]*(1-sales_data_1[[#This Row],[Discount]]) - sales_data_1[[#This Row],[Unit_Cost]])*sales_data_1[[#This Row],[Quantity_Sold]],2), "PASS", "CHECK")</f>
        <v>PASS</v>
      </c>
    </row>
    <row r="3071" spans="1:20" x14ac:dyDescent="0.35">
      <c r="A3071" s="7">
        <v>3070</v>
      </c>
      <c r="B3071" s="9">
        <v>1082</v>
      </c>
      <c r="C3071" s="14" t="str">
        <f>IFERROR(_xlfn.TEXTJOIN("-", TRUE, _xlfn.XLOOKUP(K3071, product_category_id_lookup!$A$2:$A$5, product_category_id_lookup!$B$2:$B$5), B3071), "Unknown Category")</f>
        <v>ctg-1082</v>
      </c>
      <c r="D3071" s="8">
        <v>45611</v>
      </c>
      <c r="E3071" s="14">
        <f t="shared" si="141"/>
        <v>2024</v>
      </c>
      <c r="F3071" s="29" t="str">
        <f t="shared" si="142"/>
        <v>Nov</v>
      </c>
      <c r="G3071" s="17" t="s">
        <v>22</v>
      </c>
      <c r="H3071" s="17" t="s">
        <v>23</v>
      </c>
      <c r="I3071" s="24">
        <v>24212.7081</v>
      </c>
      <c r="J3071" s="32">
        <v>49</v>
      </c>
      <c r="K3071" s="17" t="s">
        <v>26</v>
      </c>
      <c r="L3071" s="24">
        <v>331.34</v>
      </c>
      <c r="M3071" s="24">
        <v>531.33000000000004</v>
      </c>
      <c r="N3071" s="34">
        <f>((sales_data_1[[#This Row],[Unit_Price]]*(1-sales_data_1[[#This Row],[Discount]]))-sales_data_1[[#This Row],[Unit_Cost]])*sales_data_1[[#This Row],[Quantity_Sold]]</f>
        <v>7977.0481000000027</v>
      </c>
      <c r="O3071" s="17" t="s">
        <v>27</v>
      </c>
      <c r="P3071" s="26">
        <v>7.0000000000000007E-2</v>
      </c>
      <c r="Q3071" s="17" t="s">
        <v>28</v>
      </c>
      <c r="R3071" s="17" t="s">
        <v>21</v>
      </c>
      <c r="S3071" s="50" t="str">
        <f t="shared" si="143"/>
        <v>David-South</v>
      </c>
      <c r="T3071" s="59" t="str">
        <f>IF(ROUND(sales_data_1[[#This Row],[Profit_Margin]],2)=ROUND((sales_data_1[[#This Row],[Unit_Price]]*(1-sales_data_1[[#This Row],[Discount]]) - sales_data_1[[#This Row],[Unit_Cost]])*sales_data_1[[#This Row],[Quantity_Sold]],2), "PASS", "CHECK")</f>
        <v>PASS</v>
      </c>
    </row>
    <row r="3072" spans="1:20" x14ac:dyDescent="0.35">
      <c r="A3072" s="7">
        <v>3071</v>
      </c>
      <c r="B3072" s="9">
        <v>1031</v>
      </c>
      <c r="C3072" s="14" t="str">
        <f>IFERROR(_xlfn.TEXTJOIN("-", TRUE, _xlfn.XLOOKUP(K3072, product_category_id_lookup!$A$2:$A$5, product_category_id_lookup!$B$2:$B$5), B3072), "Unknown Category")</f>
        <v>etc-1031</v>
      </c>
      <c r="D3072" s="8">
        <v>45612</v>
      </c>
      <c r="E3072" s="14">
        <f t="shared" si="141"/>
        <v>2024</v>
      </c>
      <c r="F3072" s="29" t="str">
        <f t="shared" si="142"/>
        <v>Nov</v>
      </c>
      <c r="G3072" s="17" t="s">
        <v>14</v>
      </c>
      <c r="H3072" s="17" t="s">
        <v>30</v>
      </c>
      <c r="I3072" s="24">
        <v>99499.958225685434</v>
      </c>
      <c r="J3072" s="32">
        <v>29</v>
      </c>
      <c r="K3072" s="17" t="s">
        <v>31</v>
      </c>
      <c r="L3072" s="24">
        <v>3295.38</v>
      </c>
      <c r="M3072" s="24">
        <v>3437.65</v>
      </c>
      <c r="N3072" s="34">
        <f>((sales_data_1[[#This Row],[Unit_Price]]*(1-sales_data_1[[#This Row],[Discount]]))-sales_data_1[[#This Row],[Unit_Cost]])*sales_data_1[[#This Row],[Quantity_Sold]]</f>
        <v>4125.83</v>
      </c>
      <c r="O3072" s="17" t="s">
        <v>27</v>
      </c>
      <c r="P3072" s="26">
        <v>0</v>
      </c>
      <c r="Q3072" s="17" t="s">
        <v>28</v>
      </c>
      <c r="R3072" s="17" t="s">
        <v>19</v>
      </c>
      <c r="S3072" s="50" t="str">
        <f t="shared" si="143"/>
        <v>Bob-East</v>
      </c>
      <c r="T3072" s="59" t="str">
        <f>IF(ROUND(sales_data_1[[#This Row],[Profit_Margin]],2)=ROUND((sales_data_1[[#This Row],[Unit_Price]]*(1-sales_data_1[[#This Row],[Discount]]) - sales_data_1[[#This Row],[Unit_Cost]])*sales_data_1[[#This Row],[Quantity_Sold]],2), "PASS", "CHECK")</f>
        <v>PASS</v>
      </c>
    </row>
    <row r="3073" spans="1:20" x14ac:dyDescent="0.35">
      <c r="A3073" s="7">
        <v>3072</v>
      </c>
      <c r="B3073" s="9">
        <v>1080</v>
      </c>
      <c r="C3073" s="14" t="str">
        <f>IFERROR(_xlfn.TEXTJOIN("-", TRUE, _xlfn.XLOOKUP(K3073, product_category_id_lookup!$A$2:$A$5, product_category_id_lookup!$B$2:$B$5), B3073), "Unknown Category")</f>
        <v>fnt-1080</v>
      </c>
      <c r="D3073" s="8">
        <v>45612</v>
      </c>
      <c r="E3073" s="14">
        <f t="shared" si="141"/>
        <v>2024</v>
      </c>
      <c r="F3073" s="29" t="str">
        <f t="shared" si="142"/>
        <v>Nov</v>
      </c>
      <c r="G3073" s="17" t="s">
        <v>32</v>
      </c>
      <c r="H3073" s="17" t="s">
        <v>20</v>
      </c>
      <c r="I3073" s="24">
        <v>107201.03213689363</v>
      </c>
      <c r="J3073" s="32">
        <v>25</v>
      </c>
      <c r="K3073" s="17" t="s">
        <v>16</v>
      </c>
      <c r="L3073" s="24">
        <v>3991.44</v>
      </c>
      <c r="M3073" s="24">
        <v>4414.8</v>
      </c>
      <c r="N3073" s="34">
        <f>((sales_data_1[[#This Row],[Unit_Price]]*(1-sales_data_1[[#This Row],[Discount]]))-sales_data_1[[#This Row],[Unit_Cost]])*sales_data_1[[#This Row],[Quantity_Sold]]</f>
        <v>7272.8999999999924</v>
      </c>
      <c r="O3073" s="17" t="s">
        <v>17</v>
      </c>
      <c r="P3073" s="26">
        <v>0.03</v>
      </c>
      <c r="Q3073" s="17" t="s">
        <v>18</v>
      </c>
      <c r="R3073" s="17" t="s">
        <v>19</v>
      </c>
      <c r="S3073" s="50" t="str">
        <f t="shared" si="143"/>
        <v>Eve-West</v>
      </c>
      <c r="T3073" s="59" t="str">
        <f>IF(ROUND(sales_data_1[[#This Row],[Profit_Margin]],2)=ROUND((sales_data_1[[#This Row],[Unit_Price]]*(1-sales_data_1[[#This Row],[Discount]]) - sales_data_1[[#This Row],[Unit_Cost]])*sales_data_1[[#This Row],[Quantity_Sold]],2), "PASS", "CHECK")</f>
        <v>PASS</v>
      </c>
    </row>
    <row r="3074" spans="1:20" x14ac:dyDescent="0.35">
      <c r="A3074" s="7">
        <v>3073</v>
      </c>
      <c r="B3074" s="9">
        <v>1002</v>
      </c>
      <c r="C3074" s="14" t="str">
        <f>IFERROR(_xlfn.TEXTJOIN("-", TRUE, _xlfn.XLOOKUP(K3074, product_category_id_lookup!$A$2:$A$5, product_category_id_lookup!$B$2:$B$5), B3074), "Unknown Category")</f>
        <v>fnt-1002</v>
      </c>
      <c r="D3074" s="8">
        <v>45612</v>
      </c>
      <c r="E3074" s="14">
        <f t="shared" ref="E3074:E3137" si="144">YEAR(D3074)</f>
        <v>2024</v>
      </c>
      <c r="F3074" s="29" t="str">
        <f t="shared" ref="F3074:F3137" si="145">LEFT(TEXT(D3074,"mmmm"),3)</f>
        <v>Nov</v>
      </c>
      <c r="G3074" s="17" t="s">
        <v>14</v>
      </c>
      <c r="H3074" s="17" t="s">
        <v>15</v>
      </c>
      <c r="I3074" s="24">
        <v>20003.759999999998</v>
      </c>
      <c r="J3074" s="32">
        <v>9</v>
      </c>
      <c r="K3074" s="17" t="s">
        <v>16</v>
      </c>
      <c r="L3074" s="24">
        <v>891.91</v>
      </c>
      <c r="M3074" s="24">
        <v>2315.25</v>
      </c>
      <c r="N3074" s="34">
        <f>((sales_data_1[[#This Row],[Unit_Price]]*(1-sales_data_1[[#This Row],[Discount]]))-sales_data_1[[#This Row],[Unit_Cost]])*sales_data_1[[#This Row],[Quantity_Sold]]</f>
        <v>11976.57</v>
      </c>
      <c r="O3074" s="17" t="s">
        <v>17</v>
      </c>
      <c r="P3074" s="26">
        <v>0.04</v>
      </c>
      <c r="Q3074" s="17" t="s">
        <v>25</v>
      </c>
      <c r="R3074" s="17" t="s">
        <v>19</v>
      </c>
      <c r="S3074" s="50" t="str">
        <f t="shared" ref="S3074:S3137" si="146">_xlfn.CONCAT(G3074,"-",H3074)</f>
        <v>Bob-North</v>
      </c>
      <c r="T3074" s="59" t="str">
        <f>IF(ROUND(sales_data_1[[#This Row],[Profit_Margin]],2)=ROUND((sales_data_1[[#This Row],[Unit_Price]]*(1-sales_data_1[[#This Row],[Discount]]) - sales_data_1[[#This Row],[Unit_Cost]])*sales_data_1[[#This Row],[Quantity_Sold]],2), "PASS", "CHECK")</f>
        <v>PASS</v>
      </c>
    </row>
    <row r="3075" spans="1:20" x14ac:dyDescent="0.35">
      <c r="A3075" s="7">
        <v>3074</v>
      </c>
      <c r="B3075" s="9">
        <v>1058</v>
      </c>
      <c r="C3075" s="14" t="str">
        <f>IFERROR(_xlfn.TEXTJOIN("-", TRUE, _xlfn.XLOOKUP(K3075, product_category_id_lookup!$A$2:$A$5, product_category_id_lookup!$B$2:$B$5), B3075), "Unknown Category")</f>
        <v>fnt-1058</v>
      </c>
      <c r="D3075" s="8">
        <v>45612</v>
      </c>
      <c r="E3075" s="14">
        <f t="shared" si="144"/>
        <v>2024</v>
      </c>
      <c r="F3075" s="29" t="str">
        <f t="shared" si="145"/>
        <v>Nov</v>
      </c>
      <c r="G3075" s="17" t="s">
        <v>32</v>
      </c>
      <c r="H3075" s="17" t="s">
        <v>30</v>
      </c>
      <c r="I3075" s="24">
        <v>137804.19839999999</v>
      </c>
      <c r="J3075" s="32">
        <v>43</v>
      </c>
      <c r="K3075" s="17" t="s">
        <v>16</v>
      </c>
      <c r="L3075" s="24">
        <v>1530.37</v>
      </c>
      <c r="M3075" s="24">
        <v>3338.28</v>
      </c>
      <c r="N3075" s="34">
        <f>((sales_data_1[[#This Row],[Unit_Price]]*(1-sales_data_1[[#This Row],[Discount]]))-sales_data_1[[#This Row],[Unit_Cost]])*sales_data_1[[#This Row],[Quantity_Sold]]</f>
        <v>71998.288400000005</v>
      </c>
      <c r="O3075" s="17" t="s">
        <v>17</v>
      </c>
      <c r="P3075" s="26">
        <v>0.04</v>
      </c>
      <c r="Q3075" s="17" t="s">
        <v>25</v>
      </c>
      <c r="R3075" s="17" t="s">
        <v>19</v>
      </c>
      <c r="S3075" s="50" t="str">
        <f t="shared" si="146"/>
        <v>Eve-East</v>
      </c>
      <c r="T3075" s="59" t="str">
        <f>IF(ROUND(sales_data_1[[#This Row],[Profit_Margin]],2)=ROUND((sales_data_1[[#This Row],[Unit_Price]]*(1-sales_data_1[[#This Row],[Discount]]) - sales_data_1[[#This Row],[Unit_Cost]])*sales_data_1[[#This Row],[Quantity_Sold]],2), "PASS", "CHECK")</f>
        <v>PASS</v>
      </c>
    </row>
    <row r="3076" spans="1:20" x14ac:dyDescent="0.35">
      <c r="A3076" s="7">
        <v>3075</v>
      </c>
      <c r="B3076" s="9">
        <v>1036</v>
      </c>
      <c r="C3076" s="14" t="str">
        <f>IFERROR(_xlfn.TEXTJOIN("-", TRUE, _xlfn.XLOOKUP(K3076, product_category_id_lookup!$A$2:$A$5, product_category_id_lookup!$B$2:$B$5), B3076), "Unknown Category")</f>
        <v>etc-1036</v>
      </c>
      <c r="D3076" s="8">
        <v>45612</v>
      </c>
      <c r="E3076" s="14">
        <f t="shared" si="144"/>
        <v>2024</v>
      </c>
      <c r="F3076" s="29" t="str">
        <f t="shared" si="145"/>
        <v>Nov</v>
      </c>
      <c r="G3076" s="17" t="s">
        <v>32</v>
      </c>
      <c r="H3076" s="17" t="s">
        <v>15</v>
      </c>
      <c r="I3076" s="24">
        <v>97952.587200000009</v>
      </c>
      <c r="J3076" s="32">
        <v>24</v>
      </c>
      <c r="K3076" s="17" t="s">
        <v>31</v>
      </c>
      <c r="L3076" s="24">
        <v>1058.98</v>
      </c>
      <c r="M3076" s="24">
        <v>5232.51</v>
      </c>
      <c r="N3076" s="34">
        <f>((sales_data_1[[#This Row],[Unit_Price]]*(1-sales_data_1[[#This Row],[Discount]]))-sales_data_1[[#This Row],[Unit_Cost]])*sales_data_1[[#This Row],[Quantity_Sold]]</f>
        <v>72537.067200000005</v>
      </c>
      <c r="O3076" s="17" t="s">
        <v>17</v>
      </c>
      <c r="P3076" s="26">
        <v>0.22</v>
      </c>
      <c r="Q3076" s="17" t="s">
        <v>28</v>
      </c>
      <c r="R3076" s="17" t="s">
        <v>21</v>
      </c>
      <c r="S3076" s="50" t="str">
        <f t="shared" si="146"/>
        <v>Eve-North</v>
      </c>
      <c r="T3076" s="59" t="str">
        <f>IF(ROUND(sales_data_1[[#This Row],[Profit_Margin]],2)=ROUND((sales_data_1[[#This Row],[Unit_Price]]*(1-sales_data_1[[#This Row],[Discount]]) - sales_data_1[[#This Row],[Unit_Cost]])*sales_data_1[[#This Row],[Quantity_Sold]],2), "PASS", "CHECK")</f>
        <v>PASS</v>
      </c>
    </row>
    <row r="3077" spans="1:20" x14ac:dyDescent="0.35">
      <c r="A3077" s="7">
        <v>3076</v>
      </c>
      <c r="B3077" s="9">
        <v>1075</v>
      </c>
      <c r="C3077" s="14" t="str">
        <f>IFERROR(_xlfn.TEXTJOIN("-", TRUE, _xlfn.XLOOKUP(K3077, product_category_id_lookup!$A$2:$A$5, product_category_id_lookup!$B$2:$B$5), B3077), "Unknown Category")</f>
        <v>ctg-1075</v>
      </c>
      <c r="D3077" s="8">
        <v>45612</v>
      </c>
      <c r="E3077" s="14">
        <f t="shared" si="144"/>
        <v>2024</v>
      </c>
      <c r="F3077" s="29" t="str">
        <f t="shared" si="145"/>
        <v>Nov</v>
      </c>
      <c r="G3077" s="17" t="s">
        <v>22</v>
      </c>
      <c r="H3077" s="17" t="s">
        <v>15</v>
      </c>
      <c r="I3077" s="24">
        <v>145004.51200000002</v>
      </c>
      <c r="J3077" s="32">
        <v>40</v>
      </c>
      <c r="K3077" s="17" t="s">
        <v>26</v>
      </c>
      <c r="L3077" s="24">
        <v>739.28</v>
      </c>
      <c r="M3077" s="24">
        <v>3940.34</v>
      </c>
      <c r="N3077" s="34">
        <f>((sales_data_1[[#This Row],[Unit_Price]]*(1-sales_data_1[[#This Row],[Discount]]))-sales_data_1[[#This Row],[Unit_Cost]])*sales_data_1[[#This Row],[Quantity_Sold]]</f>
        <v>115433.31200000001</v>
      </c>
      <c r="O3077" s="17" t="s">
        <v>17</v>
      </c>
      <c r="P3077" s="26">
        <v>0.08</v>
      </c>
      <c r="Q3077" s="17" t="s">
        <v>18</v>
      </c>
      <c r="R3077" s="17" t="s">
        <v>19</v>
      </c>
      <c r="S3077" s="50" t="str">
        <f t="shared" si="146"/>
        <v>David-North</v>
      </c>
      <c r="T3077" s="59" t="str">
        <f>IF(ROUND(sales_data_1[[#This Row],[Profit_Margin]],2)=ROUND((sales_data_1[[#This Row],[Unit_Price]]*(1-sales_data_1[[#This Row],[Discount]]) - sales_data_1[[#This Row],[Unit_Cost]])*sales_data_1[[#This Row],[Quantity_Sold]],2), "PASS", "CHECK")</f>
        <v>PASS</v>
      </c>
    </row>
    <row r="3078" spans="1:20" x14ac:dyDescent="0.35">
      <c r="A3078" s="7">
        <v>3077</v>
      </c>
      <c r="B3078" s="9">
        <v>1066</v>
      </c>
      <c r="C3078" s="14" t="str">
        <f>IFERROR(_xlfn.TEXTJOIN("-", TRUE, _xlfn.XLOOKUP(K3078, product_category_id_lookup!$A$2:$A$5, product_category_id_lookup!$B$2:$B$5), B3078), "Unknown Category")</f>
        <v>fnt-1066</v>
      </c>
      <c r="D3078" s="8">
        <v>45613</v>
      </c>
      <c r="E3078" s="14">
        <f t="shared" si="144"/>
        <v>2024</v>
      </c>
      <c r="F3078" s="29" t="str">
        <f t="shared" si="145"/>
        <v>Nov</v>
      </c>
      <c r="G3078" s="17" t="s">
        <v>22</v>
      </c>
      <c r="H3078" s="17" t="s">
        <v>15</v>
      </c>
      <c r="I3078" s="24">
        <v>41882.611199999999</v>
      </c>
      <c r="J3078" s="32">
        <v>32</v>
      </c>
      <c r="K3078" s="17" t="s">
        <v>16</v>
      </c>
      <c r="L3078" s="24">
        <v>1200.23</v>
      </c>
      <c r="M3078" s="24">
        <v>1792.92</v>
      </c>
      <c r="N3078" s="34">
        <f>((sales_data_1[[#This Row],[Unit_Price]]*(1-sales_data_1[[#This Row],[Discount]]))-sales_data_1[[#This Row],[Unit_Cost]])*sales_data_1[[#This Row],[Quantity_Sold]]</f>
        <v>3475.2511999999988</v>
      </c>
      <c r="O3078" s="17" t="s">
        <v>17</v>
      </c>
      <c r="P3078" s="26">
        <v>0.27</v>
      </c>
      <c r="Q3078" s="17" t="s">
        <v>25</v>
      </c>
      <c r="R3078" s="17" t="s">
        <v>21</v>
      </c>
      <c r="S3078" s="50" t="str">
        <f t="shared" si="146"/>
        <v>David-North</v>
      </c>
      <c r="T3078" s="59" t="str">
        <f>IF(ROUND(sales_data_1[[#This Row],[Profit_Margin]],2)=ROUND((sales_data_1[[#This Row],[Unit_Price]]*(1-sales_data_1[[#This Row],[Discount]]) - sales_data_1[[#This Row],[Unit_Cost]])*sales_data_1[[#This Row],[Quantity_Sold]],2), "PASS", "CHECK")</f>
        <v>PASS</v>
      </c>
    </row>
    <row r="3079" spans="1:20" x14ac:dyDescent="0.35">
      <c r="A3079" s="7">
        <v>3078</v>
      </c>
      <c r="B3079" s="9">
        <v>1082</v>
      </c>
      <c r="C3079" s="14" t="str">
        <f>IFERROR(_xlfn.TEXTJOIN("-", TRUE, _xlfn.XLOOKUP(K3079, product_category_id_lookup!$A$2:$A$5, product_category_id_lookup!$B$2:$B$5), B3079), "Unknown Category")</f>
        <v>fnt-1082</v>
      </c>
      <c r="D3079" s="8">
        <v>45613</v>
      </c>
      <c r="E3079" s="14">
        <f t="shared" si="144"/>
        <v>2024</v>
      </c>
      <c r="F3079" s="29" t="str">
        <f t="shared" si="145"/>
        <v>Nov</v>
      </c>
      <c r="G3079" s="17" t="s">
        <v>22</v>
      </c>
      <c r="H3079" s="17" t="s">
        <v>15</v>
      </c>
      <c r="I3079" s="24">
        <v>74697.728000000003</v>
      </c>
      <c r="J3079" s="32">
        <v>28</v>
      </c>
      <c r="K3079" s="17" t="s">
        <v>16</v>
      </c>
      <c r="L3079" s="24">
        <v>1476.35</v>
      </c>
      <c r="M3079" s="24">
        <v>3334.72</v>
      </c>
      <c r="N3079" s="34">
        <f>((sales_data_1[[#This Row],[Unit_Price]]*(1-sales_data_1[[#This Row],[Discount]]))-sales_data_1[[#This Row],[Unit_Cost]])*sales_data_1[[#This Row],[Quantity_Sold]]</f>
        <v>33359.928</v>
      </c>
      <c r="O3079" s="17" t="s">
        <v>17</v>
      </c>
      <c r="P3079" s="26">
        <v>0.2</v>
      </c>
      <c r="Q3079" s="17" t="s">
        <v>25</v>
      </c>
      <c r="R3079" s="17" t="s">
        <v>19</v>
      </c>
      <c r="S3079" s="50" t="str">
        <f t="shared" si="146"/>
        <v>David-North</v>
      </c>
      <c r="T3079" s="59" t="str">
        <f>IF(ROUND(sales_data_1[[#This Row],[Profit_Margin]],2)=ROUND((sales_data_1[[#This Row],[Unit_Price]]*(1-sales_data_1[[#This Row],[Discount]]) - sales_data_1[[#This Row],[Unit_Cost]])*sales_data_1[[#This Row],[Quantity_Sold]],2), "PASS", "CHECK")</f>
        <v>PASS</v>
      </c>
    </row>
    <row r="3080" spans="1:20" x14ac:dyDescent="0.35">
      <c r="A3080" s="7">
        <v>3079</v>
      </c>
      <c r="B3080" s="9">
        <v>1079</v>
      </c>
      <c r="C3080" s="14" t="str">
        <f>IFERROR(_xlfn.TEXTJOIN("-", TRUE, _xlfn.XLOOKUP(K3080, product_category_id_lookup!$A$2:$A$5, product_category_id_lookup!$B$2:$B$5), B3080), "Unknown Category")</f>
        <v>ctg-1079</v>
      </c>
      <c r="D3080" s="8">
        <v>45613</v>
      </c>
      <c r="E3080" s="14">
        <f t="shared" si="144"/>
        <v>2024</v>
      </c>
      <c r="F3080" s="29" t="str">
        <f t="shared" si="145"/>
        <v>Nov</v>
      </c>
      <c r="G3080" s="17" t="s">
        <v>29</v>
      </c>
      <c r="H3080" s="17" t="s">
        <v>23</v>
      </c>
      <c r="I3080" s="24">
        <v>116731.88160000001</v>
      </c>
      <c r="J3080" s="32">
        <v>24</v>
      </c>
      <c r="K3080" s="17" t="s">
        <v>26</v>
      </c>
      <c r="L3080" s="24">
        <v>2052.0700000000002</v>
      </c>
      <c r="M3080" s="24">
        <v>5286.77</v>
      </c>
      <c r="N3080" s="34">
        <f>((sales_data_1[[#This Row],[Unit_Price]]*(1-sales_data_1[[#This Row],[Discount]]))-sales_data_1[[#This Row],[Unit_Cost]])*sales_data_1[[#This Row],[Quantity_Sold]]</f>
        <v>67482.2016</v>
      </c>
      <c r="O3080" s="17" t="s">
        <v>17</v>
      </c>
      <c r="P3080" s="26">
        <v>0.08</v>
      </c>
      <c r="Q3080" s="17" t="s">
        <v>18</v>
      </c>
      <c r="R3080" s="17" t="s">
        <v>19</v>
      </c>
      <c r="S3080" s="50" t="str">
        <f t="shared" si="146"/>
        <v>Charlie-South</v>
      </c>
      <c r="T3080" s="59" t="str">
        <f>IF(ROUND(sales_data_1[[#This Row],[Profit_Margin]],2)=ROUND((sales_data_1[[#This Row],[Unit_Price]]*(1-sales_data_1[[#This Row],[Discount]]) - sales_data_1[[#This Row],[Unit_Cost]])*sales_data_1[[#This Row],[Quantity_Sold]],2), "PASS", "CHECK")</f>
        <v>PASS</v>
      </c>
    </row>
    <row r="3081" spans="1:20" x14ac:dyDescent="0.35">
      <c r="A3081" s="7">
        <v>3080</v>
      </c>
      <c r="B3081" s="9">
        <v>1017</v>
      </c>
      <c r="C3081" s="14" t="str">
        <f>IFERROR(_xlfn.TEXTJOIN("-", TRUE, _xlfn.XLOOKUP(K3081, product_category_id_lookup!$A$2:$A$5, product_category_id_lookup!$B$2:$B$5), B3081), "Unknown Category")</f>
        <v>fnt-1017</v>
      </c>
      <c r="D3081" s="8">
        <v>45613</v>
      </c>
      <c r="E3081" s="14">
        <f t="shared" si="144"/>
        <v>2024</v>
      </c>
      <c r="F3081" s="29" t="str">
        <f t="shared" si="145"/>
        <v>Nov</v>
      </c>
      <c r="G3081" s="17" t="s">
        <v>22</v>
      </c>
      <c r="H3081" s="17" t="s">
        <v>23</v>
      </c>
      <c r="I3081" s="24">
        <v>109875.29640000001</v>
      </c>
      <c r="J3081" s="32">
        <v>31</v>
      </c>
      <c r="K3081" s="17" t="s">
        <v>16</v>
      </c>
      <c r="L3081" s="24">
        <v>779.65</v>
      </c>
      <c r="M3081" s="24">
        <v>3852.57</v>
      </c>
      <c r="N3081" s="34">
        <f>((sales_data_1[[#This Row],[Unit_Price]]*(1-sales_data_1[[#This Row],[Discount]]))-sales_data_1[[#This Row],[Unit_Cost]])*sales_data_1[[#This Row],[Quantity_Sold]]</f>
        <v>85706.146400000012</v>
      </c>
      <c r="O3081" s="17" t="s">
        <v>17</v>
      </c>
      <c r="P3081" s="26">
        <v>0.08</v>
      </c>
      <c r="Q3081" s="17" t="s">
        <v>18</v>
      </c>
      <c r="R3081" s="17" t="s">
        <v>19</v>
      </c>
      <c r="S3081" s="50" t="str">
        <f t="shared" si="146"/>
        <v>David-South</v>
      </c>
      <c r="T3081" s="59" t="str">
        <f>IF(ROUND(sales_data_1[[#This Row],[Profit_Margin]],2)=ROUND((sales_data_1[[#This Row],[Unit_Price]]*(1-sales_data_1[[#This Row],[Discount]]) - sales_data_1[[#This Row],[Unit_Cost]])*sales_data_1[[#This Row],[Quantity_Sold]],2), "PASS", "CHECK")</f>
        <v>PASS</v>
      </c>
    </row>
    <row r="3082" spans="1:20" x14ac:dyDescent="0.35">
      <c r="A3082" s="7">
        <v>3081</v>
      </c>
      <c r="B3082" s="9">
        <v>1036</v>
      </c>
      <c r="C3082" s="14" t="str">
        <f>IFERROR(_xlfn.TEXTJOIN("-", TRUE, _xlfn.XLOOKUP(K3082, product_category_id_lookup!$A$2:$A$5, product_category_id_lookup!$B$2:$B$5), B3082), "Unknown Category")</f>
        <v>etc-1036</v>
      </c>
      <c r="D3082" s="8">
        <v>45614</v>
      </c>
      <c r="E3082" s="14">
        <f t="shared" si="144"/>
        <v>2024</v>
      </c>
      <c r="F3082" s="29" t="str">
        <f t="shared" si="145"/>
        <v>Nov</v>
      </c>
      <c r="G3082" s="17" t="s">
        <v>22</v>
      </c>
      <c r="H3082" s="17" t="s">
        <v>23</v>
      </c>
      <c r="I3082" s="24">
        <v>9948.871620426984</v>
      </c>
      <c r="J3082" s="32">
        <v>4</v>
      </c>
      <c r="K3082" s="17" t="s">
        <v>31</v>
      </c>
      <c r="L3082" s="24">
        <v>2090.5300000000002</v>
      </c>
      <c r="M3082" s="24">
        <v>2522.6799999999998</v>
      </c>
      <c r="N3082" s="34">
        <f>((sales_data_1[[#This Row],[Unit_Price]]*(1-sales_data_1[[#This Row],[Discount]]))-sales_data_1[[#This Row],[Unit_Cost]])*sales_data_1[[#This Row],[Quantity_Sold]]</f>
        <v>1627.6927999999989</v>
      </c>
      <c r="O3082" s="17" t="s">
        <v>27</v>
      </c>
      <c r="P3082" s="26">
        <v>0.01</v>
      </c>
      <c r="Q3082" s="17" t="s">
        <v>25</v>
      </c>
      <c r="R3082" s="17" t="s">
        <v>19</v>
      </c>
      <c r="S3082" s="50" t="str">
        <f t="shared" si="146"/>
        <v>David-South</v>
      </c>
      <c r="T3082" s="59" t="str">
        <f>IF(ROUND(sales_data_1[[#This Row],[Profit_Margin]],2)=ROUND((sales_data_1[[#This Row],[Unit_Price]]*(1-sales_data_1[[#This Row],[Discount]]) - sales_data_1[[#This Row],[Unit_Cost]])*sales_data_1[[#This Row],[Quantity_Sold]],2), "PASS", "CHECK")</f>
        <v>PASS</v>
      </c>
    </row>
    <row r="3083" spans="1:20" x14ac:dyDescent="0.35">
      <c r="A3083" s="7">
        <v>3082</v>
      </c>
      <c r="B3083" s="9">
        <v>1073</v>
      </c>
      <c r="C3083" s="14" t="str">
        <f>IFERROR(_xlfn.TEXTJOIN("-", TRUE, _xlfn.XLOOKUP(K3083, product_category_id_lookup!$A$2:$A$5, product_category_id_lookup!$B$2:$B$5), B3083), "Unknown Category")</f>
        <v>etc-1073</v>
      </c>
      <c r="D3083" s="8">
        <v>45614</v>
      </c>
      <c r="E3083" s="14">
        <f t="shared" si="144"/>
        <v>2024</v>
      </c>
      <c r="F3083" s="29" t="str">
        <f t="shared" si="145"/>
        <v>Nov</v>
      </c>
      <c r="G3083" s="17" t="s">
        <v>32</v>
      </c>
      <c r="H3083" s="17" t="s">
        <v>20</v>
      </c>
      <c r="I3083" s="24">
        <v>46005.732000000004</v>
      </c>
      <c r="J3083" s="32">
        <v>40</v>
      </c>
      <c r="K3083" s="17" t="s">
        <v>31</v>
      </c>
      <c r="L3083" s="24">
        <v>412.58</v>
      </c>
      <c r="M3083" s="24">
        <v>1419.93</v>
      </c>
      <c r="N3083" s="34">
        <f>((sales_data_1[[#This Row],[Unit_Price]]*(1-sales_data_1[[#This Row],[Discount]]))-sales_data_1[[#This Row],[Unit_Cost]])*sales_data_1[[#This Row],[Quantity_Sold]]</f>
        <v>29502.53200000001</v>
      </c>
      <c r="O3083" s="17" t="s">
        <v>27</v>
      </c>
      <c r="P3083" s="26">
        <v>0.19</v>
      </c>
      <c r="Q3083" s="17" t="s">
        <v>28</v>
      </c>
      <c r="R3083" s="17" t="s">
        <v>21</v>
      </c>
      <c r="S3083" s="50" t="str">
        <f t="shared" si="146"/>
        <v>Eve-West</v>
      </c>
      <c r="T3083" s="59" t="str">
        <f>IF(ROUND(sales_data_1[[#This Row],[Profit_Margin]],2)=ROUND((sales_data_1[[#This Row],[Unit_Price]]*(1-sales_data_1[[#This Row],[Discount]]) - sales_data_1[[#This Row],[Unit_Cost]])*sales_data_1[[#This Row],[Quantity_Sold]],2), "PASS", "CHECK")</f>
        <v>PASS</v>
      </c>
    </row>
    <row r="3084" spans="1:20" x14ac:dyDescent="0.35">
      <c r="A3084" s="7">
        <v>3083</v>
      </c>
      <c r="B3084" s="9">
        <v>1033</v>
      </c>
      <c r="C3084" s="14" t="str">
        <f>IFERROR(_xlfn.TEXTJOIN("-", TRUE, _xlfn.XLOOKUP(K3084, product_category_id_lookup!$A$2:$A$5, product_category_id_lookup!$B$2:$B$5), B3084), "Unknown Category")</f>
        <v>ctg-1033</v>
      </c>
      <c r="D3084" s="8">
        <v>45615</v>
      </c>
      <c r="E3084" s="14">
        <f t="shared" si="144"/>
        <v>2024</v>
      </c>
      <c r="F3084" s="29" t="str">
        <f t="shared" si="145"/>
        <v>Nov</v>
      </c>
      <c r="G3084" s="17" t="s">
        <v>33</v>
      </c>
      <c r="H3084" s="17" t="s">
        <v>20</v>
      </c>
      <c r="I3084" s="24">
        <v>92329.574399999998</v>
      </c>
      <c r="J3084" s="32">
        <v>24</v>
      </c>
      <c r="K3084" s="17" t="s">
        <v>26</v>
      </c>
      <c r="L3084" s="24">
        <v>3753.86</v>
      </c>
      <c r="M3084" s="24">
        <v>4579.84</v>
      </c>
      <c r="N3084" s="34">
        <f>((sales_data_1[[#This Row],[Unit_Price]]*(1-sales_data_1[[#This Row],[Discount]]))-sales_data_1[[#This Row],[Unit_Cost]])*sales_data_1[[#This Row],[Quantity_Sold]]</f>
        <v>2236.9343999999946</v>
      </c>
      <c r="O3084" s="17" t="s">
        <v>27</v>
      </c>
      <c r="P3084" s="26">
        <v>0.16</v>
      </c>
      <c r="Q3084" s="17" t="s">
        <v>18</v>
      </c>
      <c r="R3084" s="17" t="s">
        <v>19</v>
      </c>
      <c r="S3084" s="50" t="str">
        <f t="shared" si="146"/>
        <v>Alice-West</v>
      </c>
      <c r="T3084" s="59" t="str">
        <f>IF(ROUND(sales_data_1[[#This Row],[Profit_Margin]],2)=ROUND((sales_data_1[[#This Row],[Unit_Price]]*(1-sales_data_1[[#This Row],[Discount]]) - sales_data_1[[#This Row],[Unit_Cost]])*sales_data_1[[#This Row],[Quantity_Sold]],2), "PASS", "CHECK")</f>
        <v>PASS</v>
      </c>
    </row>
    <row r="3085" spans="1:20" x14ac:dyDescent="0.35">
      <c r="A3085" s="7">
        <v>3084</v>
      </c>
      <c r="B3085" s="9">
        <v>1069</v>
      </c>
      <c r="C3085" s="14" t="str">
        <f>IFERROR(_xlfn.TEXTJOIN("-", TRUE, _xlfn.XLOOKUP(K3085, product_category_id_lookup!$A$2:$A$5, product_category_id_lookup!$B$2:$B$5), B3085), "Unknown Category")</f>
        <v>etc-1069</v>
      </c>
      <c r="D3085" s="8">
        <v>45616</v>
      </c>
      <c r="E3085" s="14">
        <f t="shared" si="144"/>
        <v>2024</v>
      </c>
      <c r="F3085" s="29" t="str">
        <f t="shared" si="145"/>
        <v>Nov</v>
      </c>
      <c r="G3085" s="17" t="s">
        <v>33</v>
      </c>
      <c r="H3085" s="17" t="s">
        <v>30</v>
      </c>
      <c r="I3085" s="24">
        <v>11880.243041969325</v>
      </c>
      <c r="J3085" s="32">
        <v>3</v>
      </c>
      <c r="K3085" s="17" t="s">
        <v>31</v>
      </c>
      <c r="L3085" s="24">
        <v>3805.9</v>
      </c>
      <c r="M3085" s="24">
        <v>3985.39</v>
      </c>
      <c r="N3085" s="34">
        <f>((sales_data_1[[#This Row],[Unit_Price]]*(1-sales_data_1[[#This Row],[Discount]]))-sales_data_1[[#This Row],[Unit_Cost]])*sales_data_1[[#This Row],[Quantity_Sold]]</f>
        <v>418.90829999999914</v>
      </c>
      <c r="O3085" s="17" t="s">
        <v>27</v>
      </c>
      <c r="P3085" s="26">
        <v>0.01</v>
      </c>
      <c r="Q3085" s="17" t="s">
        <v>18</v>
      </c>
      <c r="R3085" s="17" t="s">
        <v>19</v>
      </c>
      <c r="S3085" s="50" t="str">
        <f t="shared" si="146"/>
        <v>Alice-East</v>
      </c>
      <c r="T3085" s="59" t="str">
        <f>IF(ROUND(sales_data_1[[#This Row],[Profit_Margin]],2)=ROUND((sales_data_1[[#This Row],[Unit_Price]]*(1-sales_data_1[[#This Row],[Discount]]) - sales_data_1[[#This Row],[Unit_Cost]])*sales_data_1[[#This Row],[Quantity_Sold]],2), "PASS", "CHECK")</f>
        <v>PASS</v>
      </c>
    </row>
    <row r="3086" spans="1:20" x14ac:dyDescent="0.35">
      <c r="A3086" s="7">
        <v>3085</v>
      </c>
      <c r="B3086" s="9">
        <v>1085</v>
      </c>
      <c r="C3086" s="14" t="str">
        <f>IFERROR(_xlfn.TEXTJOIN("-", TRUE, _xlfn.XLOOKUP(K3086, product_category_id_lookup!$A$2:$A$5, product_category_id_lookup!$B$2:$B$5), B3086), "Unknown Category")</f>
        <v>fd-1085</v>
      </c>
      <c r="D3086" s="8">
        <v>45616</v>
      </c>
      <c r="E3086" s="14">
        <f t="shared" si="144"/>
        <v>2024</v>
      </c>
      <c r="F3086" s="29" t="str">
        <f t="shared" si="145"/>
        <v>Nov</v>
      </c>
      <c r="G3086" s="17" t="s">
        <v>29</v>
      </c>
      <c r="H3086" s="17" t="s">
        <v>23</v>
      </c>
      <c r="I3086" s="24">
        <v>30410.7084</v>
      </c>
      <c r="J3086" s="32">
        <v>17</v>
      </c>
      <c r="K3086" s="17" t="s">
        <v>24</v>
      </c>
      <c r="L3086" s="24">
        <v>1062.96</v>
      </c>
      <c r="M3086" s="24">
        <v>2353.77</v>
      </c>
      <c r="N3086" s="34">
        <f>((sales_data_1[[#This Row],[Unit_Price]]*(1-sales_data_1[[#This Row],[Discount]]))-sales_data_1[[#This Row],[Unit_Cost]])*sales_data_1[[#This Row],[Quantity_Sold]]</f>
        <v>12340.388399999998</v>
      </c>
      <c r="O3086" s="17" t="s">
        <v>27</v>
      </c>
      <c r="P3086" s="26">
        <v>0.24</v>
      </c>
      <c r="Q3086" s="17" t="s">
        <v>25</v>
      </c>
      <c r="R3086" s="17" t="s">
        <v>21</v>
      </c>
      <c r="S3086" s="50" t="str">
        <f t="shared" si="146"/>
        <v>Charlie-South</v>
      </c>
      <c r="T3086" s="59" t="str">
        <f>IF(ROUND(sales_data_1[[#This Row],[Profit_Margin]],2)=ROUND((sales_data_1[[#This Row],[Unit_Price]]*(1-sales_data_1[[#This Row],[Discount]]) - sales_data_1[[#This Row],[Unit_Cost]])*sales_data_1[[#This Row],[Quantity_Sold]],2), "PASS", "CHECK")</f>
        <v>PASS</v>
      </c>
    </row>
    <row r="3087" spans="1:20" x14ac:dyDescent="0.35">
      <c r="A3087" s="7">
        <v>3086</v>
      </c>
      <c r="B3087" s="9">
        <v>1068</v>
      </c>
      <c r="C3087" s="14" t="str">
        <f>IFERROR(_xlfn.TEXTJOIN("-", TRUE, _xlfn.XLOOKUP(K3087, product_category_id_lookup!$A$2:$A$5, product_category_id_lookup!$B$2:$B$5), B3087), "Unknown Category")</f>
        <v>fd-1068</v>
      </c>
      <c r="D3087" s="8">
        <v>45616</v>
      </c>
      <c r="E3087" s="14">
        <f t="shared" si="144"/>
        <v>2024</v>
      </c>
      <c r="F3087" s="29" t="str">
        <f t="shared" si="145"/>
        <v>Nov</v>
      </c>
      <c r="G3087" s="17" t="s">
        <v>22</v>
      </c>
      <c r="H3087" s="17" t="s">
        <v>15</v>
      </c>
      <c r="I3087" s="24">
        <v>121635.07199999999</v>
      </c>
      <c r="J3087" s="32">
        <v>32</v>
      </c>
      <c r="K3087" s="17" t="s">
        <v>24</v>
      </c>
      <c r="L3087" s="24">
        <v>103.33</v>
      </c>
      <c r="M3087" s="24">
        <v>4087.2</v>
      </c>
      <c r="N3087" s="34">
        <f>((sales_data_1[[#This Row],[Unit_Price]]*(1-sales_data_1[[#This Row],[Discount]]))-sales_data_1[[#This Row],[Unit_Cost]])*sales_data_1[[#This Row],[Quantity_Sold]]</f>
        <v>118328.51199999999</v>
      </c>
      <c r="O3087" s="17" t="s">
        <v>17</v>
      </c>
      <c r="P3087" s="26">
        <v>7.0000000000000007E-2</v>
      </c>
      <c r="Q3087" s="17" t="s">
        <v>18</v>
      </c>
      <c r="R3087" s="17" t="s">
        <v>19</v>
      </c>
      <c r="S3087" s="50" t="str">
        <f t="shared" si="146"/>
        <v>David-North</v>
      </c>
      <c r="T3087" s="59" t="str">
        <f>IF(ROUND(sales_data_1[[#This Row],[Profit_Margin]],2)=ROUND((sales_data_1[[#This Row],[Unit_Price]]*(1-sales_data_1[[#This Row],[Discount]]) - sales_data_1[[#This Row],[Unit_Cost]])*sales_data_1[[#This Row],[Quantity_Sold]],2), "PASS", "CHECK")</f>
        <v>PASS</v>
      </c>
    </row>
    <row r="3088" spans="1:20" x14ac:dyDescent="0.35">
      <c r="A3088" s="7">
        <v>3087</v>
      </c>
      <c r="B3088" s="9">
        <v>1079</v>
      </c>
      <c r="C3088" s="14" t="str">
        <f>IFERROR(_xlfn.TEXTJOIN("-", TRUE, _xlfn.XLOOKUP(K3088, product_category_id_lookup!$A$2:$A$5, product_category_id_lookup!$B$2:$B$5), B3088), "Unknown Category")</f>
        <v>etc-1079</v>
      </c>
      <c r="D3088" s="8">
        <v>45617</v>
      </c>
      <c r="E3088" s="14">
        <f t="shared" si="144"/>
        <v>2024</v>
      </c>
      <c r="F3088" s="29" t="str">
        <f t="shared" si="145"/>
        <v>Nov</v>
      </c>
      <c r="G3088" s="17" t="s">
        <v>33</v>
      </c>
      <c r="H3088" s="17" t="s">
        <v>23</v>
      </c>
      <c r="I3088" s="24">
        <v>4342.9974000000002</v>
      </c>
      <c r="J3088" s="32">
        <v>3</v>
      </c>
      <c r="K3088" s="17" t="s">
        <v>31</v>
      </c>
      <c r="L3088" s="24">
        <v>1250.6300000000001</v>
      </c>
      <c r="M3088" s="24">
        <v>1477.21</v>
      </c>
      <c r="N3088" s="34">
        <f>((sales_data_1[[#This Row],[Unit_Price]]*(1-sales_data_1[[#This Row],[Discount]]))-sales_data_1[[#This Row],[Unit_Cost]])*sales_data_1[[#This Row],[Quantity_Sold]]</f>
        <v>591.10739999999964</v>
      </c>
      <c r="O3088" s="17" t="s">
        <v>17</v>
      </c>
      <c r="P3088" s="26">
        <v>0.02</v>
      </c>
      <c r="Q3088" s="17" t="s">
        <v>18</v>
      </c>
      <c r="R3088" s="17" t="s">
        <v>19</v>
      </c>
      <c r="S3088" s="50" t="str">
        <f t="shared" si="146"/>
        <v>Alice-South</v>
      </c>
      <c r="T3088" s="59" t="str">
        <f>IF(ROUND(sales_data_1[[#This Row],[Profit_Margin]],2)=ROUND((sales_data_1[[#This Row],[Unit_Price]]*(1-sales_data_1[[#This Row],[Discount]]) - sales_data_1[[#This Row],[Unit_Cost]])*sales_data_1[[#This Row],[Quantity_Sold]],2), "PASS", "CHECK")</f>
        <v>PASS</v>
      </c>
    </row>
    <row r="3089" spans="1:20" x14ac:dyDescent="0.35">
      <c r="A3089" s="7">
        <v>3088</v>
      </c>
      <c r="B3089" s="9">
        <v>1002</v>
      </c>
      <c r="C3089" s="14" t="str">
        <f>IFERROR(_xlfn.TEXTJOIN("-", TRUE, _xlfn.XLOOKUP(K3089, product_category_id_lookup!$A$2:$A$5, product_category_id_lookup!$B$2:$B$5), B3089), "Unknown Category")</f>
        <v>etc-1002</v>
      </c>
      <c r="D3089" s="8">
        <v>45617</v>
      </c>
      <c r="E3089" s="14">
        <f t="shared" si="144"/>
        <v>2024</v>
      </c>
      <c r="F3089" s="29" t="str">
        <f t="shared" si="145"/>
        <v>Nov</v>
      </c>
      <c r="G3089" s="17" t="s">
        <v>32</v>
      </c>
      <c r="H3089" s="17" t="s">
        <v>23</v>
      </c>
      <c r="I3089" s="24">
        <v>8117.6283999999996</v>
      </c>
      <c r="J3089" s="32">
        <v>7</v>
      </c>
      <c r="K3089" s="17" t="s">
        <v>31</v>
      </c>
      <c r="L3089" s="24">
        <v>274.82</v>
      </c>
      <c r="M3089" s="24">
        <v>1525.87</v>
      </c>
      <c r="N3089" s="34">
        <f>((sales_data_1[[#This Row],[Unit_Price]]*(1-sales_data_1[[#This Row],[Discount]]))-sales_data_1[[#This Row],[Unit_Cost]])*sales_data_1[[#This Row],[Quantity_Sold]]</f>
        <v>6193.8884000000007</v>
      </c>
      <c r="O3089" s="17" t="s">
        <v>27</v>
      </c>
      <c r="P3089" s="26">
        <v>0.24</v>
      </c>
      <c r="Q3089" s="17" t="s">
        <v>18</v>
      </c>
      <c r="R3089" s="17" t="s">
        <v>21</v>
      </c>
      <c r="S3089" s="50" t="str">
        <f t="shared" si="146"/>
        <v>Eve-South</v>
      </c>
      <c r="T3089" s="59" t="str">
        <f>IF(ROUND(sales_data_1[[#This Row],[Profit_Margin]],2)=ROUND((sales_data_1[[#This Row],[Unit_Price]]*(1-sales_data_1[[#This Row],[Discount]]) - sales_data_1[[#This Row],[Unit_Cost]])*sales_data_1[[#This Row],[Quantity_Sold]],2), "PASS", "CHECK")</f>
        <v>PASS</v>
      </c>
    </row>
    <row r="3090" spans="1:20" x14ac:dyDescent="0.35">
      <c r="A3090" s="7">
        <v>3089</v>
      </c>
      <c r="B3090" s="9">
        <v>1047</v>
      </c>
      <c r="C3090" s="14" t="str">
        <f>IFERROR(_xlfn.TEXTJOIN("-", TRUE, _xlfn.XLOOKUP(K3090, product_category_id_lookup!$A$2:$A$5, product_category_id_lookup!$B$2:$B$5), B3090), "Unknown Category")</f>
        <v>fnt-1047</v>
      </c>
      <c r="D3090" s="8">
        <v>45618</v>
      </c>
      <c r="E3090" s="14">
        <f t="shared" si="144"/>
        <v>2024</v>
      </c>
      <c r="F3090" s="29" t="str">
        <f t="shared" si="145"/>
        <v>Nov</v>
      </c>
      <c r="G3090" s="17" t="s">
        <v>22</v>
      </c>
      <c r="H3090" s="17" t="s">
        <v>23</v>
      </c>
      <c r="I3090" s="24">
        <v>73675.521399999998</v>
      </c>
      <c r="J3090" s="32">
        <v>34</v>
      </c>
      <c r="K3090" s="17" t="s">
        <v>16</v>
      </c>
      <c r="L3090" s="24">
        <v>2150.37</v>
      </c>
      <c r="M3090" s="24">
        <v>3052.01</v>
      </c>
      <c r="N3090" s="34">
        <f>((sales_data_1[[#This Row],[Unit_Price]]*(1-sales_data_1[[#This Row],[Discount]]))-sales_data_1[[#This Row],[Unit_Cost]])*sales_data_1[[#This Row],[Quantity_Sold]]</f>
        <v>562.9413999999997</v>
      </c>
      <c r="O3090" s="17" t="s">
        <v>27</v>
      </c>
      <c r="P3090" s="26">
        <v>0.28999999999999998</v>
      </c>
      <c r="Q3090" s="17" t="s">
        <v>18</v>
      </c>
      <c r="R3090" s="17" t="s">
        <v>19</v>
      </c>
      <c r="S3090" s="50" t="str">
        <f t="shared" si="146"/>
        <v>David-South</v>
      </c>
      <c r="T3090" s="59" t="str">
        <f>IF(ROUND(sales_data_1[[#This Row],[Profit_Margin]],2)=ROUND((sales_data_1[[#This Row],[Unit_Price]]*(1-sales_data_1[[#This Row],[Discount]]) - sales_data_1[[#This Row],[Unit_Cost]])*sales_data_1[[#This Row],[Quantity_Sold]],2), "PASS", "CHECK")</f>
        <v>PASS</v>
      </c>
    </row>
    <row r="3091" spans="1:20" x14ac:dyDescent="0.35">
      <c r="A3091" s="7">
        <v>3090</v>
      </c>
      <c r="B3091" s="9">
        <v>1022</v>
      </c>
      <c r="C3091" s="14" t="str">
        <f>IFERROR(_xlfn.TEXTJOIN("-", TRUE, _xlfn.XLOOKUP(K3091, product_category_id_lookup!$A$2:$A$5, product_category_id_lookup!$B$2:$B$5), B3091), "Unknown Category")</f>
        <v>fnt-1022</v>
      </c>
      <c r="D3091" s="8">
        <v>45618</v>
      </c>
      <c r="E3091" s="14">
        <f t="shared" si="144"/>
        <v>2024</v>
      </c>
      <c r="F3091" s="29" t="str">
        <f t="shared" si="145"/>
        <v>Nov</v>
      </c>
      <c r="G3091" s="17" t="s">
        <v>33</v>
      </c>
      <c r="H3091" s="17" t="s">
        <v>23</v>
      </c>
      <c r="I3091" s="24">
        <v>141964.53040000002</v>
      </c>
      <c r="J3091" s="32">
        <v>44</v>
      </c>
      <c r="K3091" s="17" t="s">
        <v>16</v>
      </c>
      <c r="L3091" s="24">
        <v>2748.22</v>
      </c>
      <c r="M3091" s="24">
        <v>4360.09</v>
      </c>
      <c r="N3091" s="34">
        <f>((sales_data_1[[#This Row],[Unit_Price]]*(1-sales_data_1[[#This Row],[Discount]]))-sales_data_1[[#This Row],[Unit_Cost]])*sales_data_1[[#This Row],[Quantity_Sold]]</f>
        <v>21042.850400000018</v>
      </c>
      <c r="O3091" s="17" t="s">
        <v>27</v>
      </c>
      <c r="P3091" s="26">
        <v>0.26</v>
      </c>
      <c r="Q3091" s="17" t="s">
        <v>25</v>
      </c>
      <c r="R3091" s="17" t="s">
        <v>21</v>
      </c>
      <c r="S3091" s="50" t="str">
        <f t="shared" si="146"/>
        <v>Alice-South</v>
      </c>
      <c r="T3091" s="59" t="str">
        <f>IF(ROUND(sales_data_1[[#This Row],[Profit_Margin]],2)=ROUND((sales_data_1[[#This Row],[Unit_Price]]*(1-sales_data_1[[#This Row],[Discount]]) - sales_data_1[[#This Row],[Unit_Cost]])*sales_data_1[[#This Row],[Quantity_Sold]],2), "PASS", "CHECK")</f>
        <v>PASS</v>
      </c>
    </row>
    <row r="3092" spans="1:20" x14ac:dyDescent="0.35">
      <c r="A3092" s="7">
        <v>3091</v>
      </c>
      <c r="B3092" s="9">
        <v>1023</v>
      </c>
      <c r="C3092" s="14" t="str">
        <f>IFERROR(_xlfn.TEXTJOIN("-", TRUE, _xlfn.XLOOKUP(K3092, product_category_id_lookup!$A$2:$A$5, product_category_id_lookup!$B$2:$B$5), B3092), "Unknown Category")</f>
        <v>fd-1023</v>
      </c>
      <c r="D3092" s="8">
        <v>45618</v>
      </c>
      <c r="E3092" s="14">
        <f t="shared" si="144"/>
        <v>2024</v>
      </c>
      <c r="F3092" s="29" t="str">
        <f t="shared" si="145"/>
        <v>Nov</v>
      </c>
      <c r="G3092" s="17" t="s">
        <v>22</v>
      </c>
      <c r="H3092" s="17" t="s">
        <v>20</v>
      </c>
      <c r="I3092" s="24">
        <v>211976.34710000001</v>
      </c>
      <c r="J3092" s="32">
        <v>49</v>
      </c>
      <c r="K3092" s="17" t="s">
        <v>24</v>
      </c>
      <c r="L3092" s="24">
        <v>2476.94</v>
      </c>
      <c r="M3092" s="24">
        <v>5476.01</v>
      </c>
      <c r="N3092" s="34">
        <f>((sales_data_1[[#This Row],[Unit_Price]]*(1-sales_data_1[[#This Row],[Discount]]))-sales_data_1[[#This Row],[Unit_Cost]])*sales_data_1[[#This Row],[Quantity_Sold]]</f>
        <v>90606.287100000016</v>
      </c>
      <c r="O3092" s="17" t="s">
        <v>17</v>
      </c>
      <c r="P3092" s="26">
        <v>0.21</v>
      </c>
      <c r="Q3092" s="17" t="s">
        <v>18</v>
      </c>
      <c r="R3092" s="17" t="s">
        <v>19</v>
      </c>
      <c r="S3092" s="50" t="str">
        <f t="shared" si="146"/>
        <v>David-West</v>
      </c>
      <c r="T3092" s="59" t="str">
        <f>IF(ROUND(sales_data_1[[#This Row],[Profit_Margin]],2)=ROUND((sales_data_1[[#This Row],[Unit_Price]]*(1-sales_data_1[[#This Row],[Discount]]) - sales_data_1[[#This Row],[Unit_Cost]])*sales_data_1[[#This Row],[Quantity_Sold]],2), "PASS", "CHECK")</f>
        <v>PASS</v>
      </c>
    </row>
    <row r="3093" spans="1:20" x14ac:dyDescent="0.35">
      <c r="A3093" s="7">
        <v>3092</v>
      </c>
      <c r="B3093" s="9">
        <v>1030</v>
      </c>
      <c r="C3093" s="14" t="str">
        <f>IFERROR(_xlfn.TEXTJOIN("-", TRUE, _xlfn.XLOOKUP(K3093, product_category_id_lookup!$A$2:$A$5, product_category_id_lookup!$B$2:$B$5), B3093), "Unknown Category")</f>
        <v>etc-1030</v>
      </c>
      <c r="D3093" s="8">
        <v>45619</v>
      </c>
      <c r="E3093" s="14">
        <f t="shared" si="144"/>
        <v>2024</v>
      </c>
      <c r="F3093" s="29" t="str">
        <f t="shared" si="145"/>
        <v>Nov</v>
      </c>
      <c r="G3093" s="17" t="s">
        <v>22</v>
      </c>
      <c r="H3093" s="17" t="s">
        <v>23</v>
      </c>
      <c r="I3093" s="24">
        <v>39442.118400000007</v>
      </c>
      <c r="J3093" s="32">
        <v>12</v>
      </c>
      <c r="K3093" s="17" t="s">
        <v>31</v>
      </c>
      <c r="L3093" s="24">
        <v>1721.23</v>
      </c>
      <c r="M3093" s="24">
        <v>4441.68</v>
      </c>
      <c r="N3093" s="34">
        <f>((sales_data_1[[#This Row],[Unit_Price]]*(1-sales_data_1[[#This Row],[Discount]]))-sales_data_1[[#This Row],[Unit_Cost]])*sales_data_1[[#This Row],[Quantity_Sold]]</f>
        <v>18787.358400000005</v>
      </c>
      <c r="O3093" s="17" t="s">
        <v>17</v>
      </c>
      <c r="P3093" s="26">
        <v>0.26</v>
      </c>
      <c r="Q3093" s="17" t="s">
        <v>25</v>
      </c>
      <c r="R3093" s="17" t="s">
        <v>19</v>
      </c>
      <c r="S3093" s="50" t="str">
        <f t="shared" si="146"/>
        <v>David-South</v>
      </c>
      <c r="T3093" s="59" t="str">
        <f>IF(ROUND(sales_data_1[[#This Row],[Profit_Margin]],2)=ROUND((sales_data_1[[#This Row],[Unit_Price]]*(1-sales_data_1[[#This Row],[Discount]]) - sales_data_1[[#This Row],[Unit_Cost]])*sales_data_1[[#This Row],[Quantity_Sold]],2), "PASS", "CHECK")</f>
        <v>PASS</v>
      </c>
    </row>
    <row r="3094" spans="1:20" x14ac:dyDescent="0.35">
      <c r="A3094" s="7">
        <v>3093</v>
      </c>
      <c r="B3094" s="9">
        <v>1093</v>
      </c>
      <c r="C3094" s="14" t="str">
        <f>IFERROR(_xlfn.TEXTJOIN("-", TRUE, _xlfn.XLOOKUP(K3094, product_category_id_lookup!$A$2:$A$5, product_category_id_lookup!$B$2:$B$5), B3094), "Unknown Category")</f>
        <v>etc-1093</v>
      </c>
      <c r="D3094" s="8">
        <v>45619</v>
      </c>
      <c r="E3094" s="14">
        <f t="shared" si="144"/>
        <v>2024</v>
      </c>
      <c r="F3094" s="29" t="str">
        <f t="shared" si="145"/>
        <v>Nov</v>
      </c>
      <c r="G3094" s="17" t="s">
        <v>22</v>
      </c>
      <c r="H3094" s="17" t="s">
        <v>30</v>
      </c>
      <c r="I3094" s="24">
        <v>119243.01620000001</v>
      </c>
      <c r="J3094" s="32">
        <v>43</v>
      </c>
      <c r="K3094" s="17" t="s">
        <v>31</v>
      </c>
      <c r="L3094" s="24">
        <v>2156.64</v>
      </c>
      <c r="M3094" s="24">
        <v>3601.42</v>
      </c>
      <c r="N3094" s="34">
        <f>((sales_data_1[[#This Row],[Unit_Price]]*(1-sales_data_1[[#This Row],[Discount]]))-sales_data_1[[#This Row],[Unit_Cost]])*sales_data_1[[#This Row],[Quantity_Sold]]</f>
        <v>26507.496200000016</v>
      </c>
      <c r="O3094" s="17" t="s">
        <v>27</v>
      </c>
      <c r="P3094" s="26">
        <v>0.23</v>
      </c>
      <c r="Q3094" s="17" t="s">
        <v>18</v>
      </c>
      <c r="R3094" s="17" t="s">
        <v>21</v>
      </c>
      <c r="S3094" s="50" t="str">
        <f t="shared" si="146"/>
        <v>David-East</v>
      </c>
      <c r="T3094" s="59" t="str">
        <f>IF(ROUND(sales_data_1[[#This Row],[Profit_Margin]],2)=ROUND((sales_data_1[[#This Row],[Unit_Price]]*(1-sales_data_1[[#This Row],[Discount]]) - sales_data_1[[#This Row],[Unit_Cost]])*sales_data_1[[#This Row],[Quantity_Sold]],2), "PASS", "CHECK")</f>
        <v>PASS</v>
      </c>
    </row>
    <row r="3095" spans="1:20" x14ac:dyDescent="0.35">
      <c r="A3095" s="7">
        <v>3094</v>
      </c>
      <c r="B3095" s="9">
        <v>1029</v>
      </c>
      <c r="C3095" s="14" t="str">
        <f>IFERROR(_xlfn.TEXTJOIN("-", TRUE, _xlfn.XLOOKUP(K3095, product_category_id_lookup!$A$2:$A$5, product_category_id_lookup!$B$2:$B$5), B3095), "Unknown Category")</f>
        <v>etc-1029</v>
      </c>
      <c r="D3095" s="8">
        <v>45619</v>
      </c>
      <c r="E3095" s="14">
        <f t="shared" si="144"/>
        <v>2024</v>
      </c>
      <c r="F3095" s="29" t="str">
        <f t="shared" si="145"/>
        <v>Nov</v>
      </c>
      <c r="G3095" s="17" t="s">
        <v>32</v>
      </c>
      <c r="H3095" s="17" t="s">
        <v>15</v>
      </c>
      <c r="I3095" s="24">
        <v>167596.11360000001</v>
      </c>
      <c r="J3095" s="32">
        <v>48</v>
      </c>
      <c r="K3095" s="17" t="s">
        <v>31</v>
      </c>
      <c r="L3095" s="24">
        <v>2931.78</v>
      </c>
      <c r="M3095" s="24">
        <v>3923.13</v>
      </c>
      <c r="N3095" s="34">
        <f>((sales_data_1[[#This Row],[Unit_Price]]*(1-sales_data_1[[#This Row],[Discount]]))-sales_data_1[[#This Row],[Unit_Cost]])*sales_data_1[[#This Row],[Quantity_Sold]]</f>
        <v>26870.673599999995</v>
      </c>
      <c r="O3095" s="17" t="s">
        <v>17</v>
      </c>
      <c r="P3095" s="26">
        <v>0.11</v>
      </c>
      <c r="Q3095" s="17" t="s">
        <v>25</v>
      </c>
      <c r="R3095" s="17" t="s">
        <v>19</v>
      </c>
      <c r="S3095" s="50" t="str">
        <f t="shared" si="146"/>
        <v>Eve-North</v>
      </c>
      <c r="T3095" s="59" t="str">
        <f>IF(ROUND(sales_data_1[[#This Row],[Profit_Margin]],2)=ROUND((sales_data_1[[#This Row],[Unit_Price]]*(1-sales_data_1[[#This Row],[Discount]]) - sales_data_1[[#This Row],[Unit_Cost]])*sales_data_1[[#This Row],[Quantity_Sold]],2), "PASS", "CHECK")</f>
        <v>PASS</v>
      </c>
    </row>
    <row r="3096" spans="1:20" x14ac:dyDescent="0.35">
      <c r="A3096" s="7">
        <v>3095</v>
      </c>
      <c r="B3096" s="9">
        <v>1002</v>
      </c>
      <c r="C3096" s="14" t="str">
        <f>IFERROR(_xlfn.TEXTJOIN("-", TRUE, _xlfn.XLOOKUP(K3096, product_category_id_lookup!$A$2:$A$5, product_category_id_lookup!$B$2:$B$5), B3096), "Unknown Category")</f>
        <v>etc-1002</v>
      </c>
      <c r="D3096" s="8">
        <v>45619</v>
      </c>
      <c r="E3096" s="14">
        <f t="shared" si="144"/>
        <v>2024</v>
      </c>
      <c r="F3096" s="29" t="str">
        <f t="shared" si="145"/>
        <v>Nov</v>
      </c>
      <c r="G3096" s="17" t="s">
        <v>14</v>
      </c>
      <c r="H3096" s="17" t="s">
        <v>23</v>
      </c>
      <c r="I3096" s="24">
        <v>72329.056799999991</v>
      </c>
      <c r="J3096" s="32">
        <v>46</v>
      </c>
      <c r="K3096" s="17" t="s">
        <v>31</v>
      </c>
      <c r="L3096" s="24">
        <v>251.09</v>
      </c>
      <c r="M3096" s="24">
        <v>2042.04</v>
      </c>
      <c r="N3096" s="34">
        <f>((sales_data_1[[#This Row],[Unit_Price]]*(1-sales_data_1[[#This Row],[Discount]]))-sales_data_1[[#This Row],[Unit_Cost]])*sales_data_1[[#This Row],[Quantity_Sold]]</f>
        <v>60778.916799999999</v>
      </c>
      <c r="O3096" s="17" t="s">
        <v>27</v>
      </c>
      <c r="P3096" s="26">
        <v>0.23</v>
      </c>
      <c r="Q3096" s="17" t="s">
        <v>18</v>
      </c>
      <c r="R3096" s="17" t="s">
        <v>19</v>
      </c>
      <c r="S3096" s="50" t="str">
        <f t="shared" si="146"/>
        <v>Bob-South</v>
      </c>
      <c r="T3096" s="59" t="str">
        <f>IF(ROUND(sales_data_1[[#This Row],[Profit_Margin]],2)=ROUND((sales_data_1[[#This Row],[Unit_Price]]*(1-sales_data_1[[#This Row],[Discount]]) - sales_data_1[[#This Row],[Unit_Cost]])*sales_data_1[[#This Row],[Quantity_Sold]],2), "PASS", "CHECK")</f>
        <v>PASS</v>
      </c>
    </row>
    <row r="3097" spans="1:20" x14ac:dyDescent="0.35">
      <c r="A3097" s="7">
        <v>3096</v>
      </c>
      <c r="B3097" s="9">
        <v>1019</v>
      </c>
      <c r="C3097" s="14" t="str">
        <f>IFERROR(_xlfn.TEXTJOIN("-", TRUE, _xlfn.XLOOKUP(K3097, product_category_id_lookup!$A$2:$A$5, product_category_id_lookup!$B$2:$B$5), B3097), "Unknown Category")</f>
        <v>ctg-1019</v>
      </c>
      <c r="D3097" s="8">
        <v>45619</v>
      </c>
      <c r="E3097" s="14">
        <f t="shared" si="144"/>
        <v>2024</v>
      </c>
      <c r="F3097" s="29" t="str">
        <f t="shared" si="145"/>
        <v>Nov</v>
      </c>
      <c r="G3097" s="17" t="s">
        <v>33</v>
      </c>
      <c r="H3097" s="17" t="s">
        <v>30</v>
      </c>
      <c r="I3097" s="24">
        <v>108747.22880000001</v>
      </c>
      <c r="J3097" s="32">
        <v>32</v>
      </c>
      <c r="K3097" s="17" t="s">
        <v>26</v>
      </c>
      <c r="L3097" s="24">
        <v>122.53</v>
      </c>
      <c r="M3097" s="24">
        <v>4301.71</v>
      </c>
      <c r="N3097" s="34">
        <f>((sales_data_1[[#This Row],[Unit_Price]]*(1-sales_data_1[[#This Row],[Discount]]))-sales_data_1[[#This Row],[Unit_Cost]])*sales_data_1[[#This Row],[Quantity_Sold]]</f>
        <v>104826.26880000001</v>
      </c>
      <c r="O3097" s="17" t="s">
        <v>17</v>
      </c>
      <c r="P3097" s="26">
        <v>0.21</v>
      </c>
      <c r="Q3097" s="17" t="s">
        <v>25</v>
      </c>
      <c r="R3097" s="17" t="s">
        <v>21</v>
      </c>
      <c r="S3097" s="50" t="str">
        <f t="shared" si="146"/>
        <v>Alice-East</v>
      </c>
      <c r="T3097" s="59" t="str">
        <f>IF(ROUND(sales_data_1[[#This Row],[Profit_Margin]],2)=ROUND((sales_data_1[[#This Row],[Unit_Price]]*(1-sales_data_1[[#This Row],[Discount]]) - sales_data_1[[#This Row],[Unit_Cost]])*sales_data_1[[#This Row],[Quantity_Sold]],2), "PASS", "CHECK")</f>
        <v>PASS</v>
      </c>
    </row>
    <row r="3098" spans="1:20" x14ac:dyDescent="0.35">
      <c r="A3098" s="7">
        <v>3097</v>
      </c>
      <c r="B3098" s="9">
        <v>1046</v>
      </c>
      <c r="C3098" s="14" t="str">
        <f>IFERROR(_xlfn.TEXTJOIN("-", TRUE, _xlfn.XLOOKUP(K3098, product_category_id_lookup!$A$2:$A$5, product_category_id_lookup!$B$2:$B$5), B3098), "Unknown Category")</f>
        <v>fnt-1046</v>
      </c>
      <c r="D3098" s="8">
        <v>45619</v>
      </c>
      <c r="E3098" s="14">
        <f t="shared" si="144"/>
        <v>2024</v>
      </c>
      <c r="F3098" s="29" t="str">
        <f t="shared" si="145"/>
        <v>Nov</v>
      </c>
      <c r="G3098" s="17" t="s">
        <v>32</v>
      </c>
      <c r="H3098" s="17" t="s">
        <v>15</v>
      </c>
      <c r="I3098" s="24">
        <v>196298.9424</v>
      </c>
      <c r="J3098" s="32">
        <v>48</v>
      </c>
      <c r="K3098" s="17" t="s">
        <v>16</v>
      </c>
      <c r="L3098" s="24">
        <v>1901.86</v>
      </c>
      <c r="M3098" s="24">
        <v>4130.87</v>
      </c>
      <c r="N3098" s="34">
        <f>((sales_data_1[[#This Row],[Unit_Price]]*(1-sales_data_1[[#This Row],[Discount]]))-sales_data_1[[#This Row],[Unit_Cost]])*sales_data_1[[#This Row],[Quantity_Sold]]</f>
        <v>105009.66239999999</v>
      </c>
      <c r="O3098" s="17" t="s">
        <v>27</v>
      </c>
      <c r="P3098" s="26">
        <v>0.01</v>
      </c>
      <c r="Q3098" s="17" t="s">
        <v>25</v>
      </c>
      <c r="R3098" s="17" t="s">
        <v>19</v>
      </c>
      <c r="S3098" s="50" t="str">
        <f t="shared" si="146"/>
        <v>Eve-North</v>
      </c>
      <c r="T3098" s="59" t="str">
        <f>IF(ROUND(sales_data_1[[#This Row],[Profit_Margin]],2)=ROUND((sales_data_1[[#This Row],[Unit_Price]]*(1-sales_data_1[[#This Row],[Discount]]) - sales_data_1[[#This Row],[Unit_Cost]])*sales_data_1[[#This Row],[Quantity_Sold]],2), "PASS", "CHECK")</f>
        <v>PASS</v>
      </c>
    </row>
    <row r="3099" spans="1:20" x14ac:dyDescent="0.35">
      <c r="A3099" s="7">
        <v>3098</v>
      </c>
      <c r="B3099" s="9">
        <v>1017</v>
      </c>
      <c r="C3099" s="14" t="str">
        <f>IFERROR(_xlfn.TEXTJOIN("-", TRUE, _xlfn.XLOOKUP(K3099, product_category_id_lookup!$A$2:$A$5, product_category_id_lookup!$B$2:$B$5), B3099), "Unknown Category")</f>
        <v>fnt-1017</v>
      </c>
      <c r="D3099" s="8">
        <v>45620</v>
      </c>
      <c r="E3099" s="14">
        <f t="shared" si="144"/>
        <v>2024</v>
      </c>
      <c r="F3099" s="29" t="str">
        <f t="shared" si="145"/>
        <v>Nov</v>
      </c>
      <c r="G3099" s="17" t="s">
        <v>14</v>
      </c>
      <c r="H3099" s="17" t="s">
        <v>30</v>
      </c>
      <c r="I3099" s="24">
        <v>107385.33599999998</v>
      </c>
      <c r="J3099" s="32">
        <v>40</v>
      </c>
      <c r="K3099" s="17" t="s">
        <v>16</v>
      </c>
      <c r="L3099" s="24">
        <v>474.94</v>
      </c>
      <c r="M3099" s="24">
        <v>3677.58</v>
      </c>
      <c r="N3099" s="34">
        <f>((sales_data_1[[#This Row],[Unit_Price]]*(1-sales_data_1[[#This Row],[Discount]]))-sales_data_1[[#This Row],[Unit_Cost]])*sales_data_1[[#This Row],[Quantity_Sold]]</f>
        <v>88387.73599999999</v>
      </c>
      <c r="O3099" s="17" t="s">
        <v>27</v>
      </c>
      <c r="P3099" s="26">
        <v>0.27</v>
      </c>
      <c r="Q3099" s="17" t="s">
        <v>18</v>
      </c>
      <c r="R3099" s="17" t="s">
        <v>19</v>
      </c>
      <c r="S3099" s="50" t="str">
        <f t="shared" si="146"/>
        <v>Bob-East</v>
      </c>
      <c r="T3099" s="59" t="str">
        <f>IF(ROUND(sales_data_1[[#This Row],[Profit_Margin]],2)=ROUND((sales_data_1[[#This Row],[Unit_Price]]*(1-sales_data_1[[#This Row],[Discount]]) - sales_data_1[[#This Row],[Unit_Cost]])*sales_data_1[[#This Row],[Quantity_Sold]],2), "PASS", "CHECK")</f>
        <v>PASS</v>
      </c>
    </row>
    <row r="3100" spans="1:20" x14ac:dyDescent="0.35">
      <c r="A3100" s="7">
        <v>3099</v>
      </c>
      <c r="B3100" s="9">
        <v>1028</v>
      </c>
      <c r="C3100" s="14" t="str">
        <f>IFERROR(_xlfn.TEXTJOIN("-", TRUE, _xlfn.XLOOKUP(K3100, product_category_id_lookup!$A$2:$A$5, product_category_id_lookup!$B$2:$B$5), B3100), "Unknown Category")</f>
        <v>fnt-1028</v>
      </c>
      <c r="D3100" s="8">
        <v>45621</v>
      </c>
      <c r="E3100" s="14">
        <f t="shared" si="144"/>
        <v>2024</v>
      </c>
      <c r="F3100" s="29" t="str">
        <f t="shared" si="145"/>
        <v>Nov</v>
      </c>
      <c r="G3100" s="17" t="s">
        <v>29</v>
      </c>
      <c r="H3100" s="17" t="s">
        <v>23</v>
      </c>
      <c r="I3100" s="24">
        <v>48892.59599999999</v>
      </c>
      <c r="J3100" s="32">
        <v>10</v>
      </c>
      <c r="K3100" s="17" t="s">
        <v>16</v>
      </c>
      <c r="L3100" s="24">
        <v>4433.13</v>
      </c>
      <c r="M3100" s="24">
        <v>5201.34</v>
      </c>
      <c r="N3100" s="34">
        <f>((sales_data_1[[#This Row],[Unit_Price]]*(1-sales_data_1[[#This Row],[Discount]]))-sales_data_1[[#This Row],[Unit_Cost]])*sales_data_1[[#This Row],[Quantity_Sold]]</f>
        <v>4561.295999999993</v>
      </c>
      <c r="O3100" s="17" t="s">
        <v>17</v>
      </c>
      <c r="P3100" s="26">
        <v>0.06</v>
      </c>
      <c r="Q3100" s="17" t="s">
        <v>28</v>
      </c>
      <c r="R3100" s="17" t="s">
        <v>21</v>
      </c>
      <c r="S3100" s="50" t="str">
        <f t="shared" si="146"/>
        <v>Charlie-South</v>
      </c>
      <c r="T3100" s="59" t="str">
        <f>IF(ROUND(sales_data_1[[#This Row],[Profit_Margin]],2)=ROUND((sales_data_1[[#This Row],[Unit_Price]]*(1-sales_data_1[[#This Row],[Discount]]) - sales_data_1[[#This Row],[Unit_Cost]])*sales_data_1[[#This Row],[Quantity_Sold]],2), "PASS", "CHECK")</f>
        <v>PASS</v>
      </c>
    </row>
    <row r="3101" spans="1:20" x14ac:dyDescent="0.35">
      <c r="A3101" s="7">
        <v>3100</v>
      </c>
      <c r="B3101" s="9">
        <v>1069</v>
      </c>
      <c r="C3101" s="14" t="str">
        <f>IFERROR(_xlfn.TEXTJOIN("-", TRUE, _xlfn.XLOOKUP(K3101, product_category_id_lookup!$A$2:$A$5, product_category_id_lookup!$B$2:$B$5), B3101), "Unknown Category")</f>
        <v>fnt-1069</v>
      </c>
      <c r="D3101" s="8">
        <v>45621</v>
      </c>
      <c r="E3101" s="14">
        <f t="shared" si="144"/>
        <v>2024</v>
      </c>
      <c r="F3101" s="29" t="str">
        <f t="shared" si="145"/>
        <v>Nov</v>
      </c>
      <c r="G3101" s="17" t="s">
        <v>33</v>
      </c>
      <c r="H3101" s="17" t="s">
        <v>23</v>
      </c>
      <c r="I3101" s="24">
        <v>52400.070800000001</v>
      </c>
      <c r="J3101" s="32">
        <v>14</v>
      </c>
      <c r="K3101" s="17" t="s">
        <v>16</v>
      </c>
      <c r="L3101" s="24">
        <v>2749.36</v>
      </c>
      <c r="M3101" s="24">
        <v>4860.8599999999997</v>
      </c>
      <c r="N3101" s="34">
        <f>((sales_data_1[[#This Row],[Unit_Price]]*(1-sales_data_1[[#This Row],[Discount]]))-sales_data_1[[#This Row],[Unit_Cost]])*sales_data_1[[#This Row],[Quantity_Sold]]</f>
        <v>13909.030799999999</v>
      </c>
      <c r="O3101" s="17" t="s">
        <v>17</v>
      </c>
      <c r="P3101" s="26">
        <v>0.23</v>
      </c>
      <c r="Q3101" s="17" t="s">
        <v>18</v>
      </c>
      <c r="R3101" s="17" t="s">
        <v>19</v>
      </c>
      <c r="S3101" s="50" t="str">
        <f t="shared" si="146"/>
        <v>Alice-South</v>
      </c>
      <c r="T3101" s="59" t="str">
        <f>IF(ROUND(sales_data_1[[#This Row],[Profit_Margin]],2)=ROUND((sales_data_1[[#This Row],[Unit_Price]]*(1-sales_data_1[[#This Row],[Discount]]) - sales_data_1[[#This Row],[Unit_Cost]])*sales_data_1[[#This Row],[Quantity_Sold]],2), "PASS", "CHECK")</f>
        <v>PASS</v>
      </c>
    </row>
    <row r="3102" spans="1:20" x14ac:dyDescent="0.35">
      <c r="A3102" s="7">
        <v>3101</v>
      </c>
      <c r="B3102" s="9">
        <v>1070</v>
      </c>
      <c r="C3102" s="14" t="str">
        <f>IFERROR(_xlfn.TEXTJOIN("-", TRUE, _xlfn.XLOOKUP(K3102, product_category_id_lookup!$A$2:$A$5, product_category_id_lookup!$B$2:$B$5), B3102), "Unknown Category")</f>
        <v>ctg-1070</v>
      </c>
      <c r="D3102" s="8">
        <v>45621</v>
      </c>
      <c r="E3102" s="14">
        <f t="shared" si="144"/>
        <v>2024</v>
      </c>
      <c r="F3102" s="29" t="str">
        <f t="shared" si="145"/>
        <v>Nov</v>
      </c>
      <c r="G3102" s="17" t="s">
        <v>33</v>
      </c>
      <c r="H3102" s="17" t="s">
        <v>30</v>
      </c>
      <c r="I3102" s="24">
        <v>93080.275200000004</v>
      </c>
      <c r="J3102" s="32">
        <v>24</v>
      </c>
      <c r="K3102" s="17" t="s">
        <v>26</v>
      </c>
      <c r="L3102" s="24">
        <v>1509.77</v>
      </c>
      <c r="M3102" s="24">
        <v>4788.08</v>
      </c>
      <c r="N3102" s="34">
        <f>((sales_data_1[[#This Row],[Unit_Price]]*(1-sales_data_1[[#This Row],[Discount]]))-sales_data_1[[#This Row],[Unit_Cost]])*sales_data_1[[#This Row],[Quantity_Sold]]</f>
        <v>56845.795200000008</v>
      </c>
      <c r="O3102" s="17" t="s">
        <v>27</v>
      </c>
      <c r="P3102" s="26">
        <v>0.19</v>
      </c>
      <c r="Q3102" s="17" t="s">
        <v>18</v>
      </c>
      <c r="R3102" s="17" t="s">
        <v>21</v>
      </c>
      <c r="S3102" s="50" t="str">
        <f t="shared" si="146"/>
        <v>Alice-East</v>
      </c>
      <c r="T3102" s="59" t="str">
        <f>IF(ROUND(sales_data_1[[#This Row],[Profit_Margin]],2)=ROUND((sales_data_1[[#This Row],[Unit_Price]]*(1-sales_data_1[[#This Row],[Discount]]) - sales_data_1[[#This Row],[Unit_Cost]])*sales_data_1[[#This Row],[Quantity_Sold]],2), "PASS", "CHECK")</f>
        <v>PASS</v>
      </c>
    </row>
    <row r="3103" spans="1:20" x14ac:dyDescent="0.35">
      <c r="A3103" s="7">
        <v>3102</v>
      </c>
      <c r="B3103" s="9">
        <v>1087</v>
      </c>
      <c r="C3103" s="14" t="str">
        <f>IFERROR(_xlfn.TEXTJOIN("-", TRUE, _xlfn.XLOOKUP(K3103, product_category_id_lookup!$A$2:$A$5, product_category_id_lookup!$B$2:$B$5), B3103), "Unknown Category")</f>
        <v>ctg-1087</v>
      </c>
      <c r="D3103" s="8">
        <v>45621</v>
      </c>
      <c r="E3103" s="14">
        <f t="shared" si="144"/>
        <v>2024</v>
      </c>
      <c r="F3103" s="29" t="str">
        <f t="shared" si="145"/>
        <v>Nov</v>
      </c>
      <c r="G3103" s="17" t="s">
        <v>32</v>
      </c>
      <c r="H3103" s="17" t="s">
        <v>15</v>
      </c>
      <c r="I3103" s="24">
        <v>139947.91999999998</v>
      </c>
      <c r="J3103" s="32">
        <v>40</v>
      </c>
      <c r="K3103" s="17" t="s">
        <v>26</v>
      </c>
      <c r="L3103" s="24">
        <v>1970.67</v>
      </c>
      <c r="M3103" s="24">
        <v>4998.1400000000003</v>
      </c>
      <c r="N3103" s="34">
        <f>((sales_data_1[[#This Row],[Unit_Price]]*(1-sales_data_1[[#This Row],[Discount]]))-sales_data_1[[#This Row],[Unit_Cost]])*sales_data_1[[#This Row],[Quantity_Sold]]</f>
        <v>61121.119999999995</v>
      </c>
      <c r="O3103" s="17" t="s">
        <v>27</v>
      </c>
      <c r="P3103" s="26">
        <v>0.3</v>
      </c>
      <c r="Q3103" s="17" t="s">
        <v>25</v>
      </c>
      <c r="R3103" s="17" t="s">
        <v>19</v>
      </c>
      <c r="S3103" s="50" t="str">
        <f t="shared" si="146"/>
        <v>Eve-North</v>
      </c>
      <c r="T3103" s="59" t="str">
        <f>IF(ROUND(sales_data_1[[#This Row],[Profit_Margin]],2)=ROUND((sales_data_1[[#This Row],[Unit_Price]]*(1-sales_data_1[[#This Row],[Discount]]) - sales_data_1[[#This Row],[Unit_Cost]])*sales_data_1[[#This Row],[Quantity_Sold]],2), "PASS", "CHECK")</f>
        <v>PASS</v>
      </c>
    </row>
    <row r="3104" spans="1:20" x14ac:dyDescent="0.35">
      <c r="A3104" s="7">
        <v>3103</v>
      </c>
      <c r="B3104" s="9">
        <v>1093</v>
      </c>
      <c r="C3104" s="14" t="str">
        <f>IFERROR(_xlfn.TEXTJOIN("-", TRUE, _xlfn.XLOOKUP(K3104, product_category_id_lookup!$A$2:$A$5, product_category_id_lookup!$B$2:$B$5), B3104), "Unknown Category")</f>
        <v>fd-1093</v>
      </c>
      <c r="D3104" s="8">
        <v>45621</v>
      </c>
      <c r="E3104" s="14">
        <f t="shared" si="144"/>
        <v>2024</v>
      </c>
      <c r="F3104" s="29" t="str">
        <f t="shared" si="145"/>
        <v>Nov</v>
      </c>
      <c r="G3104" s="17" t="s">
        <v>14</v>
      </c>
      <c r="H3104" s="17" t="s">
        <v>15</v>
      </c>
      <c r="I3104" s="24">
        <v>206479.8</v>
      </c>
      <c r="J3104" s="32">
        <v>45</v>
      </c>
      <c r="K3104" s="17" t="s">
        <v>24</v>
      </c>
      <c r="L3104" s="24">
        <v>2672.57</v>
      </c>
      <c r="M3104" s="24">
        <v>4588.4399999999996</v>
      </c>
      <c r="N3104" s="34">
        <f>((sales_data_1[[#This Row],[Unit_Price]]*(1-sales_data_1[[#This Row],[Discount]]))-sales_data_1[[#This Row],[Unit_Cost]])*sales_data_1[[#This Row],[Quantity_Sold]]</f>
        <v>86214.14999999998</v>
      </c>
      <c r="O3104" s="17" t="s">
        <v>17</v>
      </c>
      <c r="P3104" s="26">
        <v>0</v>
      </c>
      <c r="Q3104" s="17" t="s">
        <v>28</v>
      </c>
      <c r="R3104" s="17" t="s">
        <v>19</v>
      </c>
      <c r="S3104" s="50" t="str">
        <f t="shared" si="146"/>
        <v>Bob-North</v>
      </c>
      <c r="T3104" s="59" t="str">
        <f>IF(ROUND(sales_data_1[[#This Row],[Profit_Margin]],2)=ROUND((sales_data_1[[#This Row],[Unit_Price]]*(1-sales_data_1[[#This Row],[Discount]]) - sales_data_1[[#This Row],[Unit_Cost]])*sales_data_1[[#This Row],[Quantity_Sold]],2), "PASS", "CHECK")</f>
        <v>PASS</v>
      </c>
    </row>
    <row r="3105" spans="1:20" x14ac:dyDescent="0.35">
      <c r="A3105" s="7">
        <v>3104</v>
      </c>
      <c r="B3105" s="9">
        <v>1067</v>
      </c>
      <c r="C3105" s="14" t="str">
        <f>IFERROR(_xlfn.TEXTJOIN("-", TRUE, _xlfn.XLOOKUP(K3105, product_category_id_lookup!$A$2:$A$5, product_category_id_lookup!$B$2:$B$5), B3105), "Unknown Category")</f>
        <v>ctg-1067</v>
      </c>
      <c r="D3105" s="8">
        <v>45623</v>
      </c>
      <c r="E3105" s="14">
        <f t="shared" si="144"/>
        <v>2024</v>
      </c>
      <c r="F3105" s="29" t="str">
        <f t="shared" si="145"/>
        <v>Nov</v>
      </c>
      <c r="G3105" s="17" t="s">
        <v>29</v>
      </c>
      <c r="H3105" s="17" t="s">
        <v>23</v>
      </c>
      <c r="I3105" s="24">
        <v>10046.108333662944</v>
      </c>
      <c r="J3105" s="32">
        <v>2</v>
      </c>
      <c r="K3105" s="17" t="s">
        <v>26</v>
      </c>
      <c r="L3105" s="24">
        <v>4617.9399999999996</v>
      </c>
      <c r="M3105" s="24">
        <v>5127.07</v>
      </c>
      <c r="N3105" s="34">
        <f>((sales_data_1[[#This Row],[Unit_Price]]*(1-sales_data_1[[#This Row],[Discount]]))-sales_data_1[[#This Row],[Unit_Cost]])*sales_data_1[[#This Row],[Quantity_Sold]]</f>
        <v>813.17720000000008</v>
      </c>
      <c r="O3105" s="17" t="s">
        <v>27</v>
      </c>
      <c r="P3105" s="26">
        <v>0.02</v>
      </c>
      <c r="Q3105" s="17" t="s">
        <v>25</v>
      </c>
      <c r="R3105" s="17" t="s">
        <v>21</v>
      </c>
      <c r="S3105" s="50" t="str">
        <f t="shared" si="146"/>
        <v>Charlie-South</v>
      </c>
      <c r="T3105" s="59" t="str">
        <f>IF(ROUND(sales_data_1[[#This Row],[Profit_Margin]],2)=ROUND((sales_data_1[[#This Row],[Unit_Price]]*(1-sales_data_1[[#This Row],[Discount]]) - sales_data_1[[#This Row],[Unit_Cost]])*sales_data_1[[#This Row],[Quantity_Sold]],2), "PASS", "CHECK")</f>
        <v>PASS</v>
      </c>
    </row>
    <row r="3106" spans="1:20" x14ac:dyDescent="0.35">
      <c r="A3106" s="7">
        <v>3105</v>
      </c>
      <c r="B3106" s="9">
        <v>1097</v>
      </c>
      <c r="C3106" s="14" t="str">
        <f>IFERROR(_xlfn.TEXTJOIN("-", TRUE, _xlfn.XLOOKUP(K3106, product_category_id_lookup!$A$2:$A$5, product_category_id_lookup!$B$2:$B$5), B3106), "Unknown Category")</f>
        <v>ctg-1097</v>
      </c>
      <c r="D3106" s="8">
        <v>45623</v>
      </c>
      <c r="E3106" s="14">
        <f t="shared" si="144"/>
        <v>2024</v>
      </c>
      <c r="F3106" s="29" t="str">
        <f t="shared" si="145"/>
        <v>Nov</v>
      </c>
      <c r="G3106" s="17" t="s">
        <v>14</v>
      </c>
      <c r="H3106" s="17" t="s">
        <v>23</v>
      </c>
      <c r="I3106" s="24">
        <v>17069.088</v>
      </c>
      <c r="J3106" s="32">
        <v>4</v>
      </c>
      <c r="K3106" s="17" t="s">
        <v>26</v>
      </c>
      <c r="L3106" s="24">
        <v>2577.14</v>
      </c>
      <c r="M3106" s="24">
        <v>5020.32</v>
      </c>
      <c r="N3106" s="34">
        <f>((sales_data_1[[#This Row],[Unit_Price]]*(1-sales_data_1[[#This Row],[Discount]]))-sales_data_1[[#This Row],[Unit_Cost]])*sales_data_1[[#This Row],[Quantity_Sold]]</f>
        <v>6760.5280000000002</v>
      </c>
      <c r="O3106" s="17" t="s">
        <v>17</v>
      </c>
      <c r="P3106" s="26">
        <v>0.15</v>
      </c>
      <c r="Q3106" s="17" t="s">
        <v>28</v>
      </c>
      <c r="R3106" s="17" t="s">
        <v>21</v>
      </c>
      <c r="S3106" s="50" t="str">
        <f t="shared" si="146"/>
        <v>Bob-South</v>
      </c>
      <c r="T3106" s="59" t="str">
        <f>IF(ROUND(sales_data_1[[#This Row],[Profit_Margin]],2)=ROUND((sales_data_1[[#This Row],[Unit_Price]]*(1-sales_data_1[[#This Row],[Discount]]) - sales_data_1[[#This Row],[Unit_Cost]])*sales_data_1[[#This Row],[Quantity_Sold]],2), "PASS", "CHECK")</f>
        <v>PASS</v>
      </c>
    </row>
    <row r="3107" spans="1:20" x14ac:dyDescent="0.35">
      <c r="A3107" s="7">
        <v>3106</v>
      </c>
      <c r="B3107" s="9">
        <v>1071</v>
      </c>
      <c r="C3107" s="14" t="str">
        <f>IFERROR(_xlfn.TEXTJOIN("-", TRUE, _xlfn.XLOOKUP(K3107, product_category_id_lookup!$A$2:$A$5, product_category_id_lookup!$B$2:$B$5), B3107), "Unknown Category")</f>
        <v>fnt-1071</v>
      </c>
      <c r="D3107" s="8">
        <v>45623</v>
      </c>
      <c r="E3107" s="14">
        <f t="shared" si="144"/>
        <v>2024</v>
      </c>
      <c r="F3107" s="29" t="str">
        <f t="shared" si="145"/>
        <v>Nov</v>
      </c>
      <c r="G3107" s="17" t="s">
        <v>32</v>
      </c>
      <c r="H3107" s="17" t="s">
        <v>23</v>
      </c>
      <c r="I3107" s="24">
        <v>44121.781000000003</v>
      </c>
      <c r="J3107" s="32">
        <v>19</v>
      </c>
      <c r="K3107" s="17" t="s">
        <v>16</v>
      </c>
      <c r="L3107" s="24">
        <v>1680.69</v>
      </c>
      <c r="M3107" s="24">
        <v>2444.42</v>
      </c>
      <c r="N3107" s="34">
        <f>((sales_data_1[[#This Row],[Unit_Price]]*(1-sales_data_1[[#This Row],[Discount]]))-sales_data_1[[#This Row],[Unit_Cost]])*sales_data_1[[#This Row],[Quantity_Sold]]</f>
        <v>12188.671</v>
      </c>
      <c r="O3107" s="17" t="s">
        <v>17</v>
      </c>
      <c r="P3107" s="26">
        <v>0.05</v>
      </c>
      <c r="Q3107" s="17" t="s">
        <v>25</v>
      </c>
      <c r="R3107" s="17" t="s">
        <v>21</v>
      </c>
      <c r="S3107" s="50" t="str">
        <f t="shared" si="146"/>
        <v>Eve-South</v>
      </c>
      <c r="T3107" s="59" t="str">
        <f>IF(ROUND(sales_data_1[[#This Row],[Profit_Margin]],2)=ROUND((sales_data_1[[#This Row],[Unit_Price]]*(1-sales_data_1[[#This Row],[Discount]]) - sales_data_1[[#This Row],[Unit_Cost]])*sales_data_1[[#This Row],[Quantity_Sold]],2), "PASS", "CHECK")</f>
        <v>PASS</v>
      </c>
    </row>
    <row r="3108" spans="1:20" x14ac:dyDescent="0.35">
      <c r="A3108" s="7">
        <v>3107</v>
      </c>
      <c r="B3108" s="9">
        <v>1086</v>
      </c>
      <c r="C3108" s="14" t="str">
        <f>IFERROR(_xlfn.TEXTJOIN("-", TRUE, _xlfn.XLOOKUP(K3108, product_category_id_lookup!$A$2:$A$5, product_category_id_lookup!$B$2:$B$5), B3108), "Unknown Category")</f>
        <v>ctg-1086</v>
      </c>
      <c r="D3108" s="8">
        <v>45623</v>
      </c>
      <c r="E3108" s="14">
        <f t="shared" si="144"/>
        <v>2024</v>
      </c>
      <c r="F3108" s="29" t="str">
        <f t="shared" si="145"/>
        <v>Nov</v>
      </c>
      <c r="G3108" s="17" t="s">
        <v>32</v>
      </c>
      <c r="H3108" s="17" t="s">
        <v>23</v>
      </c>
      <c r="I3108" s="24">
        <v>77004.377999999997</v>
      </c>
      <c r="J3108" s="32">
        <v>33</v>
      </c>
      <c r="K3108" s="17" t="s">
        <v>26</v>
      </c>
      <c r="L3108" s="24">
        <v>618.98</v>
      </c>
      <c r="M3108" s="24">
        <v>3070.35</v>
      </c>
      <c r="N3108" s="34">
        <f>((sales_data_1[[#This Row],[Unit_Price]]*(1-sales_data_1[[#This Row],[Discount]]))-sales_data_1[[#This Row],[Unit_Cost]])*sales_data_1[[#This Row],[Quantity_Sold]]</f>
        <v>56578.037999999993</v>
      </c>
      <c r="O3108" s="17" t="s">
        <v>17</v>
      </c>
      <c r="P3108" s="26">
        <v>0.24</v>
      </c>
      <c r="Q3108" s="17" t="s">
        <v>25</v>
      </c>
      <c r="R3108" s="17" t="s">
        <v>19</v>
      </c>
      <c r="S3108" s="50" t="str">
        <f t="shared" si="146"/>
        <v>Eve-South</v>
      </c>
      <c r="T3108" s="59" t="str">
        <f>IF(ROUND(sales_data_1[[#This Row],[Profit_Margin]],2)=ROUND((sales_data_1[[#This Row],[Unit_Price]]*(1-sales_data_1[[#This Row],[Discount]]) - sales_data_1[[#This Row],[Unit_Cost]])*sales_data_1[[#This Row],[Quantity_Sold]],2), "PASS", "CHECK")</f>
        <v>PASS</v>
      </c>
    </row>
    <row r="3109" spans="1:20" x14ac:dyDescent="0.35">
      <c r="A3109" s="7">
        <v>3108</v>
      </c>
      <c r="B3109" s="9">
        <v>1100</v>
      </c>
      <c r="C3109" s="14" t="str">
        <f>IFERROR(_xlfn.TEXTJOIN("-", TRUE, _xlfn.XLOOKUP(K3109, product_category_id_lookup!$A$2:$A$5, product_category_id_lookup!$B$2:$B$5), B3109), "Unknown Category")</f>
        <v>etc-1100</v>
      </c>
      <c r="D3109" s="8">
        <v>45625</v>
      </c>
      <c r="E3109" s="14">
        <f t="shared" si="144"/>
        <v>2024</v>
      </c>
      <c r="F3109" s="29" t="str">
        <f t="shared" si="145"/>
        <v>Nov</v>
      </c>
      <c r="G3109" s="17" t="s">
        <v>29</v>
      </c>
      <c r="H3109" s="17" t="s">
        <v>23</v>
      </c>
      <c r="I3109" s="24">
        <v>53656.429400000008</v>
      </c>
      <c r="J3109" s="32">
        <v>19</v>
      </c>
      <c r="K3109" s="17" t="s">
        <v>31</v>
      </c>
      <c r="L3109" s="24">
        <v>703.92</v>
      </c>
      <c r="M3109" s="24">
        <v>3443.93</v>
      </c>
      <c r="N3109" s="34">
        <f>((sales_data_1[[#This Row],[Unit_Price]]*(1-sales_data_1[[#This Row],[Discount]]))-sales_data_1[[#This Row],[Unit_Cost]])*sales_data_1[[#This Row],[Quantity_Sold]]</f>
        <v>40281.949400000005</v>
      </c>
      <c r="O3109" s="17" t="s">
        <v>17</v>
      </c>
      <c r="P3109" s="26">
        <v>0.18</v>
      </c>
      <c r="Q3109" s="17" t="s">
        <v>28</v>
      </c>
      <c r="R3109" s="17" t="s">
        <v>19</v>
      </c>
      <c r="S3109" s="50" t="str">
        <f t="shared" si="146"/>
        <v>Charlie-South</v>
      </c>
      <c r="T3109" s="59" t="str">
        <f>IF(ROUND(sales_data_1[[#This Row],[Profit_Margin]],2)=ROUND((sales_data_1[[#This Row],[Unit_Price]]*(1-sales_data_1[[#This Row],[Discount]]) - sales_data_1[[#This Row],[Unit_Cost]])*sales_data_1[[#This Row],[Quantity_Sold]],2), "PASS", "CHECK")</f>
        <v>PASS</v>
      </c>
    </row>
    <row r="3110" spans="1:20" x14ac:dyDescent="0.35">
      <c r="A3110" s="7">
        <v>3109</v>
      </c>
      <c r="B3110" s="9">
        <v>1097</v>
      </c>
      <c r="C3110" s="14" t="str">
        <f>IFERROR(_xlfn.TEXTJOIN("-", TRUE, _xlfn.XLOOKUP(K3110, product_category_id_lookup!$A$2:$A$5, product_category_id_lookup!$B$2:$B$5), B3110), "Unknown Category")</f>
        <v>etc-1097</v>
      </c>
      <c r="D3110" s="8">
        <v>45625</v>
      </c>
      <c r="E3110" s="14">
        <f t="shared" si="144"/>
        <v>2024</v>
      </c>
      <c r="F3110" s="29" t="str">
        <f t="shared" si="145"/>
        <v>Nov</v>
      </c>
      <c r="G3110" s="17" t="s">
        <v>22</v>
      </c>
      <c r="H3110" s="17" t="s">
        <v>15</v>
      </c>
      <c r="I3110" s="24">
        <v>145123.69520000002</v>
      </c>
      <c r="J3110" s="32">
        <v>44</v>
      </c>
      <c r="K3110" s="17" t="s">
        <v>31</v>
      </c>
      <c r="L3110" s="24">
        <v>1285.6099999999999</v>
      </c>
      <c r="M3110" s="24">
        <v>4175.0200000000004</v>
      </c>
      <c r="N3110" s="34">
        <f>((sales_data_1[[#This Row],[Unit_Price]]*(1-sales_data_1[[#This Row],[Discount]]))-sales_data_1[[#This Row],[Unit_Cost]])*sales_data_1[[#This Row],[Quantity_Sold]]</f>
        <v>88556.855200000035</v>
      </c>
      <c r="O3110" s="17" t="s">
        <v>17</v>
      </c>
      <c r="P3110" s="26">
        <v>0.21</v>
      </c>
      <c r="Q3110" s="17" t="s">
        <v>28</v>
      </c>
      <c r="R3110" s="17" t="s">
        <v>21</v>
      </c>
      <c r="S3110" s="50" t="str">
        <f t="shared" si="146"/>
        <v>David-North</v>
      </c>
      <c r="T3110" s="59" t="str">
        <f>IF(ROUND(sales_data_1[[#This Row],[Profit_Margin]],2)=ROUND((sales_data_1[[#This Row],[Unit_Price]]*(1-sales_data_1[[#This Row],[Discount]]) - sales_data_1[[#This Row],[Unit_Cost]])*sales_data_1[[#This Row],[Quantity_Sold]],2), "PASS", "CHECK")</f>
        <v>PASS</v>
      </c>
    </row>
    <row r="3111" spans="1:20" x14ac:dyDescent="0.35">
      <c r="A3111" s="7">
        <v>3110</v>
      </c>
      <c r="B3111" s="9">
        <v>1031</v>
      </c>
      <c r="C3111" s="14" t="str">
        <f>IFERROR(_xlfn.TEXTJOIN("-", TRUE, _xlfn.XLOOKUP(K3111, product_category_id_lookup!$A$2:$A$5, product_category_id_lookup!$B$2:$B$5), B3111), "Unknown Category")</f>
        <v>fd-1031</v>
      </c>
      <c r="D3111" s="8">
        <v>45626</v>
      </c>
      <c r="E3111" s="14">
        <f t="shared" si="144"/>
        <v>2024</v>
      </c>
      <c r="F3111" s="29" t="str">
        <f t="shared" si="145"/>
        <v>Nov</v>
      </c>
      <c r="G3111" s="17" t="s">
        <v>22</v>
      </c>
      <c r="H3111" s="17" t="s">
        <v>23</v>
      </c>
      <c r="I3111" s="24">
        <v>21233.440800000004</v>
      </c>
      <c r="J3111" s="32">
        <v>26</v>
      </c>
      <c r="K3111" s="17" t="s">
        <v>24</v>
      </c>
      <c r="L3111" s="24">
        <v>316.7</v>
      </c>
      <c r="M3111" s="24">
        <v>995.94</v>
      </c>
      <c r="N3111" s="34">
        <f>((sales_data_1[[#This Row],[Unit_Price]]*(1-sales_data_1[[#This Row],[Discount]]))-sales_data_1[[#This Row],[Unit_Cost]])*sales_data_1[[#This Row],[Quantity_Sold]]</f>
        <v>12999.240800000003</v>
      </c>
      <c r="O3111" s="17" t="s">
        <v>27</v>
      </c>
      <c r="P3111" s="26">
        <v>0.18</v>
      </c>
      <c r="Q3111" s="17" t="s">
        <v>18</v>
      </c>
      <c r="R3111" s="17" t="s">
        <v>21</v>
      </c>
      <c r="S3111" s="50" t="str">
        <f t="shared" si="146"/>
        <v>David-South</v>
      </c>
      <c r="T3111" s="59" t="str">
        <f>IF(ROUND(sales_data_1[[#This Row],[Profit_Margin]],2)=ROUND((sales_data_1[[#This Row],[Unit_Price]]*(1-sales_data_1[[#This Row],[Discount]]) - sales_data_1[[#This Row],[Unit_Cost]])*sales_data_1[[#This Row],[Quantity_Sold]],2), "PASS", "CHECK")</f>
        <v>PASS</v>
      </c>
    </row>
    <row r="3112" spans="1:20" x14ac:dyDescent="0.35">
      <c r="A3112" s="7">
        <v>3111</v>
      </c>
      <c r="B3112" s="9">
        <v>1041</v>
      </c>
      <c r="C3112" s="14" t="str">
        <f>IFERROR(_xlfn.TEXTJOIN("-", TRUE, _xlfn.XLOOKUP(K3112, product_category_id_lookup!$A$2:$A$5, product_category_id_lookup!$B$2:$B$5), B3112), "Unknown Category")</f>
        <v>fd-1041</v>
      </c>
      <c r="D3112" s="8">
        <v>45626</v>
      </c>
      <c r="E3112" s="14">
        <f t="shared" si="144"/>
        <v>2024</v>
      </c>
      <c r="F3112" s="29" t="str">
        <f t="shared" si="145"/>
        <v>Nov</v>
      </c>
      <c r="G3112" s="17" t="s">
        <v>14</v>
      </c>
      <c r="H3112" s="17" t="s">
        <v>15</v>
      </c>
      <c r="I3112" s="24">
        <v>127300.6692</v>
      </c>
      <c r="J3112" s="32">
        <v>27</v>
      </c>
      <c r="K3112" s="17" t="s">
        <v>24</v>
      </c>
      <c r="L3112" s="24">
        <v>3482.46</v>
      </c>
      <c r="M3112" s="24">
        <v>5069.72</v>
      </c>
      <c r="N3112" s="34">
        <f>((sales_data_1[[#This Row],[Unit_Price]]*(1-sales_data_1[[#This Row],[Discount]]))-sales_data_1[[#This Row],[Unit_Cost]])*sales_data_1[[#This Row],[Quantity_Sold]]</f>
        <v>33274.249200000006</v>
      </c>
      <c r="O3112" s="17" t="s">
        <v>27</v>
      </c>
      <c r="P3112" s="26">
        <v>7.0000000000000007E-2</v>
      </c>
      <c r="Q3112" s="17" t="s">
        <v>25</v>
      </c>
      <c r="R3112" s="17" t="s">
        <v>21</v>
      </c>
      <c r="S3112" s="50" t="str">
        <f t="shared" si="146"/>
        <v>Bob-North</v>
      </c>
      <c r="T3112" s="59" t="str">
        <f>IF(ROUND(sales_data_1[[#This Row],[Profit_Margin]],2)=ROUND((sales_data_1[[#This Row],[Unit_Price]]*(1-sales_data_1[[#This Row],[Discount]]) - sales_data_1[[#This Row],[Unit_Cost]])*sales_data_1[[#This Row],[Quantity_Sold]],2), "PASS", "CHECK")</f>
        <v>PASS</v>
      </c>
    </row>
    <row r="3113" spans="1:20" x14ac:dyDescent="0.35">
      <c r="A3113" s="7">
        <v>3112</v>
      </c>
      <c r="B3113" s="9">
        <v>1059</v>
      </c>
      <c r="C3113" s="14" t="str">
        <f>IFERROR(_xlfn.TEXTJOIN("-", TRUE, _xlfn.XLOOKUP(K3113, product_category_id_lookup!$A$2:$A$5, product_category_id_lookup!$B$2:$B$5), B3113), "Unknown Category")</f>
        <v>etc-1059</v>
      </c>
      <c r="D3113" s="8">
        <v>45626</v>
      </c>
      <c r="E3113" s="14">
        <f t="shared" si="144"/>
        <v>2024</v>
      </c>
      <c r="F3113" s="29" t="str">
        <f t="shared" si="145"/>
        <v>Nov</v>
      </c>
      <c r="G3113" s="17" t="s">
        <v>14</v>
      </c>
      <c r="H3113" s="17" t="s">
        <v>30</v>
      </c>
      <c r="I3113" s="24">
        <v>88411.781200000012</v>
      </c>
      <c r="J3113" s="32">
        <v>37</v>
      </c>
      <c r="K3113" s="17" t="s">
        <v>31</v>
      </c>
      <c r="L3113" s="24">
        <v>938.7</v>
      </c>
      <c r="M3113" s="24">
        <v>2684.84</v>
      </c>
      <c r="N3113" s="34">
        <f>((sales_data_1[[#This Row],[Unit_Price]]*(1-sales_data_1[[#This Row],[Discount]]))-sales_data_1[[#This Row],[Unit_Cost]])*sales_data_1[[#This Row],[Quantity_Sold]]</f>
        <v>53679.881200000011</v>
      </c>
      <c r="O3113" s="17" t="s">
        <v>17</v>
      </c>
      <c r="P3113" s="26">
        <v>0.11</v>
      </c>
      <c r="Q3113" s="17" t="s">
        <v>25</v>
      </c>
      <c r="R3113" s="17" t="s">
        <v>21</v>
      </c>
      <c r="S3113" s="50" t="str">
        <f t="shared" si="146"/>
        <v>Bob-East</v>
      </c>
      <c r="T3113" s="59" t="str">
        <f>IF(ROUND(sales_data_1[[#This Row],[Profit_Margin]],2)=ROUND((sales_data_1[[#This Row],[Unit_Price]]*(1-sales_data_1[[#This Row],[Discount]]) - sales_data_1[[#This Row],[Unit_Cost]])*sales_data_1[[#This Row],[Quantity_Sold]],2), "PASS", "CHECK")</f>
        <v>PASS</v>
      </c>
    </row>
    <row r="3114" spans="1:20" x14ac:dyDescent="0.35">
      <c r="A3114" s="7">
        <v>3113</v>
      </c>
      <c r="B3114" s="9">
        <v>1010</v>
      </c>
      <c r="C3114" s="14" t="str">
        <f>IFERROR(_xlfn.TEXTJOIN("-", TRUE, _xlfn.XLOOKUP(K3114, product_category_id_lookup!$A$2:$A$5, product_category_id_lookup!$B$2:$B$5), B3114), "Unknown Category")</f>
        <v>fd-1010</v>
      </c>
      <c r="D3114" s="8">
        <v>45627</v>
      </c>
      <c r="E3114" s="14">
        <f t="shared" si="144"/>
        <v>2024</v>
      </c>
      <c r="F3114" s="29" t="str">
        <f t="shared" si="145"/>
        <v>Dec</v>
      </c>
      <c r="G3114" s="17" t="s">
        <v>33</v>
      </c>
      <c r="H3114" s="17" t="s">
        <v>15</v>
      </c>
      <c r="I3114" s="24">
        <v>84292.656351497833</v>
      </c>
      <c r="J3114" s="32">
        <v>45</v>
      </c>
      <c r="K3114" s="17" t="s">
        <v>24</v>
      </c>
      <c r="L3114" s="24">
        <v>1798.68</v>
      </c>
      <c r="M3114" s="24">
        <v>1914.92</v>
      </c>
      <c r="N3114" s="34">
        <f>((sales_data_1[[#This Row],[Unit_Price]]*(1-sales_data_1[[#This Row],[Discount]]))-sales_data_1[[#This Row],[Unit_Cost]])*sales_data_1[[#This Row],[Quantity_Sold]]</f>
        <v>3507.3719999999948</v>
      </c>
      <c r="O3114" s="17" t="s">
        <v>17</v>
      </c>
      <c r="P3114" s="26">
        <v>0.02</v>
      </c>
      <c r="Q3114" s="17" t="s">
        <v>25</v>
      </c>
      <c r="R3114" s="17" t="s">
        <v>19</v>
      </c>
      <c r="S3114" s="50" t="str">
        <f t="shared" si="146"/>
        <v>Alice-North</v>
      </c>
      <c r="T3114" s="59" t="str">
        <f>IF(ROUND(sales_data_1[[#This Row],[Profit_Margin]],2)=ROUND((sales_data_1[[#This Row],[Unit_Price]]*(1-sales_data_1[[#This Row],[Discount]]) - sales_data_1[[#This Row],[Unit_Cost]])*sales_data_1[[#This Row],[Quantity_Sold]],2), "PASS", "CHECK")</f>
        <v>PASS</v>
      </c>
    </row>
    <row r="3115" spans="1:20" x14ac:dyDescent="0.35">
      <c r="A3115" s="7">
        <v>3114</v>
      </c>
      <c r="B3115" s="9">
        <v>1046</v>
      </c>
      <c r="C3115" s="14" t="str">
        <f>IFERROR(_xlfn.TEXTJOIN("-", TRUE, _xlfn.XLOOKUP(K3115, product_category_id_lookup!$A$2:$A$5, product_category_id_lookup!$B$2:$B$5), B3115), "Unknown Category")</f>
        <v>etc-1046</v>
      </c>
      <c r="D3115" s="8">
        <v>45627</v>
      </c>
      <c r="E3115" s="14">
        <f t="shared" si="144"/>
        <v>2024</v>
      </c>
      <c r="F3115" s="29" t="str">
        <f t="shared" si="145"/>
        <v>Dec</v>
      </c>
      <c r="G3115" s="17" t="s">
        <v>32</v>
      </c>
      <c r="H3115" s="17" t="s">
        <v>15</v>
      </c>
      <c r="I3115" s="24">
        <v>46011.336199999991</v>
      </c>
      <c r="J3115" s="32">
        <v>29</v>
      </c>
      <c r="K3115" s="17" t="s">
        <v>31</v>
      </c>
      <c r="L3115" s="24">
        <v>1081.07</v>
      </c>
      <c r="M3115" s="24">
        <v>1687.87</v>
      </c>
      <c r="N3115" s="34">
        <f>((sales_data_1[[#This Row],[Unit_Price]]*(1-sales_data_1[[#This Row],[Discount]]))-sales_data_1[[#This Row],[Unit_Cost]])*sales_data_1[[#This Row],[Quantity_Sold]]</f>
        <v>14660.306199999995</v>
      </c>
      <c r="O3115" s="17" t="s">
        <v>27</v>
      </c>
      <c r="P3115" s="26">
        <v>0.06</v>
      </c>
      <c r="Q3115" s="17" t="s">
        <v>28</v>
      </c>
      <c r="R3115" s="17" t="s">
        <v>21</v>
      </c>
      <c r="S3115" s="50" t="str">
        <f t="shared" si="146"/>
        <v>Eve-North</v>
      </c>
      <c r="T3115" s="59" t="str">
        <f>IF(ROUND(sales_data_1[[#This Row],[Profit_Margin]],2)=ROUND((sales_data_1[[#This Row],[Unit_Price]]*(1-sales_data_1[[#This Row],[Discount]]) - sales_data_1[[#This Row],[Unit_Cost]])*sales_data_1[[#This Row],[Quantity_Sold]],2), "PASS", "CHECK")</f>
        <v>PASS</v>
      </c>
    </row>
    <row r="3116" spans="1:20" x14ac:dyDescent="0.35">
      <c r="A3116" s="7">
        <v>3115</v>
      </c>
      <c r="B3116" s="9">
        <v>1032</v>
      </c>
      <c r="C3116" s="14" t="str">
        <f>IFERROR(_xlfn.TEXTJOIN("-", TRUE, _xlfn.XLOOKUP(K3116, product_category_id_lookup!$A$2:$A$5, product_category_id_lookup!$B$2:$B$5), B3116), "Unknown Category")</f>
        <v>fnt-1032</v>
      </c>
      <c r="D3116" s="8">
        <v>45627</v>
      </c>
      <c r="E3116" s="14">
        <f t="shared" si="144"/>
        <v>2024</v>
      </c>
      <c r="F3116" s="29" t="str">
        <f t="shared" si="145"/>
        <v>Dec</v>
      </c>
      <c r="G3116" s="17" t="s">
        <v>33</v>
      </c>
      <c r="H3116" s="17" t="s">
        <v>20</v>
      </c>
      <c r="I3116" s="24">
        <v>33332.152000000002</v>
      </c>
      <c r="J3116" s="32">
        <v>8</v>
      </c>
      <c r="K3116" s="17" t="s">
        <v>16</v>
      </c>
      <c r="L3116" s="24">
        <v>2264.84</v>
      </c>
      <c r="M3116" s="24">
        <v>4251.55</v>
      </c>
      <c r="N3116" s="34">
        <f>((sales_data_1[[#This Row],[Unit_Price]]*(1-sales_data_1[[#This Row],[Discount]]))-sales_data_1[[#This Row],[Unit_Cost]])*sales_data_1[[#This Row],[Quantity_Sold]]</f>
        <v>15213.432000000001</v>
      </c>
      <c r="O3116" s="17" t="s">
        <v>17</v>
      </c>
      <c r="P3116" s="26">
        <v>0.02</v>
      </c>
      <c r="Q3116" s="17" t="s">
        <v>28</v>
      </c>
      <c r="R3116" s="17" t="s">
        <v>19</v>
      </c>
      <c r="S3116" s="50" t="str">
        <f t="shared" si="146"/>
        <v>Alice-West</v>
      </c>
      <c r="T3116" s="59" t="str">
        <f>IF(ROUND(sales_data_1[[#This Row],[Profit_Margin]],2)=ROUND((sales_data_1[[#This Row],[Unit_Price]]*(1-sales_data_1[[#This Row],[Discount]]) - sales_data_1[[#This Row],[Unit_Cost]])*sales_data_1[[#This Row],[Quantity_Sold]],2), "PASS", "CHECK")</f>
        <v>PASS</v>
      </c>
    </row>
    <row r="3117" spans="1:20" x14ac:dyDescent="0.35">
      <c r="A3117" s="7">
        <v>3116</v>
      </c>
      <c r="B3117" s="9">
        <v>1100</v>
      </c>
      <c r="C3117" s="14" t="str">
        <f>IFERROR(_xlfn.TEXTJOIN("-", TRUE, _xlfn.XLOOKUP(K3117, product_category_id_lookup!$A$2:$A$5, product_category_id_lookup!$B$2:$B$5), B3117), "Unknown Category")</f>
        <v>fnt-1100</v>
      </c>
      <c r="D3117" s="8">
        <v>45627</v>
      </c>
      <c r="E3117" s="14">
        <f t="shared" si="144"/>
        <v>2024</v>
      </c>
      <c r="F3117" s="29" t="str">
        <f t="shared" si="145"/>
        <v>Dec</v>
      </c>
      <c r="G3117" s="17" t="s">
        <v>14</v>
      </c>
      <c r="H3117" s="17" t="s">
        <v>20</v>
      </c>
      <c r="I3117" s="24">
        <v>29805.166300000001</v>
      </c>
      <c r="J3117" s="32">
        <v>7</v>
      </c>
      <c r="K3117" s="17" t="s">
        <v>16</v>
      </c>
      <c r="L3117" s="24">
        <v>1524.87</v>
      </c>
      <c r="M3117" s="24">
        <v>4678.99</v>
      </c>
      <c r="N3117" s="34">
        <f>((sales_data_1[[#This Row],[Unit_Price]]*(1-sales_data_1[[#This Row],[Discount]]))-sales_data_1[[#This Row],[Unit_Cost]])*sales_data_1[[#This Row],[Quantity_Sold]]</f>
        <v>19131.076300000001</v>
      </c>
      <c r="O3117" s="17" t="s">
        <v>17</v>
      </c>
      <c r="P3117" s="26">
        <v>0.09</v>
      </c>
      <c r="Q3117" s="17" t="s">
        <v>18</v>
      </c>
      <c r="R3117" s="17" t="s">
        <v>21</v>
      </c>
      <c r="S3117" s="50" t="str">
        <f t="shared" si="146"/>
        <v>Bob-West</v>
      </c>
      <c r="T3117" s="59" t="str">
        <f>IF(ROUND(sales_data_1[[#This Row],[Profit_Margin]],2)=ROUND((sales_data_1[[#This Row],[Unit_Price]]*(1-sales_data_1[[#This Row],[Discount]]) - sales_data_1[[#This Row],[Unit_Cost]])*sales_data_1[[#This Row],[Quantity_Sold]],2), "PASS", "CHECK")</f>
        <v>PASS</v>
      </c>
    </row>
    <row r="3118" spans="1:20" x14ac:dyDescent="0.35">
      <c r="A3118" s="7">
        <v>3117</v>
      </c>
      <c r="B3118" s="9">
        <v>1015</v>
      </c>
      <c r="C3118" s="14" t="str">
        <f>IFERROR(_xlfn.TEXTJOIN("-", TRUE, _xlfn.XLOOKUP(K3118, product_category_id_lookup!$A$2:$A$5, product_category_id_lookup!$B$2:$B$5), B3118), "Unknown Category")</f>
        <v>fd-1015</v>
      </c>
      <c r="D3118" s="8">
        <v>45628</v>
      </c>
      <c r="E3118" s="14">
        <f t="shared" si="144"/>
        <v>2024</v>
      </c>
      <c r="F3118" s="29" t="str">
        <f t="shared" si="145"/>
        <v>Dec</v>
      </c>
      <c r="G3118" s="17" t="s">
        <v>29</v>
      </c>
      <c r="H3118" s="17" t="s">
        <v>23</v>
      </c>
      <c r="I3118" s="24">
        <v>29778.109200000003</v>
      </c>
      <c r="J3118" s="32">
        <v>9</v>
      </c>
      <c r="K3118" s="17" t="s">
        <v>24</v>
      </c>
      <c r="L3118" s="24">
        <v>2851.77</v>
      </c>
      <c r="M3118" s="24">
        <v>3596.39</v>
      </c>
      <c r="N3118" s="34">
        <f>((sales_data_1[[#This Row],[Unit_Price]]*(1-sales_data_1[[#This Row],[Discount]]))-sales_data_1[[#This Row],[Unit_Cost]])*sales_data_1[[#This Row],[Quantity_Sold]]</f>
        <v>4112.1792000000014</v>
      </c>
      <c r="O3118" s="17" t="s">
        <v>27</v>
      </c>
      <c r="P3118" s="26">
        <v>0.08</v>
      </c>
      <c r="Q3118" s="17" t="s">
        <v>28</v>
      </c>
      <c r="R3118" s="17" t="s">
        <v>21</v>
      </c>
      <c r="S3118" s="50" t="str">
        <f t="shared" si="146"/>
        <v>Charlie-South</v>
      </c>
      <c r="T3118" s="59" t="str">
        <f>IF(ROUND(sales_data_1[[#This Row],[Profit_Margin]],2)=ROUND((sales_data_1[[#This Row],[Unit_Price]]*(1-sales_data_1[[#This Row],[Discount]]) - sales_data_1[[#This Row],[Unit_Cost]])*sales_data_1[[#This Row],[Quantity_Sold]],2), "PASS", "CHECK")</f>
        <v>PASS</v>
      </c>
    </row>
    <row r="3119" spans="1:20" x14ac:dyDescent="0.35">
      <c r="A3119" s="7">
        <v>3118</v>
      </c>
      <c r="B3119" s="9">
        <v>1064</v>
      </c>
      <c r="C3119" s="14" t="str">
        <f>IFERROR(_xlfn.TEXTJOIN("-", TRUE, _xlfn.XLOOKUP(K3119, product_category_id_lookup!$A$2:$A$5, product_category_id_lookup!$B$2:$B$5), B3119), "Unknown Category")</f>
        <v>etc-1064</v>
      </c>
      <c r="D3119" s="8">
        <v>45628</v>
      </c>
      <c r="E3119" s="14">
        <f t="shared" si="144"/>
        <v>2024</v>
      </c>
      <c r="F3119" s="29" t="str">
        <f t="shared" si="145"/>
        <v>Dec</v>
      </c>
      <c r="G3119" s="17" t="s">
        <v>14</v>
      </c>
      <c r="H3119" s="17" t="s">
        <v>30</v>
      </c>
      <c r="I3119" s="24">
        <v>87587.624999999985</v>
      </c>
      <c r="J3119" s="32">
        <v>30</v>
      </c>
      <c r="K3119" s="17" t="s">
        <v>31</v>
      </c>
      <c r="L3119" s="24">
        <v>482.76</v>
      </c>
      <c r="M3119" s="24">
        <v>3073.25</v>
      </c>
      <c r="N3119" s="34">
        <f>((sales_data_1[[#This Row],[Unit_Price]]*(1-sales_data_1[[#This Row],[Discount]]))-sales_data_1[[#This Row],[Unit_Cost]])*sales_data_1[[#This Row],[Quantity_Sold]]</f>
        <v>73104.824999999983</v>
      </c>
      <c r="O3119" s="17" t="s">
        <v>17</v>
      </c>
      <c r="P3119" s="26">
        <v>0.05</v>
      </c>
      <c r="Q3119" s="17" t="s">
        <v>18</v>
      </c>
      <c r="R3119" s="17" t="s">
        <v>19</v>
      </c>
      <c r="S3119" s="50" t="str">
        <f t="shared" si="146"/>
        <v>Bob-East</v>
      </c>
      <c r="T3119" s="59" t="str">
        <f>IF(ROUND(sales_data_1[[#This Row],[Profit_Margin]],2)=ROUND((sales_data_1[[#This Row],[Unit_Price]]*(1-sales_data_1[[#This Row],[Discount]]) - sales_data_1[[#This Row],[Unit_Cost]])*sales_data_1[[#This Row],[Quantity_Sold]],2), "PASS", "CHECK")</f>
        <v>PASS</v>
      </c>
    </row>
    <row r="3120" spans="1:20" x14ac:dyDescent="0.35">
      <c r="A3120" s="7">
        <v>3119</v>
      </c>
      <c r="B3120" s="9">
        <v>1029</v>
      </c>
      <c r="C3120" s="14" t="str">
        <f>IFERROR(_xlfn.TEXTJOIN("-", TRUE, _xlfn.XLOOKUP(K3120, product_category_id_lookup!$A$2:$A$5, product_category_id_lookup!$B$2:$B$5), B3120), "Unknown Category")</f>
        <v>ctg-1029</v>
      </c>
      <c r="D3120" s="8">
        <v>45629</v>
      </c>
      <c r="E3120" s="14">
        <f t="shared" si="144"/>
        <v>2024</v>
      </c>
      <c r="F3120" s="29" t="str">
        <f t="shared" si="145"/>
        <v>Dec</v>
      </c>
      <c r="G3120" s="17" t="s">
        <v>32</v>
      </c>
      <c r="H3120" s="17" t="s">
        <v>20</v>
      </c>
      <c r="I3120" s="24">
        <v>9803.8766489770442</v>
      </c>
      <c r="J3120" s="32">
        <v>7</v>
      </c>
      <c r="K3120" s="17" t="s">
        <v>26</v>
      </c>
      <c r="L3120" s="24">
        <v>1356.28</v>
      </c>
      <c r="M3120" s="24">
        <v>1436.86</v>
      </c>
      <c r="N3120" s="34">
        <f>((sales_data_1[[#This Row],[Unit_Price]]*(1-sales_data_1[[#This Row],[Discount]]))-sales_data_1[[#This Row],[Unit_Cost]])*sales_data_1[[#This Row],[Quantity_Sold]]</f>
        <v>262.31939999999918</v>
      </c>
      <c r="O3120" s="17" t="s">
        <v>17</v>
      </c>
      <c r="P3120" s="26">
        <v>0.03</v>
      </c>
      <c r="Q3120" s="17" t="s">
        <v>25</v>
      </c>
      <c r="R3120" s="17" t="s">
        <v>19</v>
      </c>
      <c r="S3120" s="50" t="str">
        <f t="shared" si="146"/>
        <v>Eve-West</v>
      </c>
      <c r="T3120" s="59" t="str">
        <f>IF(ROUND(sales_data_1[[#This Row],[Profit_Margin]],2)=ROUND((sales_data_1[[#This Row],[Unit_Price]]*(1-sales_data_1[[#This Row],[Discount]]) - sales_data_1[[#This Row],[Unit_Cost]])*sales_data_1[[#This Row],[Quantity_Sold]],2), "PASS", "CHECK")</f>
        <v>PASS</v>
      </c>
    </row>
    <row r="3121" spans="1:20" x14ac:dyDescent="0.35">
      <c r="A3121" s="7">
        <v>3120</v>
      </c>
      <c r="B3121" s="9">
        <v>1085</v>
      </c>
      <c r="C3121" s="14" t="str">
        <f>IFERROR(_xlfn.TEXTJOIN("-", TRUE, _xlfn.XLOOKUP(K3121, product_category_id_lookup!$A$2:$A$5, product_category_id_lookup!$B$2:$B$5), B3121), "Unknown Category")</f>
        <v>ctg-1085</v>
      </c>
      <c r="D3121" s="8">
        <v>45629</v>
      </c>
      <c r="E3121" s="14">
        <f t="shared" si="144"/>
        <v>2024</v>
      </c>
      <c r="F3121" s="29" t="str">
        <f t="shared" si="145"/>
        <v>Dec</v>
      </c>
      <c r="G3121" s="17" t="s">
        <v>29</v>
      </c>
      <c r="H3121" s="17" t="s">
        <v>20</v>
      </c>
      <c r="I3121" s="24">
        <v>6773.3358000000007</v>
      </c>
      <c r="J3121" s="32">
        <v>2</v>
      </c>
      <c r="K3121" s="17" t="s">
        <v>26</v>
      </c>
      <c r="L3121" s="24">
        <v>961.13</v>
      </c>
      <c r="M3121" s="24">
        <v>4398.2700000000004</v>
      </c>
      <c r="N3121" s="34">
        <f>((sales_data_1[[#This Row],[Unit_Price]]*(1-sales_data_1[[#This Row],[Discount]]))-sales_data_1[[#This Row],[Unit_Cost]])*sales_data_1[[#This Row],[Quantity_Sold]]</f>
        <v>4851.0758000000005</v>
      </c>
      <c r="O3121" s="17" t="s">
        <v>17</v>
      </c>
      <c r="P3121" s="26">
        <v>0.23</v>
      </c>
      <c r="Q3121" s="17" t="s">
        <v>25</v>
      </c>
      <c r="R3121" s="17" t="s">
        <v>21</v>
      </c>
      <c r="S3121" s="50" t="str">
        <f t="shared" si="146"/>
        <v>Charlie-West</v>
      </c>
      <c r="T3121" s="59" t="str">
        <f>IF(ROUND(sales_data_1[[#This Row],[Profit_Margin]],2)=ROUND((sales_data_1[[#This Row],[Unit_Price]]*(1-sales_data_1[[#This Row],[Discount]]) - sales_data_1[[#This Row],[Unit_Cost]])*sales_data_1[[#This Row],[Quantity_Sold]],2), "PASS", "CHECK")</f>
        <v>PASS</v>
      </c>
    </row>
    <row r="3122" spans="1:20" x14ac:dyDescent="0.35">
      <c r="A3122" s="7">
        <v>3121</v>
      </c>
      <c r="B3122" s="9">
        <v>1030</v>
      </c>
      <c r="C3122" s="14" t="str">
        <f>IFERROR(_xlfn.TEXTJOIN("-", TRUE, _xlfn.XLOOKUP(K3122, product_category_id_lookup!$A$2:$A$5, product_category_id_lookup!$B$2:$B$5), B3122), "Unknown Category")</f>
        <v>ctg-1030</v>
      </c>
      <c r="D3122" s="8">
        <v>45629</v>
      </c>
      <c r="E3122" s="14">
        <f t="shared" si="144"/>
        <v>2024</v>
      </c>
      <c r="F3122" s="29" t="str">
        <f t="shared" si="145"/>
        <v>Dec</v>
      </c>
      <c r="G3122" s="17" t="s">
        <v>14</v>
      </c>
      <c r="H3122" s="17" t="s">
        <v>20</v>
      </c>
      <c r="I3122" s="24">
        <v>17147.292000000001</v>
      </c>
      <c r="J3122" s="32">
        <v>5</v>
      </c>
      <c r="K3122" s="17" t="s">
        <v>26</v>
      </c>
      <c r="L3122" s="24">
        <v>2157.9299999999998</v>
      </c>
      <c r="M3122" s="24">
        <v>3648.36</v>
      </c>
      <c r="N3122" s="34">
        <f>((sales_data_1[[#This Row],[Unit_Price]]*(1-sales_data_1[[#This Row],[Discount]]))-sales_data_1[[#This Row],[Unit_Cost]])*sales_data_1[[#This Row],[Quantity_Sold]]</f>
        <v>6357.6420000000007</v>
      </c>
      <c r="O3122" s="17" t="s">
        <v>17</v>
      </c>
      <c r="P3122" s="26">
        <v>0.06</v>
      </c>
      <c r="Q3122" s="17" t="s">
        <v>18</v>
      </c>
      <c r="R3122" s="17" t="s">
        <v>21</v>
      </c>
      <c r="S3122" s="50" t="str">
        <f t="shared" si="146"/>
        <v>Bob-West</v>
      </c>
      <c r="T3122" s="59" t="str">
        <f>IF(ROUND(sales_data_1[[#This Row],[Profit_Margin]],2)=ROUND((sales_data_1[[#This Row],[Unit_Price]]*(1-sales_data_1[[#This Row],[Discount]]) - sales_data_1[[#This Row],[Unit_Cost]])*sales_data_1[[#This Row],[Quantity_Sold]],2), "PASS", "CHECK")</f>
        <v>PASS</v>
      </c>
    </row>
    <row r="3123" spans="1:20" x14ac:dyDescent="0.35">
      <c r="A3123" s="7">
        <v>3122</v>
      </c>
      <c r="B3123" s="9">
        <v>1063</v>
      </c>
      <c r="C3123" s="14" t="str">
        <f>IFERROR(_xlfn.TEXTJOIN("-", TRUE, _xlfn.XLOOKUP(K3123, product_category_id_lookup!$A$2:$A$5, product_category_id_lookup!$B$2:$B$5), B3123), "Unknown Category")</f>
        <v>fnt-1063</v>
      </c>
      <c r="D3123" s="8">
        <v>45629</v>
      </c>
      <c r="E3123" s="14">
        <f t="shared" si="144"/>
        <v>2024</v>
      </c>
      <c r="F3123" s="29" t="str">
        <f t="shared" si="145"/>
        <v>Dec</v>
      </c>
      <c r="G3123" s="17" t="s">
        <v>14</v>
      </c>
      <c r="H3123" s="17" t="s">
        <v>30</v>
      </c>
      <c r="I3123" s="24">
        <v>48379.454999999994</v>
      </c>
      <c r="J3123" s="32">
        <v>45</v>
      </c>
      <c r="K3123" s="17" t="s">
        <v>16</v>
      </c>
      <c r="L3123" s="24">
        <v>779.55</v>
      </c>
      <c r="M3123" s="24">
        <v>1295.3</v>
      </c>
      <c r="N3123" s="34">
        <f>((sales_data_1[[#This Row],[Unit_Price]]*(1-sales_data_1[[#This Row],[Discount]]))-sales_data_1[[#This Row],[Unit_Cost]])*sales_data_1[[#This Row],[Quantity_Sold]]</f>
        <v>13299.704999999998</v>
      </c>
      <c r="O3123" s="17" t="s">
        <v>27</v>
      </c>
      <c r="P3123" s="26">
        <v>0.17</v>
      </c>
      <c r="Q3123" s="17" t="s">
        <v>18</v>
      </c>
      <c r="R3123" s="17" t="s">
        <v>21</v>
      </c>
      <c r="S3123" s="50" t="str">
        <f t="shared" si="146"/>
        <v>Bob-East</v>
      </c>
      <c r="T3123" s="59" t="str">
        <f>IF(ROUND(sales_data_1[[#This Row],[Profit_Margin]],2)=ROUND((sales_data_1[[#This Row],[Unit_Price]]*(1-sales_data_1[[#This Row],[Discount]]) - sales_data_1[[#This Row],[Unit_Cost]])*sales_data_1[[#This Row],[Quantity_Sold]],2), "PASS", "CHECK")</f>
        <v>PASS</v>
      </c>
    </row>
    <row r="3124" spans="1:20" x14ac:dyDescent="0.35">
      <c r="A3124" s="7">
        <v>3123</v>
      </c>
      <c r="B3124" s="9">
        <v>1051</v>
      </c>
      <c r="C3124" s="14" t="str">
        <f>IFERROR(_xlfn.TEXTJOIN("-", TRUE, _xlfn.XLOOKUP(K3124, product_category_id_lookup!$A$2:$A$5, product_category_id_lookup!$B$2:$B$5), B3124), "Unknown Category")</f>
        <v>etc-1051</v>
      </c>
      <c r="D3124" s="8">
        <v>45630</v>
      </c>
      <c r="E3124" s="14">
        <f t="shared" si="144"/>
        <v>2024</v>
      </c>
      <c r="F3124" s="29" t="str">
        <f t="shared" si="145"/>
        <v>Dec</v>
      </c>
      <c r="G3124" s="17" t="s">
        <v>32</v>
      </c>
      <c r="H3124" s="17" t="s">
        <v>20</v>
      </c>
      <c r="I3124" s="24">
        <v>62560.058400000002</v>
      </c>
      <c r="J3124" s="32">
        <v>21</v>
      </c>
      <c r="K3124" s="17" t="s">
        <v>31</v>
      </c>
      <c r="L3124" s="24">
        <v>2670.24</v>
      </c>
      <c r="M3124" s="24">
        <v>3203.28</v>
      </c>
      <c r="N3124" s="34">
        <f>((sales_data_1[[#This Row],[Unit_Price]]*(1-sales_data_1[[#This Row],[Discount]]))-sales_data_1[[#This Row],[Unit_Cost]])*sales_data_1[[#This Row],[Quantity_Sold]]</f>
        <v>6485.0184000000063</v>
      </c>
      <c r="O3124" s="17" t="s">
        <v>17</v>
      </c>
      <c r="P3124" s="26">
        <v>7.0000000000000007E-2</v>
      </c>
      <c r="Q3124" s="17" t="s">
        <v>18</v>
      </c>
      <c r="R3124" s="17" t="s">
        <v>19</v>
      </c>
      <c r="S3124" s="50" t="str">
        <f t="shared" si="146"/>
        <v>Eve-West</v>
      </c>
      <c r="T3124" s="59" t="str">
        <f>IF(ROUND(sales_data_1[[#This Row],[Profit_Margin]],2)=ROUND((sales_data_1[[#This Row],[Unit_Price]]*(1-sales_data_1[[#This Row],[Discount]]) - sales_data_1[[#This Row],[Unit_Cost]])*sales_data_1[[#This Row],[Quantity_Sold]],2), "PASS", "CHECK")</f>
        <v>PASS</v>
      </c>
    </row>
    <row r="3125" spans="1:20" x14ac:dyDescent="0.35">
      <c r="A3125" s="7">
        <v>3124</v>
      </c>
      <c r="B3125" s="9">
        <v>1060</v>
      </c>
      <c r="C3125" s="14" t="str">
        <f>IFERROR(_xlfn.TEXTJOIN("-", TRUE, _xlfn.XLOOKUP(K3125, product_category_id_lookup!$A$2:$A$5, product_category_id_lookup!$B$2:$B$5), B3125), "Unknown Category")</f>
        <v>fnt-1060</v>
      </c>
      <c r="D3125" s="8">
        <v>45631</v>
      </c>
      <c r="E3125" s="14">
        <f t="shared" si="144"/>
        <v>2024</v>
      </c>
      <c r="F3125" s="29" t="str">
        <f t="shared" si="145"/>
        <v>Dec</v>
      </c>
      <c r="G3125" s="17" t="s">
        <v>14</v>
      </c>
      <c r="H3125" s="17" t="s">
        <v>20</v>
      </c>
      <c r="I3125" s="24">
        <v>108641.55279999999</v>
      </c>
      <c r="J3125" s="32">
        <v>44</v>
      </c>
      <c r="K3125" s="17" t="s">
        <v>16</v>
      </c>
      <c r="L3125" s="24">
        <v>1453.22</v>
      </c>
      <c r="M3125" s="24">
        <v>2626.73</v>
      </c>
      <c r="N3125" s="34">
        <f>((sales_data_1[[#This Row],[Unit_Price]]*(1-sales_data_1[[#This Row],[Discount]]))-sales_data_1[[#This Row],[Unit_Cost]])*sales_data_1[[#This Row],[Quantity_Sold]]</f>
        <v>44699.872799999983</v>
      </c>
      <c r="O3125" s="17" t="s">
        <v>17</v>
      </c>
      <c r="P3125" s="26">
        <v>0.06</v>
      </c>
      <c r="Q3125" s="17" t="s">
        <v>28</v>
      </c>
      <c r="R3125" s="17" t="s">
        <v>19</v>
      </c>
      <c r="S3125" s="50" t="str">
        <f t="shared" si="146"/>
        <v>Bob-West</v>
      </c>
      <c r="T3125" s="59" t="str">
        <f>IF(ROUND(sales_data_1[[#This Row],[Profit_Margin]],2)=ROUND((sales_data_1[[#This Row],[Unit_Price]]*(1-sales_data_1[[#This Row],[Discount]]) - sales_data_1[[#This Row],[Unit_Cost]])*sales_data_1[[#This Row],[Quantity_Sold]],2), "PASS", "CHECK")</f>
        <v>PASS</v>
      </c>
    </row>
    <row r="3126" spans="1:20" x14ac:dyDescent="0.35">
      <c r="A3126" s="7">
        <v>3125</v>
      </c>
      <c r="B3126" s="9">
        <v>1085</v>
      </c>
      <c r="C3126" s="14" t="str">
        <f>IFERROR(_xlfn.TEXTJOIN("-", TRUE, _xlfn.XLOOKUP(K3126, product_category_id_lookup!$A$2:$A$5, product_category_id_lookup!$B$2:$B$5), B3126), "Unknown Category")</f>
        <v>ctg-1085</v>
      </c>
      <c r="D3126" s="8">
        <v>45631</v>
      </c>
      <c r="E3126" s="14">
        <f t="shared" si="144"/>
        <v>2024</v>
      </c>
      <c r="F3126" s="29" t="str">
        <f t="shared" si="145"/>
        <v>Dec</v>
      </c>
      <c r="G3126" s="17" t="s">
        <v>14</v>
      </c>
      <c r="H3126" s="17" t="s">
        <v>15</v>
      </c>
      <c r="I3126" s="24">
        <v>81752.0625</v>
      </c>
      <c r="J3126" s="32">
        <v>25</v>
      </c>
      <c r="K3126" s="17" t="s">
        <v>26</v>
      </c>
      <c r="L3126" s="24">
        <v>973.7</v>
      </c>
      <c r="M3126" s="24">
        <v>4605.75</v>
      </c>
      <c r="N3126" s="34">
        <f>((sales_data_1[[#This Row],[Unit_Price]]*(1-sales_data_1[[#This Row],[Discount]]))-sales_data_1[[#This Row],[Unit_Cost]])*sales_data_1[[#This Row],[Quantity_Sold]]</f>
        <v>57409.562499999993</v>
      </c>
      <c r="O3126" s="17" t="s">
        <v>17</v>
      </c>
      <c r="P3126" s="26">
        <v>0.28999999999999998</v>
      </c>
      <c r="Q3126" s="17" t="s">
        <v>28</v>
      </c>
      <c r="R3126" s="17" t="s">
        <v>21</v>
      </c>
      <c r="S3126" s="50" t="str">
        <f t="shared" si="146"/>
        <v>Bob-North</v>
      </c>
      <c r="T3126" s="59" t="str">
        <f>IF(ROUND(sales_data_1[[#This Row],[Profit_Margin]],2)=ROUND((sales_data_1[[#This Row],[Unit_Price]]*(1-sales_data_1[[#This Row],[Discount]]) - sales_data_1[[#This Row],[Unit_Cost]])*sales_data_1[[#This Row],[Quantity_Sold]],2), "PASS", "CHECK")</f>
        <v>PASS</v>
      </c>
    </row>
    <row r="3127" spans="1:20" x14ac:dyDescent="0.35">
      <c r="A3127" s="7">
        <v>3126</v>
      </c>
      <c r="B3127" s="9">
        <v>1068</v>
      </c>
      <c r="C3127" s="14" t="str">
        <f>IFERROR(_xlfn.TEXTJOIN("-", TRUE, _xlfn.XLOOKUP(K3127, product_category_id_lookup!$A$2:$A$5, product_category_id_lookup!$B$2:$B$5), B3127), "Unknown Category")</f>
        <v>fd-1068</v>
      </c>
      <c r="D3127" s="8">
        <v>45632</v>
      </c>
      <c r="E3127" s="14">
        <f t="shared" si="144"/>
        <v>2024</v>
      </c>
      <c r="F3127" s="29" t="str">
        <f t="shared" si="145"/>
        <v>Dec</v>
      </c>
      <c r="G3127" s="17" t="s">
        <v>29</v>
      </c>
      <c r="H3127" s="17" t="s">
        <v>15</v>
      </c>
      <c r="I3127" s="24">
        <v>79234.869205586045</v>
      </c>
      <c r="J3127" s="32">
        <v>18</v>
      </c>
      <c r="K3127" s="17" t="s">
        <v>24</v>
      </c>
      <c r="L3127" s="24">
        <v>4335.7700000000004</v>
      </c>
      <c r="M3127" s="24">
        <v>4576.09</v>
      </c>
      <c r="N3127" s="34">
        <f>((sales_data_1[[#This Row],[Unit_Price]]*(1-sales_data_1[[#This Row],[Discount]]))-sales_data_1[[#This Row],[Unit_Cost]])*sales_data_1[[#This Row],[Quantity_Sold]]</f>
        <v>1030.9751999999953</v>
      </c>
      <c r="O3127" s="17" t="s">
        <v>27</v>
      </c>
      <c r="P3127" s="26">
        <v>0.04</v>
      </c>
      <c r="Q3127" s="17" t="s">
        <v>25</v>
      </c>
      <c r="R3127" s="17" t="s">
        <v>19</v>
      </c>
      <c r="S3127" s="50" t="str">
        <f t="shared" si="146"/>
        <v>Charlie-North</v>
      </c>
      <c r="T3127" s="59" t="str">
        <f>IF(ROUND(sales_data_1[[#This Row],[Profit_Margin]],2)=ROUND((sales_data_1[[#This Row],[Unit_Price]]*(1-sales_data_1[[#This Row],[Discount]]) - sales_data_1[[#This Row],[Unit_Cost]])*sales_data_1[[#This Row],[Quantity_Sold]],2), "PASS", "CHECK")</f>
        <v>PASS</v>
      </c>
    </row>
    <row r="3128" spans="1:20" x14ac:dyDescent="0.35">
      <c r="A3128" s="7">
        <v>3127</v>
      </c>
      <c r="B3128" s="9">
        <v>1033</v>
      </c>
      <c r="C3128" s="14" t="str">
        <f>IFERROR(_xlfn.TEXTJOIN("-", TRUE, _xlfn.XLOOKUP(K3128, product_category_id_lookup!$A$2:$A$5, product_category_id_lookup!$B$2:$B$5), B3128), "Unknown Category")</f>
        <v>fnt-1033</v>
      </c>
      <c r="D3128" s="8">
        <v>45632</v>
      </c>
      <c r="E3128" s="14">
        <f t="shared" si="144"/>
        <v>2024</v>
      </c>
      <c r="F3128" s="29" t="str">
        <f t="shared" si="145"/>
        <v>Dec</v>
      </c>
      <c r="G3128" s="17" t="s">
        <v>32</v>
      </c>
      <c r="H3128" s="17" t="s">
        <v>23</v>
      </c>
      <c r="I3128" s="24">
        <v>113513.46185316794</v>
      </c>
      <c r="J3128" s="32">
        <v>23</v>
      </c>
      <c r="K3128" s="17" t="s">
        <v>16</v>
      </c>
      <c r="L3128" s="24">
        <v>4294.17</v>
      </c>
      <c r="M3128" s="24">
        <v>4955.8500000000004</v>
      </c>
      <c r="N3128" s="34">
        <f>((sales_data_1[[#This Row],[Unit_Price]]*(1-sales_data_1[[#This Row],[Discount]]))-sales_data_1[[#This Row],[Unit_Cost]])*sales_data_1[[#This Row],[Quantity_Sold]]</f>
        <v>15218.640000000007</v>
      </c>
      <c r="O3128" s="17" t="s">
        <v>17</v>
      </c>
      <c r="P3128" s="26">
        <v>0</v>
      </c>
      <c r="Q3128" s="17" t="s">
        <v>25</v>
      </c>
      <c r="R3128" s="17" t="s">
        <v>21</v>
      </c>
      <c r="S3128" s="50" t="str">
        <f t="shared" si="146"/>
        <v>Eve-South</v>
      </c>
      <c r="T3128" s="59" t="str">
        <f>IF(ROUND(sales_data_1[[#This Row],[Profit_Margin]],2)=ROUND((sales_data_1[[#This Row],[Unit_Price]]*(1-sales_data_1[[#This Row],[Discount]]) - sales_data_1[[#This Row],[Unit_Cost]])*sales_data_1[[#This Row],[Quantity_Sold]],2), "PASS", "CHECK")</f>
        <v>PASS</v>
      </c>
    </row>
    <row r="3129" spans="1:20" x14ac:dyDescent="0.35">
      <c r="A3129" s="7">
        <v>3128</v>
      </c>
      <c r="B3129" s="9">
        <v>1013</v>
      </c>
      <c r="C3129" s="14" t="str">
        <f>IFERROR(_xlfn.TEXTJOIN("-", TRUE, _xlfn.XLOOKUP(K3129, product_category_id_lookup!$A$2:$A$5, product_category_id_lookup!$B$2:$B$5), B3129), "Unknown Category")</f>
        <v>ctg-1013</v>
      </c>
      <c r="D3129" s="8">
        <v>45633</v>
      </c>
      <c r="E3129" s="14">
        <f t="shared" si="144"/>
        <v>2024</v>
      </c>
      <c r="F3129" s="29" t="str">
        <f t="shared" si="145"/>
        <v>Dec</v>
      </c>
      <c r="G3129" s="17" t="s">
        <v>33</v>
      </c>
      <c r="H3129" s="17" t="s">
        <v>20</v>
      </c>
      <c r="I3129" s="24">
        <v>85296.300600000002</v>
      </c>
      <c r="J3129" s="32">
        <v>21</v>
      </c>
      <c r="K3129" s="17" t="s">
        <v>26</v>
      </c>
      <c r="L3129" s="24">
        <v>3526.06</v>
      </c>
      <c r="M3129" s="24">
        <v>4563.74</v>
      </c>
      <c r="N3129" s="34">
        <f>((sales_data_1[[#This Row],[Unit_Price]]*(1-sales_data_1[[#This Row],[Discount]]))-sales_data_1[[#This Row],[Unit_Cost]])*sales_data_1[[#This Row],[Quantity_Sold]]</f>
        <v>11249.0406</v>
      </c>
      <c r="O3129" s="17" t="s">
        <v>17</v>
      </c>
      <c r="P3129" s="26">
        <v>0.11</v>
      </c>
      <c r="Q3129" s="17" t="s">
        <v>25</v>
      </c>
      <c r="R3129" s="17" t="s">
        <v>21</v>
      </c>
      <c r="S3129" s="50" t="str">
        <f t="shared" si="146"/>
        <v>Alice-West</v>
      </c>
      <c r="T3129" s="59" t="str">
        <f>IF(ROUND(sales_data_1[[#This Row],[Profit_Margin]],2)=ROUND((sales_data_1[[#This Row],[Unit_Price]]*(1-sales_data_1[[#This Row],[Discount]]) - sales_data_1[[#This Row],[Unit_Cost]])*sales_data_1[[#This Row],[Quantity_Sold]],2), "PASS", "CHECK")</f>
        <v>PASS</v>
      </c>
    </row>
    <row r="3130" spans="1:20" x14ac:dyDescent="0.35">
      <c r="A3130" s="7">
        <v>3129</v>
      </c>
      <c r="B3130" s="9">
        <v>1028</v>
      </c>
      <c r="C3130" s="14" t="str">
        <f>IFERROR(_xlfn.TEXTJOIN("-", TRUE, _xlfn.XLOOKUP(K3130, product_category_id_lookup!$A$2:$A$5, product_category_id_lookup!$B$2:$B$5), B3130), "Unknown Category")</f>
        <v>etc-1028</v>
      </c>
      <c r="D3130" s="8">
        <v>45633</v>
      </c>
      <c r="E3130" s="14">
        <f t="shared" si="144"/>
        <v>2024</v>
      </c>
      <c r="F3130" s="29" t="str">
        <f t="shared" si="145"/>
        <v>Dec</v>
      </c>
      <c r="G3130" s="17" t="s">
        <v>33</v>
      </c>
      <c r="H3130" s="17" t="s">
        <v>23</v>
      </c>
      <c r="I3130" s="24">
        <v>112548.50100000002</v>
      </c>
      <c r="J3130" s="32">
        <v>39</v>
      </c>
      <c r="K3130" s="17" t="s">
        <v>31</v>
      </c>
      <c r="L3130" s="24">
        <v>1145.4000000000001</v>
      </c>
      <c r="M3130" s="24">
        <v>3206.51</v>
      </c>
      <c r="N3130" s="34">
        <f>((sales_data_1[[#This Row],[Unit_Price]]*(1-sales_data_1[[#This Row],[Discount]]))-sales_data_1[[#This Row],[Unit_Cost]])*sales_data_1[[#This Row],[Quantity_Sold]]</f>
        <v>67877.901000000013</v>
      </c>
      <c r="O3130" s="17" t="s">
        <v>27</v>
      </c>
      <c r="P3130" s="26">
        <v>0.1</v>
      </c>
      <c r="Q3130" s="17" t="s">
        <v>18</v>
      </c>
      <c r="R3130" s="17" t="s">
        <v>19</v>
      </c>
      <c r="S3130" s="50" t="str">
        <f t="shared" si="146"/>
        <v>Alice-South</v>
      </c>
      <c r="T3130" s="59" t="str">
        <f>IF(ROUND(sales_data_1[[#This Row],[Profit_Margin]],2)=ROUND((sales_data_1[[#This Row],[Unit_Price]]*(1-sales_data_1[[#This Row],[Discount]]) - sales_data_1[[#This Row],[Unit_Cost]])*sales_data_1[[#This Row],[Quantity_Sold]],2), "PASS", "CHECK")</f>
        <v>PASS</v>
      </c>
    </row>
    <row r="3131" spans="1:20" x14ac:dyDescent="0.35">
      <c r="A3131" s="7">
        <v>3130</v>
      </c>
      <c r="B3131" s="9">
        <v>1080</v>
      </c>
      <c r="C3131" s="14" t="str">
        <f>IFERROR(_xlfn.TEXTJOIN("-", TRUE, _xlfn.XLOOKUP(K3131, product_category_id_lookup!$A$2:$A$5, product_category_id_lookup!$B$2:$B$5), B3131), "Unknown Category")</f>
        <v>etc-1080</v>
      </c>
      <c r="D3131" s="8">
        <v>45634</v>
      </c>
      <c r="E3131" s="14">
        <f t="shared" si="144"/>
        <v>2024</v>
      </c>
      <c r="F3131" s="29" t="str">
        <f t="shared" si="145"/>
        <v>Dec</v>
      </c>
      <c r="G3131" s="17" t="s">
        <v>14</v>
      </c>
      <c r="H3131" s="17" t="s">
        <v>30</v>
      </c>
      <c r="I3131" s="24">
        <v>219053.73599999998</v>
      </c>
      <c r="J3131" s="32">
        <v>48</v>
      </c>
      <c r="K3131" s="17" t="s">
        <v>31</v>
      </c>
      <c r="L3131" s="24">
        <v>1483.16</v>
      </c>
      <c r="M3131" s="24">
        <v>4803.8100000000004</v>
      </c>
      <c r="N3131" s="34">
        <f>((sales_data_1[[#This Row],[Unit_Price]]*(1-sales_data_1[[#This Row],[Discount]]))-sales_data_1[[#This Row],[Unit_Cost]])*sales_data_1[[#This Row],[Quantity_Sold]]</f>
        <v>147862.05599999998</v>
      </c>
      <c r="O3131" s="17" t="s">
        <v>27</v>
      </c>
      <c r="P3131" s="26">
        <v>0.05</v>
      </c>
      <c r="Q3131" s="17" t="s">
        <v>25</v>
      </c>
      <c r="R3131" s="17" t="s">
        <v>21</v>
      </c>
      <c r="S3131" s="50" t="str">
        <f t="shared" si="146"/>
        <v>Bob-East</v>
      </c>
      <c r="T3131" s="59" t="str">
        <f>IF(ROUND(sales_data_1[[#This Row],[Profit_Margin]],2)=ROUND((sales_data_1[[#This Row],[Unit_Price]]*(1-sales_data_1[[#This Row],[Discount]]) - sales_data_1[[#This Row],[Unit_Cost]])*sales_data_1[[#This Row],[Quantity_Sold]],2), "PASS", "CHECK")</f>
        <v>PASS</v>
      </c>
    </row>
    <row r="3132" spans="1:20" x14ac:dyDescent="0.35">
      <c r="A3132" s="7">
        <v>3131</v>
      </c>
      <c r="B3132" s="9">
        <v>1060</v>
      </c>
      <c r="C3132" s="14" t="str">
        <f>IFERROR(_xlfn.TEXTJOIN("-", TRUE, _xlfn.XLOOKUP(K3132, product_category_id_lookup!$A$2:$A$5, product_category_id_lookup!$B$2:$B$5), B3132), "Unknown Category")</f>
        <v>fd-1060</v>
      </c>
      <c r="D3132" s="8">
        <v>45635</v>
      </c>
      <c r="E3132" s="14">
        <f t="shared" si="144"/>
        <v>2024</v>
      </c>
      <c r="F3132" s="29" t="str">
        <f t="shared" si="145"/>
        <v>Dec</v>
      </c>
      <c r="G3132" s="17" t="s">
        <v>14</v>
      </c>
      <c r="H3132" s="17" t="s">
        <v>23</v>
      </c>
      <c r="I3132" s="24">
        <v>85621.737599999993</v>
      </c>
      <c r="J3132" s="32">
        <v>42</v>
      </c>
      <c r="K3132" s="17" t="s">
        <v>24</v>
      </c>
      <c r="L3132" s="24">
        <v>665.78</v>
      </c>
      <c r="M3132" s="24">
        <v>2370.48</v>
      </c>
      <c r="N3132" s="34">
        <f>((sales_data_1[[#This Row],[Unit_Price]]*(1-sales_data_1[[#This Row],[Discount]]))-sales_data_1[[#This Row],[Unit_Cost]])*sales_data_1[[#This Row],[Quantity_Sold]]</f>
        <v>57658.977599999998</v>
      </c>
      <c r="O3132" s="17" t="s">
        <v>17</v>
      </c>
      <c r="P3132" s="26">
        <v>0.14000000000000001</v>
      </c>
      <c r="Q3132" s="17" t="s">
        <v>18</v>
      </c>
      <c r="R3132" s="17" t="s">
        <v>19</v>
      </c>
      <c r="S3132" s="50" t="str">
        <f t="shared" si="146"/>
        <v>Bob-South</v>
      </c>
      <c r="T3132" s="59" t="str">
        <f>IF(ROUND(sales_data_1[[#This Row],[Profit_Margin]],2)=ROUND((sales_data_1[[#This Row],[Unit_Price]]*(1-sales_data_1[[#This Row],[Discount]]) - sales_data_1[[#This Row],[Unit_Cost]])*sales_data_1[[#This Row],[Quantity_Sold]],2), "PASS", "CHECK")</f>
        <v>PASS</v>
      </c>
    </row>
    <row r="3133" spans="1:20" x14ac:dyDescent="0.35">
      <c r="A3133" s="7">
        <v>3132</v>
      </c>
      <c r="B3133" s="9">
        <v>1052</v>
      </c>
      <c r="C3133" s="14" t="str">
        <f>IFERROR(_xlfn.TEXTJOIN("-", TRUE, _xlfn.XLOOKUP(K3133, product_category_id_lookup!$A$2:$A$5, product_category_id_lookup!$B$2:$B$5), B3133), "Unknown Category")</f>
        <v>fd-1052</v>
      </c>
      <c r="D3133" s="8">
        <v>45636</v>
      </c>
      <c r="E3133" s="14">
        <f t="shared" si="144"/>
        <v>2024</v>
      </c>
      <c r="F3133" s="29" t="str">
        <f t="shared" si="145"/>
        <v>Dec</v>
      </c>
      <c r="G3133" s="17" t="s">
        <v>22</v>
      </c>
      <c r="H3133" s="17" t="s">
        <v>23</v>
      </c>
      <c r="I3133" s="24">
        <v>71577.734400000001</v>
      </c>
      <c r="J3133" s="32">
        <v>24</v>
      </c>
      <c r="K3133" s="17" t="s">
        <v>24</v>
      </c>
      <c r="L3133" s="24">
        <v>1270.77</v>
      </c>
      <c r="M3133" s="24">
        <v>3637.08</v>
      </c>
      <c r="N3133" s="34">
        <f>((sales_data_1[[#This Row],[Unit_Price]]*(1-sales_data_1[[#This Row],[Discount]]))-sales_data_1[[#This Row],[Unit_Cost]])*sales_data_1[[#This Row],[Quantity_Sold]]</f>
        <v>41079.254400000005</v>
      </c>
      <c r="O3133" s="17" t="s">
        <v>17</v>
      </c>
      <c r="P3133" s="26">
        <v>0.18</v>
      </c>
      <c r="Q3133" s="17" t="s">
        <v>18</v>
      </c>
      <c r="R3133" s="17" t="s">
        <v>19</v>
      </c>
      <c r="S3133" s="50" t="str">
        <f t="shared" si="146"/>
        <v>David-South</v>
      </c>
      <c r="T3133" s="59" t="str">
        <f>IF(ROUND(sales_data_1[[#This Row],[Profit_Margin]],2)=ROUND((sales_data_1[[#This Row],[Unit_Price]]*(1-sales_data_1[[#This Row],[Discount]]) - sales_data_1[[#This Row],[Unit_Cost]])*sales_data_1[[#This Row],[Quantity_Sold]],2), "PASS", "CHECK")</f>
        <v>PASS</v>
      </c>
    </row>
    <row r="3134" spans="1:20" x14ac:dyDescent="0.35">
      <c r="A3134" s="7">
        <v>3133</v>
      </c>
      <c r="B3134" s="9">
        <v>1068</v>
      </c>
      <c r="C3134" s="14" t="str">
        <f>IFERROR(_xlfn.TEXTJOIN("-", TRUE, _xlfn.XLOOKUP(K3134, product_category_id_lookup!$A$2:$A$5, product_category_id_lookup!$B$2:$B$5), B3134), "Unknown Category")</f>
        <v>ctg-1068</v>
      </c>
      <c r="D3134" s="8">
        <v>45637</v>
      </c>
      <c r="E3134" s="14">
        <f t="shared" si="144"/>
        <v>2024</v>
      </c>
      <c r="F3134" s="29" t="str">
        <f t="shared" si="145"/>
        <v>Dec</v>
      </c>
      <c r="G3134" s="17" t="s">
        <v>33</v>
      </c>
      <c r="H3134" s="17" t="s">
        <v>15</v>
      </c>
      <c r="I3134" s="24">
        <v>41992.196400000001</v>
      </c>
      <c r="J3134" s="32">
        <v>33</v>
      </c>
      <c r="K3134" s="17" t="s">
        <v>26</v>
      </c>
      <c r="L3134" s="24">
        <v>1252.4000000000001</v>
      </c>
      <c r="M3134" s="24">
        <v>1298.46</v>
      </c>
      <c r="N3134" s="34">
        <f>((sales_data_1[[#This Row],[Unit_Price]]*(1-sales_data_1[[#This Row],[Discount]]))-sales_data_1[[#This Row],[Unit_Cost]])*sales_data_1[[#This Row],[Quantity_Sold]]</f>
        <v>662.99639999999818</v>
      </c>
      <c r="O3134" s="17" t="s">
        <v>17</v>
      </c>
      <c r="P3134" s="26">
        <v>0.02</v>
      </c>
      <c r="Q3134" s="17" t="s">
        <v>28</v>
      </c>
      <c r="R3134" s="17" t="s">
        <v>21</v>
      </c>
      <c r="S3134" s="50" t="str">
        <f t="shared" si="146"/>
        <v>Alice-North</v>
      </c>
      <c r="T3134" s="59" t="str">
        <f>IF(ROUND(sales_data_1[[#This Row],[Profit_Margin]],2)=ROUND((sales_data_1[[#This Row],[Unit_Price]]*(1-sales_data_1[[#This Row],[Discount]]) - sales_data_1[[#This Row],[Unit_Cost]])*sales_data_1[[#This Row],[Quantity_Sold]],2), "PASS", "CHECK")</f>
        <v>PASS</v>
      </c>
    </row>
    <row r="3135" spans="1:20" x14ac:dyDescent="0.35">
      <c r="A3135" s="7">
        <v>3134</v>
      </c>
      <c r="B3135" s="9">
        <v>1040</v>
      </c>
      <c r="C3135" s="14" t="str">
        <f>IFERROR(_xlfn.TEXTJOIN("-", TRUE, _xlfn.XLOOKUP(K3135, product_category_id_lookup!$A$2:$A$5, product_category_id_lookup!$B$2:$B$5), B3135), "Unknown Category")</f>
        <v>fnt-1040</v>
      </c>
      <c r="D3135" s="8">
        <v>45637</v>
      </c>
      <c r="E3135" s="14">
        <f t="shared" si="144"/>
        <v>2024</v>
      </c>
      <c r="F3135" s="29" t="str">
        <f t="shared" si="145"/>
        <v>Dec</v>
      </c>
      <c r="G3135" s="17" t="s">
        <v>14</v>
      </c>
      <c r="H3135" s="17" t="s">
        <v>20</v>
      </c>
      <c r="I3135" s="24">
        <v>17662.7088</v>
      </c>
      <c r="J3135" s="32">
        <v>16</v>
      </c>
      <c r="K3135" s="17" t="s">
        <v>16</v>
      </c>
      <c r="L3135" s="24">
        <v>766.72</v>
      </c>
      <c r="M3135" s="24">
        <v>1187.01</v>
      </c>
      <c r="N3135" s="34">
        <f>((sales_data_1[[#This Row],[Unit_Price]]*(1-sales_data_1[[#This Row],[Discount]]))-sales_data_1[[#This Row],[Unit_Cost]])*sales_data_1[[#This Row],[Quantity_Sold]]</f>
        <v>5395.1887999999999</v>
      </c>
      <c r="O3135" s="17" t="s">
        <v>27</v>
      </c>
      <c r="P3135" s="26">
        <v>7.0000000000000007E-2</v>
      </c>
      <c r="Q3135" s="17" t="s">
        <v>28</v>
      </c>
      <c r="R3135" s="17" t="s">
        <v>21</v>
      </c>
      <c r="S3135" s="50" t="str">
        <f t="shared" si="146"/>
        <v>Bob-West</v>
      </c>
      <c r="T3135" s="59" t="str">
        <f>IF(ROUND(sales_data_1[[#This Row],[Profit_Margin]],2)=ROUND((sales_data_1[[#This Row],[Unit_Price]]*(1-sales_data_1[[#This Row],[Discount]]) - sales_data_1[[#This Row],[Unit_Cost]])*sales_data_1[[#This Row],[Quantity_Sold]],2), "PASS", "CHECK")</f>
        <v>PASS</v>
      </c>
    </row>
    <row r="3136" spans="1:20" x14ac:dyDescent="0.35">
      <c r="A3136" s="7">
        <v>3135</v>
      </c>
      <c r="B3136" s="9">
        <v>1034</v>
      </c>
      <c r="C3136" s="14" t="str">
        <f>IFERROR(_xlfn.TEXTJOIN("-", TRUE, _xlfn.XLOOKUP(K3136, product_category_id_lookup!$A$2:$A$5, product_category_id_lookup!$B$2:$B$5), B3136), "Unknown Category")</f>
        <v>etc-1034</v>
      </c>
      <c r="D3136" s="8">
        <v>45637</v>
      </c>
      <c r="E3136" s="14">
        <f t="shared" si="144"/>
        <v>2024</v>
      </c>
      <c r="F3136" s="29" t="str">
        <f t="shared" si="145"/>
        <v>Dec</v>
      </c>
      <c r="G3136" s="17" t="s">
        <v>29</v>
      </c>
      <c r="H3136" s="17" t="s">
        <v>30</v>
      </c>
      <c r="I3136" s="24">
        <v>148005.92671905088</v>
      </c>
      <c r="J3136" s="32">
        <v>30</v>
      </c>
      <c r="K3136" s="17" t="s">
        <v>31</v>
      </c>
      <c r="L3136" s="24">
        <v>4270.79</v>
      </c>
      <c r="M3136" s="24">
        <v>4957.1000000000004</v>
      </c>
      <c r="N3136" s="34">
        <f>((sales_data_1[[#This Row],[Unit_Price]]*(1-sales_data_1[[#This Row],[Discount]]))-sales_data_1[[#This Row],[Unit_Cost]])*sales_data_1[[#This Row],[Quantity_Sold]]</f>
        <v>20589.30000000001</v>
      </c>
      <c r="O3136" s="17" t="s">
        <v>27</v>
      </c>
      <c r="P3136" s="26">
        <v>0</v>
      </c>
      <c r="Q3136" s="17" t="s">
        <v>25</v>
      </c>
      <c r="R3136" s="17" t="s">
        <v>21</v>
      </c>
      <c r="S3136" s="50" t="str">
        <f t="shared" si="146"/>
        <v>Charlie-East</v>
      </c>
      <c r="T3136" s="59" t="str">
        <f>IF(ROUND(sales_data_1[[#This Row],[Profit_Margin]],2)=ROUND((sales_data_1[[#This Row],[Unit_Price]]*(1-sales_data_1[[#This Row],[Discount]]) - sales_data_1[[#This Row],[Unit_Cost]])*sales_data_1[[#This Row],[Quantity_Sold]],2), "PASS", "CHECK")</f>
        <v>PASS</v>
      </c>
    </row>
    <row r="3137" spans="1:20" x14ac:dyDescent="0.35">
      <c r="A3137" s="7">
        <v>3136</v>
      </c>
      <c r="B3137" s="9">
        <v>1062</v>
      </c>
      <c r="C3137" s="14" t="str">
        <f>IFERROR(_xlfn.TEXTJOIN("-", TRUE, _xlfn.XLOOKUP(K3137, product_category_id_lookup!$A$2:$A$5, product_category_id_lookup!$B$2:$B$5), B3137), "Unknown Category")</f>
        <v>ctg-1062</v>
      </c>
      <c r="D3137" s="8">
        <v>45637</v>
      </c>
      <c r="E3137" s="14">
        <f t="shared" si="144"/>
        <v>2024</v>
      </c>
      <c r="F3137" s="29" t="str">
        <f t="shared" si="145"/>
        <v>Dec</v>
      </c>
      <c r="G3137" s="17" t="s">
        <v>22</v>
      </c>
      <c r="H3137" s="17" t="s">
        <v>15</v>
      </c>
      <c r="I3137" s="24">
        <v>44391.38</v>
      </c>
      <c r="J3137" s="32">
        <v>31</v>
      </c>
      <c r="K3137" s="17" t="s">
        <v>26</v>
      </c>
      <c r="L3137" s="24">
        <v>603.29</v>
      </c>
      <c r="M3137" s="24">
        <v>1556.5</v>
      </c>
      <c r="N3137" s="34">
        <f>((sales_data_1[[#This Row],[Unit_Price]]*(1-sales_data_1[[#This Row],[Discount]]))-sales_data_1[[#This Row],[Unit_Cost]])*sales_data_1[[#This Row],[Quantity_Sold]]</f>
        <v>25689.390000000003</v>
      </c>
      <c r="O3137" s="17" t="s">
        <v>27</v>
      </c>
      <c r="P3137" s="26">
        <v>0.08</v>
      </c>
      <c r="Q3137" s="17" t="s">
        <v>25</v>
      </c>
      <c r="R3137" s="17" t="s">
        <v>19</v>
      </c>
      <c r="S3137" s="50" t="str">
        <f t="shared" si="146"/>
        <v>David-North</v>
      </c>
      <c r="T3137" s="59" t="str">
        <f>IF(ROUND(sales_data_1[[#This Row],[Profit_Margin]],2)=ROUND((sales_data_1[[#This Row],[Unit_Price]]*(1-sales_data_1[[#This Row],[Discount]]) - sales_data_1[[#This Row],[Unit_Cost]])*sales_data_1[[#This Row],[Quantity_Sold]],2), "PASS", "CHECK")</f>
        <v>PASS</v>
      </c>
    </row>
    <row r="3138" spans="1:20" x14ac:dyDescent="0.35">
      <c r="A3138" s="7">
        <v>3137</v>
      </c>
      <c r="B3138" s="9">
        <v>1099</v>
      </c>
      <c r="C3138" s="14" t="str">
        <f>IFERROR(_xlfn.TEXTJOIN("-", TRUE, _xlfn.XLOOKUP(K3138, product_category_id_lookup!$A$2:$A$5, product_category_id_lookup!$B$2:$B$5), B3138), "Unknown Category")</f>
        <v>fd-1099</v>
      </c>
      <c r="D3138" s="8">
        <v>45637</v>
      </c>
      <c r="E3138" s="14">
        <f t="shared" ref="E3138:E3201" si="147">YEAR(D3138)</f>
        <v>2024</v>
      </c>
      <c r="F3138" s="29" t="str">
        <f t="shared" ref="F3138:F3204" si="148">LEFT(TEXT(D3138,"mmmm"),3)</f>
        <v>Dec</v>
      </c>
      <c r="G3138" s="17" t="s">
        <v>22</v>
      </c>
      <c r="H3138" s="17" t="s">
        <v>15</v>
      </c>
      <c r="I3138" s="24">
        <v>173812.0217843492</v>
      </c>
      <c r="J3138" s="32">
        <v>36</v>
      </c>
      <c r="K3138" s="17" t="s">
        <v>24</v>
      </c>
      <c r="L3138" s="24">
        <v>3547.73</v>
      </c>
      <c r="M3138" s="24">
        <v>4895.82</v>
      </c>
      <c r="N3138" s="34">
        <f>((sales_data_1[[#This Row],[Unit_Price]]*(1-sales_data_1[[#This Row],[Discount]]))-sales_data_1[[#This Row],[Unit_Cost]])*sales_data_1[[#This Row],[Quantity_Sold]]</f>
        <v>46768.744799999986</v>
      </c>
      <c r="O3138" s="17" t="s">
        <v>17</v>
      </c>
      <c r="P3138" s="26">
        <v>0.01</v>
      </c>
      <c r="Q3138" s="17" t="s">
        <v>25</v>
      </c>
      <c r="R3138" s="17" t="s">
        <v>19</v>
      </c>
      <c r="S3138" s="50" t="str">
        <f t="shared" ref="S3138:S3204" si="149">_xlfn.CONCAT(G3138,"-",H3138)</f>
        <v>David-North</v>
      </c>
      <c r="T3138" s="59" t="str">
        <f>IF(ROUND(sales_data_1[[#This Row],[Profit_Margin]],2)=ROUND((sales_data_1[[#This Row],[Unit_Price]]*(1-sales_data_1[[#This Row],[Discount]]) - sales_data_1[[#This Row],[Unit_Cost]])*sales_data_1[[#This Row],[Quantity_Sold]],2), "PASS", "CHECK")</f>
        <v>PASS</v>
      </c>
    </row>
    <row r="3139" spans="1:20" x14ac:dyDescent="0.35">
      <c r="A3139" s="7">
        <v>3138</v>
      </c>
      <c r="B3139" s="9">
        <v>1059</v>
      </c>
      <c r="C3139" s="14" t="str">
        <f>IFERROR(_xlfn.TEXTJOIN("-", TRUE, _xlfn.XLOOKUP(K3139, product_category_id_lookup!$A$2:$A$5, product_category_id_lookup!$B$2:$B$5), B3139), "Unknown Category")</f>
        <v>ctg-1059</v>
      </c>
      <c r="D3139" s="8">
        <v>45638</v>
      </c>
      <c r="E3139" s="14">
        <f t="shared" si="147"/>
        <v>2024</v>
      </c>
      <c r="F3139" s="29" t="str">
        <f t="shared" si="148"/>
        <v>Dec</v>
      </c>
      <c r="G3139" s="17" t="s">
        <v>33</v>
      </c>
      <c r="H3139" s="17" t="s">
        <v>15</v>
      </c>
      <c r="I3139" s="24">
        <v>41285.392200000002</v>
      </c>
      <c r="J3139" s="32">
        <v>13</v>
      </c>
      <c r="K3139" s="17" t="s">
        <v>26</v>
      </c>
      <c r="L3139" s="24">
        <v>2643.14</v>
      </c>
      <c r="M3139" s="24">
        <v>3692.79</v>
      </c>
      <c r="N3139" s="34">
        <f>((sales_data_1[[#This Row],[Unit_Price]]*(1-sales_data_1[[#This Row],[Discount]]))-sales_data_1[[#This Row],[Unit_Cost]])*sales_data_1[[#This Row],[Quantity_Sold]]</f>
        <v>6924.5722000000005</v>
      </c>
      <c r="O3139" s="17" t="s">
        <v>17</v>
      </c>
      <c r="P3139" s="26">
        <v>0.14000000000000001</v>
      </c>
      <c r="Q3139" s="17" t="s">
        <v>25</v>
      </c>
      <c r="R3139" s="17" t="s">
        <v>21</v>
      </c>
      <c r="S3139" s="50" t="str">
        <f t="shared" si="149"/>
        <v>Alice-North</v>
      </c>
      <c r="T3139" s="59" t="str">
        <f>IF(ROUND(sales_data_1[[#This Row],[Profit_Margin]],2)=ROUND((sales_data_1[[#This Row],[Unit_Price]]*(1-sales_data_1[[#This Row],[Discount]]) - sales_data_1[[#This Row],[Unit_Cost]])*sales_data_1[[#This Row],[Quantity_Sold]],2), "PASS", "CHECK")</f>
        <v>PASS</v>
      </c>
    </row>
    <row r="3140" spans="1:20" x14ac:dyDescent="0.35">
      <c r="A3140" s="7">
        <v>3139</v>
      </c>
      <c r="B3140" s="9">
        <v>1011</v>
      </c>
      <c r="C3140" s="14" t="str">
        <f>IFERROR(_xlfn.TEXTJOIN("-", TRUE, _xlfn.XLOOKUP(K3140, product_category_id_lookup!$A$2:$A$5, product_category_id_lookup!$B$2:$B$5), B3140), "Unknown Category")</f>
        <v>ctg-1011</v>
      </c>
      <c r="D3140" s="8">
        <v>45638</v>
      </c>
      <c r="E3140" s="14">
        <f t="shared" si="147"/>
        <v>2024</v>
      </c>
      <c r="F3140" s="29" t="str">
        <f t="shared" si="148"/>
        <v>Dec</v>
      </c>
      <c r="G3140" s="17" t="s">
        <v>29</v>
      </c>
      <c r="H3140" s="17" t="s">
        <v>15</v>
      </c>
      <c r="I3140" s="24">
        <v>94200.8508</v>
      </c>
      <c r="J3140" s="32">
        <v>29</v>
      </c>
      <c r="K3140" s="17" t="s">
        <v>26</v>
      </c>
      <c r="L3140" s="24">
        <v>2136.79</v>
      </c>
      <c r="M3140" s="24">
        <v>3867.03</v>
      </c>
      <c r="N3140" s="34">
        <f>((sales_data_1[[#This Row],[Unit_Price]]*(1-sales_data_1[[#This Row],[Discount]]))-sales_data_1[[#This Row],[Unit_Cost]])*sales_data_1[[#This Row],[Quantity_Sold]]</f>
        <v>32233.940800000008</v>
      </c>
      <c r="O3140" s="17" t="s">
        <v>27</v>
      </c>
      <c r="P3140" s="26">
        <v>0.16</v>
      </c>
      <c r="Q3140" s="17" t="s">
        <v>25</v>
      </c>
      <c r="R3140" s="17" t="s">
        <v>21</v>
      </c>
      <c r="S3140" s="50" t="str">
        <f t="shared" si="149"/>
        <v>Charlie-North</v>
      </c>
      <c r="T3140" s="59" t="str">
        <f>IF(ROUND(sales_data_1[[#This Row],[Profit_Margin]],2)=ROUND((sales_data_1[[#This Row],[Unit_Price]]*(1-sales_data_1[[#This Row],[Discount]]) - sales_data_1[[#This Row],[Unit_Cost]])*sales_data_1[[#This Row],[Quantity_Sold]],2), "PASS", "CHECK")</f>
        <v>PASS</v>
      </c>
    </row>
    <row r="3141" spans="1:20" x14ac:dyDescent="0.35">
      <c r="A3141" s="7">
        <v>3140</v>
      </c>
      <c r="B3141" s="9">
        <v>1073</v>
      </c>
      <c r="C3141" s="14" t="str">
        <f>IFERROR(_xlfn.TEXTJOIN("-", TRUE, _xlfn.XLOOKUP(K3141, product_category_id_lookup!$A$2:$A$5, product_category_id_lookup!$B$2:$B$5), B3141), "Unknown Category")</f>
        <v>fnt-1073</v>
      </c>
      <c r="D3141" s="8">
        <v>45638</v>
      </c>
      <c r="E3141" s="14">
        <f t="shared" si="147"/>
        <v>2024</v>
      </c>
      <c r="F3141" s="29" t="str">
        <f t="shared" si="148"/>
        <v>Dec</v>
      </c>
      <c r="G3141" s="17" t="s">
        <v>29</v>
      </c>
      <c r="H3141" s="17" t="s">
        <v>20</v>
      </c>
      <c r="I3141" s="24">
        <v>102045.02</v>
      </c>
      <c r="J3141" s="32">
        <v>50</v>
      </c>
      <c r="K3141" s="17" t="s">
        <v>16</v>
      </c>
      <c r="L3141" s="24">
        <v>1202.26</v>
      </c>
      <c r="M3141" s="24">
        <v>2650.52</v>
      </c>
      <c r="N3141" s="34">
        <f>((sales_data_1[[#This Row],[Unit_Price]]*(1-sales_data_1[[#This Row],[Discount]]))-sales_data_1[[#This Row],[Unit_Cost]])*sales_data_1[[#This Row],[Quantity_Sold]]</f>
        <v>41932.019999999997</v>
      </c>
      <c r="O3141" s="17" t="s">
        <v>17</v>
      </c>
      <c r="P3141" s="26">
        <v>0.23</v>
      </c>
      <c r="Q3141" s="17" t="s">
        <v>18</v>
      </c>
      <c r="R3141" s="17" t="s">
        <v>21</v>
      </c>
      <c r="S3141" s="50" t="str">
        <f t="shared" si="149"/>
        <v>Charlie-West</v>
      </c>
      <c r="T3141" s="59" t="str">
        <f>IF(ROUND(sales_data_1[[#This Row],[Profit_Margin]],2)=ROUND((sales_data_1[[#This Row],[Unit_Price]]*(1-sales_data_1[[#This Row],[Discount]]) - sales_data_1[[#This Row],[Unit_Cost]])*sales_data_1[[#This Row],[Quantity_Sold]],2), "PASS", "CHECK")</f>
        <v>PASS</v>
      </c>
    </row>
    <row r="3142" spans="1:20" x14ac:dyDescent="0.35">
      <c r="A3142" s="7">
        <v>3141</v>
      </c>
      <c r="B3142" s="9">
        <v>1019</v>
      </c>
      <c r="C3142" s="14" t="str">
        <f>IFERROR(_xlfn.TEXTJOIN("-", TRUE, _xlfn.XLOOKUP(K3142, product_category_id_lookup!$A$2:$A$5, product_category_id_lookup!$B$2:$B$5), B3142), "Unknown Category")</f>
        <v>ctg-1019</v>
      </c>
      <c r="D3142" s="8">
        <v>45639</v>
      </c>
      <c r="E3142" s="14">
        <f t="shared" si="147"/>
        <v>2024</v>
      </c>
      <c r="F3142" s="29" t="str">
        <f t="shared" si="148"/>
        <v>Dec</v>
      </c>
      <c r="G3142" s="17" t="s">
        <v>14</v>
      </c>
      <c r="H3142" s="17" t="s">
        <v>23</v>
      </c>
      <c r="I3142" s="24">
        <v>18300.672000000002</v>
      </c>
      <c r="J3142" s="32">
        <v>9</v>
      </c>
      <c r="K3142" s="17" t="s">
        <v>26</v>
      </c>
      <c r="L3142" s="24">
        <v>441.05</v>
      </c>
      <c r="M3142" s="24">
        <v>2541.7600000000002</v>
      </c>
      <c r="N3142" s="34">
        <f>((sales_data_1[[#This Row],[Unit_Price]]*(1-sales_data_1[[#This Row],[Discount]]))-sales_data_1[[#This Row],[Unit_Cost]])*sales_data_1[[#This Row],[Quantity_Sold]]</f>
        <v>14331.222000000003</v>
      </c>
      <c r="O3142" s="17" t="s">
        <v>27</v>
      </c>
      <c r="P3142" s="26">
        <v>0.2</v>
      </c>
      <c r="Q3142" s="17" t="s">
        <v>28</v>
      </c>
      <c r="R3142" s="17" t="s">
        <v>21</v>
      </c>
      <c r="S3142" s="50" t="str">
        <f t="shared" si="149"/>
        <v>Bob-South</v>
      </c>
      <c r="T3142" s="59" t="str">
        <f>IF(ROUND(sales_data_1[[#This Row],[Profit_Margin]],2)=ROUND((sales_data_1[[#This Row],[Unit_Price]]*(1-sales_data_1[[#This Row],[Discount]]) - sales_data_1[[#This Row],[Unit_Cost]])*sales_data_1[[#This Row],[Quantity_Sold]],2), "PASS", "CHECK")</f>
        <v>PASS</v>
      </c>
    </row>
    <row r="3143" spans="1:20" x14ac:dyDescent="0.35">
      <c r="A3143" s="7">
        <v>3142</v>
      </c>
      <c r="B3143" s="9">
        <v>1022</v>
      </c>
      <c r="C3143" s="14" t="str">
        <f>IFERROR(_xlfn.TEXTJOIN("-", TRUE, _xlfn.XLOOKUP(K3143, product_category_id_lookup!$A$2:$A$5, product_category_id_lookup!$B$2:$B$5), B3143), "Unknown Category")</f>
        <v>ctg-1022</v>
      </c>
      <c r="D3143" s="8">
        <v>45639</v>
      </c>
      <c r="E3143" s="14">
        <f t="shared" si="147"/>
        <v>2024</v>
      </c>
      <c r="F3143" s="29" t="str">
        <f t="shared" si="148"/>
        <v>Dec</v>
      </c>
      <c r="G3143" s="17" t="s">
        <v>14</v>
      </c>
      <c r="H3143" s="17" t="s">
        <v>30</v>
      </c>
      <c r="I3143" s="24">
        <v>260345.75999999998</v>
      </c>
      <c r="J3143" s="32">
        <v>50</v>
      </c>
      <c r="K3143" s="17" t="s">
        <v>26</v>
      </c>
      <c r="L3143" s="24">
        <v>695</v>
      </c>
      <c r="M3143" s="24">
        <v>5423.87</v>
      </c>
      <c r="N3143" s="34">
        <f>((sales_data_1[[#This Row],[Unit_Price]]*(1-sales_data_1[[#This Row],[Discount]]))-sales_data_1[[#This Row],[Unit_Cost]])*sales_data_1[[#This Row],[Quantity_Sold]]</f>
        <v>225595.75999999998</v>
      </c>
      <c r="O3143" s="17" t="s">
        <v>17</v>
      </c>
      <c r="P3143" s="26">
        <v>0.04</v>
      </c>
      <c r="Q3143" s="17" t="s">
        <v>18</v>
      </c>
      <c r="R3143" s="17" t="s">
        <v>21</v>
      </c>
      <c r="S3143" s="50" t="str">
        <f t="shared" si="149"/>
        <v>Bob-East</v>
      </c>
      <c r="T3143" s="59" t="str">
        <f>IF(ROUND(sales_data_1[[#This Row],[Profit_Margin]],2)=ROUND((sales_data_1[[#This Row],[Unit_Price]]*(1-sales_data_1[[#This Row],[Discount]]) - sales_data_1[[#This Row],[Unit_Cost]])*sales_data_1[[#This Row],[Quantity_Sold]],2), "PASS", "CHECK")</f>
        <v>PASS</v>
      </c>
    </row>
    <row r="3144" spans="1:20" x14ac:dyDescent="0.35">
      <c r="A3144" s="7">
        <v>3143</v>
      </c>
      <c r="B3144" s="9">
        <v>1071</v>
      </c>
      <c r="C3144" s="14" t="str">
        <f>IFERROR(_xlfn.TEXTJOIN("-", TRUE, _xlfn.XLOOKUP(K3144, product_category_id_lookup!$A$2:$A$5, product_category_id_lookup!$B$2:$B$5), B3144), "Unknown Category")</f>
        <v>fd-1071</v>
      </c>
      <c r="D3144" s="8">
        <v>45640</v>
      </c>
      <c r="E3144" s="14">
        <f t="shared" si="147"/>
        <v>2024</v>
      </c>
      <c r="F3144" s="29" t="str">
        <f t="shared" si="148"/>
        <v>Dec</v>
      </c>
      <c r="G3144" s="17" t="s">
        <v>14</v>
      </c>
      <c r="H3144" s="17" t="s">
        <v>30</v>
      </c>
      <c r="I3144" s="24">
        <v>14509.871999999999</v>
      </c>
      <c r="J3144" s="32">
        <v>13</v>
      </c>
      <c r="K3144" s="17" t="s">
        <v>24</v>
      </c>
      <c r="L3144" s="24">
        <v>431.74</v>
      </c>
      <c r="M3144" s="24">
        <v>1213.2</v>
      </c>
      <c r="N3144" s="34">
        <f>((sales_data_1[[#This Row],[Unit_Price]]*(1-sales_data_1[[#This Row],[Discount]]))-sales_data_1[[#This Row],[Unit_Cost]])*sales_data_1[[#This Row],[Quantity_Sold]]</f>
        <v>8897.2520000000004</v>
      </c>
      <c r="O3144" s="17" t="s">
        <v>27</v>
      </c>
      <c r="P3144" s="26">
        <v>0.08</v>
      </c>
      <c r="Q3144" s="17" t="s">
        <v>25</v>
      </c>
      <c r="R3144" s="17" t="s">
        <v>21</v>
      </c>
      <c r="S3144" s="50" t="str">
        <f t="shared" si="149"/>
        <v>Bob-East</v>
      </c>
      <c r="T3144" s="59" t="str">
        <f>IF(ROUND(sales_data_1[[#This Row],[Profit_Margin]],2)=ROUND((sales_data_1[[#This Row],[Unit_Price]]*(1-sales_data_1[[#This Row],[Discount]]) - sales_data_1[[#This Row],[Unit_Cost]])*sales_data_1[[#This Row],[Quantity_Sold]],2), "PASS", "CHECK")</f>
        <v>PASS</v>
      </c>
    </row>
    <row r="3145" spans="1:20" x14ac:dyDescent="0.35">
      <c r="A3145" s="7">
        <v>3144</v>
      </c>
      <c r="B3145" s="9">
        <v>1083</v>
      </c>
      <c r="C3145" s="14" t="str">
        <f>IFERROR(_xlfn.TEXTJOIN("-", TRUE, _xlfn.XLOOKUP(K3145, product_category_id_lookup!$A$2:$A$5, product_category_id_lookup!$B$2:$B$5), B3145), "Unknown Category")</f>
        <v>ctg-1083</v>
      </c>
      <c r="D3145" s="8">
        <v>45640</v>
      </c>
      <c r="E3145" s="14">
        <f t="shared" si="147"/>
        <v>2024</v>
      </c>
      <c r="F3145" s="29" t="str">
        <f t="shared" si="148"/>
        <v>Dec</v>
      </c>
      <c r="G3145" s="17" t="s">
        <v>14</v>
      </c>
      <c r="H3145" s="17" t="s">
        <v>15</v>
      </c>
      <c r="I3145" s="24">
        <v>155960.80000000002</v>
      </c>
      <c r="J3145" s="32">
        <v>50</v>
      </c>
      <c r="K3145" s="17" t="s">
        <v>26</v>
      </c>
      <c r="L3145" s="24">
        <v>2410.2399999999998</v>
      </c>
      <c r="M3145" s="24">
        <v>3899.02</v>
      </c>
      <c r="N3145" s="34">
        <f>((sales_data_1[[#This Row],[Unit_Price]]*(1-sales_data_1[[#This Row],[Discount]]))-sales_data_1[[#This Row],[Unit_Cost]])*sales_data_1[[#This Row],[Quantity_Sold]]</f>
        <v>35448.800000000032</v>
      </c>
      <c r="O3145" s="17" t="s">
        <v>17</v>
      </c>
      <c r="P3145" s="26">
        <v>0.2</v>
      </c>
      <c r="Q3145" s="17" t="s">
        <v>18</v>
      </c>
      <c r="R3145" s="17" t="s">
        <v>19</v>
      </c>
      <c r="S3145" s="50" t="str">
        <f t="shared" si="149"/>
        <v>Bob-North</v>
      </c>
      <c r="T3145" s="59" t="str">
        <f>IF(ROUND(sales_data_1[[#This Row],[Profit_Margin]],2)=ROUND((sales_data_1[[#This Row],[Unit_Price]]*(1-sales_data_1[[#This Row],[Discount]]) - sales_data_1[[#This Row],[Unit_Cost]])*sales_data_1[[#This Row],[Quantity_Sold]],2), "PASS", "CHECK")</f>
        <v>PASS</v>
      </c>
    </row>
    <row r="3146" spans="1:20" x14ac:dyDescent="0.35">
      <c r="A3146" s="7">
        <v>3145</v>
      </c>
      <c r="B3146" s="9">
        <v>1035</v>
      </c>
      <c r="C3146" s="14" t="str">
        <f>IFERROR(_xlfn.TEXTJOIN("-", TRUE, _xlfn.XLOOKUP(K3146, product_category_id_lookup!$A$2:$A$5, product_category_id_lookup!$B$2:$B$5), B3146), "Unknown Category")</f>
        <v>etc-1035</v>
      </c>
      <c r="D3146" s="8">
        <v>45641</v>
      </c>
      <c r="E3146" s="14">
        <f t="shared" si="147"/>
        <v>2024</v>
      </c>
      <c r="F3146" s="29" t="str">
        <f t="shared" si="148"/>
        <v>Dec</v>
      </c>
      <c r="G3146" s="17" t="s">
        <v>14</v>
      </c>
      <c r="H3146" s="17" t="s">
        <v>15</v>
      </c>
      <c r="I3146" s="24">
        <v>3156.9823999999999</v>
      </c>
      <c r="J3146" s="32">
        <v>4</v>
      </c>
      <c r="K3146" s="17" t="s">
        <v>31</v>
      </c>
      <c r="L3146" s="24">
        <v>499.71</v>
      </c>
      <c r="M3146" s="24">
        <v>896.87</v>
      </c>
      <c r="N3146" s="34">
        <f>((sales_data_1[[#This Row],[Unit_Price]]*(1-sales_data_1[[#This Row],[Discount]]))-sales_data_1[[#This Row],[Unit_Cost]])*sales_data_1[[#This Row],[Quantity_Sold]]</f>
        <v>1158.1424</v>
      </c>
      <c r="O3146" s="17" t="s">
        <v>17</v>
      </c>
      <c r="P3146" s="26">
        <v>0.12</v>
      </c>
      <c r="Q3146" s="17" t="s">
        <v>18</v>
      </c>
      <c r="R3146" s="17" t="s">
        <v>19</v>
      </c>
      <c r="S3146" s="50" t="str">
        <f t="shared" si="149"/>
        <v>Bob-North</v>
      </c>
      <c r="T3146" s="59" t="str">
        <f>IF(ROUND(sales_data_1[[#This Row],[Profit_Margin]],2)=ROUND((sales_data_1[[#This Row],[Unit_Price]]*(1-sales_data_1[[#This Row],[Discount]]) - sales_data_1[[#This Row],[Unit_Cost]])*sales_data_1[[#This Row],[Quantity_Sold]],2), "PASS", "CHECK")</f>
        <v>PASS</v>
      </c>
    </row>
    <row r="3147" spans="1:20" x14ac:dyDescent="0.35">
      <c r="A3147" s="7">
        <v>3146</v>
      </c>
      <c r="B3147" s="9">
        <v>1033</v>
      </c>
      <c r="C3147" s="14" t="str">
        <f>IFERROR(_xlfn.TEXTJOIN("-", TRUE, _xlfn.XLOOKUP(K3147, product_category_id_lookup!$A$2:$A$5, product_category_id_lookup!$B$2:$B$5), B3147), "Unknown Category")</f>
        <v>fd-1033</v>
      </c>
      <c r="D3147" s="8">
        <v>45641</v>
      </c>
      <c r="E3147" s="14">
        <f t="shared" si="147"/>
        <v>2024</v>
      </c>
      <c r="F3147" s="29" t="str">
        <f t="shared" si="148"/>
        <v>Dec</v>
      </c>
      <c r="G3147" s="17" t="s">
        <v>22</v>
      </c>
      <c r="H3147" s="17" t="s">
        <v>30</v>
      </c>
      <c r="I3147" s="24">
        <v>69664.284900000013</v>
      </c>
      <c r="J3147" s="32">
        <v>49</v>
      </c>
      <c r="K3147" s="17" t="s">
        <v>24</v>
      </c>
      <c r="L3147" s="24">
        <v>704.23</v>
      </c>
      <c r="M3147" s="24">
        <v>1755.21</v>
      </c>
      <c r="N3147" s="34">
        <f>((sales_data_1[[#This Row],[Unit_Price]]*(1-sales_data_1[[#This Row],[Discount]]))-sales_data_1[[#This Row],[Unit_Cost]])*sales_data_1[[#This Row],[Quantity_Sold]]</f>
        <v>35157.014900000009</v>
      </c>
      <c r="O3147" s="17" t="s">
        <v>27</v>
      </c>
      <c r="P3147" s="26">
        <v>0.19</v>
      </c>
      <c r="Q3147" s="17" t="s">
        <v>28</v>
      </c>
      <c r="R3147" s="17" t="s">
        <v>21</v>
      </c>
      <c r="S3147" s="50" t="str">
        <f t="shared" si="149"/>
        <v>David-East</v>
      </c>
      <c r="T3147" s="59" t="str">
        <f>IF(ROUND(sales_data_1[[#This Row],[Profit_Margin]],2)=ROUND((sales_data_1[[#This Row],[Unit_Price]]*(1-sales_data_1[[#This Row],[Discount]]) - sales_data_1[[#This Row],[Unit_Cost]])*sales_data_1[[#This Row],[Quantity_Sold]],2), "PASS", "CHECK")</f>
        <v>PASS</v>
      </c>
    </row>
    <row r="3148" spans="1:20" x14ac:dyDescent="0.35">
      <c r="A3148" s="7">
        <v>3147</v>
      </c>
      <c r="B3148" s="9">
        <v>1052</v>
      </c>
      <c r="C3148" s="14" t="str">
        <f>IFERROR(_xlfn.TEXTJOIN("-", TRUE, _xlfn.XLOOKUP(K3148, product_category_id_lookup!$A$2:$A$5, product_category_id_lookup!$B$2:$B$5), B3148), "Unknown Category")</f>
        <v>fnt-1052</v>
      </c>
      <c r="D3148" s="8">
        <v>45641</v>
      </c>
      <c r="E3148" s="14">
        <f t="shared" si="147"/>
        <v>2024</v>
      </c>
      <c r="F3148" s="29" t="str">
        <f t="shared" si="148"/>
        <v>Dec</v>
      </c>
      <c r="G3148" s="17" t="s">
        <v>22</v>
      </c>
      <c r="H3148" s="17" t="s">
        <v>15</v>
      </c>
      <c r="I3148" s="24">
        <v>93789.116999999984</v>
      </c>
      <c r="J3148" s="32">
        <v>45</v>
      </c>
      <c r="K3148" s="17" t="s">
        <v>16</v>
      </c>
      <c r="L3148" s="24">
        <v>1299.03</v>
      </c>
      <c r="M3148" s="24">
        <v>2816.49</v>
      </c>
      <c r="N3148" s="34">
        <f>((sales_data_1[[#This Row],[Unit_Price]]*(1-sales_data_1[[#This Row],[Discount]]))-sales_data_1[[#This Row],[Unit_Cost]])*sales_data_1[[#This Row],[Quantity_Sold]]</f>
        <v>35332.766999999985</v>
      </c>
      <c r="O3148" s="17" t="s">
        <v>17</v>
      </c>
      <c r="P3148" s="26">
        <v>0.26</v>
      </c>
      <c r="Q3148" s="17" t="s">
        <v>18</v>
      </c>
      <c r="R3148" s="17" t="s">
        <v>21</v>
      </c>
      <c r="S3148" s="50" t="str">
        <f t="shared" si="149"/>
        <v>David-North</v>
      </c>
      <c r="T3148" s="59" t="str">
        <f>IF(ROUND(sales_data_1[[#This Row],[Profit_Margin]],2)=ROUND((sales_data_1[[#This Row],[Unit_Price]]*(1-sales_data_1[[#This Row],[Discount]]) - sales_data_1[[#This Row],[Unit_Cost]])*sales_data_1[[#This Row],[Quantity_Sold]],2), "PASS", "CHECK")</f>
        <v>PASS</v>
      </c>
    </row>
    <row r="3149" spans="1:20" x14ac:dyDescent="0.35">
      <c r="A3149" s="7">
        <v>3148</v>
      </c>
      <c r="B3149" s="9">
        <v>1021</v>
      </c>
      <c r="C3149" s="14" t="str">
        <f>IFERROR(_xlfn.TEXTJOIN("-", TRUE, _xlfn.XLOOKUP(K3149, product_category_id_lookup!$A$2:$A$5, product_category_id_lookup!$B$2:$B$5), B3149), "Unknown Category")</f>
        <v>fnt-1021</v>
      </c>
      <c r="D3149" s="8">
        <v>45641</v>
      </c>
      <c r="E3149" s="14">
        <f t="shared" si="147"/>
        <v>2024</v>
      </c>
      <c r="F3149" s="29" t="str">
        <f t="shared" si="148"/>
        <v>Dec</v>
      </c>
      <c r="G3149" s="17" t="s">
        <v>22</v>
      </c>
      <c r="H3149" s="17" t="s">
        <v>23</v>
      </c>
      <c r="I3149" s="24">
        <v>116354.97720000001</v>
      </c>
      <c r="J3149" s="32">
        <v>33</v>
      </c>
      <c r="K3149" s="17" t="s">
        <v>16</v>
      </c>
      <c r="L3149" s="24">
        <v>2183.2600000000002</v>
      </c>
      <c r="M3149" s="24">
        <v>4197.51</v>
      </c>
      <c r="N3149" s="34">
        <f>((sales_data_1[[#This Row],[Unit_Price]]*(1-sales_data_1[[#This Row],[Discount]]))-sales_data_1[[#This Row],[Unit_Cost]])*sales_data_1[[#This Row],[Quantity_Sold]]</f>
        <v>44307.397199999999</v>
      </c>
      <c r="O3149" s="17" t="s">
        <v>17</v>
      </c>
      <c r="P3149" s="26">
        <v>0.16</v>
      </c>
      <c r="Q3149" s="17" t="s">
        <v>28</v>
      </c>
      <c r="R3149" s="17" t="s">
        <v>19</v>
      </c>
      <c r="S3149" s="50" t="str">
        <f t="shared" si="149"/>
        <v>David-South</v>
      </c>
      <c r="T3149" s="59" t="str">
        <f>IF(ROUND(sales_data_1[[#This Row],[Profit_Margin]],2)=ROUND((sales_data_1[[#This Row],[Unit_Price]]*(1-sales_data_1[[#This Row],[Discount]]) - sales_data_1[[#This Row],[Unit_Cost]])*sales_data_1[[#This Row],[Quantity_Sold]],2), "PASS", "CHECK")</f>
        <v>PASS</v>
      </c>
    </row>
    <row r="3150" spans="1:20" x14ac:dyDescent="0.35">
      <c r="A3150" s="7">
        <v>3149</v>
      </c>
      <c r="B3150" s="9">
        <v>1087</v>
      </c>
      <c r="C3150" s="14" t="str">
        <f>IFERROR(_xlfn.TEXTJOIN("-", TRUE, _xlfn.XLOOKUP(K3150, product_category_id_lookup!$A$2:$A$5, product_category_id_lookup!$B$2:$B$5), B3150), "Unknown Category")</f>
        <v>fd-1087</v>
      </c>
      <c r="D3150" s="8">
        <v>45641</v>
      </c>
      <c r="E3150" s="14">
        <f t="shared" si="147"/>
        <v>2024</v>
      </c>
      <c r="F3150" s="29" t="str">
        <f t="shared" si="148"/>
        <v>Dec</v>
      </c>
      <c r="G3150" s="17" t="s">
        <v>32</v>
      </c>
      <c r="H3150" s="17" t="s">
        <v>15</v>
      </c>
      <c r="I3150" s="24">
        <v>160964.32519999999</v>
      </c>
      <c r="J3150" s="32">
        <v>43</v>
      </c>
      <c r="K3150" s="17" t="s">
        <v>24</v>
      </c>
      <c r="L3150" s="24">
        <v>166.14</v>
      </c>
      <c r="M3150" s="24">
        <v>4352.74</v>
      </c>
      <c r="N3150" s="34">
        <f>((sales_data_1[[#This Row],[Unit_Price]]*(1-sales_data_1[[#This Row],[Discount]]))-sales_data_1[[#This Row],[Unit_Cost]])*sales_data_1[[#This Row],[Quantity_Sold]]</f>
        <v>153820.3052</v>
      </c>
      <c r="O3150" s="17" t="s">
        <v>27</v>
      </c>
      <c r="P3150" s="26">
        <v>0.14000000000000001</v>
      </c>
      <c r="Q3150" s="17" t="s">
        <v>28</v>
      </c>
      <c r="R3150" s="17" t="s">
        <v>21</v>
      </c>
      <c r="S3150" s="50" t="str">
        <f t="shared" si="149"/>
        <v>Eve-North</v>
      </c>
      <c r="T3150" s="59" t="str">
        <f>IF(ROUND(sales_data_1[[#This Row],[Profit_Margin]],2)=ROUND((sales_data_1[[#This Row],[Unit_Price]]*(1-sales_data_1[[#This Row],[Discount]]) - sales_data_1[[#This Row],[Unit_Cost]])*sales_data_1[[#This Row],[Quantity_Sold]],2), "PASS", "CHECK")</f>
        <v>PASS</v>
      </c>
    </row>
    <row r="3151" spans="1:20" x14ac:dyDescent="0.35">
      <c r="A3151" s="7">
        <v>3150</v>
      </c>
      <c r="B3151" s="9">
        <v>1006</v>
      </c>
      <c r="C3151" s="14" t="str">
        <f>IFERROR(_xlfn.TEXTJOIN("-", TRUE, _xlfn.XLOOKUP(K3151, product_category_id_lookup!$A$2:$A$5, product_category_id_lookup!$B$2:$B$5), B3151), "Unknown Category")</f>
        <v>ctg-1006</v>
      </c>
      <c r="D3151" s="8">
        <v>45642</v>
      </c>
      <c r="E3151" s="14">
        <f t="shared" si="147"/>
        <v>2024</v>
      </c>
      <c r="F3151" s="29" t="str">
        <f t="shared" si="148"/>
        <v>Dec</v>
      </c>
      <c r="G3151" s="17" t="s">
        <v>33</v>
      </c>
      <c r="H3151" s="17" t="s">
        <v>15</v>
      </c>
      <c r="I3151" s="24">
        <v>138892.96960000001</v>
      </c>
      <c r="J3151" s="32">
        <v>49</v>
      </c>
      <c r="K3151" s="17" t="s">
        <v>26</v>
      </c>
      <c r="L3151" s="24">
        <v>1419.79</v>
      </c>
      <c r="M3151" s="24">
        <v>3221.08</v>
      </c>
      <c r="N3151" s="34">
        <f>((sales_data_1[[#This Row],[Unit_Price]]*(1-sales_data_1[[#This Row],[Discount]]))-sales_data_1[[#This Row],[Unit_Cost]])*sales_data_1[[#This Row],[Quantity_Sold]]</f>
        <v>69323.259600000005</v>
      </c>
      <c r="O3151" s="17" t="s">
        <v>27</v>
      </c>
      <c r="P3151" s="26">
        <v>0.12</v>
      </c>
      <c r="Q3151" s="17" t="s">
        <v>28</v>
      </c>
      <c r="R3151" s="17" t="s">
        <v>19</v>
      </c>
      <c r="S3151" s="50" t="str">
        <f t="shared" si="149"/>
        <v>Alice-North</v>
      </c>
      <c r="T3151" s="59" t="str">
        <f>IF(ROUND(sales_data_1[[#This Row],[Profit_Margin]],2)=ROUND((sales_data_1[[#This Row],[Unit_Price]]*(1-sales_data_1[[#This Row],[Discount]]) - sales_data_1[[#This Row],[Unit_Cost]])*sales_data_1[[#This Row],[Quantity_Sold]],2), "PASS", "CHECK")</f>
        <v>PASS</v>
      </c>
    </row>
    <row r="3152" spans="1:20" x14ac:dyDescent="0.35">
      <c r="A3152" s="7">
        <v>3151</v>
      </c>
      <c r="B3152" s="9">
        <v>1040</v>
      </c>
      <c r="C3152" s="14" t="str">
        <f>IFERROR(_xlfn.TEXTJOIN("-", TRUE, _xlfn.XLOOKUP(K3152, product_category_id_lookup!$A$2:$A$5, product_category_id_lookup!$B$2:$B$5), B3152), "Unknown Category")</f>
        <v>ctg-1040</v>
      </c>
      <c r="D3152" s="8">
        <v>45642</v>
      </c>
      <c r="E3152" s="14">
        <f t="shared" si="147"/>
        <v>2024</v>
      </c>
      <c r="F3152" s="29" t="str">
        <f t="shared" si="148"/>
        <v>Dec</v>
      </c>
      <c r="G3152" s="17" t="s">
        <v>14</v>
      </c>
      <c r="H3152" s="17" t="s">
        <v>20</v>
      </c>
      <c r="I3152" s="24">
        <v>168916.3432</v>
      </c>
      <c r="J3152" s="32">
        <v>44</v>
      </c>
      <c r="K3152" s="17" t="s">
        <v>26</v>
      </c>
      <c r="L3152" s="24">
        <v>1298.67</v>
      </c>
      <c r="M3152" s="24">
        <v>3957.74</v>
      </c>
      <c r="N3152" s="34">
        <f>((sales_data_1[[#This Row],[Unit_Price]]*(1-sales_data_1[[#This Row],[Discount]]))-sales_data_1[[#This Row],[Unit_Cost]])*sales_data_1[[#This Row],[Quantity_Sold]]</f>
        <v>111774.86319999999</v>
      </c>
      <c r="O3152" s="17" t="s">
        <v>27</v>
      </c>
      <c r="P3152" s="26">
        <v>0.03</v>
      </c>
      <c r="Q3152" s="17" t="s">
        <v>25</v>
      </c>
      <c r="R3152" s="17" t="s">
        <v>19</v>
      </c>
      <c r="S3152" s="50" t="str">
        <f t="shared" si="149"/>
        <v>Bob-West</v>
      </c>
      <c r="T3152" s="59" t="str">
        <f>IF(ROUND(sales_data_1[[#This Row],[Profit_Margin]],2)=ROUND((sales_data_1[[#This Row],[Unit_Price]]*(1-sales_data_1[[#This Row],[Discount]]) - sales_data_1[[#This Row],[Unit_Cost]])*sales_data_1[[#This Row],[Quantity_Sold]],2), "PASS", "CHECK")</f>
        <v>PASS</v>
      </c>
    </row>
    <row r="3153" spans="1:20" x14ac:dyDescent="0.35">
      <c r="A3153" s="7">
        <v>3152</v>
      </c>
      <c r="B3153" s="9">
        <v>1061</v>
      </c>
      <c r="C3153" s="14" t="str">
        <f>IFERROR(_xlfn.TEXTJOIN("-", TRUE, _xlfn.XLOOKUP(K3153, product_category_id_lookup!$A$2:$A$5, product_category_id_lookup!$B$2:$B$5), B3153), "Unknown Category")</f>
        <v>ctg-1061</v>
      </c>
      <c r="D3153" s="8">
        <v>45643</v>
      </c>
      <c r="E3153" s="14">
        <f t="shared" si="147"/>
        <v>2024</v>
      </c>
      <c r="F3153" s="29" t="str">
        <f t="shared" si="148"/>
        <v>Dec</v>
      </c>
      <c r="G3153" s="17" t="s">
        <v>33</v>
      </c>
      <c r="H3153" s="17" t="s">
        <v>20</v>
      </c>
      <c r="I3153" s="24">
        <v>23267.454000000002</v>
      </c>
      <c r="J3153" s="32">
        <v>7</v>
      </c>
      <c r="K3153" s="17" t="s">
        <v>26</v>
      </c>
      <c r="L3153" s="24">
        <v>2914.8</v>
      </c>
      <c r="M3153" s="24">
        <v>3957.05</v>
      </c>
      <c r="N3153" s="34">
        <f>((sales_data_1[[#This Row],[Unit_Price]]*(1-sales_data_1[[#This Row],[Discount]]))-sales_data_1[[#This Row],[Unit_Cost]])*sales_data_1[[#This Row],[Quantity_Sold]]</f>
        <v>2863.8539999999989</v>
      </c>
      <c r="O3153" s="17" t="s">
        <v>27</v>
      </c>
      <c r="P3153" s="26">
        <v>0.16</v>
      </c>
      <c r="Q3153" s="17" t="s">
        <v>18</v>
      </c>
      <c r="R3153" s="17" t="s">
        <v>19</v>
      </c>
      <c r="S3153" s="50" t="str">
        <f t="shared" si="149"/>
        <v>Alice-West</v>
      </c>
      <c r="T3153" s="59" t="str">
        <f>IF(ROUND(sales_data_1[[#This Row],[Profit_Margin]],2)=ROUND((sales_data_1[[#This Row],[Unit_Price]]*(1-sales_data_1[[#This Row],[Discount]]) - sales_data_1[[#This Row],[Unit_Cost]])*sales_data_1[[#This Row],[Quantity_Sold]],2), "PASS", "CHECK")</f>
        <v>PASS</v>
      </c>
    </row>
    <row r="3154" spans="1:20" x14ac:dyDescent="0.35">
      <c r="A3154" s="7">
        <v>3153</v>
      </c>
      <c r="B3154" s="9">
        <v>1022</v>
      </c>
      <c r="C3154" s="14" t="str">
        <f>IFERROR(_xlfn.TEXTJOIN("-", TRUE, _xlfn.XLOOKUP(K3154, product_category_id_lookup!$A$2:$A$5, product_category_id_lookup!$B$2:$B$5), B3154), "Unknown Category")</f>
        <v>fnt-1022</v>
      </c>
      <c r="D3154" s="8">
        <v>45643</v>
      </c>
      <c r="E3154" s="14">
        <f t="shared" si="147"/>
        <v>2024</v>
      </c>
      <c r="F3154" s="29" t="str">
        <f t="shared" si="148"/>
        <v>Dec</v>
      </c>
      <c r="G3154" s="17" t="s">
        <v>29</v>
      </c>
      <c r="H3154" s="17" t="s">
        <v>15</v>
      </c>
      <c r="I3154" s="24">
        <v>67916.815200000012</v>
      </c>
      <c r="J3154" s="32">
        <v>37</v>
      </c>
      <c r="K3154" s="17" t="s">
        <v>16</v>
      </c>
      <c r="L3154" s="24">
        <v>1495.67</v>
      </c>
      <c r="M3154" s="24">
        <v>2353.3200000000002</v>
      </c>
      <c r="N3154" s="34">
        <f>((sales_data_1[[#This Row],[Unit_Price]]*(1-sales_data_1[[#This Row],[Discount]]))-sales_data_1[[#This Row],[Unit_Cost]])*sales_data_1[[#This Row],[Quantity_Sold]]</f>
        <v>12577.025200000007</v>
      </c>
      <c r="O3154" s="17" t="s">
        <v>17</v>
      </c>
      <c r="P3154" s="26">
        <v>0.22</v>
      </c>
      <c r="Q3154" s="17" t="s">
        <v>28</v>
      </c>
      <c r="R3154" s="17" t="s">
        <v>21</v>
      </c>
      <c r="S3154" s="50" t="str">
        <f t="shared" si="149"/>
        <v>Charlie-North</v>
      </c>
      <c r="T3154" s="59" t="str">
        <f>IF(ROUND(sales_data_1[[#This Row],[Profit_Margin]],2)=ROUND((sales_data_1[[#This Row],[Unit_Price]]*(1-sales_data_1[[#This Row],[Discount]]) - sales_data_1[[#This Row],[Unit_Cost]])*sales_data_1[[#This Row],[Quantity_Sold]],2), "PASS", "CHECK")</f>
        <v>PASS</v>
      </c>
    </row>
    <row r="3155" spans="1:20" x14ac:dyDescent="0.35">
      <c r="A3155" s="7">
        <v>3154</v>
      </c>
      <c r="B3155" s="9">
        <v>1007</v>
      </c>
      <c r="C3155" s="14" t="str">
        <f>IFERROR(_xlfn.TEXTJOIN("-", TRUE, _xlfn.XLOOKUP(K3155, product_category_id_lookup!$A$2:$A$5, product_category_id_lookup!$B$2:$B$5), B3155), "Unknown Category")</f>
        <v>fnt-1007</v>
      </c>
      <c r="D3155" s="8">
        <v>45643</v>
      </c>
      <c r="E3155" s="14">
        <f t="shared" si="147"/>
        <v>2024</v>
      </c>
      <c r="F3155" s="29" t="str">
        <f t="shared" si="148"/>
        <v>Dec</v>
      </c>
      <c r="G3155" s="17" t="s">
        <v>32</v>
      </c>
      <c r="H3155" s="17" t="s">
        <v>30</v>
      </c>
      <c r="I3155" s="24">
        <v>34557.03</v>
      </c>
      <c r="J3155" s="32">
        <v>30</v>
      </c>
      <c r="K3155" s="17" t="s">
        <v>16</v>
      </c>
      <c r="L3155" s="24">
        <v>682.21</v>
      </c>
      <c r="M3155" s="24">
        <v>1279.8900000000001</v>
      </c>
      <c r="N3155" s="34">
        <f>((sales_data_1[[#This Row],[Unit_Price]]*(1-sales_data_1[[#This Row],[Discount]]))-sales_data_1[[#This Row],[Unit_Cost]])*sales_data_1[[#This Row],[Quantity_Sold]]</f>
        <v>14090.730000000001</v>
      </c>
      <c r="O3155" s="17" t="s">
        <v>27</v>
      </c>
      <c r="P3155" s="26">
        <v>0.1</v>
      </c>
      <c r="Q3155" s="17" t="s">
        <v>28</v>
      </c>
      <c r="R3155" s="17" t="s">
        <v>19</v>
      </c>
      <c r="S3155" s="50" t="str">
        <f t="shared" si="149"/>
        <v>Eve-East</v>
      </c>
      <c r="T3155" s="59" t="str">
        <f>IF(ROUND(sales_data_1[[#This Row],[Profit_Margin]],2)=ROUND((sales_data_1[[#This Row],[Unit_Price]]*(1-sales_data_1[[#This Row],[Discount]]) - sales_data_1[[#This Row],[Unit_Cost]])*sales_data_1[[#This Row],[Quantity_Sold]],2), "PASS", "CHECK")</f>
        <v>PASS</v>
      </c>
    </row>
    <row r="3156" spans="1:20" x14ac:dyDescent="0.35">
      <c r="A3156" s="7">
        <v>3155</v>
      </c>
      <c r="B3156" s="9">
        <v>1072</v>
      </c>
      <c r="C3156" s="14" t="str">
        <f>IFERROR(_xlfn.TEXTJOIN("-", TRUE, _xlfn.XLOOKUP(K3156, product_category_id_lookup!$A$2:$A$5, product_category_id_lookup!$B$2:$B$5), B3156), "Unknown Category")</f>
        <v>fd-1072</v>
      </c>
      <c r="D3156" s="8">
        <v>45643</v>
      </c>
      <c r="E3156" s="14">
        <f t="shared" si="147"/>
        <v>2024</v>
      </c>
      <c r="F3156" s="29" t="str">
        <f t="shared" si="148"/>
        <v>Dec</v>
      </c>
      <c r="G3156" s="17" t="s">
        <v>22</v>
      </c>
      <c r="H3156" s="17" t="s">
        <v>23</v>
      </c>
      <c r="I3156" s="24">
        <v>60014.745599999995</v>
      </c>
      <c r="J3156" s="32">
        <v>16</v>
      </c>
      <c r="K3156" s="17" t="s">
        <v>24</v>
      </c>
      <c r="L3156" s="24">
        <v>1512.81</v>
      </c>
      <c r="M3156" s="24">
        <v>3907.21</v>
      </c>
      <c r="N3156" s="34">
        <f>((sales_data_1[[#This Row],[Unit_Price]]*(1-sales_data_1[[#This Row],[Discount]]))-sales_data_1[[#This Row],[Unit_Cost]])*sales_data_1[[#This Row],[Quantity_Sold]]</f>
        <v>35809.785599999996</v>
      </c>
      <c r="O3156" s="17" t="s">
        <v>17</v>
      </c>
      <c r="P3156" s="26">
        <v>0.04</v>
      </c>
      <c r="Q3156" s="17" t="s">
        <v>28</v>
      </c>
      <c r="R3156" s="17" t="s">
        <v>19</v>
      </c>
      <c r="S3156" s="50" t="str">
        <f t="shared" si="149"/>
        <v>David-South</v>
      </c>
      <c r="T3156" s="59" t="str">
        <f>IF(ROUND(sales_data_1[[#This Row],[Profit_Margin]],2)=ROUND((sales_data_1[[#This Row],[Unit_Price]]*(1-sales_data_1[[#This Row],[Discount]]) - sales_data_1[[#This Row],[Unit_Cost]])*sales_data_1[[#This Row],[Quantity_Sold]],2), "PASS", "CHECK")</f>
        <v>PASS</v>
      </c>
    </row>
    <row r="3157" spans="1:20" x14ac:dyDescent="0.35">
      <c r="A3157" s="7">
        <v>3156</v>
      </c>
      <c r="B3157" s="9">
        <v>1080</v>
      </c>
      <c r="C3157" s="14" t="str">
        <f>IFERROR(_xlfn.TEXTJOIN("-", TRUE, _xlfn.XLOOKUP(K3157, product_category_id_lookup!$A$2:$A$5, product_category_id_lookup!$B$2:$B$5), B3157), "Unknown Category")</f>
        <v>etc-1080</v>
      </c>
      <c r="D3157" s="8">
        <v>45644</v>
      </c>
      <c r="E3157" s="14">
        <f t="shared" si="147"/>
        <v>2024</v>
      </c>
      <c r="F3157" s="29" t="str">
        <f t="shared" si="148"/>
        <v>Dec</v>
      </c>
      <c r="G3157" s="17" t="s">
        <v>29</v>
      </c>
      <c r="H3157" s="17" t="s">
        <v>15</v>
      </c>
      <c r="I3157" s="24">
        <v>51050.008290686113</v>
      </c>
      <c r="J3157" s="32">
        <v>22</v>
      </c>
      <c r="K3157" s="17" t="s">
        <v>31</v>
      </c>
      <c r="L3157" s="24">
        <v>2301.83</v>
      </c>
      <c r="M3157" s="24">
        <v>2326.9499999999998</v>
      </c>
      <c r="N3157" s="34">
        <f>((sales_data_1[[#This Row],[Unit_Price]]*(1-sales_data_1[[#This Row],[Discount]]))-sales_data_1[[#This Row],[Unit_Cost]])*sales_data_1[[#This Row],[Quantity_Sold]]</f>
        <v>552.6399999999976</v>
      </c>
      <c r="O3157" s="17" t="s">
        <v>17</v>
      </c>
      <c r="P3157" s="26">
        <v>0</v>
      </c>
      <c r="Q3157" s="17" t="s">
        <v>18</v>
      </c>
      <c r="R3157" s="17" t="s">
        <v>19</v>
      </c>
      <c r="S3157" s="50" t="str">
        <f t="shared" si="149"/>
        <v>Charlie-North</v>
      </c>
      <c r="T3157" s="59" t="str">
        <f>IF(ROUND(sales_data_1[[#This Row],[Profit_Margin]],2)=ROUND((sales_data_1[[#This Row],[Unit_Price]]*(1-sales_data_1[[#This Row],[Discount]]) - sales_data_1[[#This Row],[Unit_Cost]])*sales_data_1[[#This Row],[Quantity_Sold]],2), "PASS", "CHECK")</f>
        <v>PASS</v>
      </c>
    </row>
    <row r="3158" spans="1:20" x14ac:dyDescent="0.35">
      <c r="A3158" s="7">
        <v>3157</v>
      </c>
      <c r="B3158" s="9">
        <v>1007</v>
      </c>
      <c r="C3158" s="14" t="str">
        <f>IFERROR(_xlfn.TEXTJOIN("-", TRUE, _xlfn.XLOOKUP(K3158, product_category_id_lookup!$A$2:$A$5, product_category_id_lookup!$B$2:$B$5), B3158), "Unknown Category")</f>
        <v>etc-1007</v>
      </c>
      <c r="D3158" s="8">
        <v>45644</v>
      </c>
      <c r="E3158" s="14">
        <f t="shared" si="147"/>
        <v>2024</v>
      </c>
      <c r="F3158" s="29" t="str">
        <f t="shared" si="148"/>
        <v>Dec</v>
      </c>
      <c r="G3158" s="17" t="s">
        <v>32</v>
      </c>
      <c r="H3158" s="17" t="s">
        <v>15</v>
      </c>
      <c r="I3158" s="24">
        <v>115936.93409999998</v>
      </c>
      <c r="J3158" s="32">
        <v>41</v>
      </c>
      <c r="K3158" s="17" t="s">
        <v>31</v>
      </c>
      <c r="L3158" s="24">
        <v>2255.7199999999998</v>
      </c>
      <c r="M3158" s="24">
        <v>3040.57</v>
      </c>
      <c r="N3158" s="34">
        <f>((sales_data_1[[#This Row],[Unit_Price]]*(1-sales_data_1[[#This Row],[Discount]]))-sales_data_1[[#This Row],[Unit_Cost]])*sales_data_1[[#This Row],[Quantity_Sold]]</f>
        <v>23452.414099999998</v>
      </c>
      <c r="O3158" s="17" t="s">
        <v>17</v>
      </c>
      <c r="P3158" s="26">
        <v>7.0000000000000007E-2</v>
      </c>
      <c r="Q3158" s="17" t="s">
        <v>28</v>
      </c>
      <c r="R3158" s="17" t="s">
        <v>19</v>
      </c>
      <c r="S3158" s="50" t="str">
        <f t="shared" si="149"/>
        <v>Eve-North</v>
      </c>
      <c r="T3158" s="59" t="str">
        <f>IF(ROUND(sales_data_1[[#This Row],[Profit_Margin]],2)=ROUND((sales_data_1[[#This Row],[Unit_Price]]*(1-sales_data_1[[#This Row],[Discount]]) - sales_data_1[[#This Row],[Unit_Cost]])*sales_data_1[[#This Row],[Quantity_Sold]],2), "PASS", "CHECK")</f>
        <v>PASS</v>
      </c>
    </row>
    <row r="3159" spans="1:20" x14ac:dyDescent="0.35">
      <c r="A3159" s="7">
        <v>3158</v>
      </c>
      <c r="B3159" s="9">
        <v>1013</v>
      </c>
      <c r="C3159" s="14" t="str">
        <f>IFERROR(_xlfn.TEXTJOIN("-", TRUE, _xlfn.XLOOKUP(K3159, product_category_id_lookup!$A$2:$A$5, product_category_id_lookup!$B$2:$B$5), B3159), "Unknown Category")</f>
        <v>fd-1013</v>
      </c>
      <c r="D3159" s="8">
        <v>45644</v>
      </c>
      <c r="E3159" s="14">
        <f t="shared" si="147"/>
        <v>2024</v>
      </c>
      <c r="F3159" s="29" t="str">
        <f t="shared" si="148"/>
        <v>Dec</v>
      </c>
      <c r="G3159" s="17" t="s">
        <v>29</v>
      </c>
      <c r="H3159" s="17" t="s">
        <v>23</v>
      </c>
      <c r="I3159" s="24">
        <v>64640.1152</v>
      </c>
      <c r="J3159" s="32">
        <v>16</v>
      </c>
      <c r="K3159" s="17" t="s">
        <v>24</v>
      </c>
      <c r="L3159" s="24">
        <v>1155.98</v>
      </c>
      <c r="M3159" s="24">
        <v>4297.88</v>
      </c>
      <c r="N3159" s="34">
        <f>((sales_data_1[[#This Row],[Unit_Price]]*(1-sales_data_1[[#This Row],[Discount]]))-sales_data_1[[#This Row],[Unit_Cost]])*sales_data_1[[#This Row],[Quantity_Sold]]</f>
        <v>46144.4352</v>
      </c>
      <c r="O3159" s="17" t="s">
        <v>27</v>
      </c>
      <c r="P3159" s="26">
        <v>0.06</v>
      </c>
      <c r="Q3159" s="17" t="s">
        <v>28</v>
      </c>
      <c r="R3159" s="17" t="s">
        <v>19</v>
      </c>
      <c r="S3159" s="50" t="str">
        <f t="shared" si="149"/>
        <v>Charlie-South</v>
      </c>
      <c r="T3159" s="59" t="str">
        <f>IF(ROUND(sales_data_1[[#This Row],[Profit_Margin]],2)=ROUND((sales_data_1[[#This Row],[Unit_Price]]*(1-sales_data_1[[#This Row],[Discount]]) - sales_data_1[[#This Row],[Unit_Cost]])*sales_data_1[[#This Row],[Quantity_Sold]],2), "PASS", "CHECK")</f>
        <v>PASS</v>
      </c>
    </row>
    <row r="3160" spans="1:20" x14ac:dyDescent="0.35">
      <c r="A3160" s="7">
        <v>3159</v>
      </c>
      <c r="B3160" s="9">
        <v>1005</v>
      </c>
      <c r="C3160" s="14" t="str">
        <f>IFERROR(_xlfn.TEXTJOIN("-", TRUE, _xlfn.XLOOKUP(K3160, product_category_id_lookup!$A$2:$A$5, product_category_id_lookup!$B$2:$B$5), B3160), "Unknown Category")</f>
        <v>fnt-1005</v>
      </c>
      <c r="D3160" s="8">
        <v>45644</v>
      </c>
      <c r="E3160" s="14">
        <f t="shared" si="147"/>
        <v>2024</v>
      </c>
      <c r="F3160" s="29" t="str">
        <f t="shared" si="148"/>
        <v>Dec</v>
      </c>
      <c r="G3160" s="17" t="s">
        <v>32</v>
      </c>
      <c r="H3160" s="17" t="s">
        <v>15</v>
      </c>
      <c r="I3160" s="24">
        <v>73444.579200000007</v>
      </c>
      <c r="J3160" s="32">
        <v>18</v>
      </c>
      <c r="K3160" s="17" t="s">
        <v>16</v>
      </c>
      <c r="L3160" s="24">
        <v>661.81</v>
      </c>
      <c r="M3160" s="24">
        <v>4975.92</v>
      </c>
      <c r="N3160" s="34">
        <f>((sales_data_1[[#This Row],[Unit_Price]]*(1-sales_data_1[[#This Row],[Discount]]))-sales_data_1[[#This Row],[Unit_Cost]])*sales_data_1[[#This Row],[Quantity_Sold]]</f>
        <v>61531.999200000006</v>
      </c>
      <c r="O3160" s="17" t="s">
        <v>17</v>
      </c>
      <c r="P3160" s="26">
        <v>0.18</v>
      </c>
      <c r="Q3160" s="17" t="s">
        <v>18</v>
      </c>
      <c r="R3160" s="17" t="s">
        <v>21</v>
      </c>
      <c r="S3160" s="50" t="str">
        <f t="shared" si="149"/>
        <v>Eve-North</v>
      </c>
      <c r="T3160" s="59" t="str">
        <f>IF(ROUND(sales_data_1[[#This Row],[Profit_Margin]],2)=ROUND((sales_data_1[[#This Row],[Unit_Price]]*(1-sales_data_1[[#This Row],[Discount]]) - sales_data_1[[#This Row],[Unit_Cost]])*sales_data_1[[#This Row],[Quantity_Sold]],2), "PASS", "CHECK")</f>
        <v>PASS</v>
      </c>
    </row>
    <row r="3161" spans="1:20" x14ac:dyDescent="0.35">
      <c r="A3161" s="7">
        <v>3160</v>
      </c>
      <c r="B3161" s="9">
        <v>1005</v>
      </c>
      <c r="C3161" s="14" t="str">
        <f>IFERROR(_xlfn.TEXTJOIN("-", TRUE, _xlfn.XLOOKUP(K3161, product_category_id_lookup!$A$2:$A$5, product_category_id_lookup!$B$2:$B$5), B3161), "Unknown Category")</f>
        <v>etc-1005</v>
      </c>
      <c r="D3161" s="8">
        <v>45644</v>
      </c>
      <c r="E3161" s="14">
        <f t="shared" si="147"/>
        <v>2024</v>
      </c>
      <c r="F3161" s="29" t="str">
        <f t="shared" si="148"/>
        <v>Dec</v>
      </c>
      <c r="G3161" s="17" t="s">
        <v>29</v>
      </c>
      <c r="H3161" s="17" t="s">
        <v>15</v>
      </c>
      <c r="I3161" s="24">
        <v>109554.03359999998</v>
      </c>
      <c r="J3161" s="32">
        <v>33</v>
      </c>
      <c r="K3161" s="17" t="s">
        <v>31</v>
      </c>
      <c r="L3161" s="24">
        <v>1052.1400000000001</v>
      </c>
      <c r="M3161" s="24">
        <v>4610.8599999999997</v>
      </c>
      <c r="N3161" s="34">
        <f>((sales_data_1[[#This Row],[Unit_Price]]*(1-sales_data_1[[#This Row],[Discount]]))-sales_data_1[[#This Row],[Unit_Cost]])*sales_data_1[[#This Row],[Quantity_Sold]]</f>
        <v>74833.413599999985</v>
      </c>
      <c r="O3161" s="17" t="s">
        <v>17</v>
      </c>
      <c r="P3161" s="26">
        <v>0.28000000000000003</v>
      </c>
      <c r="Q3161" s="17" t="s">
        <v>18</v>
      </c>
      <c r="R3161" s="17" t="s">
        <v>19</v>
      </c>
      <c r="S3161" s="50" t="str">
        <f t="shared" si="149"/>
        <v>Charlie-North</v>
      </c>
      <c r="T3161" s="59" t="str">
        <f>IF(ROUND(sales_data_1[[#This Row],[Profit_Margin]],2)=ROUND((sales_data_1[[#This Row],[Unit_Price]]*(1-sales_data_1[[#This Row],[Discount]]) - sales_data_1[[#This Row],[Unit_Cost]])*sales_data_1[[#This Row],[Quantity_Sold]],2), "PASS", "CHECK")</f>
        <v>PASS</v>
      </c>
    </row>
    <row r="3162" spans="1:20" x14ac:dyDescent="0.35">
      <c r="A3162" s="7">
        <v>3161</v>
      </c>
      <c r="B3162" s="9">
        <v>1071</v>
      </c>
      <c r="C3162" s="14" t="str">
        <f>IFERROR(_xlfn.TEXTJOIN("-", TRUE, _xlfn.XLOOKUP(K3162, product_category_id_lookup!$A$2:$A$5, product_category_id_lookup!$B$2:$B$5), B3162), "Unknown Category")</f>
        <v>ctg-1071</v>
      </c>
      <c r="D3162" s="8">
        <v>45645</v>
      </c>
      <c r="E3162" s="14">
        <f t="shared" si="147"/>
        <v>2024</v>
      </c>
      <c r="F3162" s="29" t="str">
        <f t="shared" si="148"/>
        <v>Dec</v>
      </c>
      <c r="G3162" s="17" t="s">
        <v>29</v>
      </c>
      <c r="H3162" s="17" t="s">
        <v>30</v>
      </c>
      <c r="I3162" s="24">
        <v>2946.1562999999996</v>
      </c>
      <c r="J3162" s="32">
        <v>1</v>
      </c>
      <c r="K3162" s="17" t="s">
        <v>26</v>
      </c>
      <c r="L3162" s="24">
        <v>387.59</v>
      </c>
      <c r="M3162" s="24">
        <v>3167.91</v>
      </c>
      <c r="N3162" s="34">
        <f>((sales_data_1[[#This Row],[Unit_Price]]*(1-sales_data_1[[#This Row],[Discount]]))-sales_data_1[[#This Row],[Unit_Cost]])*sales_data_1[[#This Row],[Quantity_Sold]]</f>
        <v>2558.5662999999995</v>
      </c>
      <c r="O3162" s="17" t="s">
        <v>27</v>
      </c>
      <c r="P3162" s="26">
        <v>7.0000000000000007E-2</v>
      </c>
      <c r="Q3162" s="17" t="s">
        <v>28</v>
      </c>
      <c r="R3162" s="17" t="s">
        <v>21</v>
      </c>
      <c r="S3162" s="50" t="str">
        <f t="shared" si="149"/>
        <v>Charlie-East</v>
      </c>
      <c r="T3162" s="59" t="str">
        <f>IF(ROUND(sales_data_1[[#This Row],[Profit_Margin]],2)=ROUND((sales_data_1[[#This Row],[Unit_Price]]*(1-sales_data_1[[#This Row],[Discount]]) - sales_data_1[[#This Row],[Unit_Cost]])*sales_data_1[[#This Row],[Quantity_Sold]],2), "PASS", "CHECK")</f>
        <v>PASS</v>
      </c>
    </row>
    <row r="3163" spans="1:20" x14ac:dyDescent="0.35">
      <c r="A3163" s="7">
        <v>3162</v>
      </c>
      <c r="B3163" s="9">
        <v>1017</v>
      </c>
      <c r="C3163" s="14" t="str">
        <f>IFERROR(_xlfn.TEXTJOIN("-", TRUE, _xlfn.XLOOKUP(K3163, product_category_id_lookup!$A$2:$A$5, product_category_id_lookup!$B$2:$B$5), B3163), "Unknown Category")</f>
        <v>fd-1017</v>
      </c>
      <c r="D3163" s="8">
        <v>45645</v>
      </c>
      <c r="E3163" s="14">
        <f t="shared" si="147"/>
        <v>2024</v>
      </c>
      <c r="F3163" s="29" t="str">
        <f t="shared" si="148"/>
        <v>Dec</v>
      </c>
      <c r="G3163" s="17" t="s">
        <v>32</v>
      </c>
      <c r="H3163" s="17" t="s">
        <v>30</v>
      </c>
      <c r="I3163" s="24">
        <v>45963.8102</v>
      </c>
      <c r="J3163" s="32">
        <v>11</v>
      </c>
      <c r="K3163" s="17" t="s">
        <v>24</v>
      </c>
      <c r="L3163" s="24">
        <v>837.16</v>
      </c>
      <c r="M3163" s="24">
        <v>5426.66</v>
      </c>
      <c r="N3163" s="34">
        <f>((sales_data_1[[#This Row],[Unit_Price]]*(1-sales_data_1[[#This Row],[Discount]]))-sales_data_1[[#This Row],[Unit_Cost]])*sales_data_1[[#This Row],[Quantity_Sold]]</f>
        <v>36755.050199999998</v>
      </c>
      <c r="O3163" s="17" t="s">
        <v>17</v>
      </c>
      <c r="P3163" s="26">
        <v>0.23</v>
      </c>
      <c r="Q3163" s="17" t="s">
        <v>18</v>
      </c>
      <c r="R3163" s="17" t="s">
        <v>19</v>
      </c>
      <c r="S3163" s="50" t="str">
        <f t="shared" si="149"/>
        <v>Eve-East</v>
      </c>
      <c r="T3163" s="59" t="str">
        <f>IF(ROUND(sales_data_1[[#This Row],[Profit_Margin]],2)=ROUND((sales_data_1[[#This Row],[Unit_Price]]*(1-sales_data_1[[#This Row],[Discount]]) - sales_data_1[[#This Row],[Unit_Cost]])*sales_data_1[[#This Row],[Quantity_Sold]],2), "PASS", "CHECK")</f>
        <v>PASS</v>
      </c>
    </row>
    <row r="3164" spans="1:20" x14ac:dyDescent="0.35">
      <c r="A3164" s="7">
        <v>3163</v>
      </c>
      <c r="B3164" s="9">
        <v>1043</v>
      </c>
      <c r="C3164" s="14" t="str">
        <f>IFERROR(_xlfn.TEXTJOIN("-", TRUE, _xlfn.XLOOKUP(K3164, product_category_id_lookup!$A$2:$A$5, product_category_id_lookup!$B$2:$B$5), B3164), "Unknown Category")</f>
        <v>ctg-1043</v>
      </c>
      <c r="D3164" s="8">
        <v>45645</v>
      </c>
      <c r="E3164" s="14">
        <f t="shared" si="147"/>
        <v>2024</v>
      </c>
      <c r="F3164" s="29" t="str">
        <f t="shared" si="148"/>
        <v>Dec</v>
      </c>
      <c r="G3164" s="17" t="s">
        <v>33</v>
      </c>
      <c r="H3164" s="17" t="s">
        <v>15</v>
      </c>
      <c r="I3164" s="24">
        <v>99949.952900000004</v>
      </c>
      <c r="J3164" s="32">
        <v>29</v>
      </c>
      <c r="K3164" s="17" t="s">
        <v>26</v>
      </c>
      <c r="L3164" s="24">
        <v>1334.15</v>
      </c>
      <c r="M3164" s="24">
        <v>4152.47</v>
      </c>
      <c r="N3164" s="34">
        <f>((sales_data_1[[#This Row],[Unit_Price]]*(1-sales_data_1[[#This Row],[Discount]]))-sales_data_1[[#This Row],[Unit_Cost]])*sales_data_1[[#This Row],[Quantity_Sold]]</f>
        <v>61259.602899999998</v>
      </c>
      <c r="O3164" s="17" t="s">
        <v>27</v>
      </c>
      <c r="P3164" s="26">
        <v>0.17</v>
      </c>
      <c r="Q3164" s="17" t="s">
        <v>25</v>
      </c>
      <c r="R3164" s="17" t="s">
        <v>21</v>
      </c>
      <c r="S3164" s="50" t="str">
        <f t="shared" si="149"/>
        <v>Alice-North</v>
      </c>
      <c r="T3164" s="59" t="str">
        <f>IF(ROUND(sales_data_1[[#This Row],[Profit_Margin]],2)=ROUND((sales_data_1[[#This Row],[Unit_Price]]*(1-sales_data_1[[#This Row],[Discount]]) - sales_data_1[[#This Row],[Unit_Cost]])*sales_data_1[[#This Row],[Quantity_Sold]],2), "PASS", "CHECK")</f>
        <v>PASS</v>
      </c>
    </row>
    <row r="3165" spans="1:20" x14ac:dyDescent="0.35">
      <c r="A3165" s="7">
        <v>3164</v>
      </c>
      <c r="B3165" s="9">
        <v>1028</v>
      </c>
      <c r="C3165" s="14" t="str">
        <f>IFERROR(_xlfn.TEXTJOIN("-", TRUE, _xlfn.XLOOKUP(K3165, product_category_id_lookup!$A$2:$A$5, product_category_id_lookup!$B$2:$B$5), B3165), "Unknown Category")</f>
        <v>fnt-1028</v>
      </c>
      <c r="D3165" s="8">
        <v>45646</v>
      </c>
      <c r="E3165" s="14">
        <f t="shared" si="147"/>
        <v>2024</v>
      </c>
      <c r="F3165" s="29" t="str">
        <f t="shared" si="148"/>
        <v>Dec</v>
      </c>
      <c r="G3165" s="17" t="s">
        <v>33</v>
      </c>
      <c r="H3165" s="17" t="s">
        <v>20</v>
      </c>
      <c r="I3165" s="24">
        <v>6586.8431999999993</v>
      </c>
      <c r="J3165" s="32">
        <v>24</v>
      </c>
      <c r="K3165" s="17" t="s">
        <v>16</v>
      </c>
      <c r="L3165" s="24">
        <v>73.540000000000006</v>
      </c>
      <c r="M3165" s="24">
        <v>319.13</v>
      </c>
      <c r="N3165" s="34">
        <f>((sales_data_1[[#This Row],[Unit_Price]]*(1-sales_data_1[[#This Row],[Discount]]))-sales_data_1[[#This Row],[Unit_Cost]])*sales_data_1[[#This Row],[Quantity_Sold]]</f>
        <v>4821.8831999999993</v>
      </c>
      <c r="O3165" s="17" t="s">
        <v>27</v>
      </c>
      <c r="P3165" s="26">
        <v>0.14000000000000001</v>
      </c>
      <c r="Q3165" s="17" t="s">
        <v>28</v>
      </c>
      <c r="R3165" s="17" t="s">
        <v>19</v>
      </c>
      <c r="S3165" s="50" t="str">
        <f t="shared" si="149"/>
        <v>Alice-West</v>
      </c>
      <c r="T3165" s="59" t="str">
        <f>IF(ROUND(sales_data_1[[#This Row],[Profit_Margin]],2)=ROUND((sales_data_1[[#This Row],[Unit_Price]]*(1-sales_data_1[[#This Row],[Discount]]) - sales_data_1[[#This Row],[Unit_Cost]])*sales_data_1[[#This Row],[Quantity_Sold]],2), "PASS", "CHECK")</f>
        <v>PASS</v>
      </c>
    </row>
    <row r="3166" spans="1:20" x14ac:dyDescent="0.35">
      <c r="A3166" s="7">
        <v>3165</v>
      </c>
      <c r="B3166" s="9">
        <v>1023</v>
      </c>
      <c r="C3166" s="14" t="str">
        <f>IFERROR(_xlfn.TEXTJOIN("-", TRUE, _xlfn.XLOOKUP(K3166, product_category_id_lookup!$A$2:$A$5, product_category_id_lookup!$B$2:$B$5), B3166), "Unknown Category")</f>
        <v>etc-1023</v>
      </c>
      <c r="D3166" s="8">
        <v>45646</v>
      </c>
      <c r="E3166" s="14">
        <f t="shared" si="147"/>
        <v>2024</v>
      </c>
      <c r="F3166" s="29" t="str">
        <f t="shared" si="148"/>
        <v>Dec</v>
      </c>
      <c r="G3166" s="17" t="s">
        <v>29</v>
      </c>
      <c r="H3166" s="17" t="s">
        <v>20</v>
      </c>
      <c r="I3166" s="24">
        <v>67066.691999999995</v>
      </c>
      <c r="J3166" s="32">
        <v>42</v>
      </c>
      <c r="K3166" s="17" t="s">
        <v>31</v>
      </c>
      <c r="L3166" s="24">
        <v>1251.69</v>
      </c>
      <c r="M3166" s="24">
        <v>2281.1799999999998</v>
      </c>
      <c r="N3166" s="34">
        <f>((sales_data_1[[#This Row],[Unit_Price]]*(1-sales_data_1[[#This Row],[Discount]]))-sales_data_1[[#This Row],[Unit_Cost]])*sales_data_1[[#This Row],[Quantity_Sold]]</f>
        <v>14495.711999999989</v>
      </c>
      <c r="O3166" s="17" t="s">
        <v>27</v>
      </c>
      <c r="P3166" s="26">
        <v>0.3</v>
      </c>
      <c r="Q3166" s="17" t="s">
        <v>28</v>
      </c>
      <c r="R3166" s="17" t="s">
        <v>21</v>
      </c>
      <c r="S3166" s="50" t="str">
        <f t="shared" si="149"/>
        <v>Charlie-West</v>
      </c>
      <c r="T3166" s="59" t="str">
        <f>IF(ROUND(sales_data_1[[#This Row],[Profit_Margin]],2)=ROUND((sales_data_1[[#This Row],[Unit_Price]]*(1-sales_data_1[[#This Row],[Discount]]) - sales_data_1[[#This Row],[Unit_Cost]])*sales_data_1[[#This Row],[Quantity_Sold]],2), "PASS", "CHECK")</f>
        <v>PASS</v>
      </c>
    </row>
    <row r="3167" spans="1:20" x14ac:dyDescent="0.35">
      <c r="A3167" s="7">
        <v>3166</v>
      </c>
      <c r="B3167" s="9">
        <v>1033</v>
      </c>
      <c r="C3167" s="14" t="str">
        <f>IFERROR(_xlfn.TEXTJOIN("-", TRUE, _xlfn.XLOOKUP(K3167, product_category_id_lookup!$A$2:$A$5, product_category_id_lookup!$B$2:$B$5), B3167), "Unknown Category")</f>
        <v>fnt-1033</v>
      </c>
      <c r="D3167" s="8">
        <v>45646</v>
      </c>
      <c r="E3167" s="14">
        <f t="shared" si="147"/>
        <v>2024</v>
      </c>
      <c r="F3167" s="29" t="str">
        <f t="shared" si="148"/>
        <v>Dec</v>
      </c>
      <c r="G3167" s="17" t="s">
        <v>33</v>
      </c>
      <c r="H3167" s="17" t="s">
        <v>30</v>
      </c>
      <c r="I3167" s="24">
        <v>101747.147</v>
      </c>
      <c r="J3167" s="32">
        <v>23</v>
      </c>
      <c r="K3167" s="17" t="s">
        <v>16</v>
      </c>
      <c r="L3167" s="24">
        <v>3613.12</v>
      </c>
      <c r="M3167" s="24">
        <v>4656.62</v>
      </c>
      <c r="N3167" s="34">
        <f>((sales_data_1[[#This Row],[Unit_Price]]*(1-sales_data_1[[#This Row],[Discount]]))-sales_data_1[[#This Row],[Unit_Cost]])*sales_data_1[[#This Row],[Quantity_Sold]]</f>
        <v>18645.386999999995</v>
      </c>
      <c r="O3167" s="17" t="s">
        <v>27</v>
      </c>
      <c r="P3167" s="26">
        <v>0.05</v>
      </c>
      <c r="Q3167" s="17" t="s">
        <v>18</v>
      </c>
      <c r="R3167" s="17" t="s">
        <v>21</v>
      </c>
      <c r="S3167" s="50" t="str">
        <f t="shared" si="149"/>
        <v>Alice-East</v>
      </c>
      <c r="T3167" s="59" t="str">
        <f>IF(ROUND(sales_data_1[[#This Row],[Profit_Margin]],2)=ROUND((sales_data_1[[#This Row],[Unit_Price]]*(1-sales_data_1[[#This Row],[Discount]]) - sales_data_1[[#This Row],[Unit_Cost]])*sales_data_1[[#This Row],[Quantity_Sold]],2), "PASS", "CHECK")</f>
        <v>PASS</v>
      </c>
    </row>
    <row r="3168" spans="1:20" x14ac:dyDescent="0.35">
      <c r="A3168" s="7">
        <v>3167</v>
      </c>
      <c r="B3168" s="9">
        <v>1097</v>
      </c>
      <c r="C3168" s="14" t="str">
        <f>IFERROR(_xlfn.TEXTJOIN("-", TRUE, _xlfn.XLOOKUP(K3168, product_category_id_lookup!$A$2:$A$5, product_category_id_lookup!$B$2:$B$5), B3168), "Unknown Category")</f>
        <v>ctg-1097</v>
      </c>
      <c r="D3168" s="8">
        <v>45647</v>
      </c>
      <c r="E3168" s="14">
        <f t="shared" si="147"/>
        <v>2024</v>
      </c>
      <c r="F3168" s="29" t="str">
        <f t="shared" si="148"/>
        <v>Dec</v>
      </c>
      <c r="G3168" s="17" t="s">
        <v>14</v>
      </c>
      <c r="H3168" s="17" t="s">
        <v>30</v>
      </c>
      <c r="I3168" s="24">
        <v>99214.315199999997</v>
      </c>
      <c r="J3168" s="32">
        <v>24</v>
      </c>
      <c r="K3168" s="17" t="s">
        <v>26</v>
      </c>
      <c r="L3168" s="24">
        <v>1740.44</v>
      </c>
      <c r="M3168" s="24">
        <v>4542.78</v>
      </c>
      <c r="N3168" s="34">
        <f>((sales_data_1[[#This Row],[Unit_Price]]*(1-sales_data_1[[#This Row],[Discount]]))-sales_data_1[[#This Row],[Unit_Cost]])*sales_data_1[[#This Row],[Quantity_Sold]]</f>
        <v>57443.7552</v>
      </c>
      <c r="O3168" s="17" t="s">
        <v>17</v>
      </c>
      <c r="P3168" s="26">
        <v>0.09</v>
      </c>
      <c r="Q3168" s="17" t="s">
        <v>18</v>
      </c>
      <c r="R3168" s="17" t="s">
        <v>21</v>
      </c>
      <c r="S3168" s="50" t="str">
        <f t="shared" si="149"/>
        <v>Bob-East</v>
      </c>
      <c r="T3168" s="59" t="str">
        <f>IF(ROUND(sales_data_1[[#This Row],[Profit_Margin]],2)=ROUND((sales_data_1[[#This Row],[Unit_Price]]*(1-sales_data_1[[#This Row],[Discount]]) - sales_data_1[[#This Row],[Unit_Cost]])*sales_data_1[[#This Row],[Quantity_Sold]],2), "PASS", "CHECK")</f>
        <v>PASS</v>
      </c>
    </row>
    <row r="3169" spans="1:20" x14ac:dyDescent="0.35">
      <c r="A3169" s="7">
        <v>3168</v>
      </c>
      <c r="B3169" s="9">
        <v>1070</v>
      </c>
      <c r="C3169" s="14" t="str">
        <f>IFERROR(_xlfn.TEXTJOIN("-", TRUE, _xlfn.XLOOKUP(K3169, product_category_id_lookup!$A$2:$A$5, product_category_id_lookup!$B$2:$B$5), B3169), "Unknown Category")</f>
        <v>etc-1070</v>
      </c>
      <c r="D3169" s="8">
        <v>45647</v>
      </c>
      <c r="E3169" s="14">
        <f t="shared" si="147"/>
        <v>2024</v>
      </c>
      <c r="F3169" s="29" t="str">
        <f t="shared" si="148"/>
        <v>Dec</v>
      </c>
      <c r="G3169" s="17" t="s">
        <v>32</v>
      </c>
      <c r="H3169" s="17" t="s">
        <v>20</v>
      </c>
      <c r="I3169" s="24">
        <v>185693.64749999999</v>
      </c>
      <c r="J3169" s="32">
        <v>45</v>
      </c>
      <c r="K3169" s="17" t="s">
        <v>31</v>
      </c>
      <c r="L3169" s="24">
        <v>354.34</v>
      </c>
      <c r="M3169" s="24">
        <v>5223.45</v>
      </c>
      <c r="N3169" s="34">
        <f>((sales_data_1[[#This Row],[Unit_Price]]*(1-sales_data_1[[#This Row],[Discount]]))-sales_data_1[[#This Row],[Unit_Cost]])*sales_data_1[[#This Row],[Quantity_Sold]]</f>
        <v>169748.34749999997</v>
      </c>
      <c r="O3169" s="17" t="s">
        <v>27</v>
      </c>
      <c r="P3169" s="26">
        <v>0.21</v>
      </c>
      <c r="Q3169" s="17" t="s">
        <v>25</v>
      </c>
      <c r="R3169" s="17" t="s">
        <v>21</v>
      </c>
      <c r="S3169" s="50" t="str">
        <f t="shared" si="149"/>
        <v>Eve-West</v>
      </c>
      <c r="T3169" s="59" t="str">
        <f>IF(ROUND(sales_data_1[[#This Row],[Profit_Margin]],2)=ROUND((sales_data_1[[#This Row],[Unit_Price]]*(1-sales_data_1[[#This Row],[Discount]]) - sales_data_1[[#This Row],[Unit_Cost]])*sales_data_1[[#This Row],[Quantity_Sold]],2), "PASS", "CHECK")</f>
        <v>PASS</v>
      </c>
    </row>
    <row r="3170" spans="1:20" x14ac:dyDescent="0.35">
      <c r="A3170" s="7">
        <v>3169</v>
      </c>
      <c r="B3170" s="9">
        <v>1064</v>
      </c>
      <c r="C3170" s="14" t="str">
        <f>IFERROR(_xlfn.TEXTJOIN("-", TRUE, _xlfn.XLOOKUP(K3170, product_category_id_lookup!$A$2:$A$5, product_category_id_lookup!$B$2:$B$5), B3170), "Unknown Category")</f>
        <v>ctg-1064</v>
      </c>
      <c r="D3170" s="8">
        <v>45648</v>
      </c>
      <c r="E3170" s="14">
        <f t="shared" si="147"/>
        <v>2024</v>
      </c>
      <c r="F3170" s="29" t="str">
        <f t="shared" si="148"/>
        <v>Dec</v>
      </c>
      <c r="G3170" s="17" t="s">
        <v>29</v>
      </c>
      <c r="H3170" s="17" t="s">
        <v>20</v>
      </c>
      <c r="I3170" s="24">
        <v>111625.37199999999</v>
      </c>
      <c r="J3170" s="32">
        <v>40</v>
      </c>
      <c r="K3170" s="17" t="s">
        <v>26</v>
      </c>
      <c r="L3170" s="24">
        <v>2750.15</v>
      </c>
      <c r="M3170" s="24">
        <v>3362.21</v>
      </c>
      <c r="N3170" s="34">
        <f>((sales_data_1[[#This Row],[Unit_Price]]*(1-sales_data_1[[#This Row],[Discount]]))-sales_data_1[[#This Row],[Unit_Cost]])*sales_data_1[[#This Row],[Quantity_Sold]]</f>
        <v>1619.3719999999848</v>
      </c>
      <c r="O3170" s="17" t="s">
        <v>17</v>
      </c>
      <c r="P3170" s="26">
        <v>0.17</v>
      </c>
      <c r="Q3170" s="17" t="s">
        <v>28</v>
      </c>
      <c r="R3170" s="17" t="s">
        <v>19</v>
      </c>
      <c r="S3170" s="50" t="str">
        <f t="shared" si="149"/>
        <v>Charlie-West</v>
      </c>
      <c r="T3170" s="59" t="str">
        <f>IF(ROUND(sales_data_1[[#This Row],[Profit_Margin]],2)=ROUND((sales_data_1[[#This Row],[Unit_Price]]*(1-sales_data_1[[#This Row],[Discount]]) - sales_data_1[[#This Row],[Unit_Cost]])*sales_data_1[[#This Row],[Quantity_Sold]],2), "PASS", "CHECK")</f>
        <v>PASS</v>
      </c>
    </row>
    <row r="3171" spans="1:20" x14ac:dyDescent="0.35">
      <c r="A3171" s="7">
        <v>3170</v>
      </c>
      <c r="B3171" s="9">
        <v>1026</v>
      </c>
      <c r="C3171" s="14" t="str">
        <f>IFERROR(_xlfn.TEXTJOIN("-", TRUE, _xlfn.XLOOKUP(K3171, product_category_id_lookup!$A$2:$A$5, product_category_id_lookup!$B$2:$B$5), B3171), "Unknown Category")</f>
        <v>fnt-1026</v>
      </c>
      <c r="D3171" s="8">
        <v>45648</v>
      </c>
      <c r="E3171" s="14">
        <f t="shared" si="147"/>
        <v>2024</v>
      </c>
      <c r="F3171" s="29" t="str">
        <f t="shared" si="148"/>
        <v>Dec</v>
      </c>
      <c r="G3171" s="17" t="s">
        <v>29</v>
      </c>
      <c r="H3171" s="17" t="s">
        <v>30</v>
      </c>
      <c r="I3171" s="24">
        <v>9604.5239999999994</v>
      </c>
      <c r="J3171" s="32">
        <v>4</v>
      </c>
      <c r="K3171" s="17" t="s">
        <v>16</v>
      </c>
      <c r="L3171" s="24">
        <v>362.76</v>
      </c>
      <c r="M3171" s="24">
        <v>2824.86</v>
      </c>
      <c r="N3171" s="34">
        <f>((sales_data_1[[#This Row],[Unit_Price]]*(1-sales_data_1[[#This Row],[Discount]]))-sales_data_1[[#This Row],[Unit_Cost]])*sales_data_1[[#This Row],[Quantity_Sold]]</f>
        <v>8153.4839999999995</v>
      </c>
      <c r="O3171" s="17" t="s">
        <v>27</v>
      </c>
      <c r="P3171" s="26">
        <v>0.15</v>
      </c>
      <c r="Q3171" s="17" t="s">
        <v>18</v>
      </c>
      <c r="R3171" s="17" t="s">
        <v>19</v>
      </c>
      <c r="S3171" s="50" t="str">
        <f t="shared" si="149"/>
        <v>Charlie-East</v>
      </c>
      <c r="T3171" s="59" t="str">
        <f>IF(ROUND(sales_data_1[[#This Row],[Profit_Margin]],2)=ROUND((sales_data_1[[#This Row],[Unit_Price]]*(1-sales_data_1[[#This Row],[Discount]]) - sales_data_1[[#This Row],[Unit_Cost]])*sales_data_1[[#This Row],[Quantity_Sold]],2), "PASS", "CHECK")</f>
        <v>PASS</v>
      </c>
    </row>
    <row r="3172" spans="1:20" x14ac:dyDescent="0.35">
      <c r="A3172" s="7">
        <v>3171</v>
      </c>
      <c r="B3172" s="9">
        <v>1059</v>
      </c>
      <c r="C3172" s="14" t="str">
        <f>IFERROR(_xlfn.TEXTJOIN("-", TRUE, _xlfn.XLOOKUP(K3172, product_category_id_lookup!$A$2:$A$5, product_category_id_lookup!$B$2:$B$5), B3172), "Unknown Category")</f>
        <v>ctg-1059</v>
      </c>
      <c r="D3172" s="8">
        <v>45648</v>
      </c>
      <c r="E3172" s="14">
        <f t="shared" si="147"/>
        <v>2024</v>
      </c>
      <c r="F3172" s="29" t="str">
        <f t="shared" si="148"/>
        <v>Dec</v>
      </c>
      <c r="G3172" s="17" t="s">
        <v>29</v>
      </c>
      <c r="H3172" s="17" t="s">
        <v>20</v>
      </c>
      <c r="I3172" s="24">
        <v>16535.136000000002</v>
      </c>
      <c r="J3172" s="32">
        <v>6</v>
      </c>
      <c r="K3172" s="17" t="s">
        <v>26</v>
      </c>
      <c r="L3172" s="24">
        <v>173.56</v>
      </c>
      <c r="M3172" s="24">
        <v>3360.8</v>
      </c>
      <c r="N3172" s="34">
        <f>((sales_data_1[[#This Row],[Unit_Price]]*(1-sales_data_1[[#This Row],[Discount]]))-sales_data_1[[#This Row],[Unit_Cost]])*sales_data_1[[#This Row],[Quantity_Sold]]</f>
        <v>15493.776000000002</v>
      </c>
      <c r="O3172" s="17" t="s">
        <v>27</v>
      </c>
      <c r="P3172" s="26">
        <v>0.18</v>
      </c>
      <c r="Q3172" s="17" t="s">
        <v>18</v>
      </c>
      <c r="R3172" s="17" t="s">
        <v>21</v>
      </c>
      <c r="S3172" s="50" t="str">
        <f t="shared" si="149"/>
        <v>Charlie-West</v>
      </c>
      <c r="T3172" s="59" t="str">
        <f>IF(ROUND(sales_data_1[[#This Row],[Profit_Margin]],2)=ROUND((sales_data_1[[#This Row],[Unit_Price]]*(1-sales_data_1[[#This Row],[Discount]]) - sales_data_1[[#This Row],[Unit_Cost]])*sales_data_1[[#This Row],[Quantity_Sold]],2), "PASS", "CHECK")</f>
        <v>PASS</v>
      </c>
    </row>
    <row r="3173" spans="1:20" x14ac:dyDescent="0.35">
      <c r="A3173" s="7">
        <v>3172</v>
      </c>
      <c r="B3173" s="9">
        <v>1028</v>
      </c>
      <c r="C3173" s="14" t="str">
        <f>IFERROR(_xlfn.TEXTJOIN("-", TRUE, _xlfn.XLOOKUP(K3173, product_category_id_lookup!$A$2:$A$5, product_category_id_lookup!$B$2:$B$5), B3173), "Unknown Category")</f>
        <v>ctg-1028</v>
      </c>
      <c r="D3173" s="8">
        <v>45648</v>
      </c>
      <c r="E3173" s="14">
        <f t="shared" si="147"/>
        <v>2024</v>
      </c>
      <c r="F3173" s="29" t="str">
        <f t="shared" si="148"/>
        <v>Dec</v>
      </c>
      <c r="G3173" s="17" t="s">
        <v>33</v>
      </c>
      <c r="H3173" s="17" t="s">
        <v>30</v>
      </c>
      <c r="I3173" s="24">
        <v>228735.84</v>
      </c>
      <c r="J3173" s="32">
        <v>50</v>
      </c>
      <c r="K3173" s="17" t="s">
        <v>26</v>
      </c>
      <c r="L3173" s="24">
        <v>3585.15</v>
      </c>
      <c r="M3173" s="24">
        <v>4866.72</v>
      </c>
      <c r="N3173" s="34">
        <f>((sales_data_1[[#This Row],[Unit_Price]]*(1-sales_data_1[[#This Row],[Discount]]))-sales_data_1[[#This Row],[Unit_Cost]])*sales_data_1[[#This Row],[Quantity_Sold]]</f>
        <v>49478.340000000004</v>
      </c>
      <c r="O3173" s="17" t="s">
        <v>17</v>
      </c>
      <c r="P3173" s="26">
        <v>0.06</v>
      </c>
      <c r="Q3173" s="17" t="s">
        <v>18</v>
      </c>
      <c r="R3173" s="17" t="s">
        <v>19</v>
      </c>
      <c r="S3173" s="50" t="str">
        <f t="shared" si="149"/>
        <v>Alice-East</v>
      </c>
      <c r="T3173" s="59" t="str">
        <f>IF(ROUND(sales_data_1[[#This Row],[Profit_Margin]],2)=ROUND((sales_data_1[[#This Row],[Unit_Price]]*(1-sales_data_1[[#This Row],[Discount]]) - sales_data_1[[#This Row],[Unit_Cost]])*sales_data_1[[#This Row],[Quantity_Sold]],2), "PASS", "CHECK")</f>
        <v>PASS</v>
      </c>
    </row>
    <row r="3174" spans="1:20" x14ac:dyDescent="0.35">
      <c r="A3174" s="7">
        <v>3173</v>
      </c>
      <c r="B3174" s="9">
        <v>1008</v>
      </c>
      <c r="C3174" s="14" t="str">
        <f>IFERROR(_xlfn.TEXTJOIN("-", TRUE, _xlfn.XLOOKUP(K3174, product_category_id_lookup!$A$2:$A$5, product_category_id_lookup!$B$2:$B$5), B3174), "Unknown Category")</f>
        <v>ctg-1008</v>
      </c>
      <c r="D3174" s="8">
        <v>45649</v>
      </c>
      <c r="E3174" s="14">
        <f t="shared" si="147"/>
        <v>2024</v>
      </c>
      <c r="F3174" s="29" t="str">
        <f t="shared" si="148"/>
        <v>Dec</v>
      </c>
      <c r="G3174" s="17" t="s">
        <v>29</v>
      </c>
      <c r="H3174" s="17" t="s">
        <v>23</v>
      </c>
      <c r="I3174" s="24">
        <v>58874.567999999999</v>
      </c>
      <c r="J3174" s="32">
        <v>20</v>
      </c>
      <c r="K3174" s="17" t="s">
        <v>26</v>
      </c>
      <c r="L3174" s="24">
        <v>1458.76</v>
      </c>
      <c r="M3174" s="24">
        <v>3422.94</v>
      </c>
      <c r="N3174" s="34">
        <f>((sales_data_1[[#This Row],[Unit_Price]]*(1-sales_data_1[[#This Row],[Discount]]))-sales_data_1[[#This Row],[Unit_Cost]])*sales_data_1[[#This Row],[Quantity_Sold]]</f>
        <v>29699.367999999999</v>
      </c>
      <c r="O3174" s="17" t="s">
        <v>27</v>
      </c>
      <c r="P3174" s="26">
        <v>0.14000000000000001</v>
      </c>
      <c r="Q3174" s="17" t="s">
        <v>25</v>
      </c>
      <c r="R3174" s="17" t="s">
        <v>21</v>
      </c>
      <c r="S3174" s="50" t="str">
        <f t="shared" si="149"/>
        <v>Charlie-South</v>
      </c>
      <c r="T3174" s="59" t="str">
        <f>IF(ROUND(sales_data_1[[#This Row],[Profit_Margin]],2)=ROUND((sales_data_1[[#This Row],[Unit_Price]]*(1-sales_data_1[[#This Row],[Discount]]) - sales_data_1[[#This Row],[Unit_Cost]])*sales_data_1[[#This Row],[Quantity_Sold]],2), "PASS", "CHECK")</f>
        <v>PASS</v>
      </c>
    </row>
    <row r="3175" spans="1:20" x14ac:dyDescent="0.35">
      <c r="A3175" s="7">
        <v>3174</v>
      </c>
      <c r="B3175" s="9">
        <v>1019</v>
      </c>
      <c r="C3175" s="14" t="str">
        <f>IFERROR(_xlfn.TEXTJOIN("-", TRUE, _xlfn.XLOOKUP(K3175, product_category_id_lookup!$A$2:$A$5, product_category_id_lookup!$B$2:$B$5), B3175), "Unknown Category")</f>
        <v>fd-1019</v>
      </c>
      <c r="D3175" s="8">
        <v>45650</v>
      </c>
      <c r="E3175" s="14">
        <f t="shared" si="147"/>
        <v>2024</v>
      </c>
      <c r="F3175" s="29" t="str">
        <f t="shared" si="148"/>
        <v>Dec</v>
      </c>
      <c r="G3175" s="17" t="s">
        <v>32</v>
      </c>
      <c r="H3175" s="17" t="s">
        <v>30</v>
      </c>
      <c r="I3175" s="24">
        <v>92295.478799999997</v>
      </c>
      <c r="J3175" s="32">
        <v>37</v>
      </c>
      <c r="K3175" s="17" t="s">
        <v>24</v>
      </c>
      <c r="L3175" s="24">
        <v>1124.3900000000001</v>
      </c>
      <c r="M3175" s="24">
        <v>2545.38</v>
      </c>
      <c r="N3175" s="34">
        <f>((sales_data_1[[#This Row],[Unit_Price]]*(1-sales_data_1[[#This Row],[Discount]]))-sales_data_1[[#This Row],[Unit_Cost]])*sales_data_1[[#This Row],[Quantity_Sold]]</f>
        <v>50693.048799999997</v>
      </c>
      <c r="O3175" s="17" t="s">
        <v>27</v>
      </c>
      <c r="P3175" s="26">
        <v>0.02</v>
      </c>
      <c r="Q3175" s="17" t="s">
        <v>25</v>
      </c>
      <c r="R3175" s="17" t="s">
        <v>19</v>
      </c>
      <c r="S3175" s="50" t="str">
        <f t="shared" si="149"/>
        <v>Eve-East</v>
      </c>
      <c r="T3175" s="59" t="str">
        <f>IF(ROUND(sales_data_1[[#This Row],[Profit_Margin]],2)=ROUND((sales_data_1[[#This Row],[Unit_Price]]*(1-sales_data_1[[#This Row],[Discount]]) - sales_data_1[[#This Row],[Unit_Cost]])*sales_data_1[[#This Row],[Quantity_Sold]],2), "PASS", "CHECK")</f>
        <v>PASS</v>
      </c>
    </row>
    <row r="3176" spans="1:20" x14ac:dyDescent="0.35">
      <c r="A3176" s="7">
        <v>3175</v>
      </c>
      <c r="B3176" s="9">
        <v>1067</v>
      </c>
      <c r="C3176" s="14" t="str">
        <f>IFERROR(_xlfn.TEXTJOIN("-", TRUE, _xlfn.XLOOKUP(K3176, product_category_id_lookup!$A$2:$A$5, product_category_id_lookup!$B$2:$B$5), B3176), "Unknown Category")</f>
        <v>etc-1067</v>
      </c>
      <c r="D3176" s="8">
        <v>45650</v>
      </c>
      <c r="E3176" s="14">
        <f t="shared" si="147"/>
        <v>2024</v>
      </c>
      <c r="F3176" s="29" t="str">
        <f t="shared" si="148"/>
        <v>Dec</v>
      </c>
      <c r="G3176" s="17" t="s">
        <v>14</v>
      </c>
      <c r="H3176" s="17" t="s">
        <v>23</v>
      </c>
      <c r="I3176" s="24">
        <v>105068.66999999998</v>
      </c>
      <c r="J3176" s="32">
        <v>35</v>
      </c>
      <c r="K3176" s="17" t="s">
        <v>31</v>
      </c>
      <c r="L3176" s="24">
        <v>126.24</v>
      </c>
      <c r="M3176" s="24">
        <v>3531.72</v>
      </c>
      <c r="N3176" s="34">
        <f>((sales_data_1[[#This Row],[Unit_Price]]*(1-sales_data_1[[#This Row],[Discount]]))-sales_data_1[[#This Row],[Unit_Cost]])*sales_data_1[[#This Row],[Quantity_Sold]]</f>
        <v>100650.26999999999</v>
      </c>
      <c r="O3176" s="17" t="s">
        <v>27</v>
      </c>
      <c r="P3176" s="26">
        <v>0.15</v>
      </c>
      <c r="Q3176" s="17" t="s">
        <v>18</v>
      </c>
      <c r="R3176" s="17" t="s">
        <v>19</v>
      </c>
      <c r="S3176" s="50" t="str">
        <f t="shared" si="149"/>
        <v>Bob-South</v>
      </c>
      <c r="T3176" s="59" t="str">
        <f>IF(ROUND(sales_data_1[[#This Row],[Profit_Margin]],2)=ROUND((sales_data_1[[#This Row],[Unit_Price]]*(1-sales_data_1[[#This Row],[Discount]]) - sales_data_1[[#This Row],[Unit_Cost]])*sales_data_1[[#This Row],[Quantity_Sold]],2), "PASS", "CHECK")</f>
        <v>PASS</v>
      </c>
    </row>
    <row r="3177" spans="1:20" x14ac:dyDescent="0.35">
      <c r="A3177" s="7">
        <v>3176</v>
      </c>
      <c r="B3177" s="9">
        <v>1090</v>
      </c>
      <c r="C3177" s="14" t="str">
        <f>IFERROR(_xlfn.TEXTJOIN("-", TRUE, _xlfn.XLOOKUP(K3177, product_category_id_lookup!$A$2:$A$5, product_category_id_lookup!$B$2:$B$5), B3177), "Unknown Category")</f>
        <v>etc-1090</v>
      </c>
      <c r="D3177" s="8">
        <v>45651</v>
      </c>
      <c r="E3177" s="14">
        <f t="shared" si="147"/>
        <v>2024</v>
      </c>
      <c r="F3177" s="29" t="str">
        <f t="shared" si="148"/>
        <v>Dec</v>
      </c>
      <c r="G3177" s="17" t="s">
        <v>14</v>
      </c>
      <c r="H3177" s="17" t="s">
        <v>30</v>
      </c>
      <c r="I3177" s="24">
        <v>5370.3703999999998</v>
      </c>
      <c r="J3177" s="32">
        <v>2</v>
      </c>
      <c r="K3177" s="17" t="s">
        <v>31</v>
      </c>
      <c r="L3177" s="24">
        <v>1807.59</v>
      </c>
      <c r="M3177" s="24">
        <v>2856.58</v>
      </c>
      <c r="N3177" s="34">
        <f>((sales_data_1[[#This Row],[Unit_Price]]*(1-sales_data_1[[#This Row],[Discount]]))-sales_data_1[[#This Row],[Unit_Cost]])*sales_data_1[[#This Row],[Quantity_Sold]]</f>
        <v>1755.1904</v>
      </c>
      <c r="O3177" s="17" t="s">
        <v>17</v>
      </c>
      <c r="P3177" s="26">
        <v>0.06</v>
      </c>
      <c r="Q3177" s="17" t="s">
        <v>18</v>
      </c>
      <c r="R3177" s="17" t="s">
        <v>21</v>
      </c>
      <c r="S3177" s="50" t="str">
        <f t="shared" si="149"/>
        <v>Bob-East</v>
      </c>
      <c r="T3177" s="59" t="str">
        <f>IF(ROUND(sales_data_1[[#This Row],[Profit_Margin]],2)=ROUND((sales_data_1[[#This Row],[Unit_Price]]*(1-sales_data_1[[#This Row],[Discount]]) - sales_data_1[[#This Row],[Unit_Cost]])*sales_data_1[[#This Row],[Quantity_Sold]],2), "PASS", "CHECK")</f>
        <v>PASS</v>
      </c>
    </row>
    <row r="3178" spans="1:20" x14ac:dyDescent="0.35">
      <c r="A3178" s="7">
        <v>3177</v>
      </c>
      <c r="B3178" s="9">
        <v>1093</v>
      </c>
      <c r="C3178" s="14" t="str">
        <f>IFERROR(_xlfn.TEXTJOIN("-", TRUE, _xlfn.XLOOKUP(K3178, product_category_id_lookup!$A$2:$A$5, product_category_id_lookup!$B$2:$B$5), B3178), "Unknown Category")</f>
        <v>fnt-1093</v>
      </c>
      <c r="D3178" s="8">
        <v>45651</v>
      </c>
      <c r="E3178" s="14">
        <f t="shared" si="147"/>
        <v>2024</v>
      </c>
      <c r="F3178" s="29" t="str">
        <f t="shared" si="148"/>
        <v>Dec</v>
      </c>
      <c r="G3178" s="17" t="s">
        <v>32</v>
      </c>
      <c r="H3178" s="17" t="s">
        <v>30</v>
      </c>
      <c r="I3178" s="24">
        <v>31575.188400000003</v>
      </c>
      <c r="J3178" s="32">
        <v>14</v>
      </c>
      <c r="K3178" s="17" t="s">
        <v>16</v>
      </c>
      <c r="L3178" s="24">
        <v>1942.85</v>
      </c>
      <c r="M3178" s="24">
        <v>2592.38</v>
      </c>
      <c r="N3178" s="34">
        <f>((sales_data_1[[#This Row],[Unit_Price]]*(1-sales_data_1[[#This Row],[Discount]]))-sales_data_1[[#This Row],[Unit_Cost]])*sales_data_1[[#This Row],[Quantity_Sold]]</f>
        <v>4375.288400000004</v>
      </c>
      <c r="O3178" s="17" t="s">
        <v>17</v>
      </c>
      <c r="P3178" s="26">
        <v>0.13</v>
      </c>
      <c r="Q3178" s="17" t="s">
        <v>28</v>
      </c>
      <c r="R3178" s="17" t="s">
        <v>21</v>
      </c>
      <c r="S3178" s="50" t="str">
        <f t="shared" si="149"/>
        <v>Eve-East</v>
      </c>
      <c r="T3178" s="59" t="str">
        <f>IF(ROUND(sales_data_1[[#This Row],[Profit_Margin]],2)=ROUND((sales_data_1[[#This Row],[Unit_Price]]*(1-sales_data_1[[#This Row],[Discount]]) - sales_data_1[[#This Row],[Unit_Cost]])*sales_data_1[[#This Row],[Quantity_Sold]],2), "PASS", "CHECK")</f>
        <v>PASS</v>
      </c>
    </row>
    <row r="3179" spans="1:20" x14ac:dyDescent="0.35">
      <c r="A3179" s="7">
        <v>3178</v>
      </c>
      <c r="B3179" s="9">
        <v>1026</v>
      </c>
      <c r="C3179" s="14" t="str">
        <f>IFERROR(_xlfn.TEXTJOIN("-", TRUE, _xlfn.XLOOKUP(K3179, product_category_id_lookup!$A$2:$A$5, product_category_id_lookup!$B$2:$B$5), B3179), "Unknown Category")</f>
        <v>ctg-1026</v>
      </c>
      <c r="D3179" s="8">
        <v>45651</v>
      </c>
      <c r="E3179" s="14">
        <f t="shared" si="147"/>
        <v>2024</v>
      </c>
      <c r="F3179" s="29" t="str">
        <f t="shared" si="148"/>
        <v>Dec</v>
      </c>
      <c r="G3179" s="17" t="s">
        <v>33</v>
      </c>
      <c r="H3179" s="17" t="s">
        <v>30</v>
      </c>
      <c r="I3179" s="24">
        <v>46323.266000000003</v>
      </c>
      <c r="J3179" s="32">
        <v>29</v>
      </c>
      <c r="K3179" s="17" t="s">
        <v>26</v>
      </c>
      <c r="L3179" s="24">
        <v>1327.25</v>
      </c>
      <c r="M3179" s="24">
        <v>1879.24</v>
      </c>
      <c r="N3179" s="34">
        <f>((sales_data_1[[#This Row],[Unit_Price]]*(1-sales_data_1[[#This Row],[Discount]]))-sales_data_1[[#This Row],[Unit_Cost]])*sales_data_1[[#This Row],[Quantity_Sold]]</f>
        <v>7833.0160000000014</v>
      </c>
      <c r="O3179" s="17" t="s">
        <v>17</v>
      </c>
      <c r="P3179" s="26">
        <v>0.15</v>
      </c>
      <c r="Q3179" s="17" t="s">
        <v>18</v>
      </c>
      <c r="R3179" s="17" t="s">
        <v>21</v>
      </c>
      <c r="S3179" s="50" t="str">
        <f t="shared" si="149"/>
        <v>Alice-East</v>
      </c>
      <c r="T3179" s="59" t="str">
        <f>IF(ROUND(sales_data_1[[#This Row],[Profit_Margin]],2)=ROUND((sales_data_1[[#This Row],[Unit_Price]]*(1-sales_data_1[[#This Row],[Discount]]) - sales_data_1[[#This Row],[Unit_Cost]])*sales_data_1[[#This Row],[Quantity_Sold]],2), "PASS", "CHECK")</f>
        <v>PASS</v>
      </c>
    </row>
    <row r="3180" spans="1:20" x14ac:dyDescent="0.35">
      <c r="A3180" s="7">
        <v>3179</v>
      </c>
      <c r="B3180" s="9">
        <v>1044</v>
      </c>
      <c r="C3180" s="14" t="str">
        <f>IFERROR(_xlfn.TEXTJOIN("-", TRUE, _xlfn.XLOOKUP(K3180, product_category_id_lookup!$A$2:$A$5, product_category_id_lookup!$B$2:$B$5), B3180), "Unknown Category")</f>
        <v>etc-1044</v>
      </c>
      <c r="D3180" s="8">
        <v>45652</v>
      </c>
      <c r="E3180" s="14">
        <f t="shared" si="147"/>
        <v>2024</v>
      </c>
      <c r="F3180" s="29" t="str">
        <f t="shared" si="148"/>
        <v>Dec</v>
      </c>
      <c r="G3180" s="17" t="s">
        <v>32</v>
      </c>
      <c r="H3180" s="17" t="s">
        <v>23</v>
      </c>
      <c r="I3180" s="24">
        <v>5323.6547999999993</v>
      </c>
      <c r="J3180" s="32">
        <v>12</v>
      </c>
      <c r="K3180" s="17" t="s">
        <v>31</v>
      </c>
      <c r="L3180" s="24">
        <v>299.88</v>
      </c>
      <c r="M3180" s="24">
        <v>477.03</v>
      </c>
      <c r="N3180" s="34">
        <f>((sales_data_1[[#This Row],[Unit_Price]]*(1-sales_data_1[[#This Row],[Discount]]))-sales_data_1[[#This Row],[Unit_Cost]])*sales_data_1[[#This Row],[Quantity_Sold]]</f>
        <v>1725.0947999999994</v>
      </c>
      <c r="O3180" s="17" t="s">
        <v>17</v>
      </c>
      <c r="P3180" s="26">
        <v>7.0000000000000007E-2</v>
      </c>
      <c r="Q3180" s="17" t="s">
        <v>28</v>
      </c>
      <c r="R3180" s="17" t="s">
        <v>19</v>
      </c>
      <c r="S3180" s="50" t="str">
        <f t="shared" si="149"/>
        <v>Eve-South</v>
      </c>
      <c r="T3180" s="59" t="str">
        <f>IF(ROUND(sales_data_1[[#This Row],[Profit_Margin]],2)=ROUND((sales_data_1[[#This Row],[Unit_Price]]*(1-sales_data_1[[#This Row],[Discount]]) - sales_data_1[[#This Row],[Unit_Cost]])*sales_data_1[[#This Row],[Quantity_Sold]],2), "PASS", "CHECK")</f>
        <v>PASS</v>
      </c>
    </row>
    <row r="3181" spans="1:20" x14ac:dyDescent="0.35">
      <c r="A3181" s="7">
        <v>3180</v>
      </c>
      <c r="B3181" s="9">
        <v>1084</v>
      </c>
      <c r="C3181" s="14" t="str">
        <f>IFERROR(_xlfn.TEXTJOIN("-", TRUE, _xlfn.XLOOKUP(K3181, product_category_id_lookup!$A$2:$A$5, product_category_id_lookup!$B$2:$B$5), B3181), "Unknown Category")</f>
        <v>fnt-1084</v>
      </c>
      <c r="D3181" s="8">
        <v>45652</v>
      </c>
      <c r="E3181" s="14">
        <f t="shared" si="147"/>
        <v>2024</v>
      </c>
      <c r="F3181" s="29" t="str">
        <f t="shared" si="148"/>
        <v>Dec</v>
      </c>
      <c r="G3181" s="17" t="s">
        <v>22</v>
      </c>
      <c r="H3181" s="17" t="s">
        <v>15</v>
      </c>
      <c r="I3181" s="24">
        <v>82550.016000000003</v>
      </c>
      <c r="J3181" s="32">
        <v>18</v>
      </c>
      <c r="K3181" s="17" t="s">
        <v>16</v>
      </c>
      <c r="L3181" s="24">
        <v>1258.21</v>
      </c>
      <c r="M3181" s="24">
        <v>4777.2</v>
      </c>
      <c r="N3181" s="34">
        <f>((sales_data_1[[#This Row],[Unit_Price]]*(1-sales_data_1[[#This Row],[Discount]]))-sales_data_1[[#This Row],[Unit_Cost]])*sales_data_1[[#This Row],[Quantity_Sold]]</f>
        <v>59902.236000000004</v>
      </c>
      <c r="O3181" s="17" t="s">
        <v>17</v>
      </c>
      <c r="P3181" s="26">
        <v>0.04</v>
      </c>
      <c r="Q3181" s="17" t="s">
        <v>25</v>
      </c>
      <c r="R3181" s="17" t="s">
        <v>19</v>
      </c>
      <c r="S3181" s="50" t="str">
        <f t="shared" si="149"/>
        <v>David-North</v>
      </c>
      <c r="T3181" s="59" t="str">
        <f>IF(ROUND(sales_data_1[[#This Row],[Profit_Margin]],2)=ROUND((sales_data_1[[#This Row],[Unit_Price]]*(1-sales_data_1[[#This Row],[Discount]]) - sales_data_1[[#This Row],[Unit_Cost]])*sales_data_1[[#This Row],[Quantity_Sold]],2), "PASS", "CHECK")</f>
        <v>PASS</v>
      </c>
    </row>
    <row r="3182" spans="1:20" x14ac:dyDescent="0.35">
      <c r="A3182" s="7">
        <v>3181</v>
      </c>
      <c r="B3182" s="9">
        <v>1016</v>
      </c>
      <c r="C3182" s="14" t="str">
        <f>IFERROR(_xlfn.TEXTJOIN("-", TRUE, _xlfn.XLOOKUP(K3182, product_category_id_lookup!$A$2:$A$5, product_category_id_lookup!$B$2:$B$5), B3182), "Unknown Category")</f>
        <v>etc-1016</v>
      </c>
      <c r="D3182" s="8">
        <v>45653</v>
      </c>
      <c r="E3182" s="14">
        <f t="shared" si="147"/>
        <v>2024</v>
      </c>
      <c r="F3182" s="29" t="str">
        <f t="shared" si="148"/>
        <v>Dec</v>
      </c>
      <c r="G3182" s="17" t="s">
        <v>29</v>
      </c>
      <c r="H3182" s="17" t="s">
        <v>20</v>
      </c>
      <c r="I3182" s="24">
        <v>515.27200000000005</v>
      </c>
      <c r="J3182" s="32">
        <v>1</v>
      </c>
      <c r="K3182" s="17" t="s">
        <v>31</v>
      </c>
      <c r="L3182" s="24">
        <v>91.24</v>
      </c>
      <c r="M3182" s="24">
        <v>644.09</v>
      </c>
      <c r="N3182" s="34">
        <f>((sales_data_1[[#This Row],[Unit_Price]]*(1-sales_data_1[[#This Row],[Discount]]))-sales_data_1[[#This Row],[Unit_Cost]])*sales_data_1[[#This Row],[Quantity_Sold]]</f>
        <v>424.03200000000004</v>
      </c>
      <c r="O3182" s="17" t="s">
        <v>27</v>
      </c>
      <c r="P3182" s="26">
        <v>0.2</v>
      </c>
      <c r="Q3182" s="17" t="s">
        <v>25</v>
      </c>
      <c r="R3182" s="17" t="s">
        <v>19</v>
      </c>
      <c r="S3182" s="50" t="str">
        <f t="shared" si="149"/>
        <v>Charlie-West</v>
      </c>
      <c r="T3182" s="59" t="str">
        <f>IF(ROUND(sales_data_1[[#This Row],[Profit_Margin]],2)=ROUND((sales_data_1[[#This Row],[Unit_Price]]*(1-sales_data_1[[#This Row],[Discount]]) - sales_data_1[[#This Row],[Unit_Cost]])*sales_data_1[[#This Row],[Quantity_Sold]],2), "PASS", "CHECK")</f>
        <v>PASS</v>
      </c>
    </row>
    <row r="3183" spans="1:20" x14ac:dyDescent="0.35">
      <c r="A3183" s="7">
        <v>3182</v>
      </c>
      <c r="B3183" s="9">
        <v>1051</v>
      </c>
      <c r="C3183" s="14" t="str">
        <f>IFERROR(_xlfn.TEXTJOIN("-", TRUE, _xlfn.XLOOKUP(K3183, product_category_id_lookup!$A$2:$A$5, product_category_id_lookup!$B$2:$B$5), B3183), "Unknown Category")</f>
        <v>ctg-1051</v>
      </c>
      <c r="D3183" s="8">
        <v>45653</v>
      </c>
      <c r="E3183" s="14">
        <f t="shared" si="147"/>
        <v>2024</v>
      </c>
      <c r="F3183" s="29" t="str">
        <f t="shared" si="148"/>
        <v>Dec</v>
      </c>
      <c r="G3183" s="17" t="s">
        <v>33</v>
      </c>
      <c r="H3183" s="17" t="s">
        <v>23</v>
      </c>
      <c r="I3183" s="24">
        <v>23351.212800000001</v>
      </c>
      <c r="J3183" s="32">
        <v>9</v>
      </c>
      <c r="K3183" s="17" t="s">
        <v>26</v>
      </c>
      <c r="L3183" s="24">
        <v>1055.07</v>
      </c>
      <c r="M3183" s="24">
        <v>3413.92</v>
      </c>
      <c r="N3183" s="34">
        <f>((sales_data_1[[#This Row],[Unit_Price]]*(1-sales_data_1[[#This Row],[Discount]]))-sales_data_1[[#This Row],[Unit_Cost]])*sales_data_1[[#This Row],[Quantity_Sold]]</f>
        <v>13855.582800000002</v>
      </c>
      <c r="O3183" s="17" t="s">
        <v>17</v>
      </c>
      <c r="P3183" s="26">
        <v>0.24</v>
      </c>
      <c r="Q3183" s="17" t="s">
        <v>28</v>
      </c>
      <c r="R3183" s="17" t="s">
        <v>19</v>
      </c>
      <c r="S3183" s="50" t="str">
        <f t="shared" si="149"/>
        <v>Alice-South</v>
      </c>
      <c r="T3183" s="59" t="str">
        <f>IF(ROUND(sales_data_1[[#This Row],[Profit_Margin]],2)=ROUND((sales_data_1[[#This Row],[Unit_Price]]*(1-sales_data_1[[#This Row],[Discount]]) - sales_data_1[[#This Row],[Unit_Cost]])*sales_data_1[[#This Row],[Quantity_Sold]],2), "PASS", "CHECK")</f>
        <v>PASS</v>
      </c>
    </row>
    <row r="3184" spans="1:20" x14ac:dyDescent="0.35">
      <c r="A3184" s="7">
        <v>3183</v>
      </c>
      <c r="B3184" s="9">
        <v>1041</v>
      </c>
      <c r="C3184" s="14" t="str">
        <f>IFERROR(_xlfn.TEXTJOIN("-", TRUE, _xlfn.XLOOKUP(K3184, product_category_id_lookup!$A$2:$A$5, product_category_id_lookup!$B$2:$B$5), B3184), "Unknown Category")</f>
        <v>ctg-1041</v>
      </c>
      <c r="D3184" s="8">
        <v>45653</v>
      </c>
      <c r="E3184" s="14">
        <f t="shared" si="147"/>
        <v>2024</v>
      </c>
      <c r="F3184" s="29" t="str">
        <f t="shared" si="148"/>
        <v>Dec</v>
      </c>
      <c r="G3184" s="17" t="s">
        <v>22</v>
      </c>
      <c r="H3184" s="17" t="s">
        <v>20</v>
      </c>
      <c r="I3184" s="24">
        <v>128201.69249999999</v>
      </c>
      <c r="J3184" s="32">
        <v>35</v>
      </c>
      <c r="K3184" s="17" t="s">
        <v>26</v>
      </c>
      <c r="L3184" s="24">
        <v>3234.88</v>
      </c>
      <c r="M3184" s="24">
        <v>3855.69</v>
      </c>
      <c r="N3184" s="34">
        <f>((sales_data_1[[#This Row],[Unit_Price]]*(1-sales_data_1[[#This Row],[Discount]]))-sales_data_1[[#This Row],[Unit_Cost]])*sales_data_1[[#This Row],[Quantity_Sold]]</f>
        <v>14980.892499999991</v>
      </c>
      <c r="O3184" s="17" t="s">
        <v>17</v>
      </c>
      <c r="P3184" s="26">
        <v>0.05</v>
      </c>
      <c r="Q3184" s="17" t="s">
        <v>18</v>
      </c>
      <c r="R3184" s="17" t="s">
        <v>19</v>
      </c>
      <c r="S3184" s="50" t="str">
        <f t="shared" si="149"/>
        <v>David-West</v>
      </c>
      <c r="T3184" s="59" t="str">
        <f>IF(ROUND(sales_data_1[[#This Row],[Profit_Margin]],2)=ROUND((sales_data_1[[#This Row],[Unit_Price]]*(1-sales_data_1[[#This Row],[Discount]]) - sales_data_1[[#This Row],[Unit_Cost]])*sales_data_1[[#This Row],[Quantity_Sold]],2), "PASS", "CHECK")</f>
        <v>PASS</v>
      </c>
    </row>
    <row r="3185" spans="1:20" x14ac:dyDescent="0.35">
      <c r="A3185" s="7">
        <v>3184</v>
      </c>
      <c r="B3185" s="9">
        <v>1062</v>
      </c>
      <c r="C3185" s="14" t="str">
        <f>IFERROR(_xlfn.TEXTJOIN("-", TRUE, _xlfn.XLOOKUP(K3185, product_category_id_lookup!$A$2:$A$5, product_category_id_lookup!$B$2:$B$5), B3185), "Unknown Category")</f>
        <v>fd-1062</v>
      </c>
      <c r="D3185" s="8">
        <v>45653</v>
      </c>
      <c r="E3185" s="14">
        <f t="shared" si="147"/>
        <v>2024</v>
      </c>
      <c r="F3185" s="29" t="str">
        <f t="shared" si="148"/>
        <v>Dec</v>
      </c>
      <c r="G3185" s="17" t="s">
        <v>29</v>
      </c>
      <c r="H3185" s="17" t="s">
        <v>20</v>
      </c>
      <c r="I3185" s="24">
        <v>61915.324799999995</v>
      </c>
      <c r="J3185" s="32">
        <v>29</v>
      </c>
      <c r="K3185" s="17" t="s">
        <v>24</v>
      </c>
      <c r="L3185" s="24">
        <v>1542.94</v>
      </c>
      <c r="M3185" s="24">
        <v>2223.9699999999998</v>
      </c>
      <c r="N3185" s="34">
        <f>((sales_data_1[[#This Row],[Unit_Price]]*(1-sales_data_1[[#This Row],[Discount]]))-sales_data_1[[#This Row],[Unit_Cost]])*sales_data_1[[#This Row],[Quantity_Sold]]</f>
        <v>17170.064799999996</v>
      </c>
      <c r="O3185" s="17" t="s">
        <v>27</v>
      </c>
      <c r="P3185" s="26">
        <v>0.04</v>
      </c>
      <c r="Q3185" s="17" t="s">
        <v>18</v>
      </c>
      <c r="R3185" s="17" t="s">
        <v>21</v>
      </c>
      <c r="S3185" s="50" t="str">
        <f t="shared" si="149"/>
        <v>Charlie-West</v>
      </c>
      <c r="T3185" s="59" t="str">
        <f>IF(ROUND(sales_data_1[[#This Row],[Profit_Margin]],2)=ROUND((sales_data_1[[#This Row],[Unit_Price]]*(1-sales_data_1[[#This Row],[Discount]]) - sales_data_1[[#This Row],[Unit_Cost]])*sales_data_1[[#This Row],[Quantity_Sold]],2), "PASS", "CHECK")</f>
        <v>PASS</v>
      </c>
    </row>
    <row r="3186" spans="1:20" x14ac:dyDescent="0.35">
      <c r="A3186" s="7">
        <v>3185</v>
      </c>
      <c r="B3186" s="9">
        <v>1082</v>
      </c>
      <c r="C3186" s="14" t="str">
        <f>IFERROR(_xlfn.TEXTJOIN("-", TRUE, _xlfn.XLOOKUP(K3186, product_category_id_lookup!$A$2:$A$5, product_category_id_lookup!$B$2:$B$5), B3186), "Unknown Category")</f>
        <v>fd-1082</v>
      </c>
      <c r="D3186" s="8">
        <v>45653</v>
      </c>
      <c r="E3186" s="14">
        <f t="shared" si="147"/>
        <v>2024</v>
      </c>
      <c r="F3186" s="29" t="str">
        <f t="shared" si="148"/>
        <v>Dec</v>
      </c>
      <c r="G3186" s="17" t="s">
        <v>32</v>
      </c>
      <c r="H3186" s="17" t="s">
        <v>30</v>
      </c>
      <c r="I3186" s="24">
        <v>112470.15195057567</v>
      </c>
      <c r="J3186" s="32">
        <v>49</v>
      </c>
      <c r="K3186" s="17" t="s">
        <v>24</v>
      </c>
      <c r="L3186" s="24">
        <v>1756.94</v>
      </c>
      <c r="M3186" s="24">
        <v>2415.5500000000002</v>
      </c>
      <c r="N3186" s="34">
        <f>((sales_data_1[[#This Row],[Unit_Price]]*(1-sales_data_1[[#This Row],[Discount]]))-sales_data_1[[#This Row],[Unit_Cost]])*sales_data_1[[#This Row],[Quantity_Sold]]</f>
        <v>26353.7925</v>
      </c>
      <c r="O3186" s="17" t="s">
        <v>27</v>
      </c>
      <c r="P3186" s="26">
        <v>0.05</v>
      </c>
      <c r="Q3186" s="17" t="s">
        <v>18</v>
      </c>
      <c r="R3186" s="17" t="s">
        <v>19</v>
      </c>
      <c r="S3186" s="50" t="str">
        <f t="shared" si="149"/>
        <v>Eve-East</v>
      </c>
      <c r="T3186" s="59" t="str">
        <f>IF(ROUND(sales_data_1[[#This Row],[Profit_Margin]],2)=ROUND((sales_data_1[[#This Row],[Unit_Price]]*(1-sales_data_1[[#This Row],[Discount]]) - sales_data_1[[#This Row],[Unit_Cost]])*sales_data_1[[#This Row],[Quantity_Sold]],2), "PASS", "CHECK")</f>
        <v>PASS</v>
      </c>
    </row>
    <row r="3187" spans="1:20" x14ac:dyDescent="0.35">
      <c r="A3187" s="7">
        <v>3186</v>
      </c>
      <c r="B3187" s="9">
        <v>1059</v>
      </c>
      <c r="C3187" s="14" t="str">
        <f>IFERROR(_xlfn.TEXTJOIN("-", TRUE, _xlfn.XLOOKUP(K3187, product_category_id_lookup!$A$2:$A$5, product_category_id_lookup!$B$2:$B$5), B3187), "Unknown Category")</f>
        <v>fd-1059</v>
      </c>
      <c r="D3187" s="8">
        <v>45653</v>
      </c>
      <c r="E3187" s="14">
        <f t="shared" si="147"/>
        <v>2024</v>
      </c>
      <c r="F3187" s="29" t="str">
        <f t="shared" si="148"/>
        <v>Dec</v>
      </c>
      <c r="G3187" s="17" t="s">
        <v>33</v>
      </c>
      <c r="H3187" s="17" t="s">
        <v>20</v>
      </c>
      <c r="I3187" s="24">
        <v>49599.00959999999</v>
      </c>
      <c r="J3187" s="32">
        <v>17</v>
      </c>
      <c r="K3187" s="17" t="s">
        <v>24</v>
      </c>
      <c r="L3187" s="24">
        <v>1047</v>
      </c>
      <c r="M3187" s="24">
        <v>4109.28</v>
      </c>
      <c r="N3187" s="34">
        <f>((sales_data_1[[#This Row],[Unit_Price]]*(1-sales_data_1[[#This Row],[Discount]]))-sales_data_1[[#This Row],[Unit_Cost]])*sales_data_1[[#This Row],[Quantity_Sold]]</f>
        <v>31800.00959999999</v>
      </c>
      <c r="O3187" s="17" t="s">
        <v>17</v>
      </c>
      <c r="P3187" s="26">
        <v>0.28999999999999998</v>
      </c>
      <c r="Q3187" s="17" t="s">
        <v>28</v>
      </c>
      <c r="R3187" s="17" t="s">
        <v>21</v>
      </c>
      <c r="S3187" s="50" t="str">
        <f t="shared" si="149"/>
        <v>Alice-West</v>
      </c>
      <c r="T3187" s="59" t="str">
        <f>IF(ROUND(sales_data_1[[#This Row],[Profit_Margin]],2)=ROUND((sales_data_1[[#This Row],[Unit_Price]]*(1-sales_data_1[[#This Row],[Discount]]) - sales_data_1[[#This Row],[Unit_Cost]])*sales_data_1[[#This Row],[Quantity_Sold]],2), "PASS", "CHECK")</f>
        <v>PASS</v>
      </c>
    </row>
    <row r="3188" spans="1:20" x14ac:dyDescent="0.35">
      <c r="A3188" s="7">
        <v>3187</v>
      </c>
      <c r="B3188" s="9">
        <v>1061</v>
      </c>
      <c r="C3188" s="14" t="str">
        <f>IFERROR(_xlfn.TEXTJOIN("-", TRUE, _xlfn.XLOOKUP(K3188, product_category_id_lookup!$A$2:$A$5, product_category_id_lookup!$B$2:$B$5), B3188), "Unknown Category")</f>
        <v>ctg-1061</v>
      </c>
      <c r="D3188" s="8">
        <v>45653</v>
      </c>
      <c r="E3188" s="14">
        <f t="shared" si="147"/>
        <v>2024</v>
      </c>
      <c r="F3188" s="29" t="str">
        <f t="shared" si="148"/>
        <v>Dec</v>
      </c>
      <c r="G3188" s="17" t="s">
        <v>14</v>
      </c>
      <c r="H3188" s="17" t="s">
        <v>20</v>
      </c>
      <c r="I3188" s="24">
        <v>44700.615999999995</v>
      </c>
      <c r="J3188" s="32">
        <v>16</v>
      </c>
      <c r="K3188" s="17" t="s">
        <v>26</v>
      </c>
      <c r="L3188" s="24">
        <v>104.47</v>
      </c>
      <c r="M3188" s="24">
        <v>2940.83</v>
      </c>
      <c r="N3188" s="34">
        <f>((sales_data_1[[#This Row],[Unit_Price]]*(1-sales_data_1[[#This Row],[Discount]]))-sales_data_1[[#This Row],[Unit_Cost]])*sales_data_1[[#This Row],[Quantity_Sold]]</f>
        <v>43029.095999999998</v>
      </c>
      <c r="O3188" s="17" t="s">
        <v>27</v>
      </c>
      <c r="P3188" s="26">
        <v>0.05</v>
      </c>
      <c r="Q3188" s="17" t="s">
        <v>28</v>
      </c>
      <c r="R3188" s="17" t="s">
        <v>19</v>
      </c>
      <c r="S3188" s="50" t="str">
        <f t="shared" si="149"/>
        <v>Bob-West</v>
      </c>
      <c r="T3188" s="59" t="str">
        <f>IF(ROUND(sales_data_1[[#This Row],[Profit_Margin]],2)=ROUND((sales_data_1[[#This Row],[Unit_Price]]*(1-sales_data_1[[#This Row],[Discount]]) - sales_data_1[[#This Row],[Unit_Cost]])*sales_data_1[[#This Row],[Quantity_Sold]],2), "PASS", "CHECK")</f>
        <v>PASS</v>
      </c>
    </row>
    <row r="3189" spans="1:20" x14ac:dyDescent="0.35">
      <c r="A3189" s="7">
        <v>3188</v>
      </c>
      <c r="B3189" s="9">
        <v>1066</v>
      </c>
      <c r="C3189" s="14" t="str">
        <f>IFERROR(_xlfn.TEXTJOIN("-", TRUE, _xlfn.XLOOKUP(K3189, product_category_id_lookup!$A$2:$A$5, product_category_id_lookup!$B$2:$B$5), B3189), "Unknown Category")</f>
        <v>fnt-1066</v>
      </c>
      <c r="D3189" s="8">
        <v>45654</v>
      </c>
      <c r="E3189" s="14">
        <f t="shared" si="147"/>
        <v>2024</v>
      </c>
      <c r="F3189" s="29" t="str">
        <f t="shared" si="148"/>
        <v>Dec</v>
      </c>
      <c r="G3189" s="17" t="s">
        <v>22</v>
      </c>
      <c r="H3189" s="17" t="s">
        <v>20</v>
      </c>
      <c r="I3189" s="24">
        <v>17245.947899999999</v>
      </c>
      <c r="J3189" s="32">
        <v>37</v>
      </c>
      <c r="K3189" s="17" t="s">
        <v>16</v>
      </c>
      <c r="L3189" s="24">
        <v>387.65</v>
      </c>
      <c r="M3189" s="24">
        <v>501.19</v>
      </c>
      <c r="N3189" s="34">
        <f>((sales_data_1[[#This Row],[Unit_Price]]*(1-sales_data_1[[#This Row],[Discount]]))-sales_data_1[[#This Row],[Unit_Cost]])*sales_data_1[[#This Row],[Quantity_Sold]]</f>
        <v>2902.8979000000004</v>
      </c>
      <c r="O3189" s="17" t="s">
        <v>17</v>
      </c>
      <c r="P3189" s="26">
        <v>7.0000000000000007E-2</v>
      </c>
      <c r="Q3189" s="17" t="s">
        <v>18</v>
      </c>
      <c r="R3189" s="17" t="s">
        <v>21</v>
      </c>
      <c r="S3189" s="50" t="str">
        <f t="shared" si="149"/>
        <v>David-West</v>
      </c>
      <c r="T3189" s="59" t="str">
        <f>IF(ROUND(sales_data_1[[#This Row],[Profit_Margin]],2)=ROUND((sales_data_1[[#This Row],[Unit_Price]]*(1-sales_data_1[[#This Row],[Discount]]) - sales_data_1[[#This Row],[Unit_Cost]])*sales_data_1[[#This Row],[Quantity_Sold]],2), "PASS", "CHECK")</f>
        <v>PASS</v>
      </c>
    </row>
    <row r="3190" spans="1:20" x14ac:dyDescent="0.35">
      <c r="A3190" s="7">
        <v>3189</v>
      </c>
      <c r="B3190" s="9">
        <v>1061</v>
      </c>
      <c r="C3190" s="14" t="str">
        <f>IFERROR(_xlfn.TEXTJOIN("-", TRUE, _xlfn.XLOOKUP(K3190, product_category_id_lookup!$A$2:$A$5, product_category_id_lookup!$B$2:$B$5), B3190), "Unknown Category")</f>
        <v>fnt-1061</v>
      </c>
      <c r="D3190" s="8">
        <v>45654</v>
      </c>
      <c r="E3190" s="14">
        <f t="shared" si="147"/>
        <v>2024</v>
      </c>
      <c r="F3190" s="29" t="str">
        <f t="shared" si="148"/>
        <v>Dec</v>
      </c>
      <c r="G3190" s="17" t="s">
        <v>14</v>
      </c>
      <c r="H3190" s="17" t="s">
        <v>15</v>
      </c>
      <c r="I3190" s="24">
        <v>67712.910599999988</v>
      </c>
      <c r="J3190" s="32">
        <v>38</v>
      </c>
      <c r="K3190" s="17" t="s">
        <v>16</v>
      </c>
      <c r="L3190" s="24">
        <v>990.58</v>
      </c>
      <c r="M3190" s="24">
        <v>2146.89</v>
      </c>
      <c r="N3190" s="34">
        <f>((sales_data_1[[#This Row],[Unit_Price]]*(1-sales_data_1[[#This Row],[Discount]]))-sales_data_1[[#This Row],[Unit_Cost]])*sales_data_1[[#This Row],[Quantity_Sold]]</f>
        <v>30070.870599999987</v>
      </c>
      <c r="O3190" s="17" t="s">
        <v>27</v>
      </c>
      <c r="P3190" s="26">
        <v>0.17</v>
      </c>
      <c r="Q3190" s="17" t="s">
        <v>28</v>
      </c>
      <c r="R3190" s="17" t="s">
        <v>19</v>
      </c>
      <c r="S3190" s="50" t="str">
        <f t="shared" si="149"/>
        <v>Bob-North</v>
      </c>
      <c r="T3190" s="59" t="str">
        <f>IF(ROUND(sales_data_1[[#This Row],[Profit_Margin]],2)=ROUND((sales_data_1[[#This Row],[Unit_Price]]*(1-sales_data_1[[#This Row],[Discount]]) - sales_data_1[[#This Row],[Unit_Cost]])*sales_data_1[[#This Row],[Quantity_Sold]],2), "PASS", "CHECK")</f>
        <v>PASS</v>
      </c>
    </row>
    <row r="3191" spans="1:20" x14ac:dyDescent="0.35">
      <c r="A3191" s="7">
        <v>3190</v>
      </c>
      <c r="B3191" s="9">
        <v>1064</v>
      </c>
      <c r="C3191" s="14" t="str">
        <f>IFERROR(_xlfn.TEXTJOIN("-", TRUE, _xlfn.XLOOKUP(K3191, product_category_id_lookup!$A$2:$A$5, product_category_id_lookup!$B$2:$B$5), B3191), "Unknown Category")</f>
        <v>fd-1064</v>
      </c>
      <c r="D3191" s="8">
        <v>45654</v>
      </c>
      <c r="E3191" s="14">
        <f t="shared" si="147"/>
        <v>2024</v>
      </c>
      <c r="F3191" s="29" t="str">
        <f t="shared" si="148"/>
        <v>Dec</v>
      </c>
      <c r="G3191" s="17" t="s">
        <v>32</v>
      </c>
      <c r="H3191" s="17" t="s">
        <v>30</v>
      </c>
      <c r="I3191" s="24">
        <v>146192.28959999999</v>
      </c>
      <c r="J3191" s="32">
        <v>41</v>
      </c>
      <c r="K3191" s="17" t="s">
        <v>24</v>
      </c>
      <c r="L3191" s="24">
        <v>2574.5</v>
      </c>
      <c r="M3191" s="24">
        <v>4244.84</v>
      </c>
      <c r="N3191" s="34">
        <f>((sales_data_1[[#This Row],[Unit_Price]]*(1-sales_data_1[[#This Row],[Discount]]))-sales_data_1[[#This Row],[Unit_Cost]])*sales_data_1[[#This Row],[Quantity_Sold]]</f>
        <v>40637.789599999989</v>
      </c>
      <c r="O3191" s="17" t="s">
        <v>17</v>
      </c>
      <c r="P3191" s="26">
        <v>0.16</v>
      </c>
      <c r="Q3191" s="17" t="s">
        <v>25</v>
      </c>
      <c r="R3191" s="17" t="s">
        <v>21</v>
      </c>
      <c r="S3191" s="50" t="str">
        <f t="shared" si="149"/>
        <v>Eve-East</v>
      </c>
      <c r="T3191" s="59" t="str">
        <f>IF(ROUND(sales_data_1[[#This Row],[Profit_Margin]],2)=ROUND((sales_data_1[[#This Row],[Unit_Price]]*(1-sales_data_1[[#This Row],[Discount]]) - sales_data_1[[#This Row],[Unit_Cost]])*sales_data_1[[#This Row],[Quantity_Sold]],2), "PASS", "CHECK")</f>
        <v>PASS</v>
      </c>
    </row>
    <row r="3192" spans="1:20" x14ac:dyDescent="0.35">
      <c r="A3192" s="7">
        <v>3191</v>
      </c>
      <c r="B3192" s="9">
        <v>1082</v>
      </c>
      <c r="C3192" s="14" t="str">
        <f>IFERROR(_xlfn.TEXTJOIN("-", TRUE, _xlfn.XLOOKUP(K3192, product_category_id_lookup!$A$2:$A$5, product_category_id_lookup!$B$2:$B$5), B3192), "Unknown Category")</f>
        <v>etc-1082</v>
      </c>
      <c r="D3192" s="8">
        <v>45654</v>
      </c>
      <c r="E3192" s="14">
        <f t="shared" si="147"/>
        <v>2024</v>
      </c>
      <c r="F3192" s="29" t="str">
        <f t="shared" si="148"/>
        <v>Dec</v>
      </c>
      <c r="G3192" s="17" t="s">
        <v>22</v>
      </c>
      <c r="H3192" s="17" t="s">
        <v>30</v>
      </c>
      <c r="I3192" s="24">
        <v>85753.152000000016</v>
      </c>
      <c r="J3192" s="32">
        <v>24</v>
      </c>
      <c r="K3192" s="17" t="s">
        <v>31</v>
      </c>
      <c r="L3192" s="24">
        <v>1481.93</v>
      </c>
      <c r="M3192" s="24">
        <v>4466.3100000000004</v>
      </c>
      <c r="N3192" s="34">
        <f>((sales_data_1[[#This Row],[Unit_Price]]*(1-sales_data_1[[#This Row],[Discount]]))-sales_data_1[[#This Row],[Unit_Cost]])*sales_data_1[[#This Row],[Quantity_Sold]]</f>
        <v>50186.832000000009</v>
      </c>
      <c r="O3192" s="17" t="s">
        <v>27</v>
      </c>
      <c r="P3192" s="26">
        <v>0.2</v>
      </c>
      <c r="Q3192" s="17" t="s">
        <v>18</v>
      </c>
      <c r="R3192" s="17" t="s">
        <v>19</v>
      </c>
      <c r="S3192" s="50" t="str">
        <f t="shared" si="149"/>
        <v>David-East</v>
      </c>
      <c r="T3192" s="59" t="str">
        <f>IF(ROUND(sales_data_1[[#This Row],[Profit_Margin]],2)=ROUND((sales_data_1[[#This Row],[Unit_Price]]*(1-sales_data_1[[#This Row],[Discount]]) - sales_data_1[[#This Row],[Unit_Cost]])*sales_data_1[[#This Row],[Quantity_Sold]],2), "PASS", "CHECK")</f>
        <v>PASS</v>
      </c>
    </row>
    <row r="3193" spans="1:20" x14ac:dyDescent="0.35">
      <c r="A3193" s="7">
        <v>3192</v>
      </c>
      <c r="B3193" s="9">
        <v>1053</v>
      </c>
      <c r="C3193" s="14" t="str">
        <f>IFERROR(_xlfn.TEXTJOIN("-", TRUE, _xlfn.XLOOKUP(K3193, product_category_id_lookup!$A$2:$A$5, product_category_id_lookup!$B$2:$B$5), B3193), "Unknown Category")</f>
        <v>fnt-1053</v>
      </c>
      <c r="D3193" s="8">
        <v>45655</v>
      </c>
      <c r="E3193" s="14">
        <f t="shared" si="147"/>
        <v>2024</v>
      </c>
      <c r="F3193" s="29" t="str">
        <f t="shared" si="148"/>
        <v>Dec</v>
      </c>
      <c r="G3193" s="17" t="s">
        <v>33</v>
      </c>
      <c r="H3193" s="17" t="s">
        <v>23</v>
      </c>
      <c r="I3193" s="24">
        <v>60151.258247729391</v>
      </c>
      <c r="J3193" s="32">
        <v>36</v>
      </c>
      <c r="K3193" s="17" t="s">
        <v>16</v>
      </c>
      <c r="L3193" s="24">
        <v>1636.99</v>
      </c>
      <c r="M3193" s="24">
        <v>1677.99</v>
      </c>
      <c r="N3193" s="34">
        <f>((sales_data_1[[#This Row],[Unit_Price]]*(1-sales_data_1[[#This Row],[Discount]]))-sales_data_1[[#This Row],[Unit_Cost]])*sales_data_1[[#This Row],[Quantity_Sold]]</f>
        <v>1476</v>
      </c>
      <c r="O3193" s="17" t="s">
        <v>27</v>
      </c>
      <c r="P3193" s="26">
        <v>0</v>
      </c>
      <c r="Q3193" s="17" t="s">
        <v>28</v>
      </c>
      <c r="R3193" s="17" t="s">
        <v>21</v>
      </c>
      <c r="S3193" s="50" t="str">
        <f t="shared" si="149"/>
        <v>Alice-South</v>
      </c>
      <c r="T3193" s="59" t="str">
        <f>IF(ROUND(sales_data_1[[#This Row],[Profit_Margin]],2)=ROUND((sales_data_1[[#This Row],[Unit_Price]]*(1-sales_data_1[[#This Row],[Discount]]) - sales_data_1[[#This Row],[Unit_Cost]])*sales_data_1[[#This Row],[Quantity_Sold]],2), "PASS", "CHECK")</f>
        <v>PASS</v>
      </c>
    </row>
    <row r="3194" spans="1:20" x14ac:dyDescent="0.35">
      <c r="A3194" s="7">
        <v>3193</v>
      </c>
      <c r="B3194" s="9">
        <v>1010</v>
      </c>
      <c r="C3194" s="14" t="str">
        <f>IFERROR(_xlfn.TEXTJOIN("-", TRUE, _xlfn.XLOOKUP(K3194, product_category_id_lookup!$A$2:$A$5, product_category_id_lookup!$B$2:$B$5), B3194), "Unknown Category")</f>
        <v>fnt-1010</v>
      </c>
      <c r="D3194" s="8">
        <v>45655</v>
      </c>
      <c r="E3194" s="14">
        <f t="shared" si="147"/>
        <v>2024</v>
      </c>
      <c r="F3194" s="29" t="str">
        <f t="shared" si="148"/>
        <v>Dec</v>
      </c>
      <c r="G3194" s="17" t="s">
        <v>32</v>
      </c>
      <c r="H3194" s="17" t="s">
        <v>20</v>
      </c>
      <c r="I3194" s="24">
        <v>238311.25546197366</v>
      </c>
      <c r="J3194" s="32">
        <v>49</v>
      </c>
      <c r="K3194" s="17" t="s">
        <v>16</v>
      </c>
      <c r="L3194" s="24">
        <v>4743.46</v>
      </c>
      <c r="M3194" s="24">
        <v>4867.22</v>
      </c>
      <c r="N3194" s="34">
        <f>((sales_data_1[[#This Row],[Unit_Price]]*(1-sales_data_1[[#This Row],[Discount]]))-sales_data_1[[#This Row],[Unit_Cost]])*sales_data_1[[#This Row],[Quantity_Sold]]</f>
        <v>6064.2400000000107</v>
      </c>
      <c r="O3194" s="17" t="s">
        <v>17</v>
      </c>
      <c r="P3194" s="26">
        <v>0</v>
      </c>
      <c r="Q3194" s="17" t="s">
        <v>25</v>
      </c>
      <c r="R3194" s="17" t="s">
        <v>21</v>
      </c>
      <c r="S3194" s="50" t="str">
        <f t="shared" si="149"/>
        <v>Eve-West</v>
      </c>
      <c r="T3194" s="59" t="str">
        <f>IF(ROUND(sales_data_1[[#This Row],[Profit_Margin]],2)=ROUND((sales_data_1[[#This Row],[Unit_Price]]*(1-sales_data_1[[#This Row],[Discount]]) - sales_data_1[[#This Row],[Unit_Cost]])*sales_data_1[[#This Row],[Quantity_Sold]],2), "PASS", "CHECK")</f>
        <v>PASS</v>
      </c>
    </row>
    <row r="3195" spans="1:20" x14ac:dyDescent="0.35">
      <c r="A3195" s="7">
        <v>3194</v>
      </c>
      <c r="B3195" s="9">
        <v>1066</v>
      </c>
      <c r="C3195" s="14" t="str">
        <f>IFERROR(_xlfn.TEXTJOIN("-", TRUE, _xlfn.XLOOKUP(K3195, product_category_id_lookup!$A$2:$A$5, product_category_id_lookup!$B$2:$B$5), B3195), "Unknown Category")</f>
        <v>fnt-1066</v>
      </c>
      <c r="D3195" s="8">
        <v>45655</v>
      </c>
      <c r="E3195" s="14">
        <f t="shared" si="147"/>
        <v>2024</v>
      </c>
      <c r="F3195" s="29" t="str">
        <f t="shared" si="148"/>
        <v>Dec</v>
      </c>
      <c r="G3195" s="17" t="s">
        <v>32</v>
      </c>
      <c r="H3195" s="17" t="s">
        <v>23</v>
      </c>
      <c r="I3195" s="24">
        <v>77209.292999999991</v>
      </c>
      <c r="J3195" s="32">
        <v>21</v>
      </c>
      <c r="K3195" s="17" t="s">
        <v>16</v>
      </c>
      <c r="L3195" s="24">
        <v>3374.87</v>
      </c>
      <c r="M3195" s="24">
        <v>3870.14</v>
      </c>
      <c r="N3195" s="34">
        <f>((sales_data_1[[#This Row],[Unit_Price]]*(1-sales_data_1[[#This Row],[Discount]]))-sales_data_1[[#This Row],[Unit_Cost]])*sales_data_1[[#This Row],[Quantity_Sold]]</f>
        <v>6337.0229999999983</v>
      </c>
      <c r="O3195" s="17" t="s">
        <v>17</v>
      </c>
      <c r="P3195" s="26">
        <v>0.05</v>
      </c>
      <c r="Q3195" s="17" t="s">
        <v>28</v>
      </c>
      <c r="R3195" s="17" t="s">
        <v>21</v>
      </c>
      <c r="S3195" s="50" t="str">
        <f t="shared" si="149"/>
        <v>Eve-South</v>
      </c>
      <c r="T3195" s="59" t="str">
        <f>IF(ROUND(sales_data_1[[#This Row],[Profit_Margin]],2)=ROUND((sales_data_1[[#This Row],[Unit_Price]]*(1-sales_data_1[[#This Row],[Discount]]) - sales_data_1[[#This Row],[Unit_Cost]])*sales_data_1[[#This Row],[Quantity_Sold]],2), "PASS", "CHECK")</f>
        <v>PASS</v>
      </c>
    </row>
    <row r="3196" spans="1:20" x14ac:dyDescent="0.35">
      <c r="A3196" s="7">
        <v>3195</v>
      </c>
      <c r="B3196" s="9">
        <v>1096</v>
      </c>
      <c r="C3196" s="14" t="str">
        <f>IFERROR(_xlfn.TEXTJOIN("-", TRUE, _xlfn.XLOOKUP(K3196, product_category_id_lookup!$A$2:$A$5, product_category_id_lookup!$B$2:$B$5), B3196), "Unknown Category")</f>
        <v>fd-1096</v>
      </c>
      <c r="D3196" s="8">
        <v>45655</v>
      </c>
      <c r="E3196" s="14">
        <f t="shared" si="147"/>
        <v>2024</v>
      </c>
      <c r="F3196" s="29" t="str">
        <f t="shared" si="148"/>
        <v>Dec</v>
      </c>
      <c r="G3196" s="17" t="s">
        <v>22</v>
      </c>
      <c r="H3196" s="17" t="s">
        <v>20</v>
      </c>
      <c r="I3196" s="24">
        <v>43639.384199999993</v>
      </c>
      <c r="J3196" s="32">
        <v>17</v>
      </c>
      <c r="K3196" s="17" t="s">
        <v>24</v>
      </c>
      <c r="L3196" s="24">
        <v>690.87</v>
      </c>
      <c r="M3196" s="24">
        <v>2984.91</v>
      </c>
      <c r="N3196" s="34">
        <f>((sales_data_1[[#This Row],[Unit_Price]]*(1-sales_data_1[[#This Row],[Discount]]))-sales_data_1[[#This Row],[Unit_Cost]])*sales_data_1[[#This Row],[Quantity_Sold]]</f>
        <v>31894.5942</v>
      </c>
      <c r="O3196" s="17" t="s">
        <v>27</v>
      </c>
      <c r="P3196" s="26">
        <v>0.14000000000000001</v>
      </c>
      <c r="Q3196" s="17" t="s">
        <v>28</v>
      </c>
      <c r="R3196" s="17" t="s">
        <v>21</v>
      </c>
      <c r="S3196" s="50" t="str">
        <f t="shared" si="149"/>
        <v>David-West</v>
      </c>
      <c r="T3196" s="59" t="str">
        <f>IF(ROUND(sales_data_1[[#This Row],[Profit_Margin]],2)=ROUND((sales_data_1[[#This Row],[Unit_Price]]*(1-sales_data_1[[#This Row],[Discount]]) - sales_data_1[[#This Row],[Unit_Cost]])*sales_data_1[[#This Row],[Quantity_Sold]],2), "PASS", "CHECK")</f>
        <v>PASS</v>
      </c>
    </row>
    <row r="3197" spans="1:20" x14ac:dyDescent="0.35">
      <c r="A3197" s="7">
        <v>3196</v>
      </c>
      <c r="B3197" s="9">
        <v>1082</v>
      </c>
      <c r="C3197" s="14" t="str">
        <f>IFERROR(_xlfn.TEXTJOIN("-", TRUE, _xlfn.XLOOKUP(K3197, product_category_id_lookup!$A$2:$A$5, product_category_id_lookup!$B$2:$B$5), B3197), "Unknown Category")</f>
        <v>etc-1082</v>
      </c>
      <c r="D3197" s="8">
        <v>45655</v>
      </c>
      <c r="E3197" s="14">
        <f t="shared" si="147"/>
        <v>2024</v>
      </c>
      <c r="F3197" s="29" t="str">
        <f t="shared" si="148"/>
        <v>Dec</v>
      </c>
      <c r="G3197" s="17" t="s">
        <v>14</v>
      </c>
      <c r="H3197" s="17" t="s">
        <v>30</v>
      </c>
      <c r="I3197" s="24">
        <v>246070.3266</v>
      </c>
      <c r="J3197" s="32">
        <v>49</v>
      </c>
      <c r="K3197" s="17" t="s">
        <v>31</v>
      </c>
      <c r="L3197" s="24">
        <v>2301.23</v>
      </c>
      <c r="M3197" s="24">
        <v>5124.33</v>
      </c>
      <c r="N3197" s="34">
        <f>((sales_data_1[[#This Row],[Unit_Price]]*(1-sales_data_1[[#This Row],[Discount]]))-sales_data_1[[#This Row],[Unit_Cost]])*sales_data_1[[#This Row],[Quantity_Sold]]</f>
        <v>133310.05659999998</v>
      </c>
      <c r="O3197" s="17" t="s">
        <v>17</v>
      </c>
      <c r="P3197" s="26">
        <v>0.02</v>
      </c>
      <c r="Q3197" s="17" t="s">
        <v>25</v>
      </c>
      <c r="R3197" s="17" t="s">
        <v>19</v>
      </c>
      <c r="S3197" s="50" t="str">
        <f t="shared" si="149"/>
        <v>Bob-East</v>
      </c>
      <c r="T3197" s="59" t="str">
        <f>IF(ROUND(sales_data_1[[#This Row],[Profit_Margin]],2)=ROUND((sales_data_1[[#This Row],[Unit_Price]]*(1-sales_data_1[[#This Row],[Discount]]) - sales_data_1[[#This Row],[Unit_Cost]])*sales_data_1[[#This Row],[Quantity_Sold]],2), "PASS", "CHECK")</f>
        <v>PASS</v>
      </c>
    </row>
    <row r="3198" spans="1:20" x14ac:dyDescent="0.35">
      <c r="A3198" s="7">
        <v>3197</v>
      </c>
      <c r="B3198" s="9">
        <v>1040</v>
      </c>
      <c r="C3198" s="14" t="str">
        <f>IFERROR(_xlfn.TEXTJOIN("-", TRUE, _xlfn.XLOOKUP(K3198, product_category_id_lookup!$A$2:$A$5, product_category_id_lookup!$B$2:$B$5), B3198), "Unknown Category")</f>
        <v>etc-1040</v>
      </c>
      <c r="D3198" s="8">
        <v>45656</v>
      </c>
      <c r="E3198" s="14">
        <f t="shared" si="147"/>
        <v>2024</v>
      </c>
      <c r="F3198" s="29" t="str">
        <f t="shared" si="148"/>
        <v>Dec</v>
      </c>
      <c r="G3198" s="17" t="s">
        <v>32</v>
      </c>
      <c r="H3198" s="17" t="s">
        <v>15</v>
      </c>
      <c r="I3198" s="24">
        <v>16939.499499999998</v>
      </c>
      <c r="J3198" s="32">
        <v>11</v>
      </c>
      <c r="K3198" s="17" t="s">
        <v>31</v>
      </c>
      <c r="L3198" s="24">
        <v>870.72</v>
      </c>
      <c r="M3198" s="24">
        <v>2168.9499999999998</v>
      </c>
      <c r="N3198" s="34">
        <f>((sales_data_1[[#This Row],[Unit_Price]]*(1-sales_data_1[[#This Row],[Discount]]))-sales_data_1[[#This Row],[Unit_Cost]])*sales_data_1[[#This Row],[Quantity_Sold]]</f>
        <v>7361.579499999998</v>
      </c>
      <c r="O3198" s="17" t="s">
        <v>17</v>
      </c>
      <c r="P3198" s="26">
        <v>0.28999999999999998</v>
      </c>
      <c r="Q3198" s="17" t="s">
        <v>28</v>
      </c>
      <c r="R3198" s="17" t="s">
        <v>19</v>
      </c>
      <c r="S3198" s="50" t="str">
        <f t="shared" si="149"/>
        <v>Eve-North</v>
      </c>
      <c r="T3198" s="59" t="str">
        <f>IF(ROUND(sales_data_1[[#This Row],[Profit_Margin]],2)=ROUND((sales_data_1[[#This Row],[Unit_Price]]*(1-sales_data_1[[#This Row],[Discount]]) - sales_data_1[[#This Row],[Unit_Cost]])*sales_data_1[[#This Row],[Quantity_Sold]],2), "PASS", "CHECK")</f>
        <v>PASS</v>
      </c>
    </row>
    <row r="3199" spans="1:20" x14ac:dyDescent="0.35">
      <c r="A3199" s="7">
        <v>3198</v>
      </c>
      <c r="B3199" s="9">
        <v>1078</v>
      </c>
      <c r="C3199" s="14" t="str">
        <f>IFERROR(_xlfn.TEXTJOIN("-", TRUE, _xlfn.XLOOKUP(K3199, product_category_id_lookup!$A$2:$A$5, product_category_id_lookup!$B$2:$B$5), B3199), "Unknown Category")</f>
        <v>fnt-1078</v>
      </c>
      <c r="D3199" s="8">
        <v>45656</v>
      </c>
      <c r="E3199" s="14">
        <f t="shared" si="147"/>
        <v>2024</v>
      </c>
      <c r="F3199" s="29" t="str">
        <f t="shared" si="148"/>
        <v>Dec</v>
      </c>
      <c r="G3199" s="17" t="s">
        <v>14</v>
      </c>
      <c r="H3199" s="17" t="s">
        <v>23</v>
      </c>
      <c r="I3199" s="24">
        <v>152113.80799999999</v>
      </c>
      <c r="J3199" s="32">
        <v>44</v>
      </c>
      <c r="K3199" s="17" t="s">
        <v>16</v>
      </c>
      <c r="L3199" s="24">
        <v>1806.61</v>
      </c>
      <c r="M3199" s="24">
        <v>4869.2</v>
      </c>
      <c r="N3199" s="34">
        <f>((sales_data_1[[#This Row],[Unit_Price]]*(1-sales_data_1[[#This Row],[Discount]]))-sales_data_1[[#This Row],[Unit_Cost]])*sales_data_1[[#This Row],[Quantity_Sold]]</f>
        <v>72622.967999999993</v>
      </c>
      <c r="O3199" s="17" t="s">
        <v>27</v>
      </c>
      <c r="P3199" s="26">
        <v>0.28999999999999998</v>
      </c>
      <c r="Q3199" s="17" t="s">
        <v>28</v>
      </c>
      <c r="R3199" s="17" t="s">
        <v>19</v>
      </c>
      <c r="S3199" s="50" t="str">
        <f t="shared" si="149"/>
        <v>Bob-South</v>
      </c>
      <c r="T3199" s="59" t="str">
        <f>IF(ROUND(sales_data_1[[#This Row],[Profit_Margin]],2)=ROUND((sales_data_1[[#This Row],[Unit_Price]]*(1-sales_data_1[[#This Row],[Discount]]) - sales_data_1[[#This Row],[Unit_Cost]])*sales_data_1[[#This Row],[Quantity_Sold]],2), "PASS", "CHECK")</f>
        <v>PASS</v>
      </c>
    </row>
    <row r="3200" spans="1:20" x14ac:dyDescent="0.35">
      <c r="A3200" s="7">
        <v>3199</v>
      </c>
      <c r="B3200" s="9">
        <v>1083</v>
      </c>
      <c r="C3200" s="14" t="str">
        <f>IFERROR(_xlfn.TEXTJOIN("-", TRUE, _xlfn.XLOOKUP(K3200, product_category_id_lookup!$A$2:$A$5, product_category_id_lookup!$B$2:$B$5), B3200), "Unknown Category")</f>
        <v>etc-1083</v>
      </c>
      <c r="D3200" s="8">
        <v>45657</v>
      </c>
      <c r="E3200" s="14">
        <f t="shared" si="147"/>
        <v>2024</v>
      </c>
      <c r="F3200" s="29" t="str">
        <f t="shared" si="148"/>
        <v>Dec</v>
      </c>
      <c r="G3200" s="17" t="s">
        <v>29</v>
      </c>
      <c r="H3200" s="17" t="s">
        <v>23</v>
      </c>
      <c r="I3200" s="24">
        <v>22771.949400000001</v>
      </c>
      <c r="J3200" s="32">
        <v>9</v>
      </c>
      <c r="K3200" s="17" t="s">
        <v>31</v>
      </c>
      <c r="L3200" s="24">
        <v>1450.3</v>
      </c>
      <c r="M3200" s="24">
        <v>2842.94</v>
      </c>
      <c r="N3200" s="34">
        <f>((sales_data_1[[#This Row],[Unit_Price]]*(1-sales_data_1[[#This Row],[Discount]]))-sales_data_1[[#This Row],[Unit_Cost]])*sales_data_1[[#This Row],[Quantity_Sold]]</f>
        <v>9719.2494000000024</v>
      </c>
      <c r="O3200" s="17" t="s">
        <v>17</v>
      </c>
      <c r="P3200" s="26">
        <v>0.11</v>
      </c>
      <c r="Q3200" s="17" t="s">
        <v>18</v>
      </c>
      <c r="R3200" s="17" t="s">
        <v>21</v>
      </c>
      <c r="S3200" s="50" t="str">
        <f t="shared" si="149"/>
        <v>Charlie-South</v>
      </c>
      <c r="T3200" s="59" t="str">
        <f>IF(ROUND(sales_data_1[[#This Row],[Profit_Margin]],2)=ROUND((sales_data_1[[#This Row],[Unit_Price]]*(1-sales_data_1[[#This Row],[Discount]]) - sales_data_1[[#This Row],[Unit_Cost]])*sales_data_1[[#This Row],[Quantity_Sold]],2), "PASS", "CHECK")</f>
        <v>PASS</v>
      </c>
    </row>
    <row r="3201" spans="1:20" x14ac:dyDescent="0.35">
      <c r="A3201" s="7">
        <v>3200</v>
      </c>
      <c r="B3201" s="9">
        <v>1057</v>
      </c>
      <c r="C3201" s="14" t="str">
        <f>IFERROR(_xlfn.TEXTJOIN("-", TRUE, _xlfn.XLOOKUP(K3201, product_category_id_lookup!$A$2:$A$5, product_category_id_lookup!$B$2:$B$5), B3201), "Unknown Category")</f>
        <v>etc-1057</v>
      </c>
      <c r="D3201" s="8">
        <v>45657</v>
      </c>
      <c r="E3201" s="14">
        <f t="shared" si="147"/>
        <v>2024</v>
      </c>
      <c r="F3201" s="29" t="str">
        <f t="shared" si="148"/>
        <v>Dec</v>
      </c>
      <c r="G3201" s="17" t="s">
        <v>29</v>
      </c>
      <c r="H3201" s="17" t="s">
        <v>15</v>
      </c>
      <c r="I3201" s="24">
        <v>57812.836900000002</v>
      </c>
      <c r="J3201" s="32">
        <v>29</v>
      </c>
      <c r="K3201" s="17" t="s">
        <v>31</v>
      </c>
      <c r="L3201" s="24">
        <v>1154.21</v>
      </c>
      <c r="M3201" s="24">
        <v>2190.71</v>
      </c>
      <c r="N3201" s="34">
        <f>((sales_data_1[[#This Row],[Unit_Price]]*(1-sales_data_1[[#This Row],[Discount]]))-sales_data_1[[#This Row],[Unit_Cost]])*sales_data_1[[#This Row],[Quantity_Sold]]</f>
        <v>24340.746899999998</v>
      </c>
      <c r="O3201" s="17" t="s">
        <v>27</v>
      </c>
      <c r="P3201" s="26">
        <v>0.09</v>
      </c>
      <c r="Q3201" s="17" t="s">
        <v>28</v>
      </c>
      <c r="R3201" s="17" t="s">
        <v>21</v>
      </c>
      <c r="S3201" s="50" t="str">
        <f t="shared" si="149"/>
        <v>Charlie-North</v>
      </c>
      <c r="T3201" s="59" t="str">
        <f>IF(ROUND(sales_data_1[[#This Row],[Profit_Margin]],2)=ROUND((sales_data_1[[#This Row],[Unit_Price]]*(1-sales_data_1[[#This Row],[Discount]]) - sales_data_1[[#This Row],[Unit_Cost]])*sales_data_1[[#This Row],[Quantity_Sold]],2), "PASS", "CHECK")</f>
        <v>PASS</v>
      </c>
    </row>
    <row r="3202" spans="1:20" x14ac:dyDescent="0.35">
      <c r="A3202" s="7">
        <v>3201</v>
      </c>
      <c r="B3202" s="9">
        <v>1071</v>
      </c>
      <c r="C3202" s="14" t="str">
        <f>IFERROR(_xlfn.TEXTJOIN("-", TRUE, _xlfn.XLOOKUP(K3202, product_category_id_lookup!$A$2:$A$5, product_category_id_lookup!$B$2:$B$5), B3202), "Unknown Category")</f>
        <v>fd-1071</v>
      </c>
      <c r="D3202" s="8">
        <v>45657</v>
      </c>
      <c r="E3202" s="14">
        <f t="shared" ref="E3202:E3204" si="150">YEAR(D3202)</f>
        <v>2024</v>
      </c>
      <c r="F3202" s="29" t="str">
        <f t="shared" si="148"/>
        <v>Dec</v>
      </c>
      <c r="G3202" s="17" t="s">
        <v>14</v>
      </c>
      <c r="H3202" s="17" t="s">
        <v>30</v>
      </c>
      <c r="I3202" s="24">
        <v>142402.986</v>
      </c>
      <c r="J3202" s="32">
        <v>38</v>
      </c>
      <c r="K3202" s="17" t="s">
        <v>24</v>
      </c>
      <c r="L3202" s="24">
        <v>2894.96</v>
      </c>
      <c r="M3202" s="24">
        <v>3785.3</v>
      </c>
      <c r="N3202" s="34">
        <f>((sales_data_1[[#This Row],[Unit_Price]]*(1-sales_data_1[[#This Row],[Discount]]))-sales_data_1[[#This Row],[Unit_Cost]])*sales_data_1[[#This Row],[Quantity_Sold]]</f>
        <v>32394.506000000001</v>
      </c>
      <c r="O3202" s="17" t="s">
        <v>27</v>
      </c>
      <c r="P3202" s="26">
        <v>0.01</v>
      </c>
      <c r="Q3202" s="17" t="s">
        <v>18</v>
      </c>
      <c r="R3202" s="17" t="s">
        <v>19</v>
      </c>
      <c r="S3202" s="50" t="str">
        <f t="shared" si="149"/>
        <v>Bob-East</v>
      </c>
      <c r="T3202" s="59" t="str">
        <f>IF(ROUND(sales_data_1[[#This Row],[Profit_Margin]],2)=ROUND((sales_data_1[[#This Row],[Unit_Price]]*(1-sales_data_1[[#This Row],[Discount]]) - sales_data_1[[#This Row],[Unit_Cost]])*sales_data_1[[#This Row],[Quantity_Sold]],2), "PASS", "CHECK")</f>
        <v>PASS</v>
      </c>
    </row>
    <row r="3203" spans="1:20" x14ac:dyDescent="0.35">
      <c r="A3203" s="7">
        <v>3202</v>
      </c>
      <c r="B3203" s="9">
        <v>1088</v>
      </c>
      <c r="C3203" s="14" t="str">
        <f>IFERROR(_xlfn.TEXTJOIN("-", TRUE, _xlfn.XLOOKUP(K3203, product_category_id_lookup!$A$2:$A$5, product_category_id_lookup!$B$2:$B$5), B3203), "Unknown Category")</f>
        <v>ctg-1088</v>
      </c>
      <c r="D3203" s="8">
        <v>45657</v>
      </c>
      <c r="E3203" s="14">
        <f t="shared" si="150"/>
        <v>2024</v>
      </c>
      <c r="F3203" s="29" t="str">
        <f t="shared" si="148"/>
        <v>Dec</v>
      </c>
      <c r="G3203" s="17" t="s">
        <v>33</v>
      </c>
      <c r="H3203" s="17" t="s">
        <v>30</v>
      </c>
      <c r="I3203" s="24">
        <v>129827.08480000001</v>
      </c>
      <c r="J3203" s="32">
        <v>32</v>
      </c>
      <c r="K3203" s="17" t="s">
        <v>26</v>
      </c>
      <c r="L3203" s="24">
        <v>3034.43</v>
      </c>
      <c r="M3203" s="24">
        <v>4316.0600000000004</v>
      </c>
      <c r="N3203" s="34">
        <f>((sales_data_1[[#This Row],[Unit_Price]]*(1-sales_data_1[[#This Row],[Discount]]))-sales_data_1[[#This Row],[Unit_Cost]])*sales_data_1[[#This Row],[Quantity_Sold]]</f>
        <v>32725.324800000017</v>
      </c>
      <c r="O3203" s="17" t="s">
        <v>17</v>
      </c>
      <c r="P3203" s="26">
        <v>0.06</v>
      </c>
      <c r="Q3203" s="17" t="s">
        <v>28</v>
      </c>
      <c r="R3203" s="17" t="s">
        <v>21</v>
      </c>
      <c r="S3203" s="50" t="str">
        <f t="shared" si="149"/>
        <v>Alice-East</v>
      </c>
      <c r="T3203" s="59" t="str">
        <f>IF(ROUND(sales_data_1[[#This Row],[Profit_Margin]],2)=ROUND((sales_data_1[[#This Row],[Unit_Price]]*(1-sales_data_1[[#This Row],[Discount]]) - sales_data_1[[#This Row],[Unit_Cost]])*sales_data_1[[#This Row],[Quantity_Sold]],2), "PASS", "CHECK")</f>
        <v>PASS</v>
      </c>
    </row>
    <row r="3204" spans="1:20" x14ac:dyDescent="0.35">
      <c r="A3204" s="7">
        <v>3203</v>
      </c>
      <c r="B3204" s="13">
        <v>1089</v>
      </c>
      <c r="C3204" s="14" t="str">
        <f>IFERROR(_xlfn.TEXTJOIN("-", TRUE, _xlfn.XLOOKUP(K3204, product_category_id_lookup!$A$2:$A$5, product_category_id_lookup!$B$2:$B$5), B3204), "Unknown Category")</f>
        <v>ctg-1089</v>
      </c>
      <c r="D3204" s="18">
        <v>45657</v>
      </c>
      <c r="E3204" s="14">
        <f t="shared" si="150"/>
        <v>2024</v>
      </c>
      <c r="F3204" s="29" t="str">
        <f t="shared" si="148"/>
        <v>Dec</v>
      </c>
      <c r="G3204" s="22" t="s">
        <v>14</v>
      </c>
      <c r="H3204" s="22" t="s">
        <v>15</v>
      </c>
      <c r="I3204" s="31">
        <v>86603.742100000003</v>
      </c>
      <c r="J3204" s="33">
        <v>31</v>
      </c>
      <c r="K3204" s="22" t="s">
        <v>26</v>
      </c>
      <c r="L3204" s="31">
        <v>1172.4000000000001</v>
      </c>
      <c r="M3204" s="31">
        <v>3536.29</v>
      </c>
      <c r="N3204" s="35">
        <f>((sales_data_1[[#This Row],[Unit_Price]]*(1-sales_data_1[[#This Row],[Discount]]))-sales_data_1[[#This Row],[Unit_Cost]])*sales_data_1[[#This Row],[Quantity_Sold]]</f>
        <v>50259.342100000002</v>
      </c>
      <c r="O3204" s="22" t="s">
        <v>27</v>
      </c>
      <c r="P3204" s="27">
        <v>0.21</v>
      </c>
      <c r="Q3204" s="22" t="s">
        <v>25</v>
      </c>
      <c r="R3204" s="22" t="s">
        <v>21</v>
      </c>
      <c r="S3204" s="50" t="str">
        <f t="shared" si="149"/>
        <v>Bob-North</v>
      </c>
      <c r="T3204" s="59" t="str">
        <f>IF(ROUND(sales_data_1[[#This Row],[Profit_Margin]],2)=ROUND((sales_data_1[[#This Row],[Unit_Price]]*(1-sales_data_1[[#This Row],[Discount]]) - sales_data_1[[#This Row],[Unit_Cost]])*sales_data_1[[#This Row],[Quantity_Sold]],2), "PASS", "CHECK")</f>
        <v>PASS</v>
      </c>
    </row>
  </sheetData>
  <conditionalFormatting sqref="N1:N3204">
    <cfRule type="cellIs" dxfId="1" priority="3" operator="lessThan">
      <formula>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E0F5-893D-4281-B2CA-281829DEC1D2}">
  <dimension ref="A1:B5"/>
  <sheetViews>
    <sheetView workbookViewId="0">
      <selection activeCell="H26" sqref="H26"/>
    </sheetView>
  </sheetViews>
  <sheetFormatPr defaultRowHeight="14.5" x14ac:dyDescent="0.35"/>
  <cols>
    <col min="1" max="1" width="15.54296875" bestFit="1" customWidth="1"/>
  </cols>
  <sheetData>
    <row r="1" spans="1:2" x14ac:dyDescent="0.35">
      <c r="A1" s="6" t="s">
        <v>38</v>
      </c>
      <c r="B1" s="6" t="s">
        <v>37</v>
      </c>
    </row>
    <row r="2" spans="1:2" x14ac:dyDescent="0.35">
      <c r="A2" s="5" t="s">
        <v>16</v>
      </c>
      <c r="B2" s="5" t="s">
        <v>39</v>
      </c>
    </row>
    <row r="3" spans="1:2" x14ac:dyDescent="0.35">
      <c r="A3" s="5" t="s">
        <v>24</v>
      </c>
      <c r="B3" s="5" t="s">
        <v>40</v>
      </c>
    </row>
    <row r="4" spans="1:2" x14ac:dyDescent="0.35">
      <c r="A4" s="5" t="s">
        <v>26</v>
      </c>
      <c r="B4" s="5" t="s">
        <v>41</v>
      </c>
    </row>
    <row r="5" spans="1:2" x14ac:dyDescent="0.35">
      <c r="A5" s="5" t="s">
        <v>31</v>
      </c>
      <c r="B5" s="5" t="s">
        <v>42</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51E0B-66AF-4840-9637-78CE394A828D}">
  <dimension ref="A1:AH63"/>
  <sheetViews>
    <sheetView zoomScaleNormal="100" workbookViewId="0">
      <selection activeCell="AC25" sqref="AC25"/>
    </sheetView>
  </sheetViews>
  <sheetFormatPr defaultColWidth="14" defaultRowHeight="14.5" x14ac:dyDescent="0.35"/>
  <cols>
    <col min="1" max="1" width="17.26953125" bestFit="1" customWidth="1"/>
    <col min="2" max="2" width="11.1796875" bestFit="1" customWidth="1"/>
    <col min="3" max="3" width="16.08984375" bestFit="1" customWidth="1"/>
    <col min="4" max="6" width="15" bestFit="1" customWidth="1"/>
    <col min="7" max="7" width="16.90625" bestFit="1" customWidth="1"/>
    <col min="8" max="8" width="16.453125" bestFit="1" customWidth="1"/>
    <col min="9" max="12" width="15" bestFit="1" customWidth="1"/>
    <col min="13" max="14" width="16.453125" bestFit="1" customWidth="1"/>
    <col min="15" max="18" width="15" bestFit="1" customWidth="1"/>
    <col min="19" max="19" width="16.90625" bestFit="1" customWidth="1"/>
    <col min="20" max="20" width="16.453125" bestFit="1" customWidth="1"/>
    <col min="21" max="24" width="15" bestFit="1" customWidth="1"/>
    <col min="25" max="25" width="16.90625" bestFit="1" customWidth="1"/>
    <col min="26" max="26" width="16.453125" bestFit="1" customWidth="1"/>
    <col min="27" max="29" width="15" bestFit="1" customWidth="1"/>
    <col min="30" max="30" width="16.08984375" bestFit="1" customWidth="1"/>
    <col min="31" max="31" width="16.90625" bestFit="1" customWidth="1"/>
    <col min="32" max="32" width="16.453125" bestFit="1" customWidth="1"/>
    <col min="33" max="34" width="16.90625" bestFit="1" customWidth="1"/>
  </cols>
  <sheetData>
    <row r="1" spans="1:34" x14ac:dyDescent="0.35">
      <c r="A1" t="s">
        <v>34</v>
      </c>
    </row>
    <row r="2" spans="1:34" x14ac:dyDescent="0.35">
      <c r="A2" s="3" t="s">
        <v>33</v>
      </c>
    </row>
    <row r="3" spans="1:34" x14ac:dyDescent="0.35">
      <c r="A3" s="3" t="s">
        <v>14</v>
      </c>
    </row>
    <row r="4" spans="1:34" x14ac:dyDescent="0.35">
      <c r="A4" s="3" t="s">
        <v>29</v>
      </c>
    </row>
    <row r="5" spans="1:34" x14ac:dyDescent="0.35">
      <c r="A5" s="3" t="s">
        <v>22</v>
      </c>
    </row>
    <row r="6" spans="1:34" x14ac:dyDescent="0.35">
      <c r="A6" s="3" t="s">
        <v>32</v>
      </c>
    </row>
    <row r="7" spans="1:34" x14ac:dyDescent="0.35">
      <c r="A7" s="3" t="s">
        <v>35</v>
      </c>
    </row>
    <row r="9" spans="1:34" x14ac:dyDescent="0.35">
      <c r="A9" s="80" t="s">
        <v>33</v>
      </c>
      <c r="B9" s="81"/>
      <c r="C9" s="81"/>
      <c r="D9" s="81"/>
      <c r="E9" s="81"/>
      <c r="F9" s="81"/>
      <c r="G9" s="81"/>
      <c r="H9" s="81"/>
      <c r="I9" s="82" t="s">
        <v>14</v>
      </c>
      <c r="J9" s="82"/>
      <c r="K9" s="82"/>
      <c r="L9" s="82"/>
      <c r="M9" s="82"/>
      <c r="N9" s="82"/>
      <c r="O9" s="83" t="s">
        <v>29</v>
      </c>
      <c r="P9" s="83"/>
      <c r="Q9" s="83"/>
      <c r="R9" s="83"/>
      <c r="S9" s="83"/>
      <c r="T9" s="84"/>
      <c r="U9" s="85" t="s">
        <v>22</v>
      </c>
      <c r="V9" s="86"/>
      <c r="W9" s="86"/>
      <c r="X9" s="86"/>
      <c r="Y9" s="86"/>
      <c r="Z9" s="87"/>
      <c r="AA9" s="88" t="s">
        <v>32</v>
      </c>
      <c r="AB9" s="89"/>
      <c r="AC9" s="89"/>
      <c r="AD9" s="89"/>
      <c r="AE9" s="89"/>
      <c r="AF9" s="89"/>
    </row>
    <row r="10" spans="1:34" x14ac:dyDescent="0.35">
      <c r="A10" s="20" t="s">
        <v>44</v>
      </c>
      <c r="B10" s="21" t="s">
        <v>57</v>
      </c>
      <c r="C10" s="21" t="s">
        <v>26</v>
      </c>
      <c r="D10" s="21" t="s">
        <v>31</v>
      </c>
      <c r="E10" s="21" t="s">
        <v>24</v>
      </c>
      <c r="F10" s="21" t="s">
        <v>16</v>
      </c>
      <c r="G10" s="21" t="s">
        <v>58</v>
      </c>
      <c r="H10" s="21" t="s">
        <v>61</v>
      </c>
      <c r="I10" s="21" t="s">
        <v>26</v>
      </c>
      <c r="J10" s="21" t="s">
        <v>31</v>
      </c>
      <c r="K10" s="21" t="s">
        <v>24</v>
      </c>
      <c r="L10" s="21" t="s">
        <v>16</v>
      </c>
      <c r="M10" s="21" t="s">
        <v>58</v>
      </c>
      <c r="N10" s="21" t="s">
        <v>62</v>
      </c>
      <c r="O10" s="21" t="s">
        <v>26</v>
      </c>
      <c r="P10" s="21" t="s">
        <v>31</v>
      </c>
      <c r="Q10" s="21" t="s">
        <v>24</v>
      </c>
      <c r="R10" s="21" t="s">
        <v>16</v>
      </c>
      <c r="S10" s="21" t="s">
        <v>58</v>
      </c>
      <c r="T10" s="21" t="s">
        <v>63</v>
      </c>
      <c r="U10" s="21" t="s">
        <v>26</v>
      </c>
      <c r="V10" s="21" t="s">
        <v>31</v>
      </c>
      <c r="W10" s="21" t="s">
        <v>24</v>
      </c>
      <c r="X10" s="21" t="s">
        <v>16</v>
      </c>
      <c r="Y10" s="21" t="s">
        <v>58</v>
      </c>
      <c r="Z10" s="21" t="s">
        <v>64</v>
      </c>
      <c r="AA10" s="21" t="s">
        <v>26</v>
      </c>
      <c r="AB10" s="21" t="s">
        <v>31</v>
      </c>
      <c r="AC10" s="21" t="s">
        <v>24</v>
      </c>
      <c r="AD10" s="21" t="s">
        <v>16</v>
      </c>
      <c r="AE10" s="21" t="s">
        <v>58</v>
      </c>
      <c r="AF10" s="15" t="s">
        <v>65</v>
      </c>
      <c r="AG10" s="6" t="s">
        <v>58</v>
      </c>
      <c r="AH10" s="6" t="s">
        <v>66</v>
      </c>
    </row>
    <row r="11" spans="1:34" x14ac:dyDescent="0.35">
      <c r="A11" s="17" t="s">
        <v>60</v>
      </c>
      <c r="B11" s="5" t="s">
        <v>45</v>
      </c>
      <c r="C11" s="24">
        <f>SUMIFS(sales_data_1[Sales_Amount],sales_data_1[Year],2022, sales_data_1[month], $B11, sales_data_1[Sales_Rep], "Alice", sales_data_1[Product_Category], C$10)</f>
        <v>422083.77867831365</v>
      </c>
      <c r="D11" s="24">
        <f>SUMIFS(sales_data_1[Sales_Amount],sales_data_1[Year],2022, sales_data_1[month], $B11, sales_data_1[Sales_Rep], "Alice", sales_data_1[Product_Category], D$10)</f>
        <v>345422.62560000003</v>
      </c>
      <c r="E11" s="24">
        <f>SUMIFS(sales_data_1[Sales_Amount],sales_data_1[Year],2022, sales_data_1[month], $B11, sales_data_1[Sales_Rep], "Alice", sales_data_1[Product_Category], E$10)</f>
        <v>394909.34284364816</v>
      </c>
      <c r="F11" s="24">
        <f>SUMIFS(sales_data_1[Sales_Amount],sales_data_1[Year],2022, sales_data_1[month], $B11, sales_data_1[Sales_Rep], "Alice", sales_data_1[Product_Category], F$10)</f>
        <v>325897.04053368536</v>
      </c>
      <c r="G11" s="24">
        <f t="shared" ref="G11:G46" si="0">SUM(C11:F11)</f>
        <v>1488312.7876556471</v>
      </c>
      <c r="H11" s="24"/>
      <c r="I11" s="24">
        <f>SUMIFS(sales_data_1[Sales_Amount],sales_data_1[Year],2022, sales_data_1[month], $B11, sales_data_1[Sales_Rep], "Bob", sales_data_1[Product_Category], I$10)</f>
        <v>323166.26460000005</v>
      </c>
      <c r="J11" s="24">
        <f>SUMIFS(sales_data_1[Sales_Amount],sales_data_1[Year],2022, sales_data_1[month], $B11, sales_data_1[Sales_Rep], "Bob", sales_data_1[Product_Category], J$10)</f>
        <v>250435.86256954758</v>
      </c>
      <c r="K11" s="24">
        <f>SUMIFS(sales_data_1[Sales_Amount],sales_data_1[Year],2022, sales_data_1[month], $B11, sales_data_1[Sales_Rep], "Bob", sales_data_1[Product_Category], K$10)</f>
        <v>17599.418902758847</v>
      </c>
      <c r="L11" s="24">
        <f>SUMIFS(sales_data_1[Sales_Amount],sales_data_1[Year],2022, sales_data_1[month], $B11, sales_data_1[Sales_Rep], "Bob", sales_data_1[Product_Category], L$10)</f>
        <v>167477.28599999999</v>
      </c>
      <c r="M11" s="24">
        <f t="shared" ref="M11:M46" si="1">SUM(I11:L11)</f>
        <v>758678.83207230642</v>
      </c>
      <c r="N11" s="24"/>
      <c r="O11" s="24">
        <f>SUMIFS(sales_data_1[Sales_Amount],sales_data_1[Year],2022, sales_data_1[month], $B11, sales_data_1[Sales_Rep], "Charlie", sales_data_1[Product_Category], O$10)</f>
        <v>621326.50830756244</v>
      </c>
      <c r="P11" s="24">
        <f>SUMIFS(sales_data_1[Sales_Amount],sales_data_1[Year],2022, sales_data_1[month], $B11, sales_data_1[Sales_Rep], "Charlie", sales_data_1[Product_Category], P$10)</f>
        <v>595053.38300000003</v>
      </c>
      <c r="Q11" s="24">
        <f>SUMIFS(sales_data_1[Sales_Amount],sales_data_1[Year],2022, sales_data_1[month], $B11, sales_data_1[Sales_Rep], "Charlie", sales_data_1[Product_Category], Q$10)</f>
        <v>576231.61410000001</v>
      </c>
      <c r="R11" s="24">
        <f>SUMIFS(sales_data_1[Sales_Amount],sales_data_1[Year],2022, sales_data_1[month], $B11, sales_data_1[Sales_Rep], "Charlie", sales_data_1[Product_Category], R$10)</f>
        <v>193498.31200000003</v>
      </c>
      <c r="S11" s="24">
        <f t="shared" ref="S11:S46" si="2">SUM(O11:R11)</f>
        <v>1986109.8174075624</v>
      </c>
      <c r="T11" s="24"/>
      <c r="U11" s="24">
        <f>SUMIFS(sales_data_1[Sales_Amount],sales_data_1[Year],2022, sales_data_1[month], $B11, sales_data_1[Sales_Rep], "David", sales_data_1[Product_Category], U$10)</f>
        <v>210360.5883</v>
      </c>
      <c r="V11" s="24">
        <f>SUMIFS(sales_data_1[Sales_Amount],sales_data_1[Year],2022, sales_data_1[month], $B11, sales_data_1[Sales_Rep], "David", sales_data_1[Product_Category], V$10)</f>
        <v>611641.27079999994</v>
      </c>
      <c r="W11" s="24">
        <f>SUMIFS(sales_data_1[Sales_Amount],sales_data_1[Year],2022, sales_data_1[month], $B11, sales_data_1[Sales_Rep], "David", sales_data_1[Product_Category], W$10)</f>
        <v>340145.43650000001</v>
      </c>
      <c r="X11" s="24">
        <f>SUMIFS(sales_data_1[Sales_Amount],sales_data_1[Year],2022, sales_data_1[month], $B11, sales_data_1[Sales_Rep], "David", sales_data_1[Product_Category], R$10)</f>
        <v>365913.40520000004</v>
      </c>
      <c r="Y11" s="24">
        <f t="shared" ref="Y11:Y46" si="3">SUM(U11:X11)</f>
        <v>1528060.7008000002</v>
      </c>
      <c r="Z11" s="24"/>
      <c r="AA11" s="24">
        <f>SUMIFS(sales_data_1[Sales_Amount],sales_data_1[Year],2022, sales_data_1[month], $B11, sales_data_1[Sales_Rep], "Eve", sales_data_1[Product_Category], U$10)</f>
        <v>20312.913</v>
      </c>
      <c r="AB11" s="24">
        <f>SUMIFS(sales_data_1[Sales_Amount],sales_data_1[Year],2022, sales_data_1[month], $B11, sales_data_1[Sales_Rep], "Eve", sales_data_1[Product_Category], V$10)</f>
        <v>304216.73118193378</v>
      </c>
      <c r="AC11" s="24">
        <f>SUMIFS(sales_data_1[Sales_Amount],sales_data_1[Year],2022, sales_data_1[month], $B11, sales_data_1[Sales_Rep], "Eve", sales_data_1[Product_Category], W$10)</f>
        <v>170303.8731</v>
      </c>
      <c r="AD11" s="24">
        <f>SUMIFS(sales_data_1[Sales_Amount],sales_data_1[Year],2022, sales_data_1[month], $B11, sales_data_1[Sales_Rep], "Eve", sales_data_1[Product_Category], R$10)</f>
        <v>705987.46910806501</v>
      </c>
      <c r="AE11" s="24">
        <f t="shared" ref="AE11:AE46" si="4">SUM(AA11:AD11)</f>
        <v>1200820.9863899988</v>
      </c>
      <c r="AF11" s="104"/>
      <c r="AG11" s="24">
        <f>SUM(C11:F11)+ SUM(I11:L11)+SUM(O11:R11)+SUM(U11:X11)+SUM(AA11:AD11)</f>
        <v>6961983.1243255138</v>
      </c>
      <c r="AH11" s="24"/>
    </row>
    <row r="12" spans="1:34" x14ac:dyDescent="0.35">
      <c r="A12" s="4"/>
      <c r="B12" s="5" t="s">
        <v>46</v>
      </c>
      <c r="C12" s="24">
        <f>SUMIFS(sales_data_1[Sales_Amount],sales_data_1[Year],2022, sales_data_1[month], $B12, sales_data_1[Sales_Rep], "Alice", sales_data_1[Product_Category], C$10)</f>
        <v>108389.65280000001</v>
      </c>
      <c r="D12" s="24">
        <f>SUMIFS(sales_data_1[Sales_Amount],sales_data_1[Year],2022, sales_data_1[month], $B12, sales_data_1[Sales_Rep], "Alice", sales_data_1[Product_Category], D$10)</f>
        <v>140900.8351</v>
      </c>
      <c r="E12" s="24">
        <f>SUMIFS(sales_data_1[Sales_Amount],sales_data_1[Year],2022, sales_data_1[month], $B12, sales_data_1[Sales_Rep], "Alice", sales_data_1[Product_Category], E$10)</f>
        <v>754566.39100000006</v>
      </c>
      <c r="F12" s="24">
        <f>SUMIFS(sales_data_1[Sales_Amount],sales_data_1[Year],2022, sales_data_1[month], $B12, sales_data_1[Sales_Rep], "Alice", sales_data_1[Product_Category], F$10)</f>
        <v>381392.27010000002</v>
      </c>
      <c r="G12" s="24">
        <f t="shared" si="0"/>
        <v>1385249.1490000002</v>
      </c>
      <c r="H12" s="24"/>
      <c r="I12" s="24">
        <f>SUMIFS(sales_data_1[Sales_Amount],sales_data_1[Year],2022, sales_data_1[month], $B12, sales_data_1[Sales_Rep], "Bob", sales_data_1[Product_Category], I$10)</f>
        <v>210790.23293964952</v>
      </c>
      <c r="J12" s="24">
        <f>SUMIFS(sales_data_1[Sales_Amount],sales_data_1[Year],2022, sales_data_1[month], $B12, sales_data_1[Sales_Rep], "Bob", sales_data_1[Product_Category], J$10)</f>
        <v>520577.40917958308</v>
      </c>
      <c r="K12" s="24">
        <f>SUMIFS(sales_data_1[Sales_Amount],sales_data_1[Year],2022, sales_data_1[month], $B12, sales_data_1[Sales_Rep], "Bob", sales_data_1[Product_Category], K$10)</f>
        <v>0</v>
      </c>
      <c r="L12" s="24">
        <f>SUMIFS(sales_data_1[Sales_Amount],sales_data_1[Year],2022, sales_data_1[month], $B12, sales_data_1[Sales_Rep], "Bob", sales_data_1[Product_Category], L$10)</f>
        <v>407290.52874135034</v>
      </c>
      <c r="M12" s="24">
        <f t="shared" si="1"/>
        <v>1138658.170860583</v>
      </c>
      <c r="N12" s="24"/>
      <c r="O12" s="24">
        <f>SUMIFS(sales_data_1[Sales_Amount],sales_data_1[Year],2022, sales_data_1[month], $B12, sales_data_1[Sales_Rep], "Charlie", sales_data_1[Product_Category], O$10)</f>
        <v>868625.05563832319</v>
      </c>
      <c r="P12" s="24">
        <f>SUMIFS(sales_data_1[Sales_Amount],sales_data_1[Year],2022, sales_data_1[month], $B12, sales_data_1[Sales_Rep], "Charlie", sales_data_1[Product_Category], P$10)</f>
        <v>655887.71182180988</v>
      </c>
      <c r="Q12" s="24">
        <f>SUMIFS(sales_data_1[Sales_Amount],sales_data_1[Year],2022, sales_data_1[month], $B12, sales_data_1[Sales_Rep], "Charlie", sales_data_1[Product_Category], Q$10)</f>
        <v>263685.87659999996</v>
      </c>
      <c r="R12" s="24">
        <f>SUMIFS(sales_data_1[Sales_Amount],sales_data_1[Year],2022, sales_data_1[month], $B12, sales_data_1[Sales_Rep], "Charlie", sales_data_1[Product_Category], R$10)</f>
        <v>415552.05355189869</v>
      </c>
      <c r="S12" s="24">
        <f t="shared" si="2"/>
        <v>2203750.6976120318</v>
      </c>
      <c r="T12" s="24"/>
      <c r="U12" s="24">
        <f>SUMIFS(sales_data_1[Sales_Amount],sales_data_1[Year],2022, sales_data_1[month], $B12, sales_data_1[Sales_Rep], "David", sales_data_1[Product_Category], U$10)</f>
        <v>224076.73739999998</v>
      </c>
      <c r="V12" s="24">
        <f>SUMIFS(sales_data_1[Sales_Amount],sales_data_1[Year],2022, sales_data_1[month], $B12, sales_data_1[Sales_Rep], "David", sales_data_1[Product_Category], V$10)</f>
        <v>117379.28630891861</v>
      </c>
      <c r="W12" s="24">
        <f>SUMIFS(sales_data_1[Sales_Amount],sales_data_1[Year],2022, sales_data_1[month], $B12, sales_data_1[Sales_Rep], "David", sales_data_1[Product_Category], W$10)</f>
        <v>527033.16227231291</v>
      </c>
      <c r="X12" s="24">
        <f>SUMIFS(sales_data_1[Sales_Amount],sales_data_1[Year],2022, sales_data_1[month], $B12, sales_data_1[Sales_Rep], "David", sales_data_1[Product_Category], R$10)</f>
        <v>952867.99967187841</v>
      </c>
      <c r="Y12" s="24">
        <f t="shared" si="3"/>
        <v>1821357.18565311</v>
      </c>
      <c r="Z12" s="24"/>
      <c r="AA12" s="24">
        <f>SUMIFS(sales_data_1[Sales_Amount],sales_data_1[Year],2022, sales_data_1[month], $B12, sales_data_1[Sales_Rep], "Eve", sales_data_1[Product_Category], U$10)</f>
        <v>225476.88951879391</v>
      </c>
      <c r="AB12" s="24">
        <f>SUMIFS(sales_data_1[Sales_Amount],sales_data_1[Year],2022, sales_data_1[month], $B12, sales_data_1[Sales_Rep], "Eve", sales_data_1[Product_Category], V$10)</f>
        <v>383081.22311283502</v>
      </c>
      <c r="AC12" s="24">
        <f>SUMIFS(sales_data_1[Sales_Amount],sales_data_1[Year],2022, sales_data_1[month], $B12, sales_data_1[Sales_Rep], "Eve", sales_data_1[Product_Category], W$10)</f>
        <v>465212.45620000002</v>
      </c>
      <c r="AD12" s="24">
        <f>SUMIFS(sales_data_1[Sales_Amount],sales_data_1[Year],2022, sales_data_1[month], $B12, sales_data_1[Sales_Rep], "Eve", sales_data_1[Product_Category], R$10)</f>
        <v>305841.54301084729</v>
      </c>
      <c r="AE12" s="24">
        <f t="shared" si="4"/>
        <v>1379612.1118424763</v>
      </c>
      <c r="AF12" s="104"/>
      <c r="AG12" s="24">
        <f t="shared" ref="AG12:AG46" si="5">SUM(C12:F12)+ SUM(I12:L12)+SUM(O12:R12)+SUM(U12:X12)+SUM(AA12:AD12)</f>
        <v>7928627.3149682023</v>
      </c>
      <c r="AH12" s="24"/>
    </row>
    <row r="13" spans="1:34" x14ac:dyDescent="0.35">
      <c r="A13" s="4"/>
      <c r="B13" s="5" t="s">
        <v>47</v>
      </c>
      <c r="C13" s="24">
        <f>SUMIFS(sales_data_1[Sales_Amount],sales_data_1[Year],2022, sales_data_1[month], $B13, sales_data_1[Sales_Rep], "Alice", sales_data_1[Product_Category], C$10)</f>
        <v>542582.31586534344</v>
      </c>
      <c r="D13" s="24">
        <f>SUMIFS(sales_data_1[Sales_Amount],sales_data_1[Year],2022, sales_data_1[month], $B13, sales_data_1[Sales_Rep], "Alice", sales_data_1[Product_Category], D$10)</f>
        <v>858803.03488853178</v>
      </c>
      <c r="E13" s="24">
        <f>SUMIFS(sales_data_1[Sales_Amount],sales_data_1[Year],2022, sales_data_1[month], $B13, sales_data_1[Sales_Rep], "Alice", sales_data_1[Product_Category], E$10)</f>
        <v>278594.36410000001</v>
      </c>
      <c r="F13" s="24">
        <f>SUMIFS(sales_data_1[Sales_Amount],sales_data_1[Year],2022, sales_data_1[month], $B13, sales_data_1[Sales_Rep], "Alice", sales_data_1[Product_Category], F$10)</f>
        <v>319621.6407690444</v>
      </c>
      <c r="G13" s="24">
        <f t="shared" si="0"/>
        <v>1999601.3556229197</v>
      </c>
      <c r="H13" s="24"/>
      <c r="I13" s="24">
        <f>SUMIFS(sales_data_1[Sales_Amount],sales_data_1[Year],2022, sales_data_1[month], $B13, sales_data_1[Sales_Rep], "Bob", sales_data_1[Product_Category], I$10)</f>
        <v>8670.2000000000007</v>
      </c>
      <c r="J13" s="24">
        <f>SUMIFS(sales_data_1[Sales_Amount],sales_data_1[Year],2022, sales_data_1[month], $B13, sales_data_1[Sales_Rep], "Bob", sales_data_1[Product_Category], J$10)</f>
        <v>241372.45959999997</v>
      </c>
      <c r="K13" s="24">
        <f>SUMIFS(sales_data_1[Sales_Amount],sales_data_1[Year],2022, sales_data_1[month], $B13, sales_data_1[Sales_Rep], "Bob", sales_data_1[Product_Category], K$10)</f>
        <v>539218.85990000004</v>
      </c>
      <c r="L13" s="24">
        <f>SUMIFS(sales_data_1[Sales_Amount],sales_data_1[Year],2022, sales_data_1[month], $B13, sales_data_1[Sales_Rep], "Bob", sales_data_1[Product_Category], L$10)</f>
        <v>83650.585199999987</v>
      </c>
      <c r="M13" s="24">
        <f t="shared" si="1"/>
        <v>872912.10470000003</v>
      </c>
      <c r="N13" s="24"/>
      <c r="O13" s="24">
        <f>SUMIFS(sales_data_1[Sales_Amount],sales_data_1[Year],2022, sales_data_1[month], $B13, sales_data_1[Sales_Rep], "Charlie", sales_data_1[Product_Category], O$10)</f>
        <v>363459.24771844503</v>
      </c>
      <c r="P13" s="24">
        <f>SUMIFS(sales_data_1[Sales_Amount],sales_data_1[Year],2022, sales_data_1[month], $B13, sales_data_1[Sales_Rep], "Charlie", sales_data_1[Product_Category], P$10)</f>
        <v>407485.62914315402</v>
      </c>
      <c r="Q13" s="24">
        <f>SUMIFS(sales_data_1[Sales_Amount],sales_data_1[Year],2022, sales_data_1[month], $B13, sales_data_1[Sales_Rep], "Charlie", sales_data_1[Product_Category], Q$10)</f>
        <v>375945.63041227014</v>
      </c>
      <c r="R13" s="24">
        <f>SUMIFS(sales_data_1[Sales_Amount],sales_data_1[Year],2022, sales_data_1[month], $B13, sales_data_1[Sales_Rep], "Charlie", sales_data_1[Product_Category], R$10)</f>
        <v>307852.98180000001</v>
      </c>
      <c r="S13" s="24">
        <f t="shared" si="2"/>
        <v>1454743.4890738691</v>
      </c>
      <c r="T13" s="24"/>
      <c r="U13" s="24">
        <f>SUMIFS(sales_data_1[Sales_Amount],sales_data_1[Year],2022, sales_data_1[month], $B13, sales_data_1[Sales_Rep], "David", sales_data_1[Product_Category], U$10)</f>
        <v>111628.96852056203</v>
      </c>
      <c r="V13" s="24">
        <f>SUMIFS(sales_data_1[Sales_Amount],sales_data_1[Year],2022, sales_data_1[month], $B13, sales_data_1[Sales_Rep], "David", sales_data_1[Product_Category], V$10)</f>
        <v>290839.49726002757</v>
      </c>
      <c r="W13" s="24">
        <f>SUMIFS(sales_data_1[Sales_Amount],sales_data_1[Year],2022, sales_data_1[month], $B13, sales_data_1[Sales_Rep], "David", sales_data_1[Product_Category], W$10)</f>
        <v>135584.86319999999</v>
      </c>
      <c r="X13" s="24">
        <f>SUMIFS(sales_data_1[Sales_Amount],sales_data_1[Year],2022, sales_data_1[month], $B13, sales_data_1[Sales_Rep], "David", sales_data_1[Product_Category], R$10)</f>
        <v>230312.69238126447</v>
      </c>
      <c r="Y13" s="24">
        <f t="shared" si="3"/>
        <v>768366.02136185416</v>
      </c>
      <c r="Z13" s="24"/>
      <c r="AA13" s="24">
        <f>SUMIFS(sales_data_1[Sales_Amount],sales_data_1[Year],2022, sales_data_1[month], $B13, sales_data_1[Sales_Rep], "Eve", sales_data_1[Product_Category], U$10)</f>
        <v>607309.08438132377</v>
      </c>
      <c r="AB13" s="24">
        <f>SUMIFS(sales_data_1[Sales_Amount],sales_data_1[Year],2022, sales_data_1[month], $B13, sales_data_1[Sales_Rep], "Eve", sales_data_1[Product_Category], V$10)</f>
        <v>176519.1324</v>
      </c>
      <c r="AC13" s="24">
        <f>SUMIFS(sales_data_1[Sales_Amount],sales_data_1[Year],2022, sales_data_1[month], $B13, sales_data_1[Sales_Rep], "Eve", sales_data_1[Product_Category], W$10)</f>
        <v>100129.696</v>
      </c>
      <c r="AD13" s="24">
        <f>SUMIFS(sales_data_1[Sales_Amount],sales_data_1[Year],2022, sales_data_1[month], $B13, sales_data_1[Sales_Rep], "Eve", sales_data_1[Product_Category], R$10)</f>
        <v>526682.51739714481</v>
      </c>
      <c r="AE13" s="24">
        <f t="shared" si="4"/>
        <v>1410640.4301784686</v>
      </c>
      <c r="AF13" s="104"/>
      <c r="AG13" s="24">
        <f t="shared" si="5"/>
        <v>6506263.400937112</v>
      </c>
      <c r="AH13" s="24"/>
    </row>
    <row r="14" spans="1:34" x14ac:dyDescent="0.35">
      <c r="A14" s="4"/>
      <c r="B14" s="5" t="s">
        <v>48</v>
      </c>
      <c r="C14" s="24">
        <f>SUMIFS(sales_data_1[Sales_Amount],sales_data_1[Year],2022, sales_data_1[month], $B14, sales_data_1[Sales_Rep], "Alice", sales_data_1[Product_Category], C$10)</f>
        <v>164469.753</v>
      </c>
      <c r="D14" s="24">
        <f>SUMIFS(sales_data_1[Sales_Amount],sales_data_1[Year],2022, sales_data_1[month], $B14, sales_data_1[Sales_Rep], "Alice", sales_data_1[Product_Category], D$10)</f>
        <v>561544.45918535441</v>
      </c>
      <c r="E14" s="24">
        <f>SUMIFS(sales_data_1[Sales_Amount],sales_data_1[Year],2022, sales_data_1[month], $B14, sales_data_1[Sales_Rep], "Alice", sales_data_1[Product_Category], E$10)</f>
        <v>368927.41880000004</v>
      </c>
      <c r="F14" s="24">
        <f>SUMIFS(sales_data_1[Sales_Amount],sales_data_1[Year],2022, sales_data_1[month], $B14, sales_data_1[Sales_Rep], "Alice", sales_data_1[Product_Category], F$10)</f>
        <v>213528.45273482014</v>
      </c>
      <c r="G14" s="24">
        <f t="shared" si="0"/>
        <v>1308470.0837201746</v>
      </c>
      <c r="H14" s="24"/>
      <c r="I14" s="24">
        <f>SUMIFS(sales_data_1[Sales_Amount],sales_data_1[Year],2022, sales_data_1[month], $B14, sales_data_1[Sales_Rep], "Bob", sales_data_1[Product_Category], I$10)</f>
        <v>279952.94491979777</v>
      </c>
      <c r="J14" s="24">
        <f>SUMIFS(sales_data_1[Sales_Amount],sales_data_1[Year],2022, sales_data_1[month], $B14, sales_data_1[Sales_Rep], "Bob", sales_data_1[Product_Category], J$10)</f>
        <v>212598.704</v>
      </c>
      <c r="K14" s="24">
        <f>SUMIFS(sales_data_1[Sales_Amount],sales_data_1[Year],2022, sales_data_1[month], $B14, sales_data_1[Sales_Rep], "Bob", sales_data_1[Product_Category], K$10)</f>
        <v>219501.15711631425</v>
      </c>
      <c r="L14" s="24">
        <f>SUMIFS(sales_data_1[Sales_Amount],sales_data_1[Year],2022, sales_data_1[month], $B14, sales_data_1[Sales_Rep], "Bob", sales_data_1[Product_Category], L$10)</f>
        <v>734492.32100000011</v>
      </c>
      <c r="M14" s="24">
        <f t="shared" si="1"/>
        <v>1446545.1270361121</v>
      </c>
      <c r="N14" s="24"/>
      <c r="O14" s="24">
        <f>SUMIFS(sales_data_1[Sales_Amount],sales_data_1[Year],2022, sales_data_1[month], $B14, sales_data_1[Sales_Rep], "Charlie", sales_data_1[Product_Category], O$10)</f>
        <v>280772.00800000003</v>
      </c>
      <c r="P14" s="24">
        <f>SUMIFS(sales_data_1[Sales_Amount],sales_data_1[Year],2022, sales_data_1[month], $B14, sales_data_1[Sales_Rep], "Charlie", sales_data_1[Product_Category], P$10)</f>
        <v>679911.11329779658</v>
      </c>
      <c r="Q14" s="24">
        <f>SUMIFS(sales_data_1[Sales_Amount],sales_data_1[Year],2022, sales_data_1[month], $B14, sales_data_1[Sales_Rep], "Charlie", sales_data_1[Product_Category], Q$10)</f>
        <v>975479.95680000004</v>
      </c>
      <c r="R14" s="24">
        <f>SUMIFS(sales_data_1[Sales_Amount],sales_data_1[Year],2022, sales_data_1[month], $B14, sales_data_1[Sales_Rep], "Charlie", sales_data_1[Product_Category], R$10)</f>
        <v>680185.02709999995</v>
      </c>
      <c r="S14" s="24">
        <f t="shared" si="2"/>
        <v>2616348.1051977966</v>
      </c>
      <c r="T14" s="24"/>
      <c r="U14" s="24">
        <f>SUMIFS(sales_data_1[Sales_Amount],sales_data_1[Year],2022, sales_data_1[month], $B14, sales_data_1[Sales_Rep], "David", sales_data_1[Product_Category], U$10)</f>
        <v>536685.87151763344</v>
      </c>
      <c r="V14" s="24">
        <f>SUMIFS(sales_data_1[Sales_Amount],sales_data_1[Year],2022, sales_data_1[month], $B14, sales_data_1[Sales_Rep], "David", sales_data_1[Product_Category], V$10)</f>
        <v>361054.17286234873</v>
      </c>
      <c r="W14" s="24">
        <f>SUMIFS(sales_data_1[Sales_Amount],sales_data_1[Year],2022, sales_data_1[month], $B14, sales_data_1[Sales_Rep], "David", sales_data_1[Product_Category], W$10)</f>
        <v>638919.35488421912</v>
      </c>
      <c r="X14" s="24">
        <f>SUMIFS(sales_data_1[Sales_Amount],sales_data_1[Year],2022, sales_data_1[month], $B14, sales_data_1[Sales_Rep], "David", sales_data_1[Product_Category], R$10)</f>
        <v>71783.808499999999</v>
      </c>
      <c r="Y14" s="24">
        <f t="shared" si="3"/>
        <v>1608443.2077642013</v>
      </c>
      <c r="Z14" s="24"/>
      <c r="AA14" s="24">
        <f>SUMIFS(sales_data_1[Sales_Amount],sales_data_1[Year],2022, sales_data_1[month], $B14, sales_data_1[Sales_Rep], "Eve", sales_data_1[Product_Category], U$10)</f>
        <v>654133.72608039062</v>
      </c>
      <c r="AB14" s="24">
        <f>SUMIFS(sales_data_1[Sales_Amount],sales_data_1[Year],2022, sales_data_1[month], $B14, sales_data_1[Sales_Rep], "Eve", sales_data_1[Product_Category], V$10)</f>
        <v>69323.872000000003</v>
      </c>
      <c r="AC14" s="24">
        <f>SUMIFS(sales_data_1[Sales_Amount],sales_data_1[Year],2022, sales_data_1[month], $B14, sales_data_1[Sales_Rep], "Eve", sales_data_1[Product_Category], W$10)</f>
        <v>77803.275506496793</v>
      </c>
      <c r="AD14" s="24">
        <f>SUMIFS(sales_data_1[Sales_Amount],sales_data_1[Year],2022, sales_data_1[month], $B14, sales_data_1[Sales_Rep], "Eve", sales_data_1[Product_Category], R$10)</f>
        <v>758615.54582705477</v>
      </c>
      <c r="AE14" s="24">
        <f t="shared" si="4"/>
        <v>1559876.4194139421</v>
      </c>
      <c r="AF14" s="104"/>
      <c r="AG14" s="24">
        <f t="shared" si="5"/>
        <v>8539682.9431322273</v>
      </c>
      <c r="AH14" s="24"/>
    </row>
    <row r="15" spans="1:34" x14ac:dyDescent="0.35">
      <c r="A15" s="4"/>
      <c r="B15" s="5" t="s">
        <v>49</v>
      </c>
      <c r="C15" s="24">
        <f>SUMIFS(sales_data_1[Sales_Amount],sales_data_1[Year],2022, sales_data_1[month], $B15, sales_data_1[Sales_Rep], "Alice", sales_data_1[Product_Category], C$10)</f>
        <v>168495.52399999998</v>
      </c>
      <c r="D15" s="24">
        <f>SUMIFS(sales_data_1[Sales_Amount],sales_data_1[Year],2022, sales_data_1[month], $B15, sales_data_1[Sales_Rep], "Alice", sales_data_1[Product_Category], D$10)</f>
        <v>272062.4633150525</v>
      </c>
      <c r="E15" s="24">
        <f>SUMIFS(sales_data_1[Sales_Amount],sales_data_1[Year],2022, sales_data_1[month], $B15, sales_data_1[Sales_Rep], "Alice", sales_data_1[Product_Category], E$10)</f>
        <v>788993.08100455662</v>
      </c>
      <c r="F15" s="24">
        <f>SUMIFS(sales_data_1[Sales_Amount],sales_data_1[Year],2022, sales_data_1[month], $B15, sales_data_1[Sales_Rep], "Alice", sales_data_1[Product_Category], F$10)</f>
        <v>196475.96630206474</v>
      </c>
      <c r="G15" s="24">
        <f t="shared" si="0"/>
        <v>1426027.0346216739</v>
      </c>
      <c r="H15" s="24"/>
      <c r="I15" s="24">
        <f>SUMIFS(sales_data_1[Sales_Amount],sales_data_1[Year],2022, sales_data_1[month], $B15, sales_data_1[Sales_Rep], "Bob", sales_data_1[Product_Category], I$10)</f>
        <v>482756.14512943261</v>
      </c>
      <c r="J15" s="24">
        <f>SUMIFS(sales_data_1[Sales_Amount],sales_data_1[Year],2022, sales_data_1[month], $B15, sales_data_1[Sales_Rep], "Bob", sales_data_1[Product_Category], J$10)</f>
        <v>116982.318</v>
      </c>
      <c r="K15" s="24">
        <f>SUMIFS(sales_data_1[Sales_Amount],sales_data_1[Year],2022, sales_data_1[month], $B15, sales_data_1[Sales_Rep], "Bob", sales_data_1[Product_Category], K$10)</f>
        <v>403312.63358747156</v>
      </c>
      <c r="L15" s="24">
        <f>SUMIFS(sales_data_1[Sales_Amount],sales_data_1[Year],2022, sales_data_1[month], $B15, sales_data_1[Sales_Rep], "Bob", sales_data_1[Product_Category], L$10)</f>
        <v>531022.07820327918</v>
      </c>
      <c r="M15" s="24">
        <f t="shared" si="1"/>
        <v>1534073.1749201834</v>
      </c>
      <c r="N15" s="24"/>
      <c r="O15" s="24">
        <f>SUMIFS(sales_data_1[Sales_Amount],sales_data_1[Year],2022, sales_data_1[month], $B15, sales_data_1[Sales_Rep], "Charlie", sales_data_1[Product_Category], O$10)</f>
        <v>445015.45129557193</v>
      </c>
      <c r="P15" s="24">
        <f>SUMIFS(sales_data_1[Sales_Amount],sales_data_1[Year],2022, sales_data_1[month], $B15, sales_data_1[Sales_Rep], "Charlie", sales_data_1[Product_Category], P$10)</f>
        <v>554616.80070650589</v>
      </c>
      <c r="Q15" s="24">
        <f>SUMIFS(sales_data_1[Sales_Amount],sales_data_1[Year],2022, sales_data_1[month], $B15, sales_data_1[Sales_Rep], "Charlie", sales_data_1[Product_Category], Q$10)</f>
        <v>278973.92850000004</v>
      </c>
      <c r="R15" s="24">
        <f>SUMIFS(sales_data_1[Sales_Amount],sales_data_1[Year],2022, sales_data_1[month], $B15, sales_data_1[Sales_Rep], "Charlie", sales_data_1[Product_Category], R$10)</f>
        <v>602733.0101999999</v>
      </c>
      <c r="S15" s="24">
        <f t="shared" si="2"/>
        <v>1881339.1907020779</v>
      </c>
      <c r="T15" s="24"/>
      <c r="U15" s="24">
        <f>SUMIFS(sales_data_1[Sales_Amount],sales_data_1[Year],2022, sales_data_1[month], $B15, sales_data_1[Sales_Rep], "David", sales_data_1[Product_Category], U$10)</f>
        <v>322316.7536</v>
      </c>
      <c r="V15" s="24">
        <f>SUMIFS(sales_data_1[Sales_Amount],sales_data_1[Year],2022, sales_data_1[month], $B15, sales_data_1[Sales_Rep], "David", sales_data_1[Product_Category], V$10)</f>
        <v>476448.62119999994</v>
      </c>
      <c r="W15" s="24">
        <f>SUMIFS(sales_data_1[Sales_Amount],sales_data_1[Year],2022, sales_data_1[month], $B15, sales_data_1[Sales_Rep], "David", sales_data_1[Product_Category], W$10)</f>
        <v>299067.16899999999</v>
      </c>
      <c r="X15" s="24">
        <f>SUMIFS(sales_data_1[Sales_Amount],sales_data_1[Year],2022, sales_data_1[month], $B15, sales_data_1[Sales_Rep], "David", sales_data_1[Product_Category], R$10)</f>
        <v>565917.35429413372</v>
      </c>
      <c r="Y15" s="24">
        <f t="shared" si="3"/>
        <v>1663749.8980941335</v>
      </c>
      <c r="Z15" s="24"/>
      <c r="AA15" s="24">
        <f>SUMIFS(sales_data_1[Sales_Amount],sales_data_1[Year],2022, sales_data_1[month], $B15, sales_data_1[Sales_Rep], "Eve", sales_data_1[Product_Category], U$10)</f>
        <v>702311.54819256719</v>
      </c>
      <c r="AB15" s="24">
        <f>SUMIFS(sales_data_1[Sales_Amount],sales_data_1[Year],2022, sales_data_1[month], $B15, sales_data_1[Sales_Rep], "Eve", sales_data_1[Product_Category], V$10)</f>
        <v>398809.95525204728</v>
      </c>
      <c r="AC15" s="24">
        <f>SUMIFS(sales_data_1[Sales_Amount],sales_data_1[Year],2022, sales_data_1[month], $B15, sales_data_1[Sales_Rep], "Eve", sales_data_1[Product_Category], W$10)</f>
        <v>175418.535</v>
      </c>
      <c r="AD15" s="24">
        <f>SUMIFS(sales_data_1[Sales_Amount],sales_data_1[Year],2022, sales_data_1[month], $B15, sales_data_1[Sales_Rep], "Eve", sales_data_1[Product_Category], R$10)</f>
        <v>338318.00586155622</v>
      </c>
      <c r="AE15" s="24">
        <f t="shared" si="4"/>
        <v>1614858.0443061704</v>
      </c>
      <c r="AF15" s="104"/>
      <c r="AG15" s="24">
        <f t="shared" si="5"/>
        <v>8120047.3426442388</v>
      </c>
      <c r="AH15" s="24"/>
    </row>
    <row r="16" spans="1:34" x14ac:dyDescent="0.35">
      <c r="A16" s="4"/>
      <c r="B16" s="5" t="s">
        <v>50</v>
      </c>
      <c r="C16" s="24">
        <f>SUMIFS(sales_data_1[Sales_Amount],sales_data_1[Year],2022, sales_data_1[month], $B16, sales_data_1[Sales_Rep], "Alice", sales_data_1[Product_Category], C$10)</f>
        <v>659600.06129999994</v>
      </c>
      <c r="D16" s="24">
        <f>SUMIFS(sales_data_1[Sales_Amount],sales_data_1[Year],2022, sales_data_1[month], $B16, sales_data_1[Sales_Rep], "Alice", sales_data_1[Product_Category], D$10)</f>
        <v>662048.53201281163</v>
      </c>
      <c r="E16" s="24">
        <f>SUMIFS(sales_data_1[Sales_Amount],sales_data_1[Year],2022, sales_data_1[month], $B16, sales_data_1[Sales_Rep], "Alice", sales_data_1[Product_Category], E$10)</f>
        <v>589402.41964986897</v>
      </c>
      <c r="F16" s="24">
        <f>SUMIFS(sales_data_1[Sales_Amount],sales_data_1[Year],2022, sales_data_1[month], $B16, sales_data_1[Sales_Rep], "Alice", sales_data_1[Product_Category], F$10)</f>
        <v>666296.53706606978</v>
      </c>
      <c r="G16" s="24">
        <f t="shared" si="0"/>
        <v>2577347.5500287502</v>
      </c>
      <c r="H16" s="24"/>
      <c r="I16" s="24">
        <f>SUMIFS(sales_data_1[Sales_Amount],sales_data_1[Year],2022, sales_data_1[month], $B16, sales_data_1[Sales_Rep], "Bob", sales_data_1[Product_Category], I$10)</f>
        <v>569713.22697127622</v>
      </c>
      <c r="J16" s="24">
        <f>SUMIFS(sales_data_1[Sales_Amount],sales_data_1[Year],2022, sales_data_1[month], $B16, sales_data_1[Sales_Rep], "Bob", sales_data_1[Product_Category], J$10)</f>
        <v>474548.13179999992</v>
      </c>
      <c r="K16" s="24">
        <f>SUMIFS(sales_data_1[Sales_Amount],sales_data_1[Year],2022, sales_data_1[month], $B16, sales_data_1[Sales_Rep], "Bob", sales_data_1[Product_Category], K$10)</f>
        <v>305193.3726</v>
      </c>
      <c r="L16" s="24">
        <f>SUMIFS(sales_data_1[Sales_Amount],sales_data_1[Year],2022, sales_data_1[month], $B16, sales_data_1[Sales_Rep], "Bob", sales_data_1[Product_Category], L$10)</f>
        <v>648506.47360405885</v>
      </c>
      <c r="M16" s="24">
        <f t="shared" si="1"/>
        <v>1997961.2049753349</v>
      </c>
      <c r="N16" s="24"/>
      <c r="O16" s="24">
        <f>SUMIFS(sales_data_1[Sales_Amount],sales_data_1[Year],2022, sales_data_1[month], $B16, sales_data_1[Sales_Rep], "Charlie", sales_data_1[Product_Category], O$10)</f>
        <v>274265.62060000002</v>
      </c>
      <c r="P16" s="24">
        <f>SUMIFS(sales_data_1[Sales_Amount],sales_data_1[Year],2022, sales_data_1[month], $B16, sales_data_1[Sales_Rep], "Charlie", sales_data_1[Product_Category], P$10)</f>
        <v>373101.96100000001</v>
      </c>
      <c r="Q16" s="24">
        <f>SUMIFS(sales_data_1[Sales_Amount],sales_data_1[Year],2022, sales_data_1[month], $B16, sales_data_1[Sales_Rep], "Charlie", sales_data_1[Product_Category], Q$10)</f>
        <v>119920.11499999999</v>
      </c>
      <c r="R16" s="24">
        <f>SUMIFS(sales_data_1[Sales_Amount],sales_data_1[Year],2022, sales_data_1[month], $B16, sales_data_1[Sales_Rep], "Charlie", sales_data_1[Product_Category], R$10)</f>
        <v>119110.80149999999</v>
      </c>
      <c r="S16" s="24">
        <f t="shared" si="2"/>
        <v>886398.49809999997</v>
      </c>
      <c r="T16" s="24"/>
      <c r="U16" s="24">
        <f>SUMIFS(sales_data_1[Sales_Amount],sales_data_1[Year],2022, sales_data_1[month], $B16, sales_data_1[Sales_Rep], "David", sales_data_1[Product_Category], U$10)</f>
        <v>762594.33312060242</v>
      </c>
      <c r="V16" s="24">
        <f>SUMIFS(sales_data_1[Sales_Amount],sales_data_1[Year],2022, sales_data_1[month], $B16, sales_data_1[Sales_Rep], "David", sales_data_1[Product_Category], V$10)</f>
        <v>127092.07299838915</v>
      </c>
      <c r="W16" s="24">
        <f>SUMIFS(sales_data_1[Sales_Amount],sales_data_1[Year],2022, sales_data_1[month], $B16, sales_data_1[Sales_Rep], "David", sales_data_1[Product_Category], W$10)</f>
        <v>109493.6444</v>
      </c>
      <c r="X16" s="24">
        <f>SUMIFS(sales_data_1[Sales_Amount],sales_data_1[Year],2022, sales_data_1[month], $B16, sales_data_1[Sales_Rep], "David", sales_data_1[Product_Category], R$10)</f>
        <v>266758.05195002409</v>
      </c>
      <c r="Y16" s="24">
        <f t="shared" si="3"/>
        <v>1265938.1024690156</v>
      </c>
      <c r="Z16" s="24"/>
      <c r="AA16" s="24">
        <f>SUMIFS(sales_data_1[Sales_Amount],sales_data_1[Year],2022, sales_data_1[month], $B16, sales_data_1[Sales_Rep], "Eve", sales_data_1[Product_Category], U$10)</f>
        <v>644319.12782442267</v>
      </c>
      <c r="AB16" s="24">
        <f>SUMIFS(sales_data_1[Sales_Amount],sales_data_1[Year],2022, sales_data_1[month], $B16, sales_data_1[Sales_Rep], "Eve", sales_data_1[Product_Category], V$10)</f>
        <v>207789.61310000005</v>
      </c>
      <c r="AC16" s="24">
        <f>SUMIFS(sales_data_1[Sales_Amount],sales_data_1[Year],2022, sales_data_1[month], $B16, sales_data_1[Sales_Rep], "Eve", sales_data_1[Product_Category], W$10)</f>
        <v>353236.02095473511</v>
      </c>
      <c r="AD16" s="24">
        <f>SUMIFS(sales_data_1[Sales_Amount],sales_data_1[Year],2022, sales_data_1[month], $B16, sales_data_1[Sales_Rep], "Eve", sales_data_1[Product_Category], R$10)</f>
        <v>99065.213400000008</v>
      </c>
      <c r="AE16" s="24">
        <f t="shared" si="4"/>
        <v>1304409.9752791577</v>
      </c>
      <c r="AF16" s="104"/>
      <c r="AG16" s="24">
        <f t="shared" si="5"/>
        <v>8032055.330852259</v>
      </c>
      <c r="AH16" s="24"/>
    </row>
    <row r="17" spans="1:34" x14ac:dyDescent="0.35">
      <c r="A17" s="4"/>
      <c r="B17" s="5" t="s">
        <v>51</v>
      </c>
      <c r="C17" s="24">
        <f>SUMIFS(sales_data_1[Sales_Amount],sales_data_1[Year],2022, sales_data_1[month], $B17, sales_data_1[Sales_Rep], "Alice", sales_data_1[Product_Category], C$10)</f>
        <v>373381.28700000001</v>
      </c>
      <c r="D17" s="24">
        <f>SUMIFS(sales_data_1[Sales_Amount],sales_data_1[Year],2022, sales_data_1[month], $B17, sales_data_1[Sales_Rep], "Alice", sales_data_1[Product_Category], D$10)</f>
        <v>571360.45754042128</v>
      </c>
      <c r="E17" s="24">
        <f>SUMIFS(sales_data_1[Sales_Amount],sales_data_1[Year],2022, sales_data_1[month], $B17, sales_data_1[Sales_Rep], "Alice", sales_data_1[Product_Category], E$10)</f>
        <v>38359.473677161121</v>
      </c>
      <c r="F17" s="24">
        <f>SUMIFS(sales_data_1[Sales_Amount],sales_data_1[Year],2022, sales_data_1[month], $B17, sales_data_1[Sales_Rep], "Alice", sales_data_1[Product_Category], F$10)</f>
        <v>674006.67976982135</v>
      </c>
      <c r="G17" s="24">
        <f t="shared" si="0"/>
        <v>1657107.8979874039</v>
      </c>
      <c r="H17" s="24"/>
      <c r="I17" s="24">
        <f>SUMIFS(sales_data_1[Sales_Amount],sales_data_1[Year],2022, sales_data_1[month], $B17, sales_data_1[Sales_Rep], "Bob", sales_data_1[Product_Category], I$10)</f>
        <v>341025.42398862523</v>
      </c>
      <c r="J17" s="24">
        <f>SUMIFS(sales_data_1[Sales_Amount],sales_data_1[Year],2022, sales_data_1[month], $B17, sales_data_1[Sales_Rep], "Bob", sales_data_1[Product_Category], J$10)</f>
        <v>153193.47334423073</v>
      </c>
      <c r="K17" s="24">
        <f>SUMIFS(sales_data_1[Sales_Amount],sales_data_1[Year],2022, sales_data_1[month], $B17, sales_data_1[Sales_Rep], "Bob", sales_data_1[Product_Category], K$10)</f>
        <v>401283.78019796498</v>
      </c>
      <c r="L17" s="24">
        <f>SUMIFS(sales_data_1[Sales_Amount],sales_data_1[Year],2022, sales_data_1[month], $B17, sales_data_1[Sales_Rep], "Bob", sales_data_1[Product_Category], L$10)</f>
        <v>210395.50960000002</v>
      </c>
      <c r="M17" s="24">
        <f t="shared" si="1"/>
        <v>1105898.1871308209</v>
      </c>
      <c r="N17" s="24"/>
      <c r="O17" s="24">
        <f>SUMIFS(sales_data_1[Sales_Amount],sales_data_1[Year],2022, sales_data_1[month], $B17, sales_data_1[Sales_Rep], "Charlie", sales_data_1[Product_Category], O$10)</f>
        <v>206560.53830000001</v>
      </c>
      <c r="P17" s="24">
        <f>SUMIFS(sales_data_1[Sales_Amount],sales_data_1[Year],2022, sales_data_1[month], $B17, sales_data_1[Sales_Rep], "Charlie", sales_data_1[Product_Category], P$10)</f>
        <v>122227.54652412789</v>
      </c>
      <c r="Q17" s="24">
        <f>SUMIFS(sales_data_1[Sales_Amount],sales_data_1[Year],2022, sales_data_1[month], $B17, sales_data_1[Sales_Rep], "Charlie", sales_data_1[Product_Category], Q$10)</f>
        <v>404433.57299999997</v>
      </c>
      <c r="R17" s="24">
        <f>SUMIFS(sales_data_1[Sales_Amount],sales_data_1[Year],2022, sales_data_1[month], $B17, sales_data_1[Sales_Rep], "Charlie", sales_data_1[Product_Category], R$10)</f>
        <v>448774.5539</v>
      </c>
      <c r="S17" s="24">
        <f t="shared" si="2"/>
        <v>1181996.2117241279</v>
      </c>
      <c r="T17" s="24"/>
      <c r="U17" s="24">
        <f>SUMIFS(sales_data_1[Sales_Amount],sales_data_1[Year],2022, sales_data_1[month], $B17, sales_data_1[Sales_Rep], "David", sales_data_1[Product_Category], U$10)</f>
        <v>503024.93640000001</v>
      </c>
      <c r="V17" s="24">
        <f>SUMIFS(sales_data_1[Sales_Amount],sales_data_1[Year],2022, sales_data_1[month], $B17, sales_data_1[Sales_Rep], "David", sales_data_1[Product_Category], V$10)</f>
        <v>183233.96684854498</v>
      </c>
      <c r="W17" s="24">
        <f>SUMIFS(sales_data_1[Sales_Amount],sales_data_1[Year],2022, sales_data_1[month], $B17, sales_data_1[Sales_Rep], "David", sales_data_1[Product_Category], W$10)</f>
        <v>137069.57820000002</v>
      </c>
      <c r="X17" s="24">
        <f>SUMIFS(sales_data_1[Sales_Amount],sales_data_1[Year],2022, sales_data_1[month], $B17, sales_data_1[Sales_Rep], "David", sales_data_1[Product_Category], R$10)</f>
        <v>71309.658055980486</v>
      </c>
      <c r="Y17" s="24">
        <f t="shared" si="3"/>
        <v>894638.13950452546</v>
      </c>
      <c r="Z17" s="24"/>
      <c r="AA17" s="24">
        <f>SUMIFS(sales_data_1[Sales_Amount],sales_data_1[Year],2022, sales_data_1[month], $B17, sales_data_1[Sales_Rep], "Eve", sales_data_1[Product_Category], U$10)</f>
        <v>223445.87079999998</v>
      </c>
      <c r="AB17" s="24">
        <f>SUMIFS(sales_data_1[Sales_Amount],sales_data_1[Year],2022, sales_data_1[month], $B17, sales_data_1[Sales_Rep], "Eve", sales_data_1[Product_Category], V$10)</f>
        <v>848181.64889560023</v>
      </c>
      <c r="AC17" s="24">
        <f>SUMIFS(sales_data_1[Sales_Amount],sales_data_1[Year],2022, sales_data_1[month], $B17, sales_data_1[Sales_Rep], "Eve", sales_data_1[Product_Category], W$10)</f>
        <v>475741.00040000002</v>
      </c>
      <c r="AD17" s="24">
        <f>SUMIFS(sales_data_1[Sales_Amount],sales_data_1[Year],2022, sales_data_1[month], $B17, sales_data_1[Sales_Rep], "Eve", sales_data_1[Product_Category], R$10)</f>
        <v>292546.93770000001</v>
      </c>
      <c r="AE17" s="24">
        <f t="shared" si="4"/>
        <v>1839915.4577956004</v>
      </c>
      <c r="AF17" s="104"/>
      <c r="AG17" s="24">
        <f t="shared" si="5"/>
        <v>6679555.8941424787</v>
      </c>
      <c r="AH17" s="24"/>
    </row>
    <row r="18" spans="1:34" x14ac:dyDescent="0.35">
      <c r="A18" s="4"/>
      <c r="B18" s="5" t="s">
        <v>52</v>
      </c>
      <c r="C18" s="24">
        <f>SUMIFS(sales_data_1[Sales_Amount],sales_data_1[Year],2022, sales_data_1[month], $B18, sales_data_1[Sales_Rep], "Alice", sales_data_1[Product_Category], C$10)</f>
        <v>212076.33659456379</v>
      </c>
      <c r="D18" s="24">
        <f>SUMIFS(sales_data_1[Sales_Amount],sales_data_1[Year],2022, sales_data_1[month], $B18, sales_data_1[Sales_Rep], "Alice", sales_data_1[Product_Category], D$10)</f>
        <v>158875.6568</v>
      </c>
      <c r="E18" s="24">
        <f>SUMIFS(sales_data_1[Sales_Amount],sales_data_1[Year],2022, sales_data_1[month], $B18, sales_data_1[Sales_Rep], "Alice", sales_data_1[Product_Category], E$10)</f>
        <v>295129.50260105153</v>
      </c>
      <c r="F18" s="24">
        <f>SUMIFS(sales_data_1[Sales_Amount],sales_data_1[Year],2022, sales_data_1[month], $B18, sales_data_1[Sales_Rep], "Alice", sales_data_1[Product_Category], F$10)</f>
        <v>487044.6917782597</v>
      </c>
      <c r="G18" s="24">
        <f t="shared" si="0"/>
        <v>1153126.187773875</v>
      </c>
      <c r="H18" s="24"/>
      <c r="I18" s="24">
        <f>SUMIFS(sales_data_1[Sales_Amount],sales_data_1[Year],2022, sales_data_1[month], $B18, sales_data_1[Sales_Rep], "Bob", sales_data_1[Product_Category], I$10)</f>
        <v>17876.6315</v>
      </c>
      <c r="J18" s="24">
        <f>SUMIFS(sales_data_1[Sales_Amount],sales_data_1[Year],2022, sales_data_1[month], $B18, sales_data_1[Sales_Rep], "Bob", sales_data_1[Product_Category], J$10)</f>
        <v>192386.15919999999</v>
      </c>
      <c r="K18" s="24">
        <f>SUMIFS(sales_data_1[Sales_Amount],sales_data_1[Year],2022, sales_data_1[month], $B18, sales_data_1[Sales_Rep], "Bob", sales_data_1[Product_Category], K$10)</f>
        <v>443194.1004</v>
      </c>
      <c r="L18" s="24">
        <f>SUMIFS(sales_data_1[Sales_Amount],sales_data_1[Year],2022, sales_data_1[month], $B18, sales_data_1[Sales_Rep], "Bob", sales_data_1[Product_Category], L$10)</f>
        <v>246380.90909999999</v>
      </c>
      <c r="M18" s="24">
        <f t="shared" si="1"/>
        <v>899837.80019999994</v>
      </c>
      <c r="N18" s="24"/>
      <c r="O18" s="24">
        <f>SUMIFS(sales_data_1[Sales_Amount],sales_data_1[Year],2022, sales_data_1[month], $B18, sales_data_1[Sales_Rep], "Charlie", sales_data_1[Product_Category], O$10)</f>
        <v>116150.59220616064</v>
      </c>
      <c r="P18" s="24">
        <f>SUMIFS(sales_data_1[Sales_Amount],sales_data_1[Year],2022, sales_data_1[month], $B18, sales_data_1[Sales_Rep], "Charlie", sales_data_1[Product_Category], P$10)</f>
        <v>186469.8168</v>
      </c>
      <c r="Q18" s="24">
        <f>SUMIFS(sales_data_1[Sales_Amount],sales_data_1[Year],2022, sales_data_1[month], $B18, sales_data_1[Sales_Rep], "Charlie", sales_data_1[Product_Category], Q$10)</f>
        <v>130734.8523</v>
      </c>
      <c r="R18" s="24">
        <f>SUMIFS(sales_data_1[Sales_Amount],sales_data_1[Year],2022, sales_data_1[month], $B18, sales_data_1[Sales_Rep], "Charlie", sales_data_1[Product_Category], R$10)</f>
        <v>423438.01834228181</v>
      </c>
      <c r="S18" s="24">
        <f t="shared" si="2"/>
        <v>856793.2796484424</v>
      </c>
      <c r="T18" s="24"/>
      <c r="U18" s="24">
        <f>SUMIFS(sales_data_1[Sales_Amount],sales_data_1[Year],2022, sales_data_1[month], $B18, sales_data_1[Sales_Rep], "David", sales_data_1[Product_Category], U$10)</f>
        <v>406084.9008</v>
      </c>
      <c r="V18" s="24">
        <f>SUMIFS(sales_data_1[Sales_Amount],sales_data_1[Year],2022, sales_data_1[month], $B18, sales_data_1[Sales_Rep], "David", sales_data_1[Product_Category], V$10)</f>
        <v>454908.37724429666</v>
      </c>
      <c r="W18" s="24">
        <f>SUMIFS(sales_data_1[Sales_Amount],sales_data_1[Year],2022, sales_data_1[month], $B18, sales_data_1[Sales_Rep], "David", sales_data_1[Product_Category], W$10)</f>
        <v>814255.02559517778</v>
      </c>
      <c r="X18" s="24">
        <f>SUMIFS(sales_data_1[Sales_Amount],sales_data_1[Year],2022, sales_data_1[month], $B18, sales_data_1[Sales_Rep], "David", sales_data_1[Product_Category], R$10)</f>
        <v>253746.92940000002</v>
      </c>
      <c r="Y18" s="24">
        <f t="shared" si="3"/>
        <v>1928995.2330394743</v>
      </c>
      <c r="Z18" s="24"/>
      <c r="AA18" s="24">
        <f>SUMIFS(sales_data_1[Sales_Amount],sales_data_1[Year],2022, sales_data_1[month], $B18, sales_data_1[Sales_Rep], "Eve", sales_data_1[Product_Category], U$10)</f>
        <v>621791.82319999998</v>
      </c>
      <c r="AB18" s="24">
        <f>SUMIFS(sales_data_1[Sales_Amount],sales_data_1[Year],2022, sales_data_1[month], $B18, sales_data_1[Sales_Rep], "Eve", sales_data_1[Product_Category], V$10)</f>
        <v>137224.69410000002</v>
      </c>
      <c r="AC18" s="24">
        <f>SUMIFS(sales_data_1[Sales_Amount],sales_data_1[Year],2022, sales_data_1[month], $B18, sales_data_1[Sales_Rep], "Eve", sales_data_1[Product_Category], W$10)</f>
        <v>502701.01603560848</v>
      </c>
      <c r="AD18" s="24">
        <f>SUMIFS(sales_data_1[Sales_Amount],sales_data_1[Year],2022, sales_data_1[month], $B18, sales_data_1[Sales_Rep], "Eve", sales_data_1[Product_Category], R$10)</f>
        <v>311736.22679999995</v>
      </c>
      <c r="AE18" s="24">
        <f t="shared" si="4"/>
        <v>1573453.7601356083</v>
      </c>
      <c r="AF18" s="104"/>
      <c r="AG18" s="24">
        <f t="shared" si="5"/>
        <v>6412206.2607974</v>
      </c>
      <c r="AH18" s="24"/>
    </row>
    <row r="19" spans="1:34" x14ac:dyDescent="0.35">
      <c r="A19" s="4"/>
      <c r="B19" s="5" t="s">
        <v>53</v>
      </c>
      <c r="C19" s="24">
        <f>SUMIFS(sales_data_1[Sales_Amount],sales_data_1[Year],2022, sales_data_1[month], $B19, sales_data_1[Sales_Rep], "Alice", sales_data_1[Product_Category], C$10)</f>
        <v>405097.16161085857</v>
      </c>
      <c r="D19" s="24">
        <f>SUMIFS(sales_data_1[Sales_Amount],sales_data_1[Year],2022, sales_data_1[month], $B19, sales_data_1[Sales_Rep], "Alice", sales_data_1[Product_Category], D$10)</f>
        <v>560064.66859999998</v>
      </c>
      <c r="E19" s="24">
        <f>SUMIFS(sales_data_1[Sales_Amount],sales_data_1[Year],2022, sales_data_1[month], $B19, sales_data_1[Sales_Rep], "Alice", sales_data_1[Product_Category], E$10)</f>
        <v>449664.46950000001</v>
      </c>
      <c r="F19" s="24">
        <f>SUMIFS(sales_data_1[Sales_Amount],sales_data_1[Year],2022, sales_data_1[month], $B19, sales_data_1[Sales_Rep], "Alice", sales_data_1[Product_Category], F$10)</f>
        <v>319001.56768976222</v>
      </c>
      <c r="G19" s="24">
        <f t="shared" si="0"/>
        <v>1733827.8674006208</v>
      </c>
      <c r="H19" s="24"/>
      <c r="I19" s="24">
        <f>SUMIFS(sales_data_1[Sales_Amount],sales_data_1[Year],2022, sales_data_1[month], $B19, sales_data_1[Sales_Rep], "Bob", sales_data_1[Product_Category], I$10)</f>
        <v>28770.794999999998</v>
      </c>
      <c r="J19" s="24">
        <f>SUMIFS(sales_data_1[Sales_Amount],sales_data_1[Year],2022, sales_data_1[month], $B19, sales_data_1[Sales_Rep], "Bob", sales_data_1[Product_Category], J$10)</f>
        <v>402865.75870000001</v>
      </c>
      <c r="K19" s="24">
        <f>SUMIFS(sales_data_1[Sales_Amount],sales_data_1[Year],2022, sales_data_1[month], $B19, sales_data_1[Sales_Rep], "Bob", sales_data_1[Product_Category], K$10)</f>
        <v>653710.1802786449</v>
      </c>
      <c r="L19" s="24">
        <f>SUMIFS(sales_data_1[Sales_Amount],sales_data_1[Year],2022, sales_data_1[month], $B19, sales_data_1[Sales_Rep], "Bob", sales_data_1[Product_Category], L$10)</f>
        <v>207842.57690541548</v>
      </c>
      <c r="M19" s="24">
        <f t="shared" si="1"/>
        <v>1293189.3108840603</v>
      </c>
      <c r="N19" s="24"/>
      <c r="O19" s="24">
        <f>SUMIFS(sales_data_1[Sales_Amount],sales_data_1[Year],2022, sales_data_1[month], $B19, sales_data_1[Sales_Rep], "Charlie", sales_data_1[Product_Category], O$10)</f>
        <v>297920.61800225376</v>
      </c>
      <c r="P19" s="24">
        <f>SUMIFS(sales_data_1[Sales_Amount],sales_data_1[Year],2022, sales_data_1[month], $B19, sales_data_1[Sales_Rep], "Charlie", sales_data_1[Product_Category], P$10)</f>
        <v>36088.65</v>
      </c>
      <c r="Q19" s="24">
        <f>SUMIFS(sales_data_1[Sales_Amount],sales_data_1[Year],2022, sales_data_1[month], $B19, sales_data_1[Sales_Rep], "Charlie", sales_data_1[Product_Category], Q$10)</f>
        <v>60790.713199999998</v>
      </c>
      <c r="R19" s="24">
        <f>SUMIFS(sales_data_1[Sales_Amount],sales_data_1[Year],2022, sales_data_1[month], $B19, sales_data_1[Sales_Rep], "Charlie", sales_data_1[Product_Category], R$10)</f>
        <v>26705.582399999999</v>
      </c>
      <c r="S19" s="24">
        <f t="shared" si="2"/>
        <v>421505.56360225379</v>
      </c>
      <c r="T19" s="24"/>
      <c r="U19" s="24">
        <f>SUMIFS(sales_data_1[Sales_Amount],sales_data_1[Year],2022, sales_data_1[month], $B19, sales_data_1[Sales_Rep], "David", sales_data_1[Product_Category], U$10)</f>
        <v>322218.97289290407</v>
      </c>
      <c r="V19" s="24">
        <f>SUMIFS(sales_data_1[Sales_Amount],sales_data_1[Year],2022, sales_data_1[month], $B19, sales_data_1[Sales_Rep], "David", sales_data_1[Product_Category], V$10)</f>
        <v>676523.43398492178</v>
      </c>
      <c r="W19" s="24">
        <f>SUMIFS(sales_data_1[Sales_Amount],sales_data_1[Year],2022, sales_data_1[month], $B19, sales_data_1[Sales_Rep], "David", sales_data_1[Product_Category], W$10)</f>
        <v>302205.26</v>
      </c>
      <c r="X19" s="24">
        <f>SUMIFS(sales_data_1[Sales_Amount],sales_data_1[Year],2022, sales_data_1[month], $B19, sales_data_1[Sales_Rep], "David", sales_data_1[Product_Category], R$10)</f>
        <v>206162.93891541156</v>
      </c>
      <c r="Y19" s="24">
        <f t="shared" si="3"/>
        <v>1507110.6057932372</v>
      </c>
      <c r="Z19" s="24"/>
      <c r="AA19" s="24">
        <f>SUMIFS(sales_data_1[Sales_Amount],sales_data_1[Year],2022, sales_data_1[month], $B19, sales_data_1[Sales_Rep], "Eve", sales_data_1[Product_Category], U$10)</f>
        <v>130480.56</v>
      </c>
      <c r="AB19" s="24">
        <f>SUMIFS(sales_data_1[Sales_Amount],sales_data_1[Year],2022, sales_data_1[month], $B19, sales_data_1[Sales_Rep], "Eve", sales_data_1[Product_Category], V$10)</f>
        <v>311333.73631004756</v>
      </c>
      <c r="AC19" s="24">
        <f>SUMIFS(sales_data_1[Sales_Amount],sales_data_1[Year],2022, sales_data_1[month], $B19, sales_data_1[Sales_Rep], "Eve", sales_data_1[Product_Category], W$10)</f>
        <v>142419.11319999999</v>
      </c>
      <c r="AD19" s="24">
        <f>SUMIFS(sales_data_1[Sales_Amount],sales_data_1[Year],2022, sales_data_1[month], $B19, sales_data_1[Sales_Rep], "Eve", sales_data_1[Product_Category], R$10)</f>
        <v>919604.76535362832</v>
      </c>
      <c r="AE19" s="24">
        <f t="shared" si="4"/>
        <v>1503838.1748636758</v>
      </c>
      <c r="AF19" s="104"/>
      <c r="AG19" s="24">
        <f t="shared" si="5"/>
        <v>6459471.5225438476</v>
      </c>
      <c r="AH19" s="24"/>
    </row>
    <row r="20" spans="1:34" x14ac:dyDescent="0.35">
      <c r="A20" s="4"/>
      <c r="B20" s="5" t="s">
        <v>54</v>
      </c>
      <c r="C20" s="24">
        <f>SUMIFS(sales_data_1[Sales_Amount],sales_data_1[Year],2022, sales_data_1[month], $B20, sales_data_1[Sales_Rep], "Alice", sales_data_1[Product_Category], C$10)</f>
        <v>214241.58888705762</v>
      </c>
      <c r="D20" s="24">
        <f>SUMIFS(sales_data_1[Sales_Amount],sales_data_1[Year],2022, sales_data_1[month], $B20, sales_data_1[Sales_Rep], "Alice", sales_data_1[Product_Category], D$10)</f>
        <v>687080.55909999995</v>
      </c>
      <c r="E20" s="24">
        <f>SUMIFS(sales_data_1[Sales_Amount],sales_data_1[Year],2022, sales_data_1[month], $B20, sales_data_1[Sales_Rep], "Alice", sales_data_1[Product_Category], E$10)</f>
        <v>158315.88700746431</v>
      </c>
      <c r="F20" s="24">
        <f>SUMIFS(sales_data_1[Sales_Amount],sales_data_1[Year],2022, sales_data_1[month], $B20, sales_data_1[Sales_Rep], "Alice", sales_data_1[Product_Category], F$10)</f>
        <v>238603.95903322665</v>
      </c>
      <c r="G20" s="24">
        <f t="shared" si="0"/>
        <v>1298241.9940277485</v>
      </c>
      <c r="H20" s="24"/>
      <c r="I20" s="24">
        <f>SUMIFS(sales_data_1[Sales_Amount],sales_data_1[Year],2022, sales_data_1[month], $B20, sales_data_1[Sales_Rep], "Bob", sales_data_1[Product_Category], I$10)</f>
        <v>333684.75918614469</v>
      </c>
      <c r="J20" s="24">
        <f>SUMIFS(sales_data_1[Sales_Amount],sales_data_1[Year],2022, sales_data_1[month], $B20, sales_data_1[Sales_Rep], "Bob", sales_data_1[Product_Category], J$10)</f>
        <v>321765.92019999999</v>
      </c>
      <c r="K20" s="24">
        <f>SUMIFS(sales_data_1[Sales_Amount],sales_data_1[Year],2022, sales_data_1[month], $B20, sales_data_1[Sales_Rep], "Bob", sales_data_1[Product_Category], K$10)</f>
        <v>801094.54383553716</v>
      </c>
      <c r="L20" s="24">
        <f>SUMIFS(sales_data_1[Sales_Amount],sales_data_1[Year],2022, sales_data_1[month], $B20, sales_data_1[Sales_Rep], "Bob", sales_data_1[Product_Category], L$10)</f>
        <v>448756.29427944764</v>
      </c>
      <c r="M20" s="24">
        <f t="shared" si="1"/>
        <v>1905301.5175011298</v>
      </c>
      <c r="N20" s="24"/>
      <c r="O20" s="24">
        <f>SUMIFS(sales_data_1[Sales_Amount],sales_data_1[Year],2022, sales_data_1[month], $B20, sales_data_1[Sales_Rep], "Charlie", sales_data_1[Product_Category], O$10)</f>
        <v>543401.45830000006</v>
      </c>
      <c r="P20" s="24">
        <f>SUMIFS(sales_data_1[Sales_Amount],sales_data_1[Year],2022, sales_data_1[month], $B20, sales_data_1[Sales_Rep], "Charlie", sales_data_1[Product_Category], P$10)</f>
        <v>238014.23281364303</v>
      </c>
      <c r="Q20" s="24">
        <f>SUMIFS(sales_data_1[Sales_Amount],sales_data_1[Year],2022, sales_data_1[month], $B20, sales_data_1[Sales_Rep], "Charlie", sales_data_1[Product_Category], Q$10)</f>
        <v>349790.28239999997</v>
      </c>
      <c r="R20" s="24">
        <f>SUMIFS(sales_data_1[Sales_Amount],sales_data_1[Year],2022, sales_data_1[month], $B20, sales_data_1[Sales_Rep], "Charlie", sales_data_1[Product_Category], R$10)</f>
        <v>419746.04575046059</v>
      </c>
      <c r="S20" s="24">
        <f t="shared" si="2"/>
        <v>1550952.0192641036</v>
      </c>
      <c r="T20" s="24"/>
      <c r="U20" s="24">
        <f>SUMIFS(sales_data_1[Sales_Amount],sales_data_1[Year],2022, sales_data_1[month], $B20, sales_data_1[Sales_Rep], "David", sales_data_1[Product_Category], U$10)</f>
        <v>147616.74042162063</v>
      </c>
      <c r="V20" s="24">
        <f>SUMIFS(sales_data_1[Sales_Amount],sales_data_1[Year],2022, sales_data_1[month], $B20, sales_data_1[Sales_Rep], "David", sales_data_1[Product_Category], V$10)</f>
        <v>190647.28400000001</v>
      </c>
      <c r="W20" s="24">
        <f>SUMIFS(sales_data_1[Sales_Amount],sales_data_1[Year],2022, sales_data_1[month], $B20, sales_data_1[Sales_Rep], "David", sales_data_1[Product_Category], W$10)</f>
        <v>142498.42479999998</v>
      </c>
      <c r="X20" s="24">
        <f>SUMIFS(sales_data_1[Sales_Amount],sales_data_1[Year],2022, sales_data_1[month], $B20, sales_data_1[Sales_Rep], "David", sales_data_1[Product_Category], R$10)</f>
        <v>280497.22249999997</v>
      </c>
      <c r="Y20" s="24">
        <f t="shared" si="3"/>
        <v>761259.6717216206</v>
      </c>
      <c r="Z20" s="24"/>
      <c r="AA20" s="24">
        <f>SUMIFS(sales_data_1[Sales_Amount],sales_data_1[Year],2022, sales_data_1[month], $B20, sales_data_1[Sales_Rep], "Eve", sales_data_1[Product_Category], U$10)</f>
        <v>411190.89639395906</v>
      </c>
      <c r="AB20" s="24">
        <f>SUMIFS(sales_data_1[Sales_Amount],sales_data_1[Year],2022, sales_data_1[month], $B20, sales_data_1[Sales_Rep], "Eve", sales_data_1[Product_Category], V$10)</f>
        <v>345186.42859999998</v>
      </c>
      <c r="AC20" s="24">
        <f>SUMIFS(sales_data_1[Sales_Amount],sales_data_1[Year],2022, sales_data_1[month], $B20, sales_data_1[Sales_Rep], "Eve", sales_data_1[Product_Category], W$10)</f>
        <v>419143.56443448615</v>
      </c>
      <c r="AD20" s="24">
        <f>SUMIFS(sales_data_1[Sales_Amount],sales_data_1[Year],2022, sales_data_1[month], $B20, sales_data_1[Sales_Rep], "Eve", sales_data_1[Product_Category], R$10)</f>
        <v>702446.59134421661</v>
      </c>
      <c r="AE20" s="24">
        <f t="shared" si="4"/>
        <v>1877967.4807726617</v>
      </c>
      <c r="AF20" s="104"/>
      <c r="AG20" s="24">
        <f t="shared" si="5"/>
        <v>7393722.6832872648</v>
      </c>
      <c r="AH20" s="24"/>
    </row>
    <row r="21" spans="1:34" x14ac:dyDescent="0.35">
      <c r="A21" s="4"/>
      <c r="B21" s="5" t="s">
        <v>55</v>
      </c>
      <c r="C21" s="24">
        <f>SUMIFS(sales_data_1[Sales_Amount],sales_data_1[Year],2022, sales_data_1[month], $B21, sales_data_1[Sales_Rep], "Alice", sales_data_1[Product_Category], C$10)</f>
        <v>233020.47689999998</v>
      </c>
      <c r="D21" s="24">
        <f>SUMIFS(sales_data_1[Sales_Amount],sales_data_1[Year],2022, sales_data_1[month], $B21, sales_data_1[Sales_Rep], "Alice", sales_data_1[Product_Category], D$10)</f>
        <v>481134.96158537595</v>
      </c>
      <c r="E21" s="24">
        <f>SUMIFS(sales_data_1[Sales_Amount],sales_data_1[Year],2022, sales_data_1[month], $B21, sales_data_1[Sales_Rep], "Alice", sales_data_1[Product_Category], E$10)</f>
        <v>400351.31359999999</v>
      </c>
      <c r="F21" s="24">
        <f>SUMIFS(sales_data_1[Sales_Amount],sales_data_1[Year],2022, sales_data_1[month], $B21, sales_data_1[Sales_Rep], "Alice", sales_data_1[Product_Category], F$10)</f>
        <v>320348.04700000002</v>
      </c>
      <c r="G21" s="24">
        <f t="shared" si="0"/>
        <v>1434854.7990853761</v>
      </c>
      <c r="H21" s="24"/>
      <c r="I21" s="24">
        <f>SUMIFS(sales_data_1[Sales_Amount],sales_data_1[Year],2022, sales_data_1[month], $B21, sales_data_1[Sales_Rep], "Bob", sales_data_1[Product_Category], I$10)</f>
        <v>231132.64706480253</v>
      </c>
      <c r="J21" s="24">
        <f>SUMIFS(sales_data_1[Sales_Amount],sales_data_1[Year],2022, sales_data_1[month], $B21, sales_data_1[Sales_Rep], "Bob", sales_data_1[Product_Category], J$10)</f>
        <v>369917.18299999996</v>
      </c>
      <c r="K21" s="24">
        <f>SUMIFS(sales_data_1[Sales_Amount],sales_data_1[Year],2022, sales_data_1[month], $B21, sales_data_1[Sales_Rep], "Bob", sales_data_1[Product_Category], K$10)</f>
        <v>352397.34839999996</v>
      </c>
      <c r="L21" s="24">
        <f>SUMIFS(sales_data_1[Sales_Amount],sales_data_1[Year],2022, sales_data_1[month], $B21, sales_data_1[Sales_Rep], "Bob", sales_data_1[Product_Category], L$10)</f>
        <v>441085.58075303916</v>
      </c>
      <c r="M21" s="24">
        <f t="shared" si="1"/>
        <v>1394532.7592178416</v>
      </c>
      <c r="N21" s="24"/>
      <c r="O21" s="24">
        <f>SUMIFS(sales_data_1[Sales_Amount],sales_data_1[Year],2022, sales_data_1[month], $B21, sales_data_1[Sales_Rep], "Charlie", sales_data_1[Product_Category], O$10)</f>
        <v>771652.96313124639</v>
      </c>
      <c r="P21" s="24">
        <f>SUMIFS(sales_data_1[Sales_Amount],sales_data_1[Year],2022, sales_data_1[month], $B21, sales_data_1[Sales_Rep], "Charlie", sales_data_1[Product_Category], P$10)</f>
        <v>366582.41716782382</v>
      </c>
      <c r="Q21" s="24">
        <f>SUMIFS(sales_data_1[Sales_Amount],sales_data_1[Year],2022, sales_data_1[month], $B21, sales_data_1[Sales_Rep], "Charlie", sales_data_1[Product_Category], Q$10)</f>
        <v>258837.52279999998</v>
      </c>
      <c r="R21" s="24">
        <f>SUMIFS(sales_data_1[Sales_Amount],sales_data_1[Year],2022, sales_data_1[month], $B21, sales_data_1[Sales_Rep], "Charlie", sales_data_1[Product_Category], R$10)</f>
        <v>257172.448</v>
      </c>
      <c r="S21" s="24">
        <f t="shared" si="2"/>
        <v>1654245.3510990702</v>
      </c>
      <c r="T21" s="24"/>
      <c r="U21" s="24">
        <f>SUMIFS(sales_data_1[Sales_Amount],sales_data_1[Year],2022, sales_data_1[month], $B21, sales_data_1[Sales_Rep], "David", sales_data_1[Product_Category], U$10)</f>
        <v>455600.36555619515</v>
      </c>
      <c r="V21" s="24">
        <f>SUMIFS(sales_data_1[Sales_Amount],sales_data_1[Year],2022, sales_data_1[month], $B21, sales_data_1[Sales_Rep], "David", sales_data_1[Product_Category], V$10)</f>
        <v>870173.37351801689</v>
      </c>
      <c r="W21" s="24">
        <f>SUMIFS(sales_data_1[Sales_Amount],sales_data_1[Year],2022, sales_data_1[month], $B21, sales_data_1[Sales_Rep], "David", sales_data_1[Product_Category], W$10)</f>
        <v>232807.74664957475</v>
      </c>
      <c r="X21" s="24">
        <f>SUMIFS(sales_data_1[Sales_Amount],sales_data_1[Year],2022, sales_data_1[month], $B21, sales_data_1[Sales_Rep], "David", sales_data_1[Product_Category], R$10)</f>
        <v>348590.52271308552</v>
      </c>
      <c r="Y21" s="24">
        <f t="shared" si="3"/>
        <v>1907172.0084368722</v>
      </c>
      <c r="Z21" s="24"/>
      <c r="AA21" s="24">
        <f>SUMIFS(sales_data_1[Sales_Amount],sales_data_1[Year],2022, sales_data_1[month], $B21, sales_data_1[Sales_Rep], "Eve", sales_data_1[Product_Category], U$10)</f>
        <v>61566.235499999995</v>
      </c>
      <c r="AB21" s="24">
        <f>SUMIFS(sales_data_1[Sales_Amount],sales_data_1[Year],2022, sales_data_1[month], $B21, sales_data_1[Sales_Rep], "Eve", sales_data_1[Product_Category], V$10)</f>
        <v>589249.03232861776</v>
      </c>
      <c r="AC21" s="24">
        <f>SUMIFS(sales_data_1[Sales_Amount],sales_data_1[Year],2022, sales_data_1[month], $B21, sales_data_1[Sales_Rep], "Eve", sales_data_1[Product_Category], W$10)</f>
        <v>533240.10969791259</v>
      </c>
      <c r="AD21" s="24">
        <f>SUMIFS(sales_data_1[Sales_Amount],sales_data_1[Year],2022, sales_data_1[month], $B21, sales_data_1[Sales_Rep], "Eve", sales_data_1[Product_Category], R$10)</f>
        <v>106139.41305777984</v>
      </c>
      <c r="AE21" s="24">
        <f t="shared" si="4"/>
        <v>1290194.7905843102</v>
      </c>
      <c r="AF21" s="104"/>
      <c r="AG21" s="24">
        <f t="shared" si="5"/>
        <v>7680999.7084234701</v>
      </c>
      <c r="AH21" s="24"/>
    </row>
    <row r="22" spans="1:34" x14ac:dyDescent="0.35">
      <c r="A22" s="4"/>
      <c r="B22" s="5" t="s">
        <v>56</v>
      </c>
      <c r="C22" s="24">
        <f>SUMIFS(sales_data_1[Sales_Amount],sales_data_1[Year],2022, sales_data_1[month], $B22, sales_data_1[Sales_Rep], "Alice", sales_data_1[Product_Category], C$10)</f>
        <v>481490.08559999999</v>
      </c>
      <c r="D22" s="24">
        <f>SUMIFS(sales_data_1[Sales_Amount],sales_data_1[Year],2022, sales_data_1[month], $B22, sales_data_1[Sales_Rep], "Alice", sales_data_1[Product_Category], D$10)</f>
        <v>551516.01260000002</v>
      </c>
      <c r="E22" s="24">
        <f>SUMIFS(sales_data_1[Sales_Amount],sales_data_1[Year],2022, sales_data_1[month], $B22, sales_data_1[Sales_Rep], "Alice", sales_data_1[Product_Category], E$10)</f>
        <v>310485.58461472532</v>
      </c>
      <c r="F22" s="24">
        <f>SUMIFS(sales_data_1[Sales_Amount],sales_data_1[Year],2022, sales_data_1[month], $B22, sales_data_1[Sales_Rep], "Alice", sales_data_1[Product_Category], F$10)</f>
        <v>340477.44679091079</v>
      </c>
      <c r="G22" s="24">
        <f t="shared" si="0"/>
        <v>1683969.129605636</v>
      </c>
      <c r="H22" s="24">
        <f>AVERAGE(G11:G22)</f>
        <v>1595511.3197108188</v>
      </c>
      <c r="I22" s="24">
        <f>SUMIFS(sales_data_1[Sales_Amount],sales_data_1[Year],2022, sales_data_1[month], $B22, sales_data_1[Sales_Rep], "Bob", sales_data_1[Product_Category], I$10)</f>
        <v>563236.65080014372</v>
      </c>
      <c r="J22" s="24">
        <f>SUMIFS(sales_data_1[Sales_Amount],sales_data_1[Year],2022, sales_data_1[month], $B22, sales_data_1[Sales_Rep], "Bob", sales_data_1[Product_Category], J$10)</f>
        <v>207746.77480000001</v>
      </c>
      <c r="K22" s="24">
        <f>SUMIFS(sales_data_1[Sales_Amount],sales_data_1[Year],2022, sales_data_1[month], $B22, sales_data_1[Sales_Rep], "Bob", sales_data_1[Product_Category], K$10)</f>
        <v>455345.05840444705</v>
      </c>
      <c r="L22" s="24">
        <f>SUMIFS(sales_data_1[Sales_Amount],sales_data_1[Year],2022, sales_data_1[month], $B22, sales_data_1[Sales_Rep], "Bob", sales_data_1[Product_Category], L$10)</f>
        <v>120484.27488624647</v>
      </c>
      <c r="M22" s="24">
        <f t="shared" si="1"/>
        <v>1346812.7588908372</v>
      </c>
      <c r="N22" s="24">
        <f>AVERAGE(M11:M22)</f>
        <v>1307866.7456991009</v>
      </c>
      <c r="O22" s="24">
        <f>SUMIFS(sales_data_1[Sales_Amount],sales_data_1[Year],2022, sales_data_1[month], $B22, sales_data_1[Sales_Rep], "Charlie", sales_data_1[Product_Category], O$10)</f>
        <v>197096.44935224904</v>
      </c>
      <c r="P22" s="24">
        <f>SUMIFS(sales_data_1[Sales_Amount],sales_data_1[Year],2022, sales_data_1[month], $B22, sales_data_1[Sales_Rep], "Charlie", sales_data_1[Product_Category], P$10)</f>
        <v>646544.36815914896</v>
      </c>
      <c r="Q22" s="24">
        <f>SUMIFS(sales_data_1[Sales_Amount],sales_data_1[Year],2022, sales_data_1[month], $B22, sales_data_1[Sales_Rep], "Charlie", sales_data_1[Product_Category], Q$10)</f>
        <v>337526.52610854653</v>
      </c>
      <c r="R22" s="24">
        <f>SUMIFS(sales_data_1[Sales_Amount],sales_data_1[Year],2022, sales_data_1[month], $B22, sales_data_1[Sales_Rep], "Charlie", sales_data_1[Product_Category], R$10)</f>
        <v>286081.81516767014</v>
      </c>
      <c r="S22" s="24">
        <f t="shared" si="2"/>
        <v>1467249.1587876147</v>
      </c>
      <c r="T22" s="24">
        <f>AVERAGE(S11:S22)</f>
        <v>1513452.6151849125</v>
      </c>
      <c r="U22" s="24">
        <f>SUMIFS(sales_data_1[Sales_Amount],sales_data_1[Year],2022, sales_data_1[month], $B22, sales_data_1[Sales_Rep], "David", sales_data_1[Product_Category], U$10)</f>
        <v>52874.760000000009</v>
      </c>
      <c r="V22" s="24">
        <f>SUMIFS(sales_data_1[Sales_Amount],sales_data_1[Year],2022, sales_data_1[month], $B22, sales_data_1[Sales_Rep], "David", sales_data_1[Product_Category], V$10)</f>
        <v>248660.46728280961</v>
      </c>
      <c r="W22" s="24">
        <f>SUMIFS(sales_data_1[Sales_Amount],sales_data_1[Year],2022, sales_data_1[month], $B22, sales_data_1[Sales_Rep], "David", sales_data_1[Product_Category], W$10)</f>
        <v>426653.09589999996</v>
      </c>
      <c r="X22" s="24">
        <f>SUMIFS(sales_data_1[Sales_Amount],sales_data_1[Year],2022, sales_data_1[month], $B22, sales_data_1[Sales_Rep], "David", sales_data_1[Product_Category], R$10)</f>
        <v>186197.75299999997</v>
      </c>
      <c r="Y22" s="24">
        <f t="shared" si="3"/>
        <v>914386.07618280966</v>
      </c>
      <c r="Z22" s="24">
        <f>AVERAGE(Y11:Y22)</f>
        <v>1380789.7375684045</v>
      </c>
      <c r="AA22" s="24">
        <f>SUMIFS(sales_data_1[Sales_Amount],sales_data_1[Year],2022, sales_data_1[month], $B22, sales_data_1[Sales_Rep], "Eve", sales_data_1[Product_Category], U$10)</f>
        <v>467582.9034035526</v>
      </c>
      <c r="AB22" s="24">
        <f>SUMIFS(sales_data_1[Sales_Amount],sales_data_1[Year],2022, sales_data_1[month], $B22, sales_data_1[Sales_Rep], "Eve", sales_data_1[Product_Category], V$10)</f>
        <v>23094.898200000003</v>
      </c>
      <c r="AC22" s="24">
        <f>SUMIFS(sales_data_1[Sales_Amount],sales_data_1[Year],2022, sales_data_1[month], $B22, sales_data_1[Sales_Rep], "Eve", sales_data_1[Product_Category], W$10)</f>
        <v>811644.78759999992</v>
      </c>
      <c r="AD22" s="24">
        <f>SUMIFS(sales_data_1[Sales_Amount],sales_data_1[Year],2022, sales_data_1[month], $B22, sales_data_1[Sales_Rep], "Eve", sales_data_1[Product_Category], R$10)</f>
        <v>87693.999199999991</v>
      </c>
      <c r="AE22" s="24">
        <f t="shared" si="4"/>
        <v>1390016.5884035525</v>
      </c>
      <c r="AF22" s="104">
        <f>AVERAGE(AE11:AE22)</f>
        <v>1495467.0183304686</v>
      </c>
      <c r="AG22" s="24">
        <f t="shared" si="5"/>
        <v>6802433.7118704505</v>
      </c>
      <c r="AH22" s="24">
        <f>AVERAGE(AG11:AG22)</f>
        <v>7293087.436493705</v>
      </c>
    </row>
    <row r="23" spans="1:34" x14ac:dyDescent="0.35">
      <c r="A23" s="17" t="s">
        <v>59</v>
      </c>
      <c r="B23" s="5" t="s">
        <v>45</v>
      </c>
      <c r="C23" s="24">
        <f>SUMIFS(sales_data_1[Sales_Amount],sales_data_1[Year],2023, sales_data_1[month], $B23, sales_data_1[Sales_Rep], "Alice", sales_data_1[Product_Category], C$10)</f>
        <v>247474.65189710379</v>
      </c>
      <c r="D23" s="24">
        <f>SUMIFS(sales_data_1[Sales_Amount],sales_data_1[Year],2023, sales_data_1[month], $B23, sales_data_1[Sales_Rep], "Alice", sales_data_1[Product_Category], D$10)</f>
        <v>174228.74375420378</v>
      </c>
      <c r="E23" s="24">
        <f>SUMIFS(sales_data_1[Sales_Amount],sales_data_1[Year],2023, sales_data_1[month], $B23, sales_data_1[Sales_Rep], "Alice", sales_data_1[Product_Category], E$10)</f>
        <v>63984.749643508847</v>
      </c>
      <c r="F23" s="24">
        <f>SUMIFS(sales_data_1[Sales_Amount],sales_data_1[Year],2023, sales_data_1[month], $B23, sales_data_1[Sales_Rep], "Alice", sales_data_1[Product_Category], F$10)</f>
        <v>246974.47464617493</v>
      </c>
      <c r="G23" s="24">
        <f t="shared" si="0"/>
        <v>732662.61994099128</v>
      </c>
      <c r="H23" s="24">
        <f t="shared" ref="H23:H46" si="6">AVERAGE(G12:G23)</f>
        <v>1532540.4724012641</v>
      </c>
      <c r="I23" s="24">
        <f>SUMIFS(sales_data_1[Sales_Amount],sales_data_1[Year],2023, sales_data_1[month], $B23, sales_data_1[Sales_Rep], "Bob", sales_data_1[Product_Category], I$10)</f>
        <v>486563.60400299559</v>
      </c>
      <c r="J23" s="24">
        <f>SUMIFS(sales_data_1[Sales_Amount],sales_data_1[Year],2023, sales_data_1[month], $B23, sales_data_1[Sales_Rep], "Bob", sales_data_1[Product_Category], J$10)</f>
        <v>128138.12339597198</v>
      </c>
      <c r="K23" s="24">
        <f>SUMIFS(sales_data_1[Sales_Amount],sales_data_1[Year],2023, sales_data_1[month], $B23, sales_data_1[Sales_Rep], "Bob", sales_data_1[Product_Category], K$10)</f>
        <v>319243.54240000003</v>
      </c>
      <c r="L23" s="24">
        <f>SUMIFS(sales_data_1[Sales_Amount],sales_data_1[Year],2023, sales_data_1[month], $B23, sales_data_1[Sales_Rep], "Bob", sales_data_1[Product_Category], L$10)</f>
        <v>823705.41176992748</v>
      </c>
      <c r="M23" s="24">
        <f t="shared" si="1"/>
        <v>1757650.681568895</v>
      </c>
      <c r="N23" s="24">
        <f t="shared" ref="N23:N46" si="7">AVERAGE(M12:M23)</f>
        <v>1391114.3998238167</v>
      </c>
      <c r="O23" s="24">
        <f>SUMIFS(sales_data_1[Sales_Amount],sales_data_1[Year],2023, sales_data_1[month], $B23, sales_data_1[Sales_Rep], "Charlie", sales_data_1[Product_Category], O$10)</f>
        <v>638160.46569196158</v>
      </c>
      <c r="P23" s="24">
        <f>SUMIFS(sales_data_1[Sales_Amount],sales_data_1[Year],2023, sales_data_1[month], $B23, sales_data_1[Sales_Rep], "Charlie", sales_data_1[Product_Category], P$10)</f>
        <v>591707.96696776443</v>
      </c>
      <c r="Q23" s="24">
        <f>SUMIFS(sales_data_1[Sales_Amount],sales_data_1[Year],2023, sales_data_1[month], $B23, sales_data_1[Sales_Rep], "Charlie", sales_data_1[Product_Category], Q$10)</f>
        <v>363968.37780428043</v>
      </c>
      <c r="R23" s="24">
        <f>SUMIFS(sales_data_1[Sales_Amount],sales_data_1[Year],2023, sales_data_1[month], $B23, sales_data_1[Sales_Rep], "Charlie", sales_data_1[Product_Category], R$10)</f>
        <v>296465.35006085789</v>
      </c>
      <c r="S23" s="24">
        <f t="shared" si="2"/>
        <v>1890302.1605248644</v>
      </c>
      <c r="T23" s="24">
        <f t="shared" ref="T23:T46" si="8">AVERAGE(S12:S23)</f>
        <v>1505468.6437780212</v>
      </c>
      <c r="U23" s="24">
        <f>SUMIFS(sales_data_1[Sales_Amount],sales_data_1[Year],2023, sales_data_1[month], $B23, sales_data_1[Sales_Rep], "David", sales_data_1[Product_Category], U$10)</f>
        <v>127420.7049624293</v>
      </c>
      <c r="V23" s="24">
        <f>SUMIFS(sales_data_1[Sales_Amount],sales_data_1[Year],2023, sales_data_1[month], $B23, sales_data_1[Sales_Rep], "David", sales_data_1[Product_Category], V$10)</f>
        <v>141139.84387028622</v>
      </c>
      <c r="W23" s="24">
        <f>SUMIFS(sales_data_1[Sales_Amount],sales_data_1[Year],2023, sales_data_1[month], $B23, sales_data_1[Sales_Rep], "David", sales_data_1[Product_Category], W$10)</f>
        <v>177421.68590057475</v>
      </c>
      <c r="X23" s="24">
        <f>SUMIFS(sales_data_1[Sales_Amount],sales_data_1[Year],2023, sales_data_1[month], $B23, sales_data_1[Sales_Rep], "David", sales_data_1[Product_Category], R$10)</f>
        <v>454782.73035092419</v>
      </c>
      <c r="Y23" s="24">
        <f t="shared" si="3"/>
        <v>900764.96508421446</v>
      </c>
      <c r="Z23" s="24">
        <f t="shared" ref="Z23:Z46" si="9">AVERAGE(Y12:Y23)</f>
        <v>1328515.0929254226</v>
      </c>
      <c r="AA23" s="24">
        <f>SUMIFS(sales_data_1[Sales_Amount],sales_data_1[Year],2023, sales_data_1[month], $B23, sales_data_1[Sales_Rep], "Eve", sales_data_1[Product_Category], U$10)</f>
        <v>578263.37750099541</v>
      </c>
      <c r="AB23" s="24">
        <f>SUMIFS(sales_data_1[Sales_Amount],sales_data_1[Year],2023, sales_data_1[month], $B23, sales_data_1[Sales_Rep], "Eve", sales_data_1[Product_Category], V$10)</f>
        <v>319326.40932696959</v>
      </c>
      <c r="AC23" s="24">
        <f>SUMIFS(sales_data_1[Sales_Amount],sales_data_1[Year],2023, sales_data_1[month], $B23, sales_data_1[Sales_Rep], "Eve", sales_data_1[Product_Category], W$10)</f>
        <v>586530.47822097188</v>
      </c>
      <c r="AD23" s="24">
        <f>SUMIFS(sales_data_1[Sales_Amount],sales_data_1[Year],2023, sales_data_1[month], $B23, sales_data_1[Sales_Rep], "Eve", sales_data_1[Product_Category], R$10)</f>
        <v>439979.06444373372</v>
      </c>
      <c r="AE23" s="24">
        <f t="shared" si="4"/>
        <v>1924099.3294926707</v>
      </c>
      <c r="AF23" s="104">
        <f t="shared" ref="AF23:AF46" si="10">AVERAGE(AE12:AE23)</f>
        <v>1555740.2135890245</v>
      </c>
      <c r="AG23" s="24">
        <f t="shared" si="5"/>
        <v>7205479.7566116359</v>
      </c>
      <c r="AH23" s="24">
        <f t="shared" ref="AH23:AH46" si="11">AVERAGE(AG12:AG23)</f>
        <v>7313378.8225175478</v>
      </c>
    </row>
    <row r="24" spans="1:34" x14ac:dyDescent="0.35">
      <c r="A24" s="5"/>
      <c r="B24" s="5" t="s">
        <v>46</v>
      </c>
      <c r="C24" s="24">
        <f>SUMIFS(sales_data_1[Sales_Amount],sales_data_1[Year],2023, sales_data_1[month], $B24, sales_data_1[Sales_Rep], "Alice", sales_data_1[Product_Category], C$10)</f>
        <v>388849.20155282901</v>
      </c>
      <c r="D24" s="24">
        <f>SUMIFS(sales_data_1[Sales_Amount],sales_data_1[Year],2023, sales_data_1[month], $B24, sales_data_1[Sales_Rep], "Alice", sales_data_1[Product_Category], D$10)</f>
        <v>597496.59379817767</v>
      </c>
      <c r="E24" s="24">
        <f>SUMIFS(sales_data_1[Sales_Amount],sales_data_1[Year],2023, sales_data_1[month], $B24, sales_data_1[Sales_Rep], "Alice", sales_data_1[Product_Category], E$10)</f>
        <v>94103.254885235685</v>
      </c>
      <c r="F24" s="24">
        <f>SUMIFS(sales_data_1[Sales_Amount],sales_data_1[Year],2023, sales_data_1[month], $B24, sales_data_1[Sales_Rep], "Alice", sales_data_1[Product_Category], F$10)</f>
        <v>319194.65768677299</v>
      </c>
      <c r="G24" s="24">
        <f t="shared" si="0"/>
        <v>1399643.7079230153</v>
      </c>
      <c r="H24" s="24">
        <f t="shared" si="6"/>
        <v>1533740.018978182</v>
      </c>
      <c r="I24" s="24">
        <f>SUMIFS(sales_data_1[Sales_Amount],sales_data_1[Year],2023, sales_data_1[month], $B24, sales_data_1[Sales_Rep], "Bob", sales_data_1[Product_Category], I$10)</f>
        <v>275007.03419961478</v>
      </c>
      <c r="J24" s="24">
        <f>SUMIFS(sales_data_1[Sales_Amount],sales_data_1[Year],2023, sales_data_1[month], $B24, sales_data_1[Sales_Rep], "Bob", sales_data_1[Product_Category], J$10)</f>
        <v>97679.713343259209</v>
      </c>
      <c r="K24" s="24">
        <f>SUMIFS(sales_data_1[Sales_Amount],sales_data_1[Year],2023, sales_data_1[month], $B24, sales_data_1[Sales_Rep], "Bob", sales_data_1[Product_Category], K$10)</f>
        <v>318685.74898113788</v>
      </c>
      <c r="L24" s="24">
        <f>SUMIFS(sales_data_1[Sales_Amount],sales_data_1[Year],2023, sales_data_1[month], $B24, sales_data_1[Sales_Rep], "Bob", sales_data_1[Product_Category], L$10)</f>
        <v>276121.66254664096</v>
      </c>
      <c r="M24" s="24">
        <f t="shared" si="1"/>
        <v>967494.15907065279</v>
      </c>
      <c r="N24" s="24">
        <f t="shared" si="7"/>
        <v>1376850.7321746557</v>
      </c>
      <c r="O24" s="24">
        <f>SUMIFS(sales_data_1[Sales_Amount],sales_data_1[Year],2023, sales_data_1[month], $B24, sales_data_1[Sales_Rep], "Charlie", sales_data_1[Product_Category], O$10)</f>
        <v>245809.48516125249</v>
      </c>
      <c r="P24" s="24">
        <f>SUMIFS(sales_data_1[Sales_Amount],sales_data_1[Year],2023, sales_data_1[month], $B24, sales_data_1[Sales_Rep], "Charlie", sales_data_1[Product_Category], P$10)</f>
        <v>204334.36325843871</v>
      </c>
      <c r="Q24" s="24">
        <f>SUMIFS(sales_data_1[Sales_Amount],sales_data_1[Year],2023, sales_data_1[month], $B24, sales_data_1[Sales_Rep], "Charlie", sales_data_1[Product_Category], Q$10)</f>
        <v>240346.32842444335</v>
      </c>
      <c r="R24" s="24">
        <f>SUMIFS(sales_data_1[Sales_Amount],sales_data_1[Year],2023, sales_data_1[month], $B24, sales_data_1[Sales_Rep], "Charlie", sales_data_1[Product_Category], R$10)</f>
        <v>226695.40314502438</v>
      </c>
      <c r="S24" s="24">
        <f t="shared" si="2"/>
        <v>917185.57998915901</v>
      </c>
      <c r="T24" s="24">
        <f t="shared" si="8"/>
        <v>1398254.8839761149</v>
      </c>
      <c r="U24" s="24">
        <f>SUMIFS(sales_data_1[Sales_Amount],sales_data_1[Year],2023, sales_data_1[month], $B24, sales_data_1[Sales_Rep], "David", sales_data_1[Product_Category], U$10)</f>
        <v>290527.17490595859</v>
      </c>
      <c r="V24" s="24">
        <f>SUMIFS(sales_data_1[Sales_Amount],sales_data_1[Year],2023, sales_data_1[month], $B24, sales_data_1[Sales_Rep], "David", sales_data_1[Product_Category], V$10)</f>
        <v>241319.29958973013</v>
      </c>
      <c r="W24" s="24">
        <f>SUMIFS(sales_data_1[Sales_Amount],sales_data_1[Year],2023, sales_data_1[month], $B24, sales_data_1[Sales_Rep], "David", sales_data_1[Product_Category], W$10)</f>
        <v>387259.82813724229</v>
      </c>
      <c r="X24" s="24">
        <f>SUMIFS(sales_data_1[Sales_Amount],sales_data_1[Year],2023, sales_data_1[month], $B24, sales_data_1[Sales_Rep], "David", sales_data_1[Product_Category], R$10)</f>
        <v>435566.95880195819</v>
      </c>
      <c r="Y24" s="24">
        <f t="shared" si="3"/>
        <v>1354673.2614348892</v>
      </c>
      <c r="Z24" s="24">
        <f t="shared" si="9"/>
        <v>1289624.7659072371</v>
      </c>
      <c r="AA24" s="24">
        <f>SUMIFS(sales_data_1[Sales_Amount],sales_data_1[Year],2023, sales_data_1[month], $B24, sales_data_1[Sales_Rep], "Eve", sales_data_1[Product_Category], U$10)</f>
        <v>41964.333331829417</v>
      </c>
      <c r="AB24" s="24">
        <f>SUMIFS(sales_data_1[Sales_Amount],sales_data_1[Year],2023, sales_data_1[month], $B24, sales_data_1[Sales_Rep], "Eve", sales_data_1[Product_Category], V$10)</f>
        <v>296597.94484348543</v>
      </c>
      <c r="AC24" s="24">
        <f>SUMIFS(sales_data_1[Sales_Amount],sales_data_1[Year],2023, sales_data_1[month], $B24, sales_data_1[Sales_Rep], "Eve", sales_data_1[Product_Category], W$10)</f>
        <v>156627.2715532938</v>
      </c>
      <c r="AD24" s="24">
        <f>SUMIFS(sales_data_1[Sales_Amount],sales_data_1[Year],2023, sales_data_1[month], $B24, sales_data_1[Sales_Rep], "Eve", sales_data_1[Product_Category], R$10)</f>
        <v>347268.79782284569</v>
      </c>
      <c r="AE24" s="24">
        <f t="shared" si="4"/>
        <v>842458.34755145432</v>
      </c>
      <c r="AF24" s="104">
        <f t="shared" si="10"/>
        <v>1510977.399898106</v>
      </c>
      <c r="AG24" s="24">
        <f t="shared" si="5"/>
        <v>5481455.0559691712</v>
      </c>
      <c r="AH24" s="24">
        <f t="shared" si="11"/>
        <v>7109447.8009342952</v>
      </c>
    </row>
    <row r="25" spans="1:34" x14ac:dyDescent="0.35">
      <c r="A25" s="5"/>
      <c r="B25" s="5" t="s">
        <v>47</v>
      </c>
      <c r="C25" s="24">
        <f>SUMIFS(sales_data_1[Sales_Amount],sales_data_1[Year],2023, sales_data_1[month], $B25, sales_data_1[Sales_Rep], "Alice", sales_data_1[Product_Category], C$10)</f>
        <v>229310.00713438637</v>
      </c>
      <c r="D25" s="24">
        <f>SUMIFS(sales_data_1[Sales_Amount],sales_data_1[Year],2023, sales_data_1[month], $B25, sales_data_1[Sales_Rep], "Alice", sales_data_1[Product_Category], D$10)</f>
        <v>457893.79745128215</v>
      </c>
      <c r="E25" s="24">
        <f>SUMIFS(sales_data_1[Sales_Amount],sales_data_1[Year],2023, sales_data_1[month], $B25, sales_data_1[Sales_Rep], "Alice", sales_data_1[Product_Category], E$10)</f>
        <v>321017.17750009312</v>
      </c>
      <c r="F25" s="24">
        <f>SUMIFS(sales_data_1[Sales_Amount],sales_data_1[Year],2023, sales_data_1[month], $B25, sales_data_1[Sales_Rep], "Alice", sales_data_1[Product_Category], F$10)</f>
        <v>115787.90570851606</v>
      </c>
      <c r="G25" s="24">
        <f t="shared" si="0"/>
        <v>1124008.8877942776</v>
      </c>
      <c r="H25" s="24">
        <f t="shared" si="6"/>
        <v>1460773.9799924621</v>
      </c>
      <c r="I25" s="24">
        <f>SUMIFS(sales_data_1[Sales_Amount],sales_data_1[Year],2023, sales_data_1[month], $B25, sales_data_1[Sales_Rep], "Bob", sales_data_1[Product_Category], I$10)</f>
        <v>236290.66641623926</v>
      </c>
      <c r="J25" s="24">
        <f>SUMIFS(sales_data_1[Sales_Amount],sales_data_1[Year],2023, sales_data_1[month], $B25, sales_data_1[Sales_Rep], "Bob", sales_data_1[Product_Category], J$10)</f>
        <v>472484.93474006117</v>
      </c>
      <c r="K25" s="24">
        <f>SUMIFS(sales_data_1[Sales_Amount],sales_data_1[Year],2023, sales_data_1[month], $B25, sales_data_1[Sales_Rep], "Bob", sales_data_1[Product_Category], K$10)</f>
        <v>94773.157251080876</v>
      </c>
      <c r="L25" s="24">
        <f>SUMIFS(sales_data_1[Sales_Amount],sales_data_1[Year],2023, sales_data_1[month], $B25, sales_data_1[Sales_Rep], "Bob", sales_data_1[Product_Category], L$10)</f>
        <v>266498.99452643021</v>
      </c>
      <c r="M25" s="24">
        <f t="shared" si="1"/>
        <v>1070047.7529338114</v>
      </c>
      <c r="N25" s="24">
        <f t="shared" si="7"/>
        <v>1393278.7028608066</v>
      </c>
      <c r="O25" s="24">
        <f>SUMIFS(sales_data_1[Sales_Amount],sales_data_1[Year],2023, sales_data_1[month], $B25, sales_data_1[Sales_Rep], "Charlie", sales_data_1[Product_Category], O$10)</f>
        <v>139142.9595151016</v>
      </c>
      <c r="P25" s="24">
        <f>SUMIFS(sales_data_1[Sales_Amount],sales_data_1[Year],2023, sales_data_1[month], $B25, sales_data_1[Sales_Rep], "Charlie", sales_data_1[Product_Category], P$10)</f>
        <v>156614.14676434919</v>
      </c>
      <c r="Q25" s="24">
        <f>SUMIFS(sales_data_1[Sales_Amount],sales_data_1[Year],2023, sales_data_1[month], $B25, sales_data_1[Sales_Rep], "Charlie", sales_data_1[Product_Category], Q$10)</f>
        <v>230334.86849848158</v>
      </c>
      <c r="R25" s="24">
        <f>SUMIFS(sales_data_1[Sales_Amount],sales_data_1[Year],2023, sales_data_1[month], $B25, sales_data_1[Sales_Rep], "Charlie", sales_data_1[Product_Category], R$10)</f>
        <v>16859.98469875865</v>
      </c>
      <c r="S25" s="24">
        <f t="shared" si="2"/>
        <v>542951.95947669109</v>
      </c>
      <c r="T25" s="24">
        <f t="shared" si="8"/>
        <v>1322272.2565096836</v>
      </c>
      <c r="U25" s="24">
        <f>SUMIFS(sales_data_1[Sales_Amount],sales_data_1[Year],2023, sales_data_1[month], $B25, sales_data_1[Sales_Rep], "David", sales_data_1[Product_Category], U$10)</f>
        <v>485800.39751472976</v>
      </c>
      <c r="V25" s="24">
        <f>SUMIFS(sales_data_1[Sales_Amount],sales_data_1[Year],2023, sales_data_1[month], $B25, sales_data_1[Sales_Rep], "David", sales_data_1[Product_Category], V$10)</f>
        <v>230572.55077474547</v>
      </c>
      <c r="W25" s="24">
        <f>SUMIFS(sales_data_1[Sales_Amount],sales_data_1[Year],2023, sales_data_1[month], $B25, sales_data_1[Sales_Rep], "David", sales_data_1[Product_Category], W$10)</f>
        <v>282784.49525002588</v>
      </c>
      <c r="X25" s="24">
        <f>SUMIFS(sales_data_1[Sales_Amount],sales_data_1[Year],2023, sales_data_1[month], $B25, sales_data_1[Sales_Rep], "David", sales_data_1[Product_Category], R$10)</f>
        <v>410062.39097880514</v>
      </c>
      <c r="Y25" s="24">
        <f t="shared" si="3"/>
        <v>1409219.8345183062</v>
      </c>
      <c r="Z25" s="24">
        <f t="shared" si="9"/>
        <v>1343029.2503369416</v>
      </c>
      <c r="AA25" s="24">
        <f>SUMIFS(sales_data_1[Sales_Amount],sales_data_1[Year],2023, sales_data_1[month], $B25, sales_data_1[Sales_Rep], "Eve", sales_data_1[Product_Category], U$10)</f>
        <v>374993.33461214526</v>
      </c>
      <c r="AB25" s="24">
        <f>SUMIFS(sales_data_1[Sales_Amount],sales_data_1[Year],2023, sales_data_1[month], $B25, sales_data_1[Sales_Rep], "Eve", sales_data_1[Product_Category], V$10)</f>
        <v>363334.60483466118</v>
      </c>
      <c r="AC25" s="24">
        <f>SUMIFS(sales_data_1[Sales_Amount],sales_data_1[Year],2023, sales_data_1[month], $B25, sales_data_1[Sales_Rep], "Eve", sales_data_1[Product_Category], W$10)</f>
        <v>455396.56750981411</v>
      </c>
      <c r="AD25" s="24">
        <f>SUMIFS(sales_data_1[Sales_Amount],sales_data_1[Year],2023, sales_data_1[month], $B25, sales_data_1[Sales_Rep], "Eve", sales_data_1[Product_Category], R$10)</f>
        <v>457372.64206549164</v>
      </c>
      <c r="AE25" s="24">
        <f t="shared" si="4"/>
        <v>1651097.1490221121</v>
      </c>
      <c r="AF25" s="104">
        <f t="shared" si="10"/>
        <v>1531015.459801743</v>
      </c>
      <c r="AG25" s="24">
        <f t="shared" si="5"/>
        <v>5797325.5837451983</v>
      </c>
      <c r="AH25" s="24">
        <f t="shared" si="11"/>
        <v>7050369.6495016357</v>
      </c>
    </row>
    <row r="26" spans="1:34" x14ac:dyDescent="0.35">
      <c r="A26" s="5"/>
      <c r="B26" s="5" t="s">
        <v>48</v>
      </c>
      <c r="C26" s="24">
        <f>SUMIFS(sales_data_1[Sales_Amount],sales_data_1[Year],2023, sales_data_1[month], $B26, sales_data_1[Sales_Rep], "Alice", sales_data_1[Product_Category], C$10)</f>
        <v>268655.07938428939</v>
      </c>
      <c r="D26" s="24">
        <f>SUMIFS(sales_data_1[Sales_Amount],sales_data_1[Year],2023, sales_data_1[month], $B26, sales_data_1[Sales_Rep], "Alice", sales_data_1[Product_Category], D$10)</f>
        <v>130024.7394201142</v>
      </c>
      <c r="E26" s="24">
        <f>SUMIFS(sales_data_1[Sales_Amount],sales_data_1[Year],2023, sales_data_1[month], $B26, sales_data_1[Sales_Rep], "Alice", sales_data_1[Product_Category], E$10)</f>
        <v>487854.23407329299</v>
      </c>
      <c r="F26" s="24">
        <f>SUMIFS(sales_data_1[Sales_Amount],sales_data_1[Year],2023, sales_data_1[month], $B26, sales_data_1[Sales_Rep], "Alice", sales_data_1[Product_Category], F$10)</f>
        <v>334828.67472698877</v>
      </c>
      <c r="G26" s="24">
        <f t="shared" si="0"/>
        <v>1221362.7276046854</v>
      </c>
      <c r="H26" s="24">
        <f t="shared" si="6"/>
        <v>1453515.0336495049</v>
      </c>
      <c r="I26" s="24">
        <f>SUMIFS(sales_data_1[Sales_Amount],sales_data_1[Year],2023, sales_data_1[month], $B26, sales_data_1[Sales_Rep], "Bob", sales_data_1[Product_Category], I$10)</f>
        <v>41420.917106633948</v>
      </c>
      <c r="J26" s="24">
        <f>SUMIFS(sales_data_1[Sales_Amount],sales_data_1[Year],2023, sales_data_1[month], $B26, sales_data_1[Sales_Rep], "Bob", sales_data_1[Product_Category], J$10)</f>
        <v>92434.204756749939</v>
      </c>
      <c r="K26" s="24">
        <f>SUMIFS(sales_data_1[Sales_Amount],sales_data_1[Year],2023, sales_data_1[month], $B26, sales_data_1[Sales_Rep], "Bob", sales_data_1[Product_Category], K$10)</f>
        <v>251755.24231113144</v>
      </c>
      <c r="L26" s="24">
        <f>SUMIFS(sales_data_1[Sales_Amount],sales_data_1[Year],2023, sales_data_1[month], $B26, sales_data_1[Sales_Rep], "Bob", sales_data_1[Product_Category], L$10)</f>
        <v>159861.54826691863</v>
      </c>
      <c r="M26" s="24">
        <f t="shared" si="1"/>
        <v>545471.91244143399</v>
      </c>
      <c r="N26" s="24">
        <f t="shared" si="7"/>
        <v>1318189.26831125</v>
      </c>
      <c r="O26" s="24">
        <f>SUMIFS(sales_data_1[Sales_Amount],sales_data_1[Year],2023, sales_data_1[month], $B26, sales_data_1[Sales_Rep], "Charlie", sales_data_1[Product_Category], O$10)</f>
        <v>411980.07235071878</v>
      </c>
      <c r="P26" s="24">
        <f>SUMIFS(sales_data_1[Sales_Amount],sales_data_1[Year],2023, sales_data_1[month], $B26, sales_data_1[Sales_Rep], "Charlie", sales_data_1[Product_Category], P$10)</f>
        <v>388413.48440631002</v>
      </c>
      <c r="Q26" s="24">
        <f>SUMIFS(sales_data_1[Sales_Amount],sales_data_1[Year],2023, sales_data_1[month], $B26, sales_data_1[Sales_Rep], "Charlie", sales_data_1[Product_Category], Q$10)</f>
        <v>171892.47097902605</v>
      </c>
      <c r="R26" s="24">
        <f>SUMIFS(sales_data_1[Sales_Amount],sales_data_1[Year],2023, sales_data_1[month], $B26, sales_data_1[Sales_Rep], "Charlie", sales_data_1[Product_Category], R$10)</f>
        <v>262449.089791373</v>
      </c>
      <c r="S26" s="24">
        <f t="shared" si="2"/>
        <v>1234735.1175274279</v>
      </c>
      <c r="T26" s="24">
        <f t="shared" si="8"/>
        <v>1207137.8408704859</v>
      </c>
      <c r="U26" s="24">
        <f>SUMIFS(sales_data_1[Sales_Amount],sales_data_1[Year],2023, sales_data_1[month], $B26, sales_data_1[Sales_Rep], "David", sales_data_1[Product_Category], U$10)</f>
        <v>175795.21798675685</v>
      </c>
      <c r="V26" s="24">
        <f>SUMIFS(sales_data_1[Sales_Amount],sales_data_1[Year],2023, sales_data_1[month], $B26, sales_data_1[Sales_Rep], "David", sales_data_1[Product_Category], V$10)</f>
        <v>417082.07683923835</v>
      </c>
      <c r="W26" s="24">
        <f>SUMIFS(sales_data_1[Sales_Amount],sales_data_1[Year],2023, sales_data_1[month], $B26, sales_data_1[Sales_Rep], "David", sales_data_1[Product_Category], W$10)</f>
        <v>153602.93608911199</v>
      </c>
      <c r="X26" s="24">
        <f>SUMIFS(sales_data_1[Sales_Amount],sales_data_1[Year],2023, sales_data_1[month], $B26, sales_data_1[Sales_Rep], "David", sales_data_1[Product_Category], R$10)</f>
        <v>601683.26972550992</v>
      </c>
      <c r="Y26" s="24">
        <f t="shared" si="3"/>
        <v>1348163.5006406172</v>
      </c>
      <c r="Z26" s="24">
        <f t="shared" si="9"/>
        <v>1321339.2747433095</v>
      </c>
      <c r="AA26" s="24">
        <f>SUMIFS(sales_data_1[Sales_Amount],sales_data_1[Year],2023, sales_data_1[month], $B26, sales_data_1[Sales_Rep], "Eve", sales_data_1[Product_Category], U$10)</f>
        <v>360483.32505019649</v>
      </c>
      <c r="AB26" s="24">
        <f>SUMIFS(sales_data_1[Sales_Amount],sales_data_1[Year],2023, sales_data_1[month], $B26, sales_data_1[Sales_Rep], "Eve", sales_data_1[Product_Category], V$10)</f>
        <v>399982.30060841521</v>
      </c>
      <c r="AC26" s="24">
        <f>SUMIFS(sales_data_1[Sales_Amount],sales_data_1[Year],2023, sales_data_1[month], $B26, sales_data_1[Sales_Rep], "Eve", sales_data_1[Product_Category], W$10)</f>
        <v>45616.111177425024</v>
      </c>
      <c r="AD26" s="24">
        <f>SUMIFS(sales_data_1[Sales_Amount],sales_data_1[Year],2023, sales_data_1[month], $B26, sales_data_1[Sales_Rep], "Eve", sales_data_1[Product_Category], R$10)</f>
        <v>126704.49039643901</v>
      </c>
      <c r="AE26" s="24">
        <f t="shared" si="4"/>
        <v>932786.22723247577</v>
      </c>
      <c r="AF26" s="104">
        <f t="shared" si="10"/>
        <v>1478757.9437866209</v>
      </c>
      <c r="AG26" s="24">
        <f t="shared" si="5"/>
        <v>5282519.4854466403</v>
      </c>
      <c r="AH26" s="24">
        <f t="shared" si="11"/>
        <v>6778939.3613611721</v>
      </c>
    </row>
    <row r="27" spans="1:34" x14ac:dyDescent="0.35">
      <c r="A27" s="5"/>
      <c r="B27" s="5" t="s">
        <v>49</v>
      </c>
      <c r="C27" s="24">
        <f>SUMIFS(sales_data_1[Sales_Amount],sales_data_1[Year],2023, sales_data_1[month], $B27, sales_data_1[Sales_Rep], "Alice", sales_data_1[Product_Category], C$10)</f>
        <v>169895.55218543939</v>
      </c>
      <c r="D27" s="24">
        <f>SUMIFS(sales_data_1[Sales_Amount],sales_data_1[Year],2023, sales_data_1[month], $B27, sales_data_1[Sales_Rep], "Alice", sales_data_1[Product_Category], D$10)</f>
        <v>198760.12532881659</v>
      </c>
      <c r="E27" s="24">
        <f>SUMIFS(sales_data_1[Sales_Amount],sales_data_1[Year],2023, sales_data_1[month], $B27, sales_data_1[Sales_Rep], "Alice", sales_data_1[Product_Category], E$10)</f>
        <v>530442.37412929081</v>
      </c>
      <c r="F27" s="24">
        <f>SUMIFS(sales_data_1[Sales_Amount],sales_data_1[Year],2023, sales_data_1[month], $B27, sales_data_1[Sales_Rep], "Alice", sales_data_1[Product_Category], F$10)</f>
        <v>328490.81840975158</v>
      </c>
      <c r="G27" s="24">
        <f t="shared" si="0"/>
        <v>1227588.8700532983</v>
      </c>
      <c r="H27" s="24">
        <f t="shared" si="6"/>
        <v>1436978.5199354731</v>
      </c>
      <c r="I27" s="24">
        <f>SUMIFS(sales_data_1[Sales_Amount],sales_data_1[Year],2023, sales_data_1[month], $B27, sales_data_1[Sales_Rep], "Bob", sales_data_1[Product_Category], I$10)</f>
        <v>634878.82510577003</v>
      </c>
      <c r="J27" s="24">
        <f>SUMIFS(sales_data_1[Sales_Amount],sales_data_1[Year],2023, sales_data_1[month], $B27, sales_data_1[Sales_Rep], "Bob", sales_data_1[Product_Category], J$10)</f>
        <v>63205.789404500785</v>
      </c>
      <c r="K27" s="24">
        <f>SUMIFS(sales_data_1[Sales_Amount],sales_data_1[Year],2023, sales_data_1[month], $B27, sales_data_1[Sales_Rep], "Bob", sales_data_1[Product_Category], K$10)</f>
        <v>646544.10594592115</v>
      </c>
      <c r="L27" s="24">
        <f>SUMIFS(sales_data_1[Sales_Amount],sales_data_1[Year],2023, sales_data_1[month], $B27, sales_data_1[Sales_Rep], "Bob", sales_data_1[Product_Category], L$10)</f>
        <v>341089.72438876441</v>
      </c>
      <c r="M27" s="24">
        <f t="shared" si="1"/>
        <v>1685718.4448449563</v>
      </c>
      <c r="N27" s="24">
        <f t="shared" si="7"/>
        <v>1330826.3741383143</v>
      </c>
      <c r="O27" s="24">
        <f>SUMIFS(sales_data_1[Sales_Amount],sales_data_1[Year],2023, sales_data_1[month], $B27, sales_data_1[Sales_Rep], "Charlie", sales_data_1[Product_Category], O$10)</f>
        <v>202469.44441374906</v>
      </c>
      <c r="P27" s="24">
        <f>SUMIFS(sales_data_1[Sales_Amount],sales_data_1[Year],2023, sales_data_1[month], $B27, sales_data_1[Sales_Rep], "Charlie", sales_data_1[Product_Category], P$10)</f>
        <v>300195.28114165622</v>
      </c>
      <c r="Q27" s="24">
        <f>SUMIFS(sales_data_1[Sales_Amount],sales_data_1[Year],2023, sales_data_1[month], $B27, sales_data_1[Sales_Rep], "Charlie", sales_data_1[Product_Category], Q$10)</f>
        <v>72134.092387110111</v>
      </c>
      <c r="R27" s="24">
        <f>SUMIFS(sales_data_1[Sales_Amount],sales_data_1[Year],2023, sales_data_1[month], $B27, sales_data_1[Sales_Rep], "Charlie", sales_data_1[Product_Category], R$10)</f>
        <v>68161.849215474722</v>
      </c>
      <c r="S27" s="24">
        <f t="shared" si="2"/>
        <v>642960.66715799004</v>
      </c>
      <c r="T27" s="24">
        <f t="shared" si="8"/>
        <v>1103939.6305751454</v>
      </c>
      <c r="U27" s="24">
        <f>SUMIFS(sales_data_1[Sales_Amount],sales_data_1[Year],2023, sales_data_1[month], $B27, sales_data_1[Sales_Rep], "David", sales_data_1[Product_Category], U$10)</f>
        <v>122506.14442393155</v>
      </c>
      <c r="V27" s="24">
        <f>SUMIFS(sales_data_1[Sales_Amount],sales_data_1[Year],2023, sales_data_1[month], $B27, sales_data_1[Sales_Rep], "David", sales_data_1[Product_Category], V$10)</f>
        <v>394080.21902887657</v>
      </c>
      <c r="W27" s="24">
        <f>SUMIFS(sales_data_1[Sales_Amount],sales_data_1[Year],2023, sales_data_1[month], $B27, sales_data_1[Sales_Rep], "David", sales_data_1[Product_Category], W$10)</f>
        <v>340568.37347480492</v>
      </c>
      <c r="X27" s="24">
        <f>SUMIFS(sales_data_1[Sales_Amount],sales_data_1[Year],2023, sales_data_1[month], $B27, sales_data_1[Sales_Rep], "David", sales_data_1[Product_Category], R$10)</f>
        <v>571203.1642408414</v>
      </c>
      <c r="Y27" s="24">
        <f t="shared" si="3"/>
        <v>1428357.9011684544</v>
      </c>
      <c r="Z27" s="24">
        <f t="shared" si="9"/>
        <v>1301723.274999503</v>
      </c>
      <c r="AA27" s="24">
        <f>SUMIFS(sales_data_1[Sales_Amount],sales_data_1[Year],2023, sales_data_1[month], $B27, sales_data_1[Sales_Rep], "Eve", sales_data_1[Product_Category], U$10)</f>
        <v>97770.403036295596</v>
      </c>
      <c r="AB27" s="24">
        <f>SUMIFS(sales_data_1[Sales_Amount],sales_data_1[Year],2023, sales_data_1[month], $B27, sales_data_1[Sales_Rep], "Eve", sales_data_1[Product_Category], V$10)</f>
        <v>209693.00599999999</v>
      </c>
      <c r="AC27" s="24">
        <f>SUMIFS(sales_data_1[Sales_Amount],sales_data_1[Year],2023, sales_data_1[month], $B27, sales_data_1[Sales_Rep], "Eve", sales_data_1[Product_Category], W$10)</f>
        <v>47871.541068328712</v>
      </c>
      <c r="AD27" s="24">
        <f>SUMIFS(sales_data_1[Sales_Amount],sales_data_1[Year],2023, sales_data_1[month], $B27, sales_data_1[Sales_Rep], "Eve", sales_data_1[Product_Category], R$10)</f>
        <v>284080.58758086659</v>
      </c>
      <c r="AE27" s="24">
        <f t="shared" si="4"/>
        <v>639415.53768549091</v>
      </c>
      <c r="AF27" s="104">
        <f t="shared" si="10"/>
        <v>1397471.0682348975</v>
      </c>
      <c r="AG27" s="24">
        <f t="shared" si="5"/>
        <v>5624041.4209101899</v>
      </c>
      <c r="AH27" s="24">
        <f t="shared" si="11"/>
        <v>6570938.8678833349</v>
      </c>
    </row>
    <row r="28" spans="1:34" x14ac:dyDescent="0.35">
      <c r="A28" s="5"/>
      <c r="B28" s="5" t="s">
        <v>50</v>
      </c>
      <c r="C28" s="24">
        <f>SUMIFS(sales_data_1[Sales_Amount],sales_data_1[Year],2023, sales_data_1[month], $B28, sales_data_1[Sales_Rep], "Alice", sales_data_1[Product_Category], C$10)</f>
        <v>240418.98573355578</v>
      </c>
      <c r="D28" s="24">
        <f>SUMIFS(sales_data_1[Sales_Amount],sales_data_1[Year],2023, sales_data_1[month], $B28, sales_data_1[Sales_Rep], "Alice", sales_data_1[Product_Category], D$10)</f>
        <v>152306.11348062113</v>
      </c>
      <c r="E28" s="24">
        <f>SUMIFS(sales_data_1[Sales_Amount],sales_data_1[Year],2023, sales_data_1[month], $B28, sales_data_1[Sales_Rep], "Alice", sales_data_1[Product_Category], E$10)</f>
        <v>221665.80735489808</v>
      </c>
      <c r="F28" s="24">
        <f>SUMIFS(sales_data_1[Sales_Amount],sales_data_1[Year],2023, sales_data_1[month], $B28, sales_data_1[Sales_Rep], "Alice", sales_data_1[Product_Category], F$10)</f>
        <v>316291.73196704109</v>
      </c>
      <c r="G28" s="24">
        <f t="shared" si="0"/>
        <v>930682.63853611611</v>
      </c>
      <c r="H28" s="24">
        <f t="shared" si="6"/>
        <v>1299756.4439777536</v>
      </c>
      <c r="I28" s="24">
        <f>SUMIFS(sales_data_1[Sales_Amount],sales_data_1[Year],2023, sales_data_1[month], $B28, sales_data_1[Sales_Rep], "Bob", sales_data_1[Product_Category], I$10)</f>
        <v>274190.512466227</v>
      </c>
      <c r="J28" s="24">
        <f>SUMIFS(sales_data_1[Sales_Amount],sales_data_1[Year],2023, sales_data_1[month], $B28, sales_data_1[Sales_Rep], "Bob", sales_data_1[Product_Category], J$10)</f>
        <v>266074.1814067713</v>
      </c>
      <c r="K28" s="24">
        <f>SUMIFS(sales_data_1[Sales_Amount],sales_data_1[Year],2023, sales_data_1[month], $B28, sales_data_1[Sales_Rep], "Bob", sales_data_1[Product_Category], K$10)</f>
        <v>79631.915391897885</v>
      </c>
      <c r="L28" s="24">
        <f>SUMIFS(sales_data_1[Sales_Amount],sales_data_1[Year],2023, sales_data_1[month], $B28, sales_data_1[Sales_Rep], "Bob", sales_data_1[Product_Category], L$10)</f>
        <v>610386.87920973799</v>
      </c>
      <c r="M28" s="24">
        <f t="shared" si="1"/>
        <v>1230283.488474634</v>
      </c>
      <c r="N28" s="24">
        <f t="shared" si="7"/>
        <v>1266853.2310965892</v>
      </c>
      <c r="O28" s="24">
        <f>SUMIFS(sales_data_1[Sales_Amount],sales_data_1[Year],2023, sales_data_1[month], $B28, sales_data_1[Sales_Rep], "Charlie", sales_data_1[Product_Category], O$10)</f>
        <v>306543.21515792789</v>
      </c>
      <c r="P28" s="24">
        <f>SUMIFS(sales_data_1[Sales_Amount],sales_data_1[Year],2023, sales_data_1[month], $B28, sales_data_1[Sales_Rep], "Charlie", sales_data_1[Product_Category], P$10)</f>
        <v>130887.99476684674</v>
      </c>
      <c r="Q28" s="24">
        <f>SUMIFS(sales_data_1[Sales_Amount],sales_data_1[Year],2023, sales_data_1[month], $B28, sales_data_1[Sales_Rep], "Charlie", sales_data_1[Product_Category], Q$10)</f>
        <v>69066.237380997467</v>
      </c>
      <c r="R28" s="24">
        <f>SUMIFS(sales_data_1[Sales_Amount],sales_data_1[Year],2023, sales_data_1[month], $B28, sales_data_1[Sales_Rep], "Charlie", sales_data_1[Product_Category], R$10)</f>
        <v>612627.09086281597</v>
      </c>
      <c r="S28" s="24">
        <f t="shared" si="2"/>
        <v>1119124.538168588</v>
      </c>
      <c r="T28" s="24">
        <f t="shared" si="8"/>
        <v>1123333.4672475278</v>
      </c>
      <c r="U28" s="24">
        <f>SUMIFS(sales_data_1[Sales_Amount],sales_data_1[Year],2023, sales_data_1[month], $B28, sales_data_1[Sales_Rep], "David", sales_data_1[Product_Category], U$10)</f>
        <v>217072.16834787722</v>
      </c>
      <c r="V28" s="24">
        <f>SUMIFS(sales_data_1[Sales_Amount],sales_data_1[Year],2023, sales_data_1[month], $B28, sales_data_1[Sales_Rep], "David", sales_data_1[Product_Category], V$10)</f>
        <v>365002.37235039746</v>
      </c>
      <c r="W28" s="24">
        <f>SUMIFS(sales_data_1[Sales_Amount],sales_data_1[Year],2023, sales_data_1[month], $B28, sales_data_1[Sales_Rep], "David", sales_data_1[Product_Category], W$10)</f>
        <v>24820.670399999999</v>
      </c>
      <c r="X28" s="24">
        <f>SUMIFS(sales_data_1[Sales_Amount],sales_data_1[Year],2023, sales_data_1[month], $B28, sales_data_1[Sales_Rep], "David", sales_data_1[Product_Category], R$10)</f>
        <v>298539.06857693306</v>
      </c>
      <c r="Y28" s="24">
        <f t="shared" si="3"/>
        <v>905434.2796752078</v>
      </c>
      <c r="Z28" s="24">
        <f t="shared" si="9"/>
        <v>1271681.2897666858</v>
      </c>
      <c r="AA28" s="24">
        <f>SUMIFS(sales_data_1[Sales_Amount],sales_data_1[Year],2023, sales_data_1[month], $B28, sales_data_1[Sales_Rep], "Eve", sales_data_1[Product_Category], U$10)</f>
        <v>374071.02812496678</v>
      </c>
      <c r="AB28" s="24">
        <f>SUMIFS(sales_data_1[Sales_Amount],sales_data_1[Year],2023, sales_data_1[month], $B28, sales_data_1[Sales_Rep], "Eve", sales_data_1[Product_Category], V$10)</f>
        <v>372152.5927226597</v>
      </c>
      <c r="AC28" s="24">
        <f>SUMIFS(sales_data_1[Sales_Amount],sales_data_1[Year],2023, sales_data_1[month], $B28, sales_data_1[Sales_Rep], "Eve", sales_data_1[Product_Category], W$10)</f>
        <v>402435.38017231575</v>
      </c>
      <c r="AD28" s="24">
        <f>SUMIFS(sales_data_1[Sales_Amount],sales_data_1[Year],2023, sales_data_1[month], $B28, sales_data_1[Sales_Rep], "Eve", sales_data_1[Product_Category], R$10)</f>
        <v>572637.60468943627</v>
      </c>
      <c r="AE28" s="24">
        <f t="shared" si="4"/>
        <v>1721296.6057093784</v>
      </c>
      <c r="AF28" s="104">
        <f t="shared" si="10"/>
        <v>1432211.6207707494</v>
      </c>
      <c r="AG28" s="24">
        <f t="shared" si="5"/>
        <v>5906821.5505639249</v>
      </c>
      <c r="AH28" s="24">
        <f t="shared" si="11"/>
        <v>6393836.0528593063</v>
      </c>
    </row>
    <row r="29" spans="1:34" x14ac:dyDescent="0.35">
      <c r="A29" s="5"/>
      <c r="B29" s="5" t="s">
        <v>51</v>
      </c>
      <c r="C29" s="24">
        <f>SUMIFS(sales_data_1[Sales_Amount],sales_data_1[Year],2023, sales_data_1[month], $B29, sales_data_1[Sales_Rep], "Alice", sales_data_1[Product_Category], C$10)</f>
        <v>209560.5679360872</v>
      </c>
      <c r="D29" s="24">
        <f>SUMIFS(sales_data_1[Sales_Amount],sales_data_1[Year],2023, sales_data_1[month], $B29, sales_data_1[Sales_Rep], "Alice", sales_data_1[Product_Category], D$10)</f>
        <v>217988.81780000002</v>
      </c>
      <c r="E29" s="24">
        <f>SUMIFS(sales_data_1[Sales_Amount],sales_data_1[Year],2023, sales_data_1[month], $B29, sales_data_1[Sales_Rep], "Alice", sales_data_1[Product_Category], E$10)</f>
        <v>390161.90798336174</v>
      </c>
      <c r="F29" s="24">
        <f>SUMIFS(sales_data_1[Sales_Amount],sales_data_1[Year],2023, sales_data_1[month], $B29, sales_data_1[Sales_Rep], "Alice", sales_data_1[Product_Category], F$10)</f>
        <v>200960.07960017223</v>
      </c>
      <c r="G29" s="24">
        <f t="shared" si="0"/>
        <v>1018671.3733196212</v>
      </c>
      <c r="H29" s="24">
        <f t="shared" si="6"/>
        <v>1246553.4002554386</v>
      </c>
      <c r="I29" s="24">
        <f>SUMIFS(sales_data_1[Sales_Amount],sales_data_1[Year],2023, sales_data_1[month], $B29, sales_data_1[Sales_Rep], "Bob", sales_data_1[Product_Category], I$10)</f>
        <v>196463.50759233345</v>
      </c>
      <c r="J29" s="24">
        <f>SUMIFS(sales_data_1[Sales_Amount],sales_data_1[Year],2023, sales_data_1[month], $B29, sales_data_1[Sales_Rep], "Bob", sales_data_1[Product_Category], J$10)</f>
        <v>37569.625092483824</v>
      </c>
      <c r="K29" s="24">
        <f>SUMIFS(sales_data_1[Sales_Amount],sales_data_1[Year],2023, sales_data_1[month], $B29, sales_data_1[Sales_Rep], "Bob", sales_data_1[Product_Category], K$10)</f>
        <v>92134.30799999999</v>
      </c>
      <c r="L29" s="24">
        <f>SUMIFS(sales_data_1[Sales_Amount],sales_data_1[Year],2023, sales_data_1[month], $B29, sales_data_1[Sales_Rep], "Bob", sales_data_1[Product_Category], L$10)</f>
        <v>341120.52901045897</v>
      </c>
      <c r="M29" s="24">
        <f t="shared" si="1"/>
        <v>667287.96969527623</v>
      </c>
      <c r="N29" s="24">
        <f t="shared" si="7"/>
        <v>1230302.3796436272</v>
      </c>
      <c r="O29" s="24">
        <f>SUMIFS(sales_data_1[Sales_Amount],sales_data_1[Year],2023, sales_data_1[month], $B29, sales_data_1[Sales_Rep], "Charlie", sales_data_1[Product_Category], O$10)</f>
        <v>30123.223900000001</v>
      </c>
      <c r="P29" s="24">
        <f>SUMIFS(sales_data_1[Sales_Amount],sales_data_1[Year],2023, sales_data_1[month], $B29, sales_data_1[Sales_Rep], "Charlie", sales_data_1[Product_Category], P$10)</f>
        <v>430120.46676413121</v>
      </c>
      <c r="Q29" s="24">
        <f>SUMIFS(sales_data_1[Sales_Amount],sales_data_1[Year],2023, sales_data_1[month], $B29, sales_data_1[Sales_Rep], "Charlie", sales_data_1[Product_Category], Q$10)</f>
        <v>206377.73015999794</v>
      </c>
      <c r="R29" s="24">
        <f>SUMIFS(sales_data_1[Sales_Amount],sales_data_1[Year],2023, sales_data_1[month], $B29, sales_data_1[Sales_Rep], "Charlie", sales_data_1[Product_Category], R$10)</f>
        <v>174477.30808237873</v>
      </c>
      <c r="S29" s="24">
        <f t="shared" si="2"/>
        <v>841098.72890650784</v>
      </c>
      <c r="T29" s="24">
        <f t="shared" si="8"/>
        <v>1094925.3436793929</v>
      </c>
      <c r="U29" s="24">
        <f>SUMIFS(sales_data_1[Sales_Amount],sales_data_1[Year],2023, sales_data_1[month], $B29, sales_data_1[Sales_Rep], "David", sales_data_1[Product_Category], U$10)</f>
        <v>320473.38324631925</v>
      </c>
      <c r="V29" s="24">
        <f>SUMIFS(sales_data_1[Sales_Amount],sales_data_1[Year],2023, sales_data_1[month], $B29, sales_data_1[Sales_Rep], "David", sales_data_1[Product_Category], V$10)</f>
        <v>199418.79689215295</v>
      </c>
      <c r="W29" s="24">
        <f>SUMIFS(sales_data_1[Sales_Amount],sales_data_1[Year],2023, sales_data_1[month], $B29, sales_data_1[Sales_Rep], "David", sales_data_1[Product_Category], W$10)</f>
        <v>226988.45258319168</v>
      </c>
      <c r="X29" s="24">
        <f>SUMIFS(sales_data_1[Sales_Amount],sales_data_1[Year],2023, sales_data_1[month], $B29, sales_data_1[Sales_Rep], "David", sales_data_1[Product_Category], R$10)</f>
        <v>142226.51199999999</v>
      </c>
      <c r="Y29" s="24">
        <f t="shared" si="3"/>
        <v>889107.14472166391</v>
      </c>
      <c r="Z29" s="24">
        <f t="shared" si="9"/>
        <v>1271220.3735347807</v>
      </c>
      <c r="AA29" s="24">
        <f>SUMIFS(sales_data_1[Sales_Amount],sales_data_1[Year],2023, sales_data_1[month], $B29, sales_data_1[Sales_Rep], "Eve", sales_data_1[Product_Category], U$10)</f>
        <v>246664.52345224383</v>
      </c>
      <c r="AB29" s="24">
        <f>SUMIFS(sales_data_1[Sales_Amount],sales_data_1[Year],2023, sales_data_1[month], $B29, sales_data_1[Sales_Rep], "Eve", sales_data_1[Product_Category], V$10)</f>
        <v>280757.26975181303</v>
      </c>
      <c r="AC29" s="24">
        <f>SUMIFS(sales_data_1[Sales_Amount],sales_data_1[Year],2023, sales_data_1[month], $B29, sales_data_1[Sales_Rep], "Eve", sales_data_1[Product_Category], W$10)</f>
        <v>127555.99624499959</v>
      </c>
      <c r="AD29" s="24">
        <f>SUMIFS(sales_data_1[Sales_Amount],sales_data_1[Year],2023, sales_data_1[month], $B29, sales_data_1[Sales_Rep], "Eve", sales_data_1[Product_Category], R$10)</f>
        <v>473696.10435894434</v>
      </c>
      <c r="AE29" s="24">
        <f t="shared" si="4"/>
        <v>1128673.8938080007</v>
      </c>
      <c r="AF29" s="104">
        <f t="shared" si="10"/>
        <v>1372941.4904384492</v>
      </c>
      <c r="AG29" s="24">
        <f t="shared" si="5"/>
        <v>4544839.1104510706</v>
      </c>
      <c r="AH29" s="24">
        <f t="shared" si="11"/>
        <v>6215942.9875516891</v>
      </c>
    </row>
    <row r="30" spans="1:34" x14ac:dyDescent="0.35">
      <c r="A30" s="5"/>
      <c r="B30" s="5" t="s">
        <v>52</v>
      </c>
      <c r="C30" s="24">
        <f>SUMIFS(sales_data_1[Sales_Amount],sales_data_1[Year],2023, sales_data_1[month], $B30, sales_data_1[Sales_Rep], "Alice", sales_data_1[Product_Category], C$10)</f>
        <v>601708.21128186164</v>
      </c>
      <c r="D30" s="24">
        <f>SUMIFS(sales_data_1[Sales_Amount],sales_data_1[Year],2023, sales_data_1[month], $B30, sales_data_1[Sales_Rep], "Alice", sales_data_1[Product_Category], D$10)</f>
        <v>62703.30586610669</v>
      </c>
      <c r="E30" s="24">
        <f>SUMIFS(sales_data_1[Sales_Amount],sales_data_1[Year],2023, sales_data_1[month], $B30, sales_data_1[Sales_Rep], "Alice", sales_data_1[Product_Category], E$10)</f>
        <v>351899.59575878736</v>
      </c>
      <c r="F30" s="24">
        <f>SUMIFS(sales_data_1[Sales_Amount],sales_data_1[Year],2023, sales_data_1[month], $B30, sales_data_1[Sales_Rep], "Alice", sales_data_1[Product_Category], F$10)</f>
        <v>417800.53414199292</v>
      </c>
      <c r="G30" s="24">
        <f t="shared" si="0"/>
        <v>1434111.6470487486</v>
      </c>
      <c r="H30" s="24">
        <f t="shared" si="6"/>
        <v>1269968.8551950112</v>
      </c>
      <c r="I30" s="24">
        <f>SUMIFS(sales_data_1[Sales_Amount],sales_data_1[Year],2023, sales_data_1[month], $B30, sales_data_1[Sales_Rep], "Bob", sales_data_1[Product_Category], I$10)</f>
        <v>582465.99236416037</v>
      </c>
      <c r="J30" s="24">
        <f>SUMIFS(sales_data_1[Sales_Amount],sales_data_1[Year],2023, sales_data_1[month], $B30, sales_data_1[Sales_Rep], "Bob", sales_data_1[Product_Category], J$10)</f>
        <v>358378.46498010971</v>
      </c>
      <c r="K30" s="24">
        <f>SUMIFS(sales_data_1[Sales_Amount],sales_data_1[Year],2023, sales_data_1[month], $B30, sales_data_1[Sales_Rep], "Bob", sales_data_1[Product_Category], K$10)</f>
        <v>289114.82995020115</v>
      </c>
      <c r="L30" s="24">
        <f>SUMIFS(sales_data_1[Sales_Amount],sales_data_1[Year],2023, sales_data_1[month], $B30, sales_data_1[Sales_Rep], "Bob", sales_data_1[Product_Category], L$10)</f>
        <v>50147.341199999995</v>
      </c>
      <c r="M30" s="24">
        <f t="shared" si="1"/>
        <v>1280106.6284944711</v>
      </c>
      <c r="N30" s="24">
        <f t="shared" si="7"/>
        <v>1261991.4486681665</v>
      </c>
      <c r="O30" s="24">
        <f>SUMIFS(sales_data_1[Sales_Amount],sales_data_1[Year],2023, sales_data_1[month], $B30, sales_data_1[Sales_Rep], "Charlie", sales_data_1[Product_Category], O$10)</f>
        <v>508323.98703088157</v>
      </c>
      <c r="P30" s="24">
        <f>SUMIFS(sales_data_1[Sales_Amount],sales_data_1[Year],2023, sales_data_1[month], $B30, sales_data_1[Sales_Rep], "Charlie", sales_data_1[Product_Category], P$10)</f>
        <v>113603.90771661459</v>
      </c>
      <c r="Q30" s="24">
        <f>SUMIFS(sales_data_1[Sales_Amount],sales_data_1[Year],2023, sales_data_1[month], $B30, sales_data_1[Sales_Rep], "Charlie", sales_data_1[Product_Category], Q$10)</f>
        <v>342153.44724837289</v>
      </c>
      <c r="R30" s="24">
        <f>SUMIFS(sales_data_1[Sales_Amount],sales_data_1[Year],2023, sales_data_1[month], $B30, sales_data_1[Sales_Rep], "Charlie", sales_data_1[Product_Category], R$10)</f>
        <v>105433.84999999999</v>
      </c>
      <c r="S30" s="24">
        <f t="shared" si="2"/>
        <v>1069515.1919958692</v>
      </c>
      <c r="T30" s="24">
        <f t="shared" si="8"/>
        <v>1112652.1697083451</v>
      </c>
      <c r="U30" s="24">
        <f>SUMIFS(sales_data_1[Sales_Amount],sales_data_1[Year],2023, sales_data_1[month], $B30, sales_data_1[Sales_Rep], "David", sales_data_1[Product_Category], U$10)</f>
        <v>356979.88654048345</v>
      </c>
      <c r="V30" s="24">
        <f>SUMIFS(sales_data_1[Sales_Amount],sales_data_1[Year],2023, sales_data_1[month], $B30, sales_data_1[Sales_Rep], "David", sales_data_1[Product_Category], V$10)</f>
        <v>376716.62405589304</v>
      </c>
      <c r="W30" s="24">
        <f>SUMIFS(sales_data_1[Sales_Amount],sales_data_1[Year],2023, sales_data_1[month], $B30, sales_data_1[Sales_Rep], "David", sales_data_1[Product_Category], W$10)</f>
        <v>419192.36853243492</v>
      </c>
      <c r="X30" s="24">
        <f>SUMIFS(sales_data_1[Sales_Amount],sales_data_1[Year],2023, sales_data_1[month], $B30, sales_data_1[Sales_Rep], "David", sales_data_1[Product_Category], R$10)</f>
        <v>166738.72864765493</v>
      </c>
      <c r="Y30" s="24">
        <f t="shared" si="3"/>
        <v>1319627.6077764663</v>
      </c>
      <c r="Z30" s="24">
        <f t="shared" si="9"/>
        <v>1220439.7380961969</v>
      </c>
      <c r="AA30" s="24">
        <f>SUMIFS(sales_data_1[Sales_Amount],sales_data_1[Year],2023, sales_data_1[month], $B30, sales_data_1[Sales_Rep], "Eve", sales_data_1[Product_Category], U$10)</f>
        <v>729548.97309530061</v>
      </c>
      <c r="AB30" s="24">
        <f>SUMIFS(sales_data_1[Sales_Amount],sales_data_1[Year],2023, sales_data_1[month], $B30, sales_data_1[Sales_Rep], "Eve", sales_data_1[Product_Category], V$10)</f>
        <v>0</v>
      </c>
      <c r="AC30" s="24">
        <f>SUMIFS(sales_data_1[Sales_Amount],sales_data_1[Year],2023, sales_data_1[month], $B30, sales_data_1[Sales_Rep], "Eve", sales_data_1[Product_Category], W$10)</f>
        <v>259883.77751238877</v>
      </c>
      <c r="AD30" s="24">
        <f>SUMIFS(sales_data_1[Sales_Amount],sales_data_1[Year],2023, sales_data_1[month], $B30, sales_data_1[Sales_Rep], "Eve", sales_data_1[Product_Category], R$10)</f>
        <v>417072.59168576717</v>
      </c>
      <c r="AE30" s="24">
        <f t="shared" si="4"/>
        <v>1406505.3422934567</v>
      </c>
      <c r="AF30" s="104">
        <f t="shared" si="10"/>
        <v>1359029.1222849365</v>
      </c>
      <c r="AG30" s="24">
        <f t="shared" si="5"/>
        <v>6509866.4176090118</v>
      </c>
      <c r="AH30" s="24">
        <f t="shared" si="11"/>
        <v>6224081.3339526551</v>
      </c>
    </row>
    <row r="31" spans="1:34" x14ac:dyDescent="0.35">
      <c r="A31" s="5"/>
      <c r="B31" s="5" t="s">
        <v>53</v>
      </c>
      <c r="C31" s="24">
        <f>SUMIFS(sales_data_1[Sales_Amount],sales_data_1[Year],2023, sales_data_1[month], $B31, sales_data_1[Sales_Rep], "Alice", sales_data_1[Product_Category], C$10)</f>
        <v>0</v>
      </c>
      <c r="D31" s="24">
        <f>SUMIFS(sales_data_1[Sales_Amount],sales_data_1[Year],2023, sales_data_1[month], $B31, sales_data_1[Sales_Rep], "Alice", sales_data_1[Product_Category], D$10)</f>
        <v>114274.14330981574</v>
      </c>
      <c r="E31" s="24">
        <f>SUMIFS(sales_data_1[Sales_Amount],sales_data_1[Year],2023, sales_data_1[month], $B31, sales_data_1[Sales_Rep], "Alice", sales_data_1[Product_Category], E$10)</f>
        <v>47653.90387286694</v>
      </c>
      <c r="F31" s="24">
        <f>SUMIFS(sales_data_1[Sales_Amount],sales_data_1[Year],2023, sales_data_1[month], $B31, sales_data_1[Sales_Rep], "Alice", sales_data_1[Product_Category], F$10)</f>
        <v>188044.28809268403</v>
      </c>
      <c r="G31" s="24">
        <f t="shared" si="0"/>
        <v>349972.33527536667</v>
      </c>
      <c r="H31" s="24">
        <f t="shared" si="6"/>
        <v>1154647.5608512403</v>
      </c>
      <c r="I31" s="24">
        <f>SUMIFS(sales_data_1[Sales_Amount],sales_data_1[Year],2023, sales_data_1[month], $B31, sales_data_1[Sales_Rep], "Bob", sales_data_1[Product_Category], I$10)</f>
        <v>382529.98230857338</v>
      </c>
      <c r="J31" s="24">
        <f>SUMIFS(sales_data_1[Sales_Amount],sales_data_1[Year],2023, sales_data_1[month], $B31, sales_data_1[Sales_Rep], "Bob", sales_data_1[Product_Category], J$10)</f>
        <v>197070.56447085747</v>
      </c>
      <c r="K31" s="24">
        <f>SUMIFS(sales_data_1[Sales_Amount],sales_data_1[Year],2023, sales_data_1[month], $B31, sales_data_1[Sales_Rep], "Bob", sales_data_1[Product_Category], K$10)</f>
        <v>324210.4305328952</v>
      </c>
      <c r="L31" s="24">
        <f>SUMIFS(sales_data_1[Sales_Amount],sales_data_1[Year],2023, sales_data_1[month], $B31, sales_data_1[Sales_Rep], "Bob", sales_data_1[Product_Category], L$10)</f>
        <v>341028.57245122641</v>
      </c>
      <c r="M31" s="24">
        <f t="shared" si="1"/>
        <v>1244839.5497635524</v>
      </c>
      <c r="N31" s="24">
        <f t="shared" si="7"/>
        <v>1257962.3019081245</v>
      </c>
      <c r="O31" s="24">
        <f>SUMIFS(sales_data_1[Sales_Amount],sales_data_1[Year],2023, sales_data_1[month], $B31, sales_data_1[Sales_Rep], "Charlie", sales_data_1[Product_Category], O$10)</f>
        <v>352495.79793952091</v>
      </c>
      <c r="P31" s="24">
        <f>SUMIFS(sales_data_1[Sales_Amount],sales_data_1[Year],2023, sales_data_1[month], $B31, sales_data_1[Sales_Rep], "Charlie", sales_data_1[Product_Category], P$10)</f>
        <v>150074.4875708317</v>
      </c>
      <c r="Q31" s="24">
        <f>SUMIFS(sales_data_1[Sales_Amount],sales_data_1[Year],2023, sales_data_1[month], $B31, sales_data_1[Sales_Rep], "Charlie", sales_data_1[Product_Category], Q$10)</f>
        <v>258773.50955756154</v>
      </c>
      <c r="R31" s="24">
        <f>SUMIFS(sales_data_1[Sales_Amount],sales_data_1[Year],2023, sales_data_1[month], $B31, sales_data_1[Sales_Rep], "Charlie", sales_data_1[Product_Category], R$10)</f>
        <v>100148.42576219268</v>
      </c>
      <c r="S31" s="24">
        <f t="shared" si="2"/>
        <v>861492.22083010676</v>
      </c>
      <c r="T31" s="24">
        <f t="shared" si="8"/>
        <v>1149317.7244773328</v>
      </c>
      <c r="U31" s="24">
        <f>SUMIFS(sales_data_1[Sales_Amount],sales_data_1[Year],2023, sales_data_1[month], $B31, sales_data_1[Sales_Rep], "David", sales_data_1[Product_Category], U$10)</f>
        <v>86458.105200274425</v>
      </c>
      <c r="V31" s="24">
        <f>SUMIFS(sales_data_1[Sales_Amount],sales_data_1[Year],2023, sales_data_1[month], $B31, sales_data_1[Sales_Rep], "David", sales_data_1[Product_Category], V$10)</f>
        <v>532510.66086901631</v>
      </c>
      <c r="W31" s="24">
        <f>SUMIFS(sales_data_1[Sales_Amount],sales_data_1[Year],2023, sales_data_1[month], $B31, sales_data_1[Sales_Rep], "David", sales_data_1[Product_Category], W$10)</f>
        <v>103801.28694328907</v>
      </c>
      <c r="X31" s="24">
        <f>SUMIFS(sales_data_1[Sales_Amount],sales_data_1[Year],2023, sales_data_1[month], $B31, sales_data_1[Sales_Rep], "David", sales_data_1[Product_Category], R$10)</f>
        <v>118780.18146816993</v>
      </c>
      <c r="Y31" s="24">
        <f t="shared" si="3"/>
        <v>841550.2344807497</v>
      </c>
      <c r="Z31" s="24">
        <f t="shared" si="9"/>
        <v>1164976.3738201561</v>
      </c>
      <c r="AA31" s="24">
        <f>SUMIFS(sales_data_1[Sales_Amount],sales_data_1[Year],2023, sales_data_1[month], $B31, sales_data_1[Sales_Rep], "Eve", sales_data_1[Product_Category], U$10)</f>
        <v>477812.88547182153</v>
      </c>
      <c r="AB31" s="24">
        <f>SUMIFS(sales_data_1[Sales_Amount],sales_data_1[Year],2023, sales_data_1[month], $B31, sales_data_1[Sales_Rep], "Eve", sales_data_1[Product_Category], V$10)</f>
        <v>345180.45369270403</v>
      </c>
      <c r="AC31" s="24">
        <f>SUMIFS(sales_data_1[Sales_Amount],sales_data_1[Year],2023, sales_data_1[month], $B31, sales_data_1[Sales_Rep], "Eve", sales_data_1[Product_Category], W$10)</f>
        <v>194745.23536581398</v>
      </c>
      <c r="AD31" s="24">
        <f>SUMIFS(sales_data_1[Sales_Amount],sales_data_1[Year],2023, sales_data_1[month], $B31, sales_data_1[Sales_Rep], "Eve", sales_data_1[Product_Category], R$10)</f>
        <v>53415.511286239169</v>
      </c>
      <c r="AE31" s="24">
        <f t="shared" si="4"/>
        <v>1071154.0858165787</v>
      </c>
      <c r="AF31" s="104">
        <f t="shared" si="10"/>
        <v>1322972.1148643452</v>
      </c>
      <c r="AG31" s="24">
        <f t="shared" si="5"/>
        <v>4369008.4261663547</v>
      </c>
      <c r="AH31" s="24">
        <f t="shared" si="11"/>
        <v>6049876.0759211974</v>
      </c>
    </row>
    <row r="32" spans="1:34" x14ac:dyDescent="0.35">
      <c r="A32" s="5"/>
      <c r="B32" s="5" t="s">
        <v>54</v>
      </c>
      <c r="C32" s="24">
        <f>SUMIFS(sales_data_1[Sales_Amount],sales_data_1[Year],2023, sales_data_1[month], $B32, sales_data_1[Sales_Rep], "Alice", sales_data_1[Product_Category], C$10)</f>
        <v>51793.0867</v>
      </c>
      <c r="D32" s="24">
        <f>SUMIFS(sales_data_1[Sales_Amount],sales_data_1[Year],2023, sales_data_1[month], $B32, sales_data_1[Sales_Rep], "Alice", sales_data_1[Product_Category], D$10)</f>
        <v>279094.02129102533</v>
      </c>
      <c r="E32" s="24">
        <f>SUMIFS(sales_data_1[Sales_Amount],sales_data_1[Year],2023, sales_data_1[month], $B32, sales_data_1[Sales_Rep], "Alice", sales_data_1[Product_Category], E$10)</f>
        <v>225340.63739999995</v>
      </c>
      <c r="F32" s="24">
        <f>SUMIFS(sales_data_1[Sales_Amount],sales_data_1[Year],2023, sales_data_1[month], $B32, sales_data_1[Sales_Rep], "Alice", sales_data_1[Product_Category], F$10)</f>
        <v>142461.14040000003</v>
      </c>
      <c r="G32" s="24">
        <f t="shared" si="0"/>
        <v>698688.88579102524</v>
      </c>
      <c r="H32" s="24">
        <f t="shared" si="6"/>
        <v>1104684.8018315134</v>
      </c>
      <c r="I32" s="24">
        <f>SUMIFS(sales_data_1[Sales_Amount],sales_data_1[Year],2023, sales_data_1[month], $B32, sales_data_1[Sales_Rep], "Bob", sales_data_1[Product_Category], I$10)</f>
        <v>141669.58926878864</v>
      </c>
      <c r="J32" s="24">
        <f>SUMIFS(sales_data_1[Sales_Amount],sales_data_1[Year],2023, sales_data_1[month], $B32, sales_data_1[Sales_Rep], "Bob", sales_data_1[Product_Category], J$10)</f>
        <v>271858.16650131304</v>
      </c>
      <c r="K32" s="24">
        <f>SUMIFS(sales_data_1[Sales_Amount],sales_data_1[Year],2023, sales_data_1[month], $B32, sales_data_1[Sales_Rep], "Bob", sales_data_1[Product_Category], K$10)</f>
        <v>179395.81759762517</v>
      </c>
      <c r="L32" s="24">
        <f>SUMIFS(sales_data_1[Sales_Amount],sales_data_1[Year],2023, sales_data_1[month], $B32, sales_data_1[Sales_Rep], "Bob", sales_data_1[Product_Category], L$10)</f>
        <v>323901.94717871206</v>
      </c>
      <c r="M32" s="24">
        <f t="shared" si="1"/>
        <v>916825.52054643887</v>
      </c>
      <c r="N32" s="24">
        <f t="shared" si="7"/>
        <v>1175589.3021619001</v>
      </c>
      <c r="O32" s="24">
        <f>SUMIFS(sales_data_1[Sales_Amount],sales_data_1[Year],2023, sales_data_1[month], $B32, sales_data_1[Sales_Rep], "Charlie", sales_data_1[Product_Category], O$10)</f>
        <v>345687.25352212338</v>
      </c>
      <c r="P32" s="24">
        <f>SUMIFS(sales_data_1[Sales_Amount],sales_data_1[Year],2023, sales_data_1[month], $B32, sales_data_1[Sales_Rep], "Charlie", sales_data_1[Product_Category], P$10)</f>
        <v>384801.4646274494</v>
      </c>
      <c r="Q32" s="24">
        <f>SUMIFS(sales_data_1[Sales_Amount],sales_data_1[Year],2023, sales_data_1[month], $B32, sales_data_1[Sales_Rep], "Charlie", sales_data_1[Product_Category], Q$10)</f>
        <v>196920.28996891639</v>
      </c>
      <c r="R32" s="24">
        <f>SUMIFS(sales_data_1[Sales_Amount],sales_data_1[Year],2023, sales_data_1[month], $B32, sales_data_1[Sales_Rep], "Charlie", sales_data_1[Product_Category], R$10)</f>
        <v>87743.566897626268</v>
      </c>
      <c r="S32" s="24">
        <f t="shared" si="2"/>
        <v>1015152.5750161156</v>
      </c>
      <c r="T32" s="24">
        <f t="shared" si="8"/>
        <v>1104667.7707900004</v>
      </c>
      <c r="U32" s="24">
        <f>SUMIFS(sales_data_1[Sales_Amount],sales_data_1[Year],2023, sales_data_1[month], $B32, sales_data_1[Sales_Rep], "David", sales_data_1[Product_Category], U$10)</f>
        <v>814095.64132882562</v>
      </c>
      <c r="V32" s="24">
        <f>SUMIFS(sales_data_1[Sales_Amount],sales_data_1[Year],2023, sales_data_1[month], $B32, sales_data_1[Sales_Rep], "David", sales_data_1[Product_Category], V$10)</f>
        <v>815222.09647121525</v>
      </c>
      <c r="W32" s="24">
        <f>SUMIFS(sales_data_1[Sales_Amount],sales_data_1[Year],2023, sales_data_1[month], $B32, sales_data_1[Sales_Rep], "David", sales_data_1[Product_Category], W$10)</f>
        <v>326407.18293329678</v>
      </c>
      <c r="X32" s="24">
        <f>SUMIFS(sales_data_1[Sales_Amount],sales_data_1[Year],2023, sales_data_1[month], $B32, sales_data_1[Sales_Rep], "David", sales_data_1[Product_Category], R$10)</f>
        <v>418499.36793354154</v>
      </c>
      <c r="Y32" s="24">
        <f t="shared" si="3"/>
        <v>2374224.2886668788</v>
      </c>
      <c r="Z32" s="24">
        <f t="shared" si="9"/>
        <v>1299390.0918989275</v>
      </c>
      <c r="AA32" s="24">
        <f>SUMIFS(sales_data_1[Sales_Amount],sales_data_1[Year],2023, sales_data_1[month], $B32, sales_data_1[Sales_Rep], "Eve", sales_data_1[Product_Category], U$10)</f>
        <v>287055.96128335921</v>
      </c>
      <c r="AB32" s="24">
        <f>SUMIFS(sales_data_1[Sales_Amount],sales_data_1[Year],2023, sales_data_1[month], $B32, sales_data_1[Sales_Rep], "Eve", sales_data_1[Product_Category], V$10)</f>
        <v>518009.78623431397</v>
      </c>
      <c r="AC32" s="24">
        <f>SUMIFS(sales_data_1[Sales_Amount],sales_data_1[Year],2023, sales_data_1[month], $B32, sales_data_1[Sales_Rep], "Eve", sales_data_1[Product_Category], W$10)</f>
        <v>233680.39067805017</v>
      </c>
      <c r="AD32" s="24">
        <f>SUMIFS(sales_data_1[Sales_Amount],sales_data_1[Year],2023, sales_data_1[month], $B32, sales_data_1[Sales_Rep], "Eve", sales_data_1[Product_Category], R$10)</f>
        <v>298469.00574806752</v>
      </c>
      <c r="AE32" s="24">
        <f t="shared" si="4"/>
        <v>1337215.1439437908</v>
      </c>
      <c r="AF32" s="104">
        <f t="shared" si="10"/>
        <v>1277909.4201286058</v>
      </c>
      <c r="AG32" s="24">
        <f t="shared" si="5"/>
        <v>6342106.4139642492</v>
      </c>
      <c r="AH32" s="24">
        <f t="shared" si="11"/>
        <v>5962241.3868109472</v>
      </c>
    </row>
    <row r="33" spans="1:34" x14ac:dyDescent="0.35">
      <c r="A33" s="5"/>
      <c r="B33" s="5" t="s">
        <v>55</v>
      </c>
      <c r="C33" s="24">
        <f>SUMIFS(sales_data_1[Sales_Amount],sales_data_1[Year],2023, sales_data_1[month], $B33, sales_data_1[Sales_Rep], "Alice", sales_data_1[Product_Category], C$10)</f>
        <v>260964.19853628607</v>
      </c>
      <c r="D33" s="24">
        <f>SUMIFS(sales_data_1[Sales_Amount],sales_data_1[Year],2023, sales_data_1[month], $B33, sales_data_1[Sales_Rep], "Alice", sales_data_1[Product_Category], D$10)</f>
        <v>462236.50628056179</v>
      </c>
      <c r="E33" s="24">
        <f>SUMIFS(sales_data_1[Sales_Amount],sales_data_1[Year],2023, sales_data_1[month], $B33, sales_data_1[Sales_Rep], "Alice", sales_data_1[Product_Category], E$10)</f>
        <v>289054.29499595944</v>
      </c>
      <c r="F33" s="24">
        <f>SUMIFS(sales_data_1[Sales_Amount],sales_data_1[Year],2023, sales_data_1[month], $B33, sales_data_1[Sales_Rep], "Alice", sales_data_1[Product_Category], F$10)</f>
        <v>130026.30853002076</v>
      </c>
      <c r="G33" s="24">
        <f t="shared" si="0"/>
        <v>1142281.3083428279</v>
      </c>
      <c r="H33" s="24">
        <f t="shared" si="6"/>
        <v>1080303.6776029677</v>
      </c>
      <c r="I33" s="24">
        <f>SUMIFS(sales_data_1[Sales_Amount],sales_data_1[Year],2023, sales_data_1[month], $B33, sales_data_1[Sales_Rep], "Bob", sales_data_1[Product_Category], I$10)</f>
        <v>33907.960948269836</v>
      </c>
      <c r="J33" s="24">
        <f>SUMIFS(sales_data_1[Sales_Amount],sales_data_1[Year],2023, sales_data_1[month], $B33, sales_data_1[Sales_Rep], "Bob", sales_data_1[Product_Category], J$10)</f>
        <v>95362.633875790663</v>
      </c>
      <c r="K33" s="24">
        <f>SUMIFS(sales_data_1[Sales_Amount],sales_data_1[Year],2023, sales_data_1[month], $B33, sales_data_1[Sales_Rep], "Bob", sales_data_1[Product_Category], K$10)</f>
        <v>259339.54835344985</v>
      </c>
      <c r="L33" s="24">
        <f>SUMIFS(sales_data_1[Sales_Amount],sales_data_1[Year],2023, sales_data_1[month], $B33, sales_data_1[Sales_Rep], "Bob", sales_data_1[Product_Category], L$10)</f>
        <v>362346.05002574052</v>
      </c>
      <c r="M33" s="24">
        <f t="shared" si="1"/>
        <v>750956.19320325088</v>
      </c>
      <c r="N33" s="24">
        <f t="shared" si="7"/>
        <v>1121957.921660684</v>
      </c>
      <c r="O33" s="24">
        <f>SUMIFS(sales_data_1[Sales_Amount],sales_data_1[Year],2023, sales_data_1[month], $B33, sales_data_1[Sales_Rep], "Charlie", sales_data_1[Product_Category], O$10)</f>
        <v>294608.20686887793</v>
      </c>
      <c r="P33" s="24">
        <f>SUMIFS(sales_data_1[Sales_Amount],sales_data_1[Year],2023, sales_data_1[month], $B33, sales_data_1[Sales_Rep], "Charlie", sales_data_1[Product_Category], P$10)</f>
        <v>22989.957608871355</v>
      </c>
      <c r="Q33" s="24">
        <f>SUMIFS(sales_data_1[Sales_Amount],sales_data_1[Year],2023, sales_data_1[month], $B33, sales_data_1[Sales_Rep], "Charlie", sales_data_1[Product_Category], Q$10)</f>
        <v>30337.488328924996</v>
      </c>
      <c r="R33" s="24">
        <f>SUMIFS(sales_data_1[Sales_Amount],sales_data_1[Year],2023, sales_data_1[month], $B33, sales_data_1[Sales_Rep], "Charlie", sales_data_1[Product_Category], R$10)</f>
        <v>212304.5337804906</v>
      </c>
      <c r="S33" s="24">
        <f t="shared" si="2"/>
        <v>560240.18658716488</v>
      </c>
      <c r="T33" s="24">
        <f t="shared" si="8"/>
        <v>1013500.6737473415</v>
      </c>
      <c r="U33" s="24">
        <f>SUMIFS(sales_data_1[Sales_Amount],sales_data_1[Year],2023, sales_data_1[month], $B33, sales_data_1[Sales_Rep], "David", sales_data_1[Product_Category], U$10)</f>
        <v>353197.76847996295</v>
      </c>
      <c r="V33" s="24">
        <f>SUMIFS(sales_data_1[Sales_Amount],sales_data_1[Year],2023, sales_data_1[month], $B33, sales_data_1[Sales_Rep], "David", sales_data_1[Product_Category], V$10)</f>
        <v>408532.84035798529</v>
      </c>
      <c r="W33" s="24">
        <f>SUMIFS(sales_data_1[Sales_Amount],sales_data_1[Year],2023, sales_data_1[month], $B33, sales_data_1[Sales_Rep], "David", sales_data_1[Product_Category], W$10)</f>
        <v>359447.93316093145</v>
      </c>
      <c r="X33" s="24">
        <f>SUMIFS(sales_data_1[Sales_Amount],sales_data_1[Year],2023, sales_data_1[month], $B33, sales_data_1[Sales_Rep], "David", sales_data_1[Product_Category], R$10)</f>
        <v>435056.35308108793</v>
      </c>
      <c r="Y33" s="24">
        <f t="shared" si="3"/>
        <v>1556234.8950799676</v>
      </c>
      <c r="Z33" s="24">
        <f t="shared" si="9"/>
        <v>1270145.3324525189</v>
      </c>
      <c r="AA33" s="24">
        <f>SUMIFS(sales_data_1[Sales_Amount],sales_data_1[Year],2023, sales_data_1[month], $B33, sales_data_1[Sales_Rep], "Eve", sales_data_1[Product_Category], U$10)</f>
        <v>402487.32963095448</v>
      </c>
      <c r="AB33" s="24">
        <f>SUMIFS(sales_data_1[Sales_Amount],sales_data_1[Year],2023, sales_data_1[month], $B33, sales_data_1[Sales_Rep], "Eve", sales_data_1[Product_Category], V$10)</f>
        <v>36560.446499999998</v>
      </c>
      <c r="AC33" s="24">
        <f>SUMIFS(sales_data_1[Sales_Amount],sales_data_1[Year],2023, sales_data_1[month], $B33, sales_data_1[Sales_Rep], "Eve", sales_data_1[Product_Category], W$10)</f>
        <v>150915.56193679944</v>
      </c>
      <c r="AD33" s="24">
        <f>SUMIFS(sales_data_1[Sales_Amount],sales_data_1[Year],2023, sales_data_1[month], $B33, sales_data_1[Sales_Rep], "Eve", sales_data_1[Product_Category], R$10)</f>
        <v>168204.44972611743</v>
      </c>
      <c r="AE33" s="24">
        <f t="shared" si="4"/>
        <v>758167.78779387136</v>
      </c>
      <c r="AF33" s="104">
        <f t="shared" si="10"/>
        <v>1233573.8365627362</v>
      </c>
      <c r="AG33" s="24">
        <f t="shared" si="5"/>
        <v>4767880.3710070821</v>
      </c>
      <c r="AH33" s="24">
        <f t="shared" si="11"/>
        <v>5719481.4420262473</v>
      </c>
    </row>
    <row r="34" spans="1:34" x14ac:dyDescent="0.35">
      <c r="A34" s="5"/>
      <c r="B34" s="5" t="s">
        <v>56</v>
      </c>
      <c r="C34" s="24">
        <f>SUMIFS(sales_data_1[Sales_Amount],sales_data_1[Year],2023, sales_data_1[month], $B34, sales_data_1[Sales_Rep], "Alice", sales_data_1[Product_Category], C$10)</f>
        <v>605085.55657223007</v>
      </c>
      <c r="D34" s="24">
        <f>SUMIFS(sales_data_1[Sales_Amount],sales_data_1[Year],2023, sales_data_1[month], $B34, sales_data_1[Sales_Rep], "Alice", sales_data_1[Product_Category], D$10)</f>
        <v>316724.66962501965</v>
      </c>
      <c r="E34" s="24">
        <f>SUMIFS(sales_data_1[Sales_Amount],sales_data_1[Year],2023, sales_data_1[month], $B34, sales_data_1[Sales_Rep], "Alice", sales_data_1[Product_Category], E$10)</f>
        <v>303658.20286612195</v>
      </c>
      <c r="F34" s="24">
        <f>SUMIFS(sales_data_1[Sales_Amount],sales_data_1[Year],2023, sales_data_1[month], $B34, sales_data_1[Sales_Rep], "Alice", sales_data_1[Product_Category], F$10)</f>
        <v>379958.9050195748</v>
      </c>
      <c r="G34" s="24">
        <f t="shared" si="0"/>
        <v>1605427.3340829464</v>
      </c>
      <c r="H34" s="24">
        <f t="shared" si="6"/>
        <v>1073758.5279760768</v>
      </c>
      <c r="I34" s="24">
        <f>SUMIFS(sales_data_1[Sales_Amount],sales_data_1[Year],2023, sales_data_1[month], $B34, sales_data_1[Sales_Rep], "Bob", sales_data_1[Product_Category], I$10)</f>
        <v>33756.764822137833</v>
      </c>
      <c r="J34" s="24">
        <f>SUMIFS(sales_data_1[Sales_Amount],sales_data_1[Year],2023, sales_data_1[month], $B34, sales_data_1[Sales_Rep], "Bob", sales_data_1[Product_Category], J$10)</f>
        <v>592610.78773343458</v>
      </c>
      <c r="K34" s="24">
        <f>SUMIFS(sales_data_1[Sales_Amount],sales_data_1[Year],2023, sales_data_1[month], $B34, sales_data_1[Sales_Rep], "Bob", sales_data_1[Product_Category], K$10)</f>
        <v>171666.31092219858</v>
      </c>
      <c r="L34" s="24">
        <f>SUMIFS(sales_data_1[Sales_Amount],sales_data_1[Year],2023, sales_data_1[month], $B34, sales_data_1[Sales_Rep], "Bob", sales_data_1[Product_Category], L$10)</f>
        <v>327748.8333226968</v>
      </c>
      <c r="M34" s="24">
        <f t="shared" si="1"/>
        <v>1125782.6968004678</v>
      </c>
      <c r="N34" s="24">
        <f t="shared" si="7"/>
        <v>1103538.74981982</v>
      </c>
      <c r="O34" s="24">
        <f>SUMIFS(sales_data_1[Sales_Amount],sales_data_1[Year],2023, sales_data_1[month], $B34, sales_data_1[Sales_Rep], "Charlie", sales_data_1[Product_Category], O$10)</f>
        <v>93319.739184664562</v>
      </c>
      <c r="P34" s="24">
        <f>SUMIFS(sales_data_1[Sales_Amount],sales_data_1[Year],2023, sales_data_1[month], $B34, sales_data_1[Sales_Rep], "Charlie", sales_data_1[Product_Category], P$10)</f>
        <v>9504.4806000000008</v>
      </c>
      <c r="Q34" s="24">
        <f>SUMIFS(sales_data_1[Sales_Amount],sales_data_1[Year],2023, sales_data_1[month], $B34, sales_data_1[Sales_Rep], "Charlie", sales_data_1[Product_Category], Q$10)</f>
        <v>181919.29077050157</v>
      </c>
      <c r="R34" s="24">
        <f>SUMIFS(sales_data_1[Sales_Amount],sales_data_1[Year],2023, sales_data_1[month], $B34, sales_data_1[Sales_Rep], "Charlie", sales_data_1[Product_Category], R$10)</f>
        <v>200869.12419785641</v>
      </c>
      <c r="S34" s="24">
        <f t="shared" si="2"/>
        <v>485612.63475302252</v>
      </c>
      <c r="T34" s="24">
        <f t="shared" si="8"/>
        <v>931697.63007779198</v>
      </c>
      <c r="U34" s="24">
        <f>SUMIFS(sales_data_1[Sales_Amount],sales_data_1[Year],2023, sales_data_1[month], $B34, sales_data_1[Sales_Rep], "David", sales_data_1[Product_Category], U$10)</f>
        <v>380308.82044950279</v>
      </c>
      <c r="V34" s="24">
        <f>SUMIFS(sales_data_1[Sales_Amount],sales_data_1[Year],2023, sales_data_1[month], $B34, sales_data_1[Sales_Rep], "David", sales_data_1[Product_Category], V$10)</f>
        <v>560843.99518467055</v>
      </c>
      <c r="W34" s="24">
        <f>SUMIFS(sales_data_1[Sales_Amount],sales_data_1[Year],2023, sales_data_1[month], $B34, sales_data_1[Sales_Rep], "David", sales_data_1[Product_Category], W$10)</f>
        <v>361166.34421381919</v>
      </c>
      <c r="X34" s="24">
        <f>SUMIFS(sales_data_1[Sales_Amount],sales_data_1[Year],2023, sales_data_1[month], $B34, sales_data_1[Sales_Rep], "David", sales_data_1[Product_Category], R$10)</f>
        <v>214213.00610045664</v>
      </c>
      <c r="Y34" s="24">
        <f t="shared" si="3"/>
        <v>1516532.1659484492</v>
      </c>
      <c r="Z34" s="24">
        <f t="shared" si="9"/>
        <v>1320324.1732663219</v>
      </c>
      <c r="AA34" s="24">
        <f>SUMIFS(sales_data_1[Sales_Amount],sales_data_1[Year],2023, sales_data_1[month], $B34, sales_data_1[Sales_Rep], "Eve", sales_data_1[Product_Category], U$10)</f>
        <v>721148.56915294332</v>
      </c>
      <c r="AB34" s="24">
        <f>SUMIFS(sales_data_1[Sales_Amount],sales_data_1[Year],2023, sales_data_1[month], $B34, sales_data_1[Sales_Rep], "Eve", sales_data_1[Product_Category], V$10)</f>
        <v>407686.43344279367</v>
      </c>
      <c r="AC34" s="24">
        <f>SUMIFS(sales_data_1[Sales_Amount],sales_data_1[Year],2023, sales_data_1[month], $B34, sales_data_1[Sales_Rep], "Eve", sales_data_1[Product_Category], W$10)</f>
        <v>82703.772001826568</v>
      </c>
      <c r="AD34" s="24">
        <f>SUMIFS(sales_data_1[Sales_Amount],sales_data_1[Year],2023, sales_data_1[month], $B34, sales_data_1[Sales_Rep], "Eve", sales_data_1[Product_Category], R$10)</f>
        <v>84368.739316981708</v>
      </c>
      <c r="AE34" s="24">
        <f t="shared" si="4"/>
        <v>1295907.5139145455</v>
      </c>
      <c r="AF34" s="104">
        <f t="shared" si="10"/>
        <v>1225731.4136886522</v>
      </c>
      <c r="AG34" s="24">
        <f t="shared" si="5"/>
        <v>6029262.3454994317</v>
      </c>
      <c r="AH34" s="24">
        <f t="shared" si="11"/>
        <v>5655050.4948286638</v>
      </c>
    </row>
    <row r="35" spans="1:34" x14ac:dyDescent="0.35">
      <c r="A35" s="17">
        <v>2024</v>
      </c>
      <c r="B35" s="5" t="s">
        <v>45</v>
      </c>
      <c r="C35" s="24">
        <f>SUMIFS(sales_data_1[Sales_Amount],sales_data_1[Year],2024, sales_data_1[month], $B35, sales_data_1[Sales_Rep], "Alice", sales_data_1[Product_Category], C$10)</f>
        <v>124305.1495</v>
      </c>
      <c r="D35" s="24">
        <f>SUMIFS(sales_data_1[Sales_Amount],sales_data_1[Year],2024, sales_data_1[month], $B35, sales_data_1[Sales_Rep], "Alice", sales_data_1[Product_Category], D$10)</f>
        <v>277931.97166997305</v>
      </c>
      <c r="E35" s="24">
        <f>SUMIFS(sales_data_1[Sales_Amount],sales_data_1[Year],2024, sales_data_1[month], $B35, sales_data_1[Sales_Rep], "Alice", sales_data_1[Product_Category], E$10)</f>
        <v>188144.0913013285</v>
      </c>
      <c r="F35" s="24">
        <f>SUMIFS(sales_data_1[Sales_Amount],sales_data_1[Year],2024, sales_data_1[month], $B35, sales_data_1[Sales_Rep], "Alice", sales_data_1[Product_Category], F$10)</f>
        <v>114512.91459999999</v>
      </c>
      <c r="G35" s="24">
        <f t="shared" si="0"/>
        <v>704894.12707130157</v>
      </c>
      <c r="H35" s="24">
        <f t="shared" si="6"/>
        <v>1071444.4869036025</v>
      </c>
      <c r="I35" s="24">
        <f>SUMIFS(sales_data_1[Sales_Amount],sales_data_1[Year],2024, sales_data_1[month], $B35, sales_data_1[Sales_Rep], "Bob", sales_data_1[Product_Category], I$10)</f>
        <v>697921.39007915079</v>
      </c>
      <c r="J35" s="24">
        <f>SUMIFS(sales_data_1[Sales_Amount],sales_data_1[Year],2024, sales_data_1[month], $B35, sales_data_1[Sales_Rep], "Bob", sales_data_1[Product_Category], J$10)</f>
        <v>442582.37099891761</v>
      </c>
      <c r="K35" s="24">
        <f>SUMIFS(sales_data_1[Sales_Amount],sales_data_1[Year],2024, sales_data_1[month], $B35, sales_data_1[Sales_Rep], "Bob", sales_data_1[Product_Category], K$10)</f>
        <v>102276.6376</v>
      </c>
      <c r="L35" s="24">
        <f>SUMIFS(sales_data_1[Sales_Amount],sales_data_1[Year],2024, sales_data_1[month], $B35, sales_data_1[Sales_Rep], "Bob", sales_data_1[Product_Category], L$10)</f>
        <v>525006.85363690881</v>
      </c>
      <c r="M35" s="24">
        <f t="shared" si="1"/>
        <v>1767787.2523149773</v>
      </c>
      <c r="N35" s="24">
        <f t="shared" si="7"/>
        <v>1104383.4640486601</v>
      </c>
      <c r="O35" s="24">
        <f>SUMIFS(sales_data_1[Sales_Amount],sales_data_1[Year],2024, sales_data_1[month], $B35, sales_data_1[Sales_Rep], "Charlie", sales_data_1[Product_Category], O$10)</f>
        <v>491757.89809999999</v>
      </c>
      <c r="P35" s="24">
        <f>SUMIFS(sales_data_1[Sales_Amount],sales_data_1[Year],2024, sales_data_1[month], $B35, sales_data_1[Sales_Rep], "Charlie", sales_data_1[Product_Category], P$10)</f>
        <v>509959.91644384107</v>
      </c>
      <c r="Q35" s="24">
        <f>SUMIFS(sales_data_1[Sales_Amount],sales_data_1[Year],2024, sales_data_1[month], $B35, sales_data_1[Sales_Rep], "Charlie", sales_data_1[Product_Category], Q$10)</f>
        <v>371143.63339999999</v>
      </c>
      <c r="R35" s="24">
        <f>SUMIFS(sales_data_1[Sales_Amount],sales_data_1[Year],2024, sales_data_1[month], $B35, sales_data_1[Sales_Rep], "Charlie", sales_data_1[Product_Category], R$10)</f>
        <v>60009.945800000009</v>
      </c>
      <c r="S35" s="24">
        <f t="shared" si="2"/>
        <v>1432871.3937438412</v>
      </c>
      <c r="T35" s="24">
        <f t="shared" si="8"/>
        <v>893578.39951270691</v>
      </c>
      <c r="U35" s="24">
        <f>SUMIFS(sales_data_1[Sales_Amount],sales_data_1[Year],2024, sales_data_1[month], $B35, sales_data_1[Sales_Rep], "David", sales_data_1[Product_Category], U$10)</f>
        <v>268543.08520000003</v>
      </c>
      <c r="V35" s="24">
        <f>SUMIFS(sales_data_1[Sales_Amount],sales_data_1[Year],2024, sales_data_1[month], $B35, sales_data_1[Sales_Rep], "David", sales_data_1[Product_Category], V$10)</f>
        <v>482978.31821696559</v>
      </c>
      <c r="W35" s="24">
        <f>SUMIFS(sales_data_1[Sales_Amount],sales_data_1[Year],2024, sales_data_1[month], $B35, sales_data_1[Sales_Rep], "David", sales_data_1[Product_Category], W$10)</f>
        <v>499622.8346</v>
      </c>
      <c r="X35" s="24">
        <f>SUMIFS(sales_data_1[Sales_Amount],sales_data_1[Year],2024, sales_data_1[month], $B35, sales_data_1[Sales_Rep], "David", sales_data_1[Product_Category], R$10)</f>
        <v>436361.58960000001</v>
      </c>
      <c r="Y35" s="24">
        <f t="shared" si="3"/>
        <v>1687505.8276169656</v>
      </c>
      <c r="Z35" s="24">
        <f t="shared" si="9"/>
        <v>1385885.9118107178</v>
      </c>
      <c r="AA35" s="24">
        <f>SUMIFS(sales_data_1[Sales_Amount],sales_data_1[Year],2024, sales_data_1[month], $B35, sales_data_1[Sales_Rep], "Eve", sales_data_1[Product_Category], U$10)</f>
        <v>663523.75608581572</v>
      </c>
      <c r="AB35" s="24">
        <f>SUMIFS(sales_data_1[Sales_Amount],sales_data_1[Year],2024, sales_data_1[month], $B35, sales_data_1[Sales_Rep], "Eve", sales_data_1[Product_Category], V$10)</f>
        <v>312084.73509999999</v>
      </c>
      <c r="AC35" s="24">
        <f>SUMIFS(sales_data_1[Sales_Amount],sales_data_1[Year],2024, sales_data_1[month], $B35, sales_data_1[Sales_Rep], "Eve", sales_data_1[Product_Category], W$10)</f>
        <v>671480.9468596878</v>
      </c>
      <c r="AD35" s="24">
        <f>SUMIFS(sales_data_1[Sales_Amount],sales_data_1[Year],2024, sales_data_1[month], $B35, sales_data_1[Sales_Rep], "Eve", sales_data_1[Product_Category], R$10)</f>
        <v>511236.50179999997</v>
      </c>
      <c r="AE35" s="24">
        <f t="shared" si="4"/>
        <v>2158325.9398455033</v>
      </c>
      <c r="AF35" s="104">
        <f t="shared" si="10"/>
        <v>1245250.2978847215</v>
      </c>
      <c r="AG35" s="24">
        <f t="shared" si="5"/>
        <v>7751384.5405925885</v>
      </c>
      <c r="AH35" s="24">
        <f t="shared" si="11"/>
        <v>5700542.5601604106</v>
      </c>
    </row>
    <row r="36" spans="1:34" x14ac:dyDescent="0.35">
      <c r="A36" s="5"/>
      <c r="B36" s="5" t="s">
        <v>46</v>
      </c>
      <c r="C36" s="24">
        <f>SUMIFS(sales_data_1[Sales_Amount],sales_data_1[Year],2024, sales_data_1[month], $B36, sales_data_1[Sales_Rep], "Alice", sales_data_1[Product_Category], C$10)</f>
        <v>412155.84485319082</v>
      </c>
      <c r="D36" s="24">
        <f>SUMIFS(sales_data_1[Sales_Amount],sales_data_1[Year],2024, sales_data_1[month], $B36, sales_data_1[Sales_Rep], "Alice", sales_data_1[Product_Category], D$10)</f>
        <v>485959.90986677975</v>
      </c>
      <c r="E36" s="24">
        <f>SUMIFS(sales_data_1[Sales_Amount],sales_data_1[Year],2024, sales_data_1[month], $B36, sales_data_1[Sales_Rep], "Alice", sales_data_1[Product_Category], E$10)</f>
        <v>464524.41239126719</v>
      </c>
      <c r="F36" s="24">
        <f>SUMIFS(sales_data_1[Sales_Amount],sales_data_1[Year],2024, sales_data_1[month], $B36, sales_data_1[Sales_Rep], "Alice", sales_data_1[Product_Category], F$10)</f>
        <v>399680.30373365164</v>
      </c>
      <c r="G36" s="24">
        <f t="shared" si="0"/>
        <v>1762320.4708448895</v>
      </c>
      <c r="H36" s="24">
        <f t="shared" si="6"/>
        <v>1101667.5504804254</v>
      </c>
      <c r="I36" s="24">
        <f>SUMIFS(sales_data_1[Sales_Amount],sales_data_1[Year],2024, sales_data_1[month], $B36, sales_data_1[Sales_Rep], "Bob", sales_data_1[Product_Category], I$10)</f>
        <v>696604.91142597911</v>
      </c>
      <c r="J36" s="24">
        <f>SUMIFS(sales_data_1[Sales_Amount],sales_data_1[Year],2024, sales_data_1[month], $B36, sales_data_1[Sales_Rep], "Bob", sales_data_1[Product_Category], J$10)</f>
        <v>244443.98180000001</v>
      </c>
      <c r="K36" s="24">
        <f>SUMIFS(sales_data_1[Sales_Amount],sales_data_1[Year],2024, sales_data_1[month], $B36, sales_data_1[Sales_Rep], "Bob", sales_data_1[Product_Category], K$10)</f>
        <v>113254.23819999999</v>
      </c>
      <c r="L36" s="24">
        <f>SUMIFS(sales_data_1[Sales_Amount],sales_data_1[Year],2024, sales_data_1[month], $B36, sales_data_1[Sales_Rep], "Bob", sales_data_1[Product_Category], L$10)</f>
        <v>580154.69507561449</v>
      </c>
      <c r="M36" s="24">
        <f t="shared" si="1"/>
        <v>1634457.8265015935</v>
      </c>
      <c r="N36" s="24">
        <f t="shared" si="7"/>
        <v>1159963.7696679053</v>
      </c>
      <c r="O36" s="24">
        <f>SUMIFS(sales_data_1[Sales_Amount],sales_data_1[Year],2024, sales_data_1[month], $B36, sales_data_1[Sales_Rep], "Charlie", sales_data_1[Product_Category], O$10)</f>
        <v>144385.4295</v>
      </c>
      <c r="P36" s="24">
        <f>SUMIFS(sales_data_1[Sales_Amount],sales_data_1[Year],2024, sales_data_1[month], $B36, sales_data_1[Sales_Rep], "Charlie", sales_data_1[Product_Category], P$10)</f>
        <v>454754.35760724137</v>
      </c>
      <c r="Q36" s="24">
        <f>SUMIFS(sales_data_1[Sales_Amount],sales_data_1[Year],2024, sales_data_1[month], $B36, sales_data_1[Sales_Rep], "Charlie", sales_data_1[Product_Category], Q$10)</f>
        <v>142655.32190000001</v>
      </c>
      <c r="R36" s="24">
        <f>SUMIFS(sales_data_1[Sales_Amount],sales_data_1[Year],2024, sales_data_1[month], $B36, sales_data_1[Sales_Rep], "Charlie", sales_data_1[Product_Category], R$10)</f>
        <v>652154.01809999999</v>
      </c>
      <c r="S36" s="24">
        <f t="shared" si="2"/>
        <v>1393949.1271072412</v>
      </c>
      <c r="T36" s="24">
        <f t="shared" si="8"/>
        <v>933308.6951058805</v>
      </c>
      <c r="U36" s="24">
        <f>SUMIFS(sales_data_1[Sales_Amount],sales_data_1[Year],2024, sales_data_1[month], $B36, sales_data_1[Sales_Rep], "David", sales_data_1[Product_Category], U$10)</f>
        <v>414102.53294819023</v>
      </c>
      <c r="V36" s="24">
        <f>SUMIFS(sales_data_1[Sales_Amount],sales_data_1[Year],2024, sales_data_1[month], $B36, sales_data_1[Sales_Rep], "David", sales_data_1[Product_Category], V$10)</f>
        <v>209216.15947950451</v>
      </c>
      <c r="W36" s="24">
        <f>SUMIFS(sales_data_1[Sales_Amount],sales_data_1[Year],2024, sales_data_1[month], $B36, sales_data_1[Sales_Rep], "David", sales_data_1[Product_Category], W$10)</f>
        <v>113036.57579999999</v>
      </c>
      <c r="X36" s="24">
        <f>SUMIFS(sales_data_1[Sales_Amount],sales_data_1[Year],2024, sales_data_1[month], $B36, sales_data_1[Sales_Rep], "David", sales_data_1[Product_Category], R$10)</f>
        <v>347186.67677388806</v>
      </c>
      <c r="Y36" s="24">
        <f t="shared" si="3"/>
        <v>1083541.9450015828</v>
      </c>
      <c r="Z36" s="24">
        <f t="shared" si="9"/>
        <v>1363291.6354412755</v>
      </c>
      <c r="AA36" s="24">
        <f>SUMIFS(sales_data_1[Sales_Amount],sales_data_1[Year],2024, sales_data_1[month], $B36, sales_data_1[Sales_Rep], "Eve", sales_data_1[Product_Category], U$10)</f>
        <v>349820.39879999997</v>
      </c>
      <c r="AB36" s="24">
        <f>SUMIFS(sales_data_1[Sales_Amount],sales_data_1[Year],2024, sales_data_1[month], $B36, sales_data_1[Sales_Rep], "Eve", sales_data_1[Product_Category], V$10)</f>
        <v>221095.2827205917</v>
      </c>
      <c r="AC36" s="24">
        <f>SUMIFS(sales_data_1[Sales_Amount],sales_data_1[Year],2024, sales_data_1[month], $B36, sales_data_1[Sales_Rep], "Eve", sales_data_1[Product_Category], W$10)</f>
        <v>245532.62190000003</v>
      </c>
      <c r="AD36" s="24">
        <f>SUMIFS(sales_data_1[Sales_Amount],sales_data_1[Year],2024, sales_data_1[month], $B36, sales_data_1[Sales_Rep], "Eve", sales_data_1[Product_Category], R$10)</f>
        <v>59706.6849</v>
      </c>
      <c r="AE36" s="24">
        <f t="shared" si="4"/>
        <v>876154.98832059174</v>
      </c>
      <c r="AF36" s="104">
        <f t="shared" si="10"/>
        <v>1248058.3512821498</v>
      </c>
      <c r="AG36" s="24">
        <f t="shared" si="5"/>
        <v>6750424.3577758987</v>
      </c>
      <c r="AH36" s="24">
        <f t="shared" si="11"/>
        <v>5806290.0019776374</v>
      </c>
    </row>
    <row r="37" spans="1:34" x14ac:dyDescent="0.35">
      <c r="A37" s="5"/>
      <c r="B37" s="5" t="s">
        <v>47</v>
      </c>
      <c r="C37" s="24">
        <f>SUMIFS(sales_data_1[Sales_Amount],sales_data_1[Year],2024, sales_data_1[month], $B37, sales_data_1[Sales_Rep], "Alice", sales_data_1[Product_Category], C$10)</f>
        <v>457390.16505321418</v>
      </c>
      <c r="D37" s="24">
        <f>SUMIFS(sales_data_1[Sales_Amount],sales_data_1[Year],2024, sales_data_1[month], $B37, sales_data_1[Sales_Rep], "Alice", sales_data_1[Product_Category], D$10)</f>
        <v>372217.14510393911</v>
      </c>
      <c r="E37" s="24">
        <f>SUMIFS(sales_data_1[Sales_Amount],sales_data_1[Year],2024, sales_data_1[month], $B37, sales_data_1[Sales_Rep], "Alice", sales_data_1[Product_Category], E$10)</f>
        <v>362094.18679999997</v>
      </c>
      <c r="F37" s="24">
        <f>SUMIFS(sales_data_1[Sales_Amount],sales_data_1[Year],2024, sales_data_1[month], $B37, sales_data_1[Sales_Rep], "Alice", sales_data_1[Product_Category], F$10)</f>
        <v>442225.29330000008</v>
      </c>
      <c r="G37" s="24">
        <f t="shared" si="0"/>
        <v>1633926.7902571533</v>
      </c>
      <c r="H37" s="24">
        <f t="shared" si="6"/>
        <v>1144160.7090189985</v>
      </c>
      <c r="I37" s="24">
        <f>SUMIFS(sales_data_1[Sales_Amount],sales_data_1[Year],2024, sales_data_1[month], $B37, sales_data_1[Sales_Rep], "Bob", sales_data_1[Product_Category], I$10)</f>
        <v>486742.06473823672</v>
      </c>
      <c r="J37" s="24">
        <f>SUMIFS(sales_data_1[Sales_Amount],sales_data_1[Year],2024, sales_data_1[month], $B37, sales_data_1[Sales_Rep], "Bob", sales_data_1[Product_Category], J$10)</f>
        <v>255817.4448</v>
      </c>
      <c r="K37" s="24">
        <f>SUMIFS(sales_data_1[Sales_Amount],sales_data_1[Year],2024, sales_data_1[month], $B37, sales_data_1[Sales_Rep], "Bob", sales_data_1[Product_Category], K$10)</f>
        <v>442362.89699999994</v>
      </c>
      <c r="L37" s="24">
        <f>SUMIFS(sales_data_1[Sales_Amount],sales_data_1[Year],2024, sales_data_1[month], $B37, sales_data_1[Sales_Rep], "Bob", sales_data_1[Product_Category], L$10)</f>
        <v>325298.51819999993</v>
      </c>
      <c r="M37" s="24">
        <f t="shared" si="1"/>
        <v>1510220.9247382367</v>
      </c>
      <c r="N37" s="24">
        <f t="shared" si="7"/>
        <v>1196644.8673182742</v>
      </c>
      <c r="O37" s="24">
        <f>SUMIFS(sales_data_1[Sales_Amount],sales_data_1[Year],2024, sales_data_1[month], $B37, sales_data_1[Sales_Rep], "Charlie", sales_data_1[Product_Category], O$10)</f>
        <v>442186.882133618</v>
      </c>
      <c r="P37" s="24">
        <f>SUMIFS(sales_data_1[Sales_Amount],sales_data_1[Year],2024, sales_data_1[month], $B37, sales_data_1[Sales_Rep], "Charlie", sales_data_1[Product_Category], P$10)</f>
        <v>979616.86327994708</v>
      </c>
      <c r="Q37" s="24">
        <f>SUMIFS(sales_data_1[Sales_Amount],sales_data_1[Year],2024, sales_data_1[month], $B37, sales_data_1[Sales_Rep], "Charlie", sales_data_1[Product_Category], Q$10)</f>
        <v>397428.94107959577</v>
      </c>
      <c r="R37" s="24">
        <f>SUMIFS(sales_data_1[Sales_Amount],sales_data_1[Year],2024, sales_data_1[month], $B37, sales_data_1[Sales_Rep], "Charlie", sales_data_1[Product_Category], R$10)</f>
        <v>867369.01971709612</v>
      </c>
      <c r="S37" s="24">
        <f t="shared" si="2"/>
        <v>2686601.706210257</v>
      </c>
      <c r="T37" s="24">
        <f t="shared" si="8"/>
        <v>1111946.1740003445</v>
      </c>
      <c r="U37" s="24">
        <f>SUMIFS(sales_data_1[Sales_Amount],sales_data_1[Year],2024, sales_data_1[month], $B37, sales_data_1[Sales_Rep], "David", sales_data_1[Product_Category], U$10)</f>
        <v>404716.39015811071</v>
      </c>
      <c r="V37" s="24">
        <f>SUMIFS(sales_data_1[Sales_Amount],sales_data_1[Year],2024, sales_data_1[month], $B37, sales_data_1[Sales_Rep], "David", sales_data_1[Product_Category], V$10)</f>
        <v>136633.24920000002</v>
      </c>
      <c r="W37" s="24">
        <f>SUMIFS(sales_data_1[Sales_Amount],sales_data_1[Year],2024, sales_data_1[month], $B37, sales_data_1[Sales_Rep], "David", sales_data_1[Product_Category], W$10)</f>
        <v>135594.98759999999</v>
      </c>
      <c r="X37" s="24">
        <f>SUMIFS(sales_data_1[Sales_Amount],sales_data_1[Year],2024, sales_data_1[month], $B37, sales_data_1[Sales_Rep], "David", sales_data_1[Product_Category], R$10)</f>
        <v>573033.4486</v>
      </c>
      <c r="Y37" s="24">
        <f t="shared" si="3"/>
        <v>1249978.0755581106</v>
      </c>
      <c r="Z37" s="24">
        <f t="shared" si="9"/>
        <v>1350021.4888612593</v>
      </c>
      <c r="AA37" s="24">
        <f>SUMIFS(sales_data_1[Sales_Amount],sales_data_1[Year],2024, sales_data_1[month], $B37, sales_data_1[Sales_Rep], "Eve", sales_data_1[Product_Category], U$10)</f>
        <v>553378.18830000004</v>
      </c>
      <c r="AB37" s="24">
        <f>SUMIFS(sales_data_1[Sales_Amount],sales_data_1[Year],2024, sales_data_1[month], $B37, sales_data_1[Sales_Rep], "Eve", sales_data_1[Product_Category], V$10)</f>
        <v>351878.1238</v>
      </c>
      <c r="AC37" s="24">
        <f>SUMIFS(sales_data_1[Sales_Amount],sales_data_1[Year],2024, sales_data_1[month], $B37, sales_data_1[Sales_Rep], "Eve", sales_data_1[Product_Category], W$10)</f>
        <v>317182.59269999998</v>
      </c>
      <c r="AD37" s="24">
        <f>SUMIFS(sales_data_1[Sales_Amount],sales_data_1[Year],2024, sales_data_1[month], $B37, sales_data_1[Sales_Rep], "Eve", sales_data_1[Product_Category], R$10)</f>
        <v>711084.72149668494</v>
      </c>
      <c r="AE37" s="24">
        <f t="shared" si="4"/>
        <v>1933523.6262966848</v>
      </c>
      <c r="AF37" s="104">
        <f t="shared" si="10"/>
        <v>1271593.8910550305</v>
      </c>
      <c r="AG37" s="24">
        <f t="shared" si="5"/>
        <v>9014251.1230604425</v>
      </c>
      <c r="AH37" s="24">
        <f t="shared" si="11"/>
        <v>6074367.1302539073</v>
      </c>
    </row>
    <row r="38" spans="1:34" x14ac:dyDescent="0.35">
      <c r="A38" s="5"/>
      <c r="B38" s="5" t="s">
        <v>48</v>
      </c>
      <c r="C38" s="24">
        <f>SUMIFS(sales_data_1[Sales_Amount],sales_data_1[Year],2024, sales_data_1[month], $B38, sales_data_1[Sales_Rep], "Alice", sales_data_1[Product_Category], C$10)</f>
        <v>447573.7851465295</v>
      </c>
      <c r="D38" s="24">
        <f>SUMIFS(sales_data_1[Sales_Amount],sales_data_1[Year],2024, sales_data_1[month], $B38, sales_data_1[Sales_Rep], "Alice", sales_data_1[Product_Category], D$10)</f>
        <v>446253.79080000002</v>
      </c>
      <c r="E38" s="24">
        <f>SUMIFS(sales_data_1[Sales_Amount],sales_data_1[Year],2024, sales_data_1[month], $B38, sales_data_1[Sales_Rep], "Alice", sales_data_1[Product_Category], E$10)</f>
        <v>377363.89099999995</v>
      </c>
      <c r="F38" s="24">
        <f>SUMIFS(sales_data_1[Sales_Amount],sales_data_1[Year],2024, sales_data_1[month], $B38, sales_data_1[Sales_Rep], "Alice", sales_data_1[Product_Category], F$10)</f>
        <v>482526.80603066937</v>
      </c>
      <c r="G38" s="24">
        <f t="shared" si="0"/>
        <v>1753718.2729771989</v>
      </c>
      <c r="H38" s="24">
        <f t="shared" si="6"/>
        <v>1188523.6711333746</v>
      </c>
      <c r="I38" s="24">
        <f>SUMIFS(sales_data_1[Sales_Amount],sales_data_1[Year],2024, sales_data_1[month], $B38, sales_data_1[Sales_Rep], "Bob", sales_data_1[Product_Category], I$10)</f>
        <v>392890.86920000007</v>
      </c>
      <c r="J38" s="24">
        <f>SUMIFS(sales_data_1[Sales_Amount],sales_data_1[Year],2024, sales_data_1[month], $B38, sales_data_1[Sales_Rep], "Bob", sales_data_1[Product_Category], J$10)</f>
        <v>482021.27899999998</v>
      </c>
      <c r="K38" s="24">
        <f>SUMIFS(sales_data_1[Sales_Amount],sales_data_1[Year],2024, sales_data_1[month], $B38, sales_data_1[Sales_Rep], "Bob", sales_data_1[Product_Category], K$10)</f>
        <v>102356.928</v>
      </c>
      <c r="L38" s="24">
        <f>SUMIFS(sales_data_1[Sales_Amount],sales_data_1[Year],2024, sales_data_1[month], $B38, sales_data_1[Sales_Rep], "Bob", sales_data_1[Product_Category], L$10)</f>
        <v>174552.85320000001</v>
      </c>
      <c r="M38" s="24">
        <f t="shared" si="1"/>
        <v>1151821.9294</v>
      </c>
      <c r="N38" s="24">
        <f t="shared" si="7"/>
        <v>1247174.0353981545</v>
      </c>
      <c r="O38" s="24">
        <f>SUMIFS(sales_data_1[Sales_Amount],sales_data_1[Year],2024, sales_data_1[month], $B38, sales_data_1[Sales_Rep], "Charlie", sales_data_1[Product_Category], O$10)</f>
        <v>84478.337999999989</v>
      </c>
      <c r="P38" s="24">
        <f>SUMIFS(sales_data_1[Sales_Amount],sales_data_1[Year],2024, sales_data_1[month], $B38, sales_data_1[Sales_Rep], "Charlie", sales_data_1[Product_Category], P$10)</f>
        <v>90612.884000000005</v>
      </c>
      <c r="Q38" s="24">
        <f>SUMIFS(sales_data_1[Sales_Amount],sales_data_1[Year],2024, sales_data_1[month], $B38, sales_data_1[Sales_Rep], "Charlie", sales_data_1[Product_Category], Q$10)</f>
        <v>69036.072</v>
      </c>
      <c r="R38" s="24">
        <f>SUMIFS(sales_data_1[Sales_Amount],sales_data_1[Year],2024, sales_data_1[month], $B38, sales_data_1[Sales_Rep], "Charlie", sales_data_1[Product_Category], R$10)</f>
        <v>78775.248000000007</v>
      </c>
      <c r="S38" s="24">
        <f t="shared" si="2"/>
        <v>322902.54200000002</v>
      </c>
      <c r="T38" s="24">
        <f t="shared" si="8"/>
        <v>1035960.1260397254</v>
      </c>
      <c r="U38" s="24">
        <f>SUMIFS(sales_data_1[Sales_Amount],sales_data_1[Year],2024, sales_data_1[month], $B38, sales_data_1[Sales_Rep], "David", sales_data_1[Product_Category], U$10)</f>
        <v>348177.05972559599</v>
      </c>
      <c r="V38" s="24">
        <f>SUMIFS(sales_data_1[Sales_Amount],sales_data_1[Year],2024, sales_data_1[month], $B38, sales_data_1[Sales_Rep], "David", sales_data_1[Product_Category], V$10)</f>
        <v>139153.71906169411</v>
      </c>
      <c r="W38" s="24">
        <f>SUMIFS(sales_data_1[Sales_Amount],sales_data_1[Year],2024, sales_data_1[month], $B38, sales_data_1[Sales_Rep], "David", sales_data_1[Product_Category], W$10)</f>
        <v>379987.8681276947</v>
      </c>
      <c r="X38" s="24">
        <f>SUMIFS(sales_data_1[Sales_Amount],sales_data_1[Year],2024, sales_data_1[month], $B38, sales_data_1[Sales_Rep], "David", sales_data_1[Product_Category], R$10)</f>
        <v>925704.56311873102</v>
      </c>
      <c r="Y38" s="24">
        <f t="shared" si="3"/>
        <v>1793023.2100337157</v>
      </c>
      <c r="Z38" s="24">
        <f t="shared" si="9"/>
        <v>1387093.1313106844</v>
      </c>
      <c r="AA38" s="24">
        <f>SUMIFS(sales_data_1[Sales_Amount],sales_data_1[Year],2024, sales_data_1[month], $B38, sales_data_1[Sales_Rep], "Eve", sales_data_1[Product_Category], U$10)</f>
        <v>471255.15512375144</v>
      </c>
      <c r="AB38" s="24">
        <f>SUMIFS(sales_data_1[Sales_Amount],sales_data_1[Year],2024, sales_data_1[month], $B38, sales_data_1[Sales_Rep], "Eve", sales_data_1[Product_Category], V$10)</f>
        <v>212386.065</v>
      </c>
      <c r="AC38" s="24">
        <f>SUMIFS(sales_data_1[Sales_Amount],sales_data_1[Year],2024, sales_data_1[month], $B38, sales_data_1[Sales_Rep], "Eve", sales_data_1[Product_Category], W$10)</f>
        <v>573290.31491089519</v>
      </c>
      <c r="AD38" s="24">
        <f>SUMIFS(sales_data_1[Sales_Amount],sales_data_1[Year],2024, sales_data_1[month], $B38, sales_data_1[Sales_Rep], "Eve", sales_data_1[Product_Category], R$10)</f>
        <v>252222.65426495569</v>
      </c>
      <c r="AE38" s="24">
        <f t="shared" si="4"/>
        <v>1509154.1892996025</v>
      </c>
      <c r="AF38" s="104">
        <f t="shared" si="10"/>
        <v>1319624.5545606245</v>
      </c>
      <c r="AG38" s="24">
        <f t="shared" si="5"/>
        <v>6530620.1437105164</v>
      </c>
      <c r="AH38" s="24">
        <f t="shared" si="11"/>
        <v>6178375.5184425637</v>
      </c>
    </row>
    <row r="39" spans="1:34" x14ac:dyDescent="0.35">
      <c r="A39" s="5"/>
      <c r="B39" s="5" t="s">
        <v>49</v>
      </c>
      <c r="C39" s="24">
        <f>SUMIFS(sales_data_1[Sales_Amount],sales_data_1[Year],2024, sales_data_1[month], $B39, sales_data_1[Sales_Rep], "Alice", sales_data_1[Product_Category], C$10)</f>
        <v>1075184.2209907949</v>
      </c>
      <c r="D39" s="24">
        <f>SUMIFS(sales_data_1[Sales_Amount],sales_data_1[Year],2024, sales_data_1[month], $B39, sales_data_1[Sales_Rep], "Alice", sales_data_1[Product_Category], D$10)</f>
        <v>327164.61229999998</v>
      </c>
      <c r="E39" s="24">
        <f>SUMIFS(sales_data_1[Sales_Amount],sales_data_1[Year],2024, sales_data_1[month], $B39, sales_data_1[Sales_Rep], "Alice", sales_data_1[Product_Category], E$10)</f>
        <v>605609.08836736542</v>
      </c>
      <c r="F39" s="24">
        <f>SUMIFS(sales_data_1[Sales_Amount],sales_data_1[Year],2024, sales_data_1[month], $B39, sales_data_1[Sales_Rep], "Alice", sales_data_1[Product_Category], F$10)</f>
        <v>700903.43318218156</v>
      </c>
      <c r="G39" s="24">
        <f t="shared" si="0"/>
        <v>2708861.354840342</v>
      </c>
      <c r="H39" s="24">
        <f t="shared" si="6"/>
        <v>1311963.0448656282</v>
      </c>
      <c r="I39" s="24">
        <f>SUMIFS(sales_data_1[Sales_Amount],sales_data_1[Year],2024, sales_data_1[month], $B39, sales_data_1[Sales_Rep], "Bob", sales_data_1[Product_Category], I$10)</f>
        <v>158532.39492569774</v>
      </c>
      <c r="J39" s="24">
        <f>SUMIFS(sales_data_1[Sales_Amount],sales_data_1[Year],2024, sales_data_1[month], $B39, sales_data_1[Sales_Rep], "Bob", sales_data_1[Product_Category], J$10)</f>
        <v>114320.72008129449</v>
      </c>
      <c r="K39" s="24">
        <f>SUMIFS(sales_data_1[Sales_Amount],sales_data_1[Year],2024, sales_data_1[month], $B39, sales_data_1[Sales_Rep], "Bob", sales_data_1[Product_Category], K$10)</f>
        <v>412945.27999901748</v>
      </c>
      <c r="L39" s="24">
        <f>SUMIFS(sales_data_1[Sales_Amount],sales_data_1[Year],2024, sales_data_1[month], $B39, sales_data_1[Sales_Rep], "Bob", sales_data_1[Product_Category], L$10)</f>
        <v>441235.67110000004</v>
      </c>
      <c r="M39" s="24">
        <f t="shared" si="1"/>
        <v>1127034.0661060098</v>
      </c>
      <c r="N39" s="24">
        <f t="shared" si="7"/>
        <v>1200617.0038365757</v>
      </c>
      <c r="O39" s="24">
        <f>SUMIFS(sales_data_1[Sales_Amount],sales_data_1[Year],2024, sales_data_1[month], $B39, sales_data_1[Sales_Rep], "Charlie", sales_data_1[Product_Category], O$10)</f>
        <v>243710.67069999999</v>
      </c>
      <c r="P39" s="24">
        <f>SUMIFS(sales_data_1[Sales_Amount],sales_data_1[Year],2024, sales_data_1[month], $B39, sales_data_1[Sales_Rep], "Charlie", sales_data_1[Product_Category], P$10)</f>
        <v>0</v>
      </c>
      <c r="Q39" s="24">
        <f>SUMIFS(sales_data_1[Sales_Amount],sales_data_1[Year],2024, sales_data_1[month], $B39, sales_data_1[Sales_Rep], "Charlie", sales_data_1[Product_Category], Q$10)</f>
        <v>646343.95514208695</v>
      </c>
      <c r="R39" s="24">
        <f>SUMIFS(sales_data_1[Sales_Amount],sales_data_1[Year],2024, sales_data_1[month], $B39, sales_data_1[Sales_Rep], "Charlie", sales_data_1[Product_Category], R$10)</f>
        <v>379257.23666874168</v>
      </c>
      <c r="S39" s="24">
        <f t="shared" si="2"/>
        <v>1269311.8625108288</v>
      </c>
      <c r="T39" s="24">
        <f t="shared" si="8"/>
        <v>1088156.0589857951</v>
      </c>
      <c r="U39" s="24">
        <f>SUMIFS(sales_data_1[Sales_Amount],sales_data_1[Year],2024, sales_data_1[month], $B39, sales_data_1[Sales_Rep], "David", sales_data_1[Product_Category], U$10)</f>
        <v>0</v>
      </c>
      <c r="V39" s="24">
        <f>SUMIFS(sales_data_1[Sales_Amount],sales_data_1[Year],2024, sales_data_1[month], $B39, sales_data_1[Sales_Rep], "David", sales_data_1[Product_Category], V$10)</f>
        <v>447141.01935865637</v>
      </c>
      <c r="W39" s="24">
        <f>SUMIFS(sales_data_1[Sales_Amount],sales_data_1[Year],2024, sales_data_1[month], $B39, sales_data_1[Sales_Rep], "David", sales_data_1[Product_Category], W$10)</f>
        <v>598300.45490000001</v>
      </c>
      <c r="X39" s="24">
        <f>SUMIFS(sales_data_1[Sales_Amount],sales_data_1[Year],2024, sales_data_1[month], $B39, sales_data_1[Sales_Rep], "David", sales_data_1[Product_Category], R$10)</f>
        <v>491794.85458612209</v>
      </c>
      <c r="Y39" s="24">
        <f t="shared" si="3"/>
        <v>1537236.3288447785</v>
      </c>
      <c r="Z39" s="24">
        <f t="shared" si="9"/>
        <v>1396166.3336170448</v>
      </c>
      <c r="AA39" s="24">
        <f>SUMIFS(sales_data_1[Sales_Amount],sales_data_1[Year],2024, sales_data_1[month], $B39, sales_data_1[Sales_Rep], "Eve", sales_data_1[Product_Category], U$10)</f>
        <v>464715.36620000005</v>
      </c>
      <c r="AB39" s="24">
        <f>SUMIFS(sales_data_1[Sales_Amount],sales_data_1[Year],2024, sales_data_1[month], $B39, sales_data_1[Sales_Rep], "Eve", sales_data_1[Product_Category], V$10)</f>
        <v>475991.25680000009</v>
      </c>
      <c r="AC39" s="24">
        <f>SUMIFS(sales_data_1[Sales_Amount],sales_data_1[Year],2024, sales_data_1[month], $B39, sales_data_1[Sales_Rep], "Eve", sales_data_1[Product_Category], W$10)</f>
        <v>607963.88439999998</v>
      </c>
      <c r="AD39" s="24">
        <f>SUMIFS(sales_data_1[Sales_Amount],sales_data_1[Year],2024, sales_data_1[month], $B39, sales_data_1[Sales_Rep], "Eve", sales_data_1[Product_Category], R$10)</f>
        <v>1038704.1822009543</v>
      </c>
      <c r="AE39" s="24">
        <f t="shared" si="4"/>
        <v>2587374.6896009543</v>
      </c>
      <c r="AF39" s="104">
        <f t="shared" si="10"/>
        <v>1481954.4838869132</v>
      </c>
      <c r="AG39" s="24">
        <f t="shared" si="5"/>
        <v>9229818.3019029126</v>
      </c>
      <c r="AH39" s="24">
        <f t="shared" si="11"/>
        <v>6478856.9251919566</v>
      </c>
    </row>
    <row r="40" spans="1:34" x14ac:dyDescent="0.35">
      <c r="A40" s="5"/>
      <c r="B40" s="5" t="s">
        <v>50</v>
      </c>
      <c r="C40" s="24">
        <f>SUMIFS(sales_data_1[Sales_Amount],sales_data_1[Year],2024, sales_data_1[month], $B40, sales_data_1[Sales_Rep], "Alice", sales_data_1[Product_Category], C$10)</f>
        <v>337716.43120000005</v>
      </c>
      <c r="D40" s="24">
        <f>SUMIFS(sales_data_1[Sales_Amount],sales_data_1[Year],2024, sales_data_1[month], $B40, sales_data_1[Sales_Rep], "Alice", sales_data_1[Product_Category], D$10)</f>
        <v>257500.18571173353</v>
      </c>
      <c r="E40" s="24">
        <f>SUMIFS(sales_data_1[Sales_Amount],sales_data_1[Year],2024, sales_data_1[month], $B40, sales_data_1[Sales_Rep], "Alice", sales_data_1[Product_Category], E$10)</f>
        <v>317631.79559999995</v>
      </c>
      <c r="F40" s="24">
        <f>SUMIFS(sales_data_1[Sales_Amount],sales_data_1[Year],2024, sales_data_1[month], $B40, sales_data_1[Sales_Rep], "Alice", sales_data_1[Product_Category], F$10)</f>
        <v>559446.42963394232</v>
      </c>
      <c r="G40" s="24">
        <f t="shared" si="0"/>
        <v>1472294.8421456758</v>
      </c>
      <c r="H40" s="24">
        <f t="shared" si="6"/>
        <v>1357097.3951664248</v>
      </c>
      <c r="I40" s="24">
        <f>SUMIFS(sales_data_1[Sales_Amount],sales_data_1[Year],2024, sales_data_1[month], $B40, sales_data_1[Sales_Rep], "Bob", sales_data_1[Product_Category], I$10)</f>
        <v>230336.88023383752</v>
      </c>
      <c r="J40" s="24">
        <f>SUMIFS(sales_data_1[Sales_Amount],sales_data_1[Year],2024, sales_data_1[month], $B40, sales_data_1[Sales_Rep], "Bob", sales_data_1[Product_Category], J$10)</f>
        <v>345525.91029790475</v>
      </c>
      <c r="K40" s="24">
        <f>SUMIFS(sales_data_1[Sales_Amount],sales_data_1[Year],2024, sales_data_1[month], $B40, sales_data_1[Sales_Rep], "Bob", sales_data_1[Product_Category], K$10)</f>
        <v>296039.68180000002</v>
      </c>
      <c r="L40" s="24">
        <f>SUMIFS(sales_data_1[Sales_Amount],sales_data_1[Year],2024, sales_data_1[month], $B40, sales_data_1[Sales_Rep], "Bob", sales_data_1[Product_Category], L$10)</f>
        <v>420114.3848000936</v>
      </c>
      <c r="M40" s="24">
        <f t="shared" si="1"/>
        <v>1292016.857131836</v>
      </c>
      <c r="N40" s="24">
        <f t="shared" si="7"/>
        <v>1205761.4512246761</v>
      </c>
      <c r="O40" s="24">
        <f>SUMIFS(sales_data_1[Sales_Amount],sales_data_1[Year],2024, sales_data_1[month], $B40, sales_data_1[Sales_Rep], "Charlie", sales_data_1[Product_Category], O$10)</f>
        <v>477434.18351082155</v>
      </c>
      <c r="P40" s="24">
        <f>SUMIFS(sales_data_1[Sales_Amount],sales_data_1[Year],2024, sales_data_1[month], $B40, sales_data_1[Sales_Rep], "Charlie", sales_data_1[Product_Category], P$10)</f>
        <v>298725.66899999999</v>
      </c>
      <c r="Q40" s="24">
        <f>SUMIFS(sales_data_1[Sales_Amount],sales_data_1[Year],2024, sales_data_1[month], $B40, sales_data_1[Sales_Rep], "Charlie", sales_data_1[Product_Category], Q$10)</f>
        <v>376283.95029999997</v>
      </c>
      <c r="R40" s="24">
        <f>SUMIFS(sales_data_1[Sales_Amount],sales_data_1[Year],2024, sales_data_1[month], $B40, sales_data_1[Sales_Rep], "Charlie", sales_data_1[Product_Category], R$10)</f>
        <v>404207.76870036521</v>
      </c>
      <c r="S40" s="24">
        <f t="shared" si="2"/>
        <v>1556651.5715111867</v>
      </c>
      <c r="T40" s="24">
        <f t="shared" si="8"/>
        <v>1124616.6450976783</v>
      </c>
      <c r="U40" s="24">
        <f>SUMIFS(sales_data_1[Sales_Amount],sales_data_1[Year],2024, sales_data_1[month], $B40, sales_data_1[Sales_Rep], "David", sales_data_1[Product_Category], U$10)</f>
        <v>445347.59429851384</v>
      </c>
      <c r="V40" s="24">
        <f>SUMIFS(sales_data_1[Sales_Amount],sales_data_1[Year],2024, sales_data_1[month], $B40, sales_data_1[Sales_Rep], "David", sales_data_1[Product_Category], V$10)</f>
        <v>374979.83454476693</v>
      </c>
      <c r="W40" s="24">
        <f>SUMIFS(sales_data_1[Sales_Amount],sales_data_1[Year],2024, sales_data_1[month], $B40, sales_data_1[Sales_Rep], "David", sales_data_1[Product_Category], W$10)</f>
        <v>349439.06030000001</v>
      </c>
      <c r="X40" s="24">
        <f>SUMIFS(sales_data_1[Sales_Amount],sales_data_1[Year],2024, sales_data_1[month], $B40, sales_data_1[Sales_Rep], "David", sales_data_1[Product_Category], R$10)</f>
        <v>19387.955999999998</v>
      </c>
      <c r="Y40" s="24">
        <f t="shared" si="3"/>
        <v>1189154.4451432808</v>
      </c>
      <c r="Z40" s="24">
        <f t="shared" si="9"/>
        <v>1419809.6807393844</v>
      </c>
      <c r="AA40" s="24">
        <f>SUMIFS(sales_data_1[Sales_Amount],sales_data_1[Year],2024, sales_data_1[month], $B40, sales_data_1[Sales_Rep], "Eve", sales_data_1[Product_Category], U$10)</f>
        <v>100084.8158</v>
      </c>
      <c r="AB40" s="24">
        <f>SUMIFS(sales_data_1[Sales_Amount],sales_data_1[Year],2024, sales_data_1[month], $B40, sales_data_1[Sales_Rep], "Eve", sales_data_1[Product_Category], V$10)</f>
        <v>356025.66250000003</v>
      </c>
      <c r="AC40" s="24">
        <f>SUMIFS(sales_data_1[Sales_Amount],sales_data_1[Year],2024, sales_data_1[month], $B40, sales_data_1[Sales_Rep], "Eve", sales_data_1[Product_Category], W$10)</f>
        <v>543584.92169999995</v>
      </c>
      <c r="AD40" s="24">
        <f>SUMIFS(sales_data_1[Sales_Amount],sales_data_1[Year],2024, sales_data_1[month], $B40, sales_data_1[Sales_Rep], "Eve", sales_data_1[Product_Category], R$10)</f>
        <v>290491.49570000003</v>
      </c>
      <c r="AE40" s="24">
        <f t="shared" si="4"/>
        <v>1290186.8957</v>
      </c>
      <c r="AF40" s="104">
        <f t="shared" si="10"/>
        <v>1446028.674719465</v>
      </c>
      <c r="AG40" s="24">
        <f t="shared" si="5"/>
        <v>6800304.6116319792</v>
      </c>
      <c r="AH40" s="24">
        <f t="shared" si="11"/>
        <v>6553313.8469476281</v>
      </c>
    </row>
    <row r="41" spans="1:34" x14ac:dyDescent="0.35">
      <c r="A41" s="5"/>
      <c r="B41" s="5" t="s">
        <v>51</v>
      </c>
      <c r="C41" s="24">
        <f>SUMIFS(sales_data_1[Sales_Amount],sales_data_1[Year],2024, sales_data_1[month], $B41, sales_data_1[Sales_Rep], "Alice", sales_data_1[Product_Category], C$10)</f>
        <v>360060.43133041414</v>
      </c>
      <c r="D41" s="24">
        <f>SUMIFS(sales_data_1[Sales_Amount],sales_data_1[Year],2024, sales_data_1[month], $B41, sales_data_1[Sales_Rep], "Alice", sales_data_1[Product_Category], D$10)</f>
        <v>409673.99920000002</v>
      </c>
      <c r="E41" s="24">
        <f>SUMIFS(sales_data_1[Sales_Amount],sales_data_1[Year],2024, sales_data_1[month], $B41, sales_data_1[Sales_Rep], "Alice", sales_data_1[Product_Category], E$10)</f>
        <v>628969.44622619811</v>
      </c>
      <c r="F41" s="24">
        <f>SUMIFS(sales_data_1[Sales_Amount],sales_data_1[Year],2024, sales_data_1[month], $B41, sales_data_1[Sales_Rep], "Alice", sales_data_1[Product_Category], F$10)</f>
        <v>355053.96769914648</v>
      </c>
      <c r="G41" s="24">
        <f t="shared" si="0"/>
        <v>1753757.8444557586</v>
      </c>
      <c r="H41" s="24">
        <f t="shared" si="6"/>
        <v>1418354.6010944361</v>
      </c>
      <c r="I41" s="24">
        <f>SUMIFS(sales_data_1[Sales_Amount],sales_data_1[Year],2024, sales_data_1[month], $B41, sales_data_1[Sales_Rep], "Bob", sales_data_1[Product_Category], I$10)</f>
        <v>58975.111800000006</v>
      </c>
      <c r="J41" s="24">
        <f>SUMIFS(sales_data_1[Sales_Amount],sales_data_1[Year],2024, sales_data_1[month], $B41, sales_data_1[Sales_Rep], "Bob", sales_data_1[Product_Category], J$10)</f>
        <v>355855.03419999999</v>
      </c>
      <c r="K41" s="24">
        <f>SUMIFS(sales_data_1[Sales_Amount],sales_data_1[Year],2024, sales_data_1[month], $B41, sales_data_1[Sales_Rep], "Bob", sales_data_1[Product_Category], K$10)</f>
        <v>381747.4933847877</v>
      </c>
      <c r="L41" s="24">
        <f>SUMIFS(sales_data_1[Sales_Amount],sales_data_1[Year],2024, sales_data_1[month], $B41, sales_data_1[Sales_Rep], "Bob", sales_data_1[Product_Category], L$10)</f>
        <v>471118.49700000003</v>
      </c>
      <c r="M41" s="24">
        <f t="shared" si="1"/>
        <v>1267696.1363847877</v>
      </c>
      <c r="N41" s="24">
        <f t="shared" si="7"/>
        <v>1255795.4651154685</v>
      </c>
      <c r="O41" s="24">
        <f>SUMIFS(sales_data_1[Sales_Amount],sales_data_1[Year],2024, sales_data_1[month], $B41, sales_data_1[Sales_Rep], "Charlie", sales_data_1[Product_Category], O$10)</f>
        <v>0</v>
      </c>
      <c r="P41" s="24">
        <f>SUMIFS(sales_data_1[Sales_Amount],sales_data_1[Year],2024, sales_data_1[month], $B41, sales_data_1[Sales_Rep], "Charlie", sales_data_1[Product_Category], P$10)</f>
        <v>148696.59520000001</v>
      </c>
      <c r="Q41" s="24">
        <f>SUMIFS(sales_data_1[Sales_Amount],sales_data_1[Year],2024, sales_data_1[month], $B41, sales_data_1[Sales_Rep], "Charlie", sales_data_1[Product_Category], Q$10)</f>
        <v>369549.09960000002</v>
      </c>
      <c r="R41" s="24">
        <f>SUMIFS(sales_data_1[Sales_Amount],sales_data_1[Year],2024, sales_data_1[month], $B41, sales_data_1[Sales_Rep], "Charlie", sales_data_1[Product_Category], R$10)</f>
        <v>341408.84916751721</v>
      </c>
      <c r="S41" s="24">
        <f t="shared" si="2"/>
        <v>859654.54396751733</v>
      </c>
      <c r="T41" s="24">
        <f t="shared" si="8"/>
        <v>1126162.963019429</v>
      </c>
      <c r="U41" s="24">
        <f>SUMIFS(sales_data_1[Sales_Amount],sales_data_1[Year],2024, sales_data_1[month], $B41, sales_data_1[Sales_Rep], "David", sales_data_1[Product_Category], U$10)</f>
        <v>519365.08237770945</v>
      </c>
      <c r="V41" s="24">
        <f>SUMIFS(sales_data_1[Sales_Amount],sales_data_1[Year],2024, sales_data_1[month], $B41, sales_data_1[Sales_Rep], "David", sales_data_1[Product_Category], V$10)</f>
        <v>331676.16800311807</v>
      </c>
      <c r="W41" s="24">
        <f>SUMIFS(sales_data_1[Sales_Amount],sales_data_1[Year],2024, sales_data_1[month], $B41, sales_data_1[Sales_Rep], "David", sales_data_1[Product_Category], W$10)</f>
        <v>91763.944799999997</v>
      </c>
      <c r="X41" s="24">
        <f>SUMIFS(sales_data_1[Sales_Amount],sales_data_1[Year],2024, sales_data_1[month], $B41, sales_data_1[Sales_Rep], "David", sales_data_1[Product_Category], R$10)</f>
        <v>597130.4976</v>
      </c>
      <c r="Y41" s="24">
        <f t="shared" si="3"/>
        <v>1539935.6927808276</v>
      </c>
      <c r="Z41" s="24">
        <f t="shared" si="9"/>
        <v>1474045.393077648</v>
      </c>
      <c r="AA41" s="24">
        <f>SUMIFS(sales_data_1[Sales_Amount],sales_data_1[Year],2024, sales_data_1[month], $B41, sales_data_1[Sales_Rep], "Eve", sales_data_1[Product_Category], U$10)</f>
        <v>286290.16310000001</v>
      </c>
      <c r="AB41" s="24">
        <f>SUMIFS(sales_data_1[Sales_Amount],sales_data_1[Year],2024, sales_data_1[month], $B41, sales_data_1[Sales_Rep], "Eve", sales_data_1[Product_Category], V$10)</f>
        <v>186831.70856422919</v>
      </c>
      <c r="AC41" s="24">
        <f>SUMIFS(sales_data_1[Sales_Amount],sales_data_1[Year],2024, sales_data_1[month], $B41, sales_data_1[Sales_Rep], "Eve", sales_data_1[Product_Category], W$10)</f>
        <v>453685.74800000002</v>
      </c>
      <c r="AD41" s="24">
        <f>SUMIFS(sales_data_1[Sales_Amount],sales_data_1[Year],2024, sales_data_1[month], $B41, sales_data_1[Sales_Rep], "Eve", sales_data_1[Product_Category], R$10)</f>
        <v>95117.795999999973</v>
      </c>
      <c r="AE41" s="24">
        <f t="shared" si="4"/>
        <v>1021925.4156642292</v>
      </c>
      <c r="AF41" s="104">
        <f t="shared" si="10"/>
        <v>1437132.9682074839</v>
      </c>
      <c r="AG41" s="24">
        <f t="shared" si="5"/>
        <v>6442969.6332531199</v>
      </c>
      <c r="AH41" s="24">
        <f t="shared" si="11"/>
        <v>6711491.390514466</v>
      </c>
    </row>
    <row r="42" spans="1:34" x14ac:dyDescent="0.35">
      <c r="A42" s="5"/>
      <c r="B42" s="5" t="s">
        <v>52</v>
      </c>
      <c r="C42" s="24">
        <f>SUMIFS(sales_data_1[Sales_Amount],sales_data_1[Year],2024, sales_data_1[month], $B42, sales_data_1[Sales_Rep], "Alice", sales_data_1[Product_Category], C$10)</f>
        <v>255089.69</v>
      </c>
      <c r="D42" s="24">
        <f>SUMIFS(sales_data_1[Sales_Amount],sales_data_1[Year],2024, sales_data_1[month], $B42, sales_data_1[Sales_Rep], "Alice", sales_data_1[Product_Category], D$10)</f>
        <v>250665.15585651668</v>
      </c>
      <c r="E42" s="24">
        <f>SUMIFS(sales_data_1[Sales_Amount],sales_data_1[Year],2024, sales_data_1[month], $B42, sales_data_1[Sales_Rep], "Alice", sales_data_1[Product_Category], E$10)</f>
        <v>457684.12150000001</v>
      </c>
      <c r="F42" s="24">
        <f>SUMIFS(sales_data_1[Sales_Amount],sales_data_1[Year],2024, sales_data_1[month], $B42, sales_data_1[Sales_Rep], "Alice", sales_data_1[Product_Category], F$10)</f>
        <v>213728.58087258736</v>
      </c>
      <c r="G42" s="24">
        <f t="shared" si="0"/>
        <v>1177167.5482291041</v>
      </c>
      <c r="H42" s="24">
        <f t="shared" si="6"/>
        <v>1396942.5928594659</v>
      </c>
      <c r="I42" s="24">
        <f>SUMIFS(sales_data_1[Sales_Amount],sales_data_1[Year],2024, sales_data_1[month], $B42, sales_data_1[Sales_Rep], "Bob", sales_data_1[Product_Category], I$10)</f>
        <v>215089.12809999997</v>
      </c>
      <c r="J42" s="24">
        <f>SUMIFS(sales_data_1[Sales_Amount],sales_data_1[Year],2024, sales_data_1[month], $B42, sales_data_1[Sales_Rep], "Bob", sales_data_1[Product_Category], J$10)</f>
        <v>371014.81660222716</v>
      </c>
      <c r="K42" s="24">
        <f>SUMIFS(sales_data_1[Sales_Amount],sales_data_1[Year],2024, sales_data_1[month], $B42, sales_data_1[Sales_Rep], "Bob", sales_data_1[Product_Category], K$10)</f>
        <v>567817.93960581906</v>
      </c>
      <c r="L42" s="24">
        <f>SUMIFS(sales_data_1[Sales_Amount],sales_data_1[Year],2024, sales_data_1[month], $B42, sales_data_1[Sales_Rep], "Bob", sales_data_1[Product_Category], L$10)</f>
        <v>711538.80831817817</v>
      </c>
      <c r="M42" s="24">
        <f t="shared" si="1"/>
        <v>1865460.6926262244</v>
      </c>
      <c r="N42" s="24">
        <f t="shared" si="7"/>
        <v>1304574.9704597814</v>
      </c>
      <c r="O42" s="24">
        <f>SUMIFS(sales_data_1[Sales_Amount],sales_data_1[Year],2024, sales_data_1[month], $B42, sales_data_1[Sales_Rep], "Charlie", sales_data_1[Product_Category], O$10)</f>
        <v>21649.017599999999</v>
      </c>
      <c r="P42" s="24">
        <f>SUMIFS(sales_data_1[Sales_Amount],sales_data_1[Year],2024, sales_data_1[month], $B42, sales_data_1[Sales_Rep], "Charlie", sales_data_1[Product_Category], P$10)</f>
        <v>419050.65100000001</v>
      </c>
      <c r="Q42" s="24">
        <f>SUMIFS(sales_data_1[Sales_Amount],sales_data_1[Year],2024, sales_data_1[month], $B42, sales_data_1[Sales_Rep], "Charlie", sales_data_1[Product_Category], Q$10)</f>
        <v>209069.45010380785</v>
      </c>
      <c r="R42" s="24">
        <f>SUMIFS(sales_data_1[Sales_Amount],sales_data_1[Year],2024, sales_data_1[month], $B42, sales_data_1[Sales_Rep], "Charlie", sales_data_1[Product_Category], R$10)</f>
        <v>185808.40976713106</v>
      </c>
      <c r="S42" s="24">
        <f t="shared" si="2"/>
        <v>835577.52847093903</v>
      </c>
      <c r="T42" s="24">
        <f t="shared" si="8"/>
        <v>1106668.157725685</v>
      </c>
      <c r="U42" s="24">
        <f>SUMIFS(sales_data_1[Sales_Amount],sales_data_1[Year],2024, sales_data_1[month], $B42, sales_data_1[Sales_Rep], "David", sales_data_1[Product_Category], U$10)</f>
        <v>492465.10978361947</v>
      </c>
      <c r="V42" s="24">
        <f>SUMIFS(sales_data_1[Sales_Amount],sales_data_1[Year],2024, sales_data_1[month], $B42, sales_data_1[Sales_Rep], "David", sales_data_1[Product_Category], V$10)</f>
        <v>411301.04480000003</v>
      </c>
      <c r="W42" s="24">
        <f>SUMIFS(sales_data_1[Sales_Amount],sales_data_1[Year],2024, sales_data_1[month], $B42, sales_data_1[Sales_Rep], "David", sales_data_1[Product_Category], W$10)</f>
        <v>310595.26077252446</v>
      </c>
      <c r="X42" s="24">
        <f>SUMIFS(sales_data_1[Sales_Amount],sales_data_1[Year],2024, sales_data_1[month], $B42, sales_data_1[Sales_Rep], "David", sales_data_1[Product_Category], R$10)</f>
        <v>24677.625</v>
      </c>
      <c r="Y42" s="24">
        <f t="shared" si="3"/>
        <v>1239039.0403561438</v>
      </c>
      <c r="Z42" s="24">
        <f t="shared" si="9"/>
        <v>1467329.6791259544</v>
      </c>
      <c r="AA42" s="24">
        <f>SUMIFS(sales_data_1[Sales_Amount],sales_data_1[Year],2024, sales_data_1[month], $B42, sales_data_1[Sales_Rep], "Eve", sales_data_1[Product_Category], U$10)</f>
        <v>178035.11099999998</v>
      </c>
      <c r="AB42" s="24">
        <f>SUMIFS(sales_data_1[Sales_Amount],sales_data_1[Year],2024, sales_data_1[month], $B42, sales_data_1[Sales_Rep], "Eve", sales_data_1[Product_Category], V$10)</f>
        <v>134189.71960000001</v>
      </c>
      <c r="AC42" s="24">
        <f>SUMIFS(sales_data_1[Sales_Amount],sales_data_1[Year],2024, sales_data_1[month], $B42, sales_data_1[Sales_Rep], "Eve", sales_data_1[Product_Category], W$10)</f>
        <v>564596.06951679895</v>
      </c>
      <c r="AD42" s="24">
        <f>SUMIFS(sales_data_1[Sales_Amount],sales_data_1[Year],2024, sales_data_1[month], $B42, sales_data_1[Sales_Rep], "Eve", sales_data_1[Product_Category], R$10)</f>
        <v>299459.64379999996</v>
      </c>
      <c r="AE42" s="24">
        <f t="shared" si="4"/>
        <v>1176280.5439167989</v>
      </c>
      <c r="AF42" s="104">
        <f t="shared" si="10"/>
        <v>1417947.5683427623</v>
      </c>
      <c r="AG42" s="24">
        <f t="shared" si="5"/>
        <v>6293525.3535992112</v>
      </c>
      <c r="AH42" s="24">
        <f t="shared" si="11"/>
        <v>6693462.968513649</v>
      </c>
    </row>
    <row r="43" spans="1:34" x14ac:dyDescent="0.35">
      <c r="A43" s="5"/>
      <c r="B43" s="5" t="s">
        <v>53</v>
      </c>
      <c r="C43" s="24">
        <f>SUMIFS(sales_data_1[Sales_Amount],sales_data_1[Year],2024, sales_data_1[month], $B43, sales_data_1[Sales_Rep], "Alice", sales_data_1[Product_Category], C$10)</f>
        <v>265002.68569999997</v>
      </c>
      <c r="D43" s="24">
        <f>SUMIFS(sales_data_1[Sales_Amount],sales_data_1[Year],2024, sales_data_1[month], $B43, sales_data_1[Sales_Rep], "Alice", sales_data_1[Product_Category], D$10)</f>
        <v>310104.39110000001</v>
      </c>
      <c r="E43" s="24">
        <f>SUMIFS(sales_data_1[Sales_Amount],sales_data_1[Year],2024, sales_data_1[month], $B43, sales_data_1[Sales_Rep], "Alice", sales_data_1[Product_Category], E$10)</f>
        <v>263308.01179999998</v>
      </c>
      <c r="F43" s="24">
        <f>SUMIFS(sales_data_1[Sales_Amount],sales_data_1[Year],2024, sales_data_1[month], $B43, sales_data_1[Sales_Rep], "Alice", sales_data_1[Product_Category], F$10)</f>
        <v>727231.13143607194</v>
      </c>
      <c r="G43" s="24">
        <f t="shared" si="0"/>
        <v>1565646.2200360717</v>
      </c>
      <c r="H43" s="24">
        <f t="shared" si="6"/>
        <v>1498248.7499228579</v>
      </c>
      <c r="I43" s="24">
        <f>SUMIFS(sales_data_1[Sales_Amount],sales_data_1[Year],2024, sales_data_1[month], $B43, sales_data_1[Sales_Rep], "Bob", sales_data_1[Product_Category], I$10)</f>
        <v>77333.001600000003</v>
      </c>
      <c r="J43" s="24">
        <f>SUMIFS(sales_data_1[Sales_Amount],sales_data_1[Year],2024, sales_data_1[month], $B43, sales_data_1[Sales_Rep], "Bob", sales_data_1[Product_Category], J$10)</f>
        <v>312101.50684958795</v>
      </c>
      <c r="K43" s="24">
        <f>SUMIFS(sales_data_1[Sales_Amount],sales_data_1[Year],2024, sales_data_1[month], $B43, sales_data_1[Sales_Rep], "Bob", sales_data_1[Product_Category], K$10)</f>
        <v>312453.28580000001</v>
      </c>
      <c r="L43" s="24">
        <f>SUMIFS(sales_data_1[Sales_Amount],sales_data_1[Year],2024, sales_data_1[month], $B43, sales_data_1[Sales_Rep], "Bob", sales_data_1[Product_Category], L$10)</f>
        <v>346159.45385874511</v>
      </c>
      <c r="M43" s="24">
        <f t="shared" si="1"/>
        <v>1048047.248108333</v>
      </c>
      <c r="N43" s="24">
        <f t="shared" si="7"/>
        <v>1288175.611988513</v>
      </c>
      <c r="O43" s="24">
        <f>SUMIFS(sales_data_1[Sales_Amount],sales_data_1[Year],2024, sales_data_1[month], $B43, sales_data_1[Sales_Rep], "Charlie", sales_data_1[Product_Category], O$10)</f>
        <v>305006.84360000002</v>
      </c>
      <c r="P43" s="24">
        <f>SUMIFS(sales_data_1[Sales_Amount],sales_data_1[Year],2024, sales_data_1[month], $B43, sales_data_1[Sales_Rep], "Charlie", sales_data_1[Product_Category], P$10)</f>
        <v>320625.15130000003</v>
      </c>
      <c r="Q43" s="24">
        <f>SUMIFS(sales_data_1[Sales_Amount],sales_data_1[Year],2024, sales_data_1[month], $B43, sales_data_1[Sales_Rep], "Charlie", sales_data_1[Product_Category], Q$10)</f>
        <v>196664.38129999998</v>
      </c>
      <c r="R43" s="24">
        <f>SUMIFS(sales_data_1[Sales_Amount],sales_data_1[Year],2024, sales_data_1[month], $B43, sales_data_1[Sales_Rep], "Charlie", sales_data_1[Product_Category], R$10)</f>
        <v>438302.18977371999</v>
      </c>
      <c r="S43" s="24">
        <f t="shared" si="2"/>
        <v>1260598.56597372</v>
      </c>
      <c r="T43" s="24">
        <f t="shared" si="8"/>
        <v>1139927.0198209861</v>
      </c>
      <c r="U43" s="24">
        <f>SUMIFS(sales_data_1[Sales_Amount],sales_data_1[Year],2024, sales_data_1[month], $B43, sales_data_1[Sales_Rep], "David", sales_data_1[Product_Category], U$10)</f>
        <v>435101.0184333183</v>
      </c>
      <c r="V43" s="24">
        <f>SUMIFS(sales_data_1[Sales_Amount],sales_data_1[Year],2024, sales_data_1[month], $B43, sales_data_1[Sales_Rep], "David", sales_data_1[Product_Category], V$10)</f>
        <v>346638.53741138423</v>
      </c>
      <c r="W43" s="24">
        <f>SUMIFS(sales_data_1[Sales_Amount],sales_data_1[Year],2024, sales_data_1[month], $B43, sales_data_1[Sales_Rep], "David", sales_data_1[Product_Category], W$10)</f>
        <v>484486.76491205062</v>
      </c>
      <c r="X43" s="24">
        <f>SUMIFS(sales_data_1[Sales_Amount],sales_data_1[Year],2024, sales_data_1[month], $B43, sales_data_1[Sales_Rep], "David", sales_data_1[Product_Category], R$10)</f>
        <v>224346.03165155859</v>
      </c>
      <c r="Y43" s="24">
        <f t="shared" si="3"/>
        <v>1490572.3524083118</v>
      </c>
      <c r="Z43" s="24">
        <f t="shared" si="9"/>
        <v>1521414.8556199176</v>
      </c>
      <c r="AA43" s="24">
        <f>SUMIFS(sales_data_1[Sales_Amount],sales_data_1[Year],2024, sales_data_1[month], $B43, sales_data_1[Sales_Rep], "Eve", sales_data_1[Product_Category], U$10)</f>
        <v>590745.14870000002</v>
      </c>
      <c r="AB43" s="24">
        <f>SUMIFS(sales_data_1[Sales_Amount],sales_data_1[Year],2024, sales_data_1[month], $B43, sales_data_1[Sales_Rep], "Eve", sales_data_1[Product_Category], V$10)</f>
        <v>143348.23199999999</v>
      </c>
      <c r="AC43" s="24">
        <f>SUMIFS(sales_data_1[Sales_Amount],sales_data_1[Year],2024, sales_data_1[month], $B43, sales_data_1[Sales_Rep], "Eve", sales_data_1[Product_Category], W$10)</f>
        <v>678389.7031528306</v>
      </c>
      <c r="AD43" s="24">
        <f>SUMIFS(sales_data_1[Sales_Amount],sales_data_1[Year],2024, sales_data_1[month], $B43, sales_data_1[Sales_Rep], "Eve", sales_data_1[Product_Category], R$10)</f>
        <v>97258.3848</v>
      </c>
      <c r="AE43" s="24">
        <f t="shared" si="4"/>
        <v>1509741.4686528305</v>
      </c>
      <c r="AF43" s="104">
        <f t="shared" si="10"/>
        <v>1454496.5169124503</v>
      </c>
      <c r="AG43" s="24">
        <f t="shared" si="5"/>
        <v>6874605.855179267</v>
      </c>
      <c r="AH43" s="24">
        <f t="shared" si="11"/>
        <v>6902262.7542647244</v>
      </c>
    </row>
    <row r="44" spans="1:34" x14ac:dyDescent="0.35">
      <c r="A44" s="5"/>
      <c r="B44" s="5" t="s">
        <v>54</v>
      </c>
      <c r="C44" s="24">
        <f>SUMIFS(sales_data_1[Sales_Amount],sales_data_1[Year],2024, sales_data_1[month], $B44, sales_data_1[Sales_Rep], "Alice", sales_data_1[Product_Category], C$10)</f>
        <v>240541.8561</v>
      </c>
      <c r="D44" s="24">
        <f>SUMIFS(sales_data_1[Sales_Amount],sales_data_1[Year],2024, sales_data_1[month], $B44, sales_data_1[Sales_Rep], "Alice", sales_data_1[Product_Category], D$10)</f>
        <v>366916.63030000002</v>
      </c>
      <c r="E44" s="24">
        <f>SUMIFS(sales_data_1[Sales_Amount],sales_data_1[Year],2024, sales_data_1[month], $B44, sales_data_1[Sales_Rep], "Alice", sales_data_1[Product_Category], E$10)</f>
        <v>583516.37299999991</v>
      </c>
      <c r="F44" s="24">
        <f>SUMIFS(sales_data_1[Sales_Amount],sales_data_1[Year],2024, sales_data_1[month], $B44, sales_data_1[Sales_Rep], "Alice", sales_data_1[Product_Category], F$10)</f>
        <v>271934.65084866434</v>
      </c>
      <c r="G44" s="24">
        <f t="shared" si="0"/>
        <v>1462909.5102486643</v>
      </c>
      <c r="H44" s="24">
        <f t="shared" si="6"/>
        <v>1561933.8019609945</v>
      </c>
      <c r="I44" s="24">
        <f>SUMIFS(sales_data_1[Sales_Amount],sales_data_1[Year],2024, sales_data_1[month], $B44, sales_data_1[Sales_Rep], "Bob", sales_data_1[Product_Category], I$10)</f>
        <v>339064.49780000001</v>
      </c>
      <c r="J44" s="24">
        <f>SUMIFS(sales_data_1[Sales_Amount],sales_data_1[Year],2024, sales_data_1[month], $B44, sales_data_1[Sales_Rep], "Bob", sales_data_1[Product_Category], J$10)</f>
        <v>182470.595</v>
      </c>
      <c r="K44" s="24">
        <f>SUMIFS(sales_data_1[Sales_Amount],sales_data_1[Year],2024, sales_data_1[month], $B44, sales_data_1[Sales_Rep], "Bob", sales_data_1[Product_Category], K$10)</f>
        <v>457449.87765499123</v>
      </c>
      <c r="L44" s="24">
        <f>SUMIFS(sales_data_1[Sales_Amount],sales_data_1[Year],2024, sales_data_1[month], $B44, sales_data_1[Sales_Rep], "Bob", sales_data_1[Product_Category], L$10)</f>
        <v>344901.22759999998</v>
      </c>
      <c r="M44" s="24">
        <f t="shared" si="1"/>
        <v>1323886.1980549912</v>
      </c>
      <c r="N44" s="24">
        <f t="shared" si="7"/>
        <v>1322097.3351142255</v>
      </c>
      <c r="O44" s="24">
        <f>SUMIFS(sales_data_1[Sales_Amount],sales_data_1[Year],2024, sales_data_1[month], $B44, sales_data_1[Sales_Rep], "Charlie", sales_data_1[Product_Category], O$10)</f>
        <v>299976.15270000004</v>
      </c>
      <c r="P44" s="24">
        <f>SUMIFS(sales_data_1[Sales_Amount],sales_data_1[Year],2024, sales_data_1[month], $B44, sales_data_1[Sales_Rep], "Charlie", sales_data_1[Product_Category], P$10)</f>
        <v>272510.56924013147</v>
      </c>
      <c r="Q44" s="24">
        <f>SUMIFS(sales_data_1[Sales_Amount],sales_data_1[Year],2024, sales_data_1[month], $B44, sales_data_1[Sales_Rep], "Charlie", sales_data_1[Product_Category], Q$10)</f>
        <v>523339.2842319195</v>
      </c>
      <c r="R44" s="24">
        <f>SUMIFS(sales_data_1[Sales_Amount],sales_data_1[Year],2024, sales_data_1[month], $B44, sales_data_1[Sales_Rep], "Charlie", sales_data_1[Product_Category], R$10)</f>
        <v>381545.29600000003</v>
      </c>
      <c r="S44" s="24">
        <f t="shared" si="2"/>
        <v>1477371.302172051</v>
      </c>
      <c r="T44" s="24">
        <f t="shared" si="8"/>
        <v>1178445.2470839808</v>
      </c>
      <c r="U44" s="24">
        <f>SUMIFS(sales_data_1[Sales_Amount],sales_data_1[Year],2024, sales_data_1[month], $B44, sales_data_1[Sales_Rep], "David", sales_data_1[Product_Category], U$10)</f>
        <v>485034.62761498865</v>
      </c>
      <c r="V44" s="24">
        <f>SUMIFS(sales_data_1[Sales_Amount],sales_data_1[Year],2024, sales_data_1[month], $B44, sales_data_1[Sales_Rep], "David", sales_data_1[Product_Category], V$10)</f>
        <v>400137.00539999997</v>
      </c>
      <c r="W44" s="24">
        <f>SUMIFS(sales_data_1[Sales_Amount],sales_data_1[Year],2024, sales_data_1[month], $B44, sales_data_1[Sales_Rep], "David", sales_data_1[Product_Category], W$10)</f>
        <v>787375.68800000008</v>
      </c>
      <c r="X44" s="24">
        <f>SUMIFS(sales_data_1[Sales_Amount],sales_data_1[Year],2024, sales_data_1[month], $B44, sales_data_1[Sales_Rep], "David", sales_data_1[Product_Category], R$10)</f>
        <v>353450.30315206927</v>
      </c>
      <c r="Y44" s="24">
        <f t="shared" si="3"/>
        <v>2025997.6241670579</v>
      </c>
      <c r="Z44" s="24">
        <f t="shared" si="9"/>
        <v>1492395.9669115993</v>
      </c>
      <c r="AA44" s="24">
        <f>SUMIFS(sales_data_1[Sales_Amount],sales_data_1[Year],2024, sales_data_1[month], $B44, sales_data_1[Sales_Rep], "Eve", sales_data_1[Product_Category], U$10)</f>
        <v>789502.84399999992</v>
      </c>
      <c r="AB44" s="24">
        <f>SUMIFS(sales_data_1[Sales_Amount],sales_data_1[Year],2024, sales_data_1[month], $B44, sales_data_1[Sales_Rep], "Eve", sales_data_1[Product_Category], V$10)</f>
        <v>353585.76980539341</v>
      </c>
      <c r="AC44" s="24">
        <f>SUMIFS(sales_data_1[Sales_Amount],sales_data_1[Year],2024, sales_data_1[month], $B44, sales_data_1[Sales_Rep], "Eve", sales_data_1[Product_Category], W$10)</f>
        <v>244549.06020138832</v>
      </c>
      <c r="AD44" s="24">
        <f>SUMIFS(sales_data_1[Sales_Amount],sales_data_1[Year],2024, sales_data_1[month], $B44, sales_data_1[Sales_Rep], "Eve", sales_data_1[Product_Category], R$10)</f>
        <v>290388.69999999995</v>
      </c>
      <c r="AE44" s="24">
        <f t="shared" si="4"/>
        <v>1678026.3740067815</v>
      </c>
      <c r="AF44" s="104">
        <f t="shared" si="10"/>
        <v>1482897.452751033</v>
      </c>
      <c r="AG44" s="24">
        <f t="shared" si="5"/>
        <v>7968191.0086495457</v>
      </c>
      <c r="AH44" s="24">
        <f t="shared" si="11"/>
        <v>7037769.8038218329</v>
      </c>
    </row>
    <row r="45" spans="1:34" x14ac:dyDescent="0.35">
      <c r="A45" s="5"/>
      <c r="B45" s="5" t="s">
        <v>55</v>
      </c>
      <c r="C45" s="24">
        <f>SUMIFS(sales_data_1[Sales_Amount],sales_data_1[Year],2024, sales_data_1[month], $B45, sales_data_1[Sales_Rep], "Alice", sales_data_1[Product_Category], C$10)</f>
        <v>355102.74200000003</v>
      </c>
      <c r="D45" s="24">
        <f>SUMIFS(sales_data_1[Sales_Amount],sales_data_1[Year],2024, sales_data_1[month], $B45, sales_data_1[Sales_Rep], "Alice", sales_data_1[Product_Category], D$10)</f>
        <v>50174.042663624343</v>
      </c>
      <c r="E45" s="24">
        <f>SUMIFS(sales_data_1[Sales_Amount],sales_data_1[Year],2024, sales_data_1[month], $B45, sales_data_1[Sales_Rep], "Alice", sales_data_1[Product_Category], E$10)</f>
        <v>240735.03042532632</v>
      </c>
      <c r="F45" s="24">
        <f>SUMIFS(sales_data_1[Sales_Amount],sales_data_1[Year],2024, sales_data_1[month], $B45, sales_data_1[Sales_Rep], "Alice", sales_data_1[Product_Category], F$10)</f>
        <v>482558.85510000004</v>
      </c>
      <c r="G45" s="24">
        <f t="shared" si="0"/>
        <v>1128570.6701889508</v>
      </c>
      <c r="H45" s="24">
        <f t="shared" si="6"/>
        <v>1560791.2487815048</v>
      </c>
      <c r="I45" s="24">
        <f>SUMIFS(sales_data_1[Sales_Amount],sales_data_1[Year],2024, sales_data_1[month], $B45, sales_data_1[Sales_Rep], "Bob", sales_data_1[Product_Category], I$10)</f>
        <v>17069.088</v>
      </c>
      <c r="J45" s="24">
        <f>SUMIFS(sales_data_1[Sales_Amount],sales_data_1[Year],2024, sales_data_1[month], $B45, sales_data_1[Sales_Rep], "Bob", sales_data_1[Product_Category], J$10)</f>
        <v>260240.79622568545</v>
      </c>
      <c r="K45" s="24">
        <f>SUMIFS(sales_data_1[Sales_Amount],sales_data_1[Year],2024, sales_data_1[month], $B45, sales_data_1[Sales_Rep], "Bob", sales_data_1[Product_Category], K$10)</f>
        <v>441215.92920000001</v>
      </c>
      <c r="L45" s="24">
        <f>SUMIFS(sales_data_1[Sales_Amount],sales_data_1[Year],2024, sales_data_1[month], $B45, sales_data_1[Sales_Rep], "Bob", sales_data_1[Product_Category], L$10)</f>
        <v>188732.40709999998</v>
      </c>
      <c r="M45" s="24">
        <f t="shared" si="1"/>
        <v>907258.22052568546</v>
      </c>
      <c r="N45" s="24">
        <f t="shared" si="7"/>
        <v>1335122.504057762</v>
      </c>
      <c r="O45" s="24">
        <f>SUMIFS(sales_data_1[Sales_Amount],sales_data_1[Year],2024, sales_data_1[month], $B45, sales_data_1[Sales_Rep], "Charlie", sales_data_1[Product_Category], O$10)</f>
        <v>305790.66743366298</v>
      </c>
      <c r="P45" s="24">
        <f>SUMIFS(sales_data_1[Sales_Amount],sales_data_1[Year],2024, sales_data_1[month], $B45, sales_data_1[Sales_Rep], "Charlie", sales_data_1[Product_Category], P$10)</f>
        <v>156403.99960000001</v>
      </c>
      <c r="Q45" s="24">
        <f>SUMIFS(sales_data_1[Sales_Amount],sales_data_1[Year],2024, sales_data_1[month], $B45, sales_data_1[Sales_Rep], "Charlie", sales_data_1[Product_Category], Q$10)</f>
        <v>623853.88088160369</v>
      </c>
      <c r="R45" s="24">
        <f>SUMIFS(sales_data_1[Sales_Amount],sales_data_1[Year],2024, sales_data_1[month], $B45, sales_data_1[Sales_Rep], "Charlie", sales_data_1[Product_Category], R$10)</f>
        <v>139449.652</v>
      </c>
      <c r="S45" s="24">
        <f t="shared" si="2"/>
        <v>1225498.1999152668</v>
      </c>
      <c r="T45" s="24">
        <f t="shared" si="8"/>
        <v>1233883.4148613226</v>
      </c>
      <c r="U45" s="24">
        <f>SUMIFS(sales_data_1[Sales_Amount],sales_data_1[Year],2024, sales_data_1[month], $B45, sales_data_1[Sales_Rep], "David", sales_data_1[Product_Category], U$10)</f>
        <v>275931.45850000001</v>
      </c>
      <c r="V45" s="24">
        <f>SUMIFS(sales_data_1[Sales_Amount],sales_data_1[Year],2024, sales_data_1[month], $B45, sales_data_1[Sales_Rep], "David", sales_data_1[Product_Category], V$10)</f>
        <v>313757.70142042701</v>
      </c>
      <c r="W45" s="24">
        <f>SUMIFS(sales_data_1[Sales_Amount],sales_data_1[Year],2024, sales_data_1[month], $B45, sales_data_1[Sales_Rep], "David", sales_data_1[Product_Category], W$10)</f>
        <v>451144.63489999995</v>
      </c>
      <c r="X45" s="24">
        <f>SUMIFS(sales_data_1[Sales_Amount],sales_data_1[Year],2024, sales_data_1[month], $B45, sales_data_1[Sales_Rep], "David", sales_data_1[Product_Category], R$10)</f>
        <v>379641.29700000002</v>
      </c>
      <c r="Y45" s="24">
        <f t="shared" si="3"/>
        <v>1420475.091820427</v>
      </c>
      <c r="Z45" s="24">
        <f t="shared" si="9"/>
        <v>1481082.6499733047</v>
      </c>
      <c r="AA45" s="24">
        <f>SUMIFS(sales_data_1[Sales_Amount],sales_data_1[Year],2024, sales_data_1[month], $B45, sales_data_1[Sales_Rep], "Eve", sales_data_1[Product_Category], U$10)</f>
        <v>377648.8872</v>
      </c>
      <c r="AB45" s="24">
        <f>SUMIFS(sales_data_1[Sales_Amount],sales_data_1[Year],2024, sales_data_1[month], $B45, sales_data_1[Sales_Rep], "Eve", sales_data_1[Product_Category], V$10)</f>
        <v>438889.94755440671</v>
      </c>
      <c r="AC45" s="24">
        <f>SUMIFS(sales_data_1[Sales_Amount],sales_data_1[Year],2024, sales_data_1[month], $B45, sales_data_1[Sales_Rep], "Eve", sales_data_1[Product_Category], W$10)</f>
        <v>424848.64027587068</v>
      </c>
      <c r="AD45" s="24">
        <f>SUMIFS(sales_data_1[Sales_Amount],sales_data_1[Year],2024, sales_data_1[month], $B45, sales_data_1[Sales_Rep], "Eve", sales_data_1[Product_Category], R$10)</f>
        <v>596557.90593689354</v>
      </c>
      <c r="AE45" s="24">
        <f t="shared" si="4"/>
        <v>1837945.3809671709</v>
      </c>
      <c r="AF45" s="104">
        <f t="shared" si="10"/>
        <v>1572878.9188488077</v>
      </c>
      <c r="AG45" s="24">
        <f t="shared" si="5"/>
        <v>6519747.5634175008</v>
      </c>
      <c r="AH45" s="24">
        <f t="shared" si="11"/>
        <v>7183758.7365227006</v>
      </c>
    </row>
    <row r="46" spans="1:34" x14ac:dyDescent="0.35">
      <c r="A46" s="5"/>
      <c r="B46" s="5" t="s">
        <v>56</v>
      </c>
      <c r="C46" s="24">
        <f>SUMIFS(sales_data_1[Sales_Amount],sales_data_1[Year],2024, sales_data_1[month], $B46, sales_data_1[Sales_Rep], "Alice", sales_data_1[Product_Category], C$10)</f>
        <v>858921.66929999995</v>
      </c>
      <c r="D46" s="24">
        <f>SUMIFS(sales_data_1[Sales_Amount],sales_data_1[Year],2024, sales_data_1[month], $B46, sales_data_1[Sales_Rep], "Alice", sales_data_1[Product_Category], D$10)</f>
        <v>112548.50100000002</v>
      </c>
      <c r="E46" s="24">
        <f>SUMIFS(sales_data_1[Sales_Amount],sales_data_1[Year],2024, sales_data_1[month], $B46, sales_data_1[Sales_Rep], "Alice", sales_data_1[Product_Category], E$10)</f>
        <v>133891.66595149782</v>
      </c>
      <c r="F46" s="24">
        <f>SUMIFS(sales_data_1[Sales_Amount],sales_data_1[Year],2024, sales_data_1[month], $B46, sales_data_1[Sales_Rep], "Alice", sales_data_1[Product_Category], F$10)</f>
        <v>201817.40044772939</v>
      </c>
      <c r="G46" s="24">
        <f t="shared" si="0"/>
        <v>1307179.2366992272</v>
      </c>
      <c r="H46" s="24">
        <f t="shared" si="6"/>
        <v>1535937.2406661948</v>
      </c>
      <c r="I46" s="24">
        <f>SUMIFS(sales_data_1[Sales_Amount],sales_data_1[Year],2024, sales_data_1[month], $B46, sales_data_1[Sales_Rep], "Bob", sales_data_1[Product_Category], I$10)</f>
        <v>932941.603</v>
      </c>
      <c r="J46" s="24">
        <f>SUMIFS(sales_data_1[Sales_Amount],sales_data_1[Year],2024, sales_data_1[month], $B46, sales_data_1[Sales_Rep], "Bob", sales_data_1[Product_Category], J$10)</f>
        <v>666307.71039999998</v>
      </c>
      <c r="K46" s="24">
        <f>SUMIFS(sales_data_1[Sales_Amount],sales_data_1[Year],2024, sales_data_1[month], $B46, sales_data_1[Sales_Rep], "Bob", sales_data_1[Product_Category], K$10)</f>
        <v>242534.5956</v>
      </c>
      <c r="L46" s="24">
        <f>SUMIFS(sales_data_1[Sales_Amount],sales_data_1[Year],2024, sales_data_1[month], $B46, sales_data_1[Sales_Rep], "Bob", sales_data_1[Product_Category], L$10)</f>
        <v>424315.60149999999</v>
      </c>
      <c r="M46" s="24">
        <f t="shared" si="1"/>
        <v>2266099.5104999999</v>
      </c>
      <c r="N46" s="24">
        <f t="shared" si="7"/>
        <v>1430148.9051993897</v>
      </c>
      <c r="O46" s="24">
        <f>SUMIFS(sales_data_1[Sales_Amount],sales_data_1[Year],2024, sales_data_1[month], $B46, sales_data_1[Sales_Rep], "Charlie", sales_data_1[Product_Category], O$10)</f>
        <v>290955.41889999999</v>
      </c>
      <c r="P46" s="24">
        <f>SUMIFS(sales_data_1[Sales_Amount],sales_data_1[Year],2024, sales_data_1[month], $B46, sales_data_1[Sales_Rep], "Charlie", sales_data_1[Product_Category], P$10)</f>
        <v>456776.71890973696</v>
      </c>
      <c r="Q46" s="24">
        <f>SUMIFS(sales_data_1[Sales_Amount],sales_data_1[Year],2024, sales_data_1[month], $B46, sales_data_1[Sales_Rep], "Charlie", sales_data_1[Product_Category], Q$10)</f>
        <v>235568.41840558604</v>
      </c>
      <c r="R46" s="24">
        <f>SUMIFS(sales_data_1[Sales_Amount],sales_data_1[Year],2024, sales_data_1[month], $B46, sales_data_1[Sales_Rep], "Charlie", sales_data_1[Product_Category], R$10)</f>
        <v>179566.35920000004</v>
      </c>
      <c r="S46" s="24">
        <f t="shared" si="2"/>
        <v>1162866.9154153229</v>
      </c>
      <c r="T46" s="24">
        <f t="shared" si="8"/>
        <v>1290321.2715831811</v>
      </c>
      <c r="U46" s="24">
        <f>SUMIFS(sales_data_1[Sales_Amount],sales_data_1[Year],2024, sales_data_1[month], $B46, sales_data_1[Sales_Rep], "David", sales_data_1[Product_Category], U$10)</f>
        <v>172593.07249999998</v>
      </c>
      <c r="V46" s="24">
        <f>SUMIFS(sales_data_1[Sales_Amount],sales_data_1[Year],2024, sales_data_1[month], $B46, sales_data_1[Sales_Rep], "David", sales_data_1[Product_Category], V$10)</f>
        <v>85753.152000000016</v>
      </c>
      <c r="W46" s="24">
        <f>SUMIFS(sales_data_1[Sales_Amount],sales_data_1[Year],2024, sales_data_1[month], $B46, sales_data_1[Sales_Rep], "David", sales_data_1[Product_Category], W$10)</f>
        <v>418708.17088434915</v>
      </c>
      <c r="X46" s="24">
        <f>SUMIFS(sales_data_1[Sales_Amount],sales_data_1[Year],2024, sales_data_1[month], $B46, sales_data_1[Sales_Rep], "David", sales_data_1[Product_Category], R$10)</f>
        <v>309940.05810000002</v>
      </c>
      <c r="Y46" s="24">
        <f t="shared" si="3"/>
        <v>986994.45348434919</v>
      </c>
      <c r="Z46" s="24">
        <f t="shared" si="9"/>
        <v>1436954.5072679629</v>
      </c>
      <c r="AA46" s="24">
        <f>SUMIFS(sales_data_1[Sales_Amount],sales_data_1[Year],2024, sales_data_1[month], $B46, sales_data_1[Sales_Rep], "Eve", sales_data_1[Product_Category], U$10)</f>
        <v>9803.8766489770442</v>
      </c>
      <c r="AB46" s="24">
        <f>SUMIFS(sales_data_1[Sales_Amount],sales_data_1[Year],2024, sales_data_1[month], $B46, sales_data_1[Sales_Rep], "Eve", sales_data_1[Product_Category], V$10)</f>
        <v>432465.13049999997</v>
      </c>
      <c r="AC46" s="24">
        <f>SUMIFS(sales_data_1[Sales_Amount],sales_data_1[Year],2024, sales_data_1[month], $B46, sales_data_1[Sales_Rep], "Eve", sales_data_1[Product_Category], W$10)</f>
        <v>557886.05575057573</v>
      </c>
      <c r="AD46" s="24">
        <f>SUMIFS(sales_data_1[Sales_Amount],sales_data_1[Year],2024, sales_data_1[month], $B46, sales_data_1[Sales_Rep], "Eve", sales_data_1[Product_Category], R$10)</f>
        <v>568610.80791514157</v>
      </c>
      <c r="AE46" s="24">
        <f t="shared" si="4"/>
        <v>1568765.8708146943</v>
      </c>
      <c r="AF46" s="104">
        <f t="shared" si="10"/>
        <v>1595617.1152571535</v>
      </c>
      <c r="AG46" s="24">
        <f t="shared" si="5"/>
        <v>7291905.9869135935</v>
      </c>
      <c r="AH46" s="24">
        <f t="shared" si="11"/>
        <v>7288979.0399738811</v>
      </c>
    </row>
    <row r="52" spans="1:14" x14ac:dyDescent="0.35">
      <c r="J52" s="3"/>
      <c r="K52" s="3"/>
      <c r="L52" s="3"/>
      <c r="M52" s="3"/>
      <c r="N52" s="3"/>
    </row>
    <row r="53" spans="1:14" x14ac:dyDescent="0.35">
      <c r="A53" s="16"/>
      <c r="J53" s="25"/>
      <c r="K53" s="25"/>
      <c r="L53" s="25"/>
    </row>
    <row r="54" spans="1:14" x14ac:dyDescent="0.35">
      <c r="A54" s="16"/>
    </row>
    <row r="55" spans="1:14" x14ac:dyDescent="0.35">
      <c r="A55" s="16"/>
    </row>
    <row r="56" spans="1:14" x14ac:dyDescent="0.35">
      <c r="A56" s="16"/>
    </row>
    <row r="57" spans="1:14" x14ac:dyDescent="0.35">
      <c r="A57" s="16"/>
    </row>
    <row r="58" spans="1:14" x14ac:dyDescent="0.35">
      <c r="A58" s="16"/>
    </row>
    <row r="59" spans="1:14" x14ac:dyDescent="0.35">
      <c r="A59" s="16"/>
    </row>
    <row r="60" spans="1:14" x14ac:dyDescent="0.35">
      <c r="A60" s="16"/>
    </row>
    <row r="61" spans="1:14" x14ac:dyDescent="0.35">
      <c r="A61" s="16"/>
    </row>
    <row r="62" spans="1:14" x14ac:dyDescent="0.35">
      <c r="A62" s="16"/>
    </row>
    <row r="63" spans="1:14" x14ac:dyDescent="0.35">
      <c r="A63" s="16"/>
    </row>
  </sheetData>
  <mergeCells count="5">
    <mergeCell ref="A9:H9"/>
    <mergeCell ref="I9:N9"/>
    <mergeCell ref="O9:T9"/>
    <mergeCell ref="U9:Z9"/>
    <mergeCell ref="AA9:AF9"/>
  </mergeCell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17E1C-A275-4A44-A9A0-39BD10229038}">
  <dimension ref="A1:Y38"/>
  <sheetViews>
    <sheetView topLeftCell="H1" workbookViewId="0">
      <selection activeCell="AA15" sqref="AA15"/>
    </sheetView>
  </sheetViews>
  <sheetFormatPr defaultRowHeight="14.5" x14ac:dyDescent="0.35"/>
  <cols>
    <col min="3" max="3" width="16.1796875" bestFit="1" customWidth="1"/>
    <col min="5" max="5" width="13.08984375" bestFit="1" customWidth="1"/>
    <col min="6" max="6" width="16.6328125" bestFit="1" customWidth="1"/>
    <col min="8" max="8" width="13.36328125" bestFit="1" customWidth="1"/>
    <col min="9" max="9" width="16.6328125" bestFit="1" customWidth="1"/>
    <col min="11" max="11" width="13.36328125" bestFit="1" customWidth="1"/>
    <col min="12" max="12" width="16.6328125" bestFit="1" customWidth="1"/>
    <col min="14" max="14" width="13.36328125" bestFit="1" customWidth="1"/>
    <col min="15" max="15" width="16.6328125" bestFit="1" customWidth="1"/>
    <col min="16" max="16" width="8.54296875" bestFit="1" customWidth="1"/>
    <col min="17" max="17" width="13.36328125" bestFit="1" customWidth="1"/>
    <col min="21" max="25" width="14.81640625" bestFit="1" customWidth="1"/>
  </cols>
  <sheetData>
    <row r="1" spans="1:25" x14ac:dyDescent="0.35">
      <c r="C1" s="91" t="s">
        <v>33</v>
      </c>
      <c r="D1" s="92"/>
      <c r="E1" s="93"/>
      <c r="F1" s="91" t="s">
        <v>14</v>
      </c>
      <c r="G1" s="92"/>
      <c r="H1" s="93"/>
      <c r="I1" s="91" t="s">
        <v>29</v>
      </c>
      <c r="J1" s="92"/>
      <c r="K1" s="93"/>
      <c r="L1" s="91" t="s">
        <v>22</v>
      </c>
      <c r="M1" s="92"/>
      <c r="N1" s="93"/>
      <c r="O1" s="91" t="s">
        <v>32</v>
      </c>
      <c r="P1" s="92"/>
      <c r="Q1" s="93"/>
      <c r="U1" s="105" t="s">
        <v>69</v>
      </c>
      <c r="V1" s="105"/>
      <c r="W1" s="105"/>
      <c r="X1" s="105"/>
      <c r="Y1" s="105"/>
    </row>
    <row r="2" spans="1:25" x14ac:dyDescent="0.35">
      <c r="C2" s="6" t="s">
        <v>67</v>
      </c>
      <c r="D2" s="6" t="s">
        <v>68</v>
      </c>
      <c r="E2" s="6" t="s">
        <v>69</v>
      </c>
      <c r="F2" s="6" t="s">
        <v>67</v>
      </c>
      <c r="G2" s="6" t="s">
        <v>68</v>
      </c>
      <c r="H2" s="6" t="s">
        <v>69</v>
      </c>
      <c r="I2" s="6" t="s">
        <v>67</v>
      </c>
      <c r="J2" s="6" t="s">
        <v>68</v>
      </c>
      <c r="K2" s="6" t="s">
        <v>69</v>
      </c>
      <c r="L2" s="6" t="s">
        <v>67</v>
      </c>
      <c r="M2" s="6" t="s">
        <v>68</v>
      </c>
      <c r="N2" s="6" t="s">
        <v>69</v>
      </c>
      <c r="O2" s="6" t="s">
        <v>67</v>
      </c>
      <c r="P2" s="6" t="s">
        <v>68</v>
      </c>
      <c r="Q2" s="6" t="s">
        <v>69</v>
      </c>
      <c r="U2" s="5" t="s">
        <v>33</v>
      </c>
      <c r="V2" s="5" t="s">
        <v>14</v>
      </c>
      <c r="W2" s="5" t="s">
        <v>29</v>
      </c>
      <c r="X2" s="5" t="s">
        <v>22</v>
      </c>
      <c r="Y2" s="5" t="s">
        <v>32</v>
      </c>
    </row>
    <row r="3" spans="1:25" x14ac:dyDescent="0.35">
      <c r="A3" s="17" t="s">
        <v>60</v>
      </c>
      <c r="B3" s="23" t="s">
        <v>45</v>
      </c>
      <c r="C3" s="24">
        <f>revenue_by_rep!G11</f>
        <v>1488312.7876556471</v>
      </c>
      <c r="D3" s="5">
        <f>qty_sales_by_rep!G11</f>
        <v>483</v>
      </c>
      <c r="E3" s="24">
        <f>C3/D3</f>
        <v>3081.3929351048596</v>
      </c>
      <c r="F3" s="24">
        <f>revenue_by_rep!$M11</f>
        <v>758678.83207230642</v>
      </c>
      <c r="G3" s="5">
        <f>qty_sales_by_rep!M11</f>
        <v>241</v>
      </c>
      <c r="H3" s="24">
        <f>F3/G3</f>
        <v>3148.0449463581181</v>
      </c>
      <c r="I3" s="24">
        <f>revenue_by_rep!S11</f>
        <v>1986109.8174075624</v>
      </c>
      <c r="J3" s="5">
        <f>qty_sales_by_rep!S11</f>
        <v>662</v>
      </c>
      <c r="K3" s="24">
        <f>I3/J3</f>
        <v>3000.165887322602</v>
      </c>
      <c r="L3" s="24">
        <f>revenue_by_rep!Y11</f>
        <v>1528060.7008000002</v>
      </c>
      <c r="M3" s="5">
        <f>qty_sales_by_rep!Y11</f>
        <v>494</v>
      </c>
      <c r="N3" s="24">
        <f>L3/M3</f>
        <v>3093.2402850202434</v>
      </c>
      <c r="O3" s="24">
        <f>revenue_by_rep!AE11</f>
        <v>1200820.9863899988</v>
      </c>
      <c r="P3" s="5">
        <f>qty_sales_by_rep!AE11</f>
        <v>331</v>
      </c>
      <c r="Q3" s="24">
        <f>O3/P3</f>
        <v>3627.8579649244675</v>
      </c>
      <c r="T3" s="5">
        <v>2022</v>
      </c>
      <c r="U3" s="24">
        <f>SUM($C$3:$C$14)</f>
        <v>19146135.836529825</v>
      </c>
      <c r="V3" s="24">
        <f>SUM($F$3:$F$14)</f>
        <v>15694400.948389212</v>
      </c>
      <c r="W3" s="24">
        <f>SUM($I$3:$I$14)</f>
        <v>18161431.382218949</v>
      </c>
      <c r="X3" s="24">
        <f>SUM($L$3:$L$14)</f>
        <v>16569476.850820854</v>
      </c>
      <c r="Y3" s="24">
        <f>SUM($O$3:$O$14)</f>
        <v>17945604.219965622</v>
      </c>
    </row>
    <row r="4" spans="1:25" x14ac:dyDescent="0.35">
      <c r="A4" s="4"/>
      <c r="B4" s="23" t="s">
        <v>46</v>
      </c>
      <c r="C4" s="24">
        <f>revenue_by_rep!G12</f>
        <v>1385249.1490000002</v>
      </c>
      <c r="D4" s="5">
        <f>qty_sales_by_rep!G12</f>
        <v>494</v>
      </c>
      <c r="E4" s="24">
        <f t="shared" ref="E4:E38" si="0">C4/D4</f>
        <v>2804.148074898786</v>
      </c>
      <c r="F4" s="24">
        <f>revenue_by_rep!$M12</f>
        <v>1138658.170860583</v>
      </c>
      <c r="G4" s="5">
        <f>qty_sales_by_rep!M12</f>
        <v>356</v>
      </c>
      <c r="H4" s="24">
        <f t="shared" ref="H4:H38" si="1">F4/G4</f>
        <v>3198.4780080353453</v>
      </c>
      <c r="I4" s="24">
        <f>revenue_by_rep!S12</f>
        <v>2203750.6976120318</v>
      </c>
      <c r="J4" s="5">
        <f>qty_sales_by_rep!S12</f>
        <v>666</v>
      </c>
      <c r="K4" s="24">
        <f t="shared" ref="K4:K38" si="2">I4/J4</f>
        <v>3308.9349813994472</v>
      </c>
      <c r="L4" s="24">
        <f>revenue_by_rep!Y12</f>
        <v>1821357.18565311</v>
      </c>
      <c r="M4" s="5">
        <f>qty_sales_by_rep!Y12</f>
        <v>609</v>
      </c>
      <c r="N4" s="24">
        <f t="shared" ref="N4:N38" si="3">L4/M4</f>
        <v>2990.7342949968966</v>
      </c>
      <c r="O4" s="24">
        <f>revenue_by_rep!AE12</f>
        <v>1379612.1118424763</v>
      </c>
      <c r="P4" s="5">
        <f>qty_sales_by_rep!AE12</f>
        <v>478</v>
      </c>
      <c r="Q4" s="24">
        <f t="shared" ref="Q4:Q38" si="4">O4/P4</f>
        <v>2886.2178072018332</v>
      </c>
      <c r="T4" s="5">
        <v>2023</v>
      </c>
      <c r="U4" s="24">
        <f>SUM($C$15:$C$26)</f>
        <v>12885102.335712921</v>
      </c>
      <c r="V4" s="24">
        <f>SUM($F$15:$F$26)</f>
        <v>13242464.99783784</v>
      </c>
      <c r="W4" s="24">
        <f>SUM($I$15:$I$26)</f>
        <v>11180371.560933504</v>
      </c>
      <c r="X4" s="24">
        <f>SUM($L$15:$L$26)</f>
        <v>15843890.079195863</v>
      </c>
      <c r="Y4" s="24">
        <f>SUM($O$15:$O$26)</f>
        <v>14708776.964263827</v>
      </c>
    </row>
    <row r="5" spans="1:25" x14ac:dyDescent="0.35">
      <c r="A5" s="4"/>
      <c r="B5" s="23" t="s">
        <v>47</v>
      </c>
      <c r="C5" s="24">
        <f>revenue_by_rep!G13</f>
        <v>1999601.3556229197</v>
      </c>
      <c r="D5" s="5">
        <f>qty_sales_by_rep!G13</f>
        <v>579</v>
      </c>
      <c r="E5" s="24">
        <f t="shared" si="0"/>
        <v>3453.5429285369942</v>
      </c>
      <c r="F5" s="24">
        <f>revenue_by_rep!$M13</f>
        <v>872912.10470000003</v>
      </c>
      <c r="G5" s="5">
        <f>qty_sales_by_rep!M13</f>
        <v>302</v>
      </c>
      <c r="H5" s="24">
        <f t="shared" si="1"/>
        <v>2890.4374327814571</v>
      </c>
      <c r="I5" s="24">
        <f>revenue_by_rep!S13</f>
        <v>1454743.4890738691</v>
      </c>
      <c r="J5" s="5">
        <f>qty_sales_by_rep!S13</f>
        <v>491</v>
      </c>
      <c r="K5" s="24">
        <f t="shared" si="2"/>
        <v>2962.8176966881242</v>
      </c>
      <c r="L5" s="24">
        <f>revenue_by_rep!Y13</f>
        <v>768366.02136185416</v>
      </c>
      <c r="M5" s="5">
        <f>qty_sales_by_rep!Y13</f>
        <v>247</v>
      </c>
      <c r="N5" s="24">
        <f t="shared" si="3"/>
        <v>3110.7936087524458</v>
      </c>
      <c r="O5" s="24">
        <f>revenue_by_rep!AE13</f>
        <v>1410640.4301784686</v>
      </c>
      <c r="P5" s="5">
        <f>qty_sales_by_rep!AE13</f>
        <v>494</v>
      </c>
      <c r="Q5" s="24">
        <f t="shared" si="4"/>
        <v>2855.5474295110698</v>
      </c>
      <c r="T5" s="5">
        <v>2024</v>
      </c>
      <c r="U5" s="24">
        <f>SUM($C$27:$C$38)</f>
        <v>18431246.887994338</v>
      </c>
      <c r="V5" s="24">
        <f>SUM($F$27:$F$38)</f>
        <v>17161786.862392675</v>
      </c>
      <c r="W5" s="24">
        <f>SUM($I$27:$I$38)</f>
        <v>15483855.258998172</v>
      </c>
      <c r="X5" s="24">
        <f>SUM($L$27:$L$38)</f>
        <v>17243454.087215554</v>
      </c>
      <c r="Y5" s="24">
        <f>SUM($O$27:$O$38)</f>
        <v>19147405.383085843</v>
      </c>
    </row>
    <row r="6" spans="1:25" x14ac:dyDescent="0.35">
      <c r="A6" s="4"/>
      <c r="B6" s="23" t="s">
        <v>48</v>
      </c>
      <c r="C6" s="24">
        <f>revenue_by_rep!G14</f>
        <v>1308470.0837201746</v>
      </c>
      <c r="D6" s="5">
        <f>qty_sales_by_rep!G14</f>
        <v>462</v>
      </c>
      <c r="E6" s="24">
        <f t="shared" si="0"/>
        <v>2832.1863283986463</v>
      </c>
      <c r="F6" s="24">
        <f>revenue_by_rep!$M14</f>
        <v>1446545.1270361121</v>
      </c>
      <c r="G6" s="5">
        <f>qty_sales_by_rep!M14</f>
        <v>447</v>
      </c>
      <c r="H6" s="24">
        <f t="shared" si="1"/>
        <v>3236.1188524297809</v>
      </c>
      <c r="I6" s="24">
        <f>revenue_by_rep!S14</f>
        <v>2616348.1051977966</v>
      </c>
      <c r="J6" s="5">
        <f>qty_sales_by_rep!S14</f>
        <v>739</v>
      </c>
      <c r="K6" s="24">
        <f t="shared" si="2"/>
        <v>3540.389858183757</v>
      </c>
      <c r="L6" s="24">
        <f>revenue_by_rep!Y14</f>
        <v>1608443.2077642013</v>
      </c>
      <c r="M6" s="5">
        <f>qty_sales_by_rep!Y14</f>
        <v>481</v>
      </c>
      <c r="N6" s="24">
        <f t="shared" si="3"/>
        <v>3343.9567728985476</v>
      </c>
      <c r="O6" s="24">
        <f>revenue_by_rep!AE14</f>
        <v>1559876.4194139421</v>
      </c>
      <c r="P6" s="5">
        <f>qty_sales_by_rep!AE14</f>
        <v>497</v>
      </c>
      <c r="Q6" s="24">
        <f t="shared" si="4"/>
        <v>3138.5843448972678</v>
      </c>
      <c r="T6" s="5" t="s">
        <v>58</v>
      </c>
      <c r="U6" s="24">
        <f>SUM(U4:U5)</f>
        <v>31316349.223707259</v>
      </c>
      <c r="V6" s="24">
        <f t="shared" ref="V6:Y6" si="5">SUM(V4:V5)</f>
        <v>30404251.860230513</v>
      </c>
      <c r="W6" s="24">
        <f t="shared" si="5"/>
        <v>26664226.819931678</v>
      </c>
      <c r="X6" s="24">
        <f t="shared" si="5"/>
        <v>33087344.166411415</v>
      </c>
      <c r="Y6" s="24">
        <f t="shared" si="5"/>
        <v>33856182.347349674</v>
      </c>
    </row>
    <row r="7" spans="1:25" x14ac:dyDescent="0.35">
      <c r="A7" s="4"/>
      <c r="B7" s="23" t="s">
        <v>49</v>
      </c>
      <c r="C7" s="24">
        <f>revenue_by_rep!G15</f>
        <v>1426027.0346216739</v>
      </c>
      <c r="D7" s="5">
        <f>qty_sales_by_rep!G15</f>
        <v>502</v>
      </c>
      <c r="E7" s="24">
        <f t="shared" si="0"/>
        <v>2840.6913040272389</v>
      </c>
      <c r="F7" s="24">
        <f>revenue_by_rep!$M15</f>
        <v>1534073.1749201834</v>
      </c>
      <c r="G7" s="5">
        <f>qty_sales_by_rep!M15</f>
        <v>488</v>
      </c>
      <c r="H7" s="24">
        <f t="shared" si="1"/>
        <v>3143.5925715577528</v>
      </c>
      <c r="I7" s="24">
        <f>revenue_by_rep!S15</f>
        <v>1881339.1907020779</v>
      </c>
      <c r="J7" s="5">
        <f>qty_sales_by_rep!S15</f>
        <v>500</v>
      </c>
      <c r="K7" s="24">
        <f t="shared" si="2"/>
        <v>3762.678381404156</v>
      </c>
      <c r="L7" s="24">
        <f>revenue_by_rep!Y15</f>
        <v>1663749.8980941335</v>
      </c>
      <c r="M7" s="5">
        <f>qty_sales_by_rep!Y15</f>
        <v>596</v>
      </c>
      <c r="N7" s="24">
        <f t="shared" si="3"/>
        <v>2791.5266746545863</v>
      </c>
      <c r="O7" s="24">
        <f>revenue_by_rep!AE15</f>
        <v>1614858.0443061704</v>
      </c>
      <c r="P7" s="5">
        <f>qty_sales_by_rep!AE15</f>
        <v>507</v>
      </c>
      <c r="Q7" s="24">
        <f t="shared" si="4"/>
        <v>3185.1243477439257</v>
      </c>
    </row>
    <row r="8" spans="1:25" x14ac:dyDescent="0.35">
      <c r="A8" s="4"/>
      <c r="B8" s="23" t="s">
        <v>50</v>
      </c>
      <c r="C8" s="24">
        <f>revenue_by_rep!G16</f>
        <v>2577347.5500287502</v>
      </c>
      <c r="D8" s="5">
        <f>qty_sales_by_rep!G16</f>
        <v>792</v>
      </c>
      <c r="E8" s="24">
        <f t="shared" si="0"/>
        <v>3254.2267045817553</v>
      </c>
      <c r="F8" s="24">
        <f>revenue_by_rep!$M16</f>
        <v>1997961.2049753349</v>
      </c>
      <c r="G8" s="5">
        <f>qty_sales_by_rep!M16</f>
        <v>586</v>
      </c>
      <c r="H8" s="24">
        <f t="shared" si="1"/>
        <v>3409.4901108794111</v>
      </c>
      <c r="I8" s="24">
        <f>revenue_by_rep!S16</f>
        <v>886398.49809999997</v>
      </c>
      <c r="J8" s="5">
        <f>qty_sales_by_rep!S16</f>
        <v>310</v>
      </c>
      <c r="K8" s="24">
        <f t="shared" si="2"/>
        <v>2859.3499938709679</v>
      </c>
      <c r="L8" s="24">
        <f>revenue_by_rep!Y16</f>
        <v>1265938.1024690156</v>
      </c>
      <c r="M8" s="5">
        <f>qty_sales_by_rep!Y16</f>
        <v>429</v>
      </c>
      <c r="N8" s="24">
        <f t="shared" si="3"/>
        <v>2950.9046677599431</v>
      </c>
      <c r="O8" s="24">
        <f>revenue_by_rep!AE16</f>
        <v>1304409.9752791577</v>
      </c>
      <c r="P8" s="5">
        <f>qty_sales_by_rep!AE16</f>
        <v>399</v>
      </c>
      <c r="Q8" s="24">
        <f t="shared" si="4"/>
        <v>3269.1979330304707</v>
      </c>
    </row>
    <row r="9" spans="1:25" x14ac:dyDescent="0.35">
      <c r="A9" s="4"/>
      <c r="B9" s="23" t="s">
        <v>51</v>
      </c>
      <c r="C9" s="24">
        <f>revenue_by_rep!G17</f>
        <v>1657107.8979874039</v>
      </c>
      <c r="D9" s="5">
        <f>qty_sales_by_rep!G17</f>
        <v>546</v>
      </c>
      <c r="E9" s="24">
        <f t="shared" si="0"/>
        <v>3034.9961501600806</v>
      </c>
      <c r="F9" s="24">
        <f>revenue_by_rep!$M17</f>
        <v>1105898.1871308209</v>
      </c>
      <c r="G9" s="5">
        <f>qty_sales_by_rep!M17</f>
        <v>388</v>
      </c>
      <c r="H9" s="24">
        <f t="shared" si="1"/>
        <v>2850.2530596155179</v>
      </c>
      <c r="I9" s="24">
        <f>revenue_by_rep!S17</f>
        <v>1181996.2117241279</v>
      </c>
      <c r="J9" s="5">
        <f>qty_sales_by_rep!S17</f>
        <v>467</v>
      </c>
      <c r="K9" s="24">
        <f t="shared" si="2"/>
        <v>2531.0411385955631</v>
      </c>
      <c r="L9" s="24">
        <f>revenue_by_rep!Y17</f>
        <v>894638.13950452546</v>
      </c>
      <c r="M9" s="5">
        <f>qty_sales_by_rep!Y17</f>
        <v>248</v>
      </c>
      <c r="N9" s="24">
        <f t="shared" si="3"/>
        <v>3607.4118528408285</v>
      </c>
      <c r="O9" s="24">
        <f>revenue_by_rep!AE17</f>
        <v>1839915.4577956004</v>
      </c>
      <c r="P9" s="5">
        <f>qty_sales_by_rep!AE17</f>
        <v>564</v>
      </c>
      <c r="Q9" s="24">
        <f t="shared" si="4"/>
        <v>3262.2614499921992</v>
      </c>
    </row>
    <row r="10" spans="1:25" x14ac:dyDescent="0.35">
      <c r="A10" s="4"/>
      <c r="B10" s="23" t="s">
        <v>52</v>
      </c>
      <c r="C10" s="24">
        <f>revenue_by_rep!G18</f>
        <v>1153126.187773875</v>
      </c>
      <c r="D10" s="5">
        <f>qty_sales_by_rep!G18</f>
        <v>404</v>
      </c>
      <c r="E10" s="24">
        <f t="shared" si="0"/>
        <v>2854.272742014542</v>
      </c>
      <c r="F10" s="24">
        <f>revenue_by_rep!$M18</f>
        <v>899837.80019999994</v>
      </c>
      <c r="G10" s="5">
        <f>qty_sales_by_rep!M18</f>
        <v>382</v>
      </c>
      <c r="H10" s="24">
        <f t="shared" si="1"/>
        <v>2355.5963356020939</v>
      </c>
      <c r="I10" s="24">
        <f>revenue_by_rep!S18</f>
        <v>856793.2796484424</v>
      </c>
      <c r="J10" s="5">
        <f>qty_sales_by_rep!S18</f>
        <v>279</v>
      </c>
      <c r="K10" s="24">
        <f t="shared" si="2"/>
        <v>3070.9436546539155</v>
      </c>
      <c r="L10" s="24">
        <f>revenue_by_rep!Y18</f>
        <v>1928995.2330394743</v>
      </c>
      <c r="M10" s="5">
        <f>qty_sales_by_rep!Y18</f>
        <v>628</v>
      </c>
      <c r="N10" s="24">
        <f t="shared" si="3"/>
        <v>3071.6484602539399</v>
      </c>
      <c r="O10" s="24">
        <f>revenue_by_rep!AE18</f>
        <v>1573453.7601356083</v>
      </c>
      <c r="P10" s="5">
        <f>qty_sales_by_rep!AE18</f>
        <v>511</v>
      </c>
      <c r="Q10" s="24">
        <f t="shared" si="4"/>
        <v>3079.1658711068653</v>
      </c>
    </row>
    <row r="11" spans="1:25" x14ac:dyDescent="0.35">
      <c r="A11" s="4"/>
      <c r="B11" s="23" t="s">
        <v>53</v>
      </c>
      <c r="C11" s="24">
        <f>revenue_by_rep!G19</f>
        <v>1733827.8674006208</v>
      </c>
      <c r="D11" s="5">
        <f>qty_sales_by_rep!G19</f>
        <v>635</v>
      </c>
      <c r="E11" s="24">
        <f t="shared" si="0"/>
        <v>2730.4375864576705</v>
      </c>
      <c r="F11" s="24">
        <f>revenue_by_rep!$M19</f>
        <v>1293189.3108840603</v>
      </c>
      <c r="G11" s="5">
        <f>qty_sales_by_rep!M19</f>
        <v>422</v>
      </c>
      <c r="H11" s="24">
        <f t="shared" si="1"/>
        <v>3064.4296466446926</v>
      </c>
      <c r="I11" s="24">
        <f>revenue_by_rep!S19</f>
        <v>421505.56360225379</v>
      </c>
      <c r="J11" s="5">
        <f>qty_sales_by_rep!S19</f>
        <v>159</v>
      </c>
      <c r="K11" s="24">
        <f t="shared" si="2"/>
        <v>2650.9783874355585</v>
      </c>
      <c r="L11" s="24">
        <f>revenue_by_rep!Y19</f>
        <v>1507110.6057932372</v>
      </c>
      <c r="M11" s="5">
        <f>qty_sales_by_rep!Y19</f>
        <v>430</v>
      </c>
      <c r="N11" s="24">
        <f t="shared" si="3"/>
        <v>3504.9083855656681</v>
      </c>
      <c r="O11" s="24">
        <f>revenue_by_rep!AE19</f>
        <v>1503838.1748636758</v>
      </c>
      <c r="P11" s="5">
        <f>qty_sales_by_rep!AE19</f>
        <v>457</v>
      </c>
      <c r="Q11" s="24">
        <f t="shared" si="4"/>
        <v>3290.6743432465555</v>
      </c>
    </row>
    <row r="12" spans="1:25" x14ac:dyDescent="0.35">
      <c r="A12" s="4"/>
      <c r="B12" s="23" t="s">
        <v>54</v>
      </c>
      <c r="C12" s="24">
        <f>revenue_by_rep!G20</f>
        <v>1298241.9940277485</v>
      </c>
      <c r="D12" s="5">
        <f>qty_sales_by_rep!G20</f>
        <v>390</v>
      </c>
      <c r="E12" s="24">
        <f t="shared" si="0"/>
        <v>3328.8256257121757</v>
      </c>
      <c r="F12" s="24">
        <f>revenue_by_rep!$M20</f>
        <v>1905301.5175011298</v>
      </c>
      <c r="G12" s="5">
        <f>qty_sales_by_rep!M20</f>
        <v>560</v>
      </c>
      <c r="H12" s="24">
        <f t="shared" si="1"/>
        <v>3402.3241383948748</v>
      </c>
      <c r="I12" s="24">
        <f>revenue_by_rep!S20</f>
        <v>1550952.0192641036</v>
      </c>
      <c r="J12" s="5">
        <f>qty_sales_by_rep!S20</f>
        <v>573</v>
      </c>
      <c r="K12" s="24">
        <f t="shared" si="2"/>
        <v>2706.7225467087324</v>
      </c>
      <c r="L12" s="24">
        <f>revenue_by_rep!Y20</f>
        <v>761259.6717216206</v>
      </c>
      <c r="M12" s="5">
        <f>qty_sales_by_rep!Y20</f>
        <v>305</v>
      </c>
      <c r="N12" s="24">
        <f t="shared" si="3"/>
        <v>2495.9333499069526</v>
      </c>
      <c r="O12" s="24">
        <f>revenue_by_rep!AE20</f>
        <v>1877967.4807726617</v>
      </c>
      <c r="P12" s="5">
        <f>qty_sales_by_rep!AE20</f>
        <v>606</v>
      </c>
      <c r="Q12" s="24">
        <f t="shared" si="4"/>
        <v>3098.956238898782</v>
      </c>
    </row>
    <row r="13" spans="1:25" x14ac:dyDescent="0.35">
      <c r="A13" s="4"/>
      <c r="B13" s="23" t="s">
        <v>55</v>
      </c>
      <c r="C13" s="24">
        <f>revenue_by_rep!G21</f>
        <v>1434854.7990853761</v>
      </c>
      <c r="D13" s="5">
        <f>qty_sales_by_rep!G21</f>
        <v>509</v>
      </c>
      <c r="E13" s="24">
        <f t="shared" si="0"/>
        <v>2818.9681710911123</v>
      </c>
      <c r="F13" s="24">
        <f>revenue_by_rep!$M21</f>
        <v>1394532.7592178416</v>
      </c>
      <c r="G13" s="5">
        <f>qty_sales_by_rep!M21</f>
        <v>503</v>
      </c>
      <c r="H13" s="24">
        <f t="shared" si="1"/>
        <v>2772.4309328386512</v>
      </c>
      <c r="I13" s="24">
        <f>revenue_by_rep!S21</f>
        <v>1654245.3510990702</v>
      </c>
      <c r="J13" s="5">
        <f>qty_sales_by_rep!S21</f>
        <v>476</v>
      </c>
      <c r="K13" s="24">
        <f t="shared" si="2"/>
        <v>3475.3053594518283</v>
      </c>
      <c r="L13" s="24">
        <f>revenue_by_rep!Y21</f>
        <v>1907172.0084368722</v>
      </c>
      <c r="M13" s="5">
        <f>qty_sales_by_rep!Y21</f>
        <v>572</v>
      </c>
      <c r="N13" s="24">
        <f t="shared" si="3"/>
        <v>3334.2167979665596</v>
      </c>
      <c r="O13" s="24">
        <f>revenue_by_rep!AE21</f>
        <v>1290194.7905843102</v>
      </c>
      <c r="P13" s="5">
        <f>qty_sales_by_rep!AE21</f>
        <v>407</v>
      </c>
      <c r="Q13" s="24">
        <f t="shared" si="4"/>
        <v>3170.0117704774207</v>
      </c>
    </row>
    <row r="14" spans="1:25" x14ac:dyDescent="0.35">
      <c r="A14" s="4"/>
      <c r="B14" s="23" t="s">
        <v>56</v>
      </c>
      <c r="C14" s="24">
        <f>revenue_by_rep!G22</f>
        <v>1683969.129605636</v>
      </c>
      <c r="D14" s="5">
        <f>qty_sales_by_rep!G22</f>
        <v>563</v>
      </c>
      <c r="E14" s="24">
        <f t="shared" si="0"/>
        <v>2991.0641733670268</v>
      </c>
      <c r="F14" s="24">
        <f>revenue_by_rep!$M22</f>
        <v>1346812.7588908372</v>
      </c>
      <c r="G14" s="5">
        <f>qty_sales_by_rep!M22</f>
        <v>446</v>
      </c>
      <c r="H14" s="24">
        <f t="shared" si="1"/>
        <v>3019.7595490825947</v>
      </c>
      <c r="I14" s="24">
        <f>revenue_by_rep!S22</f>
        <v>1467249.1587876147</v>
      </c>
      <c r="J14" s="5">
        <f>qty_sales_by_rep!S22</f>
        <v>413</v>
      </c>
      <c r="K14" s="24">
        <f t="shared" si="2"/>
        <v>3552.6614014227957</v>
      </c>
      <c r="L14" s="24">
        <f>revenue_by_rep!Y22</f>
        <v>914386.07618280966</v>
      </c>
      <c r="M14" s="5">
        <f>qty_sales_by_rep!Y22</f>
        <v>274</v>
      </c>
      <c r="N14" s="24">
        <f t="shared" si="3"/>
        <v>3337.1754605212031</v>
      </c>
      <c r="O14" s="24">
        <f>revenue_by_rep!AE22</f>
        <v>1390016.5884035525</v>
      </c>
      <c r="P14" s="5">
        <f>qty_sales_by_rep!AE22</f>
        <v>490</v>
      </c>
      <c r="Q14" s="24">
        <f t="shared" si="4"/>
        <v>2836.7685477623522</v>
      </c>
    </row>
    <row r="15" spans="1:25" x14ac:dyDescent="0.35">
      <c r="A15" s="17" t="s">
        <v>59</v>
      </c>
      <c r="B15" s="23" t="s">
        <v>45</v>
      </c>
      <c r="C15" s="24">
        <f>revenue_by_rep!G23</f>
        <v>732662.61994099128</v>
      </c>
      <c r="D15" s="5">
        <f>qty_sales_by_rep!G23</f>
        <v>274</v>
      </c>
      <c r="E15" s="24">
        <f t="shared" si="0"/>
        <v>2673.9511676678512</v>
      </c>
      <c r="F15" s="24">
        <f>revenue_by_rep!$M23</f>
        <v>1757650.681568895</v>
      </c>
      <c r="G15" s="5">
        <f>qty_sales_by_rep!M23</f>
        <v>588</v>
      </c>
      <c r="H15" s="24">
        <f t="shared" si="1"/>
        <v>2989.2018394028828</v>
      </c>
      <c r="I15" s="24">
        <f>revenue_by_rep!S23</f>
        <v>1890302.1605248644</v>
      </c>
      <c r="J15" s="5">
        <f>qty_sales_by_rep!S23</f>
        <v>608</v>
      </c>
      <c r="K15" s="24">
        <f t="shared" si="2"/>
        <v>3109.0496061264216</v>
      </c>
      <c r="L15" s="24">
        <f>revenue_by_rep!Y23</f>
        <v>900764.96508421446</v>
      </c>
      <c r="M15" s="5">
        <f>qty_sales_by_rep!Y23</f>
        <v>369</v>
      </c>
      <c r="N15" s="24">
        <f t="shared" si="3"/>
        <v>2441.0974663528846</v>
      </c>
      <c r="O15" s="24">
        <f>revenue_by_rep!AE23</f>
        <v>1924099.3294926707</v>
      </c>
      <c r="P15" s="5">
        <f>qty_sales_by_rep!AE23</f>
        <v>633</v>
      </c>
      <c r="Q15" s="24">
        <f t="shared" si="4"/>
        <v>3039.6513894039031</v>
      </c>
    </row>
    <row r="16" spans="1:25" x14ac:dyDescent="0.35">
      <c r="A16" s="5"/>
      <c r="B16" s="23" t="s">
        <v>46</v>
      </c>
      <c r="C16" s="24">
        <f>revenue_by_rep!G24</f>
        <v>1399643.7079230153</v>
      </c>
      <c r="D16" s="5">
        <f>qty_sales_by_rep!G24</f>
        <v>465</v>
      </c>
      <c r="E16" s="24">
        <f t="shared" si="0"/>
        <v>3009.9864686516457</v>
      </c>
      <c r="F16" s="24">
        <f>revenue_by_rep!$M24</f>
        <v>967494.15907065279</v>
      </c>
      <c r="G16" s="5">
        <f>qty_sales_by_rep!M24</f>
        <v>332</v>
      </c>
      <c r="H16" s="24">
        <f t="shared" si="1"/>
        <v>2914.1390333453396</v>
      </c>
      <c r="I16" s="24">
        <f>revenue_by_rep!S24</f>
        <v>917185.57998915901</v>
      </c>
      <c r="J16" s="5">
        <f>qty_sales_by_rep!S24</f>
        <v>387</v>
      </c>
      <c r="K16" s="24">
        <f t="shared" si="2"/>
        <v>2369.9885787833568</v>
      </c>
      <c r="L16" s="24">
        <f>revenue_by_rep!Y24</f>
        <v>1354673.2614348892</v>
      </c>
      <c r="M16" s="5">
        <f>qty_sales_by_rep!Y24</f>
        <v>534</v>
      </c>
      <c r="N16" s="24">
        <f t="shared" si="3"/>
        <v>2536.8413135484816</v>
      </c>
      <c r="O16" s="24">
        <f>revenue_by_rep!AE24</f>
        <v>842458.34755145432</v>
      </c>
      <c r="P16" s="5">
        <f>qty_sales_by_rep!AE24</f>
        <v>346</v>
      </c>
      <c r="Q16" s="24">
        <f t="shared" si="4"/>
        <v>2434.8507154666308</v>
      </c>
    </row>
    <row r="17" spans="1:17" x14ac:dyDescent="0.35">
      <c r="A17" s="5"/>
      <c r="B17" s="23" t="s">
        <v>47</v>
      </c>
      <c r="C17" s="24">
        <f>revenue_by_rep!G25</f>
        <v>1124008.8877942776</v>
      </c>
      <c r="D17" s="5">
        <f>qty_sales_by_rep!G25</f>
        <v>424</v>
      </c>
      <c r="E17" s="24">
        <f t="shared" si="0"/>
        <v>2650.9643580053717</v>
      </c>
      <c r="F17" s="24">
        <f>revenue_by_rep!$M25</f>
        <v>1070047.7529338114</v>
      </c>
      <c r="G17" s="5">
        <f>qty_sales_by_rep!M25</f>
        <v>364</v>
      </c>
      <c r="H17" s="24">
        <f t="shared" si="1"/>
        <v>2939.6916289390424</v>
      </c>
      <c r="I17" s="24">
        <f>revenue_by_rep!S25</f>
        <v>542951.95947669109</v>
      </c>
      <c r="J17" s="5">
        <f>qty_sales_by_rep!S25</f>
        <v>213</v>
      </c>
      <c r="K17" s="24">
        <f t="shared" si="2"/>
        <v>2549.0702322849347</v>
      </c>
      <c r="L17" s="24">
        <f>revenue_by_rep!Y25</f>
        <v>1409219.8345183062</v>
      </c>
      <c r="M17" s="5">
        <f>qty_sales_by_rep!Y25</f>
        <v>456</v>
      </c>
      <c r="N17" s="24">
        <f t="shared" si="3"/>
        <v>3090.394373943654</v>
      </c>
      <c r="O17" s="24">
        <f>revenue_by_rep!AE25</f>
        <v>1651097.1490221121</v>
      </c>
      <c r="P17" s="5">
        <f>qty_sales_by_rep!AE25</f>
        <v>612</v>
      </c>
      <c r="Q17" s="24">
        <f t="shared" si="4"/>
        <v>2697.8711585328629</v>
      </c>
    </row>
    <row r="18" spans="1:17" x14ac:dyDescent="0.35">
      <c r="A18" s="5"/>
      <c r="B18" s="23" t="s">
        <v>48</v>
      </c>
      <c r="C18" s="24">
        <f>revenue_by_rep!G26</f>
        <v>1221362.7276046854</v>
      </c>
      <c r="D18" s="5">
        <f>qty_sales_by_rep!G26</f>
        <v>390</v>
      </c>
      <c r="E18" s="24">
        <f t="shared" si="0"/>
        <v>3131.6993015504754</v>
      </c>
      <c r="F18" s="24">
        <f>revenue_by_rep!$M26</f>
        <v>545471.91244143399</v>
      </c>
      <c r="G18" s="5">
        <f>qty_sales_by_rep!M26</f>
        <v>212</v>
      </c>
      <c r="H18" s="24">
        <f t="shared" si="1"/>
        <v>2572.9807190633678</v>
      </c>
      <c r="I18" s="24">
        <f>revenue_by_rep!S26</f>
        <v>1234735.1175274279</v>
      </c>
      <c r="J18" s="5">
        <f>qty_sales_by_rep!S26</f>
        <v>499</v>
      </c>
      <c r="K18" s="24">
        <f t="shared" si="2"/>
        <v>2474.419073201258</v>
      </c>
      <c r="L18" s="24">
        <f>revenue_by_rep!Y26</f>
        <v>1348163.5006406172</v>
      </c>
      <c r="M18" s="5">
        <f>qty_sales_by_rep!Y26</f>
        <v>448</v>
      </c>
      <c r="N18" s="24">
        <f t="shared" si="3"/>
        <v>3009.2935282156636</v>
      </c>
      <c r="O18" s="24">
        <f>revenue_by_rep!AE26</f>
        <v>932786.22723247577</v>
      </c>
      <c r="P18" s="5">
        <f>qty_sales_by_rep!AE26</f>
        <v>428</v>
      </c>
      <c r="Q18" s="24">
        <f t="shared" si="4"/>
        <v>2179.4070729730743</v>
      </c>
    </row>
    <row r="19" spans="1:17" x14ac:dyDescent="0.35">
      <c r="A19" s="5"/>
      <c r="B19" s="23" t="s">
        <v>49</v>
      </c>
      <c r="C19" s="24">
        <f>revenue_by_rep!G27</f>
        <v>1227588.8700532983</v>
      </c>
      <c r="D19" s="5">
        <f>qty_sales_by_rep!G27</f>
        <v>412</v>
      </c>
      <c r="E19" s="24">
        <f t="shared" si="0"/>
        <v>2979.5846360516948</v>
      </c>
      <c r="F19" s="24">
        <f>revenue_by_rep!$M27</f>
        <v>1685718.4448449563</v>
      </c>
      <c r="G19" s="5">
        <f>qty_sales_by_rep!M27</f>
        <v>554</v>
      </c>
      <c r="H19" s="24">
        <f t="shared" si="1"/>
        <v>3042.813077337466</v>
      </c>
      <c r="I19" s="24">
        <f>revenue_by_rep!S27</f>
        <v>642960.66715799004</v>
      </c>
      <c r="J19" s="5">
        <f>qty_sales_by_rep!S27</f>
        <v>284</v>
      </c>
      <c r="K19" s="24">
        <f t="shared" si="2"/>
        <v>2263.9460111196831</v>
      </c>
      <c r="L19" s="24">
        <f>revenue_by_rep!Y27</f>
        <v>1428357.9011684544</v>
      </c>
      <c r="M19" s="5">
        <f>qty_sales_by_rep!Y27</f>
        <v>422</v>
      </c>
      <c r="N19" s="24">
        <f t="shared" si="3"/>
        <v>3384.7343629584229</v>
      </c>
      <c r="O19" s="24">
        <f>revenue_by_rep!AE27</f>
        <v>639415.53768549091</v>
      </c>
      <c r="P19" s="5">
        <f>qty_sales_by_rep!AE27</f>
        <v>296</v>
      </c>
      <c r="Q19" s="24">
        <f t="shared" si="4"/>
        <v>2160.1876273158477</v>
      </c>
    </row>
    <row r="20" spans="1:17" x14ac:dyDescent="0.35">
      <c r="A20" s="5"/>
      <c r="B20" s="23" t="s">
        <v>50</v>
      </c>
      <c r="C20" s="24">
        <f>revenue_by_rep!G28</f>
        <v>930682.63853611611</v>
      </c>
      <c r="D20" s="5">
        <f>qty_sales_by_rep!G28</f>
        <v>392</v>
      </c>
      <c r="E20" s="24">
        <f t="shared" si="0"/>
        <v>2374.1904044288676</v>
      </c>
      <c r="F20" s="24">
        <f>revenue_by_rep!$M28</f>
        <v>1230283.488474634</v>
      </c>
      <c r="G20" s="5">
        <f>qty_sales_by_rep!M28</f>
        <v>473</v>
      </c>
      <c r="H20" s="24">
        <f t="shared" si="1"/>
        <v>2601.0221743649768</v>
      </c>
      <c r="I20" s="24">
        <f>revenue_by_rep!S28</f>
        <v>1119124.538168588</v>
      </c>
      <c r="J20" s="5">
        <f>qty_sales_by_rep!S28</f>
        <v>340</v>
      </c>
      <c r="K20" s="24">
        <f t="shared" si="2"/>
        <v>3291.5427593193763</v>
      </c>
      <c r="L20" s="24">
        <f>revenue_by_rep!Y28</f>
        <v>905434.2796752078</v>
      </c>
      <c r="M20" s="5">
        <f>qty_sales_by_rep!Y28</f>
        <v>435</v>
      </c>
      <c r="N20" s="24">
        <f t="shared" si="3"/>
        <v>2081.4581141958802</v>
      </c>
      <c r="O20" s="24">
        <f>revenue_by_rep!AE28</f>
        <v>1721296.6057093784</v>
      </c>
      <c r="P20" s="5">
        <f>qty_sales_by_rep!AE28</f>
        <v>636</v>
      </c>
      <c r="Q20" s="24">
        <f t="shared" si="4"/>
        <v>2706.4412039455633</v>
      </c>
    </row>
    <row r="21" spans="1:17" x14ac:dyDescent="0.35">
      <c r="A21" s="5"/>
      <c r="B21" s="23" t="s">
        <v>51</v>
      </c>
      <c r="C21" s="24">
        <f>revenue_by_rep!G29</f>
        <v>1018671.3733196212</v>
      </c>
      <c r="D21" s="5">
        <f>qty_sales_by_rep!G29</f>
        <v>358</v>
      </c>
      <c r="E21" s="24">
        <f t="shared" si="0"/>
        <v>2845.4507634626289</v>
      </c>
      <c r="F21" s="24">
        <f>revenue_by_rep!$M29</f>
        <v>667287.96969527623</v>
      </c>
      <c r="G21" s="5">
        <f>qty_sales_by_rep!M29</f>
        <v>204</v>
      </c>
      <c r="H21" s="24">
        <f t="shared" si="1"/>
        <v>3271.0194592905696</v>
      </c>
      <c r="I21" s="24">
        <f>revenue_by_rep!S29</f>
        <v>841098.72890650784</v>
      </c>
      <c r="J21" s="5">
        <f>qty_sales_by_rep!S29</f>
        <v>297</v>
      </c>
      <c r="K21" s="24">
        <f t="shared" si="2"/>
        <v>2831.9822522104641</v>
      </c>
      <c r="L21" s="24">
        <f>revenue_by_rep!Y29</f>
        <v>889107.14472166391</v>
      </c>
      <c r="M21" s="5">
        <f>qty_sales_by_rep!Y29</f>
        <v>319</v>
      </c>
      <c r="N21" s="24">
        <f t="shared" si="3"/>
        <v>2787.1697326697927</v>
      </c>
      <c r="O21" s="24">
        <f>revenue_by_rep!AE29</f>
        <v>1128673.8938080007</v>
      </c>
      <c r="P21" s="5">
        <f>qty_sales_by_rep!AE29</f>
        <v>425</v>
      </c>
      <c r="Q21" s="24">
        <f t="shared" si="4"/>
        <v>2655.7032795482369</v>
      </c>
    </row>
    <row r="22" spans="1:17" x14ac:dyDescent="0.35">
      <c r="A22" s="5"/>
      <c r="B22" s="23" t="s">
        <v>52</v>
      </c>
      <c r="C22" s="24">
        <f>revenue_by_rep!G30</f>
        <v>1434111.6470487486</v>
      </c>
      <c r="D22" s="5">
        <f>qty_sales_by_rep!G30</f>
        <v>575</v>
      </c>
      <c r="E22" s="24">
        <f t="shared" si="0"/>
        <v>2494.1072122586934</v>
      </c>
      <c r="F22" s="24">
        <f>revenue_by_rep!$M30</f>
        <v>1280106.6284944711</v>
      </c>
      <c r="G22" s="5">
        <f>qty_sales_by_rep!M30</f>
        <v>486</v>
      </c>
      <c r="H22" s="24">
        <f t="shared" si="1"/>
        <v>2633.9642561614633</v>
      </c>
      <c r="I22" s="24">
        <f>revenue_by_rep!S30</f>
        <v>1069515.1919958692</v>
      </c>
      <c r="J22" s="5">
        <f>qty_sales_by_rep!S30</f>
        <v>319</v>
      </c>
      <c r="K22" s="24">
        <f t="shared" si="2"/>
        <v>3352.7122006140098</v>
      </c>
      <c r="L22" s="24">
        <f>revenue_by_rep!Y30</f>
        <v>1319627.6077764663</v>
      </c>
      <c r="M22" s="5">
        <f>qty_sales_by_rep!Y30</f>
        <v>503</v>
      </c>
      <c r="N22" s="24">
        <f t="shared" si="3"/>
        <v>2623.5141307683225</v>
      </c>
      <c r="O22" s="24">
        <f>revenue_by_rep!AE30</f>
        <v>1406505.3422934567</v>
      </c>
      <c r="P22" s="5">
        <f>qty_sales_by_rep!AE30</f>
        <v>453</v>
      </c>
      <c r="Q22" s="24">
        <f t="shared" si="4"/>
        <v>3104.8683052835686</v>
      </c>
    </row>
    <row r="23" spans="1:17" x14ac:dyDescent="0.35">
      <c r="A23" s="5"/>
      <c r="B23" s="23" t="s">
        <v>53</v>
      </c>
      <c r="C23" s="24">
        <f>revenue_by_rep!G31</f>
        <v>349972.33527536667</v>
      </c>
      <c r="D23" s="5">
        <f>qty_sales_by_rep!G31</f>
        <v>195</v>
      </c>
      <c r="E23" s="24">
        <f t="shared" si="0"/>
        <v>1794.7299244890598</v>
      </c>
      <c r="F23" s="24">
        <f>revenue_by_rep!$M31</f>
        <v>1244839.5497635524</v>
      </c>
      <c r="G23" s="5">
        <f>qty_sales_by_rep!M31</f>
        <v>434</v>
      </c>
      <c r="H23" s="24">
        <f t="shared" si="1"/>
        <v>2868.2938934644062</v>
      </c>
      <c r="I23" s="24">
        <f>revenue_by_rep!S31</f>
        <v>861492.22083010676</v>
      </c>
      <c r="J23" s="5">
        <f>qty_sales_by_rep!S31</f>
        <v>448</v>
      </c>
      <c r="K23" s="24">
        <f t="shared" si="2"/>
        <v>1922.9737072100597</v>
      </c>
      <c r="L23" s="24">
        <f>revenue_by_rep!Y31</f>
        <v>841550.2344807497</v>
      </c>
      <c r="M23" s="5">
        <f>qty_sales_by_rep!Y31</f>
        <v>350</v>
      </c>
      <c r="N23" s="24">
        <f t="shared" si="3"/>
        <v>2404.4292413735707</v>
      </c>
      <c r="O23" s="24">
        <f>revenue_by_rep!AE31</f>
        <v>1071154.0858165787</v>
      </c>
      <c r="P23" s="5">
        <f>qty_sales_by_rep!AE31</f>
        <v>388</v>
      </c>
      <c r="Q23" s="24">
        <f t="shared" si="4"/>
        <v>2760.7064067437595</v>
      </c>
    </row>
    <row r="24" spans="1:17" x14ac:dyDescent="0.35">
      <c r="A24" s="5"/>
      <c r="B24" s="23" t="s">
        <v>54</v>
      </c>
      <c r="C24" s="24">
        <f>revenue_by_rep!G32</f>
        <v>698688.88579102524</v>
      </c>
      <c r="D24" s="5">
        <f>qty_sales_by_rep!G32</f>
        <v>285</v>
      </c>
      <c r="E24" s="24">
        <f t="shared" si="0"/>
        <v>2451.5399501439483</v>
      </c>
      <c r="F24" s="24">
        <f>revenue_by_rep!$M32</f>
        <v>916825.52054643887</v>
      </c>
      <c r="G24" s="5">
        <f>qty_sales_by_rep!M32</f>
        <v>422</v>
      </c>
      <c r="H24" s="24">
        <f t="shared" si="1"/>
        <v>2172.5723235697606</v>
      </c>
      <c r="I24" s="24">
        <f>revenue_by_rep!S32</f>
        <v>1015152.5750161156</v>
      </c>
      <c r="J24" s="5">
        <f>qty_sales_by_rep!S32</f>
        <v>309</v>
      </c>
      <c r="K24" s="24">
        <f t="shared" si="2"/>
        <v>3285.2834142916363</v>
      </c>
      <c r="L24" s="24">
        <f>revenue_by_rep!Y32</f>
        <v>2374224.2886668788</v>
      </c>
      <c r="M24" s="5">
        <f>qty_sales_by_rep!Y32</f>
        <v>965</v>
      </c>
      <c r="N24" s="24">
        <f t="shared" si="3"/>
        <v>2460.336050431999</v>
      </c>
      <c r="O24" s="24">
        <f>revenue_by_rep!AE32</f>
        <v>1337215.1439437908</v>
      </c>
      <c r="P24" s="5">
        <f>qty_sales_by_rep!AE32</f>
        <v>405</v>
      </c>
      <c r="Q24" s="24">
        <f t="shared" si="4"/>
        <v>3301.7657875155328</v>
      </c>
    </row>
    <row r="25" spans="1:17" x14ac:dyDescent="0.35">
      <c r="A25" s="5"/>
      <c r="B25" s="23" t="s">
        <v>55</v>
      </c>
      <c r="C25" s="24">
        <f>revenue_by_rep!G33</f>
        <v>1142281.3083428279</v>
      </c>
      <c r="D25" s="5">
        <f>qty_sales_by_rep!G33</f>
        <v>530</v>
      </c>
      <c r="E25" s="24">
        <f t="shared" si="0"/>
        <v>2155.2477515902415</v>
      </c>
      <c r="F25" s="24">
        <f>revenue_by_rep!$M33</f>
        <v>750956.19320325088</v>
      </c>
      <c r="G25" s="5">
        <f>qty_sales_by_rep!M33</f>
        <v>400</v>
      </c>
      <c r="H25" s="24">
        <f t="shared" si="1"/>
        <v>1877.3904830081271</v>
      </c>
      <c r="I25" s="24">
        <f>revenue_by_rep!S33</f>
        <v>560240.18658716488</v>
      </c>
      <c r="J25" s="5">
        <f>qty_sales_by_rep!S33</f>
        <v>280</v>
      </c>
      <c r="K25" s="24">
        <f t="shared" si="2"/>
        <v>2000.8578092398745</v>
      </c>
      <c r="L25" s="24">
        <f>revenue_by_rep!Y33</f>
        <v>1556234.8950799676</v>
      </c>
      <c r="M25" s="5">
        <f>qty_sales_by_rep!Y33</f>
        <v>626</v>
      </c>
      <c r="N25" s="24">
        <f t="shared" si="3"/>
        <v>2485.9982349520251</v>
      </c>
      <c r="O25" s="24">
        <f>revenue_by_rep!AE33</f>
        <v>758167.78779387136</v>
      </c>
      <c r="P25" s="5">
        <f>qty_sales_by_rep!AE33</f>
        <v>293</v>
      </c>
      <c r="Q25" s="24">
        <f t="shared" si="4"/>
        <v>2587.603371310141</v>
      </c>
    </row>
    <row r="26" spans="1:17" x14ac:dyDescent="0.35">
      <c r="A26" s="5"/>
      <c r="B26" s="23" t="s">
        <v>56</v>
      </c>
      <c r="C26" s="24">
        <f>revenue_by_rep!G34</f>
        <v>1605427.3340829464</v>
      </c>
      <c r="D26" s="5">
        <f>qty_sales_by_rep!G34</f>
        <v>508</v>
      </c>
      <c r="E26" s="24">
        <f t="shared" si="0"/>
        <v>3160.2900277223353</v>
      </c>
      <c r="F26" s="24">
        <f>revenue_by_rep!$M34</f>
        <v>1125782.6968004678</v>
      </c>
      <c r="G26" s="5">
        <f>qty_sales_by_rep!M34</f>
        <v>497</v>
      </c>
      <c r="H26" s="24">
        <f t="shared" si="1"/>
        <v>2265.1563315904787</v>
      </c>
      <c r="I26" s="24">
        <f>revenue_by_rep!S34</f>
        <v>485612.63475302252</v>
      </c>
      <c r="J26" s="5">
        <f>qty_sales_by_rep!S34</f>
        <v>233</v>
      </c>
      <c r="K26" s="24">
        <f t="shared" si="2"/>
        <v>2084.1743980816418</v>
      </c>
      <c r="L26" s="24">
        <f>revenue_by_rep!Y34</f>
        <v>1516532.1659484492</v>
      </c>
      <c r="M26" s="5">
        <f>qty_sales_by_rep!Y34</f>
        <v>573</v>
      </c>
      <c r="N26" s="24">
        <f t="shared" si="3"/>
        <v>2646.6529946744313</v>
      </c>
      <c r="O26" s="24">
        <f>revenue_by_rep!AE34</f>
        <v>1295907.5139145455</v>
      </c>
      <c r="P26" s="5">
        <f>qty_sales_by_rep!AE34</f>
        <v>372</v>
      </c>
      <c r="Q26" s="24">
        <f t="shared" si="4"/>
        <v>3483.6223492326494</v>
      </c>
    </row>
    <row r="27" spans="1:17" x14ac:dyDescent="0.35">
      <c r="A27" s="17">
        <v>2024</v>
      </c>
      <c r="B27" s="23" t="s">
        <v>45</v>
      </c>
      <c r="C27" s="24">
        <f>revenue_by_rep!G35</f>
        <v>704894.12707130157</v>
      </c>
      <c r="D27" s="5">
        <f>qty_sales_by_rep!G35</f>
        <v>249</v>
      </c>
      <c r="E27" s="24">
        <f t="shared" si="0"/>
        <v>2830.9001087200868</v>
      </c>
      <c r="F27" s="24">
        <f>revenue_by_rep!$M35</f>
        <v>1767787.2523149773</v>
      </c>
      <c r="G27" s="5">
        <f>qty_sales_by_rep!M35</f>
        <v>563</v>
      </c>
      <c r="H27" s="24">
        <f t="shared" si="1"/>
        <v>3139.9418335967625</v>
      </c>
      <c r="I27" s="24">
        <f>revenue_by_rep!S35</f>
        <v>1432871.3937438412</v>
      </c>
      <c r="J27" s="5">
        <f>qty_sales_by_rep!S35</f>
        <v>472</v>
      </c>
      <c r="K27" s="24">
        <f t="shared" si="2"/>
        <v>3035.7444782708499</v>
      </c>
      <c r="L27" s="24">
        <f>revenue_by_rep!Y35</f>
        <v>1687505.8276169656</v>
      </c>
      <c r="M27" s="5">
        <f>qty_sales_by_rep!Y35</f>
        <v>508</v>
      </c>
      <c r="N27" s="24">
        <f t="shared" si="3"/>
        <v>3321.8618653877274</v>
      </c>
      <c r="O27" s="24">
        <f>revenue_by_rep!AE35</f>
        <v>2158325.9398455033</v>
      </c>
      <c r="P27" s="5">
        <f>qty_sales_by_rep!AE35</f>
        <v>703</v>
      </c>
      <c r="Q27" s="24">
        <f t="shared" si="4"/>
        <v>3070.1649215441016</v>
      </c>
    </row>
    <row r="28" spans="1:17" x14ac:dyDescent="0.35">
      <c r="A28" s="5"/>
      <c r="B28" s="23" t="s">
        <v>46</v>
      </c>
      <c r="C28" s="24">
        <f>revenue_by_rep!G36</f>
        <v>1762320.4708448895</v>
      </c>
      <c r="D28" s="5">
        <f>qty_sales_by_rep!G36</f>
        <v>541</v>
      </c>
      <c r="E28" s="24">
        <f t="shared" si="0"/>
        <v>3257.5239756837145</v>
      </c>
      <c r="F28" s="24">
        <f>revenue_by_rep!$M36</f>
        <v>1634457.8265015935</v>
      </c>
      <c r="G28" s="5">
        <f>qty_sales_by_rep!M36</f>
        <v>499</v>
      </c>
      <c r="H28" s="24">
        <f t="shared" si="1"/>
        <v>3275.4665861755379</v>
      </c>
      <c r="I28" s="24">
        <f>revenue_by_rep!S36</f>
        <v>1393949.1271072412</v>
      </c>
      <c r="J28" s="5">
        <f>qty_sales_by_rep!S36</f>
        <v>410</v>
      </c>
      <c r="K28" s="24">
        <f t="shared" si="2"/>
        <v>3399.8759197737591</v>
      </c>
      <c r="L28" s="24">
        <f>revenue_by_rep!Y36</f>
        <v>1083541.9450015828</v>
      </c>
      <c r="M28" s="5">
        <f>qty_sales_by_rep!Y36</f>
        <v>324</v>
      </c>
      <c r="N28" s="24">
        <f t="shared" si="3"/>
        <v>3344.2652623505642</v>
      </c>
      <c r="O28" s="24">
        <f>revenue_by_rep!AE36</f>
        <v>876154.98832059174</v>
      </c>
      <c r="P28" s="5">
        <f>qty_sales_by_rep!AE36</f>
        <v>332</v>
      </c>
      <c r="Q28" s="24">
        <f t="shared" si="4"/>
        <v>2639.0210491584089</v>
      </c>
    </row>
    <row r="29" spans="1:17" x14ac:dyDescent="0.35">
      <c r="A29" s="5"/>
      <c r="B29" s="23" t="s">
        <v>47</v>
      </c>
      <c r="C29" s="24">
        <f>revenue_by_rep!G37</f>
        <v>1633926.7902571533</v>
      </c>
      <c r="D29" s="5">
        <f>qty_sales_by_rep!G37</f>
        <v>501</v>
      </c>
      <c r="E29" s="24">
        <f t="shared" si="0"/>
        <v>3261.3309186769529</v>
      </c>
      <c r="F29" s="24">
        <f>revenue_by_rep!$M37</f>
        <v>1510220.9247382367</v>
      </c>
      <c r="G29" s="5">
        <f>qty_sales_by_rep!M37</f>
        <v>498</v>
      </c>
      <c r="H29" s="24">
        <f t="shared" si="1"/>
        <v>3032.5721380285877</v>
      </c>
      <c r="I29" s="24">
        <f>revenue_by_rep!S37</f>
        <v>2686601.706210257</v>
      </c>
      <c r="J29" s="5">
        <f>qty_sales_by_rep!S37</f>
        <v>852</v>
      </c>
      <c r="K29" s="24">
        <f t="shared" si="2"/>
        <v>3153.2883875707244</v>
      </c>
      <c r="L29" s="24">
        <f>revenue_by_rep!Y37</f>
        <v>1249978.0755581106</v>
      </c>
      <c r="M29" s="5">
        <f>qty_sales_by_rep!Y37</f>
        <v>436</v>
      </c>
      <c r="N29" s="24">
        <f t="shared" si="3"/>
        <v>2866.9221916470428</v>
      </c>
      <c r="O29" s="24">
        <f>revenue_by_rep!AE37</f>
        <v>1933523.6262966848</v>
      </c>
      <c r="P29" s="5">
        <f>qty_sales_by_rep!AE37</f>
        <v>549</v>
      </c>
      <c r="Q29" s="24">
        <f t="shared" si="4"/>
        <v>3521.9009586460561</v>
      </c>
    </row>
    <row r="30" spans="1:17" x14ac:dyDescent="0.35">
      <c r="A30" s="5"/>
      <c r="B30" s="23" t="s">
        <v>48</v>
      </c>
      <c r="C30" s="24">
        <f>revenue_by_rep!G38</f>
        <v>1753718.2729771989</v>
      </c>
      <c r="D30" s="5">
        <f>qty_sales_by_rep!G38</f>
        <v>557</v>
      </c>
      <c r="E30" s="24">
        <f t="shared" si="0"/>
        <v>3148.5067737472154</v>
      </c>
      <c r="F30" s="24">
        <f>revenue_by_rep!$M38</f>
        <v>1151821.9294</v>
      </c>
      <c r="G30" s="5">
        <f>qty_sales_by_rep!M38</f>
        <v>361</v>
      </c>
      <c r="H30" s="24">
        <f t="shared" si="1"/>
        <v>3190.6424637119112</v>
      </c>
      <c r="I30" s="24">
        <f>revenue_by_rep!S38</f>
        <v>322902.54200000002</v>
      </c>
      <c r="J30" s="5">
        <f>qty_sales_by_rep!S38</f>
        <v>143</v>
      </c>
      <c r="K30" s="24">
        <f t="shared" si="2"/>
        <v>2258.0597342657343</v>
      </c>
      <c r="L30" s="24">
        <f>revenue_by_rep!Y38</f>
        <v>1793023.2100337157</v>
      </c>
      <c r="M30" s="5">
        <f>qty_sales_by_rep!Y38</f>
        <v>525</v>
      </c>
      <c r="N30" s="24">
        <f t="shared" si="3"/>
        <v>3415.2823048261253</v>
      </c>
      <c r="O30" s="24">
        <f>revenue_by_rep!AE38</f>
        <v>1509154.1892996025</v>
      </c>
      <c r="P30" s="5">
        <f>qty_sales_by_rep!AE38</f>
        <v>540</v>
      </c>
      <c r="Q30" s="24">
        <f t="shared" si="4"/>
        <v>2794.7299801844492</v>
      </c>
    </row>
    <row r="31" spans="1:17" x14ac:dyDescent="0.35">
      <c r="A31" s="5"/>
      <c r="B31" s="23" t="s">
        <v>49</v>
      </c>
      <c r="C31" s="24">
        <f>revenue_by_rep!G39</f>
        <v>2708861.354840342</v>
      </c>
      <c r="D31" s="5">
        <f>qty_sales_by_rep!G39</f>
        <v>814</v>
      </c>
      <c r="E31" s="24">
        <f t="shared" si="0"/>
        <v>3327.8395022608624</v>
      </c>
      <c r="F31" s="24">
        <f>revenue_by_rep!$M39</f>
        <v>1127034.0661060098</v>
      </c>
      <c r="G31" s="5">
        <f>qty_sales_by_rep!M39</f>
        <v>368</v>
      </c>
      <c r="H31" s="24">
        <f t="shared" si="1"/>
        <v>3062.5925709402441</v>
      </c>
      <c r="I31" s="24">
        <f>revenue_by_rep!S39</f>
        <v>1269311.8625108288</v>
      </c>
      <c r="J31" s="5">
        <f>qty_sales_by_rep!S39</f>
        <v>374</v>
      </c>
      <c r="K31" s="24">
        <f t="shared" si="2"/>
        <v>3393.8819853230716</v>
      </c>
      <c r="L31" s="24">
        <f>revenue_by_rep!Y39</f>
        <v>1537236.3288447785</v>
      </c>
      <c r="M31" s="5">
        <f>qty_sales_by_rep!Y39</f>
        <v>494</v>
      </c>
      <c r="N31" s="24">
        <f t="shared" si="3"/>
        <v>3111.8144308598753</v>
      </c>
      <c r="O31" s="24">
        <f>revenue_by_rep!AE39</f>
        <v>2587374.6896009543</v>
      </c>
      <c r="P31" s="5">
        <f>qty_sales_by_rep!AE39</f>
        <v>726</v>
      </c>
      <c r="Q31" s="24">
        <f t="shared" si="4"/>
        <v>3563.8769829214248</v>
      </c>
    </row>
    <row r="32" spans="1:17" x14ac:dyDescent="0.35">
      <c r="A32" s="5"/>
      <c r="B32" s="23" t="s">
        <v>50</v>
      </c>
      <c r="C32" s="24">
        <f>revenue_by_rep!G40</f>
        <v>1472294.8421456758</v>
      </c>
      <c r="D32" s="5">
        <f>qty_sales_by_rep!G40</f>
        <v>463</v>
      </c>
      <c r="E32" s="24">
        <f t="shared" si="0"/>
        <v>3179.9024668373127</v>
      </c>
      <c r="F32" s="24">
        <f>revenue_by_rep!$M40</f>
        <v>1292016.857131836</v>
      </c>
      <c r="G32" s="5">
        <f>qty_sales_by_rep!M40</f>
        <v>426</v>
      </c>
      <c r="H32" s="24">
        <f t="shared" si="1"/>
        <v>3032.9034204972677</v>
      </c>
      <c r="I32" s="24">
        <f>revenue_by_rep!S40</f>
        <v>1556651.5715111867</v>
      </c>
      <c r="J32" s="5">
        <f>qty_sales_by_rep!S40</f>
        <v>518</v>
      </c>
      <c r="K32" s="24">
        <f t="shared" si="2"/>
        <v>3005.1188639212096</v>
      </c>
      <c r="L32" s="24">
        <f>revenue_by_rep!Y40</f>
        <v>1189154.4451432808</v>
      </c>
      <c r="M32" s="5">
        <f>qty_sales_by_rep!Y40</f>
        <v>323</v>
      </c>
      <c r="N32" s="24">
        <f t="shared" si="3"/>
        <v>3681.5927094219219</v>
      </c>
      <c r="O32" s="24">
        <f>revenue_by_rep!AE40</f>
        <v>1290186.8957</v>
      </c>
      <c r="P32" s="5">
        <f>qty_sales_by_rep!AE40</f>
        <v>425</v>
      </c>
      <c r="Q32" s="24">
        <f t="shared" si="4"/>
        <v>3035.7338722352943</v>
      </c>
    </row>
    <row r="33" spans="1:17" x14ac:dyDescent="0.35">
      <c r="A33" s="5"/>
      <c r="B33" s="23" t="s">
        <v>51</v>
      </c>
      <c r="C33" s="24">
        <f>revenue_by_rep!G41</f>
        <v>1753757.8444557586</v>
      </c>
      <c r="D33" s="5">
        <f>qty_sales_by_rep!G41</f>
        <v>517</v>
      </c>
      <c r="E33" s="24">
        <f t="shared" si="0"/>
        <v>3392.1815173225505</v>
      </c>
      <c r="F33" s="24">
        <f>revenue_by_rep!$M41</f>
        <v>1267696.1363847877</v>
      </c>
      <c r="G33" s="5">
        <f>qty_sales_by_rep!M41</f>
        <v>449</v>
      </c>
      <c r="H33" s="24">
        <f t="shared" si="1"/>
        <v>2823.3766957344938</v>
      </c>
      <c r="I33" s="24">
        <f>revenue_by_rep!S41</f>
        <v>859654.54396751733</v>
      </c>
      <c r="J33" s="5">
        <f>qty_sales_by_rep!S41</f>
        <v>266</v>
      </c>
      <c r="K33" s="24">
        <f t="shared" si="2"/>
        <v>3231.7839998778845</v>
      </c>
      <c r="L33" s="24">
        <f>revenue_by_rep!Y41</f>
        <v>1539935.6927808276</v>
      </c>
      <c r="M33" s="5">
        <f>qty_sales_by_rep!Y41</f>
        <v>487</v>
      </c>
      <c r="N33" s="24">
        <f t="shared" si="3"/>
        <v>3162.0856114596049</v>
      </c>
      <c r="O33" s="24">
        <f>revenue_by_rep!AE41</f>
        <v>1021925.4156642292</v>
      </c>
      <c r="P33" s="5">
        <f>qty_sales_by_rep!AE41</f>
        <v>319</v>
      </c>
      <c r="Q33" s="24">
        <f t="shared" si="4"/>
        <v>3203.5279487906873</v>
      </c>
    </row>
    <row r="34" spans="1:17" x14ac:dyDescent="0.35">
      <c r="A34" s="5"/>
      <c r="B34" s="23" t="s">
        <v>52</v>
      </c>
      <c r="C34" s="24">
        <f>revenue_by_rep!G42</f>
        <v>1177167.5482291041</v>
      </c>
      <c r="D34" s="5">
        <f>qty_sales_by_rep!G42</f>
        <v>390</v>
      </c>
      <c r="E34" s="24">
        <f t="shared" si="0"/>
        <v>3018.3783287925748</v>
      </c>
      <c r="F34" s="24">
        <f>revenue_by_rep!$M42</f>
        <v>1865460.6926262244</v>
      </c>
      <c r="G34" s="5">
        <f>qty_sales_by_rep!M42</f>
        <v>511</v>
      </c>
      <c r="H34" s="24">
        <f t="shared" si="1"/>
        <v>3650.6080090532764</v>
      </c>
      <c r="I34" s="24">
        <f>revenue_by_rep!S42</f>
        <v>835577.52847093903</v>
      </c>
      <c r="J34" s="5">
        <f>qty_sales_by_rep!S42</f>
        <v>282</v>
      </c>
      <c r="K34" s="24">
        <f t="shared" si="2"/>
        <v>2963.0408811026205</v>
      </c>
      <c r="L34" s="24">
        <f>revenue_by_rep!Y42</f>
        <v>1239039.0403561438</v>
      </c>
      <c r="M34" s="5">
        <f>qty_sales_by_rep!Y42</f>
        <v>359</v>
      </c>
      <c r="N34" s="24">
        <f t="shared" si="3"/>
        <v>3451.3622294043003</v>
      </c>
      <c r="O34" s="24">
        <f>revenue_by_rep!AE42</f>
        <v>1176280.5439167989</v>
      </c>
      <c r="P34" s="5">
        <f>qty_sales_by_rep!AE42</f>
        <v>418</v>
      </c>
      <c r="Q34" s="24">
        <f t="shared" si="4"/>
        <v>2814.0682868822942</v>
      </c>
    </row>
    <row r="35" spans="1:17" x14ac:dyDescent="0.35">
      <c r="A35" s="5"/>
      <c r="B35" s="23" t="s">
        <v>53</v>
      </c>
      <c r="C35" s="24">
        <f>revenue_by_rep!G43</f>
        <v>1565646.2200360717</v>
      </c>
      <c r="D35" s="5">
        <f>qty_sales_by_rep!G43</f>
        <v>496</v>
      </c>
      <c r="E35" s="24">
        <f t="shared" si="0"/>
        <v>3156.5447984598222</v>
      </c>
      <c r="F35" s="24">
        <f>revenue_by_rep!$M43</f>
        <v>1048047.248108333</v>
      </c>
      <c r="G35" s="5">
        <f>qty_sales_by_rep!M43</f>
        <v>335</v>
      </c>
      <c r="H35" s="24">
        <f t="shared" si="1"/>
        <v>3128.4992480845763</v>
      </c>
      <c r="I35" s="24">
        <f>revenue_by_rep!S43</f>
        <v>1260598.56597372</v>
      </c>
      <c r="J35" s="5">
        <f>qty_sales_by_rep!S43</f>
        <v>399</v>
      </c>
      <c r="K35" s="24">
        <f t="shared" si="2"/>
        <v>3159.3949021897747</v>
      </c>
      <c r="L35" s="24">
        <f>revenue_by_rep!Y43</f>
        <v>1490572.3524083118</v>
      </c>
      <c r="M35" s="5">
        <f>qty_sales_by_rep!Y43</f>
        <v>416</v>
      </c>
      <c r="N35" s="24">
        <f t="shared" si="3"/>
        <v>3583.1066163661339</v>
      </c>
      <c r="O35" s="24">
        <f>revenue_by_rep!AE43</f>
        <v>1509741.4686528305</v>
      </c>
      <c r="P35" s="5">
        <f>qty_sales_by_rep!AE43</f>
        <v>471</v>
      </c>
      <c r="Q35" s="24">
        <f t="shared" si="4"/>
        <v>3205.3958994752238</v>
      </c>
    </row>
    <row r="36" spans="1:17" x14ac:dyDescent="0.35">
      <c r="A36" s="5"/>
      <c r="B36" s="23" t="s">
        <v>54</v>
      </c>
      <c r="C36" s="24">
        <f>revenue_by_rep!G44</f>
        <v>1462909.5102486643</v>
      </c>
      <c r="D36" s="5">
        <f>qty_sales_by_rep!G44</f>
        <v>501</v>
      </c>
      <c r="E36" s="24">
        <f t="shared" si="0"/>
        <v>2919.9790623725835</v>
      </c>
      <c r="F36" s="24">
        <f>revenue_by_rep!$M44</f>
        <v>1323886.1980549912</v>
      </c>
      <c r="G36" s="5">
        <f>qty_sales_by_rep!M44</f>
        <v>451</v>
      </c>
      <c r="H36" s="24">
        <f t="shared" si="1"/>
        <v>2935.4461154212663</v>
      </c>
      <c r="I36" s="24">
        <f>revenue_by_rep!S44</f>
        <v>1477371.302172051</v>
      </c>
      <c r="J36" s="5">
        <f>qty_sales_by_rep!S44</f>
        <v>413</v>
      </c>
      <c r="K36" s="24">
        <f t="shared" si="2"/>
        <v>3577.1702231768791</v>
      </c>
      <c r="L36" s="24">
        <f>revenue_by_rep!Y44</f>
        <v>2025997.6241670579</v>
      </c>
      <c r="M36" s="5">
        <f>qty_sales_by_rep!Y44</f>
        <v>563</v>
      </c>
      <c r="N36" s="24">
        <f t="shared" si="3"/>
        <v>3598.5748209006356</v>
      </c>
      <c r="O36" s="24">
        <f>revenue_by_rep!AE44</f>
        <v>1678026.3740067815</v>
      </c>
      <c r="P36" s="5">
        <f>qty_sales_by_rep!AE44</f>
        <v>523</v>
      </c>
      <c r="Q36" s="24">
        <f t="shared" si="4"/>
        <v>3208.4634302232917</v>
      </c>
    </row>
    <row r="37" spans="1:17" x14ac:dyDescent="0.35">
      <c r="A37" s="5"/>
      <c r="B37" s="23" t="s">
        <v>55</v>
      </c>
      <c r="C37" s="24">
        <f>revenue_by_rep!G45</f>
        <v>1128570.6701889508</v>
      </c>
      <c r="D37" s="5">
        <f>qty_sales_by_rep!G45</f>
        <v>338</v>
      </c>
      <c r="E37" s="24">
        <f t="shared" si="0"/>
        <v>3338.9664798489671</v>
      </c>
      <c r="F37" s="24">
        <f>revenue_by_rep!$M45</f>
        <v>907258.22052568546</v>
      </c>
      <c r="G37" s="5">
        <f>qty_sales_by_rep!M45</f>
        <v>286</v>
      </c>
      <c r="H37" s="24">
        <f t="shared" si="1"/>
        <v>3172.2315402995996</v>
      </c>
      <c r="I37" s="24">
        <f>revenue_by_rep!S45</f>
        <v>1225498.1999152668</v>
      </c>
      <c r="J37" s="5">
        <f>qty_sales_by_rep!S45</f>
        <v>376</v>
      </c>
      <c r="K37" s="24">
        <f t="shared" si="2"/>
        <v>3259.3037231789012</v>
      </c>
      <c r="L37" s="24">
        <f>revenue_by_rep!Y45</f>
        <v>1420475.091820427</v>
      </c>
      <c r="M37" s="5">
        <f>qty_sales_by_rep!Y45</f>
        <v>520</v>
      </c>
      <c r="N37" s="24">
        <f t="shared" si="3"/>
        <v>2731.6828688854366</v>
      </c>
      <c r="O37" s="24">
        <f>revenue_by_rep!AE45</f>
        <v>1837945.3809671709</v>
      </c>
      <c r="P37" s="5">
        <f>qty_sales_by_rep!AE45</f>
        <v>566</v>
      </c>
      <c r="Q37" s="24">
        <f t="shared" si="4"/>
        <v>3247.2533232635528</v>
      </c>
    </row>
    <row r="38" spans="1:17" x14ac:dyDescent="0.35">
      <c r="A38" s="5"/>
      <c r="B38" s="23" t="s">
        <v>56</v>
      </c>
      <c r="C38" s="24">
        <f>revenue_by_rep!G46</f>
        <v>1307179.2366992272</v>
      </c>
      <c r="D38" s="5">
        <f>qty_sales_by_rep!G46</f>
        <v>464</v>
      </c>
      <c r="E38" s="24">
        <f t="shared" si="0"/>
        <v>2817.1966308173</v>
      </c>
      <c r="F38" s="24">
        <f>revenue_by_rep!$M46</f>
        <v>2266099.5104999999</v>
      </c>
      <c r="G38" s="5">
        <f>qty_sales_by_rep!M46</f>
        <v>709</v>
      </c>
      <c r="H38" s="24">
        <f t="shared" si="1"/>
        <v>3196.191129055007</v>
      </c>
      <c r="I38" s="24">
        <f>revenue_by_rep!S46</f>
        <v>1162866.9154153229</v>
      </c>
      <c r="J38" s="5">
        <f>qty_sales_by_rep!S46</f>
        <v>427</v>
      </c>
      <c r="K38" s="24">
        <f t="shared" si="2"/>
        <v>2723.3417222841285</v>
      </c>
      <c r="L38" s="24">
        <f>revenue_by_rep!Y46</f>
        <v>986994.45348434919</v>
      </c>
      <c r="M38" s="5">
        <f>qty_sales_by_rep!Y46</f>
        <v>365</v>
      </c>
      <c r="N38" s="24">
        <f t="shared" si="3"/>
        <v>2704.0943931078059</v>
      </c>
      <c r="O38" s="24">
        <f>revenue_by_rep!AE46</f>
        <v>1568765.8708146943</v>
      </c>
      <c r="P38" s="5">
        <f>qty_sales_by_rep!AE46</f>
        <v>502</v>
      </c>
      <c r="Q38" s="24">
        <f t="shared" si="4"/>
        <v>3125.0316151687139</v>
      </c>
    </row>
  </sheetData>
  <mergeCells count="6">
    <mergeCell ref="U1:Y1"/>
    <mergeCell ref="C1:E1"/>
    <mergeCell ref="F1:H1"/>
    <mergeCell ref="I1:K1"/>
    <mergeCell ref="L1:N1"/>
    <mergeCell ref="O1:Q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F333C-4E85-48B9-87B4-ACA3E66CE6D8}">
  <dimension ref="A1:Y38"/>
  <sheetViews>
    <sheetView topLeftCell="F1" workbookViewId="0">
      <selection activeCell="S21" sqref="S21"/>
    </sheetView>
  </sheetViews>
  <sheetFormatPr defaultRowHeight="14.5" x14ac:dyDescent="0.35"/>
  <cols>
    <col min="3" max="3" width="16.1796875" bestFit="1" customWidth="1"/>
    <col min="5" max="5" width="13.08984375" bestFit="1" customWidth="1"/>
    <col min="6" max="6" width="16.6328125" bestFit="1" customWidth="1"/>
    <col min="8" max="8" width="13.36328125" bestFit="1" customWidth="1"/>
    <col min="9" max="9" width="16.6328125" bestFit="1" customWidth="1"/>
    <col min="11" max="11" width="13.36328125" bestFit="1" customWidth="1"/>
    <col min="12" max="12" width="16.6328125" bestFit="1" customWidth="1"/>
    <col min="14" max="14" width="13.36328125" bestFit="1" customWidth="1"/>
    <col min="15" max="15" width="16.6328125" bestFit="1" customWidth="1"/>
    <col min="16" max="16" width="8.54296875" bestFit="1" customWidth="1"/>
    <col min="17" max="17" width="13.36328125" bestFit="1" customWidth="1"/>
    <col min="21" max="25" width="13.08984375" bestFit="1" customWidth="1"/>
  </cols>
  <sheetData>
    <row r="1" spans="1:25" x14ac:dyDescent="0.35">
      <c r="C1" s="91" t="s">
        <v>33</v>
      </c>
      <c r="D1" s="92"/>
      <c r="E1" s="93"/>
      <c r="F1" s="91" t="s">
        <v>14</v>
      </c>
      <c r="G1" s="92"/>
      <c r="H1" s="93"/>
      <c r="I1" s="91" t="s">
        <v>29</v>
      </c>
      <c r="J1" s="92"/>
      <c r="K1" s="93"/>
      <c r="L1" s="91" t="s">
        <v>22</v>
      </c>
      <c r="M1" s="92"/>
      <c r="N1" s="93"/>
      <c r="O1" s="91" t="s">
        <v>32</v>
      </c>
      <c r="P1" s="92"/>
      <c r="Q1" s="93"/>
      <c r="U1" s="105" t="s">
        <v>69</v>
      </c>
      <c r="V1" s="105"/>
      <c r="W1" s="105"/>
      <c r="X1" s="105"/>
      <c r="Y1" s="105"/>
    </row>
    <row r="2" spans="1:25" x14ac:dyDescent="0.35">
      <c r="C2" s="6" t="s">
        <v>67</v>
      </c>
      <c r="D2" s="6" t="s">
        <v>68</v>
      </c>
      <c r="E2" s="6" t="s">
        <v>69</v>
      </c>
      <c r="F2" s="6" t="s">
        <v>67</v>
      </c>
      <c r="G2" s="6" t="s">
        <v>68</v>
      </c>
      <c r="H2" s="6" t="s">
        <v>69</v>
      </c>
      <c r="I2" s="6" t="s">
        <v>67</v>
      </c>
      <c r="J2" s="6" t="s">
        <v>68</v>
      </c>
      <c r="K2" s="6" t="s">
        <v>69</v>
      </c>
      <c r="L2" s="6" t="s">
        <v>67</v>
      </c>
      <c r="M2" s="6" t="s">
        <v>68</v>
      </c>
      <c r="N2" s="6" t="s">
        <v>69</v>
      </c>
      <c r="O2" s="6" t="s">
        <v>67</v>
      </c>
      <c r="P2" s="6" t="s">
        <v>68</v>
      </c>
      <c r="Q2" s="6" t="s">
        <v>69</v>
      </c>
      <c r="U2" s="5" t="s">
        <v>33</v>
      </c>
      <c r="V2" s="5" t="s">
        <v>14</v>
      </c>
      <c r="W2" s="5" t="s">
        <v>29</v>
      </c>
      <c r="X2" s="5" t="s">
        <v>22</v>
      </c>
      <c r="Y2" s="5" t="s">
        <v>32</v>
      </c>
    </row>
    <row r="3" spans="1:25" x14ac:dyDescent="0.35">
      <c r="A3" s="17" t="s">
        <v>60</v>
      </c>
      <c r="B3" s="23" t="s">
        <v>45</v>
      </c>
      <c r="C3" s="24">
        <f>revenue_by_rep!G11</f>
        <v>1488312.7876556471</v>
      </c>
      <c r="D3" s="5">
        <f>qty_sales_by_rep!G11</f>
        <v>483</v>
      </c>
      <c r="E3" s="24">
        <f>C3/D3</f>
        <v>3081.3929351048596</v>
      </c>
      <c r="F3" s="24">
        <f>revenue_by_rep!$M11</f>
        <v>758678.83207230642</v>
      </c>
      <c r="G3" s="5">
        <f>qty_sales_by_rep!M11</f>
        <v>241</v>
      </c>
      <c r="H3" s="24">
        <f>F3/G3</f>
        <v>3148.0449463581181</v>
      </c>
      <c r="I3" s="24">
        <f>revenue_by_rep!S11</f>
        <v>1986109.8174075624</v>
      </c>
      <c r="J3" s="5">
        <f>qty_sales_by_rep!S11</f>
        <v>662</v>
      </c>
      <c r="K3" s="24">
        <f>I3/J3</f>
        <v>3000.165887322602</v>
      </c>
      <c r="L3" s="24">
        <f>revenue_by_rep!Y11</f>
        <v>1528060.7008000002</v>
      </c>
      <c r="M3" s="5">
        <f>qty_sales_by_rep!Y11</f>
        <v>494</v>
      </c>
      <c r="N3" s="24">
        <f>L3/M3</f>
        <v>3093.2402850202434</v>
      </c>
      <c r="O3" s="24">
        <f>revenue_by_rep!AE11</f>
        <v>1200820.9863899988</v>
      </c>
      <c r="P3" s="5">
        <f>qty_sales_by_rep!AE11</f>
        <v>331</v>
      </c>
      <c r="Q3" s="24">
        <f>O3/P3</f>
        <v>3627.8579649244675</v>
      </c>
      <c r="T3" s="5">
        <v>2022</v>
      </c>
      <c r="U3" s="24">
        <f>AVERAGE($E$3:$E$14)</f>
        <v>3002.0627270292407</v>
      </c>
      <c r="V3" s="24">
        <f>AVERAGE($H$3:$H$14)</f>
        <v>3040.9129653516907</v>
      </c>
      <c r="W3" s="24">
        <f>AVERAGE($K$3:$K$14)</f>
        <v>3118.4991072614544</v>
      </c>
      <c r="X3" s="24">
        <f>AVERAGE($N$3:$N$14)</f>
        <v>3136.0375509281512</v>
      </c>
      <c r="Y3" s="24">
        <f>AVERAGE($Q$3:$Q$14)</f>
        <v>3141.6973373994347</v>
      </c>
    </row>
    <row r="4" spans="1:25" x14ac:dyDescent="0.35">
      <c r="A4" s="4"/>
      <c r="B4" s="23" t="s">
        <v>46</v>
      </c>
      <c r="C4" s="24">
        <f>revenue_by_rep!G12</f>
        <v>1385249.1490000002</v>
      </c>
      <c r="D4" s="5">
        <f>qty_sales_by_rep!G12</f>
        <v>494</v>
      </c>
      <c r="E4" s="24">
        <f t="shared" ref="E4:E38" si="0">C4/D4</f>
        <v>2804.148074898786</v>
      </c>
      <c r="F4" s="24">
        <f>revenue_by_rep!$M12</f>
        <v>1138658.170860583</v>
      </c>
      <c r="G4" s="5">
        <f>qty_sales_by_rep!M12</f>
        <v>356</v>
      </c>
      <c r="H4" s="24">
        <f t="shared" ref="H4:H38" si="1">F4/G4</f>
        <v>3198.4780080353453</v>
      </c>
      <c r="I4" s="24">
        <f>revenue_by_rep!S12</f>
        <v>2203750.6976120318</v>
      </c>
      <c r="J4" s="5">
        <f>qty_sales_by_rep!S12</f>
        <v>666</v>
      </c>
      <c r="K4" s="24">
        <f t="shared" ref="K4:K38" si="2">I4/J4</f>
        <v>3308.9349813994472</v>
      </c>
      <c r="L4" s="24">
        <f>revenue_by_rep!Y12</f>
        <v>1821357.18565311</v>
      </c>
      <c r="M4" s="5">
        <f>qty_sales_by_rep!Y12</f>
        <v>609</v>
      </c>
      <c r="N4" s="24">
        <f t="shared" ref="N4:N38" si="3">L4/M4</f>
        <v>2990.7342949968966</v>
      </c>
      <c r="O4" s="24">
        <f>revenue_by_rep!AE12</f>
        <v>1379612.1118424763</v>
      </c>
      <c r="P4" s="5">
        <f>qty_sales_by_rep!AE12</f>
        <v>478</v>
      </c>
      <c r="Q4" s="24">
        <f t="shared" ref="Q4:Q38" si="4">O4/P4</f>
        <v>2886.2178072018332</v>
      </c>
      <c r="T4" s="5">
        <v>2023</v>
      </c>
      <c r="U4" s="24">
        <f>AVERAGE($E$15:$E$26)</f>
        <v>2643.4784971685676</v>
      </c>
      <c r="V4" s="24">
        <f>AVERAGE($H$15:$H$26)</f>
        <v>2679.0204349614896</v>
      </c>
      <c r="W4" s="24">
        <f>AVERAGE($K$15:$K$26)</f>
        <v>2628.0000035402263</v>
      </c>
      <c r="X4" s="24">
        <f>AVERAGE($N$15:$N$26)</f>
        <v>2662.6599620070938</v>
      </c>
      <c r="Y4" s="24">
        <f>AVERAGE($Q$15:$Q$26)</f>
        <v>2759.3898889393145</v>
      </c>
    </row>
    <row r="5" spans="1:25" x14ac:dyDescent="0.35">
      <c r="A5" s="4"/>
      <c r="B5" s="23" t="s">
        <v>47</v>
      </c>
      <c r="C5" s="24">
        <f>revenue_by_rep!G13</f>
        <v>1999601.3556229197</v>
      </c>
      <c r="D5" s="5">
        <f>qty_sales_by_rep!G13</f>
        <v>579</v>
      </c>
      <c r="E5" s="24">
        <f t="shared" si="0"/>
        <v>3453.5429285369942</v>
      </c>
      <c r="F5" s="24">
        <f>revenue_by_rep!$M13</f>
        <v>872912.10470000003</v>
      </c>
      <c r="G5" s="5">
        <f>qty_sales_by_rep!M13</f>
        <v>302</v>
      </c>
      <c r="H5" s="24">
        <f t="shared" si="1"/>
        <v>2890.4374327814571</v>
      </c>
      <c r="I5" s="24">
        <f>revenue_by_rep!S13</f>
        <v>1454743.4890738691</v>
      </c>
      <c r="J5" s="5">
        <f>qty_sales_by_rep!S13</f>
        <v>491</v>
      </c>
      <c r="K5" s="24">
        <f t="shared" si="2"/>
        <v>2962.8176966881242</v>
      </c>
      <c r="L5" s="24">
        <f>revenue_by_rep!Y13</f>
        <v>768366.02136185416</v>
      </c>
      <c r="M5" s="5">
        <f>qty_sales_by_rep!Y13</f>
        <v>247</v>
      </c>
      <c r="N5" s="24">
        <f t="shared" si="3"/>
        <v>3110.7936087524458</v>
      </c>
      <c r="O5" s="24">
        <f>revenue_by_rep!AE13</f>
        <v>1410640.4301784686</v>
      </c>
      <c r="P5" s="5">
        <f>qty_sales_by_rep!AE13</f>
        <v>494</v>
      </c>
      <c r="Q5" s="24">
        <f t="shared" si="4"/>
        <v>2855.5474295110698</v>
      </c>
      <c r="T5" s="5">
        <v>2024</v>
      </c>
      <c r="U5" s="24">
        <f>AVERAGE($E$27:$E$38)</f>
        <v>3137.4375469616621</v>
      </c>
      <c r="V5" s="24">
        <f>AVERAGE($H$27:$H$38)</f>
        <v>3136.7059792165442</v>
      </c>
      <c r="W5" s="24">
        <f>AVERAGE($K$27:$K$38)</f>
        <v>3096.6670684112946</v>
      </c>
      <c r="X5" s="24">
        <f>AVERAGE($N$27:$N$38)</f>
        <v>3247.7204420514317</v>
      </c>
      <c r="Y5" s="24">
        <f>AVERAGE($Q$27:$Q$38)</f>
        <v>3119.0973557077918</v>
      </c>
    </row>
    <row r="6" spans="1:25" x14ac:dyDescent="0.35">
      <c r="A6" s="4"/>
      <c r="B6" s="23" t="s">
        <v>48</v>
      </c>
      <c r="C6" s="24">
        <f>revenue_by_rep!G14</f>
        <v>1308470.0837201746</v>
      </c>
      <c r="D6" s="5">
        <f>qty_sales_by_rep!G14</f>
        <v>462</v>
      </c>
      <c r="E6" s="24">
        <f t="shared" si="0"/>
        <v>2832.1863283986463</v>
      </c>
      <c r="F6" s="24">
        <f>revenue_by_rep!$M14</f>
        <v>1446545.1270361121</v>
      </c>
      <c r="G6" s="5">
        <f>qty_sales_by_rep!M14</f>
        <v>447</v>
      </c>
      <c r="H6" s="24">
        <f t="shared" si="1"/>
        <v>3236.1188524297809</v>
      </c>
      <c r="I6" s="24">
        <f>revenue_by_rep!S14</f>
        <v>2616348.1051977966</v>
      </c>
      <c r="J6" s="5">
        <f>qty_sales_by_rep!S14</f>
        <v>739</v>
      </c>
      <c r="K6" s="24">
        <f t="shared" si="2"/>
        <v>3540.389858183757</v>
      </c>
      <c r="L6" s="24">
        <f>revenue_by_rep!Y14</f>
        <v>1608443.2077642013</v>
      </c>
      <c r="M6" s="5">
        <f>qty_sales_by_rep!Y14</f>
        <v>481</v>
      </c>
      <c r="N6" s="24">
        <f t="shared" si="3"/>
        <v>3343.9567728985476</v>
      </c>
      <c r="O6" s="24">
        <f>revenue_by_rep!AE14</f>
        <v>1559876.4194139421</v>
      </c>
      <c r="P6" s="5">
        <f>qty_sales_by_rep!AE14</f>
        <v>497</v>
      </c>
      <c r="Q6" s="24">
        <f t="shared" si="4"/>
        <v>3138.5843448972678</v>
      </c>
    </row>
    <row r="7" spans="1:25" x14ac:dyDescent="0.35">
      <c r="A7" s="4"/>
      <c r="B7" s="23" t="s">
        <v>49</v>
      </c>
      <c r="C7" s="24">
        <f>revenue_by_rep!G15</f>
        <v>1426027.0346216739</v>
      </c>
      <c r="D7" s="5">
        <f>qty_sales_by_rep!G15</f>
        <v>502</v>
      </c>
      <c r="E7" s="24">
        <f t="shared" si="0"/>
        <v>2840.6913040272389</v>
      </c>
      <c r="F7" s="24">
        <f>revenue_by_rep!$M15</f>
        <v>1534073.1749201834</v>
      </c>
      <c r="G7" s="5">
        <f>qty_sales_by_rep!M15</f>
        <v>488</v>
      </c>
      <c r="H7" s="24">
        <f t="shared" si="1"/>
        <v>3143.5925715577528</v>
      </c>
      <c r="I7" s="24">
        <f>revenue_by_rep!S15</f>
        <v>1881339.1907020779</v>
      </c>
      <c r="J7" s="5">
        <f>qty_sales_by_rep!S15</f>
        <v>500</v>
      </c>
      <c r="K7" s="24">
        <f t="shared" si="2"/>
        <v>3762.678381404156</v>
      </c>
      <c r="L7" s="24">
        <f>revenue_by_rep!Y15</f>
        <v>1663749.8980941335</v>
      </c>
      <c r="M7" s="5">
        <f>qty_sales_by_rep!Y15</f>
        <v>596</v>
      </c>
      <c r="N7" s="24">
        <f t="shared" si="3"/>
        <v>2791.5266746545863</v>
      </c>
      <c r="O7" s="24">
        <f>revenue_by_rep!AE15</f>
        <v>1614858.0443061704</v>
      </c>
      <c r="P7" s="5">
        <f>qty_sales_by_rep!AE15</f>
        <v>507</v>
      </c>
      <c r="Q7" s="24">
        <f t="shared" si="4"/>
        <v>3185.1243477439257</v>
      </c>
    </row>
    <row r="8" spans="1:25" x14ac:dyDescent="0.35">
      <c r="A8" s="4"/>
      <c r="B8" s="23" t="s">
        <v>50</v>
      </c>
      <c r="C8" s="24">
        <f>revenue_by_rep!G16</f>
        <v>2577347.5500287502</v>
      </c>
      <c r="D8" s="5">
        <f>qty_sales_by_rep!G16</f>
        <v>792</v>
      </c>
      <c r="E8" s="24">
        <f t="shared" si="0"/>
        <v>3254.2267045817553</v>
      </c>
      <c r="F8" s="24">
        <f>revenue_by_rep!$M16</f>
        <v>1997961.2049753349</v>
      </c>
      <c r="G8" s="5">
        <f>qty_sales_by_rep!M16</f>
        <v>586</v>
      </c>
      <c r="H8" s="24">
        <f t="shared" si="1"/>
        <v>3409.4901108794111</v>
      </c>
      <c r="I8" s="24">
        <f>revenue_by_rep!S16</f>
        <v>886398.49809999997</v>
      </c>
      <c r="J8" s="5">
        <f>qty_sales_by_rep!S16</f>
        <v>310</v>
      </c>
      <c r="K8" s="24">
        <f t="shared" si="2"/>
        <v>2859.3499938709679</v>
      </c>
      <c r="L8" s="24">
        <f>revenue_by_rep!Y16</f>
        <v>1265938.1024690156</v>
      </c>
      <c r="M8" s="5">
        <f>qty_sales_by_rep!Y16</f>
        <v>429</v>
      </c>
      <c r="N8" s="24">
        <f t="shared" si="3"/>
        <v>2950.9046677599431</v>
      </c>
      <c r="O8" s="24">
        <f>revenue_by_rep!AE16</f>
        <v>1304409.9752791577</v>
      </c>
      <c r="P8" s="5">
        <f>qty_sales_by_rep!AE16</f>
        <v>399</v>
      </c>
      <c r="Q8" s="24">
        <f t="shared" si="4"/>
        <v>3269.1979330304707</v>
      </c>
    </row>
    <row r="9" spans="1:25" x14ac:dyDescent="0.35">
      <c r="A9" s="4"/>
      <c r="B9" s="23" t="s">
        <v>51</v>
      </c>
      <c r="C9" s="24">
        <f>revenue_by_rep!G17</f>
        <v>1657107.8979874039</v>
      </c>
      <c r="D9" s="5">
        <f>qty_sales_by_rep!G17</f>
        <v>546</v>
      </c>
      <c r="E9" s="24">
        <f t="shared" si="0"/>
        <v>3034.9961501600806</v>
      </c>
      <c r="F9" s="24">
        <f>revenue_by_rep!$M17</f>
        <v>1105898.1871308209</v>
      </c>
      <c r="G9" s="5">
        <f>qty_sales_by_rep!M17</f>
        <v>388</v>
      </c>
      <c r="H9" s="24">
        <f t="shared" si="1"/>
        <v>2850.2530596155179</v>
      </c>
      <c r="I9" s="24">
        <f>revenue_by_rep!S17</f>
        <v>1181996.2117241279</v>
      </c>
      <c r="J9" s="5">
        <f>qty_sales_by_rep!S17</f>
        <v>467</v>
      </c>
      <c r="K9" s="24">
        <f t="shared" si="2"/>
        <v>2531.0411385955631</v>
      </c>
      <c r="L9" s="24">
        <f>revenue_by_rep!Y17</f>
        <v>894638.13950452546</v>
      </c>
      <c r="M9" s="5">
        <f>qty_sales_by_rep!Y17</f>
        <v>248</v>
      </c>
      <c r="N9" s="24">
        <f t="shared" si="3"/>
        <v>3607.4118528408285</v>
      </c>
      <c r="O9" s="24">
        <f>revenue_by_rep!AE17</f>
        <v>1839915.4577956004</v>
      </c>
      <c r="P9" s="5">
        <f>qty_sales_by_rep!AE17</f>
        <v>564</v>
      </c>
      <c r="Q9" s="24">
        <f t="shared" si="4"/>
        <v>3262.2614499921992</v>
      </c>
    </row>
    <row r="10" spans="1:25" x14ac:dyDescent="0.35">
      <c r="A10" s="4"/>
      <c r="B10" s="23" t="s">
        <v>52</v>
      </c>
      <c r="C10" s="24">
        <f>revenue_by_rep!G18</f>
        <v>1153126.187773875</v>
      </c>
      <c r="D10" s="5">
        <f>qty_sales_by_rep!G18</f>
        <v>404</v>
      </c>
      <c r="E10" s="24">
        <f t="shared" si="0"/>
        <v>2854.272742014542</v>
      </c>
      <c r="F10" s="24">
        <f>revenue_by_rep!$M18</f>
        <v>899837.80019999994</v>
      </c>
      <c r="G10" s="5">
        <f>qty_sales_by_rep!M18</f>
        <v>382</v>
      </c>
      <c r="H10" s="24">
        <f t="shared" si="1"/>
        <v>2355.5963356020939</v>
      </c>
      <c r="I10" s="24">
        <f>revenue_by_rep!S18</f>
        <v>856793.2796484424</v>
      </c>
      <c r="J10" s="5">
        <f>qty_sales_by_rep!S18</f>
        <v>279</v>
      </c>
      <c r="K10" s="24">
        <f t="shared" si="2"/>
        <v>3070.9436546539155</v>
      </c>
      <c r="L10" s="24">
        <f>revenue_by_rep!Y18</f>
        <v>1928995.2330394743</v>
      </c>
      <c r="M10" s="5">
        <f>qty_sales_by_rep!Y18</f>
        <v>628</v>
      </c>
      <c r="N10" s="24">
        <f t="shared" si="3"/>
        <v>3071.6484602539399</v>
      </c>
      <c r="O10" s="24">
        <f>revenue_by_rep!AE18</f>
        <v>1573453.7601356083</v>
      </c>
      <c r="P10" s="5">
        <f>qty_sales_by_rep!AE18</f>
        <v>511</v>
      </c>
      <c r="Q10" s="24">
        <f t="shared" si="4"/>
        <v>3079.1658711068653</v>
      </c>
    </row>
    <row r="11" spans="1:25" x14ac:dyDescent="0.35">
      <c r="A11" s="4"/>
      <c r="B11" s="23" t="s">
        <v>53</v>
      </c>
      <c r="C11" s="24">
        <f>revenue_by_rep!G19</f>
        <v>1733827.8674006208</v>
      </c>
      <c r="D11" s="5">
        <f>qty_sales_by_rep!G19</f>
        <v>635</v>
      </c>
      <c r="E11" s="24">
        <f t="shared" si="0"/>
        <v>2730.4375864576705</v>
      </c>
      <c r="F11" s="24">
        <f>revenue_by_rep!$M19</f>
        <v>1293189.3108840603</v>
      </c>
      <c r="G11" s="5">
        <f>qty_sales_by_rep!M19</f>
        <v>422</v>
      </c>
      <c r="H11" s="24">
        <f t="shared" si="1"/>
        <v>3064.4296466446926</v>
      </c>
      <c r="I11" s="24">
        <f>revenue_by_rep!S19</f>
        <v>421505.56360225379</v>
      </c>
      <c r="J11" s="5">
        <f>qty_sales_by_rep!S19</f>
        <v>159</v>
      </c>
      <c r="K11" s="24">
        <f t="shared" si="2"/>
        <v>2650.9783874355585</v>
      </c>
      <c r="L11" s="24">
        <f>revenue_by_rep!Y19</f>
        <v>1507110.6057932372</v>
      </c>
      <c r="M11" s="5">
        <f>qty_sales_by_rep!Y19</f>
        <v>430</v>
      </c>
      <c r="N11" s="24">
        <f t="shared" si="3"/>
        <v>3504.9083855656681</v>
      </c>
      <c r="O11" s="24">
        <f>revenue_by_rep!AE19</f>
        <v>1503838.1748636758</v>
      </c>
      <c r="P11" s="5">
        <f>qty_sales_by_rep!AE19</f>
        <v>457</v>
      </c>
      <c r="Q11" s="24">
        <f t="shared" si="4"/>
        <v>3290.6743432465555</v>
      </c>
    </row>
    <row r="12" spans="1:25" x14ac:dyDescent="0.35">
      <c r="A12" s="4"/>
      <c r="B12" s="23" t="s">
        <v>54</v>
      </c>
      <c r="C12" s="24">
        <f>revenue_by_rep!G20</f>
        <v>1298241.9940277485</v>
      </c>
      <c r="D12" s="5">
        <f>qty_sales_by_rep!G20</f>
        <v>390</v>
      </c>
      <c r="E12" s="24">
        <f t="shared" si="0"/>
        <v>3328.8256257121757</v>
      </c>
      <c r="F12" s="24">
        <f>revenue_by_rep!$M20</f>
        <v>1905301.5175011298</v>
      </c>
      <c r="G12" s="5">
        <f>qty_sales_by_rep!M20</f>
        <v>560</v>
      </c>
      <c r="H12" s="24">
        <f t="shared" si="1"/>
        <v>3402.3241383948748</v>
      </c>
      <c r="I12" s="24">
        <f>revenue_by_rep!S20</f>
        <v>1550952.0192641036</v>
      </c>
      <c r="J12" s="5">
        <f>qty_sales_by_rep!S20</f>
        <v>573</v>
      </c>
      <c r="K12" s="24">
        <f t="shared" si="2"/>
        <v>2706.7225467087324</v>
      </c>
      <c r="L12" s="24">
        <f>revenue_by_rep!Y20</f>
        <v>761259.6717216206</v>
      </c>
      <c r="M12" s="5">
        <f>qty_sales_by_rep!Y20</f>
        <v>305</v>
      </c>
      <c r="N12" s="24">
        <f t="shared" si="3"/>
        <v>2495.9333499069526</v>
      </c>
      <c r="O12" s="24">
        <f>revenue_by_rep!AE20</f>
        <v>1877967.4807726617</v>
      </c>
      <c r="P12" s="5">
        <f>qty_sales_by_rep!AE20</f>
        <v>606</v>
      </c>
      <c r="Q12" s="24">
        <f t="shared" si="4"/>
        <v>3098.956238898782</v>
      </c>
    </row>
    <row r="13" spans="1:25" x14ac:dyDescent="0.35">
      <c r="A13" s="4"/>
      <c r="B13" s="23" t="s">
        <v>55</v>
      </c>
      <c r="C13" s="24">
        <f>revenue_by_rep!G21</f>
        <v>1434854.7990853761</v>
      </c>
      <c r="D13" s="5">
        <f>qty_sales_by_rep!G21</f>
        <v>509</v>
      </c>
      <c r="E13" s="24">
        <f t="shared" si="0"/>
        <v>2818.9681710911123</v>
      </c>
      <c r="F13" s="24">
        <f>revenue_by_rep!$M21</f>
        <v>1394532.7592178416</v>
      </c>
      <c r="G13" s="5">
        <f>qty_sales_by_rep!M21</f>
        <v>503</v>
      </c>
      <c r="H13" s="24">
        <f t="shared" si="1"/>
        <v>2772.4309328386512</v>
      </c>
      <c r="I13" s="24">
        <f>revenue_by_rep!S21</f>
        <v>1654245.3510990702</v>
      </c>
      <c r="J13" s="5">
        <f>qty_sales_by_rep!S21</f>
        <v>476</v>
      </c>
      <c r="K13" s="24">
        <f t="shared" si="2"/>
        <v>3475.3053594518283</v>
      </c>
      <c r="L13" s="24">
        <f>revenue_by_rep!Y21</f>
        <v>1907172.0084368722</v>
      </c>
      <c r="M13" s="5">
        <f>qty_sales_by_rep!Y21</f>
        <v>572</v>
      </c>
      <c r="N13" s="24">
        <f t="shared" si="3"/>
        <v>3334.2167979665596</v>
      </c>
      <c r="O13" s="24">
        <f>revenue_by_rep!AE21</f>
        <v>1290194.7905843102</v>
      </c>
      <c r="P13" s="5">
        <f>qty_sales_by_rep!AE21</f>
        <v>407</v>
      </c>
      <c r="Q13" s="24">
        <f t="shared" si="4"/>
        <v>3170.0117704774207</v>
      </c>
    </row>
    <row r="14" spans="1:25" x14ac:dyDescent="0.35">
      <c r="A14" s="4"/>
      <c r="B14" s="23" t="s">
        <v>56</v>
      </c>
      <c r="C14" s="24">
        <f>revenue_by_rep!G22</f>
        <v>1683969.129605636</v>
      </c>
      <c r="D14" s="5">
        <f>qty_sales_by_rep!G22</f>
        <v>563</v>
      </c>
      <c r="E14" s="24">
        <f t="shared" si="0"/>
        <v>2991.0641733670268</v>
      </c>
      <c r="F14" s="24">
        <f>revenue_by_rep!$M22</f>
        <v>1346812.7588908372</v>
      </c>
      <c r="G14" s="5">
        <f>qty_sales_by_rep!M22</f>
        <v>446</v>
      </c>
      <c r="H14" s="24">
        <f t="shared" si="1"/>
        <v>3019.7595490825947</v>
      </c>
      <c r="I14" s="24">
        <f>revenue_by_rep!S22</f>
        <v>1467249.1587876147</v>
      </c>
      <c r="J14" s="5">
        <f>qty_sales_by_rep!S22</f>
        <v>413</v>
      </c>
      <c r="K14" s="24">
        <f t="shared" si="2"/>
        <v>3552.6614014227957</v>
      </c>
      <c r="L14" s="24">
        <f>revenue_by_rep!Y22</f>
        <v>914386.07618280966</v>
      </c>
      <c r="M14" s="5">
        <f>qty_sales_by_rep!Y22</f>
        <v>274</v>
      </c>
      <c r="N14" s="24">
        <f t="shared" si="3"/>
        <v>3337.1754605212031</v>
      </c>
      <c r="O14" s="24">
        <f>revenue_by_rep!AE22</f>
        <v>1390016.5884035525</v>
      </c>
      <c r="P14" s="5">
        <f>qty_sales_by_rep!AE22</f>
        <v>490</v>
      </c>
      <c r="Q14" s="24">
        <f t="shared" si="4"/>
        <v>2836.7685477623522</v>
      </c>
    </row>
    <row r="15" spans="1:25" x14ac:dyDescent="0.35">
      <c r="A15" s="17" t="s">
        <v>59</v>
      </c>
      <c r="B15" s="23" t="s">
        <v>45</v>
      </c>
      <c r="C15" s="24">
        <f>revenue_by_rep!G23</f>
        <v>732662.61994099128</v>
      </c>
      <c r="D15" s="5">
        <f>qty_sales_by_rep!G23</f>
        <v>274</v>
      </c>
      <c r="E15" s="24">
        <f t="shared" si="0"/>
        <v>2673.9511676678512</v>
      </c>
      <c r="F15" s="24">
        <f>revenue_by_rep!$M23</f>
        <v>1757650.681568895</v>
      </c>
      <c r="G15" s="5">
        <f>qty_sales_by_rep!M23</f>
        <v>588</v>
      </c>
      <c r="H15" s="24">
        <f t="shared" si="1"/>
        <v>2989.2018394028828</v>
      </c>
      <c r="I15" s="24">
        <f>revenue_by_rep!S23</f>
        <v>1890302.1605248644</v>
      </c>
      <c r="J15" s="5">
        <f>qty_sales_by_rep!S23</f>
        <v>608</v>
      </c>
      <c r="K15" s="24">
        <f t="shared" si="2"/>
        <v>3109.0496061264216</v>
      </c>
      <c r="L15" s="24">
        <f>revenue_by_rep!Y23</f>
        <v>900764.96508421446</v>
      </c>
      <c r="M15" s="5">
        <f>qty_sales_by_rep!Y23</f>
        <v>369</v>
      </c>
      <c r="N15" s="24">
        <f t="shared" si="3"/>
        <v>2441.0974663528846</v>
      </c>
      <c r="O15" s="24">
        <f>revenue_by_rep!AE23</f>
        <v>1924099.3294926707</v>
      </c>
      <c r="P15" s="5">
        <f>qty_sales_by_rep!AE23</f>
        <v>633</v>
      </c>
      <c r="Q15" s="24">
        <f t="shared" si="4"/>
        <v>3039.6513894039031</v>
      </c>
    </row>
    <row r="16" spans="1:25" x14ac:dyDescent="0.35">
      <c r="A16" s="5"/>
      <c r="B16" s="23" t="s">
        <v>46</v>
      </c>
      <c r="C16" s="24">
        <f>revenue_by_rep!G24</f>
        <v>1399643.7079230153</v>
      </c>
      <c r="D16" s="5">
        <f>qty_sales_by_rep!G24</f>
        <v>465</v>
      </c>
      <c r="E16" s="24">
        <f t="shared" si="0"/>
        <v>3009.9864686516457</v>
      </c>
      <c r="F16" s="24">
        <f>revenue_by_rep!$M24</f>
        <v>967494.15907065279</v>
      </c>
      <c r="G16" s="5">
        <f>qty_sales_by_rep!M24</f>
        <v>332</v>
      </c>
      <c r="H16" s="24">
        <f t="shared" si="1"/>
        <v>2914.1390333453396</v>
      </c>
      <c r="I16" s="24">
        <f>revenue_by_rep!S24</f>
        <v>917185.57998915901</v>
      </c>
      <c r="J16" s="5">
        <f>qty_sales_by_rep!S24</f>
        <v>387</v>
      </c>
      <c r="K16" s="24">
        <f t="shared" si="2"/>
        <v>2369.9885787833568</v>
      </c>
      <c r="L16" s="24">
        <f>revenue_by_rep!Y24</f>
        <v>1354673.2614348892</v>
      </c>
      <c r="M16" s="5">
        <f>qty_sales_by_rep!Y24</f>
        <v>534</v>
      </c>
      <c r="N16" s="24">
        <f t="shared" si="3"/>
        <v>2536.8413135484816</v>
      </c>
      <c r="O16" s="24">
        <f>revenue_by_rep!AE24</f>
        <v>842458.34755145432</v>
      </c>
      <c r="P16" s="5">
        <f>qty_sales_by_rep!AE24</f>
        <v>346</v>
      </c>
      <c r="Q16" s="24">
        <f t="shared" si="4"/>
        <v>2434.8507154666308</v>
      </c>
    </row>
    <row r="17" spans="1:17" x14ac:dyDescent="0.35">
      <c r="A17" s="5"/>
      <c r="B17" s="23" t="s">
        <v>47</v>
      </c>
      <c r="C17" s="24">
        <f>revenue_by_rep!G25</f>
        <v>1124008.8877942776</v>
      </c>
      <c r="D17" s="5">
        <f>qty_sales_by_rep!G25</f>
        <v>424</v>
      </c>
      <c r="E17" s="24">
        <f t="shared" si="0"/>
        <v>2650.9643580053717</v>
      </c>
      <c r="F17" s="24">
        <f>revenue_by_rep!$M25</f>
        <v>1070047.7529338114</v>
      </c>
      <c r="G17" s="5">
        <f>qty_sales_by_rep!M25</f>
        <v>364</v>
      </c>
      <c r="H17" s="24">
        <f t="shared" si="1"/>
        <v>2939.6916289390424</v>
      </c>
      <c r="I17" s="24">
        <f>revenue_by_rep!S25</f>
        <v>542951.95947669109</v>
      </c>
      <c r="J17" s="5">
        <f>qty_sales_by_rep!S25</f>
        <v>213</v>
      </c>
      <c r="K17" s="24">
        <f t="shared" si="2"/>
        <v>2549.0702322849347</v>
      </c>
      <c r="L17" s="24">
        <f>revenue_by_rep!Y25</f>
        <v>1409219.8345183062</v>
      </c>
      <c r="M17" s="5">
        <f>qty_sales_by_rep!Y25</f>
        <v>456</v>
      </c>
      <c r="N17" s="24">
        <f t="shared" si="3"/>
        <v>3090.394373943654</v>
      </c>
      <c r="O17" s="24">
        <f>revenue_by_rep!AE25</f>
        <v>1651097.1490221121</v>
      </c>
      <c r="P17" s="5">
        <f>qty_sales_by_rep!AE25</f>
        <v>612</v>
      </c>
      <c r="Q17" s="24">
        <f t="shared" si="4"/>
        <v>2697.8711585328629</v>
      </c>
    </row>
    <row r="18" spans="1:17" x14ac:dyDescent="0.35">
      <c r="A18" s="5"/>
      <c r="B18" s="23" t="s">
        <v>48</v>
      </c>
      <c r="C18" s="24">
        <f>revenue_by_rep!G26</f>
        <v>1221362.7276046854</v>
      </c>
      <c r="D18" s="5">
        <f>qty_sales_by_rep!G26</f>
        <v>390</v>
      </c>
      <c r="E18" s="24">
        <f t="shared" si="0"/>
        <v>3131.6993015504754</v>
      </c>
      <c r="F18" s="24">
        <f>revenue_by_rep!$M26</f>
        <v>545471.91244143399</v>
      </c>
      <c r="G18" s="5">
        <f>qty_sales_by_rep!M26</f>
        <v>212</v>
      </c>
      <c r="H18" s="24">
        <f t="shared" si="1"/>
        <v>2572.9807190633678</v>
      </c>
      <c r="I18" s="24">
        <f>revenue_by_rep!S26</f>
        <v>1234735.1175274279</v>
      </c>
      <c r="J18" s="5">
        <f>qty_sales_by_rep!S26</f>
        <v>499</v>
      </c>
      <c r="K18" s="24">
        <f t="shared" si="2"/>
        <v>2474.419073201258</v>
      </c>
      <c r="L18" s="24">
        <f>revenue_by_rep!Y26</f>
        <v>1348163.5006406172</v>
      </c>
      <c r="M18" s="5">
        <f>qty_sales_by_rep!Y26</f>
        <v>448</v>
      </c>
      <c r="N18" s="24">
        <f t="shared" si="3"/>
        <v>3009.2935282156636</v>
      </c>
      <c r="O18" s="24">
        <f>revenue_by_rep!AE26</f>
        <v>932786.22723247577</v>
      </c>
      <c r="P18" s="5">
        <f>qty_sales_by_rep!AE26</f>
        <v>428</v>
      </c>
      <c r="Q18" s="24">
        <f t="shared" si="4"/>
        <v>2179.4070729730743</v>
      </c>
    </row>
    <row r="19" spans="1:17" x14ac:dyDescent="0.35">
      <c r="A19" s="5"/>
      <c r="B19" s="23" t="s">
        <v>49</v>
      </c>
      <c r="C19" s="24">
        <f>revenue_by_rep!G27</f>
        <v>1227588.8700532983</v>
      </c>
      <c r="D19" s="5">
        <f>qty_sales_by_rep!G27</f>
        <v>412</v>
      </c>
      <c r="E19" s="24">
        <f t="shared" si="0"/>
        <v>2979.5846360516948</v>
      </c>
      <c r="F19" s="24">
        <f>revenue_by_rep!$M27</f>
        <v>1685718.4448449563</v>
      </c>
      <c r="G19" s="5">
        <f>qty_sales_by_rep!M27</f>
        <v>554</v>
      </c>
      <c r="H19" s="24">
        <f t="shared" si="1"/>
        <v>3042.813077337466</v>
      </c>
      <c r="I19" s="24">
        <f>revenue_by_rep!S27</f>
        <v>642960.66715799004</v>
      </c>
      <c r="J19" s="5">
        <f>qty_sales_by_rep!S27</f>
        <v>284</v>
      </c>
      <c r="K19" s="24">
        <f t="shared" si="2"/>
        <v>2263.9460111196831</v>
      </c>
      <c r="L19" s="24">
        <f>revenue_by_rep!Y27</f>
        <v>1428357.9011684544</v>
      </c>
      <c r="M19" s="5">
        <f>qty_sales_by_rep!Y27</f>
        <v>422</v>
      </c>
      <c r="N19" s="24">
        <f t="shared" si="3"/>
        <v>3384.7343629584229</v>
      </c>
      <c r="O19" s="24">
        <f>revenue_by_rep!AE27</f>
        <v>639415.53768549091</v>
      </c>
      <c r="P19" s="5">
        <f>qty_sales_by_rep!AE27</f>
        <v>296</v>
      </c>
      <c r="Q19" s="24">
        <f t="shared" si="4"/>
        <v>2160.1876273158477</v>
      </c>
    </row>
    <row r="20" spans="1:17" x14ac:dyDescent="0.35">
      <c r="A20" s="5"/>
      <c r="B20" s="23" t="s">
        <v>50</v>
      </c>
      <c r="C20" s="24">
        <f>revenue_by_rep!G28</f>
        <v>930682.63853611611</v>
      </c>
      <c r="D20" s="5">
        <f>qty_sales_by_rep!G28</f>
        <v>392</v>
      </c>
      <c r="E20" s="24">
        <f t="shared" si="0"/>
        <v>2374.1904044288676</v>
      </c>
      <c r="F20" s="24">
        <f>revenue_by_rep!$M28</f>
        <v>1230283.488474634</v>
      </c>
      <c r="G20" s="5">
        <f>qty_sales_by_rep!M28</f>
        <v>473</v>
      </c>
      <c r="H20" s="24">
        <f t="shared" si="1"/>
        <v>2601.0221743649768</v>
      </c>
      <c r="I20" s="24">
        <f>revenue_by_rep!S28</f>
        <v>1119124.538168588</v>
      </c>
      <c r="J20" s="5">
        <f>qty_sales_by_rep!S28</f>
        <v>340</v>
      </c>
      <c r="K20" s="24">
        <f t="shared" si="2"/>
        <v>3291.5427593193763</v>
      </c>
      <c r="L20" s="24">
        <f>revenue_by_rep!Y28</f>
        <v>905434.2796752078</v>
      </c>
      <c r="M20" s="5">
        <f>qty_sales_by_rep!Y28</f>
        <v>435</v>
      </c>
      <c r="N20" s="24">
        <f t="shared" si="3"/>
        <v>2081.4581141958802</v>
      </c>
      <c r="O20" s="24">
        <f>revenue_by_rep!AE28</f>
        <v>1721296.6057093784</v>
      </c>
      <c r="P20" s="5">
        <f>qty_sales_by_rep!AE28</f>
        <v>636</v>
      </c>
      <c r="Q20" s="24">
        <f t="shared" si="4"/>
        <v>2706.4412039455633</v>
      </c>
    </row>
    <row r="21" spans="1:17" x14ac:dyDescent="0.35">
      <c r="A21" s="5"/>
      <c r="B21" s="23" t="s">
        <v>51</v>
      </c>
      <c r="C21" s="24">
        <f>revenue_by_rep!G29</f>
        <v>1018671.3733196212</v>
      </c>
      <c r="D21" s="5">
        <f>qty_sales_by_rep!G29</f>
        <v>358</v>
      </c>
      <c r="E21" s="24">
        <f t="shared" si="0"/>
        <v>2845.4507634626289</v>
      </c>
      <c r="F21" s="24">
        <f>revenue_by_rep!$M29</f>
        <v>667287.96969527623</v>
      </c>
      <c r="G21" s="5">
        <f>qty_sales_by_rep!M29</f>
        <v>204</v>
      </c>
      <c r="H21" s="24">
        <f t="shared" si="1"/>
        <v>3271.0194592905696</v>
      </c>
      <c r="I21" s="24">
        <f>revenue_by_rep!S29</f>
        <v>841098.72890650784</v>
      </c>
      <c r="J21" s="5">
        <f>qty_sales_by_rep!S29</f>
        <v>297</v>
      </c>
      <c r="K21" s="24">
        <f t="shared" si="2"/>
        <v>2831.9822522104641</v>
      </c>
      <c r="L21" s="24">
        <f>revenue_by_rep!Y29</f>
        <v>889107.14472166391</v>
      </c>
      <c r="M21" s="5">
        <f>qty_sales_by_rep!Y29</f>
        <v>319</v>
      </c>
      <c r="N21" s="24">
        <f t="shared" si="3"/>
        <v>2787.1697326697927</v>
      </c>
      <c r="O21" s="24">
        <f>revenue_by_rep!AE29</f>
        <v>1128673.8938080007</v>
      </c>
      <c r="P21" s="5">
        <f>qty_sales_by_rep!AE29</f>
        <v>425</v>
      </c>
      <c r="Q21" s="24">
        <f t="shared" si="4"/>
        <v>2655.7032795482369</v>
      </c>
    </row>
    <row r="22" spans="1:17" x14ac:dyDescent="0.35">
      <c r="A22" s="5"/>
      <c r="B22" s="23" t="s">
        <v>52</v>
      </c>
      <c r="C22" s="24">
        <f>revenue_by_rep!G30</f>
        <v>1434111.6470487486</v>
      </c>
      <c r="D22" s="5">
        <f>qty_sales_by_rep!G30</f>
        <v>575</v>
      </c>
      <c r="E22" s="24">
        <f t="shared" si="0"/>
        <v>2494.1072122586934</v>
      </c>
      <c r="F22" s="24">
        <f>revenue_by_rep!$M30</f>
        <v>1280106.6284944711</v>
      </c>
      <c r="G22" s="5">
        <f>qty_sales_by_rep!M30</f>
        <v>486</v>
      </c>
      <c r="H22" s="24">
        <f t="shared" si="1"/>
        <v>2633.9642561614633</v>
      </c>
      <c r="I22" s="24">
        <f>revenue_by_rep!S30</f>
        <v>1069515.1919958692</v>
      </c>
      <c r="J22" s="5">
        <f>qty_sales_by_rep!S30</f>
        <v>319</v>
      </c>
      <c r="K22" s="24">
        <f t="shared" si="2"/>
        <v>3352.7122006140098</v>
      </c>
      <c r="L22" s="24">
        <f>revenue_by_rep!Y30</f>
        <v>1319627.6077764663</v>
      </c>
      <c r="M22" s="5">
        <f>qty_sales_by_rep!Y30</f>
        <v>503</v>
      </c>
      <c r="N22" s="24">
        <f t="shared" si="3"/>
        <v>2623.5141307683225</v>
      </c>
      <c r="O22" s="24">
        <f>revenue_by_rep!AE30</f>
        <v>1406505.3422934567</v>
      </c>
      <c r="P22" s="5">
        <f>qty_sales_by_rep!AE30</f>
        <v>453</v>
      </c>
      <c r="Q22" s="24">
        <f t="shared" si="4"/>
        <v>3104.8683052835686</v>
      </c>
    </row>
    <row r="23" spans="1:17" x14ac:dyDescent="0.35">
      <c r="A23" s="5"/>
      <c r="B23" s="23" t="s">
        <v>53</v>
      </c>
      <c r="C23" s="24">
        <f>revenue_by_rep!G31</f>
        <v>349972.33527536667</v>
      </c>
      <c r="D23" s="5">
        <f>qty_sales_by_rep!G31</f>
        <v>195</v>
      </c>
      <c r="E23" s="24">
        <f t="shared" si="0"/>
        <v>1794.7299244890598</v>
      </c>
      <c r="F23" s="24">
        <f>revenue_by_rep!$M31</f>
        <v>1244839.5497635524</v>
      </c>
      <c r="G23" s="5">
        <f>qty_sales_by_rep!M31</f>
        <v>434</v>
      </c>
      <c r="H23" s="24">
        <f t="shared" si="1"/>
        <v>2868.2938934644062</v>
      </c>
      <c r="I23" s="24">
        <f>revenue_by_rep!S31</f>
        <v>861492.22083010676</v>
      </c>
      <c r="J23" s="5">
        <f>qty_sales_by_rep!S31</f>
        <v>448</v>
      </c>
      <c r="K23" s="24">
        <f t="shared" si="2"/>
        <v>1922.9737072100597</v>
      </c>
      <c r="L23" s="24">
        <f>revenue_by_rep!Y31</f>
        <v>841550.2344807497</v>
      </c>
      <c r="M23" s="5">
        <f>qty_sales_by_rep!Y31</f>
        <v>350</v>
      </c>
      <c r="N23" s="24">
        <f t="shared" si="3"/>
        <v>2404.4292413735707</v>
      </c>
      <c r="O23" s="24">
        <f>revenue_by_rep!AE31</f>
        <v>1071154.0858165787</v>
      </c>
      <c r="P23" s="5">
        <f>qty_sales_by_rep!AE31</f>
        <v>388</v>
      </c>
      <c r="Q23" s="24">
        <f t="shared" si="4"/>
        <v>2760.7064067437595</v>
      </c>
    </row>
    <row r="24" spans="1:17" x14ac:dyDescent="0.35">
      <c r="A24" s="5"/>
      <c r="B24" s="23" t="s">
        <v>54</v>
      </c>
      <c r="C24" s="24">
        <f>revenue_by_rep!G32</f>
        <v>698688.88579102524</v>
      </c>
      <c r="D24" s="5">
        <f>qty_sales_by_rep!G32</f>
        <v>285</v>
      </c>
      <c r="E24" s="24">
        <f t="shared" si="0"/>
        <v>2451.5399501439483</v>
      </c>
      <c r="F24" s="24">
        <f>revenue_by_rep!$M32</f>
        <v>916825.52054643887</v>
      </c>
      <c r="G24" s="5">
        <f>qty_sales_by_rep!M32</f>
        <v>422</v>
      </c>
      <c r="H24" s="24">
        <f t="shared" si="1"/>
        <v>2172.5723235697606</v>
      </c>
      <c r="I24" s="24">
        <f>revenue_by_rep!S32</f>
        <v>1015152.5750161156</v>
      </c>
      <c r="J24" s="5">
        <f>qty_sales_by_rep!S32</f>
        <v>309</v>
      </c>
      <c r="K24" s="24">
        <f t="shared" si="2"/>
        <v>3285.2834142916363</v>
      </c>
      <c r="L24" s="24">
        <f>revenue_by_rep!Y32</f>
        <v>2374224.2886668788</v>
      </c>
      <c r="M24" s="5">
        <f>qty_sales_by_rep!Y32</f>
        <v>965</v>
      </c>
      <c r="N24" s="24">
        <f t="shared" si="3"/>
        <v>2460.336050431999</v>
      </c>
      <c r="O24" s="24">
        <f>revenue_by_rep!AE32</f>
        <v>1337215.1439437908</v>
      </c>
      <c r="P24" s="5">
        <f>qty_sales_by_rep!AE32</f>
        <v>405</v>
      </c>
      <c r="Q24" s="24">
        <f t="shared" si="4"/>
        <v>3301.7657875155328</v>
      </c>
    </row>
    <row r="25" spans="1:17" x14ac:dyDescent="0.35">
      <c r="A25" s="5"/>
      <c r="B25" s="23" t="s">
        <v>55</v>
      </c>
      <c r="C25" s="24">
        <f>revenue_by_rep!G33</f>
        <v>1142281.3083428279</v>
      </c>
      <c r="D25" s="5">
        <f>qty_sales_by_rep!G33</f>
        <v>530</v>
      </c>
      <c r="E25" s="24">
        <f t="shared" si="0"/>
        <v>2155.2477515902415</v>
      </c>
      <c r="F25" s="24">
        <f>revenue_by_rep!$M33</f>
        <v>750956.19320325088</v>
      </c>
      <c r="G25" s="5">
        <f>qty_sales_by_rep!M33</f>
        <v>400</v>
      </c>
      <c r="H25" s="24">
        <f t="shared" si="1"/>
        <v>1877.3904830081271</v>
      </c>
      <c r="I25" s="24">
        <f>revenue_by_rep!S33</f>
        <v>560240.18658716488</v>
      </c>
      <c r="J25" s="5">
        <f>qty_sales_by_rep!S33</f>
        <v>280</v>
      </c>
      <c r="K25" s="24">
        <f t="shared" si="2"/>
        <v>2000.8578092398745</v>
      </c>
      <c r="L25" s="24">
        <f>revenue_by_rep!Y33</f>
        <v>1556234.8950799676</v>
      </c>
      <c r="M25" s="5">
        <f>qty_sales_by_rep!Y33</f>
        <v>626</v>
      </c>
      <c r="N25" s="24">
        <f t="shared" si="3"/>
        <v>2485.9982349520251</v>
      </c>
      <c r="O25" s="24">
        <f>revenue_by_rep!AE33</f>
        <v>758167.78779387136</v>
      </c>
      <c r="P25" s="5">
        <f>qty_sales_by_rep!AE33</f>
        <v>293</v>
      </c>
      <c r="Q25" s="24">
        <f t="shared" si="4"/>
        <v>2587.603371310141</v>
      </c>
    </row>
    <row r="26" spans="1:17" x14ac:dyDescent="0.35">
      <c r="A26" s="5"/>
      <c r="B26" s="23" t="s">
        <v>56</v>
      </c>
      <c r="C26" s="24">
        <f>revenue_by_rep!G34</f>
        <v>1605427.3340829464</v>
      </c>
      <c r="D26" s="5">
        <f>qty_sales_by_rep!G34</f>
        <v>508</v>
      </c>
      <c r="E26" s="24">
        <f t="shared" si="0"/>
        <v>3160.2900277223353</v>
      </c>
      <c r="F26" s="24">
        <f>revenue_by_rep!$M34</f>
        <v>1125782.6968004678</v>
      </c>
      <c r="G26" s="5">
        <f>qty_sales_by_rep!M34</f>
        <v>497</v>
      </c>
      <c r="H26" s="24">
        <f t="shared" si="1"/>
        <v>2265.1563315904787</v>
      </c>
      <c r="I26" s="24">
        <f>revenue_by_rep!S34</f>
        <v>485612.63475302252</v>
      </c>
      <c r="J26" s="5">
        <f>qty_sales_by_rep!S34</f>
        <v>233</v>
      </c>
      <c r="K26" s="24">
        <f t="shared" si="2"/>
        <v>2084.1743980816418</v>
      </c>
      <c r="L26" s="24">
        <f>revenue_by_rep!Y34</f>
        <v>1516532.1659484492</v>
      </c>
      <c r="M26" s="5">
        <f>qty_sales_by_rep!Y34</f>
        <v>573</v>
      </c>
      <c r="N26" s="24">
        <f t="shared" si="3"/>
        <v>2646.6529946744313</v>
      </c>
      <c r="O26" s="24">
        <f>revenue_by_rep!AE34</f>
        <v>1295907.5139145455</v>
      </c>
      <c r="P26" s="5">
        <f>qty_sales_by_rep!AE34</f>
        <v>372</v>
      </c>
      <c r="Q26" s="24">
        <f t="shared" si="4"/>
        <v>3483.6223492326494</v>
      </c>
    </row>
    <row r="27" spans="1:17" x14ac:dyDescent="0.35">
      <c r="A27" s="17">
        <v>2024</v>
      </c>
      <c r="B27" s="23" t="s">
        <v>45</v>
      </c>
      <c r="C27" s="24">
        <f>revenue_by_rep!G35</f>
        <v>704894.12707130157</v>
      </c>
      <c r="D27" s="5">
        <f>qty_sales_by_rep!G35</f>
        <v>249</v>
      </c>
      <c r="E27" s="24">
        <f t="shared" si="0"/>
        <v>2830.9001087200868</v>
      </c>
      <c r="F27" s="24">
        <f>revenue_by_rep!$M35</f>
        <v>1767787.2523149773</v>
      </c>
      <c r="G27" s="5">
        <f>qty_sales_by_rep!M35</f>
        <v>563</v>
      </c>
      <c r="H27" s="24">
        <f t="shared" si="1"/>
        <v>3139.9418335967625</v>
      </c>
      <c r="I27" s="24">
        <f>revenue_by_rep!S35</f>
        <v>1432871.3937438412</v>
      </c>
      <c r="J27" s="5">
        <f>qty_sales_by_rep!S35</f>
        <v>472</v>
      </c>
      <c r="K27" s="24">
        <f t="shared" si="2"/>
        <v>3035.7444782708499</v>
      </c>
      <c r="L27" s="24">
        <f>revenue_by_rep!Y35</f>
        <v>1687505.8276169656</v>
      </c>
      <c r="M27" s="5">
        <f>qty_sales_by_rep!Y35</f>
        <v>508</v>
      </c>
      <c r="N27" s="24">
        <f t="shared" si="3"/>
        <v>3321.8618653877274</v>
      </c>
      <c r="O27" s="24">
        <f>revenue_by_rep!AE35</f>
        <v>2158325.9398455033</v>
      </c>
      <c r="P27" s="5">
        <f>qty_sales_by_rep!AE35</f>
        <v>703</v>
      </c>
      <c r="Q27" s="24">
        <f t="shared" si="4"/>
        <v>3070.1649215441016</v>
      </c>
    </row>
    <row r="28" spans="1:17" x14ac:dyDescent="0.35">
      <c r="A28" s="5"/>
      <c r="B28" s="23" t="s">
        <v>46</v>
      </c>
      <c r="C28" s="24">
        <f>revenue_by_rep!G36</f>
        <v>1762320.4708448895</v>
      </c>
      <c r="D28" s="5">
        <f>qty_sales_by_rep!G36</f>
        <v>541</v>
      </c>
      <c r="E28" s="24">
        <f t="shared" si="0"/>
        <v>3257.5239756837145</v>
      </c>
      <c r="F28" s="24">
        <f>revenue_by_rep!$M36</f>
        <v>1634457.8265015935</v>
      </c>
      <c r="G28" s="5">
        <f>qty_sales_by_rep!M36</f>
        <v>499</v>
      </c>
      <c r="H28" s="24">
        <f t="shared" si="1"/>
        <v>3275.4665861755379</v>
      </c>
      <c r="I28" s="24">
        <f>revenue_by_rep!S36</f>
        <v>1393949.1271072412</v>
      </c>
      <c r="J28" s="5">
        <f>qty_sales_by_rep!S36</f>
        <v>410</v>
      </c>
      <c r="K28" s="24">
        <f t="shared" si="2"/>
        <v>3399.8759197737591</v>
      </c>
      <c r="L28" s="24">
        <f>revenue_by_rep!Y36</f>
        <v>1083541.9450015828</v>
      </c>
      <c r="M28" s="5">
        <f>qty_sales_by_rep!Y36</f>
        <v>324</v>
      </c>
      <c r="N28" s="24">
        <f t="shared" si="3"/>
        <v>3344.2652623505642</v>
      </c>
      <c r="O28" s="24">
        <f>revenue_by_rep!AE36</f>
        <v>876154.98832059174</v>
      </c>
      <c r="P28" s="5">
        <f>qty_sales_by_rep!AE36</f>
        <v>332</v>
      </c>
      <c r="Q28" s="24">
        <f t="shared" si="4"/>
        <v>2639.0210491584089</v>
      </c>
    </row>
    <row r="29" spans="1:17" x14ac:dyDescent="0.35">
      <c r="A29" s="5"/>
      <c r="B29" s="23" t="s">
        <v>47</v>
      </c>
      <c r="C29" s="24">
        <f>revenue_by_rep!G37</f>
        <v>1633926.7902571533</v>
      </c>
      <c r="D29" s="5">
        <f>qty_sales_by_rep!G37</f>
        <v>501</v>
      </c>
      <c r="E29" s="24">
        <f t="shared" si="0"/>
        <v>3261.3309186769529</v>
      </c>
      <c r="F29" s="24">
        <f>revenue_by_rep!$M37</f>
        <v>1510220.9247382367</v>
      </c>
      <c r="G29" s="5">
        <f>qty_sales_by_rep!M37</f>
        <v>498</v>
      </c>
      <c r="H29" s="24">
        <f t="shared" si="1"/>
        <v>3032.5721380285877</v>
      </c>
      <c r="I29" s="24">
        <f>revenue_by_rep!S37</f>
        <v>2686601.706210257</v>
      </c>
      <c r="J29" s="5">
        <f>qty_sales_by_rep!S37</f>
        <v>852</v>
      </c>
      <c r="K29" s="24">
        <f t="shared" si="2"/>
        <v>3153.2883875707244</v>
      </c>
      <c r="L29" s="24">
        <f>revenue_by_rep!Y37</f>
        <v>1249978.0755581106</v>
      </c>
      <c r="M29" s="5">
        <f>qty_sales_by_rep!Y37</f>
        <v>436</v>
      </c>
      <c r="N29" s="24">
        <f t="shared" si="3"/>
        <v>2866.9221916470428</v>
      </c>
      <c r="O29" s="24">
        <f>revenue_by_rep!AE37</f>
        <v>1933523.6262966848</v>
      </c>
      <c r="P29" s="5">
        <f>qty_sales_by_rep!AE37</f>
        <v>549</v>
      </c>
      <c r="Q29" s="24">
        <f t="shared" si="4"/>
        <v>3521.9009586460561</v>
      </c>
    </row>
    <row r="30" spans="1:17" x14ac:dyDescent="0.35">
      <c r="A30" s="5"/>
      <c r="B30" s="23" t="s">
        <v>48</v>
      </c>
      <c r="C30" s="24">
        <f>revenue_by_rep!G38</f>
        <v>1753718.2729771989</v>
      </c>
      <c r="D30" s="5">
        <f>qty_sales_by_rep!G38</f>
        <v>557</v>
      </c>
      <c r="E30" s="24">
        <f t="shared" si="0"/>
        <v>3148.5067737472154</v>
      </c>
      <c r="F30" s="24">
        <f>revenue_by_rep!$M38</f>
        <v>1151821.9294</v>
      </c>
      <c r="G30" s="5">
        <f>qty_sales_by_rep!M38</f>
        <v>361</v>
      </c>
      <c r="H30" s="24">
        <f t="shared" si="1"/>
        <v>3190.6424637119112</v>
      </c>
      <c r="I30" s="24">
        <f>revenue_by_rep!S38</f>
        <v>322902.54200000002</v>
      </c>
      <c r="J30" s="5">
        <f>qty_sales_by_rep!S38</f>
        <v>143</v>
      </c>
      <c r="K30" s="24">
        <f t="shared" si="2"/>
        <v>2258.0597342657343</v>
      </c>
      <c r="L30" s="24">
        <f>revenue_by_rep!Y38</f>
        <v>1793023.2100337157</v>
      </c>
      <c r="M30" s="5">
        <f>qty_sales_by_rep!Y38</f>
        <v>525</v>
      </c>
      <c r="N30" s="24">
        <f t="shared" si="3"/>
        <v>3415.2823048261253</v>
      </c>
      <c r="O30" s="24">
        <f>revenue_by_rep!AE38</f>
        <v>1509154.1892996025</v>
      </c>
      <c r="P30" s="5">
        <f>qty_sales_by_rep!AE38</f>
        <v>540</v>
      </c>
      <c r="Q30" s="24">
        <f t="shared" si="4"/>
        <v>2794.7299801844492</v>
      </c>
    </row>
    <row r="31" spans="1:17" x14ac:dyDescent="0.35">
      <c r="A31" s="5"/>
      <c r="B31" s="23" t="s">
        <v>49</v>
      </c>
      <c r="C31" s="24">
        <f>revenue_by_rep!G39</f>
        <v>2708861.354840342</v>
      </c>
      <c r="D31" s="5">
        <f>qty_sales_by_rep!G39</f>
        <v>814</v>
      </c>
      <c r="E31" s="24">
        <f t="shared" si="0"/>
        <v>3327.8395022608624</v>
      </c>
      <c r="F31" s="24">
        <f>revenue_by_rep!$M39</f>
        <v>1127034.0661060098</v>
      </c>
      <c r="G31" s="5">
        <f>qty_sales_by_rep!M39</f>
        <v>368</v>
      </c>
      <c r="H31" s="24">
        <f t="shared" si="1"/>
        <v>3062.5925709402441</v>
      </c>
      <c r="I31" s="24">
        <f>revenue_by_rep!S39</f>
        <v>1269311.8625108288</v>
      </c>
      <c r="J31" s="5">
        <f>qty_sales_by_rep!S39</f>
        <v>374</v>
      </c>
      <c r="K31" s="24">
        <f t="shared" si="2"/>
        <v>3393.8819853230716</v>
      </c>
      <c r="L31" s="24">
        <f>revenue_by_rep!Y39</f>
        <v>1537236.3288447785</v>
      </c>
      <c r="M31" s="5">
        <f>qty_sales_by_rep!Y39</f>
        <v>494</v>
      </c>
      <c r="N31" s="24">
        <f t="shared" si="3"/>
        <v>3111.8144308598753</v>
      </c>
      <c r="O31" s="24">
        <f>revenue_by_rep!AE39</f>
        <v>2587374.6896009543</v>
      </c>
      <c r="P31" s="5">
        <f>qty_sales_by_rep!AE39</f>
        <v>726</v>
      </c>
      <c r="Q31" s="24">
        <f t="shared" si="4"/>
        <v>3563.8769829214248</v>
      </c>
    </row>
    <row r="32" spans="1:17" x14ac:dyDescent="0.35">
      <c r="A32" s="5"/>
      <c r="B32" s="23" t="s">
        <v>50</v>
      </c>
      <c r="C32" s="24">
        <f>revenue_by_rep!G40</f>
        <v>1472294.8421456758</v>
      </c>
      <c r="D32" s="5">
        <f>qty_sales_by_rep!G40</f>
        <v>463</v>
      </c>
      <c r="E32" s="24">
        <f t="shared" si="0"/>
        <v>3179.9024668373127</v>
      </c>
      <c r="F32" s="24">
        <f>revenue_by_rep!$M40</f>
        <v>1292016.857131836</v>
      </c>
      <c r="G32" s="5">
        <f>qty_sales_by_rep!M40</f>
        <v>426</v>
      </c>
      <c r="H32" s="24">
        <f t="shared" si="1"/>
        <v>3032.9034204972677</v>
      </c>
      <c r="I32" s="24">
        <f>revenue_by_rep!S40</f>
        <v>1556651.5715111867</v>
      </c>
      <c r="J32" s="5">
        <f>qty_sales_by_rep!S40</f>
        <v>518</v>
      </c>
      <c r="K32" s="24">
        <f t="shared" si="2"/>
        <v>3005.1188639212096</v>
      </c>
      <c r="L32" s="24">
        <f>revenue_by_rep!Y40</f>
        <v>1189154.4451432808</v>
      </c>
      <c r="M32" s="5">
        <f>qty_sales_by_rep!Y40</f>
        <v>323</v>
      </c>
      <c r="N32" s="24">
        <f t="shared" si="3"/>
        <v>3681.5927094219219</v>
      </c>
      <c r="O32" s="24">
        <f>revenue_by_rep!AE40</f>
        <v>1290186.8957</v>
      </c>
      <c r="P32" s="5">
        <f>qty_sales_by_rep!AE40</f>
        <v>425</v>
      </c>
      <c r="Q32" s="24">
        <f t="shared" si="4"/>
        <v>3035.7338722352943</v>
      </c>
    </row>
    <row r="33" spans="1:17" x14ac:dyDescent="0.35">
      <c r="A33" s="5"/>
      <c r="B33" s="23" t="s">
        <v>51</v>
      </c>
      <c r="C33" s="24">
        <f>revenue_by_rep!G41</f>
        <v>1753757.8444557586</v>
      </c>
      <c r="D33" s="5">
        <f>qty_sales_by_rep!G41</f>
        <v>517</v>
      </c>
      <c r="E33" s="24">
        <f t="shared" si="0"/>
        <v>3392.1815173225505</v>
      </c>
      <c r="F33" s="24">
        <f>revenue_by_rep!$M41</f>
        <v>1267696.1363847877</v>
      </c>
      <c r="G33" s="5">
        <f>qty_sales_by_rep!M41</f>
        <v>449</v>
      </c>
      <c r="H33" s="24">
        <f t="shared" si="1"/>
        <v>2823.3766957344938</v>
      </c>
      <c r="I33" s="24">
        <f>revenue_by_rep!S41</f>
        <v>859654.54396751733</v>
      </c>
      <c r="J33" s="5">
        <f>qty_sales_by_rep!S41</f>
        <v>266</v>
      </c>
      <c r="K33" s="24">
        <f t="shared" si="2"/>
        <v>3231.7839998778845</v>
      </c>
      <c r="L33" s="24">
        <f>revenue_by_rep!Y41</f>
        <v>1539935.6927808276</v>
      </c>
      <c r="M33" s="5">
        <f>qty_sales_by_rep!Y41</f>
        <v>487</v>
      </c>
      <c r="N33" s="24">
        <f t="shared" si="3"/>
        <v>3162.0856114596049</v>
      </c>
      <c r="O33" s="24">
        <f>revenue_by_rep!AE41</f>
        <v>1021925.4156642292</v>
      </c>
      <c r="P33" s="5">
        <f>qty_sales_by_rep!AE41</f>
        <v>319</v>
      </c>
      <c r="Q33" s="24">
        <f t="shared" si="4"/>
        <v>3203.5279487906873</v>
      </c>
    </row>
    <row r="34" spans="1:17" x14ac:dyDescent="0.35">
      <c r="A34" s="5"/>
      <c r="B34" s="23" t="s">
        <v>52</v>
      </c>
      <c r="C34" s="24">
        <f>revenue_by_rep!G42</f>
        <v>1177167.5482291041</v>
      </c>
      <c r="D34" s="5">
        <f>qty_sales_by_rep!G42</f>
        <v>390</v>
      </c>
      <c r="E34" s="24">
        <f t="shared" si="0"/>
        <v>3018.3783287925748</v>
      </c>
      <c r="F34" s="24">
        <f>revenue_by_rep!$M42</f>
        <v>1865460.6926262244</v>
      </c>
      <c r="G34" s="5">
        <f>qty_sales_by_rep!M42</f>
        <v>511</v>
      </c>
      <c r="H34" s="24">
        <f t="shared" si="1"/>
        <v>3650.6080090532764</v>
      </c>
      <c r="I34" s="24">
        <f>revenue_by_rep!S42</f>
        <v>835577.52847093903</v>
      </c>
      <c r="J34" s="5">
        <f>qty_sales_by_rep!S42</f>
        <v>282</v>
      </c>
      <c r="K34" s="24">
        <f t="shared" si="2"/>
        <v>2963.0408811026205</v>
      </c>
      <c r="L34" s="24">
        <f>revenue_by_rep!Y42</f>
        <v>1239039.0403561438</v>
      </c>
      <c r="M34" s="5">
        <f>qty_sales_by_rep!Y42</f>
        <v>359</v>
      </c>
      <c r="N34" s="24">
        <f t="shared" si="3"/>
        <v>3451.3622294043003</v>
      </c>
      <c r="O34" s="24">
        <f>revenue_by_rep!AE42</f>
        <v>1176280.5439167989</v>
      </c>
      <c r="P34" s="5">
        <f>qty_sales_by_rep!AE42</f>
        <v>418</v>
      </c>
      <c r="Q34" s="24">
        <f t="shared" si="4"/>
        <v>2814.0682868822942</v>
      </c>
    </row>
    <row r="35" spans="1:17" x14ac:dyDescent="0.35">
      <c r="A35" s="5"/>
      <c r="B35" s="23" t="s">
        <v>53</v>
      </c>
      <c r="C35" s="24">
        <f>revenue_by_rep!G43</f>
        <v>1565646.2200360717</v>
      </c>
      <c r="D35" s="5">
        <f>qty_sales_by_rep!G43</f>
        <v>496</v>
      </c>
      <c r="E35" s="24">
        <f t="shared" si="0"/>
        <v>3156.5447984598222</v>
      </c>
      <c r="F35" s="24">
        <f>revenue_by_rep!$M43</f>
        <v>1048047.248108333</v>
      </c>
      <c r="G35" s="5">
        <f>qty_sales_by_rep!M43</f>
        <v>335</v>
      </c>
      <c r="H35" s="24">
        <f t="shared" si="1"/>
        <v>3128.4992480845763</v>
      </c>
      <c r="I35" s="24">
        <f>revenue_by_rep!S43</f>
        <v>1260598.56597372</v>
      </c>
      <c r="J35" s="5">
        <f>qty_sales_by_rep!S43</f>
        <v>399</v>
      </c>
      <c r="K35" s="24">
        <f t="shared" si="2"/>
        <v>3159.3949021897747</v>
      </c>
      <c r="L35" s="24">
        <f>revenue_by_rep!Y43</f>
        <v>1490572.3524083118</v>
      </c>
      <c r="M35" s="5">
        <f>qty_sales_by_rep!Y43</f>
        <v>416</v>
      </c>
      <c r="N35" s="24">
        <f t="shared" si="3"/>
        <v>3583.1066163661339</v>
      </c>
      <c r="O35" s="24">
        <f>revenue_by_rep!AE43</f>
        <v>1509741.4686528305</v>
      </c>
      <c r="P35" s="5">
        <f>qty_sales_by_rep!AE43</f>
        <v>471</v>
      </c>
      <c r="Q35" s="24">
        <f t="shared" si="4"/>
        <v>3205.3958994752238</v>
      </c>
    </row>
    <row r="36" spans="1:17" x14ac:dyDescent="0.35">
      <c r="A36" s="5"/>
      <c r="B36" s="23" t="s">
        <v>54</v>
      </c>
      <c r="C36" s="24">
        <f>revenue_by_rep!G44</f>
        <v>1462909.5102486643</v>
      </c>
      <c r="D36" s="5">
        <f>qty_sales_by_rep!G44</f>
        <v>501</v>
      </c>
      <c r="E36" s="24">
        <f t="shared" si="0"/>
        <v>2919.9790623725835</v>
      </c>
      <c r="F36" s="24">
        <f>revenue_by_rep!$M44</f>
        <v>1323886.1980549912</v>
      </c>
      <c r="G36" s="5">
        <f>qty_sales_by_rep!M44</f>
        <v>451</v>
      </c>
      <c r="H36" s="24">
        <f t="shared" si="1"/>
        <v>2935.4461154212663</v>
      </c>
      <c r="I36" s="24">
        <f>revenue_by_rep!S44</f>
        <v>1477371.302172051</v>
      </c>
      <c r="J36" s="5">
        <f>qty_sales_by_rep!S44</f>
        <v>413</v>
      </c>
      <c r="K36" s="24">
        <f t="shared" si="2"/>
        <v>3577.1702231768791</v>
      </c>
      <c r="L36" s="24">
        <f>revenue_by_rep!Y44</f>
        <v>2025997.6241670579</v>
      </c>
      <c r="M36" s="5">
        <f>qty_sales_by_rep!Y44</f>
        <v>563</v>
      </c>
      <c r="N36" s="24">
        <f t="shared" si="3"/>
        <v>3598.5748209006356</v>
      </c>
      <c r="O36" s="24">
        <f>revenue_by_rep!AE44</f>
        <v>1678026.3740067815</v>
      </c>
      <c r="P36" s="5">
        <f>qty_sales_by_rep!AE44</f>
        <v>523</v>
      </c>
      <c r="Q36" s="24">
        <f t="shared" si="4"/>
        <v>3208.4634302232917</v>
      </c>
    </row>
    <row r="37" spans="1:17" x14ac:dyDescent="0.35">
      <c r="A37" s="5"/>
      <c r="B37" s="23" t="s">
        <v>55</v>
      </c>
      <c r="C37" s="24">
        <f>revenue_by_rep!G45</f>
        <v>1128570.6701889508</v>
      </c>
      <c r="D37" s="5">
        <f>qty_sales_by_rep!G45</f>
        <v>338</v>
      </c>
      <c r="E37" s="24">
        <f t="shared" si="0"/>
        <v>3338.9664798489671</v>
      </c>
      <c r="F37" s="24">
        <f>revenue_by_rep!$M45</f>
        <v>907258.22052568546</v>
      </c>
      <c r="G37" s="5">
        <f>qty_sales_by_rep!M45</f>
        <v>286</v>
      </c>
      <c r="H37" s="24">
        <f t="shared" si="1"/>
        <v>3172.2315402995996</v>
      </c>
      <c r="I37" s="24">
        <f>revenue_by_rep!S45</f>
        <v>1225498.1999152668</v>
      </c>
      <c r="J37" s="5">
        <f>qty_sales_by_rep!S45</f>
        <v>376</v>
      </c>
      <c r="K37" s="24">
        <f t="shared" si="2"/>
        <v>3259.3037231789012</v>
      </c>
      <c r="L37" s="24">
        <f>revenue_by_rep!Y45</f>
        <v>1420475.091820427</v>
      </c>
      <c r="M37" s="5">
        <f>qty_sales_by_rep!Y45</f>
        <v>520</v>
      </c>
      <c r="N37" s="24">
        <f t="shared" si="3"/>
        <v>2731.6828688854366</v>
      </c>
      <c r="O37" s="24">
        <f>revenue_by_rep!AE45</f>
        <v>1837945.3809671709</v>
      </c>
      <c r="P37" s="5">
        <f>qty_sales_by_rep!AE45</f>
        <v>566</v>
      </c>
      <c r="Q37" s="24">
        <f t="shared" si="4"/>
        <v>3247.2533232635528</v>
      </c>
    </row>
    <row r="38" spans="1:17" x14ac:dyDescent="0.35">
      <c r="A38" s="5"/>
      <c r="B38" s="23" t="s">
        <v>56</v>
      </c>
      <c r="C38" s="24">
        <f>revenue_by_rep!G46</f>
        <v>1307179.2366992272</v>
      </c>
      <c r="D38" s="5">
        <f>qty_sales_by_rep!G46</f>
        <v>464</v>
      </c>
      <c r="E38" s="24">
        <f t="shared" si="0"/>
        <v>2817.1966308173</v>
      </c>
      <c r="F38" s="24">
        <f>revenue_by_rep!$M46</f>
        <v>2266099.5104999999</v>
      </c>
      <c r="G38" s="5">
        <f>qty_sales_by_rep!M46</f>
        <v>709</v>
      </c>
      <c r="H38" s="24">
        <f t="shared" si="1"/>
        <v>3196.191129055007</v>
      </c>
      <c r="I38" s="24">
        <f>revenue_by_rep!S46</f>
        <v>1162866.9154153229</v>
      </c>
      <c r="J38" s="5">
        <f>qty_sales_by_rep!S46</f>
        <v>427</v>
      </c>
      <c r="K38" s="24">
        <f t="shared" si="2"/>
        <v>2723.3417222841285</v>
      </c>
      <c r="L38" s="24">
        <f>revenue_by_rep!Y46</f>
        <v>986994.45348434919</v>
      </c>
      <c r="M38" s="5">
        <f>qty_sales_by_rep!Y46</f>
        <v>365</v>
      </c>
      <c r="N38" s="24">
        <f t="shared" si="3"/>
        <v>2704.0943931078059</v>
      </c>
      <c r="O38" s="24">
        <f>revenue_by_rep!AE46</f>
        <v>1568765.8708146943</v>
      </c>
      <c r="P38" s="5">
        <f>qty_sales_by_rep!AE46</f>
        <v>502</v>
      </c>
      <c r="Q38" s="24">
        <f t="shared" si="4"/>
        <v>3125.0316151687139</v>
      </c>
    </row>
  </sheetData>
  <mergeCells count="6">
    <mergeCell ref="U1:Y1"/>
    <mergeCell ref="C1:E1"/>
    <mergeCell ref="F1:H1"/>
    <mergeCell ref="I1:K1"/>
    <mergeCell ref="L1:N1"/>
    <mergeCell ref="O1:Q1"/>
  </mergeCells>
  <pageMargins left="0.7" right="0.7" top="0.75" bottom="0.75" header="0.3" footer="0.3"/>
  <ignoredErrors>
    <ignoredError sqref="A15 A3" numberStoredAsText="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382D-245B-4AF6-866A-00FDC523C8A5}">
  <dimension ref="A1:AH46"/>
  <sheetViews>
    <sheetView workbookViewId="0">
      <selection activeCell="AG10" sqref="AG10:AH46"/>
    </sheetView>
  </sheetViews>
  <sheetFormatPr defaultRowHeight="14.5" x14ac:dyDescent="0.35"/>
  <cols>
    <col min="1" max="1" width="12.90625" customWidth="1"/>
    <col min="2" max="2" width="9.81640625" bestFit="1" customWidth="1"/>
    <col min="3" max="3" width="13.81640625" bestFit="1" customWidth="1"/>
    <col min="4" max="6" width="12.1796875" bestFit="1" customWidth="1"/>
    <col min="7" max="8" width="13.81640625" bestFit="1" customWidth="1"/>
    <col min="9" max="12" width="12.1796875" bestFit="1" customWidth="1"/>
    <col min="13" max="14" width="13.81640625" bestFit="1" customWidth="1"/>
    <col min="15" max="18" width="12.1796875" bestFit="1" customWidth="1"/>
    <col min="19" max="20" width="13.81640625" bestFit="1" customWidth="1"/>
    <col min="21" max="24" width="12.1796875" bestFit="1" customWidth="1"/>
    <col min="25" max="26" width="13.81640625" bestFit="1" customWidth="1"/>
    <col min="27" max="29" width="12.1796875" bestFit="1" customWidth="1"/>
    <col min="30" max="34" width="13.81640625" bestFit="1" customWidth="1"/>
  </cols>
  <sheetData>
    <row r="1" spans="1:34" x14ac:dyDescent="0.35">
      <c r="A1" t="s">
        <v>34</v>
      </c>
    </row>
    <row r="2" spans="1:34" x14ac:dyDescent="0.35">
      <c r="A2" s="3" t="s">
        <v>33</v>
      </c>
    </row>
    <row r="3" spans="1:34" x14ac:dyDescent="0.35">
      <c r="A3" s="3" t="s">
        <v>14</v>
      </c>
    </row>
    <row r="4" spans="1:34" x14ac:dyDescent="0.35">
      <c r="A4" s="3" t="s">
        <v>29</v>
      </c>
    </row>
    <row r="5" spans="1:34" x14ac:dyDescent="0.35">
      <c r="A5" s="3" t="s">
        <v>22</v>
      </c>
    </row>
    <row r="6" spans="1:34" x14ac:dyDescent="0.35">
      <c r="A6" s="3" t="s">
        <v>32</v>
      </c>
    </row>
    <row r="7" spans="1:34" x14ac:dyDescent="0.35">
      <c r="A7" s="3" t="s">
        <v>35</v>
      </c>
    </row>
    <row r="9" spans="1:34" x14ac:dyDescent="0.35">
      <c r="A9" s="80" t="s">
        <v>33</v>
      </c>
      <c r="B9" s="81"/>
      <c r="C9" s="81"/>
      <c r="D9" s="81"/>
      <c r="E9" s="81"/>
      <c r="F9" s="81"/>
      <c r="G9" s="81"/>
      <c r="H9" s="81"/>
      <c r="I9" s="82" t="s">
        <v>14</v>
      </c>
      <c r="J9" s="82"/>
      <c r="K9" s="82"/>
      <c r="L9" s="82"/>
      <c r="M9" s="82"/>
      <c r="N9" s="82"/>
      <c r="O9" s="83" t="s">
        <v>29</v>
      </c>
      <c r="P9" s="83"/>
      <c r="Q9" s="83"/>
      <c r="R9" s="83"/>
      <c r="S9" s="83"/>
      <c r="T9" s="84"/>
      <c r="U9" s="85" t="s">
        <v>22</v>
      </c>
      <c r="V9" s="86"/>
      <c r="W9" s="86"/>
      <c r="X9" s="86"/>
      <c r="Y9" s="86"/>
      <c r="Z9" s="87"/>
      <c r="AA9" s="88" t="s">
        <v>32</v>
      </c>
      <c r="AB9" s="89"/>
      <c r="AC9" s="89"/>
      <c r="AD9" s="89"/>
      <c r="AE9" s="89"/>
      <c r="AF9" s="89"/>
    </row>
    <row r="10" spans="1:34" x14ac:dyDescent="0.35">
      <c r="A10" s="20" t="s">
        <v>44</v>
      </c>
      <c r="B10" s="21" t="s">
        <v>57</v>
      </c>
      <c r="C10" s="21" t="s">
        <v>26</v>
      </c>
      <c r="D10" s="21" t="s">
        <v>31</v>
      </c>
      <c r="E10" s="21" t="s">
        <v>24</v>
      </c>
      <c r="F10" s="21" t="s">
        <v>16</v>
      </c>
      <c r="G10" s="21" t="s">
        <v>58</v>
      </c>
      <c r="H10" s="21" t="s">
        <v>61</v>
      </c>
      <c r="I10" s="21" t="s">
        <v>26</v>
      </c>
      <c r="J10" s="21" t="s">
        <v>31</v>
      </c>
      <c r="K10" s="21" t="s">
        <v>24</v>
      </c>
      <c r="L10" s="21" t="s">
        <v>16</v>
      </c>
      <c r="M10" s="21" t="s">
        <v>58</v>
      </c>
      <c r="N10" s="21" t="s">
        <v>62</v>
      </c>
      <c r="O10" s="21" t="s">
        <v>26</v>
      </c>
      <c r="P10" s="21" t="s">
        <v>31</v>
      </c>
      <c r="Q10" s="21" t="s">
        <v>24</v>
      </c>
      <c r="R10" s="21" t="s">
        <v>16</v>
      </c>
      <c r="S10" s="21" t="s">
        <v>58</v>
      </c>
      <c r="T10" s="21" t="s">
        <v>63</v>
      </c>
      <c r="U10" s="21" t="s">
        <v>26</v>
      </c>
      <c r="V10" s="21" t="s">
        <v>31</v>
      </c>
      <c r="W10" s="21" t="s">
        <v>24</v>
      </c>
      <c r="X10" s="21" t="s">
        <v>16</v>
      </c>
      <c r="Y10" s="21" t="s">
        <v>58</v>
      </c>
      <c r="Z10" s="21" t="s">
        <v>64</v>
      </c>
      <c r="AA10" s="21" t="s">
        <v>26</v>
      </c>
      <c r="AB10" s="21" t="s">
        <v>31</v>
      </c>
      <c r="AC10" s="21" t="s">
        <v>24</v>
      </c>
      <c r="AD10" s="21" t="s">
        <v>16</v>
      </c>
      <c r="AE10" s="21" t="s">
        <v>58</v>
      </c>
      <c r="AF10" s="15" t="s">
        <v>65</v>
      </c>
      <c r="AG10" s="6" t="s">
        <v>58</v>
      </c>
      <c r="AH10" s="6" t="s">
        <v>66</v>
      </c>
    </row>
    <row r="11" spans="1:34" x14ac:dyDescent="0.35">
      <c r="A11" s="17" t="s">
        <v>60</v>
      </c>
      <c r="B11" s="5" t="s">
        <v>45</v>
      </c>
      <c r="C11" s="24">
        <f>SUMIFS(sales_data_1[Profit_Margin],sales_data_1[Year],2022, sales_data_1[month], $B11, sales_data_1[Sales_Rep], "Alice", sales_data_1[Product_Category], C$10)</f>
        <v>112165.68200000002</v>
      </c>
      <c r="D11" s="24">
        <f>SUMIFS(sales_data_1[Profit_Margin],sales_data_1[Year],2022, sales_data_1[month], $B11, sales_data_1[Sales_Rep], "Alice", sales_data_1[Product_Category], D$10)</f>
        <v>161572.38559999998</v>
      </c>
      <c r="E11" s="24">
        <f>SUMIFS(sales_data_1[Profit_Margin],sales_data_1[Year],2022, sales_data_1[month], $B11, sales_data_1[Sales_Rep], "Alice", sales_data_1[Product_Category], E$10)</f>
        <v>171621.79979999998</v>
      </c>
      <c r="F11" s="24">
        <f>SUMIFS(sales_data_1[Profit_Margin],sales_data_1[Year],2022, sales_data_1[month], $B11, sales_data_1[Sales_Rep], "Alice", sales_data_1[Product_Category], F$10)</f>
        <v>138456.88329999999</v>
      </c>
      <c r="G11" s="24">
        <f t="shared" ref="G11:G46" si="0">SUM(C11:F11)</f>
        <v>583816.75069999998</v>
      </c>
      <c r="H11" s="24"/>
      <c r="I11" s="24">
        <f>SUMIFS(sales_data_1[Profit_Margin],sales_data_1[Year],2022, sales_data_1[month], $B11, sales_data_1[Sales_Rep], "Bob", sales_data_1[Product_Category], I$10)</f>
        <v>110886.47460000002</v>
      </c>
      <c r="J11" s="24">
        <f>SUMIFS(sales_data_1[Profit_Margin],sales_data_1[Year],2022, sales_data_1[month], $B11, sales_data_1[Sales_Rep], "Bob", sales_data_1[Product_Category], J$10)</f>
        <v>46948.590100000016</v>
      </c>
      <c r="K11" s="24">
        <f>SUMIFS(sales_data_1[Profit_Margin],sales_data_1[Year],2022, sales_data_1[month], $B11, sales_data_1[Sales_Rep], "Bob", sales_data_1[Product_Category], K$10)</f>
        <v>10410.915199999999</v>
      </c>
      <c r="L11" s="24">
        <f>SUMIFS(sales_data_1[Profit_Margin],sales_data_1[Year],2022, sales_data_1[month], $B11, sales_data_1[Sales_Rep], "Bob", sales_data_1[Product_Category], L$10)</f>
        <v>157882.666</v>
      </c>
      <c r="M11" s="24">
        <f t="shared" ref="M11:M46" si="1">SUM(I11:L11)</f>
        <v>326128.6459</v>
      </c>
      <c r="N11" s="24"/>
      <c r="O11" s="24">
        <f>SUMIFS(sales_data_1[Profit_Margin],sales_data_1[Year],2022, sales_data_1[month], $B11, sales_data_1[Sales_Rep], "Charlie", sales_data_1[Product_Category], O$10)</f>
        <v>321115.7218</v>
      </c>
      <c r="P11" s="24">
        <f>SUMIFS(sales_data_1[Profit_Margin],sales_data_1[Year],2022, sales_data_1[month], $B11, sales_data_1[Sales_Rep], "Charlie", sales_data_1[Product_Category], P$10)</f>
        <v>316304.55300000001</v>
      </c>
      <c r="Q11" s="24">
        <f>SUMIFS(sales_data_1[Profit_Margin],sales_data_1[Year],2022, sales_data_1[month], $B11, sales_data_1[Sales_Rep], "Charlie", sales_data_1[Product_Category], Q$10)</f>
        <v>226214.4241</v>
      </c>
      <c r="R11" s="24">
        <f>SUMIFS(sales_data_1[Profit_Margin],sales_data_1[Year],2022, sales_data_1[month], $B11, sales_data_1[Sales_Rep], "Charlie", sales_data_1[Product_Category], R$10)</f>
        <v>118170.962</v>
      </c>
      <c r="S11" s="24">
        <f t="shared" ref="S11:S46" si="2">SUM(O11:R11)</f>
        <v>981805.66090000002</v>
      </c>
      <c r="T11" s="24"/>
      <c r="U11" s="24">
        <f>SUMIFS(sales_data_1[Profit_Margin],sales_data_1[Year],2022, sales_data_1[month], $B11, sales_data_1[Sales_Rep], "David", sales_data_1[Product_Category], U$10)</f>
        <v>123789.74830000001</v>
      </c>
      <c r="V11" s="24">
        <f>SUMIFS(sales_data_1[Profit_Margin],sales_data_1[Year],2022, sales_data_1[month], $B11, sales_data_1[Sales_Rep], "David", sales_data_1[Product_Category], V$10)</f>
        <v>176367.88079999996</v>
      </c>
      <c r="W11" s="24">
        <f>SUMIFS(sales_data_1[Profit_Margin],sales_data_1[Year],2022, sales_data_1[month], $B11, sales_data_1[Sales_Rep], "David", sales_data_1[Product_Category], W$10)</f>
        <v>149433.4565</v>
      </c>
      <c r="X11" s="24">
        <f>SUMIFS(sales_data_1[Profit_Margin],sales_data_1[Year],2022, sales_data_1[month], $B11, sales_data_1[Sales_Rep], "David", sales_data_1[Product_Category], R$10)</f>
        <v>239551.6152</v>
      </c>
      <c r="Y11" s="24">
        <f t="shared" ref="Y11:Y46" si="3">SUM(U11:X11)</f>
        <v>689142.70079999999</v>
      </c>
      <c r="Z11" s="24"/>
      <c r="AA11" s="24">
        <f>SUMIFS(sales_data_1[Profit_Margin],sales_data_1[Year],2022, sales_data_1[month], $B11, sales_data_1[Sales_Rep], "Eve", sales_data_1[Product_Category], U$10)</f>
        <v>6310.512999999999</v>
      </c>
      <c r="AB11" s="24">
        <f>SUMIFS(sales_data_1[Profit_Margin],sales_data_1[Year],2022, sales_data_1[month], $B11, sales_data_1[Sales_Rep], "Eve", sales_data_1[Product_Category], V$10)</f>
        <v>146637.12349999999</v>
      </c>
      <c r="AC11" s="24">
        <f>SUMIFS(sales_data_1[Profit_Margin],sales_data_1[Year],2022, sales_data_1[month], $B11, sales_data_1[Sales_Rep], "Eve", sales_data_1[Product_Category], W$10)</f>
        <v>22386.893099999998</v>
      </c>
      <c r="AD11" s="24">
        <f>SUMIFS(sales_data_1[Profit_Margin],sales_data_1[Year],2022, sales_data_1[month], $B11, sales_data_1[Sales_Rep], "Eve", sales_data_1[Product_Category], R$10)</f>
        <v>166066.15119999993</v>
      </c>
      <c r="AE11" s="24">
        <f t="shared" ref="AE11:AE46" si="4">SUM(AA11:AD11)</f>
        <v>341400.68079999991</v>
      </c>
      <c r="AF11" s="104"/>
      <c r="AG11" s="24">
        <f>SUM(C11:F11)+ SUM(I11:L11)+SUM(O11:R11)+SUM(U11:X11)+SUM(AA11:AD11)</f>
        <v>2922294.4390999996</v>
      </c>
      <c r="AH11" s="24"/>
    </row>
    <row r="12" spans="1:34" x14ac:dyDescent="0.35">
      <c r="A12" s="4"/>
      <c r="B12" s="5" t="s">
        <v>46</v>
      </c>
      <c r="C12" s="24">
        <f>SUMIFS(sales_data_1[Profit_Margin],sales_data_1[Year],2022, sales_data_1[month], $B12, sales_data_1[Sales_Rep], "Alice", sales_data_1[Product_Category], C$10)</f>
        <v>98502.412800000006</v>
      </c>
      <c r="D12" s="24">
        <f>SUMIFS(sales_data_1[Profit_Margin],sales_data_1[Year],2022, sales_data_1[month], $B12, sales_data_1[Sales_Rep], "Alice", sales_data_1[Product_Category], D$10)</f>
        <v>66776.045100000003</v>
      </c>
      <c r="E12" s="24">
        <f>SUMIFS(sales_data_1[Profit_Margin],sales_data_1[Year],2022, sales_data_1[month], $B12, sales_data_1[Sales_Rep], "Alice", sales_data_1[Product_Category], E$10)</f>
        <v>306629.77100000001</v>
      </c>
      <c r="F12" s="24">
        <f>SUMIFS(sales_data_1[Profit_Margin],sales_data_1[Year],2022, sales_data_1[month], $B12, sales_data_1[Sales_Rep], "Alice", sales_data_1[Product_Category], F$10)</f>
        <v>120956.94009999998</v>
      </c>
      <c r="G12" s="24">
        <f t="shared" si="0"/>
        <v>592865.16899999999</v>
      </c>
      <c r="H12" s="24"/>
      <c r="I12" s="24">
        <f>SUMIFS(sales_data_1[Profit_Margin],sales_data_1[Year],2022, sales_data_1[month], $B12, sales_data_1[Sales_Rep], "Bob", sales_data_1[Product_Category], I$10)</f>
        <v>133348.989</v>
      </c>
      <c r="J12" s="24">
        <f>SUMIFS(sales_data_1[Profit_Margin],sales_data_1[Year],2022, sales_data_1[month], $B12, sales_data_1[Sales_Rep], "Bob", sales_data_1[Product_Category], J$10)</f>
        <v>220136.79889999997</v>
      </c>
      <c r="K12" s="24">
        <f>SUMIFS(sales_data_1[Profit_Margin],sales_data_1[Year],2022, sales_data_1[month], $B12, sales_data_1[Sales_Rep], "Bob", sales_data_1[Product_Category], K$10)</f>
        <v>0</v>
      </c>
      <c r="L12" s="24">
        <f>SUMIFS(sales_data_1[Profit_Margin],sales_data_1[Year],2022, sales_data_1[month], $B12, sales_data_1[Sales_Rep], "Bob", sales_data_1[Product_Category], L$10)</f>
        <v>68494.886699999988</v>
      </c>
      <c r="M12" s="24">
        <f t="shared" si="1"/>
        <v>421980.67459999997</v>
      </c>
      <c r="N12" s="24"/>
      <c r="O12" s="24">
        <f>SUMIFS(sales_data_1[Profit_Margin],sales_data_1[Year],2022, sales_data_1[month], $B12, sales_data_1[Sales_Rep], "Charlie", sales_data_1[Product_Category], O$10)</f>
        <v>165092.29939999996</v>
      </c>
      <c r="P12" s="24">
        <f>SUMIFS(sales_data_1[Profit_Margin],sales_data_1[Year],2022, sales_data_1[month], $B12, sales_data_1[Sales_Rep], "Charlie", sales_data_1[Product_Category], P$10)</f>
        <v>167076.07889999999</v>
      </c>
      <c r="Q12" s="24">
        <f>SUMIFS(sales_data_1[Profit_Margin],sales_data_1[Year],2022, sales_data_1[month], $B12, sales_data_1[Sales_Rep], "Charlie", sales_data_1[Product_Category], Q$10)</f>
        <v>60896.886599999998</v>
      </c>
      <c r="R12" s="24">
        <f>SUMIFS(sales_data_1[Profit_Margin],sales_data_1[Year],2022, sales_data_1[month], $B12, sales_data_1[Sales_Rep], "Charlie", sales_data_1[Product_Category], R$10)</f>
        <v>102100.43049999999</v>
      </c>
      <c r="S12" s="24">
        <f t="shared" si="2"/>
        <v>495165.69539999997</v>
      </c>
      <c r="T12" s="24"/>
      <c r="U12" s="24">
        <f>SUMIFS(sales_data_1[Profit_Margin],sales_data_1[Year],2022, sales_data_1[month], $B12, sales_data_1[Sales_Rep], "David", sales_data_1[Product_Category], U$10)</f>
        <v>153303.4074</v>
      </c>
      <c r="V12" s="24">
        <f>SUMIFS(sales_data_1[Profit_Margin],sales_data_1[Year],2022, sales_data_1[month], $B12, sales_data_1[Sales_Rep], "David", sales_data_1[Product_Category], V$10)</f>
        <v>45277.06010000001</v>
      </c>
      <c r="W12" s="24">
        <f>SUMIFS(sales_data_1[Profit_Margin],sales_data_1[Year],2022, sales_data_1[month], $B12, sales_data_1[Sales_Rep], "David", sales_data_1[Product_Category], W$10)</f>
        <v>134346.98039999997</v>
      </c>
      <c r="X12" s="24">
        <f>SUMIFS(sales_data_1[Profit_Margin],sales_data_1[Year],2022, sales_data_1[month], $B12, sales_data_1[Sales_Rep], "David", sales_data_1[Product_Category], R$10)</f>
        <v>583655.83920000005</v>
      </c>
      <c r="Y12" s="24">
        <f t="shared" si="3"/>
        <v>916583.28710000007</v>
      </c>
      <c r="Z12" s="24"/>
      <c r="AA12" s="24">
        <f>SUMIFS(sales_data_1[Profit_Margin],sales_data_1[Year],2022, sales_data_1[month], $B12, sales_data_1[Sales_Rep], "Eve", sales_data_1[Product_Category], U$10)</f>
        <v>94574.753299999982</v>
      </c>
      <c r="AB12" s="24">
        <f>SUMIFS(sales_data_1[Profit_Margin],sales_data_1[Year],2022, sales_data_1[month], $B12, sales_data_1[Sales_Rep], "Eve", sales_data_1[Product_Category], V$10)</f>
        <v>113183.12759999998</v>
      </c>
      <c r="AC12" s="24">
        <f>SUMIFS(sales_data_1[Profit_Margin],sales_data_1[Year],2022, sales_data_1[month], $B12, sales_data_1[Sales_Rep], "Eve", sales_data_1[Product_Category], W$10)</f>
        <v>222074.35620000001</v>
      </c>
      <c r="AD12" s="24">
        <f>SUMIFS(sales_data_1[Profit_Margin],sales_data_1[Year],2022, sales_data_1[month], $B12, sales_data_1[Sales_Rep], "Eve", sales_data_1[Product_Category], R$10)</f>
        <v>79248.607899999988</v>
      </c>
      <c r="AE12" s="24">
        <f t="shared" si="4"/>
        <v>509080.84499999997</v>
      </c>
      <c r="AF12" s="104"/>
      <c r="AG12" s="24">
        <f t="shared" ref="AG12:AG46" si="5">SUM(C12:F12)+ SUM(I12:L12)+SUM(O12:R12)+SUM(U12:X12)+SUM(AA12:AD12)</f>
        <v>2935675.6710999999</v>
      </c>
      <c r="AH12" s="24"/>
    </row>
    <row r="13" spans="1:34" x14ac:dyDescent="0.35">
      <c r="A13" s="4"/>
      <c r="B13" s="5" t="s">
        <v>47</v>
      </c>
      <c r="C13" s="24">
        <f>SUMIFS(sales_data_1[Profit_Margin],sales_data_1[Year],2022, sales_data_1[month], $B13, sales_data_1[Sales_Rep], "Alice", sales_data_1[Product_Category], C$10)</f>
        <v>243023.55530000001</v>
      </c>
      <c r="D13" s="24">
        <f>SUMIFS(sales_data_1[Profit_Margin],sales_data_1[Year],2022, sales_data_1[month], $B13, sales_data_1[Sales_Rep], "Alice", sales_data_1[Product_Category], D$10)</f>
        <v>208879.47720000002</v>
      </c>
      <c r="E13" s="24">
        <f>SUMIFS(sales_data_1[Profit_Margin],sales_data_1[Year],2022, sales_data_1[month], $B13, sales_data_1[Sales_Rep], "Alice", sales_data_1[Product_Category], E$10)</f>
        <v>194289.40410000004</v>
      </c>
      <c r="F13" s="24">
        <f>SUMIFS(sales_data_1[Profit_Margin],sales_data_1[Year],2022, sales_data_1[month], $B13, sales_data_1[Sales_Rep], "Alice", sales_data_1[Product_Category], F$10)</f>
        <v>83419.090499999991</v>
      </c>
      <c r="G13" s="24">
        <f t="shared" si="0"/>
        <v>729611.52710000006</v>
      </c>
      <c r="H13" s="24"/>
      <c r="I13" s="24">
        <f>SUMIFS(sales_data_1[Profit_Margin],sales_data_1[Year],2022, sales_data_1[month], $B13, sales_data_1[Sales_Rep], "Bob", sales_data_1[Product_Category], I$10)</f>
        <v>5915.0000000000009</v>
      </c>
      <c r="J13" s="24">
        <f>SUMIFS(sales_data_1[Profit_Margin],sales_data_1[Year],2022, sales_data_1[month], $B13, sales_data_1[Sales_Rep], "Bob", sales_data_1[Product_Category], J$10)</f>
        <v>79803.749599999996</v>
      </c>
      <c r="K13" s="24">
        <f>SUMIFS(sales_data_1[Profit_Margin],sales_data_1[Year],2022, sales_data_1[month], $B13, sales_data_1[Sales_Rep], "Bob", sales_data_1[Product_Category], K$10)</f>
        <v>195083.80990000002</v>
      </c>
      <c r="L13" s="24">
        <f>SUMIFS(sales_data_1[Profit_Margin],sales_data_1[Year],2022, sales_data_1[month], $B13, sales_data_1[Sales_Rep], "Bob", sales_data_1[Product_Category], L$10)</f>
        <v>23549.245199999994</v>
      </c>
      <c r="M13" s="24">
        <f t="shared" si="1"/>
        <v>304351.80470000004</v>
      </c>
      <c r="N13" s="24"/>
      <c r="O13" s="24">
        <f>SUMIFS(sales_data_1[Profit_Margin],sales_data_1[Year],2022, sales_data_1[month], $B13, sales_data_1[Sales_Rep], "Charlie", sales_data_1[Product_Category], O$10)</f>
        <v>141956.75880000001</v>
      </c>
      <c r="P13" s="24">
        <f>SUMIFS(sales_data_1[Profit_Margin],sales_data_1[Year],2022, sales_data_1[month], $B13, sales_data_1[Sales_Rep], "Charlie", sales_data_1[Product_Category], P$10)</f>
        <v>111723.72750000004</v>
      </c>
      <c r="Q13" s="24">
        <f>SUMIFS(sales_data_1[Profit_Margin],sales_data_1[Year],2022, sales_data_1[month], $B13, sales_data_1[Sales_Rep], "Charlie", sales_data_1[Product_Category], Q$10)</f>
        <v>217281.1335</v>
      </c>
      <c r="R13" s="24">
        <f>SUMIFS(sales_data_1[Profit_Margin],sales_data_1[Year],2022, sales_data_1[month], $B13, sales_data_1[Sales_Rep], "Charlie", sales_data_1[Product_Category], R$10)</f>
        <v>148594.79180000001</v>
      </c>
      <c r="S13" s="24">
        <f t="shared" si="2"/>
        <v>619556.41159999999</v>
      </c>
      <c r="T13" s="24"/>
      <c r="U13" s="24">
        <f>SUMIFS(sales_data_1[Profit_Margin],sales_data_1[Year],2022, sales_data_1[month], $B13, sales_data_1[Sales_Rep], "David", sales_data_1[Product_Category], U$10)</f>
        <v>8945.8843999999917</v>
      </c>
      <c r="V13" s="24">
        <f>SUMIFS(sales_data_1[Profit_Margin],sales_data_1[Year],2022, sales_data_1[month], $B13, sales_data_1[Sales_Rep], "David", sales_data_1[Product_Category], V$10)</f>
        <v>131498.32640000002</v>
      </c>
      <c r="W13" s="24">
        <f>SUMIFS(sales_data_1[Profit_Margin],sales_data_1[Year],2022, sales_data_1[month], $B13, sales_data_1[Sales_Rep], "David", sales_data_1[Product_Category], W$10)</f>
        <v>102560.9232</v>
      </c>
      <c r="X13" s="24">
        <f>SUMIFS(sales_data_1[Profit_Margin],sales_data_1[Year],2022, sales_data_1[month], $B13, sales_data_1[Sales_Rep], "David", sales_data_1[Product_Category], R$10)</f>
        <v>11311.718500000028</v>
      </c>
      <c r="Y13" s="24">
        <f t="shared" si="3"/>
        <v>254316.85250000004</v>
      </c>
      <c r="Z13" s="24"/>
      <c r="AA13" s="24">
        <f>SUMIFS(sales_data_1[Profit_Margin],sales_data_1[Year],2022, sales_data_1[month], $B13, sales_data_1[Sales_Rep], "Eve", sales_data_1[Product_Category], U$10)</f>
        <v>243603.43660000002</v>
      </c>
      <c r="AB13" s="24">
        <f>SUMIFS(sales_data_1[Profit_Margin],sales_data_1[Year],2022, sales_data_1[month], $B13, sales_data_1[Sales_Rep], "Eve", sales_data_1[Product_Category], V$10)</f>
        <v>108459.63239999999</v>
      </c>
      <c r="AC13" s="24">
        <f>SUMIFS(sales_data_1[Profit_Margin],sales_data_1[Year],2022, sales_data_1[month], $B13, sales_data_1[Sales_Rep], "Eve", sales_data_1[Product_Category], W$10)</f>
        <v>58244.116000000009</v>
      </c>
      <c r="AD13" s="24">
        <f>SUMIFS(sales_data_1[Profit_Margin],sales_data_1[Year],2022, sales_data_1[month], $B13, sales_data_1[Sales_Rep], "Eve", sales_data_1[Product_Category], R$10)</f>
        <v>389390.1152</v>
      </c>
      <c r="AE13" s="24">
        <f t="shared" si="4"/>
        <v>799697.30020000006</v>
      </c>
      <c r="AF13" s="104"/>
      <c r="AG13" s="24">
        <f t="shared" si="5"/>
        <v>2707533.8961</v>
      </c>
      <c r="AH13" s="24"/>
    </row>
    <row r="14" spans="1:34" x14ac:dyDescent="0.35">
      <c r="A14" s="4"/>
      <c r="B14" s="5" t="s">
        <v>48</v>
      </c>
      <c r="C14" s="24">
        <f>SUMIFS(sales_data_1[Profit_Margin],sales_data_1[Year],2022, sales_data_1[month], $B14, sales_data_1[Sales_Rep], "Alice", sales_data_1[Product_Category], C$10)</f>
        <v>5960.5629999999946</v>
      </c>
      <c r="D14" s="24">
        <f>SUMIFS(sales_data_1[Profit_Margin],sales_data_1[Year],2022, sales_data_1[month], $B14, sales_data_1[Sales_Rep], "Alice", sales_data_1[Product_Category], D$10)</f>
        <v>302811.57120000001</v>
      </c>
      <c r="E14" s="24">
        <f>SUMIFS(sales_data_1[Profit_Margin],sales_data_1[Year],2022, sales_data_1[month], $B14, sales_data_1[Sales_Rep], "Alice", sales_data_1[Product_Category], E$10)</f>
        <v>222667.8688</v>
      </c>
      <c r="F14" s="24">
        <f>SUMIFS(sales_data_1[Profit_Margin],sales_data_1[Year],2022, sales_data_1[month], $B14, sales_data_1[Sales_Rep], "Alice", sales_data_1[Product_Category], F$10)</f>
        <v>105347.62550000001</v>
      </c>
      <c r="G14" s="24">
        <f t="shared" si="0"/>
        <v>636787.62849999999</v>
      </c>
      <c r="H14" s="24"/>
      <c r="I14" s="24">
        <f>SUMIFS(sales_data_1[Profit_Margin],sales_data_1[Year],2022, sales_data_1[month], $B14, sales_data_1[Sales_Rep], "Bob", sales_data_1[Product_Category], I$10)</f>
        <v>153760.03379999998</v>
      </c>
      <c r="J14" s="24">
        <f>SUMIFS(sales_data_1[Profit_Margin],sales_data_1[Year],2022, sales_data_1[month], $B14, sales_data_1[Sales_Rep], "Bob", sales_data_1[Product_Category], J$10)</f>
        <v>111616.92399999998</v>
      </c>
      <c r="K14" s="24">
        <f>SUMIFS(sales_data_1[Profit_Margin],sales_data_1[Year],2022, sales_data_1[month], $B14, sales_data_1[Sales_Rep], "Bob", sales_data_1[Product_Category], K$10)</f>
        <v>78878.093900000007</v>
      </c>
      <c r="L14" s="24">
        <f>SUMIFS(sales_data_1[Profit_Margin],sales_data_1[Year],2022, sales_data_1[month], $B14, sales_data_1[Sales_Rep], "Bob", sales_data_1[Product_Category], L$10)</f>
        <v>268626.47100000002</v>
      </c>
      <c r="M14" s="24">
        <f t="shared" si="1"/>
        <v>612881.52269999997</v>
      </c>
      <c r="N14" s="24"/>
      <c r="O14" s="24">
        <f>SUMIFS(sales_data_1[Profit_Margin],sales_data_1[Year],2022, sales_data_1[month], $B14, sales_data_1[Sales_Rep], "Charlie", sales_data_1[Product_Category], O$10)</f>
        <v>201072.83799999999</v>
      </c>
      <c r="P14" s="24">
        <f>SUMIFS(sales_data_1[Profit_Margin],sales_data_1[Year],2022, sales_data_1[month], $B14, sales_data_1[Sales_Rep], "Charlie", sales_data_1[Product_Category], P$10)</f>
        <v>100745.12359999999</v>
      </c>
      <c r="Q14" s="24">
        <f>SUMIFS(sales_data_1[Profit_Margin],sales_data_1[Year],2022, sales_data_1[month], $B14, sales_data_1[Sales_Rep], "Charlie", sales_data_1[Product_Category], Q$10)</f>
        <v>326743.83679999993</v>
      </c>
      <c r="R14" s="24">
        <f>SUMIFS(sales_data_1[Profit_Margin],sales_data_1[Year],2022, sales_data_1[month], $B14, sales_data_1[Sales_Rep], "Charlie", sales_data_1[Product_Category], R$10)</f>
        <v>319697.9571</v>
      </c>
      <c r="S14" s="24">
        <f t="shared" si="2"/>
        <v>948259.75549999997</v>
      </c>
      <c r="T14" s="24"/>
      <c r="U14" s="24">
        <f>SUMIFS(sales_data_1[Profit_Margin],sales_data_1[Year],2022, sales_data_1[month], $B14, sales_data_1[Sales_Rep], "David", sales_data_1[Product_Category], U$10)</f>
        <v>249168.62119999997</v>
      </c>
      <c r="V14" s="24">
        <f>SUMIFS(sales_data_1[Profit_Margin],sales_data_1[Year],2022, sales_data_1[month], $B14, sales_data_1[Sales_Rep], "David", sales_data_1[Product_Category], V$10)</f>
        <v>187259.80450000003</v>
      </c>
      <c r="W14" s="24">
        <f>SUMIFS(sales_data_1[Profit_Margin],sales_data_1[Year],2022, sales_data_1[month], $B14, sales_data_1[Sales_Rep], "David", sales_data_1[Product_Category], W$10)</f>
        <v>264630.39989999996</v>
      </c>
      <c r="X14" s="24">
        <f>SUMIFS(sales_data_1[Profit_Margin],sales_data_1[Year],2022, sales_data_1[month], $B14, sales_data_1[Sales_Rep], "David", sales_data_1[Product_Category], R$10)</f>
        <v>10628.378499999999</v>
      </c>
      <c r="Y14" s="24">
        <f t="shared" si="3"/>
        <v>711687.20409999997</v>
      </c>
      <c r="Z14" s="24"/>
      <c r="AA14" s="24">
        <f>SUMIFS(sales_data_1[Profit_Margin],sales_data_1[Year],2022, sales_data_1[month], $B14, sales_data_1[Sales_Rep], "Eve", sales_data_1[Product_Category], U$10)</f>
        <v>207003.99129999999</v>
      </c>
      <c r="AB14" s="24">
        <f>SUMIFS(sales_data_1[Profit_Margin],sales_data_1[Year],2022, sales_data_1[month], $B14, sales_data_1[Sales_Rep], "Eve", sales_data_1[Product_Category], V$10)</f>
        <v>34970.431999999993</v>
      </c>
      <c r="AC14" s="24">
        <f>SUMIFS(sales_data_1[Profit_Margin],sales_data_1[Year],2022, sales_data_1[month], $B14, sales_data_1[Sales_Rep], "Eve", sales_data_1[Product_Category], W$10)</f>
        <v>33717.366000000002</v>
      </c>
      <c r="AD14" s="24">
        <f>SUMIFS(sales_data_1[Profit_Margin],sales_data_1[Year],2022, sales_data_1[month], $B14, sales_data_1[Sales_Rep], "Eve", sales_data_1[Product_Category], R$10)</f>
        <v>263408.66219999996</v>
      </c>
      <c r="AE14" s="24">
        <f t="shared" si="4"/>
        <v>539100.45149999997</v>
      </c>
      <c r="AF14" s="104"/>
      <c r="AG14" s="24">
        <f t="shared" si="5"/>
        <v>3448716.5622999999</v>
      </c>
      <c r="AH14" s="24"/>
    </row>
    <row r="15" spans="1:34" x14ac:dyDescent="0.35">
      <c r="A15" s="4"/>
      <c r="B15" s="5" t="s">
        <v>49</v>
      </c>
      <c r="C15" s="24">
        <f>SUMIFS(sales_data_1[Profit_Margin],sales_data_1[Year],2022, sales_data_1[month], $B15, sales_data_1[Sales_Rep], "Alice", sales_data_1[Product_Category], C$10)</f>
        <v>59919.223999999987</v>
      </c>
      <c r="D15" s="24">
        <f>SUMIFS(sales_data_1[Profit_Margin],sales_data_1[Year],2022, sales_data_1[month], $B15, sales_data_1[Sales_Rep], "Alice", sales_data_1[Product_Category], D$10)</f>
        <v>85803.106800000009</v>
      </c>
      <c r="E15" s="24">
        <f>SUMIFS(sales_data_1[Profit_Margin],sales_data_1[Year],2022, sales_data_1[month], $B15, sales_data_1[Sales_Rep], "Alice", sales_data_1[Product_Category], E$10)</f>
        <v>257877.71659999999</v>
      </c>
      <c r="F15" s="24">
        <f>SUMIFS(sales_data_1[Profit_Margin],sales_data_1[Year],2022, sales_data_1[month], $B15, sales_data_1[Sales_Rep], "Alice", sales_data_1[Product_Category], F$10)</f>
        <v>54697.581600000005</v>
      </c>
      <c r="G15" s="24">
        <f t="shared" si="0"/>
        <v>458297.62899999996</v>
      </c>
      <c r="H15" s="24"/>
      <c r="I15" s="24">
        <f>SUMIFS(sales_data_1[Profit_Margin],sales_data_1[Year],2022, sales_data_1[month], $B15, sales_data_1[Sales_Rep], "Bob", sales_data_1[Product_Category], I$10)</f>
        <v>202801.9731</v>
      </c>
      <c r="J15" s="24">
        <f>SUMIFS(sales_data_1[Profit_Margin],sales_data_1[Year],2022, sales_data_1[month], $B15, sales_data_1[Sales_Rep], "Bob", sales_data_1[Product_Category], J$10)</f>
        <v>50911.05799999999</v>
      </c>
      <c r="K15" s="24">
        <f>SUMIFS(sales_data_1[Profit_Margin],sales_data_1[Year],2022, sales_data_1[month], $B15, sales_data_1[Sales_Rep], "Bob", sales_data_1[Product_Category], K$10)</f>
        <v>64730.64899999999</v>
      </c>
      <c r="L15" s="24">
        <f>SUMIFS(sales_data_1[Profit_Margin],sales_data_1[Year],2022, sales_data_1[month], $B15, sales_data_1[Sales_Rep], "Bob", sales_data_1[Product_Category], L$10)</f>
        <v>127928.27390000003</v>
      </c>
      <c r="M15" s="24">
        <f t="shared" si="1"/>
        <v>446371.95400000003</v>
      </c>
      <c r="N15" s="24"/>
      <c r="O15" s="24">
        <f>SUMIFS(sales_data_1[Profit_Margin],sales_data_1[Year],2022, sales_data_1[month], $B15, sales_data_1[Sales_Rep], "Charlie", sales_data_1[Product_Category], O$10)</f>
        <v>197483.68220000001</v>
      </c>
      <c r="P15" s="24">
        <f>SUMIFS(sales_data_1[Profit_Margin],sales_data_1[Year],2022, sales_data_1[month], $B15, sales_data_1[Sales_Rep], "Charlie", sales_data_1[Product_Category], P$10)</f>
        <v>186127.08909999998</v>
      </c>
      <c r="Q15" s="24">
        <f>SUMIFS(sales_data_1[Profit_Margin],sales_data_1[Year],2022, sales_data_1[month], $B15, sales_data_1[Sales_Rep], "Charlie", sales_data_1[Product_Category], Q$10)</f>
        <v>172969.39850000001</v>
      </c>
      <c r="R15" s="24">
        <f>SUMIFS(sales_data_1[Profit_Margin],sales_data_1[Year],2022, sales_data_1[month], $B15, sales_data_1[Sales_Rep], "Charlie", sales_data_1[Product_Category], R$10)</f>
        <v>312458.96019999997</v>
      </c>
      <c r="S15" s="24">
        <f t="shared" si="2"/>
        <v>869039.13</v>
      </c>
      <c r="T15" s="24"/>
      <c r="U15" s="24">
        <f>SUMIFS(sales_data_1[Profit_Margin],sales_data_1[Year],2022, sales_data_1[month], $B15, sales_data_1[Sales_Rep], "David", sales_data_1[Product_Category], U$10)</f>
        <v>187357.87359999999</v>
      </c>
      <c r="V15" s="24">
        <f>SUMIFS(sales_data_1[Profit_Margin],sales_data_1[Year],2022, sales_data_1[month], $B15, sales_data_1[Sales_Rep], "David", sales_data_1[Product_Category], V$10)</f>
        <v>148851.98119999998</v>
      </c>
      <c r="W15" s="24">
        <f>SUMIFS(sales_data_1[Profit_Margin],sales_data_1[Year],2022, sales_data_1[month], $B15, sales_data_1[Sales_Rep], "David", sales_data_1[Product_Category], W$10)</f>
        <v>167488.66899999999</v>
      </c>
      <c r="X15" s="24">
        <f>SUMIFS(sales_data_1[Profit_Margin],sales_data_1[Year],2022, sales_data_1[month], $B15, sales_data_1[Sales_Rep], "David", sales_data_1[Product_Category], R$10)</f>
        <v>220014.7868</v>
      </c>
      <c r="Y15" s="24">
        <f t="shared" si="3"/>
        <v>723713.31059999997</v>
      </c>
      <c r="Z15" s="24"/>
      <c r="AA15" s="24">
        <f>SUMIFS(sales_data_1[Profit_Margin],sales_data_1[Year],2022, sales_data_1[month], $B15, sales_data_1[Sales_Rep], "Eve", sales_data_1[Product_Category], U$10)</f>
        <v>293696.45629999996</v>
      </c>
      <c r="AB15" s="24">
        <f>SUMIFS(sales_data_1[Profit_Margin],sales_data_1[Year],2022, sales_data_1[month], $B15, sales_data_1[Sales_Rep], "Eve", sales_data_1[Product_Category], V$10)</f>
        <v>152077.2224</v>
      </c>
      <c r="AC15" s="24">
        <f>SUMIFS(sales_data_1[Profit_Margin],sales_data_1[Year],2022, sales_data_1[month], $B15, sales_data_1[Sales_Rep], "Eve", sales_data_1[Product_Category], W$10)</f>
        <v>16800.035000000003</v>
      </c>
      <c r="AD15" s="24">
        <f>SUMIFS(sales_data_1[Profit_Margin],sales_data_1[Year],2022, sales_data_1[month], $B15, sales_data_1[Sales_Rep], "Eve", sales_data_1[Product_Category], R$10)</f>
        <v>127758.76759999999</v>
      </c>
      <c r="AE15" s="24">
        <f t="shared" si="4"/>
        <v>590332.48129999998</v>
      </c>
      <c r="AF15" s="104"/>
      <c r="AG15" s="24">
        <f t="shared" si="5"/>
        <v>3087754.5049000001</v>
      </c>
      <c r="AH15" s="24"/>
    </row>
    <row r="16" spans="1:34" x14ac:dyDescent="0.35">
      <c r="A16" s="4"/>
      <c r="B16" s="5" t="s">
        <v>50</v>
      </c>
      <c r="C16" s="24">
        <f>SUMIFS(sales_data_1[Profit_Margin],sales_data_1[Year],2022, sales_data_1[month], $B16, sales_data_1[Sales_Rep], "Alice", sales_data_1[Product_Category], C$10)</f>
        <v>391128.77130000002</v>
      </c>
      <c r="D16" s="24">
        <f>SUMIFS(sales_data_1[Profit_Margin],sales_data_1[Year],2022, sales_data_1[month], $B16, sales_data_1[Sales_Rep], "Alice", sales_data_1[Product_Category], D$10)</f>
        <v>306342.91659999994</v>
      </c>
      <c r="E16" s="24">
        <f>SUMIFS(sales_data_1[Profit_Margin],sales_data_1[Year],2022, sales_data_1[month], $B16, sales_data_1[Sales_Rep], "Alice", sales_data_1[Product_Category], E$10)</f>
        <v>160631.09790000002</v>
      </c>
      <c r="F16" s="24">
        <f>SUMIFS(sales_data_1[Profit_Margin],sales_data_1[Year],2022, sales_data_1[month], $B16, sales_data_1[Sales_Rep], "Alice", sales_data_1[Product_Category], F$10)</f>
        <v>300441.03829999996</v>
      </c>
      <c r="G16" s="24">
        <f t="shared" si="0"/>
        <v>1158543.8241000001</v>
      </c>
      <c r="H16" s="24"/>
      <c r="I16" s="24">
        <f>SUMIFS(sales_data_1[Profit_Margin],sales_data_1[Year],2022, sales_data_1[month], $B16, sales_data_1[Sales_Rep], "Bob", sales_data_1[Product_Category], I$10)</f>
        <v>264868.4975</v>
      </c>
      <c r="J16" s="24">
        <f>SUMIFS(sales_data_1[Profit_Margin],sales_data_1[Year],2022, sales_data_1[month], $B16, sales_data_1[Sales_Rep], "Bob", sales_data_1[Product_Category], J$10)</f>
        <v>140366.0318</v>
      </c>
      <c r="K16" s="24">
        <f>SUMIFS(sales_data_1[Profit_Margin],sales_data_1[Year],2022, sales_data_1[month], $B16, sales_data_1[Sales_Rep], "Bob", sales_data_1[Product_Category], K$10)</f>
        <v>118955.7726</v>
      </c>
      <c r="L16" s="24">
        <f>SUMIFS(sales_data_1[Profit_Margin],sales_data_1[Year],2022, sales_data_1[month], $B16, sales_data_1[Sales_Rep], "Bob", sales_data_1[Product_Category], L$10)</f>
        <v>136583.00759999998</v>
      </c>
      <c r="M16" s="24">
        <f t="shared" si="1"/>
        <v>660773.30949999997</v>
      </c>
      <c r="N16" s="24"/>
      <c r="O16" s="24">
        <f>SUMIFS(sales_data_1[Profit_Margin],sales_data_1[Year],2022, sales_data_1[month], $B16, sales_data_1[Sales_Rep], "Charlie", sales_data_1[Product_Category], O$10)</f>
        <v>204520.82059999998</v>
      </c>
      <c r="P16" s="24">
        <f>SUMIFS(sales_data_1[Profit_Margin],sales_data_1[Year],2022, sales_data_1[month], $B16, sales_data_1[Sales_Rep], "Charlie", sales_data_1[Product_Category], P$10)</f>
        <v>169172.261</v>
      </c>
      <c r="Q16" s="24">
        <f>SUMIFS(sales_data_1[Profit_Margin],sales_data_1[Year],2022, sales_data_1[month], $B16, sales_data_1[Sales_Rep], "Charlie", sales_data_1[Product_Category], Q$10)</f>
        <v>80433.134999999995</v>
      </c>
      <c r="R16" s="24">
        <f>SUMIFS(sales_data_1[Profit_Margin],sales_data_1[Year],2022, sales_data_1[month], $B16, sales_data_1[Sales_Rep], "Charlie", sales_data_1[Product_Category], R$10)</f>
        <v>42743.231499999987</v>
      </c>
      <c r="S16" s="24">
        <f t="shared" si="2"/>
        <v>496869.44809999998</v>
      </c>
      <c r="T16" s="24"/>
      <c r="U16" s="24">
        <f>SUMIFS(sales_data_1[Profit_Margin],sales_data_1[Year],2022, sales_data_1[month], $B16, sales_data_1[Sales_Rep], "David", sales_data_1[Product_Category], U$10)</f>
        <v>216518.11710000003</v>
      </c>
      <c r="V16" s="24">
        <f>SUMIFS(sales_data_1[Profit_Margin],sales_data_1[Year],2022, sales_data_1[month], $B16, sales_data_1[Sales_Rep], "David", sales_data_1[Product_Category], V$10)</f>
        <v>1755.0959999999995</v>
      </c>
      <c r="W16" s="24">
        <f>SUMIFS(sales_data_1[Profit_Margin],sales_data_1[Year],2022, sales_data_1[month], $B16, sales_data_1[Sales_Rep], "David", sales_data_1[Product_Category], W$10)</f>
        <v>66412.964400000012</v>
      </c>
      <c r="X16" s="24">
        <f>SUMIFS(sales_data_1[Profit_Margin],sales_data_1[Year],2022, sales_data_1[month], $B16, sales_data_1[Sales_Rep], "David", sales_data_1[Product_Category], R$10)</f>
        <v>41250.209499999983</v>
      </c>
      <c r="Y16" s="24">
        <f t="shared" si="3"/>
        <v>325936.38700000005</v>
      </c>
      <c r="Z16" s="24"/>
      <c r="AA16" s="24">
        <f>SUMIFS(sales_data_1[Profit_Margin],sales_data_1[Year],2022, sales_data_1[month], $B16, sales_data_1[Sales_Rep], "Eve", sales_data_1[Product_Category], U$10)</f>
        <v>259226.39699999997</v>
      </c>
      <c r="AB16" s="24">
        <f>SUMIFS(sales_data_1[Profit_Margin],sales_data_1[Year],2022, sales_data_1[month], $B16, sales_data_1[Sales_Rep], "Eve", sales_data_1[Product_Category], V$10)</f>
        <v>118911.42310000003</v>
      </c>
      <c r="AC16" s="24">
        <f>SUMIFS(sales_data_1[Profit_Margin],sales_data_1[Year],2022, sales_data_1[month], $B16, sales_data_1[Sales_Rep], "Eve", sales_data_1[Product_Category], W$10)</f>
        <v>120350.829</v>
      </c>
      <c r="AD16" s="24">
        <f>SUMIFS(sales_data_1[Profit_Margin],sales_data_1[Year],2022, sales_data_1[month], $B16, sales_data_1[Sales_Rep], "Eve", sales_data_1[Product_Category], R$10)</f>
        <v>65184.563399999999</v>
      </c>
      <c r="AE16" s="24">
        <f t="shared" si="4"/>
        <v>563673.21250000002</v>
      </c>
      <c r="AF16" s="104"/>
      <c r="AG16" s="24">
        <f t="shared" si="5"/>
        <v>3205796.1812</v>
      </c>
      <c r="AH16" s="24"/>
    </row>
    <row r="17" spans="1:34" x14ac:dyDescent="0.35">
      <c r="A17" s="4"/>
      <c r="B17" s="5" t="s">
        <v>51</v>
      </c>
      <c r="C17" s="24">
        <f>SUMIFS(sales_data_1[Profit_Margin],sales_data_1[Year],2022, sales_data_1[month], $B17, sales_data_1[Sales_Rep], "Alice", sales_data_1[Product_Category], C$10)</f>
        <v>222392.31699999998</v>
      </c>
      <c r="D17" s="24">
        <f>SUMIFS(sales_data_1[Profit_Margin],sales_data_1[Year],2022, sales_data_1[month], $B17, sales_data_1[Sales_Rep], "Alice", sales_data_1[Product_Category], D$10)</f>
        <v>190771.6251</v>
      </c>
      <c r="E17" s="24">
        <f>SUMIFS(sales_data_1[Profit_Margin],sales_data_1[Year],2022, sales_data_1[month], $B17, sales_data_1[Sales_Rep], "Alice", sales_data_1[Product_Category], E$10)</f>
        <v>6625.4734000000008</v>
      </c>
      <c r="F17" s="24">
        <f>SUMIFS(sales_data_1[Profit_Margin],sales_data_1[Year],2022, sales_data_1[month], $B17, sales_data_1[Sales_Rep], "Alice", sales_data_1[Product_Category], F$10)</f>
        <v>258045.758</v>
      </c>
      <c r="G17" s="24">
        <f t="shared" si="0"/>
        <v>677835.17350000003</v>
      </c>
      <c r="H17" s="24"/>
      <c r="I17" s="24">
        <f>SUMIFS(sales_data_1[Profit_Margin],sales_data_1[Year],2022, sales_data_1[month], $B17, sales_data_1[Sales_Rep], "Bob", sales_data_1[Product_Category], I$10)</f>
        <v>108033.86129999999</v>
      </c>
      <c r="J17" s="24">
        <f>SUMIFS(sales_data_1[Profit_Margin],sales_data_1[Year],2022, sales_data_1[month], $B17, sales_data_1[Sales_Rep], "Bob", sales_data_1[Product_Category], J$10)</f>
        <v>17089.438299999998</v>
      </c>
      <c r="K17" s="24">
        <f>SUMIFS(sales_data_1[Profit_Margin],sales_data_1[Year],2022, sales_data_1[month], $B17, sales_data_1[Sales_Rep], "Bob", sales_data_1[Product_Category], K$10)</f>
        <v>232515.8628</v>
      </c>
      <c r="L17" s="24">
        <f>SUMIFS(sales_data_1[Profit_Margin],sales_data_1[Year],2022, sales_data_1[month], $B17, sales_data_1[Sales_Rep], "Bob", sales_data_1[Product_Category], L$10)</f>
        <v>92733.669599999994</v>
      </c>
      <c r="M17" s="24">
        <f t="shared" si="1"/>
        <v>450372.83199999994</v>
      </c>
      <c r="N17" s="24"/>
      <c r="O17" s="24">
        <f>SUMIFS(sales_data_1[Profit_Margin],sales_data_1[Year],2022, sales_data_1[month], $B17, sales_data_1[Sales_Rep], "Charlie", sales_data_1[Product_Category], O$10)</f>
        <v>93076.54829999998</v>
      </c>
      <c r="P17" s="24">
        <f>SUMIFS(sales_data_1[Profit_Margin],sales_data_1[Year],2022, sales_data_1[month], $B17, sales_data_1[Sales_Rep], "Charlie", sales_data_1[Product_Category], P$10)</f>
        <v>52023.736699999994</v>
      </c>
      <c r="Q17" s="24">
        <f>SUMIFS(sales_data_1[Profit_Margin],sales_data_1[Year],2022, sales_data_1[month], $B17, sales_data_1[Sales_Rep], "Charlie", sales_data_1[Product_Category], Q$10)</f>
        <v>216364.44299999997</v>
      </c>
      <c r="R17" s="24">
        <f>SUMIFS(sales_data_1[Profit_Margin],sales_data_1[Year],2022, sales_data_1[month], $B17, sales_data_1[Sales_Rep], "Charlie", sales_data_1[Product_Category], R$10)</f>
        <v>178242.45390000002</v>
      </c>
      <c r="S17" s="24">
        <f t="shared" si="2"/>
        <v>539707.18189999997</v>
      </c>
      <c r="T17" s="24"/>
      <c r="U17" s="24">
        <f>SUMIFS(sales_data_1[Profit_Margin],sales_data_1[Year],2022, sales_data_1[month], $B17, sales_data_1[Sales_Rep], "David", sales_data_1[Product_Category], U$10)</f>
        <v>273233.13640000002</v>
      </c>
      <c r="V17" s="24">
        <f>SUMIFS(sales_data_1[Profit_Margin],sales_data_1[Year],2022, sales_data_1[month], $B17, sales_data_1[Sales_Rep], "David", sales_data_1[Product_Category], V$10)</f>
        <v>50790.493799999997</v>
      </c>
      <c r="W17" s="24">
        <f>SUMIFS(sales_data_1[Profit_Margin],sales_data_1[Year],2022, sales_data_1[month], $B17, sales_data_1[Sales_Rep], "David", sales_data_1[Product_Category], W$10)</f>
        <v>18328.278200000008</v>
      </c>
      <c r="X17" s="24">
        <f>SUMIFS(sales_data_1[Profit_Margin],sales_data_1[Year],2022, sales_data_1[month], $B17, sales_data_1[Sales_Rep], "David", sales_data_1[Product_Category], R$10)</f>
        <v>39615.581200000001</v>
      </c>
      <c r="Y17" s="24">
        <f t="shared" si="3"/>
        <v>381967.48960000003</v>
      </c>
      <c r="Z17" s="24"/>
      <c r="AA17" s="24">
        <f>SUMIFS(sales_data_1[Profit_Margin],sales_data_1[Year],2022, sales_data_1[month], $B17, sales_data_1[Sales_Rep], "Eve", sales_data_1[Product_Category], U$10)</f>
        <v>99785.580799999982</v>
      </c>
      <c r="AB17" s="24">
        <f>SUMIFS(sales_data_1[Profit_Margin],sales_data_1[Year],2022, sales_data_1[month], $B17, sales_data_1[Sales_Rep], "Eve", sales_data_1[Product_Category], V$10)</f>
        <v>427011.17169999995</v>
      </c>
      <c r="AC17" s="24">
        <f>SUMIFS(sales_data_1[Profit_Margin],sales_data_1[Year],2022, sales_data_1[month], $B17, sales_data_1[Sales_Rep], "Eve", sales_data_1[Product_Category], W$10)</f>
        <v>271911.84039999999</v>
      </c>
      <c r="AD17" s="24">
        <f>SUMIFS(sales_data_1[Profit_Margin],sales_data_1[Year],2022, sales_data_1[month], $B17, sales_data_1[Sales_Rep], "Eve", sales_data_1[Product_Category], R$10)</f>
        <v>86904.077700000023</v>
      </c>
      <c r="AE17" s="24">
        <f t="shared" si="4"/>
        <v>885612.67059999995</v>
      </c>
      <c r="AF17" s="104"/>
      <c r="AG17" s="24">
        <f t="shared" si="5"/>
        <v>2935495.3476</v>
      </c>
      <c r="AH17" s="24"/>
    </row>
    <row r="18" spans="1:34" x14ac:dyDescent="0.35">
      <c r="A18" s="4"/>
      <c r="B18" s="5" t="s">
        <v>52</v>
      </c>
      <c r="C18" s="24">
        <f>SUMIFS(sales_data_1[Profit_Margin],sales_data_1[Year],2022, sales_data_1[month], $B18, sales_data_1[Sales_Rep], "Alice", sales_data_1[Product_Category], C$10)</f>
        <v>58522.062200000008</v>
      </c>
      <c r="D18" s="24">
        <f>SUMIFS(sales_data_1[Profit_Margin],sales_data_1[Year],2022, sales_data_1[month], $B18, sales_data_1[Sales_Rep], "Alice", sales_data_1[Product_Category], D$10)</f>
        <v>85539.606799999994</v>
      </c>
      <c r="E18" s="24">
        <f>SUMIFS(sales_data_1[Profit_Margin],sales_data_1[Year],2022, sales_data_1[month], $B18, sales_data_1[Sales_Rep], "Alice", sales_data_1[Product_Category], E$10)</f>
        <v>135628.5442</v>
      </c>
      <c r="F18" s="24">
        <f>SUMIFS(sales_data_1[Profit_Margin],sales_data_1[Year],2022, sales_data_1[month], $B18, sales_data_1[Sales_Rep], "Alice", sales_data_1[Product_Category], F$10)</f>
        <v>286721.69620000001</v>
      </c>
      <c r="G18" s="24">
        <f t="shared" si="0"/>
        <v>566411.9094</v>
      </c>
      <c r="H18" s="24"/>
      <c r="I18" s="24">
        <f>SUMIFS(sales_data_1[Profit_Margin],sales_data_1[Year],2022, sales_data_1[month], $B18, sales_data_1[Sales_Rep], "Bob", sales_data_1[Product_Category], I$10)</f>
        <v>7057.5114999999996</v>
      </c>
      <c r="J18" s="24">
        <f>SUMIFS(sales_data_1[Profit_Margin],sales_data_1[Year],2022, sales_data_1[month], $B18, sales_data_1[Sales_Rep], "Bob", sales_data_1[Product_Category], J$10)</f>
        <v>125786.2292</v>
      </c>
      <c r="K18" s="24">
        <f>SUMIFS(sales_data_1[Profit_Margin],sales_data_1[Year],2022, sales_data_1[month], $B18, sales_data_1[Sales_Rep], "Bob", sales_data_1[Product_Category], K$10)</f>
        <v>188784.9804</v>
      </c>
      <c r="L18" s="24">
        <f>SUMIFS(sales_data_1[Profit_Margin],sales_data_1[Year],2022, sales_data_1[month], $B18, sales_data_1[Sales_Rep], "Bob", sales_data_1[Product_Category], L$10)</f>
        <v>102532.18909999999</v>
      </c>
      <c r="M18" s="24">
        <f t="shared" si="1"/>
        <v>424160.91019999993</v>
      </c>
      <c r="N18" s="24"/>
      <c r="O18" s="24">
        <f>SUMIFS(sales_data_1[Profit_Margin],sales_data_1[Year],2022, sales_data_1[month], $B18, sales_data_1[Sales_Rep], "Charlie", sales_data_1[Product_Category], O$10)</f>
        <v>51637.595299999994</v>
      </c>
      <c r="P18" s="24">
        <f>SUMIFS(sales_data_1[Profit_Margin],sales_data_1[Year],2022, sales_data_1[month], $B18, sales_data_1[Sales_Rep], "Charlie", sales_data_1[Product_Category], P$10)</f>
        <v>145441.92679999999</v>
      </c>
      <c r="Q18" s="24">
        <f>SUMIFS(sales_data_1[Profit_Margin],sales_data_1[Year],2022, sales_data_1[month], $B18, sales_data_1[Sales_Rep], "Charlie", sales_data_1[Product_Category], Q$10)</f>
        <v>122562.79229999999</v>
      </c>
      <c r="R18" s="24">
        <f>SUMIFS(sales_data_1[Profit_Margin],sales_data_1[Year],2022, sales_data_1[month], $B18, sales_data_1[Sales_Rep], "Charlie", sales_data_1[Product_Category], R$10)</f>
        <v>169980.02639999994</v>
      </c>
      <c r="S18" s="24">
        <f t="shared" si="2"/>
        <v>489622.34079999989</v>
      </c>
      <c r="T18" s="24"/>
      <c r="U18" s="24">
        <f>SUMIFS(sales_data_1[Profit_Margin],sales_data_1[Year],2022, sales_data_1[month], $B18, sales_data_1[Sales_Rep], "David", sales_data_1[Product_Category], U$10)</f>
        <v>228731.39079999999</v>
      </c>
      <c r="V18" s="24">
        <f>SUMIFS(sales_data_1[Profit_Margin],sales_data_1[Year],2022, sales_data_1[month], $B18, sales_data_1[Sales_Rep], "David", sales_data_1[Product_Category], V$10)</f>
        <v>184766.31299999999</v>
      </c>
      <c r="W18" s="24">
        <f>SUMIFS(sales_data_1[Profit_Margin],sales_data_1[Year],2022, sales_data_1[month], $B18, sales_data_1[Sales_Rep], "David", sales_data_1[Product_Category], W$10)</f>
        <v>396874.89810000005</v>
      </c>
      <c r="X18" s="24">
        <f>SUMIFS(sales_data_1[Profit_Margin],sales_data_1[Year],2022, sales_data_1[month], $B18, sales_data_1[Sales_Rep], "David", sales_data_1[Product_Category], R$10)</f>
        <v>52322.349400000021</v>
      </c>
      <c r="Y18" s="24">
        <f t="shared" si="3"/>
        <v>862694.95130000019</v>
      </c>
      <c r="Z18" s="24"/>
      <c r="AA18" s="24">
        <f>SUMIFS(sales_data_1[Profit_Margin],sales_data_1[Year],2022, sales_data_1[month], $B18, sales_data_1[Sales_Rep], "Eve", sales_data_1[Product_Category], U$10)</f>
        <v>369636.00319999998</v>
      </c>
      <c r="AB18" s="24">
        <f>SUMIFS(sales_data_1[Profit_Margin],sales_data_1[Year],2022, sales_data_1[month], $B18, sales_data_1[Sales_Rep], "Eve", sales_data_1[Product_Category], V$10)</f>
        <v>60187.794100000014</v>
      </c>
      <c r="AC18" s="24">
        <f>SUMIFS(sales_data_1[Profit_Margin],sales_data_1[Year],2022, sales_data_1[month], $B18, sales_data_1[Sales_Rep], "Eve", sales_data_1[Product_Category], W$10)</f>
        <v>128083.96459999999</v>
      </c>
      <c r="AD18" s="24">
        <f>SUMIFS(sales_data_1[Profit_Margin],sales_data_1[Year],2022, sales_data_1[month], $B18, sales_data_1[Sales_Rep], "Eve", sales_data_1[Product_Category], R$10)</f>
        <v>101558.50679999994</v>
      </c>
      <c r="AE18" s="24">
        <f t="shared" si="4"/>
        <v>659466.2686999999</v>
      </c>
      <c r="AF18" s="104"/>
      <c r="AG18" s="24">
        <f t="shared" si="5"/>
        <v>3002356.3804000001</v>
      </c>
      <c r="AH18" s="24"/>
    </row>
    <row r="19" spans="1:34" x14ac:dyDescent="0.35">
      <c r="A19" s="4"/>
      <c r="B19" s="5" t="s">
        <v>53</v>
      </c>
      <c r="C19" s="24">
        <f>SUMIFS(sales_data_1[Profit_Margin],sales_data_1[Year],2022, sales_data_1[month], $B19, sales_data_1[Sales_Rep], "Alice", sales_data_1[Product_Category], C$10)</f>
        <v>207487.38080000004</v>
      </c>
      <c r="D19" s="24">
        <f>SUMIFS(sales_data_1[Profit_Margin],sales_data_1[Year],2022, sales_data_1[month], $B19, sales_data_1[Sales_Rep], "Alice", sales_data_1[Product_Category], D$10)</f>
        <v>188341.88859999995</v>
      </c>
      <c r="E19" s="24">
        <f>SUMIFS(sales_data_1[Profit_Margin],sales_data_1[Year],2022, sales_data_1[month], $B19, sales_data_1[Sales_Rep], "Alice", sales_data_1[Product_Category], E$10)</f>
        <v>281422.51949999999</v>
      </c>
      <c r="F19" s="24">
        <f>SUMIFS(sales_data_1[Profit_Margin],sales_data_1[Year],2022, sales_data_1[month], $B19, sales_data_1[Sales_Rep], "Alice", sales_data_1[Product_Category], F$10)</f>
        <v>20511.360600000011</v>
      </c>
      <c r="G19" s="24">
        <f t="shared" si="0"/>
        <v>697763.14950000006</v>
      </c>
      <c r="H19" s="24"/>
      <c r="I19" s="24">
        <f>SUMIFS(sales_data_1[Profit_Margin],sales_data_1[Year],2022, sales_data_1[month], $B19, sales_data_1[Sales_Rep], "Bob", sales_data_1[Product_Category], I$10)</f>
        <v>8937.3949999999986</v>
      </c>
      <c r="J19" s="24">
        <f>SUMIFS(sales_data_1[Profit_Margin],sales_data_1[Year],2022, sales_data_1[month], $B19, sales_data_1[Sales_Rep], "Bob", sales_data_1[Product_Category], J$10)</f>
        <v>174111.1887</v>
      </c>
      <c r="K19" s="24">
        <f>SUMIFS(sales_data_1[Profit_Margin],sales_data_1[Year],2022, sales_data_1[month], $B19, sales_data_1[Sales_Rep], "Bob", sales_data_1[Product_Category], K$10)</f>
        <v>235757.69410000002</v>
      </c>
      <c r="L19" s="24">
        <f>SUMIFS(sales_data_1[Profit_Margin],sales_data_1[Year],2022, sales_data_1[month], $B19, sales_data_1[Sales_Rep], "Bob", sales_data_1[Product_Category], L$10)</f>
        <v>103972.00159999999</v>
      </c>
      <c r="M19" s="24">
        <f t="shared" si="1"/>
        <v>522778.2794</v>
      </c>
      <c r="N19" s="24"/>
      <c r="O19" s="24">
        <f>SUMIFS(sales_data_1[Profit_Margin],sales_data_1[Year],2022, sales_data_1[month], $B19, sales_data_1[Sales_Rep], "Charlie", sales_data_1[Product_Category], O$10)</f>
        <v>98762.671100000007</v>
      </c>
      <c r="P19" s="24">
        <f>SUMIFS(sales_data_1[Profit_Margin],sales_data_1[Year],2022, sales_data_1[month], $B19, sales_data_1[Sales_Rep], "Charlie", sales_data_1[Product_Category], P$10)</f>
        <v>24359.530000000002</v>
      </c>
      <c r="Q19" s="24">
        <f>SUMIFS(sales_data_1[Profit_Margin],sales_data_1[Year],2022, sales_data_1[month], $B19, sales_data_1[Sales_Rep], "Charlie", sales_data_1[Product_Category], Q$10)</f>
        <v>37558.553200000002</v>
      </c>
      <c r="R19" s="24">
        <f>SUMIFS(sales_data_1[Profit_Margin],sales_data_1[Year],2022, sales_data_1[month], $B19, sales_data_1[Sales_Rep], "Charlie", sales_data_1[Product_Category], R$10)</f>
        <v>6503.8224000000009</v>
      </c>
      <c r="S19" s="24">
        <f t="shared" si="2"/>
        <v>167184.57670000001</v>
      </c>
      <c r="T19" s="24"/>
      <c r="U19" s="24">
        <f>SUMIFS(sales_data_1[Profit_Margin],sales_data_1[Year],2022, sales_data_1[month], $B19, sales_data_1[Sales_Rep], "David", sales_data_1[Product_Category], U$10)</f>
        <v>142421.82370000001</v>
      </c>
      <c r="V19" s="24">
        <f>SUMIFS(sales_data_1[Profit_Margin],sales_data_1[Year],2022, sales_data_1[month], $B19, sales_data_1[Sales_Rep], "David", sales_data_1[Product_Category], V$10)</f>
        <v>314632.82559999998</v>
      </c>
      <c r="W19" s="24">
        <f>SUMIFS(sales_data_1[Profit_Margin],sales_data_1[Year],2022, sales_data_1[month], $B19, sales_data_1[Sales_Rep], "David", sales_data_1[Product_Category], W$10)</f>
        <v>167987.71999999997</v>
      </c>
      <c r="X19" s="24">
        <f>SUMIFS(sales_data_1[Profit_Margin],sales_data_1[Year],2022, sales_data_1[month], $B19, sales_data_1[Sales_Rep], "David", sales_data_1[Product_Category], R$10)</f>
        <v>66550.460000000006</v>
      </c>
      <c r="Y19" s="24">
        <f t="shared" si="3"/>
        <v>691592.82929999987</v>
      </c>
      <c r="Z19" s="24"/>
      <c r="AA19" s="24">
        <f>SUMIFS(sales_data_1[Profit_Margin],sales_data_1[Year],2022, sales_data_1[month], $B19, sales_data_1[Sales_Rep], "Eve", sales_data_1[Product_Category], U$10)</f>
        <v>34784.960000000006</v>
      </c>
      <c r="AB19" s="24">
        <f>SUMIFS(sales_data_1[Profit_Margin],sales_data_1[Year],2022, sales_data_1[month], $B19, sales_data_1[Sales_Rep], "Eve", sales_data_1[Product_Category], V$10)</f>
        <v>125978.80539999998</v>
      </c>
      <c r="AC19" s="24">
        <f>SUMIFS(sales_data_1[Profit_Margin],sales_data_1[Year],2022, sales_data_1[month], $B19, sales_data_1[Sales_Rep], "Eve", sales_data_1[Product_Category], W$10)</f>
        <v>127705.51319999999</v>
      </c>
      <c r="AD19" s="24">
        <f>SUMIFS(sales_data_1[Profit_Margin],sales_data_1[Year],2022, sales_data_1[month], $B19, sales_data_1[Sales_Rep], "Eve", sales_data_1[Product_Category], R$10)</f>
        <v>326990.06620000006</v>
      </c>
      <c r="AE19" s="24">
        <f t="shared" si="4"/>
        <v>615459.34480000008</v>
      </c>
      <c r="AF19" s="104"/>
      <c r="AG19" s="24">
        <f t="shared" si="5"/>
        <v>2694778.1797000002</v>
      </c>
      <c r="AH19" s="24"/>
    </row>
    <row r="20" spans="1:34" x14ac:dyDescent="0.35">
      <c r="A20" s="4"/>
      <c r="B20" s="5" t="s">
        <v>54</v>
      </c>
      <c r="C20" s="24">
        <f>SUMIFS(sales_data_1[Profit_Margin],sales_data_1[Year],2022, sales_data_1[month], $B20, sales_data_1[Sales_Rep], "Alice", sales_data_1[Product_Category], C$10)</f>
        <v>131151.4112</v>
      </c>
      <c r="D20" s="24">
        <f>SUMIFS(sales_data_1[Profit_Margin],sales_data_1[Year],2022, sales_data_1[month], $B20, sales_data_1[Sales_Rep], "Alice", sales_data_1[Product_Category], D$10)</f>
        <v>329651.40909999999</v>
      </c>
      <c r="E20" s="24">
        <f>SUMIFS(sales_data_1[Profit_Margin],sales_data_1[Year],2022, sales_data_1[month], $B20, sales_data_1[Sales_Rep], "Alice", sales_data_1[Product_Category], E$10)</f>
        <v>68541.314800000007</v>
      </c>
      <c r="F20" s="24">
        <f>SUMIFS(sales_data_1[Profit_Margin],sales_data_1[Year],2022, sales_data_1[month], $B20, sales_data_1[Sales_Rep], "Alice", sales_data_1[Product_Category], F$10)</f>
        <v>92435.873800000001</v>
      </c>
      <c r="G20" s="24">
        <f t="shared" si="0"/>
        <v>621780.00890000002</v>
      </c>
      <c r="H20" s="24"/>
      <c r="I20" s="24">
        <f>SUMIFS(sales_data_1[Profit_Margin],sales_data_1[Year],2022, sales_data_1[month], $B20, sales_data_1[Sales_Rep], "Bob", sales_data_1[Product_Category], I$10)</f>
        <v>281520.47939999995</v>
      </c>
      <c r="J20" s="24">
        <f>SUMIFS(sales_data_1[Profit_Margin],sales_data_1[Year],2022, sales_data_1[month], $B20, sales_data_1[Sales_Rep], "Bob", sales_data_1[Product_Category], J$10)</f>
        <v>130198.21020000002</v>
      </c>
      <c r="K20" s="24">
        <f>SUMIFS(sales_data_1[Profit_Margin],sales_data_1[Year],2022, sales_data_1[month], $B20, sales_data_1[Sales_Rep], "Bob", sales_data_1[Product_Category], K$10)</f>
        <v>154775.56169999999</v>
      </c>
      <c r="L20" s="24">
        <f>SUMIFS(sales_data_1[Profit_Margin],sales_data_1[Year],2022, sales_data_1[month], $B20, sales_data_1[Sales_Rep], "Bob", sales_data_1[Product_Category], L$10)</f>
        <v>63150.191299999991</v>
      </c>
      <c r="M20" s="24">
        <f t="shared" si="1"/>
        <v>629644.44259999995</v>
      </c>
      <c r="N20" s="24"/>
      <c r="O20" s="24">
        <f>SUMIFS(sales_data_1[Profit_Margin],sales_data_1[Year],2022, sales_data_1[month], $B20, sales_data_1[Sales_Rep], "Charlie", sales_data_1[Product_Category], O$10)</f>
        <v>195456.73830000003</v>
      </c>
      <c r="P20" s="24">
        <f>SUMIFS(sales_data_1[Profit_Margin],sales_data_1[Year],2022, sales_data_1[month], $B20, sales_data_1[Sales_Rep], "Charlie", sales_data_1[Product_Category], P$10)</f>
        <v>39165.683799999992</v>
      </c>
      <c r="Q20" s="24">
        <f>SUMIFS(sales_data_1[Profit_Margin],sales_data_1[Year],2022, sales_data_1[month], $B20, sales_data_1[Sales_Rep], "Charlie", sales_data_1[Product_Category], Q$10)</f>
        <v>170817.70239999998</v>
      </c>
      <c r="R20" s="24">
        <f>SUMIFS(sales_data_1[Profit_Margin],sales_data_1[Year],2022, sales_data_1[month], $B20, sales_data_1[Sales_Rep], "Charlie", sales_data_1[Product_Category], R$10)</f>
        <v>205026.31329999998</v>
      </c>
      <c r="S20" s="24">
        <f t="shared" si="2"/>
        <v>610466.43779999996</v>
      </c>
      <c r="T20" s="24"/>
      <c r="U20" s="24">
        <f>SUMIFS(sales_data_1[Profit_Margin],sales_data_1[Year],2022, sales_data_1[month], $B20, sales_data_1[Sales_Rep], "David", sales_data_1[Product_Category], U$10)</f>
        <v>38766.000800000009</v>
      </c>
      <c r="V20" s="24">
        <f>SUMIFS(sales_data_1[Profit_Margin],sales_data_1[Year],2022, sales_data_1[month], $B20, sales_data_1[Sales_Rep], "David", sales_data_1[Product_Category], V$10)</f>
        <v>151539.65400000001</v>
      </c>
      <c r="W20" s="24">
        <f>SUMIFS(sales_data_1[Profit_Margin],sales_data_1[Year],2022, sales_data_1[month], $B20, sales_data_1[Sales_Rep], "David", sales_data_1[Product_Category], W$10)</f>
        <v>60852.134799999993</v>
      </c>
      <c r="X20" s="24">
        <f>SUMIFS(sales_data_1[Profit_Margin],sales_data_1[Year],2022, sales_data_1[month], $B20, sales_data_1[Sales_Rep], "David", sales_data_1[Product_Category], R$10)</f>
        <v>135588.89250000005</v>
      </c>
      <c r="Y20" s="24">
        <f t="shared" si="3"/>
        <v>386746.68210000009</v>
      </c>
      <c r="Z20" s="24"/>
      <c r="AA20" s="24">
        <f>SUMIFS(sales_data_1[Profit_Margin],sales_data_1[Year],2022, sales_data_1[month], $B20, sales_data_1[Sales_Rep], "Eve", sales_data_1[Product_Category], U$10)</f>
        <v>192511.58869999996</v>
      </c>
      <c r="AB20" s="24">
        <f>SUMIFS(sales_data_1[Profit_Margin],sales_data_1[Year],2022, sales_data_1[month], $B20, sales_data_1[Sales_Rep], "Eve", sales_data_1[Product_Category], V$10)</f>
        <v>87398.608600000007</v>
      </c>
      <c r="AC20" s="24">
        <f>SUMIFS(sales_data_1[Profit_Margin],sales_data_1[Year],2022, sales_data_1[month], $B20, sales_data_1[Sales_Rep], "Eve", sales_data_1[Product_Category], W$10)</f>
        <v>71130.522200000021</v>
      </c>
      <c r="AD20" s="24">
        <f>SUMIFS(sales_data_1[Profit_Margin],sales_data_1[Year],2022, sales_data_1[month], $B20, sales_data_1[Sales_Rep], "Eve", sales_data_1[Product_Category], R$10)</f>
        <v>259247.5404</v>
      </c>
      <c r="AE20" s="24">
        <f t="shared" si="4"/>
        <v>610288.25989999995</v>
      </c>
      <c r="AF20" s="104"/>
      <c r="AG20" s="24">
        <f t="shared" si="5"/>
        <v>2858925.8312999997</v>
      </c>
      <c r="AH20" s="24"/>
    </row>
    <row r="21" spans="1:34" x14ac:dyDescent="0.35">
      <c r="A21" s="4"/>
      <c r="B21" s="5" t="s">
        <v>55</v>
      </c>
      <c r="C21" s="24">
        <f>SUMIFS(sales_data_1[Profit_Margin],sales_data_1[Year],2022, sales_data_1[month], $B21, sales_data_1[Sales_Rep], "Alice", sales_data_1[Product_Category], C$10)</f>
        <v>119162.95689999999</v>
      </c>
      <c r="D21" s="24">
        <f>SUMIFS(sales_data_1[Profit_Margin],sales_data_1[Year],2022, sales_data_1[month], $B21, sales_data_1[Sales_Rep], "Alice", sales_data_1[Product_Category], D$10)</f>
        <v>127928.4929</v>
      </c>
      <c r="E21" s="24">
        <f>SUMIFS(sales_data_1[Profit_Margin],sales_data_1[Year],2022, sales_data_1[month], $B21, sales_data_1[Sales_Rep], "Alice", sales_data_1[Product_Category], E$10)</f>
        <v>140937.76359999998</v>
      </c>
      <c r="F21" s="24">
        <f>SUMIFS(sales_data_1[Profit_Margin],sales_data_1[Year],2022, sales_data_1[month], $B21, sales_data_1[Sales_Rep], "Alice", sales_data_1[Product_Category], F$10)</f>
        <v>149060.88699999999</v>
      </c>
      <c r="G21" s="24">
        <f t="shared" si="0"/>
        <v>537090.1004</v>
      </c>
      <c r="H21" s="24"/>
      <c r="I21" s="24">
        <f>SUMIFS(sales_data_1[Profit_Margin],sales_data_1[Year],2022, sales_data_1[month], $B21, sales_data_1[Sales_Rep], "Bob", sales_data_1[Product_Category], I$10)</f>
        <v>62332.322000000007</v>
      </c>
      <c r="J21" s="24">
        <f>SUMIFS(sales_data_1[Profit_Margin],sales_data_1[Year],2022, sales_data_1[month], $B21, sales_data_1[Sales_Rep], "Bob", sales_data_1[Product_Category], J$10)</f>
        <v>116270.383</v>
      </c>
      <c r="K21" s="24">
        <f>SUMIFS(sales_data_1[Profit_Margin],sales_data_1[Year],2022, sales_data_1[month], $B21, sales_data_1[Sales_Rep], "Bob", sales_data_1[Product_Category], K$10)</f>
        <v>145220.28839999996</v>
      </c>
      <c r="L21" s="24">
        <f>SUMIFS(sales_data_1[Profit_Margin],sales_data_1[Year],2022, sales_data_1[month], $B21, sales_data_1[Sales_Rep], "Bob", sales_data_1[Product_Category], L$10)</f>
        <v>118545.90749999997</v>
      </c>
      <c r="M21" s="24">
        <f t="shared" si="1"/>
        <v>442368.90089999995</v>
      </c>
      <c r="N21" s="24"/>
      <c r="O21" s="24">
        <f>SUMIFS(sales_data_1[Profit_Margin],sales_data_1[Year],2022, sales_data_1[month], $B21, sales_data_1[Sales_Rep], "Charlie", sales_data_1[Product_Category], O$10)</f>
        <v>124033.6182</v>
      </c>
      <c r="P21" s="24">
        <f>SUMIFS(sales_data_1[Profit_Margin],sales_data_1[Year],2022, sales_data_1[month], $B21, sales_data_1[Sales_Rep], "Charlie", sales_data_1[Product_Category], P$10)</f>
        <v>88689.719199999963</v>
      </c>
      <c r="Q21" s="24">
        <f>SUMIFS(sales_data_1[Profit_Margin],sales_data_1[Year],2022, sales_data_1[month], $B21, sales_data_1[Sales_Rep], "Charlie", sales_data_1[Product_Category], Q$10)</f>
        <v>193462.78279999999</v>
      </c>
      <c r="R21" s="24">
        <f>SUMIFS(sales_data_1[Profit_Margin],sales_data_1[Year],2022, sales_data_1[month], $B21, sales_data_1[Sales_Rep], "Charlie", sales_data_1[Product_Category], R$10)</f>
        <v>149331.14799999999</v>
      </c>
      <c r="S21" s="24">
        <f t="shared" si="2"/>
        <v>555517.26819999993</v>
      </c>
      <c r="T21" s="24"/>
      <c r="U21" s="24">
        <f>SUMIFS(sales_data_1[Profit_Margin],sales_data_1[Year],2022, sales_data_1[month], $B21, sales_data_1[Sales_Rep], "David", sales_data_1[Product_Category], U$10)</f>
        <v>235418.5232</v>
      </c>
      <c r="V21" s="24">
        <f>SUMIFS(sales_data_1[Profit_Margin],sales_data_1[Year],2022, sales_data_1[month], $B21, sales_data_1[Sales_Rep], "David", sales_data_1[Product_Category], V$10)</f>
        <v>502925.59519999998</v>
      </c>
      <c r="W21" s="24">
        <f>SUMIFS(sales_data_1[Profit_Margin],sales_data_1[Year],2022, sales_data_1[month], $B21, sales_data_1[Sales_Rep], "David", sales_data_1[Product_Category], W$10)</f>
        <v>28493.307199999996</v>
      </c>
      <c r="X21" s="24">
        <f>SUMIFS(sales_data_1[Profit_Margin],sales_data_1[Year],2022, sales_data_1[month], $B21, sales_data_1[Sales_Rep], "David", sales_data_1[Product_Category], R$10)</f>
        <v>140733.5993</v>
      </c>
      <c r="Y21" s="24">
        <f t="shared" si="3"/>
        <v>907571.02490000008</v>
      </c>
      <c r="Z21" s="24"/>
      <c r="AA21" s="24">
        <f>SUMIFS(sales_data_1[Profit_Margin],sales_data_1[Year],2022, sales_data_1[month], $B21, sales_data_1[Sales_Rep], "Eve", sales_data_1[Product_Category], U$10)</f>
        <v>10269.535499999991</v>
      </c>
      <c r="AB21" s="24">
        <f>SUMIFS(sales_data_1[Profit_Margin],sales_data_1[Year],2022, sales_data_1[month], $B21, sales_data_1[Sales_Rep], "Eve", sales_data_1[Product_Category], V$10)</f>
        <v>123104.59879999998</v>
      </c>
      <c r="AC21" s="24">
        <f>SUMIFS(sales_data_1[Profit_Margin],sales_data_1[Year],2022, sales_data_1[month], $B21, sales_data_1[Sales_Rep], "Eve", sales_data_1[Product_Category], W$10)</f>
        <v>72735.040800000046</v>
      </c>
      <c r="AD21" s="24">
        <f>SUMIFS(sales_data_1[Profit_Margin],sales_data_1[Year],2022, sales_data_1[month], $B21, sales_data_1[Sales_Rep], "Eve", sales_data_1[Product_Category], R$10)</f>
        <v>35395.939000000006</v>
      </c>
      <c r="AE21" s="24">
        <f t="shared" si="4"/>
        <v>241505.11410000004</v>
      </c>
      <c r="AF21" s="104"/>
      <c r="AG21" s="24">
        <f t="shared" si="5"/>
        <v>2684052.4084999999</v>
      </c>
      <c r="AH21" s="24"/>
    </row>
    <row r="22" spans="1:34" x14ac:dyDescent="0.35">
      <c r="A22" s="4"/>
      <c r="B22" s="5" t="s">
        <v>56</v>
      </c>
      <c r="C22" s="24">
        <f>SUMIFS(sales_data_1[Profit_Margin],sales_data_1[Year],2022, sales_data_1[month], $B22, sales_data_1[Sales_Rep], "Alice", sales_data_1[Product_Category], C$10)</f>
        <v>193408.97560000001</v>
      </c>
      <c r="D22" s="24">
        <f>SUMIFS(sales_data_1[Profit_Margin],sales_data_1[Year],2022, sales_data_1[month], $B22, sales_data_1[Sales_Rep], "Alice", sales_data_1[Product_Category], D$10)</f>
        <v>151519.25259999998</v>
      </c>
      <c r="E22" s="24">
        <f>SUMIFS(sales_data_1[Profit_Margin],sales_data_1[Year],2022, sales_data_1[month], $B22, sales_data_1[Sales_Rep], "Alice", sales_data_1[Product_Category], E$10)</f>
        <v>64098.179600000025</v>
      </c>
      <c r="F22" s="24">
        <f>SUMIFS(sales_data_1[Profit_Margin],sales_data_1[Year],2022, sales_data_1[month], $B22, sales_data_1[Sales_Rep], "Alice", sales_data_1[Product_Category], F$10)</f>
        <v>40383.309299999943</v>
      </c>
      <c r="G22" s="24">
        <f t="shared" si="0"/>
        <v>449409.71710000001</v>
      </c>
      <c r="H22" s="24">
        <f>AVERAGE(G11:G22)</f>
        <v>642517.7156</v>
      </c>
      <c r="I22" s="24">
        <f>SUMIFS(sales_data_1[Profit_Margin],sales_data_1[Year],2022, sales_data_1[month], $B22, sales_data_1[Sales_Rep], "Bob", sales_data_1[Product_Category], I$10)</f>
        <v>240847.95939999999</v>
      </c>
      <c r="J22" s="24">
        <f>SUMIFS(sales_data_1[Profit_Margin],sales_data_1[Year],2022, sales_data_1[month], $B22, sales_data_1[Sales_Rep], "Bob", sales_data_1[Product_Category], J$10)</f>
        <v>133334.36480000001</v>
      </c>
      <c r="K22" s="24">
        <f>SUMIFS(sales_data_1[Profit_Margin],sales_data_1[Year],2022, sales_data_1[month], $B22, sales_data_1[Sales_Rep], "Bob", sales_data_1[Product_Category], K$10)</f>
        <v>215608.74539999996</v>
      </c>
      <c r="L22" s="24">
        <f>SUMIFS(sales_data_1[Profit_Margin],sales_data_1[Year],2022, sales_data_1[month], $B22, sales_data_1[Sales_Rep], "Bob", sales_data_1[Product_Category], L$10)</f>
        <v>95943.251099999979</v>
      </c>
      <c r="M22" s="24">
        <f t="shared" si="1"/>
        <v>685734.32070000004</v>
      </c>
      <c r="N22" s="24">
        <f>AVERAGE(M11:M22)</f>
        <v>493962.29976666655</v>
      </c>
      <c r="O22" s="24">
        <f>SUMIFS(sales_data_1[Profit_Margin],sales_data_1[Year],2022, sales_data_1[month], $B22, sales_data_1[Sales_Rep], "Charlie", sales_data_1[Product_Category], O$10)</f>
        <v>12164.343599999991</v>
      </c>
      <c r="P22" s="24">
        <f>SUMIFS(sales_data_1[Profit_Margin],sales_data_1[Year],2022, sales_data_1[month], $B22, sales_data_1[Sales_Rep], "Charlie", sales_data_1[Product_Category], P$10)</f>
        <v>198447.9498</v>
      </c>
      <c r="Q22" s="24">
        <f>SUMIFS(sales_data_1[Profit_Margin],sales_data_1[Year],2022, sales_data_1[month], $B22, sales_data_1[Sales_Rep], "Charlie", sales_data_1[Product_Category], Q$10)</f>
        <v>70413.828099999984</v>
      </c>
      <c r="R22" s="24">
        <f>SUMIFS(sales_data_1[Profit_Margin],sales_data_1[Year],2022, sales_data_1[month], $B22, sales_data_1[Sales_Rep], "Charlie", sales_data_1[Product_Category], R$10)</f>
        <v>41926.991899999994</v>
      </c>
      <c r="S22" s="24">
        <f t="shared" si="2"/>
        <v>322953.11340000003</v>
      </c>
      <c r="T22" s="24">
        <f>AVERAGE(S11:S22)</f>
        <v>591345.58502499992</v>
      </c>
      <c r="U22" s="24">
        <f>SUMIFS(sales_data_1[Profit_Margin],sales_data_1[Year],2022, sales_data_1[month], $B22, sales_data_1[Sales_Rep], "David", sales_data_1[Product_Category], U$10)</f>
        <v>11987.040000000006</v>
      </c>
      <c r="V22" s="24">
        <f>SUMIFS(sales_data_1[Profit_Margin],sales_data_1[Year],2022, sales_data_1[month], $B22, sales_data_1[Sales_Rep], "David", sales_data_1[Product_Category], V$10)</f>
        <v>102249.6207</v>
      </c>
      <c r="W22" s="24">
        <f>SUMIFS(sales_data_1[Profit_Margin],sales_data_1[Year],2022, sales_data_1[month], $B22, sales_data_1[Sales_Rep], "David", sales_data_1[Product_Category], W$10)</f>
        <v>170860.30589999998</v>
      </c>
      <c r="X22" s="24">
        <f>SUMIFS(sales_data_1[Profit_Margin],sales_data_1[Year],2022, sales_data_1[month], $B22, sales_data_1[Sales_Rep], "David", sales_data_1[Product_Category], R$10)</f>
        <v>42426.962999999974</v>
      </c>
      <c r="Y22" s="24">
        <f t="shared" si="3"/>
        <v>327523.92959999997</v>
      </c>
      <c r="Z22" s="24">
        <f>AVERAGE(Y11:Y22)</f>
        <v>598289.72074166674</v>
      </c>
      <c r="AA22" s="24">
        <f>SUMIFS(sales_data_1[Profit_Margin],sales_data_1[Year],2022, sales_data_1[month], $B22, sales_data_1[Sales_Rep], "Eve", sales_data_1[Product_Category], U$10)</f>
        <v>218733.38209999999</v>
      </c>
      <c r="AB22" s="24">
        <f>SUMIFS(sales_data_1[Profit_Margin],sales_data_1[Year],2022, sales_data_1[month], $B22, sales_data_1[Sales_Rep], "Eve", sales_data_1[Product_Category], V$10)</f>
        <v>8986.0182000000023</v>
      </c>
      <c r="AC22" s="24">
        <f>SUMIFS(sales_data_1[Profit_Margin],sales_data_1[Year],2022, sales_data_1[month], $B22, sales_data_1[Sales_Rep], "Eve", sales_data_1[Product_Category], W$10)</f>
        <v>360585.32759999996</v>
      </c>
      <c r="AD22" s="24">
        <f>SUMIFS(sales_data_1[Profit_Margin],sales_data_1[Year],2022, sales_data_1[month], $B22, sales_data_1[Sales_Rep], "Eve", sales_data_1[Product_Category], R$10)</f>
        <v>49371.2592</v>
      </c>
      <c r="AE22" s="24">
        <f t="shared" si="4"/>
        <v>637675.98709999991</v>
      </c>
      <c r="AF22" s="104">
        <f>AVERAGE(AE11:AE22)</f>
        <v>582774.38470833329</v>
      </c>
      <c r="AG22" s="24">
        <f t="shared" si="5"/>
        <v>2423297.0679000001</v>
      </c>
      <c r="AH22" s="24">
        <f>AVERAGE(AG11:AG22)</f>
        <v>2908889.7058416675</v>
      </c>
    </row>
    <row r="23" spans="1:34" x14ac:dyDescent="0.35">
      <c r="A23" s="17" t="s">
        <v>59</v>
      </c>
      <c r="B23" s="5" t="s">
        <v>45</v>
      </c>
      <c r="C23" s="24">
        <f>SUMIFS(sales_data_1[Profit_Margin],sales_data_1[Year],2023, sales_data_1[month], $B23, sales_data_1[Sales_Rep], "Alice", sales_data_1[Product_Category], C$10)</f>
        <v>22806.605500000005</v>
      </c>
      <c r="D23" s="24">
        <f>SUMIFS(sales_data_1[Profit_Margin],sales_data_1[Year],2023, sales_data_1[month], $B23, sales_data_1[Sales_Rep], "Alice", sales_data_1[Product_Category], D$10)</f>
        <v>2428.5515000000119</v>
      </c>
      <c r="E23" s="24">
        <f>SUMIFS(sales_data_1[Profit_Margin],sales_data_1[Year],2023, sales_data_1[month], $B23, sales_data_1[Sales_Rep], "Alice", sales_data_1[Product_Category], E$10)</f>
        <v>3789.2492000000007</v>
      </c>
      <c r="F23" s="24">
        <f>SUMIFS(sales_data_1[Profit_Margin],sales_data_1[Year],2023, sales_data_1[month], $B23, sales_data_1[Sales_Rep], "Alice", sales_data_1[Product_Category], F$10)</f>
        <v>15085.836800000012</v>
      </c>
      <c r="G23" s="24">
        <f t="shared" si="0"/>
        <v>44110.243000000031</v>
      </c>
      <c r="H23" s="24">
        <f t="shared" ref="H23:H46" si="6">AVERAGE(G12:G23)</f>
        <v>597542.17329166655</v>
      </c>
      <c r="I23" s="24">
        <f>SUMIFS(sales_data_1[Profit_Margin],sales_data_1[Year],2023, sales_data_1[month], $B23, sales_data_1[Sales_Rep], "Bob", sales_data_1[Product_Category], I$10)</f>
        <v>38790.601699999985</v>
      </c>
      <c r="J23" s="24">
        <f>SUMIFS(sales_data_1[Profit_Margin],sales_data_1[Year],2023, sales_data_1[month], $B23, sales_data_1[Sales_Rep], "Bob", sales_data_1[Product_Category], J$10)</f>
        <v>8131.6249999999809</v>
      </c>
      <c r="K23" s="24">
        <f>SUMIFS(sales_data_1[Profit_Margin],sales_data_1[Year],2023, sales_data_1[month], $B23, sales_data_1[Sales_Rep], "Bob", sales_data_1[Product_Category], K$10)</f>
        <v>35937.482399999994</v>
      </c>
      <c r="L23" s="24">
        <f>SUMIFS(sales_data_1[Profit_Margin],sales_data_1[Year],2023, sales_data_1[month], $B23, sales_data_1[Sales_Rep], "Bob", sales_data_1[Product_Category], L$10)</f>
        <v>25877.068700000018</v>
      </c>
      <c r="M23" s="24">
        <f t="shared" si="1"/>
        <v>108736.77779999997</v>
      </c>
      <c r="N23" s="24">
        <f t="shared" ref="N23:N46" si="7">AVERAGE(M12:M23)</f>
        <v>475846.31075833325</v>
      </c>
      <c r="O23" s="24">
        <f>SUMIFS(sales_data_1[Profit_Margin],sales_data_1[Year],2023, sales_data_1[month], $B23, sales_data_1[Sales_Rep], "Charlie", sales_data_1[Product_Category], O$10)</f>
        <v>25342.023399999991</v>
      </c>
      <c r="P23" s="24">
        <f>SUMIFS(sales_data_1[Profit_Margin],sales_data_1[Year],2023, sales_data_1[month], $B23, sales_data_1[Sales_Rep], "Charlie", sales_data_1[Product_Category], P$10)</f>
        <v>41812.273799999995</v>
      </c>
      <c r="Q23" s="24">
        <f>SUMIFS(sales_data_1[Profit_Margin],sales_data_1[Year],2023, sales_data_1[month], $B23, sales_data_1[Sales_Rep], "Charlie", sales_data_1[Product_Category], Q$10)</f>
        <v>19259.171600000016</v>
      </c>
      <c r="R23" s="24">
        <f>SUMIFS(sales_data_1[Profit_Margin],sales_data_1[Year],2023, sales_data_1[month], $B23, sales_data_1[Sales_Rep], "Charlie", sales_data_1[Product_Category], R$10)</f>
        <v>23753.344100000013</v>
      </c>
      <c r="S23" s="24">
        <f t="shared" si="2"/>
        <v>110166.81290000002</v>
      </c>
      <c r="T23" s="24">
        <f t="shared" ref="T23:T46" si="8">AVERAGE(S12:S23)</f>
        <v>518709.01435833325</v>
      </c>
      <c r="U23" s="24">
        <f>SUMIFS(sales_data_1[Profit_Margin],sales_data_1[Year],2023, sales_data_1[month], $B23, sales_data_1[Sales_Rep], "David", sales_data_1[Product_Category], U$10)</f>
        <v>15912.254799999995</v>
      </c>
      <c r="V23" s="24">
        <f>SUMIFS(sales_data_1[Profit_Margin],sales_data_1[Year],2023, sales_data_1[month], $B23, sales_data_1[Sales_Rep], "David", sales_data_1[Product_Category], V$10)</f>
        <v>750.65700000000743</v>
      </c>
      <c r="W23" s="24">
        <f>SUMIFS(sales_data_1[Profit_Margin],sales_data_1[Year],2023, sales_data_1[month], $B23, sales_data_1[Sales_Rep], "David", sales_data_1[Product_Category], W$10)</f>
        <v>8776.624899999988</v>
      </c>
      <c r="X23" s="24">
        <f>SUMIFS(sales_data_1[Profit_Margin],sales_data_1[Year],2023, sales_data_1[month], $B23, sales_data_1[Sales_Rep], "David", sales_data_1[Product_Category], R$10)</f>
        <v>42563.949899999992</v>
      </c>
      <c r="Y23" s="24">
        <f t="shared" si="3"/>
        <v>68003.486599999975</v>
      </c>
      <c r="Z23" s="24">
        <f t="shared" ref="Z23:Z46" si="9">AVERAGE(Y12:Y23)</f>
        <v>546528.11955833342</v>
      </c>
      <c r="AA23" s="24">
        <f>SUMIFS(sales_data_1[Profit_Margin],sales_data_1[Year],2023, sales_data_1[month], $B23, sales_data_1[Sales_Rep], "Eve", sales_data_1[Product_Category], U$10)</f>
        <v>17971.434000000001</v>
      </c>
      <c r="AB23" s="24">
        <f>SUMIFS(sales_data_1[Profit_Margin],sales_data_1[Year],2023, sales_data_1[month], $B23, sales_data_1[Sales_Rep], "Eve", sales_data_1[Product_Category], V$10)</f>
        <v>20709.818999999992</v>
      </c>
      <c r="AC23" s="24">
        <f>SUMIFS(sales_data_1[Profit_Margin],sales_data_1[Year],2023, sales_data_1[month], $B23, sales_data_1[Sales_Rep], "Eve", sales_data_1[Product_Category], W$10)</f>
        <v>32698.278400000003</v>
      </c>
      <c r="AD23" s="24">
        <f>SUMIFS(sales_data_1[Profit_Margin],sales_data_1[Year],2023, sales_data_1[month], $B23, sales_data_1[Sales_Rep], "Eve", sales_data_1[Product_Category], R$10)</f>
        <v>30198.645799999977</v>
      </c>
      <c r="AE23" s="24">
        <f t="shared" si="4"/>
        <v>101578.17719999998</v>
      </c>
      <c r="AF23" s="104">
        <f t="shared" ref="AF23:AF46" si="10">AVERAGE(AE12:AE23)</f>
        <v>562789.17607499997</v>
      </c>
      <c r="AG23" s="24">
        <f t="shared" si="5"/>
        <v>432595.4975</v>
      </c>
      <c r="AH23" s="24">
        <f t="shared" ref="AH23:AH46" si="11">AVERAGE(AG12:AG23)</f>
        <v>2701414.7940416667</v>
      </c>
    </row>
    <row r="24" spans="1:34" x14ac:dyDescent="0.35">
      <c r="A24" s="5"/>
      <c r="B24" s="5" t="s">
        <v>46</v>
      </c>
      <c r="C24" s="24">
        <f>SUMIFS(sales_data_1[Profit_Margin],sales_data_1[Year],2023, sales_data_1[month], $B24, sales_data_1[Sales_Rep], "Alice", sales_data_1[Product_Category], C$10)</f>
        <v>23261.453399999999</v>
      </c>
      <c r="D24" s="24">
        <f>SUMIFS(sales_data_1[Profit_Margin],sales_data_1[Year],2023, sales_data_1[month], $B24, sales_data_1[Sales_Rep], "Alice", sales_data_1[Product_Category], D$10)</f>
        <v>44255.250600000014</v>
      </c>
      <c r="E24" s="24">
        <f>SUMIFS(sales_data_1[Profit_Margin],sales_data_1[Year],2023, sales_data_1[month], $B24, sales_data_1[Sales_Rep], "Alice", sales_data_1[Product_Category], E$10)</f>
        <v>2749.4200000000023</v>
      </c>
      <c r="F24" s="24">
        <f>SUMIFS(sales_data_1[Profit_Margin],sales_data_1[Year],2023, sales_data_1[month], $B24, sales_data_1[Sales_Rep], "Alice", sales_data_1[Product_Category], F$10)</f>
        <v>11991.929199999995</v>
      </c>
      <c r="G24" s="24">
        <f t="shared" si="0"/>
        <v>82258.053200000009</v>
      </c>
      <c r="H24" s="24">
        <f t="shared" si="6"/>
        <v>554991.58030833339</v>
      </c>
      <c r="I24" s="24">
        <f>SUMIFS(sales_data_1[Profit_Margin],sales_data_1[Year],2023, sales_data_1[month], $B24, sales_data_1[Sales_Rep], "Bob", sales_data_1[Product_Category], I$10)</f>
        <v>1434.8199999999988</v>
      </c>
      <c r="J24" s="24">
        <f>SUMIFS(sales_data_1[Profit_Margin],sales_data_1[Year],2023, sales_data_1[month], $B24, sales_data_1[Sales_Rep], "Bob", sales_data_1[Product_Category], J$10)</f>
        <v>11563.642800000001</v>
      </c>
      <c r="K24" s="24">
        <f>SUMIFS(sales_data_1[Profit_Margin],sales_data_1[Year],2023, sales_data_1[month], $B24, sales_data_1[Sales_Rep], "Bob", sales_data_1[Product_Category], K$10)</f>
        <v>7246.2328000000116</v>
      </c>
      <c r="L24" s="24">
        <f>SUMIFS(sales_data_1[Profit_Margin],sales_data_1[Year],2023, sales_data_1[month], $B24, sales_data_1[Sales_Rep], "Bob", sales_data_1[Product_Category], L$10)</f>
        <v>25667.781699999985</v>
      </c>
      <c r="M24" s="24">
        <f t="shared" si="1"/>
        <v>45912.477299999999</v>
      </c>
      <c r="N24" s="24">
        <f t="shared" si="7"/>
        <v>444507.29431666667</v>
      </c>
      <c r="O24" s="24">
        <f>SUMIFS(sales_data_1[Profit_Margin],sales_data_1[Year],2023, sales_data_1[month], $B24, sales_data_1[Sales_Rep], "Charlie", sales_data_1[Product_Category], O$10)</f>
        <v>4001.7524000000008</v>
      </c>
      <c r="P24" s="24">
        <f>SUMIFS(sales_data_1[Profit_Margin],sales_data_1[Year],2023, sales_data_1[month], $B24, sales_data_1[Sales_Rep], "Charlie", sales_data_1[Product_Category], P$10)</f>
        <v>16572.314099999989</v>
      </c>
      <c r="Q24" s="24">
        <f>SUMIFS(sales_data_1[Profit_Margin],sales_data_1[Year],2023, sales_data_1[month], $B24, sales_data_1[Sales_Rep], "Charlie", sales_data_1[Product_Category], Q$10)</f>
        <v>11964.507999999993</v>
      </c>
      <c r="R24" s="24">
        <f>SUMIFS(sales_data_1[Profit_Margin],sales_data_1[Year],2023, sales_data_1[month], $B24, sales_data_1[Sales_Rep], "Charlie", sales_data_1[Product_Category], R$10)</f>
        <v>12944.505500000003</v>
      </c>
      <c r="S24" s="24">
        <f t="shared" si="2"/>
        <v>45483.079999999987</v>
      </c>
      <c r="T24" s="24">
        <f t="shared" si="8"/>
        <v>481235.46307500004</v>
      </c>
      <c r="U24" s="24">
        <f>SUMIFS(sales_data_1[Profit_Margin],sales_data_1[Year],2023, sales_data_1[month], $B24, sales_data_1[Sales_Rep], "David", sales_data_1[Product_Category], U$10)</f>
        <v>24694.3914</v>
      </c>
      <c r="V24" s="24">
        <f>SUMIFS(sales_data_1[Profit_Margin],sales_data_1[Year],2023, sales_data_1[month], $B24, sales_data_1[Sales_Rep], "David", sales_data_1[Product_Category], V$10)</f>
        <v>15863.222999999962</v>
      </c>
      <c r="W24" s="24">
        <f>SUMIFS(sales_data_1[Profit_Margin],sales_data_1[Year],2023, sales_data_1[month], $B24, sales_data_1[Sales_Rep], "David", sales_data_1[Product_Category], W$10)</f>
        <v>30771.974000000006</v>
      </c>
      <c r="X24" s="24">
        <f>SUMIFS(sales_data_1[Profit_Margin],sales_data_1[Year],2023, sales_data_1[month], $B24, sales_data_1[Sales_Rep], "David", sales_data_1[Product_Category], R$10)</f>
        <v>18112.805599999996</v>
      </c>
      <c r="Y24" s="24">
        <f t="shared" si="3"/>
        <v>89442.393999999957</v>
      </c>
      <c r="Z24" s="24">
        <f t="shared" si="9"/>
        <v>477599.71180000011</v>
      </c>
      <c r="AA24" s="24">
        <f>SUMIFS(sales_data_1[Profit_Margin],sales_data_1[Year],2023, sales_data_1[month], $B24, sales_data_1[Sales_Rep], "Eve", sales_data_1[Product_Category], U$10)</f>
        <v>2609.1853999999985</v>
      </c>
      <c r="AB24" s="24">
        <f>SUMIFS(sales_data_1[Profit_Margin],sales_data_1[Year],2023, sales_data_1[month], $B24, sales_data_1[Sales_Rep], "Eve", sales_data_1[Product_Category], V$10)</f>
        <v>7551.5501999999833</v>
      </c>
      <c r="AC24" s="24">
        <f>SUMIFS(sales_data_1[Profit_Margin],sales_data_1[Year],2023, sales_data_1[month], $B24, sales_data_1[Sales_Rep], "Eve", sales_data_1[Product_Category], W$10)</f>
        <v>19039.911899999992</v>
      </c>
      <c r="AD24" s="24">
        <f>SUMIFS(sales_data_1[Profit_Margin],sales_data_1[Year],2023, sales_data_1[month], $B24, sales_data_1[Sales_Rep], "Eve", sales_data_1[Product_Category], R$10)</f>
        <v>39350.642499999987</v>
      </c>
      <c r="AE24" s="24">
        <f t="shared" si="4"/>
        <v>68551.289999999964</v>
      </c>
      <c r="AF24" s="104">
        <f t="shared" si="10"/>
        <v>526078.37982499984</v>
      </c>
      <c r="AG24" s="24">
        <f t="shared" si="5"/>
        <v>331647.29449999996</v>
      </c>
      <c r="AH24" s="24">
        <f t="shared" si="11"/>
        <v>2484412.4293250004</v>
      </c>
    </row>
    <row r="25" spans="1:34" x14ac:dyDescent="0.35">
      <c r="A25" s="5"/>
      <c r="B25" s="5" t="s">
        <v>47</v>
      </c>
      <c r="C25" s="24">
        <f>SUMIFS(sales_data_1[Profit_Margin],sales_data_1[Year],2023, sales_data_1[month], $B25, sales_data_1[Sales_Rep], "Alice", sales_data_1[Product_Category], C$10)</f>
        <v>17594.242399999988</v>
      </c>
      <c r="D25" s="24">
        <f>SUMIFS(sales_data_1[Profit_Margin],sales_data_1[Year],2023, sales_data_1[month], $B25, sales_data_1[Sales_Rep], "Alice", sales_data_1[Product_Category], D$10)</f>
        <v>23382.894200000002</v>
      </c>
      <c r="E25" s="24">
        <f>SUMIFS(sales_data_1[Profit_Margin],sales_data_1[Year],2023, sales_data_1[month], $B25, sales_data_1[Sales_Rep], "Alice", sales_data_1[Product_Category], E$10)</f>
        <v>17640.426799999994</v>
      </c>
      <c r="F25" s="24">
        <f>SUMIFS(sales_data_1[Profit_Margin],sales_data_1[Year],2023, sales_data_1[month], $B25, sales_data_1[Sales_Rep], "Alice", sales_data_1[Product_Category], F$10)</f>
        <v>2625.8511999999996</v>
      </c>
      <c r="G25" s="24">
        <f t="shared" si="0"/>
        <v>61243.414599999982</v>
      </c>
      <c r="H25" s="24">
        <f t="shared" si="6"/>
        <v>499294.23759999993</v>
      </c>
      <c r="I25" s="24">
        <f>SUMIFS(sales_data_1[Profit_Margin],sales_data_1[Year],2023, sales_data_1[month], $B25, sales_data_1[Sales_Rep], "Bob", sales_data_1[Product_Category], I$10)</f>
        <v>8539.0275000000001</v>
      </c>
      <c r="J25" s="24">
        <f>SUMIFS(sales_data_1[Profit_Margin],sales_data_1[Year],2023, sales_data_1[month], $B25, sales_data_1[Sales_Rep], "Bob", sales_data_1[Product_Category], J$10)</f>
        <v>19573.952300000001</v>
      </c>
      <c r="K25" s="24">
        <f>SUMIFS(sales_data_1[Profit_Margin],sales_data_1[Year],2023, sales_data_1[month], $B25, sales_data_1[Sales_Rep], "Bob", sales_data_1[Product_Category], K$10)</f>
        <v>9275.9485999999997</v>
      </c>
      <c r="L25" s="24">
        <f>SUMIFS(sales_data_1[Profit_Margin],sales_data_1[Year],2023, sales_data_1[month], $B25, sales_data_1[Sales_Rep], "Bob", sales_data_1[Product_Category], L$10)</f>
        <v>4412.1772999999966</v>
      </c>
      <c r="M25" s="24">
        <f t="shared" si="1"/>
        <v>41801.1057</v>
      </c>
      <c r="N25" s="24">
        <f t="shared" si="7"/>
        <v>422628.06939999998</v>
      </c>
      <c r="O25" s="24">
        <f>SUMIFS(sales_data_1[Profit_Margin],sales_data_1[Year],2023, sales_data_1[month], $B25, sales_data_1[Sales_Rep], "Charlie", sales_data_1[Product_Category], O$10)</f>
        <v>1400.6663999999937</v>
      </c>
      <c r="P25" s="24">
        <f>SUMIFS(sales_data_1[Profit_Margin],sales_data_1[Year],2023, sales_data_1[month], $B25, sales_data_1[Sales_Rep], "Charlie", sales_data_1[Product_Category], P$10)</f>
        <v>3402.0484000000051</v>
      </c>
      <c r="Q25" s="24">
        <f>SUMIFS(sales_data_1[Profit_Margin],sales_data_1[Year],2023, sales_data_1[month], $B25, sales_data_1[Sales_Rep], "Charlie", sales_data_1[Product_Category], Q$10)</f>
        <v>27190.167000000001</v>
      </c>
      <c r="R25" s="24">
        <f>SUMIFS(sales_data_1[Profit_Margin],sales_data_1[Year],2023, sales_data_1[month], $B25, sales_data_1[Sales_Rep], "Charlie", sales_data_1[Product_Category], R$10)</f>
        <v>307.15520000000106</v>
      </c>
      <c r="S25" s="24">
        <f t="shared" si="2"/>
        <v>32300.037</v>
      </c>
      <c r="T25" s="24">
        <f t="shared" si="8"/>
        <v>432297.43185833329</v>
      </c>
      <c r="U25" s="24">
        <f>SUMIFS(sales_data_1[Profit_Margin],sales_data_1[Year],2023, sales_data_1[month], $B25, sales_data_1[Sales_Rep], "David", sales_data_1[Product_Category], U$10)</f>
        <v>32513.602199999979</v>
      </c>
      <c r="V25" s="24">
        <f>SUMIFS(sales_data_1[Profit_Margin],sales_data_1[Year],2023, sales_data_1[month], $B25, sales_data_1[Sales_Rep], "David", sales_data_1[Product_Category], V$10)</f>
        <v>7312.4231000000163</v>
      </c>
      <c r="W25" s="24">
        <f>SUMIFS(sales_data_1[Profit_Margin],sales_data_1[Year],2023, sales_data_1[month], $B25, sales_data_1[Sales_Rep], "David", sales_data_1[Product_Category], W$10)</f>
        <v>24575.244999999995</v>
      </c>
      <c r="X25" s="24">
        <f>SUMIFS(sales_data_1[Profit_Margin],sales_data_1[Year],2023, sales_data_1[month], $B25, sales_data_1[Sales_Rep], "David", sales_data_1[Product_Category], R$10)</f>
        <v>32395.258399999999</v>
      </c>
      <c r="Y25" s="24">
        <f t="shared" si="3"/>
        <v>96796.528699999995</v>
      </c>
      <c r="Z25" s="24">
        <f t="shared" si="9"/>
        <v>464473.01815000013</v>
      </c>
      <c r="AA25" s="24">
        <f>SUMIFS(sales_data_1[Profit_Margin],sales_data_1[Year],2023, sales_data_1[month], $B25, sales_data_1[Sales_Rep], "Eve", sales_data_1[Product_Category], U$10)</f>
        <v>18951.725199999975</v>
      </c>
      <c r="AB25" s="24">
        <f>SUMIFS(sales_data_1[Profit_Margin],sales_data_1[Year],2023, sales_data_1[month], $B25, sales_data_1[Sales_Rep], "Eve", sales_data_1[Product_Category], V$10)</f>
        <v>26939.857800000009</v>
      </c>
      <c r="AC25" s="24">
        <f>SUMIFS(sales_data_1[Profit_Margin],sales_data_1[Year],2023, sales_data_1[month], $B25, sales_data_1[Sales_Rep], "Eve", sales_data_1[Product_Category], W$10)</f>
        <v>12994.855899999977</v>
      </c>
      <c r="AD25" s="24">
        <f>SUMIFS(sales_data_1[Profit_Margin],sales_data_1[Year],2023, sales_data_1[month], $B25, sales_data_1[Sales_Rep], "Eve", sales_data_1[Product_Category], R$10)</f>
        <v>25022.784799999994</v>
      </c>
      <c r="AE25" s="24">
        <f t="shared" si="4"/>
        <v>83909.223699999959</v>
      </c>
      <c r="AF25" s="104">
        <f t="shared" si="10"/>
        <v>466429.3734499999</v>
      </c>
      <c r="AG25" s="24">
        <f t="shared" si="5"/>
        <v>316050.30969999993</v>
      </c>
      <c r="AH25" s="24">
        <f t="shared" si="11"/>
        <v>2285122.1304583331</v>
      </c>
    </row>
    <row r="26" spans="1:34" x14ac:dyDescent="0.35">
      <c r="A26" s="5"/>
      <c r="B26" s="5" t="s">
        <v>48</v>
      </c>
      <c r="C26" s="24">
        <f>SUMIFS(sales_data_1[Profit_Margin],sales_data_1[Year],2023, sales_data_1[month], $B26, sales_data_1[Sales_Rep], "Alice", sales_data_1[Product_Category], C$10)</f>
        <v>22156.265000000003</v>
      </c>
      <c r="D26" s="24">
        <f>SUMIFS(sales_data_1[Profit_Margin],sales_data_1[Year],2023, sales_data_1[month], $B26, sales_data_1[Sales_Rep], "Alice", sales_data_1[Product_Category], D$10)</f>
        <v>2949.4763000000034</v>
      </c>
      <c r="E26" s="24">
        <f>SUMIFS(sales_data_1[Profit_Margin],sales_data_1[Year],2023, sales_data_1[month], $B26, sales_data_1[Sales_Rep], "Alice", sales_data_1[Product_Category], E$10)</f>
        <v>24143.04310000001</v>
      </c>
      <c r="F26" s="24">
        <f>SUMIFS(sales_data_1[Profit_Margin],sales_data_1[Year],2023, sales_data_1[month], $B26, sales_data_1[Sales_Rep], "Alice", sales_data_1[Product_Category], F$10)</f>
        <v>9924.4698000000062</v>
      </c>
      <c r="G26" s="24">
        <f t="shared" si="0"/>
        <v>59173.254200000025</v>
      </c>
      <c r="H26" s="24">
        <f t="shared" si="6"/>
        <v>451159.70640833332</v>
      </c>
      <c r="I26" s="24">
        <f>SUMIFS(sales_data_1[Profit_Margin],sales_data_1[Year],2023, sales_data_1[month], $B26, sales_data_1[Sales_Rep], "Bob", sales_data_1[Product_Category], I$10)</f>
        <v>4697.0332999999991</v>
      </c>
      <c r="J26" s="24">
        <f>SUMIFS(sales_data_1[Profit_Margin],sales_data_1[Year],2023, sales_data_1[month], $B26, sales_data_1[Sales_Rep], "Bob", sales_data_1[Product_Category], J$10)</f>
        <v>2291.2941999999957</v>
      </c>
      <c r="K26" s="24">
        <f>SUMIFS(sales_data_1[Profit_Margin],sales_data_1[Year],2023, sales_data_1[month], $B26, sales_data_1[Sales_Rep], "Bob", sales_data_1[Product_Category], K$10)</f>
        <v>8406.1519000000153</v>
      </c>
      <c r="L26" s="24">
        <f>SUMIFS(sales_data_1[Profit_Margin],sales_data_1[Year],2023, sales_data_1[month], $B26, sales_data_1[Sales_Rep], "Bob", sales_data_1[Product_Category], L$10)</f>
        <v>8923.8798999999963</v>
      </c>
      <c r="M26" s="24">
        <f t="shared" si="1"/>
        <v>24318.359300000007</v>
      </c>
      <c r="N26" s="24">
        <f t="shared" si="7"/>
        <v>373581.13911666669</v>
      </c>
      <c r="O26" s="24">
        <f>SUMIFS(sales_data_1[Profit_Margin],sales_data_1[Year],2023, sales_data_1[month], $B26, sales_data_1[Sales_Rep], "Charlie", sales_data_1[Product_Category], O$10)</f>
        <v>24986.815599999984</v>
      </c>
      <c r="P26" s="24">
        <f>SUMIFS(sales_data_1[Profit_Margin],sales_data_1[Year],2023, sales_data_1[month], $B26, sales_data_1[Sales_Rep], "Charlie", sales_data_1[Product_Category], P$10)</f>
        <v>41443.399799999977</v>
      </c>
      <c r="Q26" s="24">
        <f>SUMIFS(sales_data_1[Profit_Margin],sales_data_1[Year],2023, sales_data_1[month], $B26, sales_data_1[Sales_Rep], "Charlie", sales_data_1[Product_Category], Q$10)</f>
        <v>6777.4107999999924</v>
      </c>
      <c r="R26" s="24">
        <f>SUMIFS(sales_data_1[Profit_Margin],sales_data_1[Year],2023, sales_data_1[month], $B26, sales_data_1[Sales_Rep], "Charlie", sales_data_1[Product_Category], R$10)</f>
        <v>12880.970199999985</v>
      </c>
      <c r="S26" s="24">
        <f t="shared" si="2"/>
        <v>86088.596399999937</v>
      </c>
      <c r="T26" s="24">
        <f t="shared" si="8"/>
        <v>360449.83526666666</v>
      </c>
      <c r="U26" s="24">
        <f>SUMIFS(sales_data_1[Profit_Margin],sales_data_1[Year],2023, sales_data_1[month], $B26, sales_data_1[Sales_Rep], "David", sales_data_1[Product_Category], U$10)</f>
        <v>2338.7685999999981</v>
      </c>
      <c r="V26" s="24">
        <f>SUMIFS(sales_data_1[Profit_Margin],sales_data_1[Year],2023, sales_data_1[month], $B26, sales_data_1[Sales_Rep], "David", sales_data_1[Product_Category], V$10)</f>
        <v>17167.209400000003</v>
      </c>
      <c r="W26" s="24">
        <f>SUMIFS(sales_data_1[Profit_Margin],sales_data_1[Year],2023, sales_data_1[month], $B26, sales_data_1[Sales_Rep], "David", sales_data_1[Product_Category], W$10)</f>
        <v>4710.1176000000032</v>
      </c>
      <c r="X26" s="24">
        <f>SUMIFS(sales_data_1[Profit_Margin],sales_data_1[Year],2023, sales_data_1[month], $B26, sales_data_1[Sales_Rep], "David", sales_data_1[Product_Category], R$10)</f>
        <v>37858.065200000012</v>
      </c>
      <c r="Y26" s="24">
        <f t="shared" si="3"/>
        <v>62074.16080000002</v>
      </c>
      <c r="Z26" s="24">
        <f t="shared" si="9"/>
        <v>410338.59787500015</v>
      </c>
      <c r="AA26" s="24">
        <f>SUMIFS(sales_data_1[Profit_Margin],sales_data_1[Year],2023, sales_data_1[month], $B26, sales_data_1[Sales_Rep], "Eve", sales_data_1[Product_Category], U$10)</f>
        <v>24931.608699999997</v>
      </c>
      <c r="AB26" s="24">
        <f>SUMIFS(sales_data_1[Profit_Margin],sales_data_1[Year],2023, sales_data_1[month], $B26, sales_data_1[Sales_Rep], "Eve", sales_data_1[Product_Category], V$10)</f>
        <v>26710.919799999985</v>
      </c>
      <c r="AC26" s="24">
        <f>SUMIFS(sales_data_1[Profit_Margin],sales_data_1[Year],2023, sales_data_1[month], $B26, sales_data_1[Sales_Rep], "Eve", sales_data_1[Product_Category], W$10)</f>
        <v>3616.4399999999987</v>
      </c>
      <c r="AD26" s="24">
        <f>SUMIFS(sales_data_1[Profit_Margin],sales_data_1[Year],2023, sales_data_1[month], $B26, sales_data_1[Sales_Rep], "Eve", sales_data_1[Product_Category], R$10)</f>
        <v>21006.860600000004</v>
      </c>
      <c r="AE26" s="24">
        <f t="shared" si="4"/>
        <v>76265.829099999988</v>
      </c>
      <c r="AF26" s="104">
        <f t="shared" si="10"/>
        <v>427859.82158333325</v>
      </c>
      <c r="AG26" s="24">
        <f t="shared" si="5"/>
        <v>307920.19979999994</v>
      </c>
      <c r="AH26" s="24">
        <f t="shared" si="11"/>
        <v>2023389.1002500001</v>
      </c>
    </row>
    <row r="27" spans="1:34" x14ac:dyDescent="0.35">
      <c r="A27" s="5"/>
      <c r="B27" s="5" t="s">
        <v>49</v>
      </c>
      <c r="C27" s="24">
        <f>SUMIFS(sales_data_1[Profit_Margin],sales_data_1[Year],2023, sales_data_1[month], $B27, sales_data_1[Sales_Rep], "Alice", sales_data_1[Product_Category], C$10)</f>
        <v>5346.4101999999975</v>
      </c>
      <c r="D27" s="24">
        <f>SUMIFS(sales_data_1[Profit_Margin],sales_data_1[Year],2023, sales_data_1[month], $B27, sales_data_1[Sales_Rep], "Alice", sales_data_1[Product_Category], D$10)</f>
        <v>7744.4609999999848</v>
      </c>
      <c r="E27" s="24">
        <f>SUMIFS(sales_data_1[Profit_Margin],sales_data_1[Year],2023, sales_data_1[month], $B27, sales_data_1[Sales_Rep], "Alice", sales_data_1[Product_Category], E$10)</f>
        <v>36217.904999999999</v>
      </c>
      <c r="F27" s="24">
        <f>SUMIFS(sales_data_1[Profit_Margin],sales_data_1[Year],2023, sales_data_1[month], $B27, sales_data_1[Sales_Rep], "Alice", sales_data_1[Product_Category], F$10)</f>
        <v>14220.424499999981</v>
      </c>
      <c r="G27" s="24">
        <f t="shared" si="0"/>
        <v>63529.200699999958</v>
      </c>
      <c r="H27" s="24">
        <f t="shared" si="6"/>
        <v>418262.3373833333</v>
      </c>
      <c r="I27" s="24">
        <f>SUMIFS(sales_data_1[Profit_Margin],sales_data_1[Year],2023, sales_data_1[month], $B27, sales_data_1[Sales_Rep], "Bob", sales_data_1[Product_Category], I$10)</f>
        <v>8127.8086000000158</v>
      </c>
      <c r="J27" s="24">
        <f>SUMIFS(sales_data_1[Profit_Margin],sales_data_1[Year],2023, sales_data_1[month], $B27, sales_data_1[Sales_Rep], "Bob", sales_data_1[Product_Category], J$10)</f>
        <v>1697.3172000000034</v>
      </c>
      <c r="K27" s="24">
        <f>SUMIFS(sales_data_1[Profit_Margin],sales_data_1[Year],2023, sales_data_1[month], $B27, sales_data_1[Sales_Rep], "Bob", sales_data_1[Product_Category], K$10)</f>
        <v>28825.978699999971</v>
      </c>
      <c r="L27" s="24">
        <f>SUMIFS(sales_data_1[Profit_Margin],sales_data_1[Year],2023, sales_data_1[month], $B27, sales_data_1[Sales_Rep], "Bob", sales_data_1[Product_Category], L$10)</f>
        <v>29181.540199999999</v>
      </c>
      <c r="M27" s="24">
        <f t="shared" si="1"/>
        <v>67832.64469999999</v>
      </c>
      <c r="N27" s="24">
        <f t="shared" si="7"/>
        <v>342036.19667499996</v>
      </c>
      <c r="O27" s="24">
        <f>SUMIFS(sales_data_1[Profit_Margin],sales_data_1[Year],2023, sales_data_1[month], $B27, sales_data_1[Sales_Rep], "Charlie", sales_data_1[Product_Category], O$10)</f>
        <v>13734.512400000007</v>
      </c>
      <c r="P27" s="24">
        <f>SUMIFS(sales_data_1[Profit_Margin],sales_data_1[Year],2023, sales_data_1[month], $B27, sales_data_1[Sales_Rep], "Charlie", sales_data_1[Product_Category], P$10)</f>
        <v>26056.275799999989</v>
      </c>
      <c r="Q27" s="24">
        <f>SUMIFS(sales_data_1[Profit_Margin],sales_data_1[Year],2023, sales_data_1[month], $B27, sales_data_1[Sales_Rep], "Charlie", sales_data_1[Product_Category], Q$10)</f>
        <v>2870.3104000000021</v>
      </c>
      <c r="R27" s="24">
        <f>SUMIFS(sales_data_1[Profit_Margin],sales_data_1[Year],2023, sales_data_1[month], $B27, sales_data_1[Sales_Rep], "Charlie", sales_data_1[Product_Category], R$10)</f>
        <v>7764.4932000000035</v>
      </c>
      <c r="S27" s="24">
        <f t="shared" si="2"/>
        <v>50425.591800000002</v>
      </c>
      <c r="T27" s="24">
        <f t="shared" si="8"/>
        <v>292232.04041666671</v>
      </c>
      <c r="U27" s="24">
        <f>SUMIFS(sales_data_1[Profit_Margin],sales_data_1[Year],2023, sales_data_1[month], $B27, sales_data_1[Sales_Rep], "David", sales_data_1[Product_Category], U$10)</f>
        <v>9507.6751999999924</v>
      </c>
      <c r="V27" s="24">
        <f>SUMIFS(sales_data_1[Profit_Margin],sales_data_1[Year],2023, sales_data_1[month], $B27, sales_data_1[Sales_Rep], "David", sales_data_1[Product_Category], V$10)</f>
        <v>22012.3959</v>
      </c>
      <c r="W27" s="24">
        <f>SUMIFS(sales_data_1[Profit_Margin],sales_data_1[Year],2023, sales_data_1[month], $B27, sales_data_1[Sales_Rep], "David", sales_data_1[Product_Category], W$10)</f>
        <v>14154.365099999981</v>
      </c>
      <c r="X27" s="24">
        <f>SUMIFS(sales_data_1[Profit_Margin],sales_data_1[Year],2023, sales_data_1[month], $B27, sales_data_1[Sales_Rep], "David", sales_data_1[Product_Category], R$10)</f>
        <v>29640.644200000002</v>
      </c>
      <c r="Y27" s="24">
        <f t="shared" si="3"/>
        <v>75315.080399999977</v>
      </c>
      <c r="Z27" s="24">
        <f t="shared" si="9"/>
        <v>356305.41202500003</v>
      </c>
      <c r="AA27" s="24">
        <f>SUMIFS(sales_data_1[Profit_Margin],sales_data_1[Year],2023, sales_data_1[month], $B27, sales_data_1[Sales_Rep], "Eve", sales_data_1[Product_Category], U$10)</f>
        <v>17137.855200000002</v>
      </c>
      <c r="AB27" s="24">
        <f>SUMIFS(sales_data_1[Profit_Margin],sales_data_1[Year],2023, sales_data_1[month], $B27, sales_data_1[Sales_Rep], "Eve", sales_data_1[Product_Category], V$10)</f>
        <v>12970.575999999992</v>
      </c>
      <c r="AC27" s="24">
        <f>SUMIFS(sales_data_1[Profit_Margin],sales_data_1[Year],2023, sales_data_1[month], $B27, sales_data_1[Sales_Rep], "Eve", sales_data_1[Product_Category], W$10)</f>
        <v>1055.430999999995</v>
      </c>
      <c r="AD27" s="24">
        <f>SUMIFS(sales_data_1[Profit_Margin],sales_data_1[Year],2023, sales_data_1[month], $B27, sales_data_1[Sales_Rep], "Eve", sales_data_1[Product_Category], R$10)</f>
        <v>26538.011600000005</v>
      </c>
      <c r="AE27" s="24">
        <f t="shared" si="4"/>
        <v>57701.873799999994</v>
      </c>
      <c r="AF27" s="104">
        <f t="shared" si="10"/>
        <v>383473.93762499996</v>
      </c>
      <c r="AG27" s="24">
        <f t="shared" si="5"/>
        <v>314804.39139999991</v>
      </c>
      <c r="AH27" s="24">
        <f t="shared" si="11"/>
        <v>1792309.9241249999</v>
      </c>
    </row>
    <row r="28" spans="1:34" x14ac:dyDescent="0.35">
      <c r="A28" s="5"/>
      <c r="B28" s="5" t="s">
        <v>50</v>
      </c>
      <c r="C28" s="24">
        <f>SUMIFS(sales_data_1[Profit_Margin],sales_data_1[Year],2023, sales_data_1[month], $B28, sales_data_1[Sales_Rep], "Alice", sales_data_1[Product_Category], C$10)</f>
        <v>30571.68450000001</v>
      </c>
      <c r="D28" s="24">
        <f>SUMIFS(sales_data_1[Profit_Margin],sales_data_1[Year],2023, sales_data_1[month], $B28, sales_data_1[Sales_Rep], "Alice", sales_data_1[Product_Category], D$10)</f>
        <v>5428.5651999999891</v>
      </c>
      <c r="E28" s="24">
        <f>SUMIFS(sales_data_1[Profit_Margin],sales_data_1[Year],2023, sales_data_1[month], $B28, sales_data_1[Sales_Rep], "Alice", sales_data_1[Product_Category], E$10)</f>
        <v>15394.447999999989</v>
      </c>
      <c r="F28" s="24">
        <f>SUMIFS(sales_data_1[Profit_Margin],sales_data_1[Year],2023, sales_data_1[month], $B28, sales_data_1[Sales_Rep], "Alice", sales_data_1[Product_Category], F$10)</f>
        <v>9597.0078000000012</v>
      </c>
      <c r="G28" s="24">
        <f t="shared" si="0"/>
        <v>60991.705499999989</v>
      </c>
      <c r="H28" s="24">
        <f t="shared" si="6"/>
        <v>326799.66083333333</v>
      </c>
      <c r="I28" s="24">
        <f>SUMIFS(sales_data_1[Profit_Margin],sales_data_1[Year],2023, sales_data_1[month], $B28, sales_data_1[Sales_Rep], "Bob", sales_data_1[Product_Category], I$10)</f>
        <v>5700.0496000000012</v>
      </c>
      <c r="J28" s="24">
        <f>SUMIFS(sales_data_1[Profit_Margin],sales_data_1[Year],2023, sales_data_1[month], $B28, sales_data_1[Sales_Rep], "Bob", sales_data_1[Product_Category], J$10)</f>
        <v>18377.884899999975</v>
      </c>
      <c r="K28" s="24">
        <f>SUMIFS(sales_data_1[Profit_Margin],sales_data_1[Year],2023, sales_data_1[month], $B28, sales_data_1[Sales_Rep], "Bob", sales_data_1[Product_Category], K$10)</f>
        <v>14007.881000000001</v>
      </c>
      <c r="L28" s="24">
        <f>SUMIFS(sales_data_1[Profit_Margin],sales_data_1[Year],2023, sales_data_1[month], $B28, sales_data_1[Sales_Rep], "Bob", sales_data_1[Product_Category], L$10)</f>
        <v>38656.936499999967</v>
      </c>
      <c r="M28" s="24">
        <f t="shared" si="1"/>
        <v>76742.751999999949</v>
      </c>
      <c r="N28" s="24">
        <f t="shared" si="7"/>
        <v>293366.98354999995</v>
      </c>
      <c r="O28" s="24">
        <f>SUMIFS(sales_data_1[Profit_Margin],sales_data_1[Year],2023, sales_data_1[month], $B28, sales_data_1[Sales_Rep], "Charlie", sales_data_1[Product_Category], O$10)</f>
        <v>12789.059699999989</v>
      </c>
      <c r="P28" s="24">
        <f>SUMIFS(sales_data_1[Profit_Margin],sales_data_1[Year],2023, sales_data_1[month], $B28, sales_data_1[Sales_Rep], "Charlie", sales_data_1[Product_Category], P$10)</f>
        <v>5293.1336999999967</v>
      </c>
      <c r="Q28" s="24">
        <f>SUMIFS(sales_data_1[Profit_Margin],sales_data_1[Year],2023, sales_data_1[month], $B28, sales_data_1[Sales_Rep], "Charlie", sales_data_1[Product_Category], Q$10)</f>
        <v>8137.6550000000034</v>
      </c>
      <c r="R28" s="24">
        <f>SUMIFS(sales_data_1[Profit_Margin],sales_data_1[Year],2023, sales_data_1[month], $B28, sales_data_1[Sales_Rep], "Charlie", sales_data_1[Product_Category], R$10)</f>
        <v>20882.879199999981</v>
      </c>
      <c r="S28" s="24">
        <f t="shared" si="2"/>
        <v>47102.727599999969</v>
      </c>
      <c r="T28" s="24">
        <f t="shared" si="8"/>
        <v>254751.48037500004</v>
      </c>
      <c r="U28" s="24">
        <f>SUMIFS(sales_data_1[Profit_Margin],sales_data_1[Year],2023, sales_data_1[month], $B28, sales_data_1[Sales_Rep], "David", sales_data_1[Product_Category], U$10)</f>
        <v>31164.440300000002</v>
      </c>
      <c r="V28" s="24">
        <f>SUMIFS(sales_data_1[Profit_Margin],sales_data_1[Year],2023, sales_data_1[month], $B28, sales_data_1[Sales_Rep], "David", sales_data_1[Product_Category], V$10)</f>
        <v>14899.479500000025</v>
      </c>
      <c r="W28" s="24">
        <f>SUMIFS(sales_data_1[Profit_Margin],sales_data_1[Year],2023, sales_data_1[month], $B28, sales_data_1[Sales_Rep], "David", sales_data_1[Product_Category], W$10)</f>
        <v>432.83039999999892</v>
      </c>
      <c r="X28" s="24">
        <f>SUMIFS(sales_data_1[Profit_Margin],sales_data_1[Year],2023, sales_data_1[month], $B28, sales_data_1[Sales_Rep], "David", sales_data_1[Product_Category], R$10)</f>
        <v>23908.052600000006</v>
      </c>
      <c r="Y28" s="24">
        <f t="shared" si="3"/>
        <v>70404.802800000034</v>
      </c>
      <c r="Z28" s="24">
        <f t="shared" si="9"/>
        <v>335011.1133416667</v>
      </c>
      <c r="AA28" s="24">
        <f>SUMIFS(sales_data_1[Profit_Margin],sales_data_1[Year],2023, sales_data_1[month], $B28, sales_data_1[Sales_Rep], "Eve", sales_data_1[Product_Category], U$10)</f>
        <v>23765.709200000001</v>
      </c>
      <c r="AB28" s="24">
        <f>SUMIFS(sales_data_1[Profit_Margin],sales_data_1[Year],2023, sales_data_1[month], $B28, sales_data_1[Sales_Rep], "Eve", sales_data_1[Product_Category], V$10)</f>
        <v>13742.038399999972</v>
      </c>
      <c r="AC28" s="24">
        <f>SUMIFS(sales_data_1[Profit_Margin],sales_data_1[Year],2023, sales_data_1[month], $B28, sales_data_1[Sales_Rep], "Eve", sales_data_1[Product_Category], W$10)</f>
        <v>29292.073799999966</v>
      </c>
      <c r="AD28" s="24">
        <f>SUMIFS(sales_data_1[Profit_Margin],sales_data_1[Year],2023, sales_data_1[month], $B28, sales_data_1[Sales_Rep], "Eve", sales_data_1[Product_Category], R$10)</f>
        <v>45882.895700000001</v>
      </c>
      <c r="AE28" s="24">
        <f t="shared" si="4"/>
        <v>112682.71709999995</v>
      </c>
      <c r="AF28" s="104">
        <f t="shared" si="10"/>
        <v>345891.39634166664</v>
      </c>
      <c r="AG28" s="24">
        <f t="shared" si="5"/>
        <v>367924.70499999984</v>
      </c>
      <c r="AH28" s="24">
        <f t="shared" si="11"/>
        <v>1555820.6344416665</v>
      </c>
    </row>
    <row r="29" spans="1:34" x14ac:dyDescent="0.35">
      <c r="A29" s="5"/>
      <c r="B29" s="5" t="s">
        <v>51</v>
      </c>
      <c r="C29" s="24">
        <f>SUMIFS(sales_data_1[Profit_Margin],sales_data_1[Year],2023, sales_data_1[month], $B29, sales_data_1[Sales_Rep], "Alice", sales_data_1[Product_Category], C$10)</f>
        <v>21601.724399999985</v>
      </c>
      <c r="D29" s="24">
        <f>SUMIFS(sales_data_1[Profit_Margin],sales_data_1[Year],2023, sales_data_1[month], $B29, sales_data_1[Sales_Rep], "Alice", sales_data_1[Product_Category], D$10)</f>
        <v>14804.387800000008</v>
      </c>
      <c r="E29" s="24">
        <f>SUMIFS(sales_data_1[Profit_Margin],sales_data_1[Year],2023, sales_data_1[month], $B29, sales_data_1[Sales_Rep], "Alice", sales_data_1[Product_Category], E$10)</f>
        <v>17653.483600000007</v>
      </c>
      <c r="F29" s="24">
        <f>SUMIFS(sales_data_1[Profit_Margin],sales_data_1[Year],2023, sales_data_1[month], $B29, sales_data_1[Sales_Rep], "Alice", sales_data_1[Product_Category], F$10)</f>
        <v>11249.220399999993</v>
      </c>
      <c r="G29" s="24">
        <f t="shared" si="0"/>
        <v>65308.816199999987</v>
      </c>
      <c r="H29" s="24">
        <f t="shared" si="6"/>
        <v>275755.79772500001</v>
      </c>
      <c r="I29" s="24">
        <f>SUMIFS(sales_data_1[Profit_Margin],sales_data_1[Year],2023, sales_data_1[month], $B29, sales_data_1[Sales_Rep], "Bob", sales_data_1[Product_Category], I$10)</f>
        <v>4188.982200000014</v>
      </c>
      <c r="J29" s="24">
        <f>SUMIFS(sales_data_1[Profit_Margin],sales_data_1[Year],2023, sales_data_1[month], $B29, sales_data_1[Sales_Rep], "Bob", sales_data_1[Product_Category], J$10)</f>
        <v>6427.5200000000041</v>
      </c>
      <c r="K29" s="24">
        <f>SUMIFS(sales_data_1[Profit_Margin],sales_data_1[Year],2023, sales_data_1[month], $B29, sales_data_1[Sales_Rep], "Bob", sales_data_1[Product_Category], K$10)</f>
        <v>2876.3179999999948</v>
      </c>
      <c r="L29" s="24">
        <f>SUMIFS(sales_data_1[Profit_Margin],sales_data_1[Year],2023, sales_data_1[month], $B29, sales_data_1[Sales_Rep], "Bob", sales_data_1[Product_Category], L$10)</f>
        <v>12407.010199999973</v>
      </c>
      <c r="M29" s="24">
        <f t="shared" si="1"/>
        <v>25899.830399999984</v>
      </c>
      <c r="N29" s="24">
        <f t="shared" si="7"/>
        <v>257994.23341666663</v>
      </c>
      <c r="O29" s="24">
        <f>SUMIFS(sales_data_1[Profit_Margin],sales_data_1[Year],2023, sales_data_1[month], $B29, sales_data_1[Sales_Rep], "Charlie", sales_data_1[Product_Category], O$10)</f>
        <v>3923.8839000000007</v>
      </c>
      <c r="P29" s="24">
        <f>SUMIFS(sales_data_1[Profit_Margin],sales_data_1[Year],2023, sales_data_1[month], $B29, sales_data_1[Sales_Rep], "Charlie", sales_data_1[Product_Category], P$10)</f>
        <v>19087.39380000002</v>
      </c>
      <c r="Q29" s="24">
        <f>SUMIFS(sales_data_1[Profit_Margin],sales_data_1[Year],2023, sales_data_1[month], $B29, sales_data_1[Sales_Rep], "Charlie", sales_data_1[Product_Category], Q$10)</f>
        <v>5126.8308000000106</v>
      </c>
      <c r="R29" s="24">
        <f>SUMIFS(sales_data_1[Profit_Margin],sales_data_1[Year],2023, sales_data_1[month], $B29, sales_data_1[Sales_Rep], "Charlie", sales_data_1[Product_Category], R$10)</f>
        <v>13098.407499999998</v>
      </c>
      <c r="S29" s="24">
        <f t="shared" si="2"/>
        <v>41236.516000000032</v>
      </c>
      <c r="T29" s="24">
        <f t="shared" si="8"/>
        <v>213212.25821666667</v>
      </c>
      <c r="U29" s="24">
        <f>SUMIFS(sales_data_1[Profit_Margin],sales_data_1[Year],2023, sales_data_1[month], $B29, sales_data_1[Sales_Rep], "David", sales_data_1[Product_Category], U$10)</f>
        <v>12929.311399999991</v>
      </c>
      <c r="V29" s="24">
        <f>SUMIFS(sales_data_1[Profit_Margin],sales_data_1[Year],2023, sales_data_1[month], $B29, sales_data_1[Sales_Rep], "David", sales_data_1[Product_Category], V$10)</f>
        <v>12598.549200000007</v>
      </c>
      <c r="W29" s="24">
        <f>SUMIFS(sales_data_1[Profit_Margin],sales_data_1[Year],2023, sales_data_1[month], $B29, sales_data_1[Sales_Rep], "David", sales_data_1[Product_Category], W$10)</f>
        <v>9405.1322999999993</v>
      </c>
      <c r="X29" s="24">
        <f>SUMIFS(sales_data_1[Profit_Margin],sales_data_1[Year],2023, sales_data_1[month], $B29, sales_data_1[Sales_Rep], "David", sales_data_1[Product_Category], R$10)</f>
        <v>2823.8519999999889</v>
      </c>
      <c r="Y29" s="24">
        <f t="shared" si="3"/>
        <v>37756.844899999989</v>
      </c>
      <c r="Z29" s="24">
        <f t="shared" si="9"/>
        <v>306326.89295000007</v>
      </c>
      <c r="AA29" s="24">
        <f>SUMIFS(sales_data_1[Profit_Margin],sales_data_1[Year],2023, sales_data_1[month], $B29, sales_data_1[Sales_Rep], "Eve", sales_data_1[Product_Category], U$10)</f>
        <v>9474.3978000000006</v>
      </c>
      <c r="AB29" s="24">
        <f>SUMIFS(sales_data_1[Profit_Margin],sales_data_1[Year],2023, sales_data_1[month], $B29, sales_data_1[Sales_Rep], "Eve", sales_data_1[Product_Category], V$10)</f>
        <v>33370.622399999993</v>
      </c>
      <c r="AC29" s="24">
        <f>SUMIFS(sales_data_1[Profit_Margin],sales_data_1[Year],2023, sales_data_1[month], $B29, sales_data_1[Sales_Rep], "Eve", sales_data_1[Product_Category], W$10)</f>
        <v>9352.3122999999996</v>
      </c>
      <c r="AD29" s="24">
        <f>SUMIFS(sales_data_1[Profit_Margin],sales_data_1[Year],2023, sales_data_1[month], $B29, sales_data_1[Sales_Rep], "Eve", sales_data_1[Product_Category], R$10)</f>
        <v>17577.923399999963</v>
      </c>
      <c r="AE29" s="24">
        <f t="shared" si="4"/>
        <v>69775.25589999996</v>
      </c>
      <c r="AF29" s="104">
        <f t="shared" si="10"/>
        <v>277904.94511666667</v>
      </c>
      <c r="AG29" s="24">
        <f t="shared" si="5"/>
        <v>239977.26339999997</v>
      </c>
      <c r="AH29" s="24">
        <f t="shared" si="11"/>
        <v>1331194.1274249998</v>
      </c>
    </row>
    <row r="30" spans="1:34" x14ac:dyDescent="0.35">
      <c r="A30" s="5"/>
      <c r="B30" s="5" t="s">
        <v>52</v>
      </c>
      <c r="C30" s="24">
        <f>SUMIFS(sales_data_1[Profit_Margin],sales_data_1[Year],2023, sales_data_1[month], $B30, sales_data_1[Sales_Rep], "Alice", sales_data_1[Product_Category], C$10)</f>
        <v>18319.32829999995</v>
      </c>
      <c r="D30" s="24">
        <f>SUMIFS(sales_data_1[Profit_Margin],sales_data_1[Year],2023, sales_data_1[month], $B30, sales_data_1[Sales_Rep], "Alice", sales_data_1[Product_Category], D$10)</f>
        <v>10824.537999999997</v>
      </c>
      <c r="E30" s="24">
        <f>SUMIFS(sales_data_1[Profit_Margin],sales_data_1[Year],2023, sales_data_1[month], $B30, sales_data_1[Sales_Rep], "Alice", sales_data_1[Product_Category], E$10)</f>
        <v>35448.114999999991</v>
      </c>
      <c r="F30" s="24">
        <f>SUMIFS(sales_data_1[Profit_Margin],sales_data_1[Year],2023, sales_data_1[month], $B30, sales_data_1[Sales_Rep], "Alice", sales_data_1[Product_Category], F$10)</f>
        <v>17591.862300000008</v>
      </c>
      <c r="G30" s="24">
        <f t="shared" si="0"/>
        <v>82183.843599999949</v>
      </c>
      <c r="H30" s="24">
        <f t="shared" si="6"/>
        <v>235403.4589083333</v>
      </c>
      <c r="I30" s="24">
        <f>SUMIFS(sales_data_1[Profit_Margin],sales_data_1[Year],2023, sales_data_1[month], $B30, sales_data_1[Sales_Rep], "Bob", sales_data_1[Product_Category], I$10)</f>
        <v>35956.931500000013</v>
      </c>
      <c r="J30" s="24">
        <f>SUMIFS(sales_data_1[Profit_Margin],sales_data_1[Year],2023, sales_data_1[month], $B30, sales_data_1[Sales_Rep], "Bob", sales_data_1[Product_Category], J$10)</f>
        <v>11133.600000000002</v>
      </c>
      <c r="K30" s="24">
        <f>SUMIFS(sales_data_1[Profit_Margin],sales_data_1[Year],2023, sales_data_1[month], $B30, sales_data_1[Sales_Rep], "Bob", sales_data_1[Product_Category], K$10)</f>
        <v>20606.960900000005</v>
      </c>
      <c r="L30" s="24">
        <f>SUMIFS(sales_data_1[Profit_Margin],sales_data_1[Year],2023, sales_data_1[month], $B30, sales_data_1[Sales_Rep], "Bob", sales_data_1[Product_Category], L$10)</f>
        <v>3521.9511999999936</v>
      </c>
      <c r="M30" s="24">
        <f t="shared" si="1"/>
        <v>71219.443600000013</v>
      </c>
      <c r="N30" s="24">
        <f t="shared" si="7"/>
        <v>228582.4445333333</v>
      </c>
      <c r="O30" s="24">
        <f>SUMIFS(sales_data_1[Profit_Margin],sales_data_1[Year],2023, sales_data_1[month], $B30, sales_data_1[Sales_Rep], "Charlie", sales_data_1[Product_Category], O$10)</f>
        <v>14873.535400000008</v>
      </c>
      <c r="P30" s="24">
        <f>SUMIFS(sales_data_1[Profit_Margin],sales_data_1[Year],2023, sales_data_1[month], $B30, sales_data_1[Sales_Rep], "Charlie", sales_data_1[Product_Category], P$10)</f>
        <v>842.00409999999556</v>
      </c>
      <c r="Q30" s="24">
        <f>SUMIFS(sales_data_1[Profit_Margin],sales_data_1[Year],2023, sales_data_1[month], $B30, sales_data_1[Sales_Rep], "Charlie", sales_data_1[Product_Category], Q$10)</f>
        <v>15730.219399999991</v>
      </c>
      <c r="R30" s="24">
        <f>SUMIFS(sales_data_1[Profit_Margin],sales_data_1[Year],2023, sales_data_1[month], $B30, sales_data_1[Sales_Rep], "Charlie", sales_data_1[Product_Category], R$10)</f>
        <v>6997.3900000000012</v>
      </c>
      <c r="S30" s="24">
        <f t="shared" si="2"/>
        <v>38443.148899999993</v>
      </c>
      <c r="T30" s="24">
        <f t="shared" si="8"/>
        <v>175613.99222500002</v>
      </c>
      <c r="U30" s="24">
        <f>SUMIFS(sales_data_1[Profit_Margin],sales_data_1[Year],2023, sales_data_1[month], $B30, sales_data_1[Sales_Rep], "David", sales_data_1[Product_Category], U$10)</f>
        <v>17690.642400000015</v>
      </c>
      <c r="V30" s="24">
        <f>SUMIFS(sales_data_1[Profit_Margin],sales_data_1[Year],2023, sales_data_1[month], $B30, sales_data_1[Sales_Rep], "David", sales_data_1[Product_Category], V$10)</f>
        <v>30468.629199999996</v>
      </c>
      <c r="W30" s="24">
        <f>SUMIFS(sales_data_1[Profit_Margin],sales_data_1[Year],2023, sales_data_1[month], $B30, sales_data_1[Sales_Rep], "David", sales_data_1[Product_Category], W$10)</f>
        <v>12912.156700000009</v>
      </c>
      <c r="X30" s="24">
        <f>SUMIFS(sales_data_1[Profit_Margin],sales_data_1[Year],2023, sales_data_1[month], $B30, sales_data_1[Sales_Rep], "David", sales_data_1[Product_Category], R$10)</f>
        <v>23191.7114</v>
      </c>
      <c r="Y30" s="24">
        <f t="shared" si="3"/>
        <v>84263.139700000014</v>
      </c>
      <c r="Z30" s="24">
        <f t="shared" si="9"/>
        <v>241457.57531666671</v>
      </c>
      <c r="AA30" s="24">
        <f>SUMIFS(sales_data_1[Profit_Margin],sales_data_1[Year],2023, sales_data_1[month], $B30, sales_data_1[Sales_Rep], "Eve", sales_data_1[Product_Category], U$10)</f>
        <v>36139.463800000034</v>
      </c>
      <c r="AB30" s="24">
        <f>SUMIFS(sales_data_1[Profit_Margin],sales_data_1[Year],2023, sales_data_1[month], $B30, sales_data_1[Sales_Rep], "Eve", sales_data_1[Product_Category], V$10)</f>
        <v>0</v>
      </c>
      <c r="AC30" s="24">
        <f>SUMIFS(sales_data_1[Profit_Margin],sales_data_1[Year],2023, sales_data_1[month], $B30, sales_data_1[Sales_Rep], "Eve", sales_data_1[Product_Category], W$10)</f>
        <v>10733.283200000005</v>
      </c>
      <c r="AD30" s="24">
        <f>SUMIFS(sales_data_1[Profit_Margin],sales_data_1[Year],2023, sales_data_1[month], $B30, sales_data_1[Sales_Rep], "Eve", sales_data_1[Product_Category], R$10)</f>
        <v>31462.9588</v>
      </c>
      <c r="AE30" s="24">
        <f t="shared" si="4"/>
        <v>78335.70580000004</v>
      </c>
      <c r="AF30" s="104">
        <f t="shared" si="10"/>
        <v>229477.39820833332</v>
      </c>
      <c r="AG30" s="24">
        <f t="shared" si="5"/>
        <v>354445.28160000005</v>
      </c>
      <c r="AH30" s="24">
        <f t="shared" si="11"/>
        <v>1110534.8691916666</v>
      </c>
    </row>
    <row r="31" spans="1:34" x14ac:dyDescent="0.35">
      <c r="A31" s="5"/>
      <c r="B31" s="5" t="s">
        <v>53</v>
      </c>
      <c r="C31" s="24">
        <f>SUMIFS(sales_data_1[Profit_Margin],sales_data_1[Year],2023, sales_data_1[month], $B31, sales_data_1[Sales_Rep], "Alice", sales_data_1[Product_Category], C$10)</f>
        <v>0</v>
      </c>
      <c r="D31" s="24">
        <f>SUMIFS(sales_data_1[Profit_Margin],sales_data_1[Year],2023, sales_data_1[month], $B31, sales_data_1[Sales_Rep], "Alice", sales_data_1[Product_Category], D$10)</f>
        <v>11493.538600000007</v>
      </c>
      <c r="E31" s="24">
        <f>SUMIFS(sales_data_1[Profit_Margin],sales_data_1[Year],2023, sales_data_1[month], $B31, sales_data_1[Sales_Rep], "Alice", sales_data_1[Product_Category], E$10)</f>
        <v>6098.6015999999981</v>
      </c>
      <c r="F31" s="24">
        <f>SUMIFS(sales_data_1[Profit_Margin],sales_data_1[Year],2023, sales_data_1[month], $B31, sales_data_1[Sales_Rep], "Alice", sales_data_1[Product_Category], F$10)</f>
        <v>16709.811999999998</v>
      </c>
      <c r="G31" s="24">
        <f t="shared" si="0"/>
        <v>34301.9522</v>
      </c>
      <c r="H31" s="24">
        <f t="shared" si="6"/>
        <v>180115.02580000003</v>
      </c>
      <c r="I31" s="24">
        <f>SUMIFS(sales_data_1[Profit_Margin],sales_data_1[Year],2023, sales_data_1[month], $B31, sales_data_1[Sales_Rep], "Bob", sales_data_1[Product_Category], I$10)</f>
        <v>11195.766499999976</v>
      </c>
      <c r="J31" s="24">
        <f>SUMIFS(sales_data_1[Profit_Margin],sales_data_1[Year],2023, sales_data_1[month], $B31, sales_data_1[Sales_Rep], "Bob", sales_data_1[Product_Category], J$10)</f>
        <v>13736.423399999989</v>
      </c>
      <c r="K31" s="24">
        <f>SUMIFS(sales_data_1[Profit_Margin],sales_data_1[Year],2023, sales_data_1[month], $B31, sales_data_1[Sales_Rep], "Bob", sales_data_1[Product_Category], K$10)</f>
        <v>13635.556799999971</v>
      </c>
      <c r="L31" s="24">
        <f>SUMIFS(sales_data_1[Profit_Margin],sales_data_1[Year],2023, sales_data_1[month], $B31, sales_data_1[Sales_Rep], "Bob", sales_data_1[Product_Category], L$10)</f>
        <v>18607.873999999982</v>
      </c>
      <c r="M31" s="24">
        <f t="shared" si="1"/>
        <v>57175.620699999919</v>
      </c>
      <c r="N31" s="24">
        <f t="shared" si="7"/>
        <v>189782.22297499995</v>
      </c>
      <c r="O31" s="24">
        <f>SUMIFS(sales_data_1[Profit_Margin],sales_data_1[Year],2023, sales_data_1[month], $B31, sales_data_1[Sales_Rep], "Charlie", sales_data_1[Product_Category], O$10)</f>
        <v>31099.455099999988</v>
      </c>
      <c r="P31" s="24">
        <f>SUMIFS(sales_data_1[Profit_Margin],sales_data_1[Year],2023, sales_data_1[month], $B31, sales_data_1[Sales_Rep], "Charlie", sales_data_1[Product_Category], P$10)</f>
        <v>14328.722400000006</v>
      </c>
      <c r="Q31" s="24">
        <f>SUMIFS(sales_data_1[Profit_Margin],sales_data_1[Year],2023, sales_data_1[month], $B31, sales_data_1[Sales_Rep], "Charlie", sales_data_1[Product_Category], Q$10)</f>
        <v>23461.122299999985</v>
      </c>
      <c r="R31" s="24">
        <f>SUMIFS(sales_data_1[Profit_Margin],sales_data_1[Year],2023, sales_data_1[month], $B31, sales_data_1[Sales_Rep], "Charlie", sales_data_1[Product_Category], R$10)</f>
        <v>7468.6648000000005</v>
      </c>
      <c r="S31" s="24">
        <f t="shared" si="2"/>
        <v>76357.964599999978</v>
      </c>
      <c r="T31" s="24">
        <f t="shared" si="8"/>
        <v>168045.10788333332</v>
      </c>
      <c r="U31" s="24">
        <f>SUMIFS(sales_data_1[Profit_Margin],sales_data_1[Year],2023, sales_data_1[month], $B31, sales_data_1[Sales_Rep], "David", sales_data_1[Product_Category], U$10)</f>
        <v>16602.868400000003</v>
      </c>
      <c r="V31" s="24">
        <f>SUMIFS(sales_data_1[Profit_Margin],sales_data_1[Year],2023, sales_data_1[month], $B31, sales_data_1[Sales_Rep], "David", sales_data_1[Product_Category], V$10)</f>
        <v>13555.079899999992</v>
      </c>
      <c r="W31" s="24">
        <f>SUMIFS(sales_data_1[Profit_Margin],sales_data_1[Year],2023, sales_data_1[month], $B31, sales_data_1[Sales_Rep], "David", sales_data_1[Product_Category], W$10)</f>
        <v>3552.5799999999954</v>
      </c>
      <c r="X31" s="24">
        <f>SUMIFS(sales_data_1[Profit_Margin],sales_data_1[Year],2023, sales_data_1[month], $B31, sales_data_1[Sales_Rep], "David", sales_data_1[Product_Category], R$10)</f>
        <v>15159.3855</v>
      </c>
      <c r="Y31" s="24">
        <f t="shared" si="3"/>
        <v>48869.913799999995</v>
      </c>
      <c r="Z31" s="24">
        <f t="shared" si="9"/>
        <v>187897.33235833337</v>
      </c>
      <c r="AA31" s="24">
        <f>SUMIFS(sales_data_1[Profit_Margin],sales_data_1[Year],2023, sales_data_1[month], $B31, sales_data_1[Sales_Rep], "Eve", sales_data_1[Product_Category], U$10)</f>
        <v>28672.638799999968</v>
      </c>
      <c r="AB31" s="24">
        <f>SUMIFS(sales_data_1[Profit_Margin],sales_data_1[Year],2023, sales_data_1[month], $B31, sales_data_1[Sales_Rep], "Eve", sales_data_1[Product_Category], V$10)</f>
        <v>18158.709199999965</v>
      </c>
      <c r="AC31" s="24">
        <f>SUMIFS(sales_data_1[Profit_Margin],sales_data_1[Year],2023, sales_data_1[month], $B31, sales_data_1[Sales_Rep], "Eve", sales_data_1[Product_Category], W$10)</f>
        <v>21101.866999999991</v>
      </c>
      <c r="AD31" s="24">
        <f>SUMIFS(sales_data_1[Profit_Margin],sales_data_1[Year],2023, sales_data_1[month], $B31, sales_data_1[Sales_Rep], "Eve", sales_data_1[Product_Category], R$10)</f>
        <v>971.28000000000065</v>
      </c>
      <c r="AE31" s="24">
        <f t="shared" si="4"/>
        <v>68904.494999999923</v>
      </c>
      <c r="AF31" s="104">
        <f t="shared" si="10"/>
        <v>183931.16072499999</v>
      </c>
      <c r="AG31" s="24">
        <f t="shared" si="5"/>
        <v>285609.94629999984</v>
      </c>
      <c r="AH31" s="24">
        <f t="shared" si="11"/>
        <v>909770.84974166658</v>
      </c>
    </row>
    <row r="32" spans="1:34" x14ac:dyDescent="0.35">
      <c r="A32" s="5"/>
      <c r="B32" s="5" t="s">
        <v>54</v>
      </c>
      <c r="C32" s="24">
        <f>SUMIFS(sales_data_1[Profit_Margin],sales_data_1[Year],2023, sales_data_1[month], $B32, sales_data_1[Sales_Rep], "Alice", sales_data_1[Product_Category], C$10)</f>
        <v>17447.046699999999</v>
      </c>
      <c r="D32" s="24">
        <f>SUMIFS(sales_data_1[Profit_Margin],sales_data_1[Year],2023, sales_data_1[month], $B32, sales_data_1[Sales_Rep], "Alice", sales_data_1[Product_Category], D$10)</f>
        <v>31452.783300000006</v>
      </c>
      <c r="E32" s="24">
        <f>SUMIFS(sales_data_1[Profit_Margin],sales_data_1[Year],2023, sales_data_1[month], $B32, sales_data_1[Sales_Rep], "Alice", sales_data_1[Product_Category], E$10)</f>
        <v>8204.2373999999763</v>
      </c>
      <c r="F32" s="24">
        <f>SUMIFS(sales_data_1[Profit_Margin],sales_data_1[Year],2023, sales_data_1[month], $B32, sales_data_1[Sales_Rep], "Alice", sales_data_1[Product_Category], F$10)</f>
        <v>8960.3704000000143</v>
      </c>
      <c r="G32" s="24">
        <f t="shared" si="0"/>
        <v>66064.437799999985</v>
      </c>
      <c r="H32" s="24">
        <f t="shared" si="6"/>
        <v>133805.394875</v>
      </c>
      <c r="I32" s="24">
        <f>SUMIFS(sales_data_1[Profit_Margin],sales_data_1[Year],2023, sales_data_1[month], $B32, sales_data_1[Sales_Rep], "Bob", sales_data_1[Product_Category], I$10)</f>
        <v>6959.0643999999993</v>
      </c>
      <c r="J32" s="24">
        <f>SUMIFS(sales_data_1[Profit_Margin],sales_data_1[Year],2023, sales_data_1[month], $B32, sales_data_1[Sales_Rep], "Bob", sales_data_1[Product_Category], J$10)</f>
        <v>6081.5940000000055</v>
      </c>
      <c r="K32" s="24">
        <f>SUMIFS(sales_data_1[Profit_Margin],sales_data_1[Year],2023, sales_data_1[month], $B32, sales_data_1[Sales_Rep], "Bob", sales_data_1[Product_Category], K$10)</f>
        <v>10314.607600000014</v>
      </c>
      <c r="L32" s="24">
        <f>SUMIFS(sales_data_1[Profit_Margin],sales_data_1[Year],2023, sales_data_1[month], $B32, sales_data_1[Sales_Rep], "Bob", sales_data_1[Product_Category], L$10)</f>
        <v>42321.406699999992</v>
      </c>
      <c r="M32" s="24">
        <f t="shared" si="1"/>
        <v>65676.67270000001</v>
      </c>
      <c r="N32" s="24">
        <f t="shared" si="7"/>
        <v>142784.90881666666</v>
      </c>
      <c r="O32" s="24">
        <f>SUMIFS(sales_data_1[Profit_Margin],sales_data_1[Year],2023, sales_data_1[month], $B32, sales_data_1[Sales_Rep], "Charlie", sales_data_1[Product_Category], O$10)</f>
        <v>5243.1348000000253</v>
      </c>
      <c r="P32" s="24">
        <f>SUMIFS(sales_data_1[Profit_Margin],sales_data_1[Year],2023, sales_data_1[month], $B32, sales_data_1[Sales_Rep], "Charlie", sales_data_1[Product_Category], P$10)</f>
        <v>23999.464799999994</v>
      </c>
      <c r="Q32" s="24">
        <f>SUMIFS(sales_data_1[Profit_Margin],sales_data_1[Year],2023, sales_data_1[month], $B32, sales_data_1[Sales_Rep], "Charlie", sales_data_1[Product_Category], Q$10)</f>
        <v>17795.903000000002</v>
      </c>
      <c r="R32" s="24">
        <f>SUMIFS(sales_data_1[Profit_Margin],sales_data_1[Year],2023, sales_data_1[month], $B32, sales_data_1[Sales_Rep], "Charlie", sales_data_1[Product_Category], R$10)</f>
        <v>1738.9239999999882</v>
      </c>
      <c r="S32" s="24">
        <f t="shared" si="2"/>
        <v>48777.426600000006</v>
      </c>
      <c r="T32" s="24">
        <f t="shared" si="8"/>
        <v>121237.6902833333</v>
      </c>
      <c r="U32" s="24">
        <f>SUMIFS(sales_data_1[Profit_Margin],sales_data_1[Year],2023, sales_data_1[month], $B32, sales_data_1[Sales_Rep], "David", sales_data_1[Product_Category], U$10)</f>
        <v>18040.275399999973</v>
      </c>
      <c r="V32" s="24">
        <f>SUMIFS(sales_data_1[Profit_Margin],sales_data_1[Year],2023, sales_data_1[month], $B32, sales_data_1[Sales_Rep], "David", sales_data_1[Product_Category], V$10)</f>
        <v>32826.104499999972</v>
      </c>
      <c r="W32" s="24">
        <f>SUMIFS(sales_data_1[Profit_Margin],sales_data_1[Year],2023, sales_data_1[month], $B32, sales_data_1[Sales_Rep], "David", sales_data_1[Product_Category], W$10)</f>
        <v>32941.552600000003</v>
      </c>
      <c r="X32" s="24">
        <f>SUMIFS(sales_data_1[Profit_Margin],sales_data_1[Year],2023, sales_data_1[month], $B32, sales_data_1[Sales_Rep], "David", sales_data_1[Product_Category], R$10)</f>
        <v>32108.522099999966</v>
      </c>
      <c r="Y32" s="24">
        <f t="shared" si="3"/>
        <v>115916.45459999991</v>
      </c>
      <c r="Z32" s="24">
        <f t="shared" si="9"/>
        <v>165328.14673333327</v>
      </c>
      <c r="AA32" s="24">
        <f>SUMIFS(sales_data_1[Profit_Margin],sales_data_1[Year],2023, sales_data_1[month], $B32, sales_data_1[Sales_Rep], "Eve", sales_data_1[Product_Category], U$10)</f>
        <v>16833.360000000022</v>
      </c>
      <c r="AB32" s="24">
        <f>SUMIFS(sales_data_1[Profit_Margin],sales_data_1[Year],2023, sales_data_1[month], $B32, sales_data_1[Sales_Rep], "Eve", sales_data_1[Product_Category], V$10)</f>
        <v>25233.538400000023</v>
      </c>
      <c r="AC32" s="24">
        <f>SUMIFS(sales_data_1[Profit_Margin],sales_data_1[Year],2023, sales_data_1[month], $B32, sales_data_1[Sales_Rep], "Eve", sales_data_1[Product_Category], W$10)</f>
        <v>21107.663100000012</v>
      </c>
      <c r="AD32" s="24">
        <f>SUMIFS(sales_data_1[Profit_Margin],sales_data_1[Year],2023, sales_data_1[month], $B32, sales_data_1[Sales_Rep], "Eve", sales_data_1[Product_Category], R$10)</f>
        <v>5788.0904999999848</v>
      </c>
      <c r="AE32" s="24">
        <f t="shared" si="4"/>
        <v>68962.652000000046</v>
      </c>
      <c r="AF32" s="104">
        <f t="shared" si="10"/>
        <v>138820.69339999999</v>
      </c>
      <c r="AG32" s="24">
        <f t="shared" si="5"/>
        <v>365397.64369999996</v>
      </c>
      <c r="AH32" s="24">
        <f t="shared" si="11"/>
        <v>701976.83410833322</v>
      </c>
    </row>
    <row r="33" spans="1:34" x14ac:dyDescent="0.35">
      <c r="A33" s="5"/>
      <c r="B33" s="5" t="s">
        <v>55</v>
      </c>
      <c r="C33" s="24">
        <f>SUMIFS(sales_data_1[Profit_Margin],sales_data_1[Year],2023, sales_data_1[month], $B33, sales_data_1[Sales_Rep], "Alice", sales_data_1[Product_Category], C$10)</f>
        <v>20322.795799999982</v>
      </c>
      <c r="D33" s="24">
        <f>SUMIFS(sales_data_1[Profit_Margin],sales_data_1[Year],2023, sales_data_1[month], $B33, sales_data_1[Sales_Rep], "Alice", sales_data_1[Product_Category], D$10)</f>
        <v>56256.227099999975</v>
      </c>
      <c r="E33" s="24">
        <f>SUMIFS(sales_data_1[Profit_Margin],sales_data_1[Year],2023, sales_data_1[month], $B33, sales_data_1[Sales_Rep], "Alice", sales_data_1[Product_Category], E$10)</f>
        <v>6674.4313000000129</v>
      </c>
      <c r="F33" s="24">
        <f>SUMIFS(sales_data_1[Profit_Margin],sales_data_1[Year],2023, sales_data_1[month], $B33, sales_data_1[Sales_Rep], "Alice", sales_data_1[Product_Category], F$10)</f>
        <v>11462.117000000009</v>
      </c>
      <c r="G33" s="24">
        <f t="shared" si="0"/>
        <v>94715.571199999977</v>
      </c>
      <c r="H33" s="24">
        <f t="shared" si="6"/>
        <v>96940.850774999984</v>
      </c>
      <c r="I33" s="24">
        <f>SUMIFS(sales_data_1[Profit_Margin],sales_data_1[Year],2023, sales_data_1[month], $B33, sales_data_1[Sales_Rep], "Bob", sales_data_1[Product_Category], I$10)</f>
        <v>248.05149999999821</v>
      </c>
      <c r="J33" s="24">
        <f>SUMIFS(sales_data_1[Profit_Margin],sales_data_1[Year],2023, sales_data_1[month], $B33, sales_data_1[Sales_Rep], "Bob", sales_data_1[Product_Category], J$10)</f>
        <v>11533.958799999999</v>
      </c>
      <c r="K33" s="24">
        <f>SUMIFS(sales_data_1[Profit_Margin],sales_data_1[Year],2023, sales_data_1[month], $B33, sales_data_1[Sales_Rep], "Bob", sales_data_1[Product_Category], K$10)</f>
        <v>28433.695299999996</v>
      </c>
      <c r="L33" s="24">
        <f>SUMIFS(sales_data_1[Profit_Margin],sales_data_1[Year],2023, sales_data_1[month], $B33, sales_data_1[Sales_Rep], "Bob", sales_data_1[Product_Category], L$10)</f>
        <v>12922.997299999986</v>
      </c>
      <c r="M33" s="24">
        <f t="shared" si="1"/>
        <v>53138.702899999982</v>
      </c>
      <c r="N33" s="24">
        <f t="shared" si="7"/>
        <v>110349.05898333331</v>
      </c>
      <c r="O33" s="24">
        <f>SUMIFS(sales_data_1[Profit_Margin],sales_data_1[Year],2023, sales_data_1[month], $B33, sales_data_1[Sales_Rep], "Charlie", sales_data_1[Product_Category], O$10)</f>
        <v>29926.444800000001</v>
      </c>
      <c r="P33" s="24">
        <f>SUMIFS(sales_data_1[Profit_Margin],sales_data_1[Year],2023, sales_data_1[month], $B33, sales_data_1[Sales_Rep], "Charlie", sales_data_1[Product_Category], P$10)</f>
        <v>817.85999999999967</v>
      </c>
      <c r="Q33" s="24">
        <f>SUMIFS(sales_data_1[Profit_Margin],sales_data_1[Year],2023, sales_data_1[month], $B33, sales_data_1[Sales_Rep], "Charlie", sales_data_1[Product_Category], Q$10)</f>
        <v>385.49910000000364</v>
      </c>
      <c r="R33" s="24">
        <f>SUMIFS(sales_data_1[Profit_Margin],sales_data_1[Year],2023, sales_data_1[month], $B33, sales_data_1[Sales_Rep], "Charlie", sales_data_1[Product_Category], R$10)</f>
        <v>32326.195499999994</v>
      </c>
      <c r="S33" s="24">
        <f t="shared" si="2"/>
        <v>63455.999400000001</v>
      </c>
      <c r="T33" s="24">
        <f t="shared" si="8"/>
        <v>80232.58455</v>
      </c>
      <c r="U33" s="24">
        <f>SUMIFS(sales_data_1[Profit_Margin],sales_data_1[Year],2023, sales_data_1[month], $B33, sales_data_1[Sales_Rep], "David", sales_data_1[Product_Category], U$10)</f>
        <v>11367.912199999977</v>
      </c>
      <c r="V33" s="24">
        <f>SUMIFS(sales_data_1[Profit_Margin],sales_data_1[Year],2023, sales_data_1[month], $B33, sales_data_1[Sales_Rep], "David", sales_data_1[Product_Category], V$10)</f>
        <v>49297.609599999982</v>
      </c>
      <c r="W33" s="24">
        <f>SUMIFS(sales_data_1[Profit_Margin],sales_data_1[Year],2023, sales_data_1[month], $B33, sales_data_1[Sales_Rep], "David", sales_data_1[Product_Category], W$10)</f>
        <v>21302.987399999991</v>
      </c>
      <c r="X33" s="24">
        <f>SUMIFS(sales_data_1[Profit_Margin],sales_data_1[Year],2023, sales_data_1[month], $B33, sales_data_1[Sales_Rep], "David", sales_data_1[Product_Category], R$10)</f>
        <v>26457.507599999994</v>
      </c>
      <c r="Y33" s="24">
        <f t="shared" si="3"/>
        <v>108426.01679999994</v>
      </c>
      <c r="Z33" s="24">
        <f t="shared" si="9"/>
        <v>98732.729391666653</v>
      </c>
      <c r="AA33" s="24">
        <f>SUMIFS(sales_data_1[Profit_Margin],sales_data_1[Year],2023, sales_data_1[month], $B33, sales_data_1[Sales_Rep], "Eve", sales_data_1[Product_Category], U$10)</f>
        <v>10501.130799999979</v>
      </c>
      <c r="AB33" s="24">
        <f>SUMIFS(sales_data_1[Profit_Margin],sales_data_1[Year],2023, sales_data_1[month], $B33, sales_data_1[Sales_Rep], "Eve", sales_data_1[Product_Category], V$10)</f>
        <v>2385.7964999999995</v>
      </c>
      <c r="AC33" s="24">
        <f>SUMIFS(sales_data_1[Profit_Margin],sales_data_1[Year],2023, sales_data_1[month], $B33, sales_data_1[Sales_Rep], "Eve", sales_data_1[Product_Category], W$10)</f>
        <v>8780.3300999999974</v>
      </c>
      <c r="AD33" s="24">
        <f>SUMIFS(sales_data_1[Profit_Margin],sales_data_1[Year],2023, sales_data_1[month], $B33, sales_data_1[Sales_Rep], "Eve", sales_data_1[Product_Category], R$10)</f>
        <v>28737.729999999996</v>
      </c>
      <c r="AE33" s="24">
        <f t="shared" si="4"/>
        <v>50404.987399999969</v>
      </c>
      <c r="AF33" s="104">
        <f t="shared" si="10"/>
        <v>122895.68284166662</v>
      </c>
      <c r="AG33" s="24">
        <f t="shared" si="5"/>
        <v>370141.27769999986</v>
      </c>
      <c r="AH33" s="24">
        <f t="shared" si="11"/>
        <v>509150.90654166666</v>
      </c>
    </row>
    <row r="34" spans="1:34" x14ac:dyDescent="0.35">
      <c r="A34" s="5"/>
      <c r="B34" s="5" t="s">
        <v>56</v>
      </c>
      <c r="C34" s="24">
        <f>SUMIFS(sales_data_1[Profit_Margin],sales_data_1[Year],2023, sales_data_1[month], $B34, sales_data_1[Sales_Rep], "Alice", sales_data_1[Product_Category], C$10)</f>
        <v>48518.095799999966</v>
      </c>
      <c r="D34" s="24">
        <f>SUMIFS(sales_data_1[Profit_Margin],sales_data_1[Year],2023, sales_data_1[month], $B34, sales_data_1[Sales_Rep], "Alice", sales_data_1[Product_Category], D$10)</f>
        <v>6921.5872999999865</v>
      </c>
      <c r="E34" s="24">
        <f>SUMIFS(sales_data_1[Profit_Margin],sales_data_1[Year],2023, sales_data_1[month], $B34, sales_data_1[Sales_Rep], "Alice", sales_data_1[Product_Category], E$10)</f>
        <v>28443.126599999992</v>
      </c>
      <c r="F34" s="24">
        <f>SUMIFS(sales_data_1[Profit_Margin],sales_data_1[Year],2023, sales_data_1[month], $B34, sales_data_1[Sales_Rep], "Alice", sales_data_1[Product_Category], F$10)</f>
        <v>17783.349999999977</v>
      </c>
      <c r="G34" s="24">
        <f t="shared" si="0"/>
        <v>101666.15969999992</v>
      </c>
      <c r="H34" s="24">
        <f t="shared" si="6"/>
        <v>67962.220991666647</v>
      </c>
      <c r="I34" s="24">
        <f>SUMIFS(sales_data_1[Profit_Margin],sales_data_1[Year],2023, sales_data_1[month], $B34, sales_data_1[Sales_Rep], "Bob", sales_data_1[Product_Category], I$10)</f>
        <v>4944.6000000000022</v>
      </c>
      <c r="J34" s="24">
        <f>SUMIFS(sales_data_1[Profit_Margin],sales_data_1[Year],2023, sales_data_1[month], $B34, sales_data_1[Sales_Rep], "Bob", sales_data_1[Product_Category], J$10)</f>
        <v>21770.087799999994</v>
      </c>
      <c r="K34" s="24">
        <f>SUMIFS(sales_data_1[Profit_Margin],sales_data_1[Year],2023, sales_data_1[month], $B34, sales_data_1[Sales_Rep], "Bob", sales_data_1[Product_Category], K$10)</f>
        <v>5070.6772000000001</v>
      </c>
      <c r="L34" s="24">
        <f>SUMIFS(sales_data_1[Profit_Margin],sales_data_1[Year],2023, sales_data_1[month], $B34, sales_data_1[Sales_Rep], "Bob", sales_data_1[Product_Category], L$10)</f>
        <v>35722.112099999991</v>
      </c>
      <c r="M34" s="24">
        <f t="shared" si="1"/>
        <v>67507.477099999989</v>
      </c>
      <c r="N34" s="24">
        <f t="shared" si="7"/>
        <v>58830.155349999994</v>
      </c>
      <c r="O34" s="24">
        <f>SUMIFS(sales_data_1[Profit_Margin],sales_data_1[Year],2023, sales_data_1[month], $B34, sales_data_1[Sales_Rep], "Charlie", sales_data_1[Product_Category], O$10)</f>
        <v>6449.5669999999991</v>
      </c>
      <c r="P34" s="24">
        <f>SUMIFS(sales_data_1[Profit_Margin],sales_data_1[Year],2023, sales_data_1[month], $B34, sales_data_1[Sales_Rep], "Charlie", sales_data_1[Product_Category], P$10)</f>
        <v>7641.7506000000003</v>
      </c>
      <c r="Q34" s="24">
        <f>SUMIFS(sales_data_1[Profit_Margin],sales_data_1[Year],2023, sales_data_1[month], $B34, sales_data_1[Sales_Rep], "Charlie", sales_data_1[Product_Category], Q$10)</f>
        <v>21477.614000000001</v>
      </c>
      <c r="R34" s="24">
        <f>SUMIFS(sales_data_1[Profit_Margin],sales_data_1[Year],2023, sales_data_1[month], $B34, sales_data_1[Sales_Rep], "Charlie", sales_data_1[Product_Category], R$10)</f>
        <v>21361.992399999992</v>
      </c>
      <c r="S34" s="24">
        <f t="shared" si="2"/>
        <v>56930.923999999985</v>
      </c>
      <c r="T34" s="24">
        <f t="shared" si="8"/>
        <v>58064.068766666664</v>
      </c>
      <c r="U34" s="24">
        <f>SUMIFS(sales_data_1[Profit_Margin],sales_data_1[Year],2023, sales_data_1[month], $B34, sales_data_1[Sales_Rep], "David", sales_data_1[Product_Category], U$10)</f>
        <v>29955.907400000004</v>
      </c>
      <c r="V34" s="24">
        <f>SUMIFS(sales_data_1[Profit_Margin],sales_data_1[Year],2023, sales_data_1[month], $B34, sales_data_1[Sales_Rep], "David", sales_data_1[Product_Category], V$10)</f>
        <v>29080.412699999983</v>
      </c>
      <c r="W34" s="24">
        <f>SUMIFS(sales_data_1[Profit_Margin],sales_data_1[Year],2023, sales_data_1[month], $B34, sales_data_1[Sales_Rep], "David", sales_data_1[Product_Category], W$10)</f>
        <v>12989.222200000015</v>
      </c>
      <c r="X34" s="24">
        <f>SUMIFS(sales_data_1[Profit_Margin],sales_data_1[Year],2023, sales_data_1[month], $B34, sales_data_1[Sales_Rep], "David", sales_data_1[Product_Category], R$10)</f>
        <v>20423.662399999987</v>
      </c>
      <c r="Y34" s="24">
        <f t="shared" si="3"/>
        <v>92449.204699999987</v>
      </c>
      <c r="Z34" s="24">
        <f t="shared" si="9"/>
        <v>79143.168983333322</v>
      </c>
      <c r="AA34" s="24">
        <f>SUMIFS(sales_data_1[Profit_Margin],sales_data_1[Year],2023, sales_data_1[month], $B34, sales_data_1[Sales_Rep], "Eve", sales_data_1[Product_Category], U$10)</f>
        <v>28846.209399999971</v>
      </c>
      <c r="AB34" s="24">
        <f>SUMIFS(sales_data_1[Profit_Margin],sales_data_1[Year],2023, sales_data_1[month], $B34, sales_data_1[Sales_Rep], "Eve", sales_data_1[Product_Category], V$10)</f>
        <v>5622.3338000000058</v>
      </c>
      <c r="AC34" s="24">
        <f>SUMIFS(sales_data_1[Profit_Margin],sales_data_1[Year],2023, sales_data_1[month], $B34, sales_data_1[Sales_Rep], "Eve", sales_data_1[Product_Category], W$10)</f>
        <v>11561.087000000001</v>
      </c>
      <c r="AD34" s="24">
        <f>SUMIFS(sales_data_1[Profit_Margin],sales_data_1[Year],2023, sales_data_1[month], $B34, sales_data_1[Sales_Rep], "Eve", sales_data_1[Product_Category], R$10)</f>
        <v>6821.1940000000141</v>
      </c>
      <c r="AE34" s="24">
        <f t="shared" si="4"/>
        <v>52850.824199999988</v>
      </c>
      <c r="AF34" s="104">
        <f t="shared" si="10"/>
        <v>74160.252599999978</v>
      </c>
      <c r="AG34" s="24">
        <f t="shared" si="5"/>
        <v>371404.58969999989</v>
      </c>
      <c r="AH34" s="24">
        <f t="shared" si="11"/>
        <v>338159.8666916666</v>
      </c>
    </row>
    <row r="35" spans="1:34" x14ac:dyDescent="0.35">
      <c r="A35" s="17">
        <v>2024</v>
      </c>
      <c r="B35" s="5" t="s">
        <v>45</v>
      </c>
      <c r="C35" s="24">
        <f>SUMIFS(sales_data_1[Profit_Margin],sales_data_1[Year],2024, sales_data_1[month], $B35, sales_data_1[Sales_Rep], "Alice", sales_data_1[Product_Category], C$10)</f>
        <v>73037.829499999993</v>
      </c>
      <c r="D35" s="24">
        <f>SUMIFS(sales_data_1[Profit_Margin],sales_data_1[Year],2024, sales_data_1[month], $B35, sales_data_1[Sales_Rep], "Alice", sales_data_1[Product_Category], D$10)</f>
        <v>167171.58360000001</v>
      </c>
      <c r="E35" s="24">
        <f>SUMIFS(sales_data_1[Profit_Margin],sales_data_1[Year],2024, sales_data_1[month], $B35, sales_data_1[Sales_Rep], "Alice", sales_data_1[Product_Category], E$10)</f>
        <v>137868.43999999997</v>
      </c>
      <c r="F35" s="24">
        <f>SUMIFS(sales_data_1[Profit_Margin],sales_data_1[Year],2024, sales_data_1[month], $B35, sales_data_1[Sales_Rep], "Alice", sales_data_1[Product_Category], F$10)</f>
        <v>58471.054600000003</v>
      </c>
      <c r="G35" s="24">
        <f t="shared" si="0"/>
        <v>436548.90769999998</v>
      </c>
      <c r="H35" s="24">
        <f t="shared" si="6"/>
        <v>100665.44305</v>
      </c>
      <c r="I35" s="24">
        <f>SUMIFS(sales_data_1[Profit_Margin],sales_data_1[Year],2024, sales_data_1[month], $B35, sales_data_1[Sales_Rep], "Bob", sales_data_1[Product_Category], I$10)</f>
        <v>204341.49660000001</v>
      </c>
      <c r="J35" s="24">
        <f>SUMIFS(sales_data_1[Profit_Margin],sales_data_1[Year],2024, sales_data_1[month], $B35, sales_data_1[Sales_Rep], "Bob", sales_data_1[Product_Category], J$10)</f>
        <v>117528.93919999999</v>
      </c>
      <c r="K35" s="24">
        <f>SUMIFS(sales_data_1[Profit_Margin],sales_data_1[Year],2024, sales_data_1[month], $B35, sales_data_1[Sales_Rep], "Bob", sales_data_1[Product_Category], K$10)</f>
        <v>63366.527600000001</v>
      </c>
      <c r="L35" s="24">
        <f>SUMIFS(sales_data_1[Profit_Margin],sales_data_1[Year],2024, sales_data_1[month], $B35, sales_data_1[Sales_Rep], "Bob", sales_data_1[Product_Category], L$10)</f>
        <v>162338.52840000001</v>
      </c>
      <c r="M35" s="24">
        <f t="shared" si="1"/>
        <v>547575.49179999996</v>
      </c>
      <c r="N35" s="24">
        <f t="shared" si="7"/>
        <v>95400.048183333318</v>
      </c>
      <c r="O35" s="24">
        <f>SUMIFS(sales_data_1[Profit_Margin],sales_data_1[Year],2024, sales_data_1[month], $B35, sales_data_1[Sales_Rep], "Charlie", sales_data_1[Product_Category], O$10)</f>
        <v>315585.38809999998</v>
      </c>
      <c r="P35" s="24">
        <f>SUMIFS(sales_data_1[Profit_Margin],sales_data_1[Year],2024, sales_data_1[month], $B35, sales_data_1[Sales_Rep], "Charlie", sales_data_1[Product_Category], P$10)</f>
        <v>155223.86350000004</v>
      </c>
      <c r="Q35" s="24">
        <f>SUMIFS(sales_data_1[Profit_Margin],sales_data_1[Year],2024, sales_data_1[month], $B35, sales_data_1[Sales_Rep], "Charlie", sales_data_1[Product_Category], Q$10)</f>
        <v>136196.25339999999</v>
      </c>
      <c r="R35" s="24">
        <f>SUMIFS(sales_data_1[Profit_Margin],sales_data_1[Year],2024, sales_data_1[month], $B35, sales_data_1[Sales_Rep], "Charlie", sales_data_1[Product_Category], R$10)</f>
        <v>24588.695800000005</v>
      </c>
      <c r="S35" s="24">
        <f t="shared" si="2"/>
        <v>631594.20079999999</v>
      </c>
      <c r="T35" s="24">
        <f t="shared" si="8"/>
        <v>101516.35109166666</v>
      </c>
      <c r="U35" s="24">
        <f>SUMIFS(sales_data_1[Profit_Margin],sales_data_1[Year],2024, sales_data_1[month], $B35, sales_data_1[Sales_Rep], "David", sales_data_1[Product_Category], U$10)</f>
        <v>221747.80520000003</v>
      </c>
      <c r="V35" s="24">
        <f>SUMIFS(sales_data_1[Profit_Margin],sales_data_1[Year],2024, sales_data_1[month], $B35, sales_data_1[Sales_Rep], "David", sales_data_1[Product_Category], V$10)</f>
        <v>271045.61720000004</v>
      </c>
      <c r="W35" s="24">
        <f>SUMIFS(sales_data_1[Profit_Margin],sales_data_1[Year],2024, sales_data_1[month], $B35, sales_data_1[Sales_Rep], "David", sales_data_1[Product_Category], W$10)</f>
        <v>80814.934599999979</v>
      </c>
      <c r="X35" s="24">
        <f>SUMIFS(sales_data_1[Profit_Margin],sales_data_1[Year],2024, sales_data_1[month], $B35, sales_data_1[Sales_Rep], "David", sales_data_1[Product_Category], R$10)</f>
        <v>267836.41960000002</v>
      </c>
      <c r="Y35" s="24">
        <f t="shared" si="3"/>
        <v>841444.7766000001</v>
      </c>
      <c r="Z35" s="24">
        <f t="shared" si="9"/>
        <v>143596.60981666666</v>
      </c>
      <c r="AA35" s="24">
        <f>SUMIFS(sales_data_1[Profit_Margin],sales_data_1[Year],2024, sales_data_1[month], $B35, sales_data_1[Sales_Rep], "Eve", sales_data_1[Product_Category], U$10)</f>
        <v>285742.62679999997</v>
      </c>
      <c r="AB35" s="24">
        <f>SUMIFS(sales_data_1[Profit_Margin],sales_data_1[Year],2024, sales_data_1[month], $B35, sales_data_1[Sales_Rep], "Eve", sales_data_1[Product_Category], V$10)</f>
        <v>113245.4951</v>
      </c>
      <c r="AC35" s="24">
        <f>SUMIFS(sales_data_1[Profit_Margin],sales_data_1[Year],2024, sales_data_1[month], $B35, sales_data_1[Sales_Rep], "Eve", sales_data_1[Product_Category], W$10)</f>
        <v>265547.85680000001</v>
      </c>
      <c r="AD35" s="24">
        <f>SUMIFS(sales_data_1[Profit_Margin],sales_data_1[Year],2024, sales_data_1[month], $B35, sales_data_1[Sales_Rep], "Eve", sales_data_1[Product_Category], R$10)</f>
        <v>158703.50180000003</v>
      </c>
      <c r="AE35" s="24">
        <f t="shared" si="4"/>
        <v>823239.48050000006</v>
      </c>
      <c r="AF35" s="104">
        <f t="shared" si="10"/>
        <v>134298.69454166666</v>
      </c>
      <c r="AG35" s="24">
        <f t="shared" si="5"/>
        <v>3280402.8574000001</v>
      </c>
      <c r="AH35" s="24">
        <f t="shared" si="11"/>
        <v>575477.14668333333</v>
      </c>
    </row>
    <row r="36" spans="1:34" x14ac:dyDescent="0.35">
      <c r="A36" s="5"/>
      <c r="B36" s="5" t="s">
        <v>46</v>
      </c>
      <c r="C36" s="24">
        <f>SUMIFS(sales_data_1[Profit_Margin],sales_data_1[Year],2024, sales_data_1[month], $B36, sales_data_1[Sales_Rep], "Alice", sales_data_1[Product_Category], C$10)</f>
        <v>180384.83110000001</v>
      </c>
      <c r="D36" s="24">
        <f>SUMIFS(sales_data_1[Profit_Margin],sales_data_1[Year],2024, sales_data_1[month], $B36, sales_data_1[Sales_Rep], "Alice", sales_data_1[Product_Category], D$10)</f>
        <v>99345.393799999991</v>
      </c>
      <c r="E36" s="24">
        <f>SUMIFS(sales_data_1[Profit_Margin],sales_data_1[Year],2024, sales_data_1[month], $B36, sales_data_1[Sales_Rep], "Alice", sales_data_1[Product_Category], E$10)</f>
        <v>141777.87670000002</v>
      </c>
      <c r="F36" s="24">
        <f>SUMIFS(sales_data_1[Profit_Margin],sales_data_1[Year],2024, sales_data_1[month], $B36, sales_data_1[Sales_Rep], "Alice", sales_data_1[Product_Category], F$10)</f>
        <v>235044.5955</v>
      </c>
      <c r="G36" s="24">
        <f t="shared" si="0"/>
        <v>656552.69709999999</v>
      </c>
      <c r="H36" s="24">
        <f t="shared" si="6"/>
        <v>148523.33004166666</v>
      </c>
      <c r="I36" s="24">
        <f>SUMIFS(sales_data_1[Profit_Margin],sales_data_1[Year],2024, sales_data_1[month], $B36, sales_data_1[Sales_Rep], "Bob", sales_data_1[Product_Category], I$10)</f>
        <v>207274.61919999999</v>
      </c>
      <c r="J36" s="24">
        <f>SUMIFS(sales_data_1[Profit_Margin],sales_data_1[Year],2024, sales_data_1[month], $B36, sales_data_1[Sales_Rep], "Bob", sales_data_1[Product_Category], J$10)</f>
        <v>132800.40179999999</v>
      </c>
      <c r="K36" s="24">
        <f>SUMIFS(sales_data_1[Profit_Margin],sales_data_1[Year],2024, sales_data_1[month], $B36, sales_data_1[Sales_Rep], "Bob", sales_data_1[Product_Category], K$10)</f>
        <v>9629.8681999999953</v>
      </c>
      <c r="L36" s="24">
        <f>SUMIFS(sales_data_1[Profit_Margin],sales_data_1[Year],2024, sales_data_1[month], $B36, sales_data_1[Sales_Rep], "Bob", sales_data_1[Product_Category], L$10)</f>
        <v>69225.79100000007</v>
      </c>
      <c r="M36" s="24">
        <f t="shared" si="1"/>
        <v>418930.6802</v>
      </c>
      <c r="N36" s="24">
        <f t="shared" si="7"/>
        <v>126484.89842499998</v>
      </c>
      <c r="O36" s="24">
        <f>SUMIFS(sales_data_1[Profit_Margin],sales_data_1[Year],2024, sales_data_1[month], $B36, sales_data_1[Sales_Rep], "Charlie", sales_data_1[Product_Category], O$10)</f>
        <v>88982.02949999999</v>
      </c>
      <c r="P36" s="24">
        <f>SUMIFS(sales_data_1[Profit_Margin],sales_data_1[Year],2024, sales_data_1[month], $B36, sales_data_1[Sales_Rep], "Charlie", sales_data_1[Product_Category], P$10)</f>
        <v>187263.05589999998</v>
      </c>
      <c r="Q36" s="24">
        <f>SUMIFS(sales_data_1[Profit_Margin],sales_data_1[Year],2024, sales_data_1[month], $B36, sales_data_1[Sales_Rep], "Charlie", sales_data_1[Product_Category], Q$10)</f>
        <v>81237.111900000018</v>
      </c>
      <c r="R36" s="24">
        <f>SUMIFS(sales_data_1[Profit_Margin],sales_data_1[Year],2024, sales_data_1[month], $B36, sales_data_1[Sales_Rep], "Charlie", sales_data_1[Product_Category], R$10)</f>
        <v>140601.48809999999</v>
      </c>
      <c r="S36" s="24">
        <f t="shared" si="2"/>
        <v>498083.68539999996</v>
      </c>
      <c r="T36" s="24">
        <f t="shared" si="8"/>
        <v>139233.06820833331</v>
      </c>
      <c r="U36" s="24">
        <f>SUMIFS(sales_data_1[Profit_Margin],sales_data_1[Year],2024, sales_data_1[month], $B36, sales_data_1[Sales_Rep], "David", sales_data_1[Product_Category], U$10)</f>
        <v>87752.857599999974</v>
      </c>
      <c r="V36" s="24">
        <f>SUMIFS(sales_data_1[Profit_Margin],sales_data_1[Year],2024, sales_data_1[month], $B36, sales_data_1[Sales_Rep], "David", sales_data_1[Product_Category], V$10)</f>
        <v>59317.281199999983</v>
      </c>
      <c r="W36" s="24">
        <f>SUMIFS(sales_data_1[Profit_Margin],sales_data_1[Year],2024, sales_data_1[month], $B36, sales_data_1[Sales_Rep], "David", sales_data_1[Product_Category], W$10)</f>
        <v>16680.645799999991</v>
      </c>
      <c r="X36" s="24">
        <f>SUMIFS(sales_data_1[Profit_Margin],sales_data_1[Year],2024, sales_data_1[month], $B36, sales_data_1[Sales_Rep], "David", sales_data_1[Product_Category], R$10)</f>
        <v>150878.65970000002</v>
      </c>
      <c r="Y36" s="24">
        <f t="shared" si="3"/>
        <v>314629.44429999997</v>
      </c>
      <c r="Z36" s="24">
        <f t="shared" si="9"/>
        <v>162362.19734166667</v>
      </c>
      <c r="AA36" s="24">
        <f>SUMIFS(sales_data_1[Profit_Margin],sales_data_1[Year],2024, sales_data_1[month], $B36, sales_data_1[Sales_Rep], "Eve", sales_data_1[Product_Category], U$10)</f>
        <v>174939.95879999999</v>
      </c>
      <c r="AB36" s="24">
        <f>SUMIFS(sales_data_1[Profit_Margin],sales_data_1[Year],2024, sales_data_1[month], $B36, sales_data_1[Sales_Rep], "Eve", sales_data_1[Product_Category], V$10)</f>
        <v>87584.474999999991</v>
      </c>
      <c r="AC36" s="24">
        <f>SUMIFS(sales_data_1[Profit_Margin],sales_data_1[Year],2024, sales_data_1[month], $B36, sales_data_1[Sales_Rep], "Eve", sales_data_1[Product_Category], W$10)</f>
        <v>113355.9719</v>
      </c>
      <c r="AD36" s="24">
        <f>SUMIFS(sales_data_1[Profit_Margin],sales_data_1[Year],2024, sales_data_1[month], $B36, sales_data_1[Sales_Rep], "Eve", sales_data_1[Product_Category], R$10)</f>
        <v>13196.514899999998</v>
      </c>
      <c r="AE36" s="24">
        <f t="shared" si="4"/>
        <v>389076.92060000001</v>
      </c>
      <c r="AF36" s="104">
        <f t="shared" si="10"/>
        <v>161009.16375833334</v>
      </c>
      <c r="AG36" s="24">
        <f t="shared" si="5"/>
        <v>2277273.4276000001</v>
      </c>
      <c r="AH36" s="24">
        <f t="shared" si="11"/>
        <v>737612.65777500009</v>
      </c>
    </row>
    <row r="37" spans="1:34" x14ac:dyDescent="0.35">
      <c r="A37" s="5"/>
      <c r="B37" s="5" t="s">
        <v>47</v>
      </c>
      <c r="C37" s="24">
        <f>SUMIFS(sales_data_1[Profit_Margin],sales_data_1[Year],2024, sales_data_1[month], $B37, sales_data_1[Sales_Rep], "Alice", sales_data_1[Product_Category], C$10)</f>
        <v>172239.15099999998</v>
      </c>
      <c r="D37" s="24">
        <f>SUMIFS(sales_data_1[Profit_Margin],sales_data_1[Year],2024, sales_data_1[month], $B37, sales_data_1[Sales_Rep], "Alice", sales_data_1[Product_Category], D$10)</f>
        <v>171408.65499999997</v>
      </c>
      <c r="E37" s="24">
        <f>SUMIFS(sales_data_1[Profit_Margin],sales_data_1[Year],2024, sales_data_1[month], $B37, sales_data_1[Sales_Rep], "Alice", sales_data_1[Product_Category], E$10)</f>
        <v>169677.1868</v>
      </c>
      <c r="F37" s="24">
        <f>SUMIFS(sales_data_1[Profit_Margin],sales_data_1[Year],2024, sales_data_1[month], $B37, sales_data_1[Sales_Rep], "Alice", sales_data_1[Product_Category], F$10)</f>
        <v>287509.01330000005</v>
      </c>
      <c r="G37" s="24">
        <f t="shared" si="0"/>
        <v>800834.00610000012</v>
      </c>
      <c r="H37" s="24">
        <f t="shared" si="6"/>
        <v>210155.87933333335</v>
      </c>
      <c r="I37" s="24">
        <f>SUMIFS(sales_data_1[Profit_Margin],sales_data_1[Year],2024, sales_data_1[month], $B37, sales_data_1[Sales_Rep], "Bob", sales_data_1[Product_Category], I$10)</f>
        <v>380223.26500000001</v>
      </c>
      <c r="J37" s="24">
        <f>SUMIFS(sales_data_1[Profit_Margin],sales_data_1[Year],2024, sales_data_1[month], $B37, sales_data_1[Sales_Rep], "Bob", sales_data_1[Product_Category], J$10)</f>
        <v>138346.34479999999</v>
      </c>
      <c r="K37" s="24">
        <f>SUMIFS(sales_data_1[Profit_Margin],sales_data_1[Year],2024, sales_data_1[month], $B37, sales_data_1[Sales_Rep], "Bob", sales_data_1[Product_Category], K$10)</f>
        <v>116165.94699999999</v>
      </c>
      <c r="L37" s="24">
        <f>SUMIFS(sales_data_1[Profit_Margin],sales_data_1[Year],2024, sales_data_1[month], $B37, sales_data_1[Sales_Rep], "Bob", sales_data_1[Product_Category], L$10)</f>
        <v>225291.43819999998</v>
      </c>
      <c r="M37" s="24">
        <f t="shared" si="1"/>
        <v>860026.99499999988</v>
      </c>
      <c r="N37" s="24">
        <f t="shared" si="7"/>
        <v>194670.38919999998</v>
      </c>
      <c r="O37" s="24">
        <f>SUMIFS(sales_data_1[Profit_Margin],sales_data_1[Year],2024, sales_data_1[month], $B37, sales_data_1[Sales_Rep], "Charlie", sales_data_1[Product_Category], O$10)</f>
        <v>223138.80620000005</v>
      </c>
      <c r="P37" s="24">
        <f>SUMIFS(sales_data_1[Profit_Margin],sales_data_1[Year],2024, sales_data_1[month], $B37, sales_data_1[Sales_Rep], "Charlie", sales_data_1[Product_Category], P$10)</f>
        <v>324443.78409999999</v>
      </c>
      <c r="Q37" s="24">
        <f>SUMIFS(sales_data_1[Profit_Margin],sales_data_1[Year],2024, sales_data_1[month], $B37, sales_data_1[Sales_Rep], "Charlie", sales_data_1[Product_Category], Q$10)</f>
        <v>135887.73729999998</v>
      </c>
      <c r="R37" s="24">
        <f>SUMIFS(sales_data_1[Profit_Margin],sales_data_1[Year],2024, sales_data_1[month], $B37, sales_data_1[Sales_Rep], "Charlie", sales_data_1[Product_Category], R$10)</f>
        <v>521177.23820000008</v>
      </c>
      <c r="S37" s="24">
        <f t="shared" si="2"/>
        <v>1204647.5658</v>
      </c>
      <c r="T37" s="24">
        <f t="shared" si="8"/>
        <v>236928.69560833331</v>
      </c>
      <c r="U37" s="24">
        <f>SUMIFS(sales_data_1[Profit_Margin],sales_data_1[Year],2024, sales_data_1[month], $B37, sales_data_1[Sales_Rep], "David", sales_data_1[Product_Category], U$10)</f>
        <v>144376.49209999997</v>
      </c>
      <c r="V37" s="24">
        <f>SUMIFS(sales_data_1[Profit_Margin],sales_data_1[Year],2024, sales_data_1[month], $B37, sales_data_1[Sales_Rep], "David", sales_data_1[Product_Category], V$10)</f>
        <v>96539.229200000016</v>
      </c>
      <c r="W37" s="24">
        <f>SUMIFS(sales_data_1[Profit_Margin],sales_data_1[Year],2024, sales_data_1[month], $B37, sales_data_1[Sales_Rep], "David", sales_data_1[Product_Category], W$10)</f>
        <v>29796.907599999999</v>
      </c>
      <c r="X37" s="24">
        <f>SUMIFS(sales_data_1[Profit_Margin],sales_data_1[Year],2024, sales_data_1[month], $B37, sales_data_1[Sales_Rep], "David", sales_data_1[Product_Category], R$10)</f>
        <v>277959.46860000002</v>
      </c>
      <c r="Y37" s="24">
        <f t="shared" si="3"/>
        <v>548672.09749999992</v>
      </c>
      <c r="Z37" s="24">
        <f t="shared" si="9"/>
        <v>200018.49474166668</v>
      </c>
      <c r="AA37" s="24">
        <f>SUMIFS(sales_data_1[Profit_Margin],sales_data_1[Year],2024, sales_data_1[month], $B37, sales_data_1[Sales_Rep], "Eve", sales_data_1[Product_Category], U$10)</f>
        <v>279912.98829999997</v>
      </c>
      <c r="AB37" s="24">
        <f>SUMIFS(sales_data_1[Profit_Margin],sales_data_1[Year],2024, sales_data_1[month], $B37, sales_data_1[Sales_Rep], "Eve", sales_data_1[Product_Category], V$10)</f>
        <v>203815.71379999997</v>
      </c>
      <c r="AC37" s="24">
        <f>SUMIFS(sales_data_1[Profit_Margin],sales_data_1[Year],2024, sales_data_1[month], $B37, sales_data_1[Sales_Rep], "Eve", sales_data_1[Product_Category], W$10)</f>
        <v>111645.8027</v>
      </c>
      <c r="AD37" s="24">
        <f>SUMIFS(sales_data_1[Profit_Margin],sales_data_1[Year],2024, sales_data_1[month], $B37, sales_data_1[Sales_Rep], "Eve", sales_data_1[Product_Category], R$10)</f>
        <v>157021.53610000003</v>
      </c>
      <c r="AE37" s="24">
        <f t="shared" si="4"/>
        <v>752396.04090000002</v>
      </c>
      <c r="AF37" s="104">
        <f t="shared" si="10"/>
        <v>216716.398525</v>
      </c>
      <c r="AG37" s="24">
        <f t="shared" si="5"/>
        <v>4166576.7053</v>
      </c>
      <c r="AH37" s="24">
        <f t="shared" si="11"/>
        <v>1058489.8574083333</v>
      </c>
    </row>
    <row r="38" spans="1:34" x14ac:dyDescent="0.35">
      <c r="A38" s="5"/>
      <c r="B38" s="5" t="s">
        <v>48</v>
      </c>
      <c r="C38" s="24">
        <f>SUMIFS(sales_data_1[Profit_Margin],sales_data_1[Year],2024, sales_data_1[month], $B38, sales_data_1[Sales_Rep], "Alice", sales_data_1[Product_Category], C$10)</f>
        <v>229299.30210000003</v>
      </c>
      <c r="D38" s="24">
        <f>SUMIFS(sales_data_1[Profit_Margin],sales_data_1[Year],2024, sales_data_1[month], $B38, sales_data_1[Sales_Rep], "Alice", sales_data_1[Product_Category], D$10)</f>
        <v>282495.42079999991</v>
      </c>
      <c r="E38" s="24">
        <f>SUMIFS(sales_data_1[Profit_Margin],sales_data_1[Year],2024, sales_data_1[month], $B38, sales_data_1[Sales_Rep], "Alice", sales_data_1[Product_Category], E$10)</f>
        <v>254409.84099999999</v>
      </c>
      <c r="F38" s="24">
        <f>SUMIFS(sales_data_1[Profit_Margin],sales_data_1[Year],2024, sales_data_1[month], $B38, sales_data_1[Sales_Rep], "Alice", sales_data_1[Product_Category], F$10)</f>
        <v>90067.085800000015</v>
      </c>
      <c r="G38" s="24">
        <f t="shared" si="0"/>
        <v>856271.64969999995</v>
      </c>
      <c r="H38" s="24">
        <f t="shared" si="6"/>
        <v>276580.74562499998</v>
      </c>
      <c r="I38" s="24">
        <f>SUMIFS(sales_data_1[Profit_Margin],sales_data_1[Year],2024, sales_data_1[month], $B38, sales_data_1[Sales_Rep], "Bob", sales_data_1[Product_Category], I$10)</f>
        <v>167650.57920000001</v>
      </c>
      <c r="J38" s="24">
        <f>SUMIFS(sales_data_1[Profit_Margin],sales_data_1[Year],2024, sales_data_1[month], $B38, sales_data_1[Sales_Rep], "Bob", sales_data_1[Product_Category], J$10)</f>
        <v>289965.82900000003</v>
      </c>
      <c r="K38" s="24">
        <f>SUMIFS(sales_data_1[Profit_Margin],sales_data_1[Year],2024, sales_data_1[month], $B38, sales_data_1[Sales_Rep], "Bob", sales_data_1[Product_Category], K$10)</f>
        <v>15375.487999999994</v>
      </c>
      <c r="L38" s="24">
        <f>SUMIFS(sales_data_1[Profit_Margin],sales_data_1[Year],2024, sales_data_1[month], $B38, sales_data_1[Sales_Rep], "Bob", sales_data_1[Product_Category], L$10)</f>
        <v>44424.543199999993</v>
      </c>
      <c r="M38" s="24">
        <f t="shared" si="1"/>
        <v>517416.43940000009</v>
      </c>
      <c r="N38" s="24">
        <f t="shared" si="7"/>
        <v>235761.89587499996</v>
      </c>
      <c r="O38" s="24">
        <f>SUMIFS(sales_data_1[Profit_Margin],sales_data_1[Year],2024, sales_data_1[month], $B38, sales_data_1[Sales_Rep], "Charlie", sales_data_1[Product_Category], O$10)</f>
        <v>18173.227999999996</v>
      </c>
      <c r="P38" s="24">
        <f>SUMIFS(sales_data_1[Profit_Margin],sales_data_1[Year],2024, sales_data_1[month], $B38, sales_data_1[Sales_Rep], "Charlie", sales_data_1[Product_Category], P$10)</f>
        <v>25902.353999999999</v>
      </c>
      <c r="Q38" s="24">
        <f>SUMIFS(sales_data_1[Profit_Margin],sales_data_1[Year],2024, sales_data_1[month], $B38, sales_data_1[Sales_Rep], "Charlie", sales_data_1[Product_Category], Q$10)</f>
        <v>22999.071999999996</v>
      </c>
      <c r="R38" s="24">
        <f>SUMIFS(sales_data_1[Profit_Margin],sales_data_1[Year],2024, sales_data_1[month], $B38, sales_data_1[Sales_Rep], "Charlie", sales_data_1[Product_Category], R$10)</f>
        <v>44636.778000000006</v>
      </c>
      <c r="S38" s="24">
        <f t="shared" si="2"/>
        <v>111711.432</v>
      </c>
      <c r="T38" s="24">
        <f t="shared" si="8"/>
        <v>239063.93190833332</v>
      </c>
      <c r="U38" s="24">
        <f>SUMIFS(sales_data_1[Profit_Margin],sales_data_1[Year],2024, sales_data_1[month], $B38, sales_data_1[Sales_Rep], "David", sales_data_1[Product_Category], U$10)</f>
        <v>166466.99359999999</v>
      </c>
      <c r="V38" s="24">
        <f>SUMIFS(sales_data_1[Profit_Margin],sales_data_1[Year],2024, sales_data_1[month], $B38, sales_data_1[Sales_Rep], "David", sales_data_1[Product_Category], V$10)</f>
        <v>59354.960799999993</v>
      </c>
      <c r="W38" s="24">
        <f>SUMIFS(sales_data_1[Profit_Margin],sales_data_1[Year],2024, sales_data_1[month], $B38, sales_data_1[Sales_Rep], "David", sales_data_1[Product_Category], W$10)</f>
        <v>84117.006400000013</v>
      </c>
      <c r="X38" s="24">
        <f>SUMIFS(sales_data_1[Profit_Margin],sales_data_1[Year],2024, sales_data_1[month], $B38, sales_data_1[Sales_Rep], "David", sales_data_1[Product_Category], R$10)</f>
        <v>210324.6563</v>
      </c>
      <c r="Y38" s="24">
        <f t="shared" si="3"/>
        <v>520263.61710000003</v>
      </c>
      <c r="Z38" s="24">
        <f t="shared" si="9"/>
        <v>238200.94943333336</v>
      </c>
      <c r="AA38" s="24">
        <f>SUMIFS(sales_data_1[Profit_Margin],sales_data_1[Year],2024, sales_data_1[month], $B38, sales_data_1[Sales_Rep], "Eve", sales_data_1[Product_Category], U$10)</f>
        <v>172871.31939999995</v>
      </c>
      <c r="AB38" s="24">
        <f>SUMIFS(sales_data_1[Profit_Margin],sales_data_1[Year],2024, sales_data_1[month], $B38, sales_data_1[Sales_Rep], "Eve", sales_data_1[Product_Category], V$10)</f>
        <v>161864.655</v>
      </c>
      <c r="AC38" s="24">
        <f>SUMIFS(sales_data_1[Profit_Margin],sales_data_1[Year],2024, sales_data_1[month], $B38, sales_data_1[Sales_Rep], "Eve", sales_data_1[Product_Category], W$10)</f>
        <v>252129.53129999997</v>
      </c>
      <c r="AD38" s="24">
        <f>SUMIFS(sales_data_1[Profit_Margin],sales_data_1[Year],2024, sales_data_1[month], $B38, sales_data_1[Sales_Rep], "Eve", sales_data_1[Product_Category], R$10)</f>
        <v>31030.004500000006</v>
      </c>
      <c r="AE38" s="24">
        <f t="shared" si="4"/>
        <v>617895.5101999999</v>
      </c>
      <c r="AF38" s="104">
        <f t="shared" si="10"/>
        <v>261852.20528333334</v>
      </c>
      <c r="AG38" s="24">
        <f t="shared" si="5"/>
        <v>2623558.6483999998</v>
      </c>
      <c r="AH38" s="24">
        <f t="shared" si="11"/>
        <v>1251459.7281249999</v>
      </c>
    </row>
    <row r="39" spans="1:34" x14ac:dyDescent="0.35">
      <c r="A39" s="5"/>
      <c r="B39" s="5" t="s">
        <v>49</v>
      </c>
      <c r="C39" s="24">
        <f>SUMIFS(sales_data_1[Profit_Margin],sales_data_1[Year],2024, sales_data_1[month], $B39, sales_data_1[Sales_Rep], "Alice", sales_data_1[Product_Category], C$10)</f>
        <v>229167.90650000001</v>
      </c>
      <c r="D39" s="24">
        <f>SUMIFS(sales_data_1[Profit_Margin],sales_data_1[Year],2024, sales_data_1[month], $B39, sales_data_1[Sales_Rep], "Alice", sales_data_1[Product_Category], D$10)</f>
        <v>161098.84229999999</v>
      </c>
      <c r="E39" s="24">
        <f>SUMIFS(sales_data_1[Profit_Margin],sales_data_1[Year],2024, sales_data_1[month], $B39, sales_data_1[Sales_Rep], "Alice", sales_data_1[Product_Category], E$10)</f>
        <v>395776.42430000001</v>
      </c>
      <c r="F39" s="24">
        <f>SUMIFS(sales_data_1[Profit_Margin],sales_data_1[Year],2024, sales_data_1[month], $B39, sales_data_1[Sales_Rep], "Alice", sales_data_1[Product_Category], F$10)</f>
        <v>303127.82449999999</v>
      </c>
      <c r="G39" s="24">
        <f t="shared" si="0"/>
        <v>1089170.9975999999</v>
      </c>
      <c r="H39" s="24">
        <f t="shared" si="6"/>
        <v>362050.89536666666</v>
      </c>
      <c r="I39" s="24">
        <f>SUMIFS(sales_data_1[Profit_Margin],sales_data_1[Year],2024, sales_data_1[month], $B39, sales_data_1[Sales_Rep], "Bob", sales_data_1[Product_Category], I$10)</f>
        <v>117162.15070000001</v>
      </c>
      <c r="J39" s="24">
        <f>SUMIFS(sales_data_1[Profit_Margin],sales_data_1[Year],2024, sales_data_1[month], $B39, sales_data_1[Sales_Rep], "Bob", sales_data_1[Product_Category], J$10)</f>
        <v>30490.238400000002</v>
      </c>
      <c r="K39" s="24">
        <f>SUMIFS(sales_data_1[Profit_Margin],sales_data_1[Year],2024, sales_data_1[month], $B39, sales_data_1[Sales_Rep], "Bob", sales_data_1[Product_Category], K$10)</f>
        <v>126484.69499999998</v>
      </c>
      <c r="L39" s="24">
        <f>SUMIFS(sales_data_1[Profit_Margin],sales_data_1[Year],2024, sales_data_1[month], $B39, sales_data_1[Sales_Rep], "Bob", sales_data_1[Product_Category], L$10)</f>
        <v>220233.10110000003</v>
      </c>
      <c r="M39" s="24">
        <f t="shared" si="1"/>
        <v>494370.18520000001</v>
      </c>
      <c r="N39" s="24">
        <f t="shared" si="7"/>
        <v>271306.69091666664</v>
      </c>
      <c r="O39" s="24">
        <f>SUMIFS(sales_data_1[Profit_Margin],sales_data_1[Year],2024, sales_data_1[month], $B39, sales_data_1[Sales_Rep], "Charlie", sales_data_1[Product_Category], O$10)</f>
        <v>142947.20070000002</v>
      </c>
      <c r="P39" s="24">
        <f>SUMIFS(sales_data_1[Profit_Margin],sales_data_1[Year],2024, sales_data_1[month], $B39, sales_data_1[Sales_Rep], "Charlie", sales_data_1[Product_Category], P$10)</f>
        <v>0</v>
      </c>
      <c r="Q39" s="24">
        <f>SUMIFS(sales_data_1[Profit_Margin],sales_data_1[Year],2024, sales_data_1[month], $B39, sales_data_1[Sales_Rep], "Charlie", sales_data_1[Product_Category], Q$10)</f>
        <v>172020.35129999998</v>
      </c>
      <c r="R39" s="24">
        <f>SUMIFS(sales_data_1[Profit_Margin],sales_data_1[Year],2024, sales_data_1[month], $B39, sales_data_1[Sales_Rep], "Charlie", sales_data_1[Product_Category], R$10)</f>
        <v>115776.94819999998</v>
      </c>
      <c r="S39" s="24">
        <f t="shared" si="2"/>
        <v>430744.50020000001</v>
      </c>
      <c r="T39" s="24">
        <f t="shared" si="8"/>
        <v>270757.174275</v>
      </c>
      <c r="U39" s="24">
        <f>SUMIFS(sales_data_1[Profit_Margin],sales_data_1[Year],2024, sales_data_1[month], $B39, sales_data_1[Sales_Rep], "David", sales_data_1[Product_Category], U$10)</f>
        <v>0</v>
      </c>
      <c r="V39" s="24">
        <f>SUMIFS(sales_data_1[Profit_Margin],sales_data_1[Year],2024, sales_data_1[month], $B39, sales_data_1[Sales_Rep], "David", sales_data_1[Product_Category], V$10)</f>
        <v>196427.68939999997</v>
      </c>
      <c r="W39" s="24">
        <f>SUMIFS(sales_data_1[Profit_Margin],sales_data_1[Year],2024, sales_data_1[month], $B39, sales_data_1[Sales_Rep], "David", sales_data_1[Product_Category], W$10)</f>
        <v>217630.0049</v>
      </c>
      <c r="X39" s="24">
        <f>SUMIFS(sales_data_1[Profit_Margin],sales_data_1[Year],2024, sales_data_1[month], $B39, sales_data_1[Sales_Rep], "David", sales_data_1[Product_Category], R$10)</f>
        <v>225087.92499999999</v>
      </c>
      <c r="Y39" s="24">
        <f t="shared" si="3"/>
        <v>639145.6192999999</v>
      </c>
      <c r="Z39" s="24">
        <f t="shared" si="9"/>
        <v>285186.82767500001</v>
      </c>
      <c r="AA39" s="24">
        <f>SUMIFS(sales_data_1[Profit_Margin],sales_data_1[Year],2024, sales_data_1[month], $B39, sales_data_1[Sales_Rep], "Eve", sales_data_1[Product_Category], U$10)</f>
        <v>252707.5062</v>
      </c>
      <c r="AB39" s="24">
        <f>SUMIFS(sales_data_1[Profit_Margin],sales_data_1[Year],2024, sales_data_1[month], $B39, sales_data_1[Sales_Rep], "Eve", sales_data_1[Product_Category], V$10)</f>
        <v>295600.24680000002</v>
      </c>
      <c r="AC39" s="24">
        <f>SUMIFS(sales_data_1[Profit_Margin],sales_data_1[Year],2024, sales_data_1[month], $B39, sales_data_1[Sales_Rep], "Eve", sales_data_1[Product_Category], W$10)</f>
        <v>73135.234399999987</v>
      </c>
      <c r="AD39" s="24">
        <f>SUMIFS(sales_data_1[Profit_Margin],sales_data_1[Year],2024, sales_data_1[month], $B39, sales_data_1[Sales_Rep], "Eve", sales_data_1[Product_Category], R$10)</f>
        <v>450321.33010000002</v>
      </c>
      <c r="AE39" s="24">
        <f t="shared" si="4"/>
        <v>1071764.3174999999</v>
      </c>
      <c r="AF39" s="104">
        <f t="shared" si="10"/>
        <v>346357.408925</v>
      </c>
      <c r="AG39" s="24">
        <f t="shared" si="5"/>
        <v>3725195.6197999995</v>
      </c>
      <c r="AH39" s="24">
        <f t="shared" si="11"/>
        <v>1535658.997158333</v>
      </c>
    </row>
    <row r="40" spans="1:34" x14ac:dyDescent="0.35">
      <c r="A40" s="5"/>
      <c r="B40" s="5" t="s">
        <v>50</v>
      </c>
      <c r="C40" s="24">
        <f>SUMIFS(sales_data_1[Profit_Margin],sales_data_1[Year],2024, sales_data_1[month], $B40, sales_data_1[Sales_Rep], "Alice", sales_data_1[Product_Category], C$10)</f>
        <v>180524.5012</v>
      </c>
      <c r="D40" s="24">
        <f>SUMIFS(sales_data_1[Profit_Margin],sales_data_1[Year],2024, sales_data_1[month], $B40, sales_data_1[Sales_Rep], "Alice", sales_data_1[Product_Category], D$10)</f>
        <v>149171.05320000002</v>
      </c>
      <c r="E40" s="24">
        <f>SUMIFS(sales_data_1[Profit_Margin],sales_data_1[Year],2024, sales_data_1[month], $B40, sales_data_1[Sales_Rep], "Alice", sales_data_1[Product_Category], E$10)</f>
        <v>81063.475599999962</v>
      </c>
      <c r="F40" s="24">
        <f>SUMIFS(sales_data_1[Profit_Margin],sales_data_1[Year],2024, sales_data_1[month], $B40, sales_data_1[Sales_Rep], "Alice", sales_data_1[Product_Category], F$10)</f>
        <v>231833.8578</v>
      </c>
      <c r="G40" s="24">
        <f t="shared" si="0"/>
        <v>642592.88779999991</v>
      </c>
      <c r="H40" s="24">
        <f t="shared" si="6"/>
        <v>410517.66055833321</v>
      </c>
      <c r="I40" s="24">
        <f>SUMIFS(sales_data_1[Profit_Margin],sales_data_1[Year],2024, sales_data_1[month], $B40, sales_data_1[Sales_Rep], "Bob", sales_data_1[Product_Category], I$10)</f>
        <v>32433.666799999999</v>
      </c>
      <c r="J40" s="24">
        <f>SUMIFS(sales_data_1[Profit_Margin],sales_data_1[Year],2024, sales_data_1[month], $B40, sales_data_1[Sales_Rep], "Bob", sales_data_1[Product_Category], J$10)</f>
        <v>116240.35779999998</v>
      </c>
      <c r="K40" s="24">
        <f>SUMIFS(sales_data_1[Profit_Margin],sales_data_1[Year],2024, sales_data_1[month], $B40, sales_data_1[Sales_Rep], "Bob", sales_data_1[Product_Category], K$10)</f>
        <v>89017.151799999992</v>
      </c>
      <c r="L40" s="24">
        <f>SUMIFS(sales_data_1[Profit_Margin],sales_data_1[Year],2024, sales_data_1[month], $B40, sales_data_1[Sales_Rep], "Bob", sales_data_1[Product_Category], L$10)</f>
        <v>184165.79640000002</v>
      </c>
      <c r="M40" s="24">
        <f t="shared" si="1"/>
        <v>421856.97279999999</v>
      </c>
      <c r="N40" s="24">
        <f t="shared" si="7"/>
        <v>300066.20931666665</v>
      </c>
      <c r="O40" s="24">
        <f>SUMIFS(sales_data_1[Profit_Margin],sales_data_1[Year],2024, sales_data_1[month], $B40, sales_data_1[Sales_Rep], "Charlie", sales_data_1[Product_Category], O$10)</f>
        <v>179152.38879999999</v>
      </c>
      <c r="P40" s="24">
        <f>SUMIFS(sales_data_1[Profit_Margin],sales_data_1[Year],2024, sales_data_1[month], $B40, sales_data_1[Sales_Rep], "Charlie", sales_data_1[Product_Category], P$10)</f>
        <v>141214.74900000004</v>
      </c>
      <c r="Q40" s="24">
        <f>SUMIFS(sales_data_1[Profit_Margin],sales_data_1[Year],2024, sales_data_1[month], $B40, sales_data_1[Sales_Rep], "Charlie", sales_data_1[Product_Category], Q$10)</f>
        <v>95344.680300000007</v>
      </c>
      <c r="R40" s="24">
        <f>SUMIFS(sales_data_1[Profit_Margin],sales_data_1[Year],2024, sales_data_1[month], $B40, sales_data_1[Sales_Rep], "Charlie", sales_data_1[Product_Category], R$10)</f>
        <v>116208.4154</v>
      </c>
      <c r="S40" s="24">
        <f t="shared" si="2"/>
        <v>531920.23350000009</v>
      </c>
      <c r="T40" s="24">
        <f t="shared" si="8"/>
        <v>311158.63310000004</v>
      </c>
      <c r="U40" s="24">
        <f>SUMIFS(sales_data_1[Profit_Margin],sales_data_1[Year],2024, sales_data_1[month], $B40, sales_data_1[Sales_Rep], "David", sales_data_1[Product_Category], U$10)</f>
        <v>184183.23999999996</v>
      </c>
      <c r="V40" s="24">
        <f>SUMIFS(sales_data_1[Profit_Margin],sales_data_1[Year],2024, sales_data_1[month], $B40, sales_data_1[Sales_Rep], "David", sales_data_1[Product_Category], V$10)</f>
        <v>120393.1954</v>
      </c>
      <c r="W40" s="24">
        <f>SUMIFS(sales_data_1[Profit_Margin],sales_data_1[Year],2024, sales_data_1[month], $B40, sales_data_1[Sales_Rep], "David", sales_data_1[Product_Category], W$10)</f>
        <v>274874.35030000005</v>
      </c>
      <c r="X40" s="24">
        <f>SUMIFS(sales_data_1[Profit_Margin],sales_data_1[Year],2024, sales_data_1[month], $B40, sales_data_1[Sales_Rep], "David", sales_data_1[Product_Category], R$10)</f>
        <v>12804.036000000002</v>
      </c>
      <c r="Y40" s="24">
        <f t="shared" si="3"/>
        <v>592254.82169999997</v>
      </c>
      <c r="Z40" s="24">
        <f t="shared" si="9"/>
        <v>328674.32924999995</v>
      </c>
      <c r="AA40" s="24">
        <f>SUMIFS(sales_data_1[Profit_Margin],sales_data_1[Year],2024, sales_data_1[month], $B40, sales_data_1[Sales_Rep], "Eve", sales_data_1[Product_Category], U$10)</f>
        <v>52659.355799999998</v>
      </c>
      <c r="AB40" s="24">
        <f>SUMIFS(sales_data_1[Profit_Margin],sales_data_1[Year],2024, sales_data_1[month], $B40, sales_data_1[Sales_Rep], "Eve", sales_data_1[Product_Category], V$10)</f>
        <v>132319.7225</v>
      </c>
      <c r="AC40" s="24">
        <f>SUMIFS(sales_data_1[Profit_Margin],sales_data_1[Year],2024, sales_data_1[month], $B40, sales_data_1[Sales_Rep], "Eve", sales_data_1[Product_Category], W$10)</f>
        <v>179208.25170000002</v>
      </c>
      <c r="AD40" s="24">
        <f>SUMIFS(sales_data_1[Profit_Margin],sales_data_1[Year],2024, sales_data_1[month], $B40, sales_data_1[Sales_Rep], "Eve", sales_data_1[Product_Category], R$10)</f>
        <v>72874.105700000015</v>
      </c>
      <c r="AE40" s="24">
        <f t="shared" si="4"/>
        <v>437061.43570000003</v>
      </c>
      <c r="AF40" s="104">
        <f t="shared" si="10"/>
        <v>373388.96880833333</v>
      </c>
      <c r="AG40" s="24">
        <f t="shared" si="5"/>
        <v>2625686.3514999999</v>
      </c>
      <c r="AH40" s="24">
        <f t="shared" si="11"/>
        <v>1723805.8010333332</v>
      </c>
    </row>
    <row r="41" spans="1:34" x14ac:dyDescent="0.35">
      <c r="A41" s="5"/>
      <c r="B41" s="5" t="s">
        <v>51</v>
      </c>
      <c r="C41" s="24">
        <f>SUMIFS(sales_data_1[Profit_Margin],sales_data_1[Year],2024, sales_data_1[month], $B41, sales_data_1[Sales_Rep], "Alice", sales_data_1[Product_Category], C$10)</f>
        <v>50257.671199999968</v>
      </c>
      <c r="D41" s="24">
        <f>SUMIFS(sales_data_1[Profit_Margin],sales_data_1[Year],2024, sales_data_1[month], $B41, sales_data_1[Sales_Rep], "Alice", sales_data_1[Product_Category], D$10)</f>
        <v>242649.97919999997</v>
      </c>
      <c r="E41" s="24">
        <f>SUMIFS(sales_data_1[Profit_Margin],sales_data_1[Year],2024, sales_data_1[month], $B41, sales_data_1[Sales_Rep], "Alice", sales_data_1[Product_Category], E$10)</f>
        <v>395008.42440000002</v>
      </c>
      <c r="F41" s="24">
        <f>SUMIFS(sales_data_1[Profit_Margin],sales_data_1[Year],2024, sales_data_1[month], $B41, sales_data_1[Sales_Rep], "Alice", sales_data_1[Product_Category], F$10)</f>
        <v>182846.35829999999</v>
      </c>
      <c r="G41" s="24">
        <f t="shared" si="0"/>
        <v>870762.43309999991</v>
      </c>
      <c r="H41" s="24">
        <f t="shared" si="6"/>
        <v>477638.79529999994</v>
      </c>
      <c r="I41" s="24">
        <f>SUMIFS(sales_data_1[Profit_Margin],sales_data_1[Year],2024, sales_data_1[month], $B41, sales_data_1[Sales_Rep], "Bob", sales_data_1[Product_Category], I$10)</f>
        <v>24628.631800000003</v>
      </c>
      <c r="J41" s="24">
        <f>SUMIFS(sales_data_1[Profit_Margin],sales_data_1[Year],2024, sales_data_1[month], $B41, sales_data_1[Sales_Rep], "Bob", sales_data_1[Product_Category], J$10)</f>
        <v>169582.4442</v>
      </c>
      <c r="K41" s="24">
        <f>SUMIFS(sales_data_1[Profit_Margin],sales_data_1[Year],2024, sales_data_1[month], $B41, sales_data_1[Sales_Rep], "Bob", sales_data_1[Product_Category], K$10)</f>
        <v>102690.17450000001</v>
      </c>
      <c r="L41" s="24">
        <f>SUMIFS(sales_data_1[Profit_Margin],sales_data_1[Year],2024, sales_data_1[month], $B41, sales_data_1[Sales_Rep], "Bob", sales_data_1[Product_Category], L$10)</f>
        <v>296089.95700000005</v>
      </c>
      <c r="M41" s="24">
        <f t="shared" si="1"/>
        <v>592991.20750000002</v>
      </c>
      <c r="N41" s="24">
        <f t="shared" si="7"/>
        <v>347323.82407500001</v>
      </c>
      <c r="O41" s="24">
        <f>SUMIFS(sales_data_1[Profit_Margin],sales_data_1[Year],2024, sales_data_1[month], $B41, sales_data_1[Sales_Rep], "Charlie", sales_data_1[Product_Category], O$10)</f>
        <v>0</v>
      </c>
      <c r="P41" s="24">
        <f>SUMIFS(sales_data_1[Profit_Margin],sales_data_1[Year],2024, sales_data_1[month], $B41, sales_data_1[Sales_Rep], "Charlie", sales_data_1[Product_Category], P$10)</f>
        <v>26221.995200000016</v>
      </c>
      <c r="Q41" s="24">
        <f>SUMIFS(sales_data_1[Profit_Margin],sales_data_1[Year],2024, sales_data_1[month], $B41, sales_data_1[Sales_Rep], "Charlie", sales_data_1[Product_Category], Q$10)</f>
        <v>188306.98959999997</v>
      </c>
      <c r="R41" s="24">
        <f>SUMIFS(sales_data_1[Profit_Margin],sales_data_1[Year],2024, sales_data_1[month], $B41, sales_data_1[Sales_Rep], "Charlie", sales_data_1[Product_Category], R$10)</f>
        <v>55821.635599999994</v>
      </c>
      <c r="S41" s="24">
        <f t="shared" si="2"/>
        <v>270350.62039999996</v>
      </c>
      <c r="T41" s="24">
        <f t="shared" si="8"/>
        <v>330251.47513333336</v>
      </c>
      <c r="U41" s="24">
        <f>SUMIFS(sales_data_1[Profit_Margin],sales_data_1[Year],2024, sales_data_1[month], $B41, sales_data_1[Sales_Rep], "David", sales_data_1[Product_Category], U$10)</f>
        <v>188561.77160000001</v>
      </c>
      <c r="V41" s="24">
        <f>SUMIFS(sales_data_1[Profit_Margin],sales_data_1[Year],2024, sales_data_1[month], $B41, sales_data_1[Sales_Rep], "David", sales_data_1[Product_Category], V$10)</f>
        <v>122276.22979999999</v>
      </c>
      <c r="W41" s="24">
        <f>SUMIFS(sales_data_1[Profit_Margin],sales_data_1[Year],2024, sales_data_1[month], $B41, sales_data_1[Sales_Rep], "David", sales_data_1[Product_Category], W$10)</f>
        <v>59479.1348</v>
      </c>
      <c r="X41" s="24">
        <f>SUMIFS(sales_data_1[Profit_Margin],sales_data_1[Year],2024, sales_data_1[month], $B41, sales_data_1[Sales_Rep], "David", sales_data_1[Product_Category], R$10)</f>
        <v>221307.84759999998</v>
      </c>
      <c r="Y41" s="24">
        <f t="shared" si="3"/>
        <v>591624.98380000005</v>
      </c>
      <c r="Z41" s="24">
        <f t="shared" si="9"/>
        <v>374830.00749166665</v>
      </c>
      <c r="AA41" s="24">
        <f>SUMIFS(sales_data_1[Profit_Margin],sales_data_1[Year],2024, sales_data_1[month], $B41, sales_data_1[Sales_Rep], "Eve", sales_data_1[Product_Category], U$10)</f>
        <v>131868.19309999997</v>
      </c>
      <c r="AB41" s="24">
        <f>SUMIFS(sales_data_1[Profit_Margin],sales_data_1[Year],2024, sales_data_1[month], $B41, sales_data_1[Sales_Rep], "Eve", sales_data_1[Product_Category], V$10)</f>
        <v>58891.391000000003</v>
      </c>
      <c r="AC41" s="24">
        <f>SUMIFS(sales_data_1[Profit_Margin],sales_data_1[Year],2024, sales_data_1[month], $B41, sales_data_1[Sales_Rep], "Eve", sales_data_1[Product_Category], W$10)</f>
        <v>318600.80800000002</v>
      </c>
      <c r="AD41" s="24">
        <f>SUMIFS(sales_data_1[Profit_Margin],sales_data_1[Year],2024, sales_data_1[month], $B41, sales_data_1[Sales_Rep], "Eve", sales_data_1[Product_Category], R$10)</f>
        <v>11046.995999999981</v>
      </c>
      <c r="AE41" s="24">
        <f t="shared" si="4"/>
        <v>520407.38809999998</v>
      </c>
      <c r="AF41" s="104">
        <f t="shared" si="10"/>
        <v>410941.64649166662</v>
      </c>
      <c r="AG41" s="24">
        <f t="shared" si="5"/>
        <v>2846136.6329000001</v>
      </c>
      <c r="AH41" s="24">
        <f t="shared" si="11"/>
        <v>1940985.7484916665</v>
      </c>
    </row>
    <row r="42" spans="1:34" x14ac:dyDescent="0.35">
      <c r="A42" s="5"/>
      <c r="B42" s="5" t="s">
        <v>52</v>
      </c>
      <c r="C42" s="24">
        <f>SUMIFS(sales_data_1[Profit_Margin],sales_data_1[Year],2024, sales_data_1[month], $B42, sales_data_1[Sales_Rep], "Alice", sales_data_1[Product_Category], C$10)</f>
        <v>155039.37</v>
      </c>
      <c r="D42" s="24">
        <f>SUMIFS(sales_data_1[Profit_Margin],sales_data_1[Year],2024, sales_data_1[month], $B42, sales_data_1[Sales_Rep], "Alice", sales_data_1[Product_Category], D$10)</f>
        <v>116366.1634</v>
      </c>
      <c r="E42" s="24">
        <f>SUMIFS(sales_data_1[Profit_Margin],sales_data_1[Year],2024, sales_data_1[month], $B42, sales_data_1[Sales_Rep], "Alice", sales_data_1[Product_Category], E$10)</f>
        <v>78001.141499999998</v>
      </c>
      <c r="F42" s="24">
        <f>SUMIFS(sales_data_1[Profit_Margin],sales_data_1[Year],2024, sales_data_1[month], $B42, sales_data_1[Sales_Rep], "Alice", sales_data_1[Product_Category], F$10)</f>
        <v>6710.6072999999806</v>
      </c>
      <c r="G42" s="24">
        <f t="shared" si="0"/>
        <v>356117.28219999996</v>
      </c>
      <c r="H42" s="24">
        <f t="shared" si="6"/>
        <v>500466.58185000002</v>
      </c>
      <c r="I42" s="24">
        <f>SUMIFS(sales_data_1[Profit_Margin],sales_data_1[Year],2024, sales_data_1[month], $B42, sales_data_1[Sales_Rep], "Bob", sales_data_1[Product_Category], I$10)</f>
        <v>46708.038099999991</v>
      </c>
      <c r="J42" s="24">
        <f>SUMIFS(sales_data_1[Profit_Margin],sales_data_1[Year],2024, sales_data_1[month], $B42, sales_data_1[Sales_Rep], "Bob", sales_data_1[Product_Category], J$10)</f>
        <v>255498.77859999996</v>
      </c>
      <c r="K42" s="24">
        <f>SUMIFS(sales_data_1[Profit_Margin],sales_data_1[Year],2024, sales_data_1[month], $B42, sales_data_1[Sales_Rep], "Bob", sales_data_1[Product_Category], K$10)</f>
        <v>220427.38949999996</v>
      </c>
      <c r="L42" s="24">
        <f>SUMIFS(sales_data_1[Profit_Margin],sales_data_1[Year],2024, sales_data_1[month], $B42, sales_data_1[Sales_Rep], "Bob", sales_data_1[Product_Category], L$10)</f>
        <v>255019.71029999998</v>
      </c>
      <c r="M42" s="24">
        <f t="shared" si="1"/>
        <v>777653.91649999982</v>
      </c>
      <c r="N42" s="24">
        <f t="shared" si="7"/>
        <v>406193.36348333332</v>
      </c>
      <c r="O42" s="24">
        <f>SUMIFS(sales_data_1[Profit_Margin],sales_data_1[Year],2024, sales_data_1[month], $B42, sales_data_1[Sales_Rep], "Charlie", sales_data_1[Product_Category], O$10)</f>
        <v>8375.5775999999987</v>
      </c>
      <c r="P42" s="24">
        <f>SUMIFS(sales_data_1[Profit_Margin],sales_data_1[Year],2024, sales_data_1[month], $B42, sales_data_1[Sales_Rep], "Charlie", sales_data_1[Product_Category], P$10)</f>
        <v>168693.69099999999</v>
      </c>
      <c r="Q42" s="24">
        <f>SUMIFS(sales_data_1[Profit_Margin],sales_data_1[Year],2024, sales_data_1[month], $B42, sales_data_1[Sales_Rep], "Charlie", sales_data_1[Product_Category], Q$10)</f>
        <v>120484.04709999998</v>
      </c>
      <c r="R42" s="24">
        <f>SUMIFS(sales_data_1[Profit_Margin],sales_data_1[Year],2024, sales_data_1[month], $B42, sales_data_1[Sales_Rep], "Charlie", sales_data_1[Product_Category], R$10)</f>
        <v>35949.065000000002</v>
      </c>
      <c r="S42" s="24">
        <f t="shared" si="2"/>
        <v>333502.38069999998</v>
      </c>
      <c r="T42" s="24">
        <f t="shared" si="8"/>
        <v>354839.74444999994</v>
      </c>
      <c r="U42" s="24">
        <f>SUMIFS(sales_data_1[Profit_Margin],sales_data_1[Year],2024, sales_data_1[month], $B42, sales_data_1[Sales_Rep], "David", sales_data_1[Product_Category], U$10)</f>
        <v>131997.93280000001</v>
      </c>
      <c r="V42" s="24">
        <f>SUMIFS(sales_data_1[Profit_Margin],sales_data_1[Year],2024, sales_data_1[month], $B42, sales_data_1[Sales_Rep], "David", sales_data_1[Product_Category], V$10)</f>
        <v>106296.84480000002</v>
      </c>
      <c r="W42" s="24">
        <f>SUMIFS(sales_data_1[Profit_Margin],sales_data_1[Year],2024, sales_data_1[month], $B42, sales_data_1[Sales_Rep], "David", sales_data_1[Product_Category], W$10)</f>
        <v>82302.518000000011</v>
      </c>
      <c r="X42" s="24">
        <f>SUMIFS(sales_data_1[Profit_Margin],sales_data_1[Year],2024, sales_data_1[month], $B42, sales_data_1[Sales_Rep], "David", sales_data_1[Product_Category], R$10)</f>
        <v>21295.125</v>
      </c>
      <c r="Y42" s="24">
        <f t="shared" si="3"/>
        <v>341892.42060000007</v>
      </c>
      <c r="Z42" s="24">
        <f t="shared" si="9"/>
        <v>396299.11423333338</v>
      </c>
      <c r="AA42" s="24">
        <f>SUMIFS(sales_data_1[Profit_Margin],sales_data_1[Year],2024, sales_data_1[month], $B42, sales_data_1[Sales_Rep], "Eve", sales_data_1[Product_Category], U$10)</f>
        <v>80648.590999999986</v>
      </c>
      <c r="AB42" s="24">
        <f>SUMIFS(sales_data_1[Profit_Margin],sales_data_1[Year],2024, sales_data_1[month], $B42, sales_data_1[Sales_Rep], "Eve", sales_data_1[Product_Category], V$10)</f>
        <v>43104.759599999998</v>
      </c>
      <c r="AC42" s="24">
        <f>SUMIFS(sales_data_1[Profit_Margin],sales_data_1[Year],2024, sales_data_1[month], $B42, sales_data_1[Sales_Rep], "Eve", sales_data_1[Product_Category], W$10)</f>
        <v>219404.08929999996</v>
      </c>
      <c r="AD42" s="24">
        <f>SUMIFS(sales_data_1[Profit_Margin],sales_data_1[Year],2024, sales_data_1[month], $B42, sales_data_1[Sales_Rep], "Eve", sales_data_1[Product_Category], R$10)</f>
        <v>148790.46379999997</v>
      </c>
      <c r="AE42" s="24">
        <f t="shared" si="4"/>
        <v>491947.90369999991</v>
      </c>
      <c r="AF42" s="104">
        <f t="shared" si="10"/>
        <v>445409.32964999997</v>
      </c>
      <c r="AG42" s="24">
        <f t="shared" si="5"/>
        <v>2301113.9036999997</v>
      </c>
      <c r="AH42" s="24">
        <f t="shared" si="11"/>
        <v>2103208.1336666662</v>
      </c>
    </row>
    <row r="43" spans="1:34" x14ac:dyDescent="0.35">
      <c r="A43" s="5"/>
      <c r="B43" s="5" t="s">
        <v>53</v>
      </c>
      <c r="C43" s="24">
        <f>SUMIFS(sales_data_1[Profit_Margin],sales_data_1[Year],2024, sales_data_1[month], $B43, sales_data_1[Sales_Rep], "Alice", sales_data_1[Product_Category], C$10)</f>
        <v>52791.085699999981</v>
      </c>
      <c r="D43" s="24">
        <f>SUMIFS(sales_data_1[Profit_Margin],sales_data_1[Year],2024, sales_data_1[month], $B43, sales_data_1[Sales_Rep], "Alice", sales_data_1[Product_Category], D$10)</f>
        <v>186794.8811</v>
      </c>
      <c r="E43" s="24">
        <f>SUMIFS(sales_data_1[Profit_Margin],sales_data_1[Year],2024, sales_data_1[month], $B43, sales_data_1[Sales_Rep], "Alice", sales_data_1[Product_Category], E$10)</f>
        <v>171964.61179999998</v>
      </c>
      <c r="F43" s="24">
        <f>SUMIFS(sales_data_1[Profit_Margin],sales_data_1[Year],2024, sales_data_1[month], $B43, sales_data_1[Sales_Rep], "Alice", sales_data_1[Product_Category], F$10)</f>
        <v>198349.42590000003</v>
      </c>
      <c r="G43" s="24">
        <f t="shared" si="0"/>
        <v>609900.00450000004</v>
      </c>
      <c r="H43" s="24">
        <f t="shared" si="6"/>
        <v>548433.08620833338</v>
      </c>
      <c r="I43" s="24">
        <f>SUMIFS(sales_data_1[Profit_Margin],sales_data_1[Year],2024, sales_data_1[month], $B43, sales_data_1[Sales_Rep], "Bob", sales_data_1[Product_Category], I$10)</f>
        <v>36846.661600000007</v>
      </c>
      <c r="J43" s="24">
        <f>SUMIFS(sales_data_1[Profit_Margin],sales_data_1[Year],2024, sales_data_1[month], $B43, sales_data_1[Sales_Rep], "Bob", sales_data_1[Product_Category], J$10)</f>
        <v>201461.3731</v>
      </c>
      <c r="K43" s="24">
        <f>SUMIFS(sales_data_1[Profit_Margin],sales_data_1[Year],2024, sales_data_1[month], $B43, sales_data_1[Sales_Rep], "Bob", sales_data_1[Product_Category], K$10)</f>
        <v>160168.3958</v>
      </c>
      <c r="L43" s="24">
        <f>SUMIFS(sales_data_1[Profit_Margin],sales_data_1[Year],2024, sales_data_1[month], $B43, sales_data_1[Sales_Rep], "Bob", sales_data_1[Product_Category], L$10)</f>
        <v>87779.416000000041</v>
      </c>
      <c r="M43" s="24">
        <f t="shared" si="1"/>
        <v>486255.84650000004</v>
      </c>
      <c r="N43" s="24">
        <f t="shared" si="7"/>
        <v>441950.04896666668</v>
      </c>
      <c r="O43" s="24">
        <f>SUMIFS(sales_data_1[Profit_Margin],sales_data_1[Year],2024, sales_data_1[month], $B43, sales_data_1[Sales_Rep], "Charlie", sales_data_1[Product_Category], O$10)</f>
        <v>108112.64360000001</v>
      </c>
      <c r="P43" s="24">
        <f>SUMIFS(sales_data_1[Profit_Margin],sales_data_1[Year],2024, sales_data_1[month], $B43, sales_data_1[Sales_Rep], "Charlie", sales_data_1[Product_Category], P$10)</f>
        <v>172361.1813</v>
      </c>
      <c r="Q43" s="24">
        <f>SUMIFS(sales_data_1[Profit_Margin],sales_data_1[Year],2024, sales_data_1[month], $B43, sales_data_1[Sales_Rep], "Charlie", sales_data_1[Product_Category], Q$10)</f>
        <v>147387.15130000003</v>
      </c>
      <c r="R43" s="24">
        <f>SUMIFS(sales_data_1[Profit_Margin],sales_data_1[Year],2024, sales_data_1[month], $B43, sales_data_1[Sales_Rep], "Charlie", sales_data_1[Product_Category], R$10)</f>
        <v>206035.07400000002</v>
      </c>
      <c r="S43" s="24">
        <f t="shared" si="2"/>
        <v>633896.05020000006</v>
      </c>
      <c r="T43" s="24">
        <f t="shared" si="8"/>
        <v>401301.25158333336</v>
      </c>
      <c r="U43" s="24">
        <f>SUMIFS(sales_data_1[Profit_Margin],sales_data_1[Year],2024, sales_data_1[month], $B43, sales_data_1[Sales_Rep], "David", sales_data_1[Product_Category], U$10)</f>
        <v>157805.51399999997</v>
      </c>
      <c r="V43" s="24">
        <f>SUMIFS(sales_data_1[Profit_Margin],sales_data_1[Year],2024, sales_data_1[month], $B43, sales_data_1[Sales_Rep], "David", sales_data_1[Product_Category], V$10)</f>
        <v>127957.25780000001</v>
      </c>
      <c r="W43" s="24">
        <f>SUMIFS(sales_data_1[Profit_Margin],sales_data_1[Year],2024, sales_data_1[month], $B43, sales_data_1[Sales_Rep], "David", sales_data_1[Product_Category], W$10)</f>
        <v>318099.04129999998</v>
      </c>
      <c r="X43" s="24">
        <f>SUMIFS(sales_data_1[Profit_Margin],sales_data_1[Year],2024, sales_data_1[month], $B43, sales_data_1[Sales_Rep], "David", sales_data_1[Product_Category], R$10)</f>
        <v>105732.42240000001</v>
      </c>
      <c r="Y43" s="24">
        <f t="shared" si="3"/>
        <v>709594.23549999995</v>
      </c>
      <c r="Z43" s="24">
        <f t="shared" si="9"/>
        <v>451359.47437499993</v>
      </c>
      <c r="AA43" s="24">
        <f>SUMIFS(sales_data_1[Profit_Margin],sales_data_1[Year],2024, sales_data_1[month], $B43, sales_data_1[Sales_Rep], "Eve", sales_data_1[Product_Category], U$10)</f>
        <v>196190.23869999999</v>
      </c>
      <c r="AB43" s="24">
        <f>SUMIFS(sales_data_1[Profit_Margin],sales_data_1[Year],2024, sales_data_1[month], $B43, sales_data_1[Sales_Rep], "Eve", sales_data_1[Product_Category], V$10)</f>
        <v>101189.432</v>
      </c>
      <c r="AC43" s="24">
        <f>SUMIFS(sales_data_1[Profit_Margin],sales_data_1[Year],2024, sales_data_1[month], $B43, sales_data_1[Sales_Rep], "Eve", sales_data_1[Product_Category], W$10)</f>
        <v>433626.99089999992</v>
      </c>
      <c r="AD43" s="24">
        <f>SUMIFS(sales_data_1[Profit_Margin],sales_data_1[Year],2024, sales_data_1[month], $B43, sales_data_1[Sales_Rep], "Eve", sales_data_1[Product_Category], R$10)</f>
        <v>41972.944799999997</v>
      </c>
      <c r="AE43" s="24">
        <f t="shared" si="4"/>
        <v>772979.60639999993</v>
      </c>
      <c r="AF43" s="104">
        <f t="shared" si="10"/>
        <v>504082.25559999997</v>
      </c>
      <c r="AG43" s="24">
        <f t="shared" si="5"/>
        <v>3212625.7431000001</v>
      </c>
      <c r="AH43" s="24">
        <f t="shared" si="11"/>
        <v>2347126.1167333326</v>
      </c>
    </row>
    <row r="44" spans="1:34" x14ac:dyDescent="0.35">
      <c r="A44" s="5"/>
      <c r="B44" s="5" t="s">
        <v>54</v>
      </c>
      <c r="C44" s="24">
        <f>SUMIFS(sales_data_1[Profit_Margin],sales_data_1[Year],2024, sales_data_1[month], $B44, sales_data_1[Sales_Rep], "Alice", sales_data_1[Product_Category], C$10)</f>
        <v>150254.18609999999</v>
      </c>
      <c r="D44" s="24">
        <f>SUMIFS(sales_data_1[Profit_Margin],sales_data_1[Year],2024, sales_data_1[month], $B44, sales_data_1[Sales_Rep], "Alice", sales_data_1[Product_Category], D$10)</f>
        <v>227540.74030000003</v>
      </c>
      <c r="E44" s="24">
        <f>SUMIFS(sales_data_1[Profit_Margin],sales_data_1[Year],2024, sales_data_1[month], $B44, sales_data_1[Sales_Rep], "Alice", sales_data_1[Product_Category], E$10)</f>
        <v>280969.50300000003</v>
      </c>
      <c r="F44" s="24">
        <f>SUMIFS(sales_data_1[Profit_Margin],sales_data_1[Year],2024, sales_data_1[month], $B44, sales_data_1[Sales_Rep], "Alice", sales_data_1[Product_Category], F$10)</f>
        <v>200374.35119999998</v>
      </c>
      <c r="G44" s="24">
        <f t="shared" si="0"/>
        <v>859138.78059999994</v>
      </c>
      <c r="H44" s="24">
        <f t="shared" si="6"/>
        <v>614522.61477500002</v>
      </c>
      <c r="I44" s="24">
        <f>SUMIFS(sales_data_1[Profit_Margin],sales_data_1[Year],2024, sales_data_1[month], $B44, sales_data_1[Sales_Rep], "Bob", sales_data_1[Product_Category], I$10)</f>
        <v>159962.99779999998</v>
      </c>
      <c r="J44" s="24">
        <f>SUMIFS(sales_data_1[Profit_Margin],sales_data_1[Year],2024, sales_data_1[month], $B44, sales_data_1[Sales_Rep], "Bob", sales_data_1[Product_Category], J$10)</f>
        <v>37986.714999999997</v>
      </c>
      <c r="K44" s="24">
        <f>SUMIFS(sales_data_1[Profit_Margin],sales_data_1[Year],2024, sales_data_1[month], $B44, sales_data_1[Sales_Rep], "Bob", sales_data_1[Product_Category], K$10)</f>
        <v>127893.14079999999</v>
      </c>
      <c r="L44" s="24">
        <f>SUMIFS(sales_data_1[Profit_Margin],sales_data_1[Year],2024, sales_data_1[month], $B44, sales_data_1[Sales_Rep], "Bob", sales_data_1[Product_Category], L$10)</f>
        <v>150454.1876</v>
      </c>
      <c r="M44" s="24">
        <f t="shared" si="1"/>
        <v>476297.04119999998</v>
      </c>
      <c r="N44" s="24">
        <f t="shared" si="7"/>
        <v>476168.41300833336</v>
      </c>
      <c r="O44" s="24">
        <f>SUMIFS(sales_data_1[Profit_Margin],sales_data_1[Year],2024, sales_data_1[month], $B44, sales_data_1[Sales_Rep], "Charlie", sales_data_1[Product_Category], O$10)</f>
        <v>212854.3627</v>
      </c>
      <c r="P44" s="24">
        <f>SUMIFS(sales_data_1[Profit_Margin],sales_data_1[Year],2024, sales_data_1[month], $B44, sales_data_1[Sales_Rep], "Charlie", sales_data_1[Product_Category], P$10)</f>
        <v>119119.1897</v>
      </c>
      <c r="Q44" s="24">
        <f>SUMIFS(sales_data_1[Profit_Margin],sales_data_1[Year],2024, sales_data_1[month], $B44, sales_data_1[Sales_Rep], "Charlie", sales_data_1[Product_Category], Q$10)</f>
        <v>246995.37260000003</v>
      </c>
      <c r="R44" s="24">
        <f>SUMIFS(sales_data_1[Profit_Margin],sales_data_1[Year],2024, sales_data_1[month], $B44, sales_data_1[Sales_Rep], "Charlie", sales_data_1[Product_Category], R$10)</f>
        <v>185237.53600000002</v>
      </c>
      <c r="S44" s="24">
        <f t="shared" si="2"/>
        <v>764206.46100000013</v>
      </c>
      <c r="T44" s="24">
        <f t="shared" si="8"/>
        <v>460920.33778333338</v>
      </c>
      <c r="U44" s="24">
        <f>SUMIFS(sales_data_1[Profit_Margin],sales_data_1[Year],2024, sales_data_1[month], $B44, sales_data_1[Sales_Rep], "David", sales_data_1[Product_Category], U$10)</f>
        <v>221548.40420000002</v>
      </c>
      <c r="V44" s="24">
        <f>SUMIFS(sales_data_1[Profit_Margin],sales_data_1[Year],2024, sales_data_1[month], $B44, sales_data_1[Sales_Rep], "David", sales_data_1[Product_Category], V$10)</f>
        <v>148805.00539999997</v>
      </c>
      <c r="W44" s="24">
        <f>SUMIFS(sales_data_1[Profit_Margin],sales_data_1[Year],2024, sales_data_1[month], $B44, sales_data_1[Sales_Rep], "David", sales_data_1[Product_Category], W$10)</f>
        <v>339369.73800000001</v>
      </c>
      <c r="X44" s="24">
        <f>SUMIFS(sales_data_1[Profit_Margin],sales_data_1[Year],2024, sales_data_1[month], $B44, sales_data_1[Sales_Rep], "David", sales_data_1[Product_Category], R$10)</f>
        <v>138321.57130000001</v>
      </c>
      <c r="Y44" s="24">
        <f t="shared" si="3"/>
        <v>848044.71889999998</v>
      </c>
      <c r="Z44" s="24">
        <f t="shared" si="9"/>
        <v>512370.16306666663</v>
      </c>
      <c r="AA44" s="24">
        <f>SUMIFS(sales_data_1[Profit_Margin],sales_data_1[Year],2024, sales_data_1[month], $B44, sales_data_1[Sales_Rep], "Eve", sales_data_1[Product_Category], U$10)</f>
        <v>390726.81400000001</v>
      </c>
      <c r="AB44" s="24">
        <f>SUMIFS(sales_data_1[Profit_Margin],sales_data_1[Year],2024, sales_data_1[month], $B44, sales_data_1[Sales_Rep], "Eve", sales_data_1[Product_Category], V$10)</f>
        <v>123710.6329</v>
      </c>
      <c r="AC44" s="24">
        <f>SUMIFS(sales_data_1[Profit_Margin],sales_data_1[Year],2024, sales_data_1[month], $B44, sales_data_1[Sales_Rep], "Eve", sales_data_1[Product_Category], W$10)</f>
        <v>44750.72000000003</v>
      </c>
      <c r="AD44" s="24">
        <f>SUMIFS(sales_data_1[Profit_Margin],sales_data_1[Year],2024, sales_data_1[month], $B44, sales_data_1[Sales_Rep], "Eve", sales_data_1[Product_Category], R$10)</f>
        <v>91030.56</v>
      </c>
      <c r="AE44" s="24">
        <f t="shared" si="4"/>
        <v>650218.72690000013</v>
      </c>
      <c r="AF44" s="104">
        <f t="shared" si="10"/>
        <v>552520.26184166665</v>
      </c>
      <c r="AG44" s="24">
        <f t="shared" si="5"/>
        <v>3597905.7286</v>
      </c>
      <c r="AH44" s="24">
        <f t="shared" si="11"/>
        <v>2616501.7904749997</v>
      </c>
    </row>
    <row r="45" spans="1:34" x14ac:dyDescent="0.35">
      <c r="A45" s="5"/>
      <c r="B45" s="5" t="s">
        <v>55</v>
      </c>
      <c r="C45" s="24">
        <f>SUMIFS(sales_data_1[Profit_Margin],sales_data_1[Year],2024, sales_data_1[month], $B45, sales_data_1[Sales_Rep], "Alice", sales_data_1[Product_Category], C$10)</f>
        <v>192068.97200000001</v>
      </c>
      <c r="D45" s="24">
        <f>SUMIFS(sales_data_1[Profit_Margin],sales_data_1[Year],2024, sales_data_1[month], $B45, sales_data_1[Sales_Rep], "Alice", sales_data_1[Product_Category], D$10)</f>
        <v>1348.605699999998</v>
      </c>
      <c r="E45" s="24">
        <f>SUMIFS(sales_data_1[Profit_Margin],sales_data_1[Year],2024, sales_data_1[month], $B45, sales_data_1[Sales_Rep], "Alice", sales_data_1[Product_Category], E$10)</f>
        <v>43062.314400000003</v>
      </c>
      <c r="F45" s="24">
        <f>SUMIFS(sales_data_1[Profit_Margin],sales_data_1[Year],2024, sales_data_1[month], $B45, sales_data_1[Sales_Rep], "Alice", sales_data_1[Product_Category], F$10)</f>
        <v>221542.15510000003</v>
      </c>
      <c r="G45" s="24">
        <f t="shared" si="0"/>
        <v>458022.04720000003</v>
      </c>
      <c r="H45" s="24">
        <f t="shared" si="6"/>
        <v>644798.15444166667</v>
      </c>
      <c r="I45" s="24">
        <f>SUMIFS(sales_data_1[Profit_Margin],sales_data_1[Year],2024, sales_data_1[month], $B45, sales_data_1[Sales_Rep], "Bob", sales_data_1[Product_Category], I$10)</f>
        <v>6760.5280000000002</v>
      </c>
      <c r="J45" s="24">
        <f>SUMIFS(sales_data_1[Profit_Margin],sales_data_1[Year],2024, sales_data_1[month], $B45, sales_data_1[Sales_Rep], "Bob", sales_data_1[Product_Category], J$10)</f>
        <v>118584.62800000001</v>
      </c>
      <c r="K45" s="24">
        <f>SUMIFS(sales_data_1[Profit_Margin],sales_data_1[Year],2024, sales_data_1[month], $B45, sales_data_1[Sales_Rep], "Bob", sales_data_1[Product_Category], K$10)</f>
        <v>179421.55920000002</v>
      </c>
      <c r="L45" s="24">
        <f>SUMIFS(sales_data_1[Profit_Margin],sales_data_1[Year],2024, sales_data_1[month], $B45, sales_data_1[Sales_Rep], "Bob", sales_data_1[Product_Category], L$10)</f>
        <v>115119.65709999998</v>
      </c>
      <c r="M45" s="24">
        <f t="shared" si="1"/>
        <v>419886.37230000005</v>
      </c>
      <c r="N45" s="24">
        <f t="shared" si="7"/>
        <v>506730.71879166667</v>
      </c>
      <c r="O45" s="24">
        <f>SUMIFS(sales_data_1[Profit_Margin],sales_data_1[Year],2024, sales_data_1[month], $B45, sales_data_1[Sales_Rep], "Charlie", sales_data_1[Product_Category], O$10)</f>
        <v>109815.95629999999</v>
      </c>
      <c r="P45" s="24">
        <f>SUMIFS(sales_data_1[Profit_Margin],sales_data_1[Year],2024, sales_data_1[month], $B45, sales_data_1[Sales_Rep], "Charlie", sales_data_1[Product_Category], P$10)</f>
        <v>71216.629600000015</v>
      </c>
      <c r="Q45" s="24">
        <f>SUMIFS(sales_data_1[Profit_Margin],sales_data_1[Year],2024, sales_data_1[month], $B45, sales_data_1[Sales_Rep], "Charlie", sales_data_1[Product_Category], Q$10)</f>
        <v>287401.95739999996</v>
      </c>
      <c r="R45" s="24">
        <f>SUMIFS(sales_data_1[Profit_Margin],sales_data_1[Year],2024, sales_data_1[month], $B45, sales_data_1[Sales_Rep], "Charlie", sales_data_1[Product_Category], R$10)</f>
        <v>44333.552000000011</v>
      </c>
      <c r="S45" s="24">
        <f t="shared" si="2"/>
        <v>512768.09529999999</v>
      </c>
      <c r="T45" s="24">
        <f t="shared" si="8"/>
        <v>498363.01244166674</v>
      </c>
      <c r="U45" s="24">
        <f>SUMIFS(sales_data_1[Profit_Margin],sales_data_1[Year],2024, sales_data_1[month], $B45, sales_data_1[Sales_Rep], "David", sales_data_1[Product_Category], U$10)</f>
        <v>157015.0785</v>
      </c>
      <c r="V45" s="24">
        <f>SUMIFS(sales_data_1[Profit_Margin],sales_data_1[Year],2024, sales_data_1[month], $B45, sales_data_1[Sales_Rep], "David", sales_data_1[Product_Category], V$10)</f>
        <v>135479.40260000006</v>
      </c>
      <c r="W45" s="24">
        <f>SUMIFS(sales_data_1[Profit_Margin],sales_data_1[Year],2024, sales_data_1[month], $B45, sales_data_1[Sales_Rep], "David", sales_data_1[Product_Category], W$10)</f>
        <v>275521.16490000003</v>
      </c>
      <c r="X45" s="24">
        <f>SUMIFS(sales_data_1[Profit_Margin],sales_data_1[Year],2024, sales_data_1[month], $B45, sales_data_1[Sales_Rep], "David", sales_data_1[Product_Category], R$10)</f>
        <v>163196.56700000004</v>
      </c>
      <c r="Y45" s="24">
        <f t="shared" si="3"/>
        <v>731212.21300000022</v>
      </c>
      <c r="Z45" s="24">
        <f t="shared" si="9"/>
        <v>564269.01275000011</v>
      </c>
      <c r="AA45" s="24">
        <f>SUMIFS(sales_data_1[Profit_Margin],sales_data_1[Year],2024, sales_data_1[month], $B45, sales_data_1[Sales_Rep], "Eve", sales_data_1[Product_Category], U$10)</f>
        <v>220395.3572</v>
      </c>
      <c r="AB45" s="24">
        <f>SUMIFS(sales_data_1[Profit_Margin],sales_data_1[Year],2024, sales_data_1[month], $B45, sales_data_1[Sales_Rep], "Eve", sales_data_1[Product_Category], V$10)</f>
        <v>162593.83250000002</v>
      </c>
      <c r="AC45" s="24">
        <f>SUMIFS(sales_data_1[Profit_Margin],sales_data_1[Year],2024, sales_data_1[month], $B45, sales_data_1[Sales_Rep], "Eve", sales_data_1[Product_Category], W$10)</f>
        <v>36703.884999999987</v>
      </c>
      <c r="AD45" s="24">
        <f>SUMIFS(sales_data_1[Profit_Margin],sales_data_1[Year],2024, sales_data_1[month], $B45, sales_data_1[Sales_Rep], "Eve", sales_data_1[Product_Category], R$10)</f>
        <v>289326.90379999997</v>
      </c>
      <c r="AE45" s="24">
        <f t="shared" si="4"/>
        <v>709019.97849999997</v>
      </c>
      <c r="AF45" s="104">
        <f t="shared" si="10"/>
        <v>607404.84443333338</v>
      </c>
      <c r="AG45" s="24">
        <f t="shared" si="5"/>
        <v>2830908.7063000007</v>
      </c>
      <c r="AH45" s="24">
        <f t="shared" si="11"/>
        <v>2821565.742858333</v>
      </c>
    </row>
    <row r="46" spans="1:34" x14ac:dyDescent="0.35">
      <c r="A46" s="5"/>
      <c r="B46" s="5" t="s">
        <v>56</v>
      </c>
      <c r="C46" s="24">
        <f>SUMIFS(sales_data_1[Profit_Margin],sales_data_1[Year],2024, sales_data_1[month], $B46, sales_data_1[Sales_Rep], "Alice", sales_data_1[Product_Category], C$10)</f>
        <v>256175.58929999999</v>
      </c>
      <c r="D46" s="24">
        <f>SUMIFS(sales_data_1[Profit_Margin],sales_data_1[Year],2024, sales_data_1[month], $B46, sales_data_1[Sales_Rep], "Alice", sales_data_1[Product_Category], D$10)</f>
        <v>67877.901000000013</v>
      </c>
      <c r="E46" s="24">
        <f>SUMIFS(sales_data_1[Profit_Margin],sales_data_1[Year],2024, sales_data_1[month], $B46, sales_data_1[Sales_Rep], "Alice", sales_data_1[Product_Category], E$10)</f>
        <v>35307.381599999986</v>
      </c>
      <c r="F46" s="24">
        <f>SUMIFS(sales_data_1[Profit_Margin],sales_data_1[Year],2024, sales_data_1[month], $B46, sales_data_1[Sales_Rep], "Alice", sales_data_1[Product_Category], F$10)</f>
        <v>40156.7022</v>
      </c>
      <c r="G46" s="24">
        <f t="shared" si="0"/>
        <v>399517.57409999997</v>
      </c>
      <c r="H46" s="24">
        <f t="shared" si="6"/>
        <v>669619.10564166668</v>
      </c>
      <c r="I46" s="24">
        <f>SUMIFS(sales_data_1[Profit_Margin],sales_data_1[Year],2024, sales_data_1[month], $B46, sales_data_1[Sales_Rep], "Bob", sales_data_1[Product_Category], I$10)</f>
        <v>601650.04300000006</v>
      </c>
      <c r="J46" s="24">
        <f>SUMIFS(sales_data_1[Profit_Margin],sales_data_1[Year],2024, sales_data_1[month], $B46, sales_data_1[Sales_Rep], "Bob", sales_data_1[Product_Category], J$10)</f>
        <v>457840.54039999994</v>
      </c>
      <c r="K46" s="24">
        <f>SUMIFS(sales_data_1[Profit_Margin],sales_data_1[Year],2024, sales_data_1[month], $B46, sales_data_1[Sales_Rep], "Bob", sales_data_1[Product_Category], K$10)</f>
        <v>98950.735599999985</v>
      </c>
      <c r="L46" s="24">
        <f>SUMIFS(sales_data_1[Profit_Margin],sales_data_1[Year],2024, sales_data_1[month], $B46, sales_data_1[Sales_Rep], "Bob", sales_data_1[Product_Category], L$10)</f>
        <v>185219.68149999998</v>
      </c>
      <c r="M46" s="24">
        <f t="shared" si="1"/>
        <v>1343661.0004999998</v>
      </c>
      <c r="N46" s="24">
        <f t="shared" si="7"/>
        <v>613076.84574166662</v>
      </c>
      <c r="O46" s="24">
        <f>SUMIFS(sales_data_1[Profit_Margin],sales_data_1[Year],2024, sales_data_1[month], $B46, sales_data_1[Sales_Rep], "Charlie", sales_data_1[Product_Category], O$10)</f>
        <v>86456.098899999997</v>
      </c>
      <c r="P46" s="24">
        <f>SUMIFS(sales_data_1[Profit_Margin],sales_data_1[Year],2024, sales_data_1[month], $B46, sales_data_1[Sales_Rep], "Charlie", sales_data_1[Product_Category], P$10)</f>
        <v>144955.09389999998</v>
      </c>
      <c r="Q46" s="24">
        <f>SUMIFS(sales_data_1[Profit_Margin],sales_data_1[Year],2024, sales_data_1[month], $B46, sales_data_1[Sales_Rep], "Charlie", sales_data_1[Product_Category], Q$10)</f>
        <v>68457.654399999999</v>
      </c>
      <c r="R46" s="24">
        <f>SUMIFS(sales_data_1[Profit_Margin],sales_data_1[Year],2024, sales_data_1[month], $B46, sales_data_1[Sales_Rep], "Charlie", sales_data_1[Product_Category], R$10)</f>
        <v>62662.529200000004</v>
      </c>
      <c r="S46" s="24">
        <f t="shared" si="2"/>
        <v>362531.37639999995</v>
      </c>
      <c r="T46" s="24">
        <f t="shared" si="8"/>
        <v>523829.71680833335</v>
      </c>
      <c r="U46" s="24">
        <f>SUMIFS(sales_data_1[Profit_Margin],sales_data_1[Year],2024, sales_data_1[month], $B46, sales_data_1[Sales_Rep], "David", sales_data_1[Product_Category], U$10)</f>
        <v>40670.282499999994</v>
      </c>
      <c r="V46" s="24">
        <f>SUMIFS(sales_data_1[Profit_Margin],sales_data_1[Year],2024, sales_data_1[month], $B46, sales_data_1[Sales_Rep], "David", sales_data_1[Product_Category], V$10)</f>
        <v>50186.832000000009</v>
      </c>
      <c r="W46" s="24">
        <f>SUMIFS(sales_data_1[Profit_Margin],sales_data_1[Year],2024, sales_data_1[month], $B46, sales_data_1[Sales_Rep], "David", sales_data_1[Product_Category], W$10)</f>
        <v>190709.3939</v>
      </c>
      <c r="X46" s="24">
        <f>SUMIFS(sales_data_1[Profit_Margin],sales_data_1[Year],2024, sales_data_1[month], $B46, sales_data_1[Sales_Rep], "David", sales_data_1[Product_Category], R$10)</f>
        <v>142445.29809999999</v>
      </c>
      <c r="Y46" s="24">
        <f t="shared" si="3"/>
        <v>424011.80649999995</v>
      </c>
      <c r="Z46" s="24">
        <f t="shared" si="9"/>
        <v>591899.22956666665</v>
      </c>
      <c r="AA46" s="24">
        <f>SUMIFS(sales_data_1[Profit_Margin],sales_data_1[Year],2024, sales_data_1[month], $B46, sales_data_1[Sales_Rep], "Eve", sales_data_1[Product_Category], U$10)</f>
        <v>262.31939999999918</v>
      </c>
      <c r="AB46" s="24">
        <f>SUMIFS(sales_data_1[Profit_Margin],sales_data_1[Year],2024, sales_data_1[month], $B46, sales_data_1[Sales_Rep], "Eve", sales_data_1[Product_Category], V$10)</f>
        <v>223432.76049999995</v>
      </c>
      <c r="AC46" s="24">
        <f>SUMIFS(sales_data_1[Profit_Margin],sales_data_1[Year],2024, sales_data_1[month], $B46, sales_data_1[Sales_Rep], "Eve", sales_data_1[Product_Category], W$10)</f>
        <v>308259.98629999999</v>
      </c>
      <c r="AD46" s="24">
        <f>SUMIFS(sales_data_1[Profit_Margin],sales_data_1[Year],2024, sales_data_1[month], $B46, sales_data_1[Sales_Rep], "Eve", sales_data_1[Product_Category], R$10)</f>
        <v>107617.92060000003</v>
      </c>
      <c r="AE46" s="24">
        <f t="shared" si="4"/>
        <v>639572.98680000007</v>
      </c>
      <c r="AF46" s="104">
        <f t="shared" si="10"/>
        <v>656298.35798333341</v>
      </c>
      <c r="AG46" s="24">
        <f t="shared" si="5"/>
        <v>3169294.7442999999</v>
      </c>
      <c r="AH46" s="24">
        <f t="shared" si="11"/>
        <v>3054723.2557416665</v>
      </c>
    </row>
  </sheetData>
  <mergeCells count="5">
    <mergeCell ref="A9:H9"/>
    <mergeCell ref="I9:N9"/>
    <mergeCell ref="O9:T9"/>
    <mergeCell ref="U9:Z9"/>
    <mergeCell ref="AA9:AF9"/>
  </mergeCell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998B-4171-4B59-B9B2-D399D7AE8F77}">
  <dimension ref="A1:R37"/>
  <sheetViews>
    <sheetView workbookViewId="0">
      <selection activeCell="D8" sqref="D8"/>
    </sheetView>
  </sheetViews>
  <sheetFormatPr defaultRowHeight="14.5" x14ac:dyDescent="0.35"/>
  <cols>
    <col min="3" max="3" width="13.81640625" bestFit="1" customWidth="1"/>
    <col min="4" max="4" width="13.81640625" customWidth="1"/>
    <col min="5" max="5" width="13.81640625" bestFit="1" customWidth="1"/>
    <col min="6" max="6" width="13.81640625" customWidth="1"/>
    <col min="7" max="7" width="13.81640625" bestFit="1" customWidth="1"/>
    <col min="8" max="8" width="13.81640625" customWidth="1"/>
    <col min="9" max="9" width="13.81640625" bestFit="1" customWidth="1"/>
    <col min="10" max="10" width="13.81640625" customWidth="1"/>
    <col min="15" max="18" width="14.81640625" bestFit="1" customWidth="1"/>
  </cols>
  <sheetData>
    <row r="1" spans="1:18" x14ac:dyDescent="0.35">
      <c r="C1" s="6" t="s">
        <v>20</v>
      </c>
      <c r="D1" s="6" t="s">
        <v>73</v>
      </c>
      <c r="E1" s="6" t="s">
        <v>23</v>
      </c>
      <c r="F1" s="6" t="s">
        <v>74</v>
      </c>
      <c r="G1" s="6" t="s">
        <v>30</v>
      </c>
      <c r="H1" s="6" t="s">
        <v>75</v>
      </c>
      <c r="I1" s="6" t="s">
        <v>15</v>
      </c>
      <c r="J1" s="6" t="s">
        <v>76</v>
      </c>
      <c r="O1" s="5" t="s">
        <v>20</v>
      </c>
      <c r="P1" s="5" t="s">
        <v>23</v>
      </c>
      <c r="Q1" s="5" t="s">
        <v>30</v>
      </c>
      <c r="R1" s="5" t="s">
        <v>15</v>
      </c>
    </row>
    <row r="2" spans="1:18" x14ac:dyDescent="0.35">
      <c r="A2" s="17" t="s">
        <v>60</v>
      </c>
      <c r="B2" s="23" t="s">
        <v>45</v>
      </c>
      <c r="C2" s="24">
        <f>SUMIFS(sales_data_1[Sales_Amount],sales_data_1[Region], "West", sales_data_1[Year],"2022", sales_data_1[month],B2)</f>
        <v>1822474.9757545325</v>
      </c>
      <c r="D2" s="24"/>
      <c r="E2" s="24">
        <f>SUMIFS(sales_data_1[Sales_Amount],sales_data_1[Region], "South", sales_data_1[Year],"2022", sales_data_1[month],B2)</f>
        <v>1702525.5516645447</v>
      </c>
      <c r="F2" s="24"/>
      <c r="G2" s="24">
        <f>SUMIFS(sales_data_1[Sales_Amount],sales_data_1[Region], "East", sales_data_1[Year],"2022", sales_data_1[month],B2)</f>
        <v>1524710.5710496248</v>
      </c>
      <c r="H2" s="24"/>
      <c r="I2" s="24">
        <f>SUMIFS(sales_data_1[Sales_Amount],sales_data_1[Region], "North", sales_data_1[Year],"2022", sales_data_1[month],B2)</f>
        <v>1912272.025856813</v>
      </c>
      <c r="J2" s="24"/>
      <c r="N2" s="17">
        <v>2023</v>
      </c>
      <c r="O2" s="24">
        <f>SUM(C14:C25)</f>
        <v>17131586.171271805</v>
      </c>
      <c r="P2" s="24">
        <f>SUM(E14:E25)</f>
        <v>15722291.037835065</v>
      </c>
      <c r="Q2" s="24">
        <f>SUM(H14:H25)</f>
        <v>19774660.011320304</v>
      </c>
      <c r="R2" s="24">
        <f>SUM(J14:J25)</f>
        <v>21832451.332234051</v>
      </c>
    </row>
    <row r="3" spans="1:18" x14ac:dyDescent="0.35">
      <c r="A3" s="4"/>
      <c r="B3" s="23" t="s">
        <v>46</v>
      </c>
      <c r="C3" s="24">
        <f>SUMIFS(sales_data_1[Sales_Amount],sales_data_1[Region], "West", sales_data_1[Year],"2022", sales_data_1[month],B3)</f>
        <v>1877065.1839789157</v>
      </c>
      <c r="D3" s="24"/>
      <c r="E3" s="24">
        <f>SUMIFS(sales_data_1[Sales_Amount],sales_data_1[Region], "South", sales_data_1[Year],"2022", sales_data_1[month],B3)</f>
        <v>1355401.929338397</v>
      </c>
      <c r="F3" s="24"/>
      <c r="G3" s="24">
        <f>SUMIFS(sales_data_1[Sales_Amount],sales_data_1[Region], "East", sales_data_1[Year],"2022", sales_data_1[month],B3)</f>
        <v>1854213.1627021306</v>
      </c>
      <c r="H3" s="24"/>
      <c r="I3" s="24">
        <f>SUMIFS(sales_data_1[Sales_Amount],sales_data_1[Region], "North", sales_data_1[Year],"2022", sales_data_1[month],B3)</f>
        <v>2841947.0389487571</v>
      </c>
      <c r="J3" s="24"/>
      <c r="N3" s="17">
        <v>2024</v>
      </c>
      <c r="O3" s="24">
        <f>SUM(C26:C37)</f>
        <v>19676040.661669508</v>
      </c>
      <c r="P3" s="24">
        <f>SUM(E26:E37)</f>
        <v>21495083.547580589</v>
      </c>
      <c r="Q3" s="24">
        <f>SUM(G26:G37)</f>
        <v>21674429.831126645</v>
      </c>
      <c r="R3" s="24">
        <f>SUM(J26:J37)</f>
        <v>21668449.46277139</v>
      </c>
    </row>
    <row r="4" spans="1:18" x14ac:dyDescent="0.35">
      <c r="A4" s="4"/>
      <c r="B4" s="23" t="s">
        <v>47</v>
      </c>
      <c r="C4" s="24">
        <f>SUMIFS(sales_data_1[Sales_Amount],sales_data_1[Region], "West", sales_data_1[Year],"2022", sales_data_1[month],B4)</f>
        <v>1696930.9620253707</v>
      </c>
      <c r="D4" s="24"/>
      <c r="E4" s="24">
        <f>SUMIFS(sales_data_1[Sales_Amount],sales_data_1[Region], "South", sales_data_1[Year],"2022", sales_data_1[month],B4)</f>
        <v>1365023.0116000003</v>
      </c>
      <c r="F4" s="24"/>
      <c r="G4" s="24">
        <f>SUMIFS(sales_data_1[Sales_Amount],sales_data_1[Region], "East", sales_data_1[Year],"2022", sales_data_1[month],B4)</f>
        <v>1852253.5024057422</v>
      </c>
      <c r="H4" s="24"/>
      <c r="I4" s="24">
        <f>SUMIFS(sales_data_1[Sales_Amount],sales_data_1[Region], "North", sales_data_1[Year],"2022", sales_data_1[month],B4)</f>
        <v>1592055.9249059982</v>
      </c>
      <c r="J4" s="24"/>
      <c r="N4" s="5" t="s">
        <v>58</v>
      </c>
      <c r="O4" s="24">
        <f>SUM(O2:O3)</f>
        <v>36807626.832941309</v>
      </c>
      <c r="P4" s="24">
        <f t="shared" ref="P4:R4" si="0">SUM(P2:P3)</f>
        <v>37217374.585415654</v>
      </c>
      <c r="Q4" s="24">
        <f t="shared" si="0"/>
        <v>41449089.842446953</v>
      </c>
      <c r="R4" s="24">
        <f t="shared" si="0"/>
        <v>43500900.795005441</v>
      </c>
    </row>
    <row r="5" spans="1:18" x14ac:dyDescent="0.35">
      <c r="A5" s="4"/>
      <c r="B5" s="23" t="s">
        <v>48</v>
      </c>
      <c r="C5" s="24">
        <f>SUMIFS(sales_data_1[Sales_Amount],sales_data_1[Region], "West", sales_data_1[Year],"2022", sales_data_1[month],B5)</f>
        <v>2123792.5342163164</v>
      </c>
      <c r="D5" s="24"/>
      <c r="E5" s="24">
        <f>SUMIFS(sales_data_1[Sales_Amount],sales_data_1[Region], "South", sales_data_1[Year],"2022", sales_data_1[month],B5)</f>
        <v>2242937.2795248511</v>
      </c>
      <c r="F5" s="24"/>
      <c r="G5" s="24">
        <f>SUMIFS(sales_data_1[Sales_Amount],sales_data_1[Region], "East", sales_data_1[Year],"2022", sales_data_1[month],B5)</f>
        <v>2620929.5596872065</v>
      </c>
      <c r="H5" s="24"/>
      <c r="I5" s="24">
        <f>SUMIFS(sales_data_1[Sales_Amount],sales_data_1[Region], "North", sales_data_1[Year],"2022", sales_data_1[month],B5)</f>
        <v>1552023.5697038525</v>
      </c>
      <c r="J5" s="24"/>
    </row>
    <row r="6" spans="1:18" x14ac:dyDescent="0.35">
      <c r="A6" s="4"/>
      <c r="B6" s="23" t="s">
        <v>49</v>
      </c>
      <c r="C6" s="24">
        <f>SUMIFS(sales_data_1[Sales_Amount],sales_data_1[Region], "West", sales_data_1[Year],"2022", sales_data_1[month],B6)</f>
        <v>2297540.2208386553</v>
      </c>
      <c r="D6" s="24"/>
      <c r="E6" s="24">
        <f>SUMIFS(sales_data_1[Sales_Amount],sales_data_1[Region], "South", sales_data_1[Year],"2022", sales_data_1[month],B6)</f>
        <v>1753113.2128051494</v>
      </c>
      <c r="F6" s="24"/>
      <c r="G6" s="24">
        <f>SUMIFS(sales_data_1[Sales_Amount],sales_data_1[Region], "East", sales_data_1[Year],"2022", sales_data_1[month],B6)</f>
        <v>1373735.7636771007</v>
      </c>
      <c r="H6" s="24"/>
      <c r="I6" s="24">
        <f>SUMIFS(sales_data_1[Sales_Amount],sales_data_1[Region], "North", sales_data_1[Year],"2022", sales_data_1[month],B6)</f>
        <v>2695658.1453233338</v>
      </c>
      <c r="J6" s="24"/>
    </row>
    <row r="7" spans="1:18" x14ac:dyDescent="0.35">
      <c r="A7" s="4"/>
      <c r="B7" s="23" t="s">
        <v>50</v>
      </c>
      <c r="C7" s="24">
        <f>SUMIFS(sales_data_1[Sales_Amount],sales_data_1[Region], "West", sales_data_1[Year],"2022", sales_data_1[month],B7)</f>
        <v>2568242.6687200065</v>
      </c>
      <c r="D7" s="24"/>
      <c r="E7" s="24">
        <f>SUMIFS(sales_data_1[Sales_Amount],sales_data_1[Region], "South", sales_data_1[Year],"2022", sales_data_1[month],B7)</f>
        <v>1928963.8998467994</v>
      </c>
      <c r="F7" s="24"/>
      <c r="G7" s="24">
        <f>SUMIFS(sales_data_1[Sales_Amount],sales_data_1[Region], "East", sales_data_1[Year],"2022", sales_data_1[month],B7)</f>
        <v>1070382.2840954321</v>
      </c>
      <c r="H7" s="24"/>
      <c r="I7" s="24">
        <f>SUMIFS(sales_data_1[Sales_Amount],sales_data_1[Region], "North", sales_data_1[Year],"2022", sales_data_1[month],B7)</f>
        <v>2464466.4781900202</v>
      </c>
      <c r="J7" s="24"/>
    </row>
    <row r="8" spans="1:18" x14ac:dyDescent="0.35">
      <c r="A8" s="4"/>
      <c r="B8" s="23" t="s">
        <v>51</v>
      </c>
      <c r="C8" s="24">
        <f>SUMIFS(sales_data_1[Sales_Amount],sales_data_1[Region], "West", sales_data_1[Year],"2022", sales_data_1[month],B8)</f>
        <v>1500835.1927768658</v>
      </c>
      <c r="D8" s="24"/>
      <c r="E8" s="24">
        <f>SUMIFS(sales_data_1[Sales_Amount],sales_data_1[Region], "South", sales_data_1[Year],"2022", sales_data_1[month],B8)</f>
        <v>1974364.8455480356</v>
      </c>
      <c r="F8" s="24"/>
      <c r="G8" s="24">
        <f>SUMIFS(sales_data_1[Sales_Amount],sales_data_1[Region], "East", sales_data_1[Year],"2022", sales_data_1[month],B8)</f>
        <v>1661432.8721916648</v>
      </c>
      <c r="H8" s="24"/>
      <c r="I8" s="24">
        <f>SUMIFS(sales_data_1[Sales_Amount],sales_data_1[Region], "North", sales_data_1[Year],"2022", sales_data_1[month],B8)</f>
        <v>1542922.9836259121</v>
      </c>
      <c r="J8" s="24"/>
    </row>
    <row r="9" spans="1:18" x14ac:dyDescent="0.35">
      <c r="A9" s="4"/>
      <c r="B9" s="23" t="s">
        <v>52</v>
      </c>
      <c r="C9" s="24">
        <f>SUMIFS(sales_data_1[Sales_Amount],sales_data_1[Region], "West", sales_data_1[Year],"2022", sales_data_1[month],B9)</f>
        <v>1397485.0994072119</v>
      </c>
      <c r="D9" s="24"/>
      <c r="E9" s="24">
        <f>SUMIFS(sales_data_1[Sales_Amount],sales_data_1[Region], "South", sales_data_1[Year],"2022", sales_data_1[month],B9)</f>
        <v>816000.70104429661</v>
      </c>
      <c r="F9" s="24"/>
      <c r="G9" s="24">
        <f>SUMIFS(sales_data_1[Sales_Amount],sales_data_1[Region], "East", sales_data_1[Year],"2022", sales_data_1[month],B9)</f>
        <v>1767486.0071566494</v>
      </c>
      <c r="H9" s="24"/>
      <c r="I9" s="24">
        <f>SUMIFS(sales_data_1[Sales_Amount],sales_data_1[Region], "North", sales_data_1[Year],"2022", sales_data_1[month],B9)</f>
        <v>2431234.4531892422</v>
      </c>
      <c r="J9" s="24"/>
    </row>
    <row r="10" spans="1:18" x14ac:dyDescent="0.35">
      <c r="A10" s="4"/>
      <c r="B10" s="23" t="s">
        <v>53</v>
      </c>
      <c r="C10" s="24">
        <f>SUMIFS(sales_data_1[Sales_Amount],sales_data_1[Region], "West", sales_data_1[Year],"2022", sales_data_1[month],B10)</f>
        <v>1825133.2424201879</v>
      </c>
      <c r="D10" s="24"/>
      <c r="E10" s="24">
        <f>SUMIFS(sales_data_1[Sales_Amount],sales_data_1[Region], "South", sales_data_1[Year],"2022", sales_data_1[month],B10)</f>
        <v>1273789.1752895634</v>
      </c>
      <c r="F10" s="24"/>
      <c r="G10" s="24">
        <f>SUMIFS(sales_data_1[Sales_Amount],sales_data_1[Region], "East", sales_data_1[Year],"2022", sales_data_1[month],B10)</f>
        <v>1505513.0635964232</v>
      </c>
      <c r="H10" s="24"/>
      <c r="I10" s="24">
        <f>SUMIFS(sales_data_1[Sales_Amount],sales_data_1[Region], "North", sales_data_1[Year],"2022", sales_data_1[month],B10)</f>
        <v>1855036.0412376735</v>
      </c>
      <c r="J10" s="24"/>
    </row>
    <row r="11" spans="1:18" x14ac:dyDescent="0.35">
      <c r="A11" s="4"/>
      <c r="B11" s="23" t="s">
        <v>54</v>
      </c>
      <c r="C11" s="24">
        <f>SUMIFS(sales_data_1[Sales_Amount],sales_data_1[Region], "West", sales_data_1[Year],"2022", sales_data_1[month],B11)</f>
        <v>1725054.6607292369</v>
      </c>
      <c r="D11" s="24"/>
      <c r="E11" s="24">
        <f>SUMIFS(sales_data_1[Sales_Amount],sales_data_1[Region], "South", sales_data_1[Year],"2022", sales_data_1[month],B11)</f>
        <v>1928736.3599084194</v>
      </c>
      <c r="F11" s="24"/>
      <c r="G11" s="24">
        <f>SUMIFS(sales_data_1[Sales_Amount],sales_data_1[Region], "East", sales_data_1[Year],"2022", sales_data_1[month],B11)</f>
        <v>1704251.0771588597</v>
      </c>
      <c r="H11" s="24"/>
      <c r="I11" s="24">
        <f>SUMIFS(sales_data_1[Sales_Amount],sales_data_1[Region], "North", sales_data_1[Year],"2022", sales_data_1[month],B11)</f>
        <v>2035680.5854907469</v>
      </c>
      <c r="J11" s="24"/>
    </row>
    <row r="12" spans="1:18" x14ac:dyDescent="0.35">
      <c r="A12" s="4"/>
      <c r="B12" s="23" t="s">
        <v>55</v>
      </c>
      <c r="C12" s="24">
        <f>SUMIFS(sales_data_1[Sales_Amount],sales_data_1[Region], "West", sales_data_1[Year],"2022", sales_data_1[month],B12)</f>
        <v>935691.02004259289</v>
      </c>
      <c r="D12" s="24"/>
      <c r="E12" s="24">
        <f>SUMIFS(sales_data_1[Sales_Amount],sales_data_1[Region], "South", sales_data_1[Year],"2022", sales_data_1[month],B12)</f>
        <v>2036052.7744102986</v>
      </c>
      <c r="F12" s="24"/>
      <c r="G12" s="24">
        <f>SUMIFS(sales_data_1[Sales_Amount],sales_data_1[Region], "East", sales_data_1[Year],"2022", sales_data_1[month],B12)</f>
        <v>2348971.8418759694</v>
      </c>
      <c r="H12" s="24"/>
      <c r="I12" s="24">
        <f>SUMIFS(sales_data_1[Sales_Amount],sales_data_1[Region], "North", sales_data_1[Year],"2022", sales_data_1[month],B12)</f>
        <v>2360284.0720946095</v>
      </c>
      <c r="J12" s="24"/>
    </row>
    <row r="13" spans="1:18" x14ac:dyDescent="0.35">
      <c r="A13" s="4"/>
      <c r="B13" s="23" t="s">
        <v>56</v>
      </c>
      <c r="C13" s="24">
        <f>SUMIFS(sales_data_1[Sales_Amount],sales_data_1[Region], "West", sales_data_1[Year],"2022", sales_data_1[month],B13)</f>
        <v>1515240.4269999999</v>
      </c>
      <c r="D13" s="24">
        <f>AVERAGE(C2:C13)</f>
        <v>1773790.5156591581</v>
      </c>
      <c r="E13" s="24">
        <f>SUMIFS(sales_data_1[Sales_Amount],sales_data_1[Region], "South", sales_data_1[Year],"2022", sales_data_1[month],B13)</f>
        <v>996700.52180198685</v>
      </c>
      <c r="F13" s="24">
        <f>AVERAGE(E2:E13)</f>
        <v>1614467.4385651953</v>
      </c>
      <c r="G13" s="24">
        <f>SUMIFS(sales_data_1[Sales_Amount],sales_data_1[Region], "East", sales_data_1[Year],"2022", sales_data_1[month],B13)</f>
        <v>1564274.2448712226</v>
      </c>
      <c r="H13" s="24">
        <f>AVERAGE(G2:G13)</f>
        <v>1737346.1625390023</v>
      </c>
      <c r="I13" s="24">
        <f>SUMIFS(sales_data_1[Sales_Amount],sales_data_1[Region], "North", sales_data_1[Year],"2022", sales_data_1[month],B13)</f>
        <v>2726218.5181972412</v>
      </c>
      <c r="J13" s="24">
        <f>AVERAGE(I2:I13)</f>
        <v>2167483.3197303503</v>
      </c>
    </row>
    <row r="14" spans="1:18" x14ac:dyDescent="0.35">
      <c r="A14" s="17" t="s">
        <v>59</v>
      </c>
      <c r="B14" s="23" t="s">
        <v>45</v>
      </c>
      <c r="C14" s="24">
        <f>SUMIFS(sales_data_1[Sales_Amount],sales_data_1[Region], "West", sales_data_1[Year],"2023", sales_data_1[month],B14)</f>
        <v>1313298.3451045689</v>
      </c>
      <c r="D14" s="24">
        <f t="shared" ref="D14:D37" si="1">AVERAGE(C3:C14)</f>
        <v>1731359.1297716608</v>
      </c>
      <c r="E14" s="24">
        <f>SUMIFS(sales_data_1[Sales_Amount],sales_data_1[Region], "South", sales_data_1[Year],"2023", sales_data_1[month],B14)</f>
        <v>1485330.1073239185</v>
      </c>
      <c r="F14" s="24">
        <f t="shared" ref="F14:F37" si="2">AVERAGE(E3:E14)</f>
        <v>1596367.8182034763</v>
      </c>
      <c r="G14" s="24">
        <f>SUMIFS(sales_data_1[Sales_Amount],sales_data_1[Region], "East", sales_data_1[Year],"2023", sales_data_1[month],B14)</f>
        <v>2168103.5591325397</v>
      </c>
      <c r="H14" s="24">
        <f t="shared" ref="H14:H37" si="3">AVERAGE(G3:G14)</f>
        <v>1790962.2448792448</v>
      </c>
      <c r="I14" s="24">
        <f>SUMIFS(sales_data_1[Sales_Amount],sales_data_1[Region], "North", sales_data_1[Year],"2023", sales_data_1[month],B14)</f>
        <v>2238747.7450506077</v>
      </c>
      <c r="J14" s="24">
        <f t="shared" ref="J14:J37" si="4">AVERAGE(I3:I14)</f>
        <v>2194689.6296631666</v>
      </c>
    </row>
    <row r="15" spans="1:18" x14ac:dyDescent="0.35">
      <c r="A15" s="5"/>
      <c r="B15" s="23" t="s">
        <v>46</v>
      </c>
      <c r="C15" s="24">
        <f>SUMIFS(sales_data_1[Sales_Amount],sales_data_1[Region], "West", sales_data_1[Year],"2023", sales_data_1[month],B15)</f>
        <v>1469328.0661647981</v>
      </c>
      <c r="D15" s="24">
        <f t="shared" si="1"/>
        <v>1697381.0366204844</v>
      </c>
      <c r="E15" s="24">
        <f>SUMIFS(sales_data_1[Sales_Amount],sales_data_1[Region], "South", sales_data_1[Year],"2023", sales_data_1[month],B15)</f>
        <v>885007.63224663283</v>
      </c>
      <c r="F15" s="24">
        <f t="shared" si="2"/>
        <v>1557168.2934458293</v>
      </c>
      <c r="G15" s="24">
        <f>SUMIFS(sales_data_1[Sales_Amount],sales_data_1[Region], "East", sales_data_1[Year],"2023", sales_data_1[month],B15)</f>
        <v>1954427.0148931481</v>
      </c>
      <c r="H15" s="24">
        <f t="shared" si="3"/>
        <v>1799313.3992284965</v>
      </c>
      <c r="I15" s="24">
        <f>SUMIFS(sales_data_1[Sales_Amount],sales_data_1[Region], "North", sales_data_1[Year],"2023", sales_data_1[month],B15)</f>
        <v>1172692.342664592</v>
      </c>
      <c r="J15" s="24">
        <f t="shared" si="4"/>
        <v>2055585.0716394857</v>
      </c>
    </row>
    <row r="16" spans="1:18" x14ac:dyDescent="0.35">
      <c r="A16" s="5"/>
      <c r="B16" s="23" t="s">
        <v>47</v>
      </c>
      <c r="C16" s="24">
        <f>SUMIFS(sales_data_1[Sales_Amount],sales_data_1[Region], "West", sales_data_1[Year],"2023", sales_data_1[month],B16)</f>
        <v>1596011.6901289874</v>
      </c>
      <c r="D16" s="24">
        <f t="shared" si="1"/>
        <v>1688971.0972957856</v>
      </c>
      <c r="E16" s="24">
        <f>SUMIFS(sales_data_1[Sales_Amount],sales_data_1[Region], "South", sales_data_1[Year],"2023", sales_data_1[month],B16)</f>
        <v>1317364.5040097458</v>
      </c>
      <c r="F16" s="24">
        <f t="shared" si="2"/>
        <v>1553196.7511466416</v>
      </c>
      <c r="G16" s="24">
        <f>SUMIFS(sales_data_1[Sales_Amount],sales_data_1[Region], "East", sales_data_1[Year],"2023", sales_data_1[month],B16)</f>
        <v>2058805.8723477561</v>
      </c>
      <c r="H16" s="24">
        <f t="shared" si="3"/>
        <v>1816526.0967236646</v>
      </c>
      <c r="I16" s="24">
        <f>SUMIFS(sales_data_1[Sales_Amount],sales_data_1[Region], "North", sales_data_1[Year],"2023", sales_data_1[month],B16)</f>
        <v>825143.51725871011</v>
      </c>
      <c r="J16" s="24">
        <f t="shared" si="4"/>
        <v>1991675.7043355452</v>
      </c>
    </row>
    <row r="17" spans="1:10" x14ac:dyDescent="0.35">
      <c r="A17" s="5"/>
      <c r="B17" s="23" t="s">
        <v>48</v>
      </c>
      <c r="C17" s="24">
        <f>SUMIFS(sales_data_1[Sales_Amount],sales_data_1[Region], "West", sales_data_1[Year],"2023", sales_data_1[month],B17)</f>
        <v>1470145.5355810034</v>
      </c>
      <c r="D17" s="24">
        <f t="shared" si="1"/>
        <v>1634500.5140761761</v>
      </c>
      <c r="E17" s="24">
        <f>SUMIFS(sales_data_1[Sales_Amount],sales_data_1[Region], "South", sales_data_1[Year],"2023", sales_data_1[month],B17)</f>
        <v>1685007.0915487446</v>
      </c>
      <c r="F17" s="24">
        <f t="shared" si="2"/>
        <v>1506702.5688152991</v>
      </c>
      <c r="G17" s="24">
        <f>SUMIFS(sales_data_1[Sales_Amount],sales_data_1[Region], "East", sales_data_1[Year],"2023", sales_data_1[month],B17)</f>
        <v>803535.98364632879</v>
      </c>
      <c r="H17" s="24">
        <f t="shared" si="3"/>
        <v>1665076.6320535913</v>
      </c>
      <c r="I17" s="24">
        <f>SUMIFS(sales_data_1[Sales_Amount],sales_data_1[Region], "North", sales_data_1[Year],"2023", sales_data_1[month],B17)</f>
        <v>1323830.8746705626</v>
      </c>
      <c r="J17" s="24">
        <f t="shared" si="4"/>
        <v>1972659.6464161044</v>
      </c>
    </row>
    <row r="18" spans="1:10" x14ac:dyDescent="0.35">
      <c r="A18" s="5"/>
      <c r="B18" s="23" t="s">
        <v>49</v>
      </c>
      <c r="C18" s="24">
        <f>SUMIFS(sales_data_1[Sales_Amount],sales_data_1[Region], "West", sales_data_1[Year],"2023", sales_data_1[month],B18)</f>
        <v>1150076.4529988712</v>
      </c>
      <c r="D18" s="24">
        <f t="shared" si="1"/>
        <v>1538878.533422861</v>
      </c>
      <c r="E18" s="24">
        <f>SUMIFS(sales_data_1[Sales_Amount],sales_data_1[Region], "South", sales_data_1[Year],"2023", sales_data_1[month],B18)</f>
        <v>1528837.4357423829</v>
      </c>
      <c r="F18" s="24">
        <f t="shared" si="2"/>
        <v>1488012.9207267354</v>
      </c>
      <c r="G18" s="24">
        <f>SUMIFS(sales_data_1[Sales_Amount],sales_data_1[Region], "East", sales_data_1[Year],"2023", sales_data_1[month],B18)</f>
        <v>1283954.6461184197</v>
      </c>
      <c r="H18" s="24">
        <f t="shared" si="3"/>
        <v>1657594.872257035</v>
      </c>
      <c r="I18" s="24">
        <f>SUMIFS(sales_data_1[Sales_Amount],sales_data_1[Region], "North", sales_data_1[Year],"2023", sales_data_1[month],B18)</f>
        <v>1661172.8860505165</v>
      </c>
      <c r="J18" s="24">
        <f t="shared" si="4"/>
        <v>1886452.541476703</v>
      </c>
    </row>
    <row r="19" spans="1:10" x14ac:dyDescent="0.35">
      <c r="A19" s="5"/>
      <c r="B19" s="23" t="s">
        <v>50</v>
      </c>
      <c r="C19" s="24">
        <f>SUMIFS(sales_data_1[Sales_Amount],sales_data_1[Region], "West", sales_data_1[Year],"2023", sales_data_1[month],B19)</f>
        <v>1160646.7909126424</v>
      </c>
      <c r="D19" s="24">
        <f t="shared" si="1"/>
        <v>1421578.8769389139</v>
      </c>
      <c r="E19" s="24">
        <f>SUMIFS(sales_data_1[Sales_Amount],sales_data_1[Region], "South", sales_data_1[Year],"2023", sales_data_1[month],B19)</f>
        <v>1328222.4325507137</v>
      </c>
      <c r="F19" s="24">
        <f t="shared" si="2"/>
        <v>1437951.1317853949</v>
      </c>
      <c r="G19" s="24">
        <f>SUMIFS(sales_data_1[Sales_Amount],sales_data_1[Region], "East", sales_data_1[Year],"2023", sales_data_1[month],B19)</f>
        <v>1589577.954652623</v>
      </c>
      <c r="H19" s="24">
        <f t="shared" si="3"/>
        <v>1700861.1781368004</v>
      </c>
      <c r="I19" s="24">
        <f>SUMIFS(sales_data_1[Sales_Amount],sales_data_1[Region], "North", sales_data_1[Year],"2023", sales_data_1[month],B19)</f>
        <v>1828374.3724479452</v>
      </c>
      <c r="J19" s="24">
        <f t="shared" si="4"/>
        <v>1833444.8659981964</v>
      </c>
    </row>
    <row r="20" spans="1:10" x14ac:dyDescent="0.35">
      <c r="A20" s="5"/>
      <c r="B20" s="23" t="s">
        <v>51</v>
      </c>
      <c r="C20" s="24">
        <f>SUMIFS(sales_data_1[Sales_Amount],sales_data_1[Region], "West", sales_data_1[Year],"2023", sales_data_1[month],B20)</f>
        <v>1212199.6968264894</v>
      </c>
      <c r="D20" s="24">
        <f t="shared" si="1"/>
        <v>1397525.9189430492</v>
      </c>
      <c r="E20" s="24">
        <f>SUMIFS(sales_data_1[Sales_Amount],sales_data_1[Region], "South", sales_data_1[Year],"2023", sales_data_1[month],B20)</f>
        <v>896041.07281016489</v>
      </c>
      <c r="F20" s="24">
        <f t="shared" si="2"/>
        <v>1348090.8173905723</v>
      </c>
      <c r="G20" s="24">
        <f>SUMIFS(sales_data_1[Sales_Amount],sales_data_1[Region], "East", sales_data_1[Year],"2023", sales_data_1[month],B20)</f>
        <v>1310194.7414546707</v>
      </c>
      <c r="H20" s="24">
        <f t="shared" si="3"/>
        <v>1671591.3339087174</v>
      </c>
      <c r="I20" s="24">
        <f>SUMIFS(sales_data_1[Sales_Amount],sales_data_1[Region], "North", sales_data_1[Year],"2023", sales_data_1[month],B20)</f>
        <v>1126403.5993597454</v>
      </c>
      <c r="J20" s="24">
        <f t="shared" si="4"/>
        <v>1798734.9173093492</v>
      </c>
    </row>
    <row r="21" spans="1:10" x14ac:dyDescent="0.35">
      <c r="A21" s="5"/>
      <c r="B21" s="23" t="s">
        <v>52</v>
      </c>
      <c r="C21" s="24">
        <f>SUMIFS(sales_data_1[Sales_Amount],sales_data_1[Region], "West", sales_data_1[Year],"2023", sales_data_1[month],B21)</f>
        <v>1868291.7482795075</v>
      </c>
      <c r="D21" s="24">
        <f t="shared" si="1"/>
        <v>1436759.8063490738</v>
      </c>
      <c r="E21" s="24">
        <f>SUMIFS(sales_data_1[Sales_Amount],sales_data_1[Region], "South", sales_data_1[Year],"2023", sales_data_1[month],B21)</f>
        <v>1689757.9871172209</v>
      </c>
      <c r="F21" s="24">
        <f t="shared" si="2"/>
        <v>1420903.9245633159</v>
      </c>
      <c r="G21" s="24">
        <f>SUMIFS(sales_data_1[Sales_Amount],sales_data_1[Region], "East", sales_data_1[Year],"2023", sales_data_1[month],B21)</f>
        <v>1172990.2858483607</v>
      </c>
      <c r="H21" s="24">
        <f t="shared" si="3"/>
        <v>1622050.0237996934</v>
      </c>
      <c r="I21" s="24">
        <f>SUMIFS(sales_data_1[Sales_Amount],sales_data_1[Region], "North", sales_data_1[Year],"2023", sales_data_1[month],B21)</f>
        <v>1778826.3963639231</v>
      </c>
      <c r="J21" s="24">
        <f t="shared" si="4"/>
        <v>1744367.5792405726</v>
      </c>
    </row>
    <row r="22" spans="1:10" x14ac:dyDescent="0.35">
      <c r="A22" s="5"/>
      <c r="B22" s="23" t="s">
        <v>53</v>
      </c>
      <c r="C22" s="24">
        <f>SUMIFS(sales_data_1[Sales_Amount],sales_data_1[Region], "West", sales_data_1[Year],"2023", sales_data_1[month],B22)</f>
        <v>1354967.281836417</v>
      </c>
      <c r="D22" s="24">
        <f t="shared" si="1"/>
        <v>1397579.3096337595</v>
      </c>
      <c r="E22" s="24">
        <f>SUMIFS(sales_data_1[Sales_Amount],sales_data_1[Region], "South", sales_data_1[Year],"2023", sales_data_1[month],B22)</f>
        <v>1081341.4092928956</v>
      </c>
      <c r="F22" s="24">
        <f t="shared" si="2"/>
        <v>1404866.6107302606</v>
      </c>
      <c r="G22" s="24">
        <f>SUMIFS(sales_data_1[Sales_Amount],sales_data_1[Region], "East", sales_data_1[Year],"2023", sales_data_1[month],B22)</f>
        <v>815290.47655509762</v>
      </c>
      <c r="H22" s="24">
        <f t="shared" si="3"/>
        <v>1564531.4748795831</v>
      </c>
      <c r="I22" s="24">
        <f>SUMIFS(sales_data_1[Sales_Amount],sales_data_1[Region], "North", sales_data_1[Year],"2023", sales_data_1[month],B22)</f>
        <v>1117409.2584819447</v>
      </c>
      <c r="J22" s="24">
        <f t="shared" si="4"/>
        <v>1682898.6806775955</v>
      </c>
    </row>
    <row r="23" spans="1:10" x14ac:dyDescent="0.35">
      <c r="A23" s="5"/>
      <c r="B23" s="23" t="s">
        <v>54</v>
      </c>
      <c r="C23" s="24">
        <f>SUMIFS(sales_data_1[Sales_Amount],sales_data_1[Region], "West", sales_data_1[Year],"2023", sales_data_1[month],B23)</f>
        <v>1660763.1236036015</v>
      </c>
      <c r="D23" s="24">
        <f t="shared" si="1"/>
        <v>1392221.6815399567</v>
      </c>
      <c r="E23" s="24">
        <f>SUMIFS(sales_data_1[Sales_Amount],sales_data_1[Region], "South", sales_data_1[Year],"2023", sales_data_1[month],B23)</f>
        <v>1426346.217751178</v>
      </c>
      <c r="F23" s="24">
        <f t="shared" si="2"/>
        <v>1363000.7655504902</v>
      </c>
      <c r="G23" s="24">
        <f>SUMIFS(sales_data_1[Sales_Amount],sales_data_1[Region], "East", sales_data_1[Year],"2023", sales_data_1[month],B23)</f>
        <v>1660009.2503541147</v>
      </c>
      <c r="H23" s="24">
        <f t="shared" si="3"/>
        <v>1560844.6559791875</v>
      </c>
      <c r="I23" s="24">
        <f>SUMIFS(sales_data_1[Sales_Amount],sales_data_1[Region], "North", sales_data_1[Year],"2023", sales_data_1[month],B23)</f>
        <v>1594987.8222553551</v>
      </c>
      <c r="J23" s="24">
        <f t="shared" si="4"/>
        <v>1646174.2837413128</v>
      </c>
    </row>
    <row r="24" spans="1:10" x14ac:dyDescent="0.35">
      <c r="A24" s="5"/>
      <c r="B24" s="23" t="s">
        <v>55</v>
      </c>
      <c r="C24" s="24">
        <f>SUMIFS(sales_data_1[Sales_Amount],sales_data_1[Region], "West", sales_data_1[Year],"2023", sales_data_1[month],B24)</f>
        <v>1224110.5494815207</v>
      </c>
      <c r="D24" s="24">
        <f t="shared" si="1"/>
        <v>1416256.642326534</v>
      </c>
      <c r="E24" s="24">
        <f>SUMIFS(sales_data_1[Sales_Amount],sales_data_1[Region], "South", sales_data_1[Year],"2023", sales_data_1[month],B24)</f>
        <v>912551.77851438767</v>
      </c>
      <c r="F24" s="24">
        <f t="shared" si="2"/>
        <v>1269375.6825591645</v>
      </c>
      <c r="G24" s="24">
        <f>SUMIFS(sales_data_1[Sales_Amount],sales_data_1[Region], "East", sales_data_1[Year],"2023", sales_data_1[month],B24)</f>
        <v>1329693.7265726917</v>
      </c>
      <c r="H24" s="24">
        <f t="shared" si="3"/>
        <v>1475904.8130372476</v>
      </c>
      <c r="I24" s="24">
        <f>SUMIFS(sales_data_1[Sales_Amount],sales_data_1[Region], "North", sales_data_1[Year],"2023", sales_data_1[month],B24)</f>
        <v>1301524.3164384826</v>
      </c>
      <c r="J24" s="24">
        <f t="shared" si="4"/>
        <v>1557944.3041033021</v>
      </c>
    </row>
    <row r="25" spans="1:10" x14ac:dyDescent="0.35">
      <c r="A25" s="5"/>
      <c r="B25" s="23" t="s">
        <v>56</v>
      </c>
      <c r="C25" s="24">
        <f>SUMIFS(sales_data_1[Sales_Amount],sales_data_1[Region], "West", sales_data_1[Year],"2023", sales_data_1[month],B25)</f>
        <v>1651746.8903533989</v>
      </c>
      <c r="D25" s="24">
        <f t="shared" si="1"/>
        <v>1427632.180939317</v>
      </c>
      <c r="E25" s="24">
        <f>SUMIFS(sales_data_1[Sales_Amount],sales_data_1[Region], "South", sales_data_1[Year],"2023", sales_data_1[month],B25)</f>
        <v>1486483.3689270783</v>
      </c>
      <c r="F25" s="24">
        <f t="shared" si="2"/>
        <v>1310190.9198195888</v>
      </c>
      <c r="G25" s="24">
        <f>SUMIFS(sales_data_1[Sales_Amount],sales_data_1[Region], "East", sales_data_1[Year],"2023", sales_data_1[month],B25)</f>
        <v>1246255.9256688186</v>
      </c>
      <c r="H25" s="24">
        <f t="shared" si="3"/>
        <v>1449403.2864370474</v>
      </c>
      <c r="I25" s="24">
        <f>SUMIFS(sales_data_1[Sales_Amount],sales_data_1[Region], "North", sales_data_1[Year],"2023", sales_data_1[month],B25)</f>
        <v>1644776.1605501364</v>
      </c>
      <c r="J25" s="24">
        <f t="shared" si="4"/>
        <v>1467824.1076327099</v>
      </c>
    </row>
    <row r="26" spans="1:10" x14ac:dyDescent="0.35">
      <c r="A26" s="17">
        <v>2024</v>
      </c>
      <c r="B26" s="23" t="s">
        <v>45</v>
      </c>
      <c r="C26" s="24">
        <f>SUMIFS(sales_data_1[Sales_Amount],sales_data_1[Region], "West", sales_data_1[Year],"2024", sales_data_1[month],B26)</f>
        <v>1538067.9504918393</v>
      </c>
      <c r="D26" s="24">
        <f t="shared" si="1"/>
        <v>1446362.9813882562</v>
      </c>
      <c r="E26" s="24">
        <f>SUMIFS(sales_data_1[Sales_Amount],sales_data_1[Region], "South", sales_data_1[Year],"2024", sales_data_1[month],B26)</f>
        <v>1974013.2516510694</v>
      </c>
      <c r="F26" s="24">
        <f t="shared" si="2"/>
        <v>1350914.5151801843</v>
      </c>
      <c r="G26" s="24">
        <f>SUMIFS(sales_data_1[Sales_Amount],sales_data_1[Region], "East", sales_data_1[Year],"2024", sales_data_1[month],B26)</f>
        <v>1632111.0704269987</v>
      </c>
      <c r="H26" s="24">
        <f t="shared" si="3"/>
        <v>1404737.2457115857</v>
      </c>
      <c r="I26" s="24">
        <f>SUMIFS(sales_data_1[Sales_Amount],sales_data_1[Region], "North", sales_data_1[Year],"2024", sales_data_1[month],B26)</f>
        <v>2607192.2680226816</v>
      </c>
      <c r="J26" s="24">
        <f t="shared" si="4"/>
        <v>1498527.8178803828</v>
      </c>
    </row>
    <row r="27" spans="1:10" x14ac:dyDescent="0.35">
      <c r="A27" s="5"/>
      <c r="B27" s="23" t="s">
        <v>46</v>
      </c>
      <c r="C27" s="24">
        <f>SUMIFS(sales_data_1[Sales_Amount],sales_data_1[Region], "West", sales_data_1[Year],"2024", sales_data_1[month],B27)</f>
        <v>1696498.5727913636</v>
      </c>
      <c r="D27" s="24">
        <f t="shared" si="1"/>
        <v>1465293.8569404699</v>
      </c>
      <c r="E27" s="24">
        <f>SUMIFS(sales_data_1[Sales_Amount],sales_data_1[Region], "South", sales_data_1[Year],"2024", sales_data_1[month],B27)</f>
        <v>1646382.6363424866</v>
      </c>
      <c r="F27" s="24">
        <f t="shared" si="2"/>
        <v>1414362.4321881721</v>
      </c>
      <c r="G27" s="24">
        <f>SUMIFS(sales_data_1[Sales_Amount],sales_data_1[Region], "East", sales_data_1[Year],"2024", sales_data_1[month],B27)</f>
        <v>1479350.9044524073</v>
      </c>
      <c r="H27" s="24">
        <f t="shared" si="3"/>
        <v>1365147.5698415241</v>
      </c>
      <c r="I27" s="24">
        <f>SUMIFS(sales_data_1[Sales_Amount],sales_data_1[Region], "North", sales_data_1[Year],"2024", sales_data_1[month],B27)</f>
        <v>1928192.2441896414</v>
      </c>
      <c r="J27" s="24">
        <f t="shared" si="4"/>
        <v>1561486.1430074703</v>
      </c>
    </row>
    <row r="28" spans="1:10" x14ac:dyDescent="0.35">
      <c r="A28" s="5"/>
      <c r="B28" s="23" t="s">
        <v>47</v>
      </c>
      <c r="C28" s="24">
        <f>SUMIFS(sales_data_1[Sales_Amount],sales_data_1[Region], "West", sales_data_1[Year],"2024", sales_data_1[month],B28)</f>
        <v>1718546.123275066</v>
      </c>
      <c r="D28" s="24">
        <f t="shared" si="1"/>
        <v>1475505.0597026434</v>
      </c>
      <c r="E28" s="24">
        <f>SUMIFS(sales_data_1[Sales_Amount],sales_data_1[Region], "South", sales_data_1[Year],"2024", sales_data_1[month],B28)</f>
        <v>2328409.1049276418</v>
      </c>
      <c r="F28" s="24">
        <f t="shared" si="2"/>
        <v>1498616.1489313301</v>
      </c>
      <c r="G28" s="24">
        <f>SUMIFS(sales_data_1[Sales_Amount],sales_data_1[Region], "East", sales_data_1[Year],"2024", sales_data_1[month],B28)</f>
        <v>2832166.1324795955</v>
      </c>
      <c r="H28" s="24">
        <f t="shared" si="3"/>
        <v>1429594.2581858439</v>
      </c>
      <c r="I28" s="24">
        <f>SUMIFS(sales_data_1[Sales_Amount],sales_data_1[Region], "North", sales_data_1[Year],"2024", sales_data_1[month],B28)</f>
        <v>2135129.7623781385</v>
      </c>
      <c r="J28" s="24">
        <f t="shared" si="4"/>
        <v>1670651.6634340894</v>
      </c>
    </row>
    <row r="29" spans="1:10" x14ac:dyDescent="0.35">
      <c r="A29" s="5"/>
      <c r="B29" s="23" t="s">
        <v>48</v>
      </c>
      <c r="C29" s="24">
        <f>SUMIFS(sales_data_1[Sales_Amount],sales_data_1[Region], "West", sales_data_1[Year],"2024", sales_data_1[month],B29)</f>
        <v>2318826.3233053889</v>
      </c>
      <c r="D29" s="24">
        <f t="shared" si="1"/>
        <v>1546228.4586796754</v>
      </c>
      <c r="E29" s="24">
        <f>SUMIFS(sales_data_1[Sales_Amount],sales_data_1[Region], "South", sales_data_1[Year],"2024", sales_data_1[month],B29)</f>
        <v>1201284.253725596</v>
      </c>
      <c r="F29" s="24">
        <f t="shared" si="2"/>
        <v>1458305.9124460679</v>
      </c>
      <c r="G29" s="24">
        <f>SUMIFS(sales_data_1[Sales_Amount],sales_data_1[Region], "East", sales_data_1[Year],"2024", sales_data_1[month],B29)</f>
        <v>2034886.2101488628</v>
      </c>
      <c r="H29" s="24">
        <f t="shared" si="3"/>
        <v>1532206.7770610552</v>
      </c>
      <c r="I29" s="24">
        <f>SUMIFS(sales_data_1[Sales_Amount],sales_data_1[Region], "North", sales_data_1[Year],"2024", sales_data_1[month],B29)</f>
        <v>975623.35653066938</v>
      </c>
      <c r="J29" s="24">
        <f t="shared" si="4"/>
        <v>1641634.3702557653</v>
      </c>
    </row>
    <row r="30" spans="1:10" x14ac:dyDescent="0.35">
      <c r="A30" s="5"/>
      <c r="B30" s="23" t="s">
        <v>49</v>
      </c>
      <c r="C30" s="24">
        <f>SUMIFS(sales_data_1[Sales_Amount],sales_data_1[Region], "West", sales_data_1[Year],"2024", sales_data_1[month],B30)</f>
        <v>1277210.7198673652</v>
      </c>
      <c r="D30" s="24">
        <f t="shared" si="1"/>
        <v>1556822.9809187166</v>
      </c>
      <c r="E30" s="24">
        <f>SUMIFS(sales_data_1[Sales_Amount],sales_data_1[Region], "South", sales_data_1[Year],"2024", sales_data_1[month],B30)</f>
        <v>2639100.6213051314</v>
      </c>
      <c r="F30" s="24">
        <f t="shared" si="2"/>
        <v>1550827.8445762971</v>
      </c>
      <c r="G30" s="24">
        <f>SUMIFS(sales_data_1[Sales_Amount],sales_data_1[Region], "East", sales_data_1[Year],"2024", sales_data_1[month],B30)</f>
        <v>1885515.7660589721</v>
      </c>
      <c r="H30" s="24">
        <f t="shared" si="3"/>
        <v>1582336.8703894343</v>
      </c>
      <c r="I30" s="24">
        <f>SUMIFS(sales_data_1[Sales_Amount],sales_data_1[Region], "North", sales_data_1[Year],"2024", sales_data_1[month],B30)</f>
        <v>3427991.1946714437</v>
      </c>
      <c r="J30" s="24">
        <f t="shared" si="4"/>
        <v>1788869.229307509</v>
      </c>
    </row>
    <row r="31" spans="1:10" x14ac:dyDescent="0.35">
      <c r="A31" s="5"/>
      <c r="B31" s="23" t="s">
        <v>50</v>
      </c>
      <c r="C31" s="24">
        <f>SUMIFS(sales_data_1[Sales_Amount],sales_data_1[Region], "West", sales_data_1[Year],"2024", sales_data_1[month],B31)</f>
        <v>1853700.4193979045</v>
      </c>
      <c r="D31" s="24">
        <f t="shared" si="1"/>
        <v>1614577.4499591552</v>
      </c>
      <c r="E31" s="24">
        <f>SUMIFS(sales_data_1[Sales_Amount],sales_data_1[Region], "South", sales_data_1[Year],"2024", sales_data_1[month],B31)</f>
        <v>1512364.3277432774</v>
      </c>
      <c r="F31" s="24">
        <f t="shared" si="2"/>
        <v>1566173.0025090107</v>
      </c>
      <c r="G31" s="24">
        <f>SUMIFS(sales_data_1[Sales_Amount],sales_data_1[Region], "East", sales_data_1[Year],"2024", sales_data_1[month],B31)</f>
        <v>1325773.9305000936</v>
      </c>
      <c r="H31" s="24">
        <f t="shared" si="3"/>
        <v>1560353.2017100572</v>
      </c>
      <c r="I31" s="24">
        <f>SUMIFS(sales_data_1[Sales_Amount],sales_data_1[Region], "North", sales_data_1[Year],"2024", sales_data_1[month],B31)</f>
        <v>2108465.933990703</v>
      </c>
      <c r="J31" s="24">
        <f t="shared" si="4"/>
        <v>1812210.1927694054</v>
      </c>
    </row>
    <row r="32" spans="1:10" x14ac:dyDescent="0.35">
      <c r="A32" s="5"/>
      <c r="B32" s="23" t="s">
        <v>51</v>
      </c>
      <c r="C32" s="24">
        <f>SUMIFS(sales_data_1[Sales_Amount],sales_data_1[Region], "West", sales_data_1[Year],"2024", sales_data_1[month],B32)</f>
        <v>1557740.4029106293</v>
      </c>
      <c r="D32" s="24">
        <f t="shared" si="1"/>
        <v>1643372.5087995001</v>
      </c>
      <c r="E32" s="24">
        <f>SUMIFS(sales_data_1[Sales_Amount],sales_data_1[Region], "South", sales_data_1[Year],"2024", sales_data_1[month],B32)</f>
        <v>1392545.2216147154</v>
      </c>
      <c r="F32" s="24">
        <f t="shared" si="2"/>
        <v>1607548.3482427232</v>
      </c>
      <c r="G32" s="24">
        <f>SUMIFS(sales_data_1[Sales_Amount],sales_data_1[Region], "East", sales_data_1[Year],"2024", sales_data_1[month],B32)</f>
        <v>1424479.0439905319</v>
      </c>
      <c r="H32" s="24">
        <f t="shared" si="3"/>
        <v>1569876.8935880456</v>
      </c>
      <c r="I32" s="24">
        <f>SUMIFS(sales_data_1[Sales_Amount],sales_data_1[Region], "North", sales_data_1[Year],"2024", sales_data_1[month],B32)</f>
        <v>2068204.964737244</v>
      </c>
      <c r="J32" s="24">
        <f t="shared" si="4"/>
        <v>1890693.6398841969</v>
      </c>
    </row>
    <row r="33" spans="1:10" x14ac:dyDescent="0.35">
      <c r="A33" s="5"/>
      <c r="B33" s="23" t="s">
        <v>52</v>
      </c>
      <c r="C33" s="24">
        <f>SUMIFS(sales_data_1[Sales_Amount],sales_data_1[Region], "West", sales_data_1[Year],"2024", sales_data_1[month],B33)</f>
        <v>1764651.974493755</v>
      </c>
      <c r="D33" s="24">
        <f t="shared" si="1"/>
        <v>1634735.8609840211</v>
      </c>
      <c r="E33" s="24">
        <f>SUMIFS(sales_data_1[Sales_Amount],sales_data_1[Region], "South", sales_data_1[Year],"2024", sales_data_1[month],B33)</f>
        <v>1421707.5165097686</v>
      </c>
      <c r="F33" s="24">
        <f t="shared" si="2"/>
        <v>1585210.8090254355</v>
      </c>
      <c r="G33" s="24">
        <f>SUMIFS(sales_data_1[Sales_Amount],sales_data_1[Region], "East", sales_data_1[Year],"2024", sales_data_1[month],B33)</f>
        <v>1334599.0568240222</v>
      </c>
      <c r="H33" s="24">
        <f t="shared" si="3"/>
        <v>1583344.2911693503</v>
      </c>
      <c r="I33" s="24">
        <f>SUMIFS(sales_data_1[Sales_Amount],sales_data_1[Region], "North", sales_data_1[Year],"2024", sales_data_1[month],B33)</f>
        <v>1772566.8057716645</v>
      </c>
      <c r="J33" s="24">
        <f t="shared" si="4"/>
        <v>1890172.0073348421</v>
      </c>
    </row>
    <row r="34" spans="1:10" x14ac:dyDescent="0.35">
      <c r="A34" s="5"/>
      <c r="B34" s="23" t="s">
        <v>53</v>
      </c>
      <c r="C34" s="24">
        <f>SUMIFS(sales_data_1[Sales_Amount],sales_data_1[Region], "West", sales_data_1[Year],"2024", sales_data_1[month],B34)</f>
        <v>1108183.490349588</v>
      </c>
      <c r="D34" s="24">
        <f t="shared" si="1"/>
        <v>1614170.545026785</v>
      </c>
      <c r="E34" s="24">
        <f>SUMIFS(sales_data_1[Sales_Amount],sales_data_1[Region], "South", sales_data_1[Year],"2024", sales_data_1[month],B34)</f>
        <v>2523605.7972657834</v>
      </c>
      <c r="F34" s="24">
        <f t="shared" si="2"/>
        <v>1705399.5080231761</v>
      </c>
      <c r="G34" s="24">
        <f>SUMIFS(sales_data_1[Sales_Amount],sales_data_1[Region], "East", sales_data_1[Year],"2024", sales_data_1[month],B34)</f>
        <v>1865413.9927009533</v>
      </c>
      <c r="H34" s="24">
        <f t="shared" si="3"/>
        <v>1670854.5841815053</v>
      </c>
      <c r="I34" s="24">
        <f>SUMIFS(sales_data_1[Sales_Amount],sales_data_1[Region], "North", sales_data_1[Year],"2024", sales_data_1[month],B34)</f>
        <v>1377402.5748629426</v>
      </c>
      <c r="J34" s="24">
        <f t="shared" si="4"/>
        <v>1911838.1170332583</v>
      </c>
    </row>
    <row r="35" spans="1:10" x14ac:dyDescent="0.35">
      <c r="A35" s="5"/>
      <c r="B35" s="23" t="s">
        <v>54</v>
      </c>
      <c r="C35" s="24">
        <f>SUMIFS(sales_data_1[Sales_Amount],sales_data_1[Region], "West", sales_data_1[Year],"2024", sales_data_1[month],B35)</f>
        <v>2270698.7028171108</v>
      </c>
      <c r="D35" s="24">
        <f t="shared" si="1"/>
        <v>1664998.5099612444</v>
      </c>
      <c r="E35" s="24">
        <f>SUMIFS(sales_data_1[Sales_Amount],sales_data_1[Region], "South", sales_data_1[Year],"2024", sales_data_1[month],B35)</f>
        <v>2301448.3085401319</v>
      </c>
      <c r="F35" s="24">
        <f t="shared" si="2"/>
        <v>1778324.6822555887</v>
      </c>
      <c r="G35" s="24">
        <f>SUMIFS(sales_data_1[Sales_Amount],sales_data_1[Region], "East", sales_data_1[Year],"2024", sales_data_1[month],B35)</f>
        <v>1534674.9482000002</v>
      </c>
      <c r="H35" s="24">
        <f t="shared" si="3"/>
        <v>1660410.0590019955</v>
      </c>
      <c r="I35" s="24">
        <f>SUMIFS(sales_data_1[Sales_Amount],sales_data_1[Region], "North", sales_data_1[Year],"2024", sales_data_1[month],B35)</f>
        <v>1861369.0490923044</v>
      </c>
      <c r="J35" s="24">
        <f t="shared" si="4"/>
        <v>1934036.5526030043</v>
      </c>
    </row>
    <row r="36" spans="1:10" x14ac:dyDescent="0.35">
      <c r="A36" s="5"/>
      <c r="B36" s="23" t="s">
        <v>55</v>
      </c>
      <c r="C36" s="24">
        <f>SUMIFS(sales_data_1[Sales_Amount],sales_data_1[Region], "West", sales_data_1[Year],"2024", sales_data_1[month],B36)</f>
        <v>935028.52825854858</v>
      </c>
      <c r="D36" s="24">
        <f t="shared" si="1"/>
        <v>1640908.3415259963</v>
      </c>
      <c r="E36" s="24">
        <f>SUMIFS(sales_data_1[Sales_Amount],sales_data_1[Region], "South", sales_data_1[Year],"2024", sales_data_1[month],B36)</f>
        <v>1377008.0396540898</v>
      </c>
      <c r="F36" s="24">
        <f t="shared" si="2"/>
        <v>1817029.3706838973</v>
      </c>
      <c r="G36" s="24">
        <f>SUMIFS(sales_data_1[Sales_Amount],sales_data_1[Region], "East", sales_data_1[Year],"2024", sales_data_1[month],B36)</f>
        <v>1916862.9984745844</v>
      </c>
      <c r="H36" s="24">
        <f t="shared" si="3"/>
        <v>1709340.8316604868</v>
      </c>
      <c r="I36" s="24">
        <f>SUMIFS(sales_data_1[Sales_Amount],sales_data_1[Region], "North", sales_data_1[Year],"2024", sales_data_1[month],B36)</f>
        <v>2290847.9970302773</v>
      </c>
      <c r="J36" s="24">
        <f t="shared" si="4"/>
        <v>2016480.1926523203</v>
      </c>
    </row>
    <row r="37" spans="1:10" x14ac:dyDescent="0.35">
      <c r="A37" s="5"/>
      <c r="B37" s="23" t="s">
        <v>56</v>
      </c>
      <c r="C37" s="24">
        <f>SUMIFS(sales_data_1[Sales_Amount],sales_data_1[Region], "West", sales_data_1[Year],"2024", sales_data_1[month],B37)</f>
        <v>1636887.4537109507</v>
      </c>
      <c r="D37" s="24">
        <f t="shared" si="1"/>
        <v>1639670.0551391256</v>
      </c>
      <c r="E37" s="24">
        <f>SUMIFS(sales_data_1[Sales_Amount],sales_data_1[Region], "South", sales_data_1[Year],"2024", sales_data_1[month],B37)</f>
        <v>1177214.4683008974</v>
      </c>
      <c r="F37" s="24">
        <f t="shared" si="2"/>
        <v>1791256.9622983823</v>
      </c>
      <c r="G37" s="24">
        <f>SUMIFS(sales_data_1[Sales_Amount],sales_data_1[Region], "East", sales_data_1[Year],"2024", sales_data_1[month],B37)</f>
        <v>2408595.7768696263</v>
      </c>
      <c r="H37" s="24">
        <f t="shared" si="3"/>
        <v>1806202.4859272204</v>
      </c>
      <c r="I37" s="24">
        <f>SUMIFS(sales_data_1[Sales_Amount],sales_data_1[Region], "North", sales_data_1[Year],"2024", sales_data_1[month],B37)</f>
        <v>2069208.2880321192</v>
      </c>
      <c r="J37" s="24">
        <f t="shared" si="4"/>
        <v>2051849.5366091521</v>
      </c>
    </row>
  </sheetData>
  <pageMargins left="0.7" right="0.7" top="0.75" bottom="0.75" header="0.3" footer="0.3"/>
  <ignoredErrors>
    <ignoredError sqref="A2:A17" numberStoredAsText="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48455-20D1-4DBC-AF87-906FB7570F93}">
  <dimension ref="A1:N47"/>
  <sheetViews>
    <sheetView topLeftCell="A16" workbookViewId="0">
      <selection activeCell="A3" sqref="A1:XFD3"/>
    </sheetView>
  </sheetViews>
  <sheetFormatPr defaultRowHeight="14.5" x14ac:dyDescent="0.35"/>
  <cols>
    <col min="1" max="1" width="10.6328125" customWidth="1"/>
    <col min="2" max="2" width="11.81640625" bestFit="1" customWidth="1"/>
    <col min="3" max="3" width="13.81640625" bestFit="1" customWidth="1"/>
    <col min="4" max="4" width="1.26953125" customWidth="1"/>
    <col min="5" max="8" width="14.81640625" bestFit="1" customWidth="1"/>
    <col min="9" max="9" width="1.08984375" customWidth="1"/>
    <col min="10" max="10" width="10.81640625" customWidth="1"/>
    <col min="11" max="11" width="9.81640625" bestFit="1" customWidth="1"/>
    <col min="14" max="14" width="11.36328125" bestFit="1" customWidth="1"/>
  </cols>
  <sheetData>
    <row r="1" spans="1:8" x14ac:dyDescent="0.35">
      <c r="E1" s="6" t="s">
        <v>20</v>
      </c>
      <c r="F1" s="6" t="s">
        <v>23</v>
      </c>
      <c r="G1" s="6" t="s">
        <v>30</v>
      </c>
      <c r="H1" s="6" t="s">
        <v>15</v>
      </c>
    </row>
    <row r="2" spans="1:8" x14ac:dyDescent="0.35">
      <c r="E2" s="24">
        <f>SUM(E4:E27)</f>
        <v>36807626.832941309</v>
      </c>
      <c r="F2" s="24">
        <f t="shared" ref="F2:H2" si="0">SUM(F4:F27)</f>
        <v>37217374.585415646</v>
      </c>
      <c r="G2" s="24">
        <f t="shared" si="0"/>
        <v>39067269.26837121</v>
      </c>
      <c r="H2" s="24">
        <f t="shared" si="0"/>
        <v>42236083.730902359</v>
      </c>
    </row>
    <row r="3" spans="1:8" ht="6" customHeight="1" x14ac:dyDescent="0.35">
      <c r="E3" s="5"/>
      <c r="F3" s="5"/>
      <c r="G3" s="5"/>
      <c r="H3" s="5"/>
    </row>
    <row r="4" spans="1:8" x14ac:dyDescent="0.35">
      <c r="A4" s="94">
        <v>2023</v>
      </c>
      <c r="B4" s="5" t="s">
        <v>45</v>
      </c>
      <c r="C4" s="24">
        <f>SUM(E4:H4)</f>
        <v>7205479.756611634</v>
      </c>
      <c r="D4" s="5"/>
      <c r="E4" s="24">
        <f>revenue_by_region!C14</f>
        <v>1313298.3451045689</v>
      </c>
      <c r="F4" s="24">
        <f>revenue_by_region!E14</f>
        <v>1485330.1073239185</v>
      </c>
      <c r="G4" s="24">
        <f>revenue_by_region!G14</f>
        <v>2168103.5591325397</v>
      </c>
      <c r="H4" s="24">
        <f>revenue_by_region!I14</f>
        <v>2238747.7450506077</v>
      </c>
    </row>
    <row r="5" spans="1:8" x14ac:dyDescent="0.35">
      <c r="A5" s="94"/>
      <c r="B5" s="5" t="s">
        <v>46</v>
      </c>
      <c r="C5" s="24">
        <f t="shared" ref="C5:C27" si="1">SUM(E5:H5)</f>
        <v>5481455.0559691712</v>
      </c>
      <c r="D5" s="5"/>
      <c r="E5" s="24">
        <f>revenue_by_region!C15</f>
        <v>1469328.0661647981</v>
      </c>
      <c r="F5" s="24">
        <f>revenue_by_region!E15</f>
        <v>885007.63224663283</v>
      </c>
      <c r="G5" s="24">
        <f>revenue_by_region!G15</f>
        <v>1954427.0148931481</v>
      </c>
      <c r="H5" s="24">
        <f>revenue_by_region!I15</f>
        <v>1172692.342664592</v>
      </c>
    </row>
    <row r="6" spans="1:8" x14ac:dyDescent="0.35">
      <c r="A6" s="94"/>
      <c r="B6" s="5" t="s">
        <v>47</v>
      </c>
      <c r="C6" s="24">
        <f t="shared" si="1"/>
        <v>5797325.5837451993</v>
      </c>
      <c r="D6" s="5"/>
      <c r="E6" s="24">
        <f>revenue_by_region!C16</f>
        <v>1596011.6901289874</v>
      </c>
      <c r="F6" s="24">
        <f>revenue_by_region!E16</f>
        <v>1317364.5040097458</v>
      </c>
      <c r="G6" s="24">
        <f>revenue_by_region!G16</f>
        <v>2058805.8723477561</v>
      </c>
      <c r="H6" s="24">
        <f>revenue_by_region!I16</f>
        <v>825143.51725871011</v>
      </c>
    </row>
    <row r="7" spans="1:8" x14ac:dyDescent="0.35">
      <c r="A7" s="94"/>
      <c r="B7" s="5" t="s">
        <v>48</v>
      </c>
      <c r="C7" s="24">
        <f t="shared" si="1"/>
        <v>5282519.4854466394</v>
      </c>
      <c r="D7" s="5"/>
      <c r="E7" s="24">
        <f>revenue_by_region!C17</f>
        <v>1470145.5355810034</v>
      </c>
      <c r="F7" s="24">
        <f>revenue_by_region!E17</f>
        <v>1685007.0915487446</v>
      </c>
      <c r="G7" s="24">
        <f>revenue_by_region!G17</f>
        <v>803535.98364632879</v>
      </c>
      <c r="H7" s="24">
        <f>revenue_by_region!I17</f>
        <v>1323830.8746705626</v>
      </c>
    </row>
    <row r="8" spans="1:8" x14ac:dyDescent="0.35">
      <c r="A8" s="94"/>
      <c r="B8" s="5" t="s">
        <v>49</v>
      </c>
      <c r="C8" s="24">
        <f t="shared" si="1"/>
        <v>5624041.4209101899</v>
      </c>
      <c r="D8" s="5"/>
      <c r="E8" s="24">
        <f>revenue_by_region!C18</f>
        <v>1150076.4529988712</v>
      </c>
      <c r="F8" s="24">
        <f>revenue_by_region!E18</f>
        <v>1528837.4357423829</v>
      </c>
      <c r="G8" s="24">
        <f>revenue_by_region!G18</f>
        <v>1283954.6461184197</v>
      </c>
      <c r="H8" s="24">
        <f>revenue_by_region!I18</f>
        <v>1661172.8860505165</v>
      </c>
    </row>
    <row r="9" spans="1:8" x14ac:dyDescent="0.35">
      <c r="A9" s="94"/>
      <c r="B9" s="5" t="s">
        <v>50</v>
      </c>
      <c r="C9" s="24">
        <f t="shared" si="1"/>
        <v>5906821.550563924</v>
      </c>
      <c r="D9" s="5"/>
      <c r="E9" s="24">
        <f>revenue_by_region!C19</f>
        <v>1160646.7909126424</v>
      </c>
      <c r="F9" s="24">
        <f>revenue_by_region!E19</f>
        <v>1328222.4325507137</v>
      </c>
      <c r="G9" s="24">
        <f>revenue_by_region!G19</f>
        <v>1589577.954652623</v>
      </c>
      <c r="H9" s="24">
        <f>revenue_by_region!I19</f>
        <v>1828374.3724479452</v>
      </c>
    </row>
    <row r="10" spans="1:8" x14ac:dyDescent="0.35">
      <c r="A10" s="94"/>
      <c r="B10" s="5" t="s">
        <v>51</v>
      </c>
      <c r="C10" s="24">
        <f t="shared" si="1"/>
        <v>4544839.1104510706</v>
      </c>
      <c r="D10" s="5"/>
      <c r="E10" s="24">
        <f>revenue_by_region!C20</f>
        <v>1212199.6968264894</v>
      </c>
      <c r="F10" s="24">
        <f>revenue_by_region!E20</f>
        <v>896041.07281016489</v>
      </c>
      <c r="G10" s="24">
        <f>revenue_by_region!G20</f>
        <v>1310194.7414546707</v>
      </c>
      <c r="H10" s="24">
        <f>revenue_by_region!I20</f>
        <v>1126403.5993597454</v>
      </c>
    </row>
    <row r="11" spans="1:8" x14ac:dyDescent="0.35">
      <c r="A11" s="94"/>
      <c r="B11" s="5" t="s">
        <v>52</v>
      </c>
      <c r="C11" s="24">
        <f t="shared" si="1"/>
        <v>6509866.4176090127</v>
      </c>
      <c r="D11" s="5"/>
      <c r="E11" s="24">
        <f>revenue_by_region!C21</f>
        <v>1868291.7482795075</v>
      </c>
      <c r="F11" s="24">
        <f>revenue_by_region!E21</f>
        <v>1689757.9871172209</v>
      </c>
      <c r="G11" s="24">
        <f>revenue_by_region!G21</f>
        <v>1172990.2858483607</v>
      </c>
      <c r="H11" s="24">
        <f>revenue_by_region!I21</f>
        <v>1778826.3963639231</v>
      </c>
    </row>
    <row r="12" spans="1:8" x14ac:dyDescent="0.35">
      <c r="A12" s="94"/>
      <c r="B12" s="5" t="s">
        <v>53</v>
      </c>
      <c r="C12" s="24">
        <f t="shared" si="1"/>
        <v>4369008.4261663556</v>
      </c>
      <c r="D12" s="5"/>
      <c r="E12" s="24">
        <f>revenue_by_region!C22</f>
        <v>1354967.281836417</v>
      </c>
      <c r="F12" s="24">
        <f>revenue_by_region!E22</f>
        <v>1081341.4092928956</v>
      </c>
      <c r="G12" s="24">
        <f>revenue_by_region!G22</f>
        <v>815290.47655509762</v>
      </c>
      <c r="H12" s="24">
        <f>revenue_by_region!I22</f>
        <v>1117409.2584819447</v>
      </c>
    </row>
    <row r="13" spans="1:8" x14ac:dyDescent="0.35">
      <c r="A13" s="94"/>
      <c r="B13" s="5" t="s">
        <v>54</v>
      </c>
      <c r="C13" s="24">
        <f t="shared" si="1"/>
        <v>6342106.4139642492</v>
      </c>
      <c r="D13" s="5"/>
      <c r="E13" s="24">
        <f>revenue_by_region!C23</f>
        <v>1660763.1236036015</v>
      </c>
      <c r="F13" s="24">
        <f>revenue_by_region!E23</f>
        <v>1426346.217751178</v>
      </c>
      <c r="G13" s="24">
        <f>revenue_by_region!G23</f>
        <v>1660009.2503541147</v>
      </c>
      <c r="H13" s="24">
        <f>revenue_by_region!I23</f>
        <v>1594987.8222553551</v>
      </c>
    </row>
    <row r="14" spans="1:8" x14ac:dyDescent="0.35">
      <c r="A14" s="94"/>
      <c r="B14" s="5" t="s">
        <v>55</v>
      </c>
      <c r="C14" s="24">
        <f t="shared" si="1"/>
        <v>4767880.371007083</v>
      </c>
      <c r="D14" s="5"/>
      <c r="E14" s="24">
        <f>revenue_by_region!C24</f>
        <v>1224110.5494815207</v>
      </c>
      <c r="F14" s="24">
        <f>revenue_by_region!E24</f>
        <v>912551.77851438767</v>
      </c>
      <c r="G14" s="24">
        <f>revenue_by_region!G24</f>
        <v>1329693.7265726917</v>
      </c>
      <c r="H14" s="24">
        <f>revenue_by_region!I24</f>
        <v>1301524.3164384826</v>
      </c>
    </row>
    <row r="15" spans="1:8" x14ac:dyDescent="0.35">
      <c r="A15" s="94"/>
      <c r="B15" s="5" t="s">
        <v>56</v>
      </c>
      <c r="C15" s="24">
        <f t="shared" si="1"/>
        <v>6029262.3454994317</v>
      </c>
      <c r="D15" s="5"/>
      <c r="E15" s="24">
        <f>revenue_by_region!C25</f>
        <v>1651746.8903533989</v>
      </c>
      <c r="F15" s="24">
        <f>revenue_by_region!E25</f>
        <v>1486483.3689270783</v>
      </c>
      <c r="G15" s="24">
        <f>revenue_by_region!G25</f>
        <v>1246255.9256688186</v>
      </c>
      <c r="H15" s="24">
        <f>revenue_by_region!I25</f>
        <v>1644776.1605501364</v>
      </c>
    </row>
    <row r="16" spans="1:8" x14ac:dyDescent="0.35">
      <c r="A16" s="94">
        <v>2024</v>
      </c>
      <c r="B16" s="5" t="s">
        <v>45</v>
      </c>
      <c r="C16" s="24">
        <f t="shared" si="1"/>
        <v>7751384.5405925894</v>
      </c>
      <c r="D16" s="5"/>
      <c r="E16" s="24">
        <f>revenue_by_region!C26</f>
        <v>1538067.9504918393</v>
      </c>
      <c r="F16" s="24">
        <f>revenue_by_region!E26</f>
        <v>1974013.2516510694</v>
      </c>
      <c r="G16" s="24">
        <f>revenue_by_region!G26</f>
        <v>1632111.0704269987</v>
      </c>
      <c r="H16" s="24">
        <f>revenue_by_region!I26</f>
        <v>2607192.2680226816</v>
      </c>
    </row>
    <row r="17" spans="1:14" x14ac:dyDescent="0.35">
      <c r="A17" s="94"/>
      <c r="B17" s="5" t="s">
        <v>46</v>
      </c>
      <c r="C17" s="24">
        <f t="shared" si="1"/>
        <v>6750424.3577758996</v>
      </c>
      <c r="D17" s="5"/>
      <c r="E17" s="24">
        <f>revenue_by_region!C27</f>
        <v>1696498.5727913636</v>
      </c>
      <c r="F17" s="24">
        <f>revenue_by_region!E27</f>
        <v>1646382.6363424866</v>
      </c>
      <c r="G17" s="24">
        <f>revenue_by_region!G27</f>
        <v>1479350.9044524073</v>
      </c>
      <c r="H17" s="24">
        <f>revenue_by_region!I27</f>
        <v>1928192.2441896414</v>
      </c>
    </row>
    <row r="18" spans="1:14" x14ac:dyDescent="0.35">
      <c r="A18" s="94"/>
      <c r="B18" s="5" t="s">
        <v>47</v>
      </c>
      <c r="C18" s="24">
        <f t="shared" si="1"/>
        <v>9014251.1230604425</v>
      </c>
      <c r="D18" s="5"/>
      <c r="E18" s="24">
        <f>revenue_by_region!C28</f>
        <v>1718546.123275066</v>
      </c>
      <c r="F18" s="24">
        <f>revenue_by_region!E28</f>
        <v>2328409.1049276418</v>
      </c>
      <c r="G18" s="24">
        <f>revenue_by_region!G28</f>
        <v>2832166.1324795955</v>
      </c>
      <c r="H18" s="24">
        <f>revenue_by_region!I28</f>
        <v>2135129.7623781385</v>
      </c>
    </row>
    <row r="19" spans="1:14" x14ac:dyDescent="0.35">
      <c r="A19" s="94"/>
      <c r="B19" s="5" t="s">
        <v>48</v>
      </c>
      <c r="C19" s="24">
        <f t="shared" si="1"/>
        <v>6530620.1437105164</v>
      </c>
      <c r="D19" s="5"/>
      <c r="E19" s="24">
        <f>revenue_by_region!C29</f>
        <v>2318826.3233053889</v>
      </c>
      <c r="F19" s="24">
        <f>revenue_by_region!E29</f>
        <v>1201284.253725596</v>
      </c>
      <c r="G19" s="24">
        <f>revenue_by_region!G29</f>
        <v>2034886.2101488628</v>
      </c>
      <c r="H19" s="24">
        <f>revenue_by_region!I29</f>
        <v>975623.35653066938</v>
      </c>
    </row>
    <row r="20" spans="1:14" x14ac:dyDescent="0.35">
      <c r="A20" s="94"/>
      <c r="B20" s="5" t="s">
        <v>49</v>
      </c>
      <c r="C20" s="24">
        <f t="shared" si="1"/>
        <v>9229818.3019029126</v>
      </c>
      <c r="D20" s="5"/>
      <c r="E20" s="24">
        <f>revenue_by_region!C30</f>
        <v>1277210.7198673652</v>
      </c>
      <c r="F20" s="24">
        <f>revenue_by_region!E30</f>
        <v>2639100.6213051314</v>
      </c>
      <c r="G20" s="24">
        <f>revenue_by_region!G30</f>
        <v>1885515.7660589721</v>
      </c>
      <c r="H20" s="24">
        <f>revenue_by_region!I30</f>
        <v>3427991.1946714437</v>
      </c>
    </row>
    <row r="21" spans="1:14" x14ac:dyDescent="0.35">
      <c r="A21" s="94"/>
      <c r="B21" s="5" t="s">
        <v>50</v>
      </c>
      <c r="C21" s="24">
        <f t="shared" si="1"/>
        <v>6800304.6116319783</v>
      </c>
      <c r="D21" s="5"/>
      <c r="E21" s="24">
        <f>revenue_by_region!C31</f>
        <v>1853700.4193979045</v>
      </c>
      <c r="F21" s="24">
        <f>revenue_by_region!E31</f>
        <v>1512364.3277432774</v>
      </c>
      <c r="G21" s="24">
        <f>revenue_by_region!G31</f>
        <v>1325773.9305000936</v>
      </c>
      <c r="H21" s="24">
        <f>revenue_by_region!I31</f>
        <v>2108465.933990703</v>
      </c>
    </row>
    <row r="22" spans="1:14" x14ac:dyDescent="0.35">
      <c r="A22" s="94"/>
      <c r="B22" s="5" t="s">
        <v>51</v>
      </c>
      <c r="C22" s="24">
        <f t="shared" si="1"/>
        <v>6442969.6332531208</v>
      </c>
      <c r="D22" s="5"/>
      <c r="E22" s="24">
        <f>revenue_by_region!C32</f>
        <v>1557740.4029106293</v>
      </c>
      <c r="F22" s="24">
        <f>revenue_by_region!E32</f>
        <v>1392545.2216147154</v>
      </c>
      <c r="G22" s="24">
        <f>revenue_by_region!G32</f>
        <v>1424479.0439905319</v>
      </c>
      <c r="H22" s="24">
        <f>revenue_by_region!I32</f>
        <v>2068204.964737244</v>
      </c>
    </row>
    <row r="23" spans="1:14" x14ac:dyDescent="0.35">
      <c r="A23" s="94"/>
      <c r="B23" s="5" t="s">
        <v>52</v>
      </c>
      <c r="C23" s="24">
        <f t="shared" si="1"/>
        <v>6293525.3535992103</v>
      </c>
      <c r="D23" s="5"/>
      <c r="E23" s="24">
        <f>revenue_by_region!C33</f>
        <v>1764651.974493755</v>
      </c>
      <c r="F23" s="24">
        <f>revenue_by_region!E33</f>
        <v>1421707.5165097686</v>
      </c>
      <c r="G23" s="24">
        <f>revenue_by_region!G33</f>
        <v>1334599.0568240222</v>
      </c>
      <c r="H23" s="24">
        <f>revenue_by_region!I33</f>
        <v>1772566.8057716645</v>
      </c>
    </row>
    <row r="24" spans="1:14" x14ac:dyDescent="0.35">
      <c r="A24" s="94"/>
      <c r="B24" s="5" t="s">
        <v>53</v>
      </c>
      <c r="C24" s="24">
        <f t="shared" si="1"/>
        <v>6874605.855179267</v>
      </c>
      <c r="D24" s="5"/>
      <c r="E24" s="24">
        <f>revenue_by_region!C34</f>
        <v>1108183.490349588</v>
      </c>
      <c r="F24" s="24">
        <f>revenue_by_region!E34</f>
        <v>2523605.7972657834</v>
      </c>
      <c r="G24" s="24">
        <f>revenue_by_region!G34</f>
        <v>1865413.9927009533</v>
      </c>
      <c r="H24" s="24">
        <f>revenue_by_region!I34</f>
        <v>1377402.5748629426</v>
      </c>
    </row>
    <row r="25" spans="1:14" x14ac:dyDescent="0.35">
      <c r="A25" s="94"/>
      <c r="B25" s="5" t="s">
        <v>54</v>
      </c>
      <c r="C25" s="24">
        <f t="shared" si="1"/>
        <v>7968191.0086495467</v>
      </c>
      <c r="D25" s="5"/>
      <c r="E25" s="24">
        <f>revenue_by_region!C35</f>
        <v>2270698.7028171108</v>
      </c>
      <c r="F25" s="24">
        <f>revenue_by_region!E35</f>
        <v>2301448.3085401319</v>
      </c>
      <c r="G25" s="24">
        <f>revenue_by_region!G35</f>
        <v>1534674.9482000002</v>
      </c>
      <c r="H25" s="24">
        <f>revenue_by_region!I35</f>
        <v>1861369.0490923044</v>
      </c>
    </row>
    <row r="26" spans="1:14" x14ac:dyDescent="0.35">
      <c r="A26" s="94"/>
      <c r="B26" s="5" t="s">
        <v>55</v>
      </c>
      <c r="C26" s="24">
        <f t="shared" si="1"/>
        <v>6519747.5634174999</v>
      </c>
      <c r="D26" s="5"/>
      <c r="E26" s="24">
        <f>revenue_by_region!C36</f>
        <v>935028.52825854858</v>
      </c>
      <c r="F26" s="24">
        <f>revenue_by_region!E36</f>
        <v>1377008.0396540898</v>
      </c>
      <c r="G26" s="24">
        <f>revenue_by_region!G36</f>
        <v>1916862.9984745844</v>
      </c>
      <c r="H26" s="24">
        <f>revenue_by_region!I36</f>
        <v>2290847.9970302773</v>
      </c>
    </row>
    <row r="27" spans="1:14" x14ac:dyDescent="0.35">
      <c r="A27" s="94"/>
      <c r="B27" s="5" t="s">
        <v>56</v>
      </c>
      <c r="C27" s="24">
        <f t="shared" si="1"/>
        <v>7291905.9869135935</v>
      </c>
      <c r="D27" s="5"/>
      <c r="E27" s="24">
        <f>revenue_by_region!C37</f>
        <v>1636887.4537109507</v>
      </c>
      <c r="F27" s="24">
        <f>revenue_by_region!E37</f>
        <v>1177214.4683008974</v>
      </c>
      <c r="G27" s="24">
        <f>revenue_by_region!G37</f>
        <v>2408595.7768696263</v>
      </c>
      <c r="H27" s="24">
        <f>revenue_by_region!I37</f>
        <v>2069208.2880321192</v>
      </c>
    </row>
    <row r="31" spans="1:14" x14ac:dyDescent="0.35">
      <c r="G31" s="61"/>
      <c r="H31" s="61"/>
      <c r="I31" s="61"/>
      <c r="J31" s="61"/>
      <c r="K31" s="61"/>
      <c r="L31" s="61"/>
      <c r="M31" s="61"/>
      <c r="N31" s="61"/>
    </row>
    <row r="32" spans="1:14" ht="20" customHeight="1" x14ac:dyDescent="0.35">
      <c r="G32" s="61"/>
      <c r="H32" s="61"/>
      <c r="I32" s="61"/>
      <c r="J32" s="77" t="s">
        <v>20</v>
      </c>
      <c r="K32" s="77" t="s">
        <v>23</v>
      </c>
      <c r="L32" s="77" t="s">
        <v>30</v>
      </c>
      <c r="M32" s="77" t="s">
        <v>15</v>
      </c>
      <c r="N32" s="61"/>
    </row>
    <row r="33" spans="7:14" ht="13.5" customHeight="1" x14ac:dyDescent="0.35">
      <c r="G33" s="61"/>
      <c r="H33" s="62"/>
      <c r="I33" s="63"/>
      <c r="J33" s="64">
        <f>SUM(E4:E27)</f>
        <v>36807626.832941309</v>
      </c>
      <c r="K33" s="65">
        <f>SUM(F4:F27)</f>
        <v>37217374.585415646</v>
      </c>
      <c r="L33" s="65">
        <f>SUM(G4:G27)</f>
        <v>39067269.26837121</v>
      </c>
      <c r="M33" s="66">
        <f>SUM(H4:H27)</f>
        <v>42236083.730902359</v>
      </c>
      <c r="N33" s="61"/>
    </row>
    <row r="34" spans="7:14" ht="4.5" customHeight="1" x14ac:dyDescent="0.35">
      <c r="G34" s="67"/>
      <c r="H34" s="62"/>
      <c r="I34" s="62"/>
      <c r="J34" s="62"/>
      <c r="K34" s="62"/>
      <c r="L34" s="62"/>
      <c r="M34" s="62"/>
      <c r="N34" s="61"/>
    </row>
    <row r="35" spans="7:14" x14ac:dyDescent="0.35">
      <c r="G35" s="68" t="s">
        <v>45</v>
      </c>
      <c r="H35" s="69">
        <f t="shared" ref="H35:H46" si="2">SUM(E4:H4)+SUM(E16:H16)</f>
        <v>14956864.297204223</v>
      </c>
      <c r="I35" s="70"/>
      <c r="J35" s="71">
        <f t="shared" ref="J35:J46" si="3">E4+E16</f>
        <v>2851366.2955964082</v>
      </c>
      <c r="K35" s="72">
        <f t="shared" ref="K35:K46" si="4">F4+F16</f>
        <v>3459343.3589749876</v>
      </c>
      <c r="L35" s="72">
        <f t="shared" ref="L35:L46" si="5">G4+G16</f>
        <v>3800214.6295595383</v>
      </c>
      <c r="M35" s="73">
        <f t="shared" ref="M35:M46" si="6">H4+H16</f>
        <v>4845940.0130732898</v>
      </c>
      <c r="N35" s="61"/>
    </row>
    <row r="36" spans="7:14" x14ac:dyDescent="0.35">
      <c r="G36" s="68" t="s">
        <v>46</v>
      </c>
      <c r="H36" s="74">
        <f t="shared" si="2"/>
        <v>12231879.413745072</v>
      </c>
      <c r="I36" s="70"/>
      <c r="J36" s="75">
        <f t="shared" si="3"/>
        <v>3165826.6389561617</v>
      </c>
      <c r="K36" s="62">
        <f t="shared" si="4"/>
        <v>2531390.2685891194</v>
      </c>
      <c r="L36" s="62">
        <f t="shared" si="5"/>
        <v>3433777.9193455554</v>
      </c>
      <c r="M36" s="63">
        <f t="shared" si="6"/>
        <v>3100884.5868542334</v>
      </c>
      <c r="N36" s="61"/>
    </row>
    <row r="37" spans="7:14" x14ac:dyDescent="0.35">
      <c r="G37" s="68" t="s">
        <v>47</v>
      </c>
      <c r="H37" s="74">
        <f t="shared" si="2"/>
        <v>14811576.706805643</v>
      </c>
      <c r="I37" s="70"/>
      <c r="J37" s="75">
        <f t="shared" si="3"/>
        <v>3314557.8134040534</v>
      </c>
      <c r="K37" s="62">
        <f t="shared" si="4"/>
        <v>3645773.6089373874</v>
      </c>
      <c r="L37" s="62">
        <f t="shared" si="5"/>
        <v>4890972.0048273513</v>
      </c>
      <c r="M37" s="63">
        <f t="shared" si="6"/>
        <v>2960273.2796368487</v>
      </c>
      <c r="N37" s="61"/>
    </row>
    <row r="38" spans="7:14" x14ac:dyDescent="0.35">
      <c r="G38" s="68" t="s">
        <v>48</v>
      </c>
      <c r="H38" s="74">
        <f t="shared" si="2"/>
        <v>11813139.629157156</v>
      </c>
      <c r="I38" s="70"/>
      <c r="J38" s="75">
        <f t="shared" si="3"/>
        <v>3788971.8588863923</v>
      </c>
      <c r="K38" s="62">
        <f t="shared" si="4"/>
        <v>2886291.3452743404</v>
      </c>
      <c r="L38" s="62">
        <f t="shared" si="5"/>
        <v>2838422.1937951916</v>
      </c>
      <c r="M38" s="63">
        <f t="shared" si="6"/>
        <v>2299454.2312012319</v>
      </c>
      <c r="N38" s="61"/>
    </row>
    <row r="39" spans="7:14" x14ac:dyDescent="0.35">
      <c r="G39" s="68" t="s">
        <v>49</v>
      </c>
      <c r="H39" s="74">
        <f t="shared" si="2"/>
        <v>14853859.722813103</v>
      </c>
      <c r="I39" s="70"/>
      <c r="J39" s="75">
        <f t="shared" si="3"/>
        <v>2427287.1728662364</v>
      </c>
      <c r="K39" s="62">
        <f t="shared" si="4"/>
        <v>4167938.0570475142</v>
      </c>
      <c r="L39" s="62">
        <f t="shared" si="5"/>
        <v>3169470.4121773918</v>
      </c>
      <c r="M39" s="63">
        <f t="shared" si="6"/>
        <v>5089164.0807219604</v>
      </c>
      <c r="N39" s="61"/>
    </row>
    <row r="40" spans="7:14" x14ac:dyDescent="0.35">
      <c r="G40" s="68" t="s">
        <v>50</v>
      </c>
      <c r="H40" s="74">
        <f t="shared" si="2"/>
        <v>12707126.162195902</v>
      </c>
      <c r="I40" s="70"/>
      <c r="J40" s="75">
        <f t="shared" si="3"/>
        <v>3014347.2103105467</v>
      </c>
      <c r="K40" s="62">
        <f t="shared" si="4"/>
        <v>2840586.7602939913</v>
      </c>
      <c r="L40" s="62">
        <f t="shared" si="5"/>
        <v>2915351.8851527167</v>
      </c>
      <c r="M40" s="63">
        <f t="shared" si="6"/>
        <v>3936840.3064386481</v>
      </c>
      <c r="N40" s="61"/>
    </row>
    <row r="41" spans="7:14" x14ac:dyDescent="0.35">
      <c r="G41" s="68" t="s">
        <v>51</v>
      </c>
      <c r="H41" s="74">
        <f t="shared" si="2"/>
        <v>10987808.743704192</v>
      </c>
      <c r="I41" s="70"/>
      <c r="J41" s="75">
        <f t="shared" si="3"/>
        <v>2769940.0997371189</v>
      </c>
      <c r="K41" s="62">
        <f t="shared" si="4"/>
        <v>2288586.2944248803</v>
      </c>
      <c r="L41" s="62">
        <f t="shared" si="5"/>
        <v>2734673.7854452026</v>
      </c>
      <c r="M41" s="63">
        <f t="shared" si="6"/>
        <v>3194608.5640969891</v>
      </c>
      <c r="N41" s="61"/>
    </row>
    <row r="42" spans="7:14" x14ac:dyDescent="0.35">
      <c r="G42" s="68" t="s">
        <v>52</v>
      </c>
      <c r="H42" s="74">
        <f t="shared" si="2"/>
        <v>12803391.771208223</v>
      </c>
      <c r="I42" s="70"/>
      <c r="J42" s="75">
        <f t="shared" si="3"/>
        <v>3632943.7227732623</v>
      </c>
      <c r="K42" s="62">
        <f t="shared" si="4"/>
        <v>3111465.5036269892</v>
      </c>
      <c r="L42" s="62">
        <f t="shared" si="5"/>
        <v>2507589.3426723829</v>
      </c>
      <c r="M42" s="63">
        <f t="shared" si="6"/>
        <v>3551393.2021355876</v>
      </c>
      <c r="N42" s="61"/>
    </row>
    <row r="43" spans="7:14" x14ac:dyDescent="0.35">
      <c r="G43" s="68" t="s">
        <v>53</v>
      </c>
      <c r="H43" s="74">
        <f t="shared" si="2"/>
        <v>11243614.281345623</v>
      </c>
      <c r="I43" s="70"/>
      <c r="J43" s="75">
        <f t="shared" si="3"/>
        <v>2463150.772186005</v>
      </c>
      <c r="K43" s="62">
        <f t="shared" si="4"/>
        <v>3604947.2065586792</v>
      </c>
      <c r="L43" s="62">
        <f t="shared" si="5"/>
        <v>2680704.4692560509</v>
      </c>
      <c r="M43" s="63">
        <f t="shared" si="6"/>
        <v>2494811.833344887</v>
      </c>
      <c r="N43" s="61"/>
    </row>
    <row r="44" spans="7:14" x14ac:dyDescent="0.35">
      <c r="G44" s="68" t="s">
        <v>54</v>
      </c>
      <c r="H44" s="74">
        <f t="shared" si="2"/>
        <v>14310297.422613796</v>
      </c>
      <c r="I44" s="70"/>
      <c r="J44" s="75">
        <f t="shared" si="3"/>
        <v>3931461.8264207123</v>
      </c>
      <c r="K44" s="62">
        <f t="shared" si="4"/>
        <v>3727794.5262913099</v>
      </c>
      <c r="L44" s="62">
        <f t="shared" si="5"/>
        <v>3194684.1985541149</v>
      </c>
      <c r="M44" s="63">
        <f t="shared" si="6"/>
        <v>3456356.8713476593</v>
      </c>
      <c r="N44" s="61"/>
    </row>
    <row r="45" spans="7:14" x14ac:dyDescent="0.35">
      <c r="G45" s="68" t="s">
        <v>55</v>
      </c>
      <c r="H45" s="74">
        <f t="shared" si="2"/>
        <v>11287627.934424583</v>
      </c>
      <c r="I45" s="70"/>
      <c r="J45" s="75">
        <f t="shared" si="3"/>
        <v>2159139.0777400695</v>
      </c>
      <c r="K45" s="62">
        <f t="shared" si="4"/>
        <v>2289559.8181684776</v>
      </c>
      <c r="L45" s="62">
        <f t="shared" si="5"/>
        <v>3246556.7250472764</v>
      </c>
      <c r="M45" s="63">
        <f t="shared" si="6"/>
        <v>3592372.3134687599</v>
      </c>
      <c r="N45" s="61"/>
    </row>
    <row r="46" spans="7:14" x14ac:dyDescent="0.35">
      <c r="G46" s="68" t="s">
        <v>56</v>
      </c>
      <c r="H46" s="76">
        <f t="shared" si="2"/>
        <v>13321168.332413025</v>
      </c>
      <c r="I46" s="70"/>
      <c r="J46" s="64">
        <f t="shared" si="3"/>
        <v>3288634.3440643493</v>
      </c>
      <c r="K46" s="65">
        <f t="shared" si="4"/>
        <v>2663697.8372279759</v>
      </c>
      <c r="L46" s="65">
        <f t="shared" si="5"/>
        <v>3654851.7025384447</v>
      </c>
      <c r="M46" s="66">
        <f t="shared" si="6"/>
        <v>3713984.4485822553</v>
      </c>
      <c r="N46" s="61"/>
    </row>
    <row r="47" spans="7:14" x14ac:dyDescent="0.35">
      <c r="G47" s="61"/>
      <c r="H47" s="61"/>
      <c r="I47" s="61"/>
      <c r="J47" s="61"/>
      <c r="K47" s="61"/>
      <c r="L47" s="61"/>
      <c r="M47" s="61"/>
      <c r="N47" s="61"/>
    </row>
  </sheetData>
  <mergeCells count="2">
    <mergeCell ref="A4:A15"/>
    <mergeCell ref="A16:A27"/>
  </mergeCells>
  <conditionalFormatting sqref="H35:H46">
    <cfRule type="colorScale" priority="1">
      <colorScale>
        <cfvo type="min"/>
        <cfvo type="percentile" val="50"/>
        <cfvo type="max"/>
        <color rgb="FFF8696B"/>
        <color rgb="FFFFEB84"/>
        <color rgb="FF63BE7B"/>
      </colorScale>
    </cfRule>
  </conditionalFormatting>
  <conditionalFormatting sqref="J33:M33">
    <cfRule type="colorScale" priority="2">
      <colorScale>
        <cfvo type="min"/>
        <cfvo type="percentile" val="50"/>
        <cfvo type="max"/>
        <color rgb="FFF8696B"/>
        <color rgb="FFFFEB84"/>
        <color rgb="FF63BE7B"/>
      </colorScale>
    </cfRule>
  </conditionalFormatting>
  <conditionalFormatting sqref="J35:M46">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9C421-D81E-47B1-AFA8-21A9CFADAAC0}">
  <dimension ref="A1:AH46"/>
  <sheetViews>
    <sheetView workbookViewId="0">
      <selection activeCell="AG10" sqref="AG10:AH46"/>
    </sheetView>
  </sheetViews>
  <sheetFormatPr defaultRowHeight="14.5" x14ac:dyDescent="0.35"/>
  <cols>
    <col min="1" max="1" width="12.90625" customWidth="1"/>
    <col min="4" max="4" width="10.1796875" bestFit="1" customWidth="1"/>
    <col min="8" max="8" width="10.6328125" bestFit="1" customWidth="1"/>
  </cols>
  <sheetData>
    <row r="1" spans="1:34" x14ac:dyDescent="0.35">
      <c r="A1" s="2" t="s">
        <v>34</v>
      </c>
    </row>
    <row r="2" spans="1:34" x14ac:dyDescent="0.35">
      <c r="A2" s="3" t="s">
        <v>33</v>
      </c>
    </row>
    <row r="3" spans="1:34" x14ac:dyDescent="0.35">
      <c r="A3" s="3" t="s">
        <v>14</v>
      </c>
    </row>
    <row r="4" spans="1:34" x14ac:dyDescent="0.35">
      <c r="A4" s="3" t="s">
        <v>29</v>
      </c>
    </row>
    <row r="5" spans="1:34" x14ac:dyDescent="0.35">
      <c r="A5" s="3" t="s">
        <v>22</v>
      </c>
    </row>
    <row r="6" spans="1:34" x14ac:dyDescent="0.35">
      <c r="A6" s="3" t="s">
        <v>32</v>
      </c>
    </row>
    <row r="7" spans="1:34" x14ac:dyDescent="0.35">
      <c r="A7" s="3" t="s">
        <v>35</v>
      </c>
    </row>
    <row r="9" spans="1:34" x14ac:dyDescent="0.35">
      <c r="A9" s="80" t="s">
        <v>33</v>
      </c>
      <c r="B9" s="81"/>
      <c r="C9" s="81"/>
      <c r="D9" s="81"/>
      <c r="E9" s="81"/>
      <c r="F9" s="81"/>
      <c r="G9" s="81"/>
      <c r="H9" s="81"/>
      <c r="I9" s="95" t="s">
        <v>14</v>
      </c>
      <c r="J9" s="95"/>
      <c r="K9" s="95"/>
      <c r="L9" s="95"/>
      <c r="M9" s="95"/>
      <c r="N9" s="95"/>
      <c r="O9" s="83" t="s">
        <v>29</v>
      </c>
      <c r="P9" s="83"/>
      <c r="Q9" s="83"/>
      <c r="R9" s="83"/>
      <c r="S9" s="83"/>
      <c r="T9" s="84"/>
      <c r="U9" s="85" t="s">
        <v>22</v>
      </c>
      <c r="V9" s="86"/>
      <c r="W9" s="86"/>
      <c r="X9" s="86"/>
      <c r="Y9" s="86"/>
      <c r="Z9" s="87"/>
      <c r="AA9" s="96" t="s">
        <v>32</v>
      </c>
      <c r="AB9" s="97"/>
      <c r="AC9" s="97"/>
      <c r="AD9" s="97"/>
      <c r="AE9" s="97"/>
      <c r="AF9" s="97"/>
    </row>
    <row r="10" spans="1:34" x14ac:dyDescent="0.35">
      <c r="A10" s="20" t="s">
        <v>44</v>
      </c>
      <c r="B10" s="21" t="s">
        <v>57</v>
      </c>
      <c r="C10" s="21" t="s">
        <v>26</v>
      </c>
      <c r="D10" s="21" t="s">
        <v>31</v>
      </c>
      <c r="E10" s="21" t="s">
        <v>24</v>
      </c>
      <c r="F10" s="21" t="s">
        <v>16</v>
      </c>
      <c r="G10" s="21" t="s">
        <v>58</v>
      </c>
      <c r="H10" s="21" t="s">
        <v>61</v>
      </c>
      <c r="I10" s="21" t="s">
        <v>26</v>
      </c>
      <c r="J10" s="21" t="s">
        <v>31</v>
      </c>
      <c r="K10" s="21" t="s">
        <v>24</v>
      </c>
      <c r="L10" s="21" t="s">
        <v>16</v>
      </c>
      <c r="M10" s="21" t="s">
        <v>58</v>
      </c>
      <c r="N10" s="21" t="s">
        <v>62</v>
      </c>
      <c r="O10" s="21" t="s">
        <v>26</v>
      </c>
      <c r="P10" s="21" t="s">
        <v>31</v>
      </c>
      <c r="Q10" s="21" t="s">
        <v>24</v>
      </c>
      <c r="R10" s="21" t="s">
        <v>16</v>
      </c>
      <c r="S10" s="21" t="s">
        <v>58</v>
      </c>
      <c r="T10" s="21" t="s">
        <v>63</v>
      </c>
      <c r="U10" s="21" t="s">
        <v>26</v>
      </c>
      <c r="V10" s="21" t="s">
        <v>31</v>
      </c>
      <c r="W10" s="21" t="s">
        <v>24</v>
      </c>
      <c r="X10" s="21" t="s">
        <v>16</v>
      </c>
      <c r="Y10" s="21" t="s">
        <v>58</v>
      </c>
      <c r="Z10" s="21" t="s">
        <v>64</v>
      </c>
      <c r="AA10" s="21" t="s">
        <v>26</v>
      </c>
      <c r="AB10" s="21" t="s">
        <v>31</v>
      </c>
      <c r="AC10" s="21" t="s">
        <v>24</v>
      </c>
      <c r="AD10" s="21" t="s">
        <v>16</v>
      </c>
      <c r="AE10" s="21" t="s">
        <v>58</v>
      </c>
      <c r="AF10" s="15" t="s">
        <v>65</v>
      </c>
      <c r="AG10" s="6" t="s">
        <v>58</v>
      </c>
      <c r="AH10" s="6" t="s">
        <v>66</v>
      </c>
    </row>
    <row r="11" spans="1:34" x14ac:dyDescent="0.35">
      <c r="A11" s="17" t="s">
        <v>60</v>
      </c>
      <c r="B11" s="5" t="s">
        <v>45</v>
      </c>
      <c r="C11" s="5">
        <f>SUMIFS(sales_data_1[Quantity_Sold],sales_data_1[Year],2022, sales_data_1[month], $B11, sales_data_1[Sales_Rep], "Alice", sales_data_1[Product_Category], C$10)</f>
        <v>148</v>
      </c>
      <c r="D11" s="5">
        <f>SUMIFS(sales_data_1[Quantity_Sold],sales_data_1[Year],2022, sales_data_1[month], $B11, sales_data_1[Sales_Rep], "Alice", sales_data_1[Product_Category], D$10)</f>
        <v>79</v>
      </c>
      <c r="E11" s="5">
        <f>SUMIFS(sales_data_1[Quantity_Sold],sales_data_1[Year],2022, sales_data_1[month], $B11, sales_data_1[Sales_Rep], "Alice", sales_data_1[Product_Category], E$10)</f>
        <v>111</v>
      </c>
      <c r="F11" s="5">
        <f>SUMIFS(sales_data_1[Quantity_Sold],sales_data_1[Year],2022, sales_data_1[month], $B11, sales_data_1[Sales_Rep], "Alice", sales_data_1[Product_Category], F$10)</f>
        <v>145</v>
      </c>
      <c r="G11" s="5">
        <f t="shared" ref="G11" si="0">SUM(C11:F11)</f>
        <v>483</v>
      </c>
      <c r="H11" s="5"/>
      <c r="I11" s="5">
        <f>SUMIFS(sales_data_1[Quantity_Sold],sales_data_1[Year],2022, sales_data_1[month], $B11, sales_data_1[Sales_Rep], "Bob", sales_data_1[Product_Category], I$10)</f>
        <v>124</v>
      </c>
      <c r="J11" s="5">
        <f>SUMIFS(sales_data_1[Quantity_Sold],sales_data_1[Year],2022, sales_data_1[month], $B11, sales_data_1[Sales_Rep], "Bob", sales_data_1[Product_Category], J$10)</f>
        <v>72</v>
      </c>
      <c r="K11" s="5">
        <f>SUMIFS(sales_data_1[Quantity_Sold],sales_data_1[Year],2022, sales_data_1[month], $B11, sales_data_1[Sales_Rep], "Bob", sales_data_1[Product_Category], K$10)</f>
        <v>7</v>
      </c>
      <c r="L11" s="5">
        <f>SUMIFS(sales_data_1[Quantity_Sold],sales_data_1[Year],2022, sales_data_1[month], $B11, sales_data_1[Sales_Rep], "Bob", sales_data_1[Product_Category], L$10)</f>
        <v>38</v>
      </c>
      <c r="M11" s="5">
        <f t="shared" ref="M11" si="1">SUM(I11:L11)</f>
        <v>241</v>
      </c>
      <c r="N11" s="5"/>
      <c r="O11" s="5">
        <f>SUMIFS(sales_data_1[Quantity_Sold],sales_data_1[Year],2022, sales_data_1[month], $B11, sales_data_1[Sales_Rep], "Charlie", sales_data_1[Product_Category], O$10)</f>
        <v>189</v>
      </c>
      <c r="P11" s="5">
        <f>SUMIFS(sales_data_1[Quantity_Sold],sales_data_1[Year],2022, sales_data_1[month], $B11, sales_data_1[Sales_Rep], "Charlie", sales_data_1[Product_Category], P$10)</f>
        <v>205</v>
      </c>
      <c r="Q11" s="5">
        <f>SUMIFS(sales_data_1[Quantity_Sold],sales_data_1[Year],2022, sales_data_1[month], $B11, sales_data_1[Sales_Rep], "Charlie", sales_data_1[Product_Category], Q$10)</f>
        <v>198</v>
      </c>
      <c r="R11" s="5">
        <f>SUMIFS(sales_data_1[Quantity_Sold],sales_data_1[Year],2022, sales_data_1[month], $B11, sales_data_1[Sales_Rep], "Charlie", sales_data_1[Product_Category], R$10)</f>
        <v>70</v>
      </c>
      <c r="S11" s="5">
        <f t="shared" ref="S11" si="2">SUM(O11:R11)</f>
        <v>662</v>
      </c>
      <c r="T11" s="5"/>
      <c r="U11" s="5">
        <f>SUMIFS(sales_data_1[Quantity_Sold],sales_data_1[Year],2022, sales_data_1[month], $B11, sales_data_1[Sales_Rep], "David", sales_data_1[Product_Category], U$10)</f>
        <v>91</v>
      </c>
      <c r="V11" s="5">
        <f>SUMIFS(sales_data_1[Quantity_Sold],sales_data_1[Year],2022, sales_data_1[month], $B11, sales_data_1[Sales_Rep], "David", sales_data_1[Product_Category], V$10)</f>
        <v>164</v>
      </c>
      <c r="W11" s="5">
        <f>SUMIFS(sales_data_1[Quantity_Sold],sales_data_1[Year],2022, sales_data_1[month], $B11, sales_data_1[Sales_Rep], "David", sales_data_1[Product_Category], W$10)</f>
        <v>131</v>
      </c>
      <c r="X11" s="5">
        <f>SUMIFS(sales_data_1[Quantity_Sold],sales_data_1[Year],2022, sales_data_1[month], $B11, sales_data_1[Sales_Rep], "David", sales_data_1[Product_Category], R$10)</f>
        <v>108</v>
      </c>
      <c r="Y11" s="5">
        <f t="shared" ref="Y11" si="3">SUM(U11:X11)</f>
        <v>494</v>
      </c>
      <c r="Z11" s="5"/>
      <c r="AA11" s="5">
        <f>SUMIFS(sales_data_1[Quantity_Sold],sales_data_1[Year],2022, sales_data_1[month], $B11, sales_data_1[Sales_Rep], "Eve", sales_data_1[Product_Category], U$10)</f>
        <v>11</v>
      </c>
      <c r="AB11" s="5">
        <f>SUMIFS(sales_data_1[Quantity_Sold],sales_data_1[Year],2022, sales_data_1[month], $B11, sales_data_1[Sales_Rep], "Eve", sales_data_1[Product_Category], V$10)</f>
        <v>72</v>
      </c>
      <c r="AC11" s="5">
        <f>SUMIFS(sales_data_1[Quantity_Sold],sales_data_1[Year],2022, sales_data_1[month], $B11, sales_data_1[Sales_Rep], "Eve", sales_data_1[Product_Category], W$10)</f>
        <v>43</v>
      </c>
      <c r="AD11" s="5">
        <f>SUMIFS(sales_data_1[Quantity_Sold],sales_data_1[Year],2022, sales_data_1[month], $B11, sales_data_1[Sales_Rep], "Eve", sales_data_1[Product_Category], R$10)</f>
        <v>205</v>
      </c>
      <c r="AE11" s="5">
        <f t="shared" ref="AE11" si="4">SUM(AA11:AD11)</f>
        <v>331</v>
      </c>
      <c r="AF11" s="23"/>
      <c r="AG11" s="5">
        <f>SUM(C11:F11)+ SUM(I11:L11)+SUM(O11:R11)+SUM(U11:X11)+SUM(AA11:AD11)</f>
        <v>2211</v>
      </c>
      <c r="AH11" s="5"/>
    </row>
    <row r="12" spans="1:34" x14ac:dyDescent="0.35">
      <c r="A12" s="4"/>
      <c r="B12" s="5" t="s">
        <v>46</v>
      </c>
      <c r="C12" s="5">
        <f>SUMIFS(sales_data_1[Quantity_Sold],sales_data_1[Year],2022, sales_data_1[month], $B12, sales_data_1[Sales_Rep], "Alice", sales_data_1[Product_Category], C$10)</f>
        <v>44</v>
      </c>
      <c r="D12" s="5">
        <f>SUMIFS(sales_data_1[Quantity_Sold],sales_data_1[Year],2022, sales_data_1[month], $B12, sales_data_1[Sales_Rep], "Alice", sales_data_1[Product_Category], D$10)</f>
        <v>101</v>
      </c>
      <c r="E12" s="5">
        <f>SUMIFS(sales_data_1[Quantity_Sold],sales_data_1[Year],2022, sales_data_1[month], $B12, sales_data_1[Sales_Rep], "Alice", sales_data_1[Product_Category], E$10)</f>
        <v>219</v>
      </c>
      <c r="F12" s="5">
        <f>SUMIFS(sales_data_1[Quantity_Sold],sales_data_1[Year],2022, sales_data_1[month], $B12, sales_data_1[Sales_Rep], "Alice", sales_data_1[Product_Category], F$10)</f>
        <v>130</v>
      </c>
      <c r="G12" s="5">
        <f t="shared" ref="G12:G23" si="5">SUM(C12:F12)</f>
        <v>494</v>
      </c>
      <c r="H12" s="5"/>
      <c r="I12" s="5">
        <f>SUMIFS(sales_data_1[Quantity_Sold],sales_data_1[Year],2022, sales_data_1[month], $B12, sales_data_1[Sales_Rep], "Bob", sales_data_1[Product_Category], I$10)</f>
        <v>58</v>
      </c>
      <c r="J12" s="5">
        <f>SUMIFS(sales_data_1[Quantity_Sold],sales_data_1[Year],2022, sales_data_1[month], $B12, sales_data_1[Sales_Rep], "Bob", sales_data_1[Product_Category], J$10)</f>
        <v>160</v>
      </c>
      <c r="K12" s="5">
        <f>SUMIFS(sales_data_1[Quantity_Sold],sales_data_1[Year],2022, sales_data_1[month], $B12, sales_data_1[Sales_Rep], "Bob", sales_data_1[Product_Category], K$10)</f>
        <v>0</v>
      </c>
      <c r="L12" s="5">
        <f>SUMIFS(sales_data_1[Quantity_Sold],sales_data_1[Year],2022, sales_data_1[month], $B12, sales_data_1[Sales_Rep], "Bob", sales_data_1[Product_Category], L$10)</f>
        <v>138</v>
      </c>
      <c r="M12" s="5">
        <f t="shared" ref="M12:M23" si="6">SUM(I12:L12)</f>
        <v>356</v>
      </c>
      <c r="N12" s="5"/>
      <c r="O12" s="5">
        <f>SUMIFS(sales_data_1[Quantity_Sold],sales_data_1[Year],2022, sales_data_1[month], $B12, sales_data_1[Sales_Rep], "Charlie", sales_data_1[Product_Category], O$10)</f>
        <v>276</v>
      </c>
      <c r="P12" s="5">
        <f>SUMIFS(sales_data_1[Quantity_Sold],sales_data_1[Year],2022, sales_data_1[month], $B12, sales_data_1[Sales_Rep], "Charlie", sales_data_1[Product_Category], P$10)</f>
        <v>166</v>
      </c>
      <c r="Q12" s="5">
        <f>SUMIFS(sales_data_1[Quantity_Sold],sales_data_1[Year],2022, sales_data_1[month], $B12, sales_data_1[Sales_Rep], "Charlie", sales_data_1[Product_Category], Q$10)</f>
        <v>85</v>
      </c>
      <c r="R12" s="5">
        <f>SUMIFS(sales_data_1[Quantity_Sold],sales_data_1[Year],2022, sales_data_1[month], $B12, sales_data_1[Sales_Rep], "Charlie", sales_data_1[Product_Category], R$10)</f>
        <v>139</v>
      </c>
      <c r="S12" s="5">
        <f t="shared" ref="S12:S23" si="7">SUM(O12:R12)</f>
        <v>666</v>
      </c>
      <c r="T12" s="5"/>
      <c r="U12" s="5">
        <f>SUMIFS(sales_data_1[Quantity_Sold],sales_data_1[Year],2022, sales_data_1[month], $B12, sales_data_1[Sales_Rep], "David", sales_data_1[Product_Category], U$10)</f>
        <v>87</v>
      </c>
      <c r="V12" s="5">
        <f>SUMIFS(sales_data_1[Quantity_Sold],sales_data_1[Year],2022, sales_data_1[month], $B12, sales_data_1[Sales_Rep], "David", sales_data_1[Product_Category], V$10)</f>
        <v>72</v>
      </c>
      <c r="W12" s="5">
        <f>SUMIFS(sales_data_1[Quantity_Sold],sales_data_1[Year],2022, sales_data_1[month], $B12, sales_data_1[Sales_Rep], "David", sales_data_1[Product_Category], W$10)</f>
        <v>162</v>
      </c>
      <c r="X12" s="5">
        <f>SUMIFS(sales_data_1[Quantity_Sold],sales_data_1[Year],2022, sales_data_1[month], $B12, sales_data_1[Sales_Rep], "David", sales_data_1[Product_Category], R$10)</f>
        <v>288</v>
      </c>
      <c r="Y12" s="5">
        <f t="shared" ref="Y12:Y23" si="8">SUM(U12:X12)</f>
        <v>609</v>
      </c>
      <c r="Z12" s="5"/>
      <c r="AA12" s="5">
        <f>SUMIFS(sales_data_1[Quantity_Sold],sales_data_1[Year],2022, sales_data_1[month], $B12, sales_data_1[Sales_Rep], "Eve", sales_data_1[Product_Category], U$10)</f>
        <v>85</v>
      </c>
      <c r="AB12" s="5">
        <f>SUMIFS(sales_data_1[Quantity_Sold],sales_data_1[Year],2022, sales_data_1[month], $B12, sales_data_1[Sales_Rep], "Eve", sales_data_1[Product_Category], V$10)</f>
        <v>117</v>
      </c>
      <c r="AC12" s="5">
        <f>SUMIFS(sales_data_1[Quantity_Sold],sales_data_1[Year],2022, sales_data_1[month], $B12, sales_data_1[Sales_Rep], "Eve", sales_data_1[Product_Category], W$10)</f>
        <v>132</v>
      </c>
      <c r="AD12" s="5">
        <f>SUMIFS(sales_data_1[Quantity_Sold],sales_data_1[Year],2022, sales_data_1[month], $B12, sales_data_1[Sales_Rep], "Eve", sales_data_1[Product_Category], R$10)</f>
        <v>144</v>
      </c>
      <c r="AE12" s="5">
        <f t="shared" ref="AE12:AE23" si="9">SUM(AA12:AD12)</f>
        <v>478</v>
      </c>
      <c r="AF12" s="23"/>
      <c r="AG12" s="5">
        <f t="shared" ref="AG12:AG46" si="10">SUM(C12:F12)+ SUM(I12:L12)+SUM(O12:R12)+SUM(U12:X12)+SUM(AA12:AD12)</f>
        <v>2603</v>
      </c>
      <c r="AH12" s="5"/>
    </row>
    <row r="13" spans="1:34" x14ac:dyDescent="0.35">
      <c r="A13" s="4"/>
      <c r="B13" s="5" t="s">
        <v>47</v>
      </c>
      <c r="C13" s="5">
        <f>SUMIFS(sales_data_1[Quantity_Sold],sales_data_1[Year],2022, sales_data_1[month], $B13, sales_data_1[Sales_Rep], "Alice", sales_data_1[Product_Category], C$10)</f>
        <v>146</v>
      </c>
      <c r="D13" s="5">
        <f>SUMIFS(sales_data_1[Quantity_Sold],sales_data_1[Year],2022, sales_data_1[month], $B13, sales_data_1[Sales_Rep], "Alice", sales_data_1[Product_Category], D$10)</f>
        <v>263</v>
      </c>
      <c r="E13" s="5">
        <f>SUMIFS(sales_data_1[Quantity_Sold],sales_data_1[Year],2022, sales_data_1[month], $B13, sales_data_1[Sales_Rep], "Alice", sales_data_1[Product_Category], E$10)</f>
        <v>73</v>
      </c>
      <c r="F13" s="5">
        <f>SUMIFS(sales_data_1[Quantity_Sold],sales_data_1[Year],2022, sales_data_1[month], $B13, sales_data_1[Sales_Rep], "Alice", sales_data_1[Product_Category], F$10)</f>
        <v>97</v>
      </c>
      <c r="G13" s="5">
        <f t="shared" si="5"/>
        <v>579</v>
      </c>
      <c r="H13" s="5"/>
      <c r="I13" s="5">
        <f>SUMIFS(sales_data_1[Quantity_Sold],sales_data_1[Year],2022, sales_data_1[month], $B13, sales_data_1[Sales_Rep], "Bob", sales_data_1[Product_Category], I$10)</f>
        <v>7</v>
      </c>
      <c r="J13" s="5">
        <f>SUMIFS(sales_data_1[Quantity_Sold],sales_data_1[Year],2022, sales_data_1[month], $B13, sales_data_1[Sales_Rep], "Bob", sales_data_1[Product_Category], J$10)</f>
        <v>107</v>
      </c>
      <c r="K13" s="5">
        <f>SUMIFS(sales_data_1[Quantity_Sold],sales_data_1[Year],2022, sales_data_1[month], $B13, sales_data_1[Sales_Rep], "Bob", sales_data_1[Product_Category], K$10)</f>
        <v>149</v>
      </c>
      <c r="L13" s="5">
        <f>SUMIFS(sales_data_1[Quantity_Sold],sales_data_1[Year],2022, sales_data_1[month], $B13, sales_data_1[Sales_Rep], "Bob", sales_data_1[Product_Category], L$10)</f>
        <v>39</v>
      </c>
      <c r="M13" s="5">
        <f t="shared" si="6"/>
        <v>302</v>
      </c>
      <c r="N13" s="5"/>
      <c r="O13" s="5">
        <f>SUMIFS(sales_data_1[Quantity_Sold],sales_data_1[Year],2022, sales_data_1[month], $B13, sales_data_1[Sales_Rep], "Charlie", sales_data_1[Product_Category], O$10)</f>
        <v>136</v>
      </c>
      <c r="P13" s="5">
        <f>SUMIFS(sales_data_1[Quantity_Sold],sales_data_1[Year],2022, sales_data_1[month], $B13, sales_data_1[Sales_Rep], "Charlie", sales_data_1[Product_Category], P$10)</f>
        <v>109</v>
      </c>
      <c r="Q13" s="5">
        <f>SUMIFS(sales_data_1[Quantity_Sold],sales_data_1[Year],2022, sales_data_1[month], $B13, sales_data_1[Sales_Rep], "Charlie", sales_data_1[Product_Category], Q$10)</f>
        <v>132</v>
      </c>
      <c r="R13" s="5">
        <f>SUMIFS(sales_data_1[Quantity_Sold],sales_data_1[Year],2022, sales_data_1[month], $B13, sales_data_1[Sales_Rep], "Charlie", sales_data_1[Product_Category], R$10)</f>
        <v>114</v>
      </c>
      <c r="S13" s="5">
        <f t="shared" si="7"/>
        <v>491</v>
      </c>
      <c r="T13" s="5"/>
      <c r="U13" s="5">
        <f>SUMIFS(sales_data_1[Quantity_Sold],sales_data_1[Year],2022, sales_data_1[month], $B13, sales_data_1[Sales_Rep], "David", sales_data_1[Product_Category], U$10)</f>
        <v>40</v>
      </c>
      <c r="V13" s="5">
        <f>SUMIFS(sales_data_1[Quantity_Sold],sales_data_1[Year],2022, sales_data_1[month], $B13, sales_data_1[Sales_Rep], "David", sales_data_1[Product_Category], V$10)</f>
        <v>91</v>
      </c>
      <c r="W13" s="5">
        <f>SUMIFS(sales_data_1[Quantity_Sold],sales_data_1[Year],2022, sales_data_1[month], $B13, sales_data_1[Sales_Rep], "David", sales_data_1[Product_Category], W$10)</f>
        <v>42</v>
      </c>
      <c r="X13" s="5">
        <f>SUMIFS(sales_data_1[Quantity_Sold],sales_data_1[Year],2022, sales_data_1[month], $B13, sales_data_1[Sales_Rep], "David", sales_data_1[Product_Category], R$10)</f>
        <v>74</v>
      </c>
      <c r="Y13" s="5">
        <f t="shared" si="8"/>
        <v>247</v>
      </c>
      <c r="Z13" s="5"/>
      <c r="AA13" s="5">
        <f>SUMIFS(sales_data_1[Quantity_Sold],sales_data_1[Year],2022, sales_data_1[month], $B13, sales_data_1[Sales_Rep], "Eve", sales_data_1[Product_Category], U$10)</f>
        <v>245</v>
      </c>
      <c r="AB13" s="5">
        <f>SUMIFS(sales_data_1[Quantity_Sold],sales_data_1[Year],2022, sales_data_1[month], $B13, sales_data_1[Sales_Rep], "Eve", sales_data_1[Product_Category], V$10)</f>
        <v>42</v>
      </c>
      <c r="AC13" s="5">
        <f>SUMIFS(sales_data_1[Quantity_Sold],sales_data_1[Year],2022, sales_data_1[month], $B13, sales_data_1[Sales_Rep], "Eve", sales_data_1[Product_Category], W$10)</f>
        <v>43</v>
      </c>
      <c r="AD13" s="5">
        <f>SUMIFS(sales_data_1[Quantity_Sold],sales_data_1[Year],2022, sales_data_1[month], $B13, sales_data_1[Sales_Rep], "Eve", sales_data_1[Product_Category], R$10)</f>
        <v>164</v>
      </c>
      <c r="AE13" s="5">
        <f t="shared" si="9"/>
        <v>494</v>
      </c>
      <c r="AF13" s="23"/>
      <c r="AG13" s="5">
        <f t="shared" si="10"/>
        <v>2113</v>
      </c>
      <c r="AH13" s="5"/>
    </row>
    <row r="14" spans="1:34" x14ac:dyDescent="0.35">
      <c r="A14" s="4"/>
      <c r="B14" s="5" t="s">
        <v>48</v>
      </c>
      <c r="C14" s="5">
        <f>SUMIFS(sales_data_1[Quantity_Sold],sales_data_1[Year],2022, sales_data_1[month], $B14, sales_data_1[Sales_Rep], "Alice", sales_data_1[Product_Category], C$10)</f>
        <v>81</v>
      </c>
      <c r="D14" s="5">
        <f>SUMIFS(sales_data_1[Quantity_Sold],sales_data_1[Year],2022, sales_data_1[month], $B14, sales_data_1[Sales_Rep], "Alice", sales_data_1[Product_Category], D$10)</f>
        <v>188</v>
      </c>
      <c r="E14" s="5">
        <f>SUMIFS(sales_data_1[Quantity_Sold],sales_data_1[Year],2022, sales_data_1[month], $B14, sales_data_1[Sales_Rep], "Alice", sales_data_1[Product_Category], E$10)</f>
        <v>98</v>
      </c>
      <c r="F14" s="5">
        <f>SUMIFS(sales_data_1[Quantity_Sold],sales_data_1[Year],2022, sales_data_1[month], $B14, sales_data_1[Sales_Rep], "Alice", sales_data_1[Product_Category], F$10)</f>
        <v>95</v>
      </c>
      <c r="G14" s="5">
        <f t="shared" si="5"/>
        <v>462</v>
      </c>
      <c r="H14" s="5"/>
      <c r="I14" s="5">
        <f>SUMIFS(sales_data_1[Quantity_Sold],sales_data_1[Year],2022, sales_data_1[month], $B14, sales_data_1[Sales_Rep], "Bob", sales_data_1[Product_Category], I$10)</f>
        <v>67</v>
      </c>
      <c r="J14" s="5">
        <f>SUMIFS(sales_data_1[Quantity_Sold],sales_data_1[Year],2022, sales_data_1[month], $B14, sales_data_1[Sales_Rep], "Bob", sales_data_1[Product_Category], J$10)</f>
        <v>89</v>
      </c>
      <c r="K14" s="5">
        <f>SUMIFS(sales_data_1[Quantity_Sold],sales_data_1[Year],2022, sales_data_1[month], $B14, sales_data_1[Sales_Rep], "Bob", sales_data_1[Product_Category], K$10)</f>
        <v>69</v>
      </c>
      <c r="L14" s="5">
        <f>SUMIFS(sales_data_1[Quantity_Sold],sales_data_1[Year],2022, sales_data_1[month], $B14, sales_data_1[Sales_Rep], "Bob", sales_data_1[Product_Category], L$10)</f>
        <v>222</v>
      </c>
      <c r="M14" s="5">
        <f t="shared" si="6"/>
        <v>447</v>
      </c>
      <c r="N14" s="5"/>
      <c r="O14" s="5">
        <f>SUMIFS(sales_data_1[Quantity_Sold],sales_data_1[Year],2022, sales_data_1[month], $B14, sales_data_1[Sales_Rep], "Charlie", sales_data_1[Product_Category], O$10)</f>
        <v>117</v>
      </c>
      <c r="P14" s="5">
        <f>SUMIFS(sales_data_1[Quantity_Sold],sales_data_1[Year],2022, sales_data_1[month], $B14, sales_data_1[Sales_Rep], "Charlie", sales_data_1[Product_Category], P$10)</f>
        <v>165</v>
      </c>
      <c r="Q14" s="5">
        <f>SUMIFS(sales_data_1[Quantity_Sold],sales_data_1[Year],2022, sales_data_1[month], $B14, sales_data_1[Sales_Rep], "Charlie", sales_data_1[Product_Category], Q$10)</f>
        <v>251</v>
      </c>
      <c r="R14" s="5">
        <f>SUMIFS(sales_data_1[Quantity_Sold],sales_data_1[Year],2022, sales_data_1[month], $B14, sales_data_1[Sales_Rep], "Charlie", sales_data_1[Product_Category], R$10)</f>
        <v>206</v>
      </c>
      <c r="S14" s="5">
        <f t="shared" si="7"/>
        <v>739</v>
      </c>
      <c r="T14" s="5"/>
      <c r="U14" s="5">
        <f>SUMIFS(sales_data_1[Quantity_Sold],sales_data_1[Year],2022, sales_data_1[month], $B14, sales_data_1[Sales_Rep], "David", sales_data_1[Product_Category], U$10)</f>
        <v>158</v>
      </c>
      <c r="V14" s="5">
        <f>SUMIFS(sales_data_1[Quantity_Sold],sales_data_1[Year],2022, sales_data_1[month], $B14, sales_data_1[Sales_Rep], "David", sales_data_1[Product_Category], V$10)</f>
        <v>104</v>
      </c>
      <c r="W14" s="5">
        <f>SUMIFS(sales_data_1[Quantity_Sold],sales_data_1[Year],2022, sales_data_1[month], $B14, sales_data_1[Sales_Rep], "David", sales_data_1[Product_Category], W$10)</f>
        <v>166</v>
      </c>
      <c r="X14" s="5">
        <f>SUMIFS(sales_data_1[Quantity_Sold],sales_data_1[Year],2022, sales_data_1[month], $B14, sales_data_1[Sales_Rep], "David", sales_data_1[Product_Category], R$10)</f>
        <v>53</v>
      </c>
      <c r="Y14" s="5">
        <f t="shared" si="8"/>
        <v>481</v>
      </c>
      <c r="Z14" s="5"/>
      <c r="AA14" s="5">
        <f>SUMIFS(sales_data_1[Quantity_Sold],sales_data_1[Year],2022, sales_data_1[month], $B14, sales_data_1[Sales_Rep], "Eve", sales_data_1[Product_Category], U$10)</f>
        <v>204</v>
      </c>
      <c r="AB14" s="5">
        <f>SUMIFS(sales_data_1[Quantity_Sold],sales_data_1[Year],2022, sales_data_1[month], $B14, sales_data_1[Sales_Rep], "Eve", sales_data_1[Product_Category], V$10)</f>
        <v>18</v>
      </c>
      <c r="AC14" s="5">
        <f>SUMIFS(sales_data_1[Quantity_Sold],sales_data_1[Year],2022, sales_data_1[month], $B14, sales_data_1[Sales_Rep], "Eve", sales_data_1[Product_Category], W$10)</f>
        <v>39</v>
      </c>
      <c r="AD14" s="5">
        <f>SUMIFS(sales_data_1[Quantity_Sold],sales_data_1[Year],2022, sales_data_1[month], $B14, sales_data_1[Sales_Rep], "Eve", sales_data_1[Product_Category], R$10)</f>
        <v>236</v>
      </c>
      <c r="AE14" s="5">
        <f t="shared" si="9"/>
        <v>497</v>
      </c>
      <c r="AF14" s="23"/>
      <c r="AG14" s="5">
        <f t="shared" si="10"/>
        <v>2626</v>
      </c>
      <c r="AH14" s="5"/>
    </row>
    <row r="15" spans="1:34" x14ac:dyDescent="0.35">
      <c r="A15" s="4"/>
      <c r="B15" s="5" t="s">
        <v>49</v>
      </c>
      <c r="C15" s="5">
        <f>SUMIFS(sales_data_1[Quantity_Sold],sales_data_1[Year],2022, sales_data_1[month], $B15, sales_data_1[Sales_Rep], "Alice", sales_data_1[Product_Category], C$10)</f>
        <v>117</v>
      </c>
      <c r="D15" s="5">
        <f>SUMIFS(sales_data_1[Quantity_Sold],sales_data_1[Year],2022, sales_data_1[month], $B15, sales_data_1[Sales_Rep], "Alice", sales_data_1[Product_Category], D$10)</f>
        <v>99</v>
      </c>
      <c r="E15" s="5">
        <f>SUMIFS(sales_data_1[Quantity_Sold],sales_data_1[Year],2022, sales_data_1[month], $B15, sales_data_1[Sales_Rep], "Alice", sales_data_1[Product_Category], E$10)</f>
        <v>204</v>
      </c>
      <c r="F15" s="5">
        <f>SUMIFS(sales_data_1[Quantity_Sold],sales_data_1[Year],2022, sales_data_1[month], $B15, sales_data_1[Sales_Rep], "Alice", sales_data_1[Product_Category], F$10)</f>
        <v>82</v>
      </c>
      <c r="G15" s="5">
        <f t="shared" si="5"/>
        <v>502</v>
      </c>
      <c r="H15" s="5"/>
      <c r="I15" s="5">
        <f>SUMIFS(sales_data_1[Quantity_Sold],sales_data_1[Year],2022, sales_data_1[month], $B15, sales_data_1[Sales_Rep], "Bob", sales_data_1[Product_Category], I$10)</f>
        <v>184</v>
      </c>
      <c r="J15" s="5">
        <f>SUMIFS(sales_data_1[Quantity_Sold],sales_data_1[Year],2022, sales_data_1[month], $B15, sales_data_1[Sales_Rep], "Bob", sales_data_1[Product_Category], J$10)</f>
        <v>64</v>
      </c>
      <c r="K15" s="5">
        <f>SUMIFS(sales_data_1[Quantity_Sold],sales_data_1[Year],2022, sales_data_1[month], $B15, sales_data_1[Sales_Rep], "Bob", sales_data_1[Product_Category], K$10)</f>
        <v>115</v>
      </c>
      <c r="L15" s="5">
        <f>SUMIFS(sales_data_1[Quantity_Sold],sales_data_1[Year],2022, sales_data_1[month], $B15, sales_data_1[Sales_Rep], "Bob", sales_data_1[Product_Category], L$10)</f>
        <v>125</v>
      </c>
      <c r="M15" s="5">
        <f t="shared" si="6"/>
        <v>488</v>
      </c>
      <c r="N15" s="5"/>
      <c r="O15" s="5">
        <f>SUMIFS(sales_data_1[Quantity_Sold],sales_data_1[Year],2022, sales_data_1[month], $B15, sales_data_1[Sales_Rep], "Charlie", sales_data_1[Product_Category], O$10)</f>
        <v>103</v>
      </c>
      <c r="P15" s="5">
        <f>SUMIFS(sales_data_1[Quantity_Sold],sales_data_1[Year],2022, sales_data_1[month], $B15, sales_data_1[Sales_Rep], "Charlie", sales_data_1[Product_Category], P$10)</f>
        <v>151</v>
      </c>
      <c r="Q15" s="5">
        <f>SUMIFS(sales_data_1[Quantity_Sold],sales_data_1[Year],2022, sales_data_1[month], $B15, sales_data_1[Sales_Rep], "Charlie", sales_data_1[Product_Category], Q$10)</f>
        <v>75</v>
      </c>
      <c r="R15" s="5">
        <f>SUMIFS(sales_data_1[Quantity_Sold],sales_data_1[Year],2022, sales_data_1[month], $B15, sales_data_1[Sales_Rep], "Charlie", sales_data_1[Product_Category], R$10)</f>
        <v>171</v>
      </c>
      <c r="S15" s="5">
        <f t="shared" si="7"/>
        <v>500</v>
      </c>
      <c r="T15" s="5"/>
      <c r="U15" s="5">
        <f>SUMIFS(sales_data_1[Quantity_Sold],sales_data_1[Year],2022, sales_data_1[month], $B15, sales_data_1[Sales_Rep], "David", sales_data_1[Product_Category], U$10)</f>
        <v>97</v>
      </c>
      <c r="V15" s="5">
        <f>SUMIFS(sales_data_1[Quantity_Sold],sales_data_1[Year],2022, sales_data_1[month], $B15, sales_data_1[Sales_Rep], "David", sales_data_1[Product_Category], V$10)</f>
        <v>187</v>
      </c>
      <c r="W15" s="5">
        <f>SUMIFS(sales_data_1[Quantity_Sold],sales_data_1[Year],2022, sales_data_1[month], $B15, sales_data_1[Sales_Rep], "David", sales_data_1[Product_Category], W$10)</f>
        <v>135</v>
      </c>
      <c r="X15" s="5">
        <f>SUMIFS(sales_data_1[Quantity_Sold],sales_data_1[Year],2022, sales_data_1[month], $B15, sales_data_1[Sales_Rep], "David", sales_data_1[Product_Category], R$10)</f>
        <v>177</v>
      </c>
      <c r="Y15" s="5">
        <f t="shared" si="8"/>
        <v>596</v>
      </c>
      <c r="Z15" s="5"/>
      <c r="AA15" s="5">
        <f>SUMIFS(sales_data_1[Quantity_Sold],sales_data_1[Year],2022, sales_data_1[month], $B15, sales_data_1[Sales_Rep], "Eve", sales_data_1[Product_Category], U$10)</f>
        <v>242</v>
      </c>
      <c r="AB15" s="5">
        <f>SUMIFS(sales_data_1[Quantity_Sold],sales_data_1[Year],2022, sales_data_1[month], $B15, sales_data_1[Sales_Rep], "Eve", sales_data_1[Product_Category], V$10)</f>
        <v>107</v>
      </c>
      <c r="AC15" s="5">
        <f>SUMIFS(sales_data_1[Quantity_Sold],sales_data_1[Year],2022, sales_data_1[month], $B15, sales_data_1[Sales_Rep], "Eve", sales_data_1[Product_Category], W$10)</f>
        <v>50</v>
      </c>
      <c r="AD15" s="5">
        <f>SUMIFS(sales_data_1[Quantity_Sold],sales_data_1[Year],2022, sales_data_1[month], $B15, sales_data_1[Sales_Rep], "Eve", sales_data_1[Product_Category], R$10)</f>
        <v>108</v>
      </c>
      <c r="AE15" s="5">
        <f t="shared" si="9"/>
        <v>507</v>
      </c>
      <c r="AF15" s="23"/>
      <c r="AG15" s="5">
        <f t="shared" si="10"/>
        <v>2593</v>
      </c>
      <c r="AH15" s="5"/>
    </row>
    <row r="16" spans="1:34" x14ac:dyDescent="0.35">
      <c r="A16" s="4"/>
      <c r="B16" s="5" t="s">
        <v>50</v>
      </c>
      <c r="C16" s="5">
        <f>SUMIFS(sales_data_1[Quantity_Sold],sales_data_1[Year],2022, sales_data_1[month], $B16, sales_data_1[Sales_Rep], "Alice", sales_data_1[Product_Category], C$10)</f>
        <v>263</v>
      </c>
      <c r="D16" s="5">
        <f>SUMIFS(sales_data_1[Quantity_Sold],sales_data_1[Year],2022, sales_data_1[month], $B16, sales_data_1[Sales_Rep], "Alice", sales_data_1[Product_Category], D$10)</f>
        <v>196</v>
      </c>
      <c r="E16" s="5">
        <f>SUMIFS(sales_data_1[Quantity_Sold],sales_data_1[Year],2022, sales_data_1[month], $B16, sales_data_1[Sales_Rep], "Alice", sales_data_1[Product_Category], E$10)</f>
        <v>163</v>
      </c>
      <c r="F16" s="5">
        <f>SUMIFS(sales_data_1[Quantity_Sold],sales_data_1[Year],2022, sales_data_1[month], $B16, sales_data_1[Sales_Rep], "Alice", sales_data_1[Product_Category], F$10)</f>
        <v>170</v>
      </c>
      <c r="G16" s="5">
        <f t="shared" si="5"/>
        <v>792</v>
      </c>
      <c r="H16" s="5"/>
      <c r="I16" s="5">
        <f>SUMIFS(sales_data_1[Quantity_Sold],sales_data_1[Year],2022, sales_data_1[month], $B16, sales_data_1[Sales_Rep], "Bob", sales_data_1[Product_Category], I$10)</f>
        <v>152</v>
      </c>
      <c r="J16" s="5">
        <f>SUMIFS(sales_data_1[Quantity_Sold],sales_data_1[Year],2022, sales_data_1[month], $B16, sales_data_1[Sales_Rep], "Bob", sales_data_1[Product_Category], J$10)</f>
        <v>115</v>
      </c>
      <c r="K16" s="5">
        <f>SUMIFS(sales_data_1[Quantity_Sold],sales_data_1[Year],2022, sales_data_1[month], $B16, sales_data_1[Sales_Rep], "Bob", sales_data_1[Product_Category], K$10)</f>
        <v>99</v>
      </c>
      <c r="L16" s="5">
        <f>SUMIFS(sales_data_1[Quantity_Sold],sales_data_1[Year],2022, sales_data_1[month], $B16, sales_data_1[Sales_Rep], "Bob", sales_data_1[Product_Category], L$10)</f>
        <v>220</v>
      </c>
      <c r="M16" s="5">
        <f t="shared" si="6"/>
        <v>586</v>
      </c>
      <c r="N16" s="5"/>
      <c r="O16" s="5">
        <f>SUMIFS(sales_data_1[Quantity_Sold],sales_data_1[Year],2022, sales_data_1[month], $B16, sales_data_1[Sales_Rep], "Charlie", sales_data_1[Product_Category], O$10)</f>
        <v>94</v>
      </c>
      <c r="P16" s="5">
        <f>SUMIFS(sales_data_1[Quantity_Sold],sales_data_1[Year],2022, sales_data_1[month], $B16, sales_data_1[Sales_Rep], "Charlie", sales_data_1[Product_Category], P$10)</f>
        <v>106</v>
      </c>
      <c r="Q16" s="5">
        <f>SUMIFS(sales_data_1[Quantity_Sold],sales_data_1[Year],2022, sales_data_1[month], $B16, sales_data_1[Sales_Rep], "Charlie", sales_data_1[Product_Category], Q$10)</f>
        <v>62</v>
      </c>
      <c r="R16" s="5">
        <f>SUMIFS(sales_data_1[Quantity_Sold],sales_data_1[Year],2022, sales_data_1[month], $B16, sales_data_1[Sales_Rep], "Charlie", sales_data_1[Product_Category], R$10)</f>
        <v>48</v>
      </c>
      <c r="S16" s="5">
        <f t="shared" si="7"/>
        <v>310</v>
      </c>
      <c r="T16" s="5"/>
      <c r="U16" s="5">
        <f>SUMIFS(sales_data_1[Quantity_Sold],sales_data_1[Year],2022, sales_data_1[month], $B16, sales_data_1[Sales_Rep], "David", sales_data_1[Product_Category], U$10)</f>
        <v>260</v>
      </c>
      <c r="V16" s="5">
        <f>SUMIFS(sales_data_1[Quantity_Sold],sales_data_1[Year],2022, sales_data_1[month], $B16, sales_data_1[Sales_Rep], "David", sales_data_1[Product_Category], V$10)</f>
        <v>31</v>
      </c>
      <c r="W16" s="5">
        <f>SUMIFS(sales_data_1[Quantity_Sold],sales_data_1[Year],2022, sales_data_1[month], $B16, sales_data_1[Sales_Rep], "David", sales_data_1[Product_Category], W$10)</f>
        <v>31</v>
      </c>
      <c r="X16" s="5">
        <f>SUMIFS(sales_data_1[Quantity_Sold],sales_data_1[Year],2022, sales_data_1[month], $B16, sales_data_1[Sales_Rep], "David", sales_data_1[Product_Category], R$10)</f>
        <v>107</v>
      </c>
      <c r="Y16" s="5">
        <f t="shared" si="8"/>
        <v>429</v>
      </c>
      <c r="Z16" s="5"/>
      <c r="AA16" s="5">
        <f>SUMIFS(sales_data_1[Quantity_Sold],sales_data_1[Year],2022, sales_data_1[month], $B16, sales_data_1[Sales_Rep], "Eve", sales_data_1[Product_Category], U$10)</f>
        <v>207</v>
      </c>
      <c r="AB16" s="5">
        <f>SUMIFS(sales_data_1[Quantity_Sold],sales_data_1[Year],2022, sales_data_1[month], $B16, sales_data_1[Sales_Rep], "Eve", sales_data_1[Product_Category], V$10)</f>
        <v>69</v>
      </c>
      <c r="AC16" s="5">
        <f>SUMIFS(sales_data_1[Quantity_Sold],sales_data_1[Year],2022, sales_data_1[month], $B16, sales_data_1[Sales_Rep], "Eve", sales_data_1[Product_Category], W$10)</f>
        <v>99</v>
      </c>
      <c r="AD16" s="5">
        <f>SUMIFS(sales_data_1[Quantity_Sold],sales_data_1[Year],2022, sales_data_1[month], $B16, sales_data_1[Sales_Rep], "Eve", sales_data_1[Product_Category], R$10)</f>
        <v>24</v>
      </c>
      <c r="AE16" s="5">
        <f t="shared" si="9"/>
        <v>399</v>
      </c>
      <c r="AF16" s="23"/>
      <c r="AG16" s="5">
        <f t="shared" si="10"/>
        <v>2516</v>
      </c>
      <c r="AH16" s="5"/>
    </row>
    <row r="17" spans="1:34" x14ac:dyDescent="0.35">
      <c r="A17" s="4"/>
      <c r="B17" s="5" t="s">
        <v>51</v>
      </c>
      <c r="C17" s="5">
        <f>SUMIFS(sales_data_1[Quantity_Sold],sales_data_1[Year],2022, sales_data_1[month], $B17, sales_data_1[Sales_Rep], "Alice", sales_data_1[Product_Category], C$10)</f>
        <v>138</v>
      </c>
      <c r="D17" s="5">
        <f>SUMIFS(sales_data_1[Quantity_Sold],sales_data_1[Year],2022, sales_data_1[month], $B17, sales_data_1[Sales_Rep], "Alice", sales_data_1[Product_Category], D$10)</f>
        <v>173</v>
      </c>
      <c r="E17" s="5">
        <f>SUMIFS(sales_data_1[Quantity_Sold],sales_data_1[Year],2022, sales_data_1[month], $B17, sales_data_1[Sales_Rep], "Alice", sales_data_1[Product_Category], E$10)</f>
        <v>29</v>
      </c>
      <c r="F17" s="5">
        <f>SUMIFS(sales_data_1[Quantity_Sold],sales_data_1[Year],2022, sales_data_1[month], $B17, sales_data_1[Sales_Rep], "Alice", sales_data_1[Product_Category], F$10)</f>
        <v>206</v>
      </c>
      <c r="G17" s="5">
        <f t="shared" si="5"/>
        <v>546</v>
      </c>
      <c r="H17" s="5"/>
      <c r="I17" s="5">
        <f>SUMIFS(sales_data_1[Quantity_Sold],sales_data_1[Year],2022, sales_data_1[month], $B17, sales_data_1[Sales_Rep], "Bob", sales_data_1[Product_Category], I$10)</f>
        <v>91</v>
      </c>
      <c r="J17" s="5">
        <f>SUMIFS(sales_data_1[Quantity_Sold],sales_data_1[Year],2022, sales_data_1[month], $B17, sales_data_1[Sales_Rep], "Bob", sales_data_1[Product_Category], J$10)</f>
        <v>44</v>
      </c>
      <c r="K17" s="5">
        <f>SUMIFS(sales_data_1[Quantity_Sold],sales_data_1[Year],2022, sales_data_1[month], $B17, sales_data_1[Sales_Rep], "Bob", sales_data_1[Product_Category], K$10)</f>
        <v>163</v>
      </c>
      <c r="L17" s="5">
        <f>SUMIFS(sales_data_1[Quantity_Sold],sales_data_1[Year],2022, sales_data_1[month], $B17, sales_data_1[Sales_Rep], "Bob", sales_data_1[Product_Category], L$10)</f>
        <v>90</v>
      </c>
      <c r="M17" s="5">
        <f t="shared" si="6"/>
        <v>388</v>
      </c>
      <c r="N17" s="5"/>
      <c r="O17" s="5">
        <f>SUMIFS(sales_data_1[Quantity_Sold],sales_data_1[Year],2022, sales_data_1[month], $B17, sales_data_1[Sales_Rep], "Charlie", sales_data_1[Product_Category], O$10)</f>
        <v>101</v>
      </c>
      <c r="P17" s="5">
        <f>SUMIFS(sales_data_1[Quantity_Sold],sales_data_1[Year],2022, sales_data_1[month], $B17, sales_data_1[Sales_Rep], "Charlie", sales_data_1[Product_Category], P$10)</f>
        <v>73</v>
      </c>
      <c r="Q17" s="5">
        <f>SUMIFS(sales_data_1[Quantity_Sold],sales_data_1[Year],2022, sales_data_1[month], $B17, sales_data_1[Sales_Rep], "Charlie", sales_data_1[Product_Category], Q$10)</f>
        <v>125</v>
      </c>
      <c r="R17" s="5">
        <f>SUMIFS(sales_data_1[Quantity_Sold],sales_data_1[Year],2022, sales_data_1[month], $B17, sales_data_1[Sales_Rep], "Charlie", sales_data_1[Product_Category], R$10)</f>
        <v>168</v>
      </c>
      <c r="S17" s="5">
        <f t="shared" si="7"/>
        <v>467</v>
      </c>
      <c r="T17" s="5"/>
      <c r="U17" s="5">
        <f>SUMIFS(sales_data_1[Quantity_Sold],sales_data_1[Year],2022, sales_data_1[month], $B17, sales_data_1[Sales_Rep], "David", sales_data_1[Product_Category], U$10)</f>
        <v>114</v>
      </c>
      <c r="V17" s="5">
        <f>SUMIFS(sales_data_1[Quantity_Sold],sales_data_1[Year],2022, sales_data_1[month], $B17, sales_data_1[Sales_Rep], "David", sales_data_1[Product_Category], V$10)</f>
        <v>53</v>
      </c>
      <c r="W17" s="5">
        <f>SUMIFS(sales_data_1[Quantity_Sold],sales_data_1[Year],2022, sales_data_1[month], $B17, sales_data_1[Sales_Rep], "David", sales_data_1[Product_Category], W$10)</f>
        <v>41</v>
      </c>
      <c r="X17" s="5">
        <f>SUMIFS(sales_data_1[Quantity_Sold],sales_data_1[Year],2022, sales_data_1[month], $B17, sales_data_1[Sales_Rep], "David", sales_data_1[Product_Category], R$10)</f>
        <v>40</v>
      </c>
      <c r="Y17" s="5">
        <f t="shared" si="8"/>
        <v>248</v>
      </c>
      <c r="Z17" s="5"/>
      <c r="AA17" s="5">
        <f>SUMIFS(sales_data_1[Quantity_Sold],sales_data_1[Year],2022, sales_data_1[month], $B17, sales_data_1[Sales_Rep], "Eve", sales_data_1[Product_Category], U$10)</f>
        <v>81</v>
      </c>
      <c r="AB17" s="5">
        <f>SUMIFS(sales_data_1[Quantity_Sold],sales_data_1[Year],2022, sales_data_1[month], $B17, sales_data_1[Sales_Rep], "Eve", sales_data_1[Product_Category], V$10)</f>
        <v>228</v>
      </c>
      <c r="AC17" s="5">
        <f>SUMIFS(sales_data_1[Quantity_Sold],sales_data_1[Year],2022, sales_data_1[month], $B17, sales_data_1[Sales_Rep], "Eve", sales_data_1[Product_Category], W$10)</f>
        <v>165</v>
      </c>
      <c r="AD17" s="5">
        <f>SUMIFS(sales_data_1[Quantity_Sold],sales_data_1[Year],2022, sales_data_1[month], $B17, sales_data_1[Sales_Rep], "Eve", sales_data_1[Product_Category], R$10)</f>
        <v>90</v>
      </c>
      <c r="AE17" s="5">
        <f t="shared" si="9"/>
        <v>564</v>
      </c>
      <c r="AF17" s="23"/>
      <c r="AG17" s="5">
        <f t="shared" si="10"/>
        <v>2213</v>
      </c>
      <c r="AH17" s="5"/>
    </row>
    <row r="18" spans="1:34" x14ac:dyDescent="0.35">
      <c r="A18" s="4"/>
      <c r="B18" s="5" t="s">
        <v>52</v>
      </c>
      <c r="C18" s="5">
        <f>SUMIFS(sales_data_1[Quantity_Sold],sales_data_1[Year],2022, sales_data_1[month], $B18, sales_data_1[Sales_Rep], "Alice", sales_data_1[Product_Category], C$10)</f>
        <v>45</v>
      </c>
      <c r="D18" s="5">
        <f>SUMIFS(sales_data_1[Quantity_Sold],sales_data_1[Year],2022, sales_data_1[month], $B18, sales_data_1[Sales_Rep], "Alice", sales_data_1[Product_Category], D$10)</f>
        <v>40</v>
      </c>
      <c r="E18" s="5">
        <f>SUMIFS(sales_data_1[Quantity_Sold],sales_data_1[Year],2022, sales_data_1[month], $B18, sales_data_1[Sales_Rep], "Alice", sales_data_1[Product_Category], E$10)</f>
        <v>183</v>
      </c>
      <c r="F18" s="5">
        <f>SUMIFS(sales_data_1[Quantity_Sold],sales_data_1[Year],2022, sales_data_1[month], $B18, sales_data_1[Sales_Rep], "Alice", sales_data_1[Product_Category], F$10)</f>
        <v>136</v>
      </c>
      <c r="G18" s="5">
        <f t="shared" si="5"/>
        <v>404</v>
      </c>
      <c r="H18" s="5"/>
      <c r="I18" s="5">
        <f>SUMIFS(sales_data_1[Quantity_Sold],sales_data_1[Year],2022, sales_data_1[month], $B18, sales_data_1[Sales_Rep], "Bob", sales_data_1[Product_Category], I$10)</f>
        <v>8</v>
      </c>
      <c r="J18" s="5">
        <f>SUMIFS(sales_data_1[Quantity_Sold],sales_data_1[Year],2022, sales_data_1[month], $B18, sales_data_1[Sales_Rep], "Bob", sales_data_1[Product_Category], J$10)</f>
        <v>85</v>
      </c>
      <c r="K18" s="5">
        <f>SUMIFS(sales_data_1[Quantity_Sold],sales_data_1[Year],2022, sales_data_1[month], $B18, sales_data_1[Sales_Rep], "Bob", sales_data_1[Product_Category], K$10)</f>
        <v>192</v>
      </c>
      <c r="L18" s="5">
        <f>SUMIFS(sales_data_1[Quantity_Sold],sales_data_1[Year],2022, sales_data_1[month], $B18, sales_data_1[Sales_Rep], "Bob", sales_data_1[Product_Category], L$10)</f>
        <v>97</v>
      </c>
      <c r="M18" s="5">
        <f t="shared" si="6"/>
        <v>382</v>
      </c>
      <c r="N18" s="5"/>
      <c r="O18" s="5">
        <f>SUMIFS(sales_data_1[Quantity_Sold],sales_data_1[Year],2022, sales_data_1[month], $B18, sales_data_1[Sales_Rep], "Charlie", sales_data_1[Product_Category], O$10)</f>
        <v>48</v>
      </c>
      <c r="P18" s="5">
        <f>SUMIFS(sales_data_1[Quantity_Sold],sales_data_1[Year],2022, sales_data_1[month], $B18, sales_data_1[Sales_Rep], "Charlie", sales_data_1[Product_Category], P$10)</f>
        <v>71</v>
      </c>
      <c r="Q18" s="5">
        <f>SUMIFS(sales_data_1[Quantity_Sold],sales_data_1[Year],2022, sales_data_1[month], $B18, sales_data_1[Sales_Rep], "Charlie", sales_data_1[Product_Category], Q$10)</f>
        <v>39</v>
      </c>
      <c r="R18" s="5">
        <f>SUMIFS(sales_data_1[Quantity_Sold],sales_data_1[Year],2022, sales_data_1[month], $B18, sales_data_1[Sales_Rep], "Charlie", sales_data_1[Product_Category], R$10)</f>
        <v>121</v>
      </c>
      <c r="S18" s="5">
        <f t="shared" si="7"/>
        <v>279</v>
      </c>
      <c r="T18" s="5"/>
      <c r="U18" s="5">
        <f>SUMIFS(sales_data_1[Quantity_Sold],sales_data_1[Year],2022, sales_data_1[month], $B18, sales_data_1[Sales_Rep], "David", sales_data_1[Product_Category], U$10)</f>
        <v>149</v>
      </c>
      <c r="V18" s="5">
        <f>SUMIFS(sales_data_1[Quantity_Sold],sales_data_1[Year],2022, sales_data_1[month], $B18, sales_data_1[Sales_Rep], "David", sales_data_1[Product_Category], V$10)</f>
        <v>173</v>
      </c>
      <c r="W18" s="5">
        <f>SUMIFS(sales_data_1[Quantity_Sold],sales_data_1[Year],2022, sales_data_1[month], $B18, sales_data_1[Sales_Rep], "David", sales_data_1[Product_Category], W$10)</f>
        <v>229</v>
      </c>
      <c r="X18" s="5">
        <f>SUMIFS(sales_data_1[Quantity_Sold],sales_data_1[Year],2022, sales_data_1[month], $B18, sales_data_1[Sales_Rep], "David", sales_data_1[Product_Category], R$10)</f>
        <v>77</v>
      </c>
      <c r="Y18" s="5">
        <f t="shared" si="8"/>
        <v>628</v>
      </c>
      <c r="Z18" s="5"/>
      <c r="AA18" s="5">
        <f>SUMIFS(sales_data_1[Quantity_Sold],sales_data_1[Year],2022, sales_data_1[month], $B18, sales_data_1[Sales_Rep], "Eve", sales_data_1[Product_Category], U$10)</f>
        <v>202</v>
      </c>
      <c r="AB18" s="5">
        <f>SUMIFS(sales_data_1[Quantity_Sold],sales_data_1[Year],2022, sales_data_1[month], $B18, sales_data_1[Sales_Rep], "Eve", sales_data_1[Product_Category], V$10)</f>
        <v>51</v>
      </c>
      <c r="AC18" s="5">
        <f>SUMIFS(sales_data_1[Quantity_Sold],sales_data_1[Year],2022, sales_data_1[month], $B18, sales_data_1[Sales_Rep], "Eve", sales_data_1[Product_Category], W$10)</f>
        <v>185</v>
      </c>
      <c r="AD18" s="5">
        <f>SUMIFS(sales_data_1[Quantity_Sold],sales_data_1[Year],2022, sales_data_1[month], $B18, sales_data_1[Sales_Rep], "Eve", sales_data_1[Product_Category], R$10)</f>
        <v>73</v>
      </c>
      <c r="AE18" s="5">
        <f t="shared" si="9"/>
        <v>511</v>
      </c>
      <c r="AF18" s="23"/>
      <c r="AG18" s="5">
        <f t="shared" si="10"/>
        <v>2204</v>
      </c>
      <c r="AH18" s="5"/>
    </row>
    <row r="19" spans="1:34" x14ac:dyDescent="0.35">
      <c r="A19" s="4"/>
      <c r="B19" s="5" t="s">
        <v>53</v>
      </c>
      <c r="C19" s="5">
        <f>SUMIFS(sales_data_1[Quantity_Sold],sales_data_1[Year],2022, sales_data_1[month], $B19, sales_data_1[Sales_Rep], "Alice", sales_data_1[Product_Category], C$10)</f>
        <v>150</v>
      </c>
      <c r="D19" s="5">
        <f>SUMIFS(sales_data_1[Quantity_Sold],sales_data_1[Year],2022, sales_data_1[month], $B19, sales_data_1[Sales_Rep], "Alice", sales_data_1[Product_Category], D$10)</f>
        <v>204</v>
      </c>
      <c r="E19" s="5">
        <f>SUMIFS(sales_data_1[Quantity_Sold],sales_data_1[Year],2022, sales_data_1[month], $B19, sales_data_1[Sales_Rep], "Alice", sales_data_1[Product_Category], E$10)</f>
        <v>146</v>
      </c>
      <c r="F19" s="5">
        <f>SUMIFS(sales_data_1[Quantity_Sold],sales_data_1[Year],2022, sales_data_1[month], $B19, sales_data_1[Sales_Rep], "Alice", sales_data_1[Product_Category], F$10)</f>
        <v>135</v>
      </c>
      <c r="G19" s="5">
        <f t="shared" si="5"/>
        <v>635</v>
      </c>
      <c r="H19" s="5"/>
      <c r="I19" s="5">
        <f>SUMIFS(sales_data_1[Quantity_Sold],sales_data_1[Year],2022, sales_data_1[month], $B19, sales_data_1[Sales_Rep], "Bob", sales_data_1[Product_Category], I$10)</f>
        <v>10</v>
      </c>
      <c r="J19" s="5">
        <f>SUMIFS(sales_data_1[Quantity_Sold],sales_data_1[Year],2022, sales_data_1[month], $B19, sales_data_1[Sales_Rep], "Bob", sales_data_1[Product_Category], J$10)</f>
        <v>126</v>
      </c>
      <c r="K19" s="5">
        <f>SUMIFS(sales_data_1[Quantity_Sold],sales_data_1[Year],2022, sales_data_1[month], $B19, sales_data_1[Sales_Rep], "Bob", sales_data_1[Product_Category], K$10)</f>
        <v>213</v>
      </c>
      <c r="L19" s="5">
        <f>SUMIFS(sales_data_1[Quantity_Sold],sales_data_1[Year],2022, sales_data_1[month], $B19, sales_data_1[Sales_Rep], "Bob", sales_data_1[Product_Category], L$10)</f>
        <v>73</v>
      </c>
      <c r="M19" s="5">
        <f t="shared" si="6"/>
        <v>422</v>
      </c>
      <c r="N19" s="5"/>
      <c r="O19" s="5">
        <f>SUMIFS(sales_data_1[Quantity_Sold],sales_data_1[Year],2022, sales_data_1[month], $B19, sales_data_1[Sales_Rep], "Charlie", sales_data_1[Product_Category], O$10)</f>
        <v>116</v>
      </c>
      <c r="P19" s="5">
        <f>SUMIFS(sales_data_1[Quantity_Sold],sales_data_1[Year],2022, sales_data_1[month], $B19, sales_data_1[Sales_Rep], "Charlie", sales_data_1[Product_Category], P$10)</f>
        <v>13</v>
      </c>
      <c r="Q19" s="5">
        <f>SUMIFS(sales_data_1[Quantity_Sold],sales_data_1[Year],2022, sales_data_1[month], $B19, sales_data_1[Sales_Rep], "Charlie", sales_data_1[Product_Category], Q$10)</f>
        <v>14</v>
      </c>
      <c r="R19" s="5">
        <f>SUMIFS(sales_data_1[Quantity_Sold],sales_data_1[Year],2022, sales_data_1[month], $B19, sales_data_1[Sales_Rep], "Charlie", sales_data_1[Product_Category], R$10)</f>
        <v>16</v>
      </c>
      <c r="S19" s="5">
        <f t="shared" si="7"/>
        <v>159</v>
      </c>
      <c r="T19" s="5"/>
      <c r="U19" s="5">
        <f>SUMIFS(sales_data_1[Quantity_Sold],sales_data_1[Year],2022, sales_data_1[month], $B19, sales_data_1[Sales_Rep], "David", sales_data_1[Product_Category], U$10)</f>
        <v>97</v>
      </c>
      <c r="V19" s="5">
        <f>SUMIFS(sales_data_1[Quantity_Sold],sales_data_1[Year],2022, sales_data_1[month], $B19, sales_data_1[Sales_Rep], "David", sales_data_1[Product_Category], V$10)</f>
        <v>184</v>
      </c>
      <c r="W19" s="5">
        <f>SUMIFS(sales_data_1[Quantity_Sold],sales_data_1[Year],2022, sales_data_1[month], $B19, sales_data_1[Sales_Rep], "David", sales_data_1[Product_Category], W$10)</f>
        <v>97</v>
      </c>
      <c r="X19" s="5">
        <f>SUMIFS(sales_data_1[Quantity_Sold],sales_data_1[Year],2022, sales_data_1[month], $B19, sales_data_1[Sales_Rep], "David", sales_data_1[Product_Category], R$10)</f>
        <v>52</v>
      </c>
      <c r="Y19" s="5">
        <f t="shared" si="8"/>
        <v>430</v>
      </c>
      <c r="Z19" s="5"/>
      <c r="AA19" s="5">
        <f>SUMIFS(sales_data_1[Quantity_Sold],sales_data_1[Year],2022, sales_data_1[month], $B19, sales_data_1[Sales_Rep], "Eve", sales_data_1[Product_Category], U$10)</f>
        <v>35</v>
      </c>
      <c r="AB19" s="5">
        <f>SUMIFS(sales_data_1[Quantity_Sold],sales_data_1[Year],2022, sales_data_1[month], $B19, sales_data_1[Sales_Rep], "Eve", sales_data_1[Product_Category], V$10)</f>
        <v>98</v>
      </c>
      <c r="AC19" s="5">
        <f>SUMIFS(sales_data_1[Quantity_Sold],sales_data_1[Year],2022, sales_data_1[month], $B19, sales_data_1[Sales_Rep], "Eve", sales_data_1[Product_Category], W$10)</f>
        <v>38</v>
      </c>
      <c r="AD19" s="5">
        <f>SUMIFS(sales_data_1[Quantity_Sold],sales_data_1[Year],2022, sales_data_1[month], $B19, sales_data_1[Sales_Rep], "Eve", sales_data_1[Product_Category], R$10)</f>
        <v>286</v>
      </c>
      <c r="AE19" s="5">
        <f t="shared" si="9"/>
        <v>457</v>
      </c>
      <c r="AF19" s="23"/>
      <c r="AG19" s="5">
        <f t="shared" si="10"/>
        <v>2103</v>
      </c>
      <c r="AH19" s="5"/>
    </row>
    <row r="20" spans="1:34" x14ac:dyDescent="0.35">
      <c r="A20" s="4"/>
      <c r="B20" s="5" t="s">
        <v>54</v>
      </c>
      <c r="C20" s="5">
        <f>SUMIFS(sales_data_1[Quantity_Sold],sales_data_1[Year],2022, sales_data_1[month], $B20, sales_data_1[Sales_Rep], "Alice", sales_data_1[Product_Category], C$10)</f>
        <v>71</v>
      </c>
      <c r="D20" s="5">
        <f>SUMIFS(sales_data_1[Quantity_Sold],sales_data_1[Year],2022, sales_data_1[month], $B20, sales_data_1[Sales_Rep], "Alice", sales_data_1[Product_Category], D$10)</f>
        <v>182</v>
      </c>
      <c r="E20" s="5">
        <f>SUMIFS(sales_data_1[Quantity_Sold],sales_data_1[Year],2022, sales_data_1[month], $B20, sales_data_1[Sales_Rep], "Alice", sales_data_1[Product_Category], E$10)</f>
        <v>84</v>
      </c>
      <c r="F20" s="5">
        <f>SUMIFS(sales_data_1[Quantity_Sold],sales_data_1[Year],2022, sales_data_1[month], $B20, sales_data_1[Sales_Rep], "Alice", sales_data_1[Product_Category], F$10)</f>
        <v>53</v>
      </c>
      <c r="G20" s="5">
        <f t="shared" si="5"/>
        <v>390</v>
      </c>
      <c r="H20" s="5"/>
      <c r="I20" s="5">
        <f>SUMIFS(sales_data_1[Quantity_Sold],sales_data_1[Year],2022, sales_data_1[month], $B20, sales_data_1[Sales_Rep], "Bob", sales_data_1[Product_Category], I$10)</f>
        <v>87</v>
      </c>
      <c r="J20" s="5">
        <f>SUMIFS(sales_data_1[Quantity_Sold],sales_data_1[Year],2022, sales_data_1[month], $B20, sales_data_1[Sales_Rep], "Bob", sales_data_1[Product_Category], J$10)</f>
        <v>99</v>
      </c>
      <c r="K20" s="5">
        <f>SUMIFS(sales_data_1[Quantity_Sold],sales_data_1[Year],2022, sales_data_1[month], $B20, sales_data_1[Sales_Rep], "Bob", sales_data_1[Product_Category], K$10)</f>
        <v>239</v>
      </c>
      <c r="L20" s="5">
        <f>SUMIFS(sales_data_1[Quantity_Sold],sales_data_1[Year],2022, sales_data_1[month], $B20, sales_data_1[Sales_Rep], "Bob", sales_data_1[Product_Category], L$10)</f>
        <v>135</v>
      </c>
      <c r="M20" s="5">
        <f t="shared" si="6"/>
        <v>560</v>
      </c>
      <c r="N20" s="5"/>
      <c r="O20" s="5">
        <f>SUMIFS(sales_data_1[Quantity_Sold],sales_data_1[Year],2022, sales_data_1[month], $B20, sales_data_1[Sales_Rep], "Charlie", sales_data_1[Product_Category], O$10)</f>
        <v>165</v>
      </c>
      <c r="P20" s="5">
        <f>SUMIFS(sales_data_1[Quantity_Sold],sales_data_1[Year],2022, sales_data_1[month], $B20, sales_data_1[Sales_Rep], "Charlie", sales_data_1[Product_Category], P$10)</f>
        <v>109</v>
      </c>
      <c r="Q20" s="5">
        <f>SUMIFS(sales_data_1[Quantity_Sold],sales_data_1[Year],2022, sales_data_1[month], $B20, sales_data_1[Sales_Rep], "Charlie", sales_data_1[Product_Category], Q$10)</f>
        <v>158</v>
      </c>
      <c r="R20" s="5">
        <f>SUMIFS(sales_data_1[Quantity_Sold],sales_data_1[Year],2022, sales_data_1[month], $B20, sales_data_1[Sales_Rep], "Charlie", sales_data_1[Product_Category], R$10)</f>
        <v>141</v>
      </c>
      <c r="S20" s="5">
        <f t="shared" si="7"/>
        <v>573</v>
      </c>
      <c r="T20" s="5"/>
      <c r="U20" s="5">
        <f>SUMIFS(sales_data_1[Quantity_Sold],sales_data_1[Year],2022, sales_data_1[month], $B20, sales_data_1[Sales_Rep], "David", sales_data_1[Product_Category], U$10)</f>
        <v>90</v>
      </c>
      <c r="V20" s="5">
        <f>SUMIFS(sales_data_1[Quantity_Sold],sales_data_1[Year],2022, sales_data_1[month], $B20, sales_data_1[Sales_Rep], "David", sales_data_1[Product_Category], V$10)</f>
        <v>64</v>
      </c>
      <c r="W20" s="5">
        <f>SUMIFS(sales_data_1[Quantity_Sold],sales_data_1[Year],2022, sales_data_1[month], $B20, sales_data_1[Sales_Rep], "David", sales_data_1[Product_Category], W$10)</f>
        <v>31</v>
      </c>
      <c r="X20" s="5">
        <f>SUMIFS(sales_data_1[Quantity_Sold],sales_data_1[Year],2022, sales_data_1[month], $B20, sales_data_1[Sales_Rep], "David", sales_data_1[Product_Category], R$10)</f>
        <v>120</v>
      </c>
      <c r="Y20" s="5">
        <f t="shared" si="8"/>
        <v>305</v>
      </c>
      <c r="Z20" s="5"/>
      <c r="AA20" s="5">
        <f>SUMIFS(sales_data_1[Quantity_Sold],sales_data_1[Year],2022, sales_data_1[month], $B20, sales_data_1[Sales_Rep], "Eve", sales_data_1[Product_Category], U$10)</f>
        <v>120</v>
      </c>
      <c r="AB20" s="5">
        <f>SUMIFS(sales_data_1[Quantity_Sold],sales_data_1[Year],2022, sales_data_1[month], $B20, sales_data_1[Sales_Rep], "Eve", sales_data_1[Product_Category], V$10)</f>
        <v>139</v>
      </c>
      <c r="AC20" s="5">
        <f>SUMIFS(sales_data_1[Quantity_Sold],sales_data_1[Year],2022, sales_data_1[month], $B20, sales_data_1[Sales_Rep], "Eve", sales_data_1[Product_Category], W$10)</f>
        <v>145</v>
      </c>
      <c r="AD20" s="5">
        <f>SUMIFS(sales_data_1[Quantity_Sold],sales_data_1[Year],2022, sales_data_1[month], $B20, sales_data_1[Sales_Rep], "Eve", sales_data_1[Product_Category], R$10)</f>
        <v>202</v>
      </c>
      <c r="AE20" s="5">
        <f t="shared" si="9"/>
        <v>606</v>
      </c>
      <c r="AF20" s="23"/>
      <c r="AG20" s="5">
        <f t="shared" si="10"/>
        <v>2434</v>
      </c>
      <c r="AH20" s="5"/>
    </row>
    <row r="21" spans="1:34" x14ac:dyDescent="0.35">
      <c r="A21" s="4"/>
      <c r="B21" s="5" t="s">
        <v>55</v>
      </c>
      <c r="C21" s="5">
        <f>SUMIFS(sales_data_1[Quantity_Sold],sales_data_1[Year],2022, sales_data_1[month], $B21, sales_data_1[Sales_Rep], "Alice", sales_data_1[Product_Category], C$10)</f>
        <v>85</v>
      </c>
      <c r="D21" s="5">
        <f>SUMIFS(sales_data_1[Quantity_Sold],sales_data_1[Year],2022, sales_data_1[month], $B21, sales_data_1[Sales_Rep], "Alice", sales_data_1[Product_Category], D$10)</f>
        <v>186</v>
      </c>
      <c r="E21" s="5">
        <f>SUMIFS(sales_data_1[Quantity_Sold],sales_data_1[Year],2022, sales_data_1[month], $B21, sales_data_1[Sales_Rep], "Alice", sales_data_1[Product_Category], E$10)</f>
        <v>141</v>
      </c>
      <c r="F21" s="5">
        <f>SUMIFS(sales_data_1[Quantity_Sold],sales_data_1[Year],2022, sales_data_1[month], $B21, sales_data_1[Sales_Rep], "Alice", sales_data_1[Product_Category], F$10)</f>
        <v>97</v>
      </c>
      <c r="G21" s="5">
        <f t="shared" si="5"/>
        <v>509</v>
      </c>
      <c r="H21" s="5"/>
      <c r="I21" s="5">
        <f>SUMIFS(sales_data_1[Quantity_Sold],sales_data_1[Year],2022, sales_data_1[month], $B21, sales_data_1[Sales_Rep], "Bob", sales_data_1[Product_Category], I$10)</f>
        <v>104</v>
      </c>
      <c r="J21" s="5">
        <f>SUMIFS(sales_data_1[Quantity_Sold],sales_data_1[Year],2022, sales_data_1[month], $B21, sales_data_1[Sales_Rep], "Bob", sales_data_1[Product_Category], J$10)</f>
        <v>120</v>
      </c>
      <c r="K21" s="5">
        <f>SUMIFS(sales_data_1[Quantity_Sold],sales_data_1[Year],2022, sales_data_1[month], $B21, sales_data_1[Sales_Rep], "Bob", sales_data_1[Product_Category], K$10)</f>
        <v>154</v>
      </c>
      <c r="L21" s="5">
        <f>SUMIFS(sales_data_1[Quantity_Sold],sales_data_1[Year],2022, sales_data_1[month], $B21, sales_data_1[Sales_Rep], "Bob", sales_data_1[Product_Category], L$10)</f>
        <v>125</v>
      </c>
      <c r="M21" s="5">
        <f t="shared" si="6"/>
        <v>503</v>
      </c>
      <c r="N21" s="5"/>
      <c r="O21" s="5">
        <f>SUMIFS(sales_data_1[Quantity_Sold],sales_data_1[Year],2022, sales_data_1[month], $B21, sales_data_1[Sales_Rep], "Charlie", sales_data_1[Product_Category], O$10)</f>
        <v>202</v>
      </c>
      <c r="P21" s="5">
        <f>SUMIFS(sales_data_1[Quantity_Sold],sales_data_1[Year],2022, sales_data_1[month], $B21, sales_data_1[Sales_Rep], "Charlie", sales_data_1[Product_Category], P$10)</f>
        <v>95</v>
      </c>
      <c r="Q21" s="5">
        <f>SUMIFS(sales_data_1[Quantity_Sold],sales_data_1[Year],2022, sales_data_1[month], $B21, sales_data_1[Sales_Rep], "Charlie", sales_data_1[Product_Category], Q$10)</f>
        <v>104</v>
      </c>
      <c r="R21" s="5">
        <f>SUMIFS(sales_data_1[Quantity_Sold],sales_data_1[Year],2022, sales_data_1[month], $B21, sales_data_1[Sales_Rep], "Charlie", sales_data_1[Product_Category], R$10)</f>
        <v>75</v>
      </c>
      <c r="S21" s="5">
        <f t="shared" si="7"/>
        <v>476</v>
      </c>
      <c r="T21" s="5"/>
      <c r="U21" s="5">
        <f>SUMIFS(sales_data_1[Quantity_Sold],sales_data_1[Year],2022, sales_data_1[month], $B21, sales_data_1[Sales_Rep], "David", sales_data_1[Product_Category], U$10)</f>
        <v>180</v>
      </c>
      <c r="V21" s="5">
        <f>SUMIFS(sales_data_1[Quantity_Sold],sales_data_1[Year],2022, sales_data_1[month], $B21, sales_data_1[Sales_Rep], "David", sales_data_1[Product_Category], V$10)</f>
        <v>231</v>
      </c>
      <c r="W21" s="5">
        <f>SUMIFS(sales_data_1[Quantity_Sold],sales_data_1[Year],2022, sales_data_1[month], $B21, sales_data_1[Sales_Rep], "David", sales_data_1[Product_Category], W$10)</f>
        <v>77</v>
      </c>
      <c r="X21" s="5">
        <f>SUMIFS(sales_data_1[Quantity_Sold],sales_data_1[Year],2022, sales_data_1[month], $B21, sales_data_1[Sales_Rep], "David", sales_data_1[Product_Category], R$10)</f>
        <v>84</v>
      </c>
      <c r="Y21" s="5">
        <f t="shared" si="8"/>
        <v>572</v>
      </c>
      <c r="Z21" s="5"/>
      <c r="AA21" s="5">
        <f>SUMIFS(sales_data_1[Quantity_Sold],sales_data_1[Year],2022, sales_data_1[month], $B21, sales_data_1[Sales_Rep], "Eve", sales_data_1[Product_Category], U$10)</f>
        <v>15</v>
      </c>
      <c r="AB21" s="5">
        <f>SUMIFS(sales_data_1[Quantity_Sold],sales_data_1[Year],2022, sales_data_1[month], $B21, sales_data_1[Sales_Rep], "Eve", sales_data_1[Product_Category], V$10)</f>
        <v>211</v>
      </c>
      <c r="AC21" s="5">
        <f>SUMIFS(sales_data_1[Quantity_Sold],sales_data_1[Year],2022, sales_data_1[month], $B21, sales_data_1[Sales_Rep], "Eve", sales_data_1[Product_Category], W$10)</f>
        <v>142</v>
      </c>
      <c r="AD21" s="5">
        <f>SUMIFS(sales_data_1[Quantity_Sold],sales_data_1[Year],2022, sales_data_1[month], $B21, sales_data_1[Sales_Rep], "Eve", sales_data_1[Product_Category], R$10)</f>
        <v>39</v>
      </c>
      <c r="AE21" s="5">
        <f t="shared" si="9"/>
        <v>407</v>
      </c>
      <c r="AF21" s="23"/>
      <c r="AG21" s="5">
        <f t="shared" si="10"/>
        <v>2467</v>
      </c>
      <c r="AH21" s="5"/>
    </row>
    <row r="22" spans="1:34" x14ac:dyDescent="0.35">
      <c r="A22" s="4"/>
      <c r="B22" s="5" t="s">
        <v>56</v>
      </c>
      <c r="C22" s="5">
        <f>SUMIFS(sales_data_1[Quantity_Sold],sales_data_1[Year],2022, sales_data_1[month], $B22, sales_data_1[Sales_Rep], "Alice", sales_data_1[Product_Category], C$10)</f>
        <v>140</v>
      </c>
      <c r="D22" s="5">
        <f>SUMIFS(sales_data_1[Quantity_Sold],sales_data_1[Year],2022, sales_data_1[month], $B22, sales_data_1[Sales_Rep], "Alice", sales_data_1[Product_Category], D$10)</f>
        <v>206</v>
      </c>
      <c r="E22" s="5">
        <f>SUMIFS(sales_data_1[Quantity_Sold],sales_data_1[Year],2022, sales_data_1[month], $B22, sales_data_1[Sales_Rep], "Alice", sales_data_1[Product_Category], E$10)</f>
        <v>133</v>
      </c>
      <c r="F22" s="5">
        <f>SUMIFS(sales_data_1[Quantity_Sold],sales_data_1[Year],2022, sales_data_1[month], $B22, sales_data_1[Sales_Rep], "Alice", sales_data_1[Product_Category], F$10)</f>
        <v>84</v>
      </c>
      <c r="G22" s="5">
        <f t="shared" si="5"/>
        <v>563</v>
      </c>
      <c r="H22" s="19">
        <f>AVERAGE(G11:G22)</f>
        <v>529.91666666666663</v>
      </c>
      <c r="I22" s="5">
        <f>SUMIFS(sales_data_1[Quantity_Sold],sales_data_1[Year],2022, sales_data_1[month], $B22, sales_data_1[Sales_Rep], "Bob", sales_data_1[Product_Category], I$10)</f>
        <v>171</v>
      </c>
      <c r="J22" s="5">
        <f>SUMIFS(sales_data_1[Quantity_Sold],sales_data_1[Year],2022, sales_data_1[month], $B22, sales_data_1[Sales_Rep], "Bob", sales_data_1[Product_Category], J$10)</f>
        <v>105</v>
      </c>
      <c r="K22" s="5">
        <f>SUMIFS(sales_data_1[Quantity_Sold],sales_data_1[Year],2022, sales_data_1[month], $B22, sales_data_1[Sales_Rep], "Bob", sales_data_1[Product_Category], K$10)</f>
        <v>133</v>
      </c>
      <c r="L22" s="5">
        <f>SUMIFS(sales_data_1[Quantity_Sold],sales_data_1[Year],2022, sales_data_1[month], $B22, sales_data_1[Sales_Rep], "Bob", sales_data_1[Product_Category], L$10)</f>
        <v>37</v>
      </c>
      <c r="M22" s="5">
        <f t="shared" si="6"/>
        <v>446</v>
      </c>
      <c r="N22" s="19">
        <f>AVERAGE(M11:M22)</f>
        <v>426.75</v>
      </c>
      <c r="O22" s="5">
        <f>SUMIFS(sales_data_1[Quantity_Sold],sales_data_1[Year],2022, sales_data_1[month], $B22, sales_data_1[Sales_Rep], "Charlie", sales_data_1[Product_Category], O$10)</f>
        <v>61</v>
      </c>
      <c r="P22" s="5">
        <f>SUMIFS(sales_data_1[Quantity_Sold],sales_data_1[Year],2022, sales_data_1[month], $B22, sales_data_1[Sales_Rep], "Charlie", sales_data_1[Product_Category], P$10)</f>
        <v>173</v>
      </c>
      <c r="Q22" s="5">
        <f>SUMIFS(sales_data_1[Quantity_Sold],sales_data_1[Year],2022, sales_data_1[month], $B22, sales_data_1[Sales_Rep], "Charlie", sales_data_1[Product_Category], Q$10)</f>
        <v>91</v>
      </c>
      <c r="R22" s="5">
        <f>SUMIFS(sales_data_1[Quantity_Sold],sales_data_1[Year],2022, sales_data_1[month], $B22, sales_data_1[Sales_Rep], "Charlie", sales_data_1[Product_Category], R$10)</f>
        <v>88</v>
      </c>
      <c r="S22" s="5">
        <f t="shared" si="7"/>
        <v>413</v>
      </c>
      <c r="T22" s="19">
        <f>AVERAGE(S11:S22)</f>
        <v>477.91666666666669</v>
      </c>
      <c r="U22" s="5">
        <f>SUMIFS(sales_data_1[Quantity_Sold],sales_data_1[Year],2022, sales_data_1[month], $B22, sales_data_1[Sales_Rep], "David", sales_data_1[Product_Category], U$10)</f>
        <v>12</v>
      </c>
      <c r="V22" s="5">
        <f>SUMIFS(sales_data_1[Quantity_Sold],sales_data_1[Year],2022, sales_data_1[month], $B22, sales_data_1[Sales_Rep], "David", sales_data_1[Product_Category], V$10)</f>
        <v>58</v>
      </c>
      <c r="W22" s="5">
        <f>SUMIFS(sales_data_1[Quantity_Sold],sales_data_1[Year],2022, sales_data_1[month], $B22, sales_data_1[Sales_Rep], "David", sales_data_1[Product_Category], W$10)</f>
        <v>144</v>
      </c>
      <c r="X22" s="5">
        <f>SUMIFS(sales_data_1[Quantity_Sold],sales_data_1[Year],2022, sales_data_1[month], $B22, sales_data_1[Sales_Rep], "David", sales_data_1[Product_Category], R$10)</f>
        <v>60</v>
      </c>
      <c r="Y22" s="5">
        <f t="shared" si="8"/>
        <v>274</v>
      </c>
      <c r="Z22" s="19">
        <f>AVERAGE(Y11:Y22)</f>
        <v>442.75</v>
      </c>
      <c r="AA22" s="5">
        <f>SUMIFS(sales_data_1[Quantity_Sold],sales_data_1[Year],2022, sales_data_1[month], $B22, sales_data_1[Sales_Rep], "Eve", sales_data_1[Product_Category], U$10)</f>
        <v>129</v>
      </c>
      <c r="AB22" s="5">
        <f>SUMIFS(sales_data_1[Quantity_Sold],sales_data_1[Year],2022, sales_data_1[month], $B22, sales_data_1[Sales_Rep], "Eve", sales_data_1[Product_Category], V$10)</f>
        <v>6</v>
      </c>
      <c r="AC22" s="5">
        <f>SUMIFS(sales_data_1[Quantity_Sold],sales_data_1[Year],2022, sales_data_1[month], $B22, sales_data_1[Sales_Rep], "Eve", sales_data_1[Product_Category], W$10)</f>
        <v>266</v>
      </c>
      <c r="AD22" s="5">
        <f>SUMIFS(sales_data_1[Quantity_Sold],sales_data_1[Year],2022, sales_data_1[month], $B22, sales_data_1[Sales_Rep], "Eve", sales_data_1[Product_Category], R$10)</f>
        <v>89</v>
      </c>
      <c r="AE22" s="5">
        <f t="shared" si="9"/>
        <v>490</v>
      </c>
      <c r="AF22" s="79">
        <f>AVERAGE(AE11:AE22)</f>
        <v>478.41666666666669</v>
      </c>
      <c r="AG22" s="5">
        <f t="shared" si="10"/>
        <v>2186</v>
      </c>
      <c r="AH22" s="5">
        <f>AVERAGE(AG11:AG22)</f>
        <v>2355.75</v>
      </c>
    </row>
    <row r="23" spans="1:34" x14ac:dyDescent="0.35">
      <c r="A23" s="17" t="s">
        <v>59</v>
      </c>
      <c r="B23" s="5" t="s">
        <v>45</v>
      </c>
      <c r="C23" s="5">
        <f>SUMIFS(sales_data_1[Quantity_Sold],sales_data_1[Year],2023, sales_data_1[month], $B23, sales_data_1[Sales_Rep], "Alice", sales_data_1[Product_Category], C$10)</f>
        <v>102</v>
      </c>
      <c r="D23" s="5">
        <f>SUMIFS(sales_data_1[Quantity_Sold],sales_data_1[Year],2023, sales_data_1[month], $B23, sales_data_1[Sales_Rep], "Alice", sales_data_1[Product_Category], D$10)</f>
        <v>64</v>
      </c>
      <c r="E23" s="5">
        <f>SUMIFS(sales_data_1[Quantity_Sold],sales_data_1[Year],2023, sales_data_1[month], $B23, sales_data_1[Sales_Rep], "Alice", sales_data_1[Product_Category], E$10)</f>
        <v>28</v>
      </c>
      <c r="F23" s="5">
        <f>SUMIFS(sales_data_1[Quantity_Sold],sales_data_1[Year],2023, sales_data_1[month], $B23, sales_data_1[Sales_Rep], "Alice", sales_data_1[Product_Category], F$10)</f>
        <v>80</v>
      </c>
      <c r="G23" s="5">
        <f t="shared" si="5"/>
        <v>274</v>
      </c>
      <c r="H23" s="19">
        <f t="shared" ref="H23:H46" si="11">AVERAGE(G12:G23)</f>
        <v>512.5</v>
      </c>
      <c r="I23" s="5">
        <f>SUMIFS(sales_data_1[Quantity_Sold],sales_data_1[Year],2023, sales_data_1[month], $B23, sales_data_1[Sales_Rep], "Bob", sales_data_1[Product_Category], I$10)</f>
        <v>166</v>
      </c>
      <c r="J23" s="5">
        <f>SUMIFS(sales_data_1[Quantity_Sold],sales_data_1[Year],2023, sales_data_1[month], $B23, sales_data_1[Sales_Rep], "Bob", sales_data_1[Product_Category], J$10)</f>
        <v>37</v>
      </c>
      <c r="K23" s="5">
        <f>SUMIFS(sales_data_1[Quantity_Sold],sales_data_1[Year],2023, sales_data_1[month], $B23, sales_data_1[Sales_Rep], "Bob", sales_data_1[Product_Category], K$10)</f>
        <v>160</v>
      </c>
      <c r="L23" s="5">
        <f>SUMIFS(sales_data_1[Quantity_Sold],sales_data_1[Year],2023, sales_data_1[month], $B23, sales_data_1[Sales_Rep], "Bob", sales_data_1[Product_Category], L$10)</f>
        <v>225</v>
      </c>
      <c r="M23" s="5">
        <f t="shared" si="6"/>
        <v>588</v>
      </c>
      <c r="N23" s="19">
        <f t="shared" ref="N23:N46" si="12">AVERAGE(M12:M23)</f>
        <v>455.66666666666669</v>
      </c>
      <c r="O23" s="5">
        <f>SUMIFS(sales_data_1[Quantity_Sold],sales_data_1[Year],2023, sales_data_1[month], $B23, sales_data_1[Sales_Rep], "Charlie", sales_data_1[Product_Category], O$10)</f>
        <v>183</v>
      </c>
      <c r="P23" s="5">
        <f>SUMIFS(sales_data_1[Quantity_Sold],sales_data_1[Year],2023, sales_data_1[month], $B23, sales_data_1[Sales_Rep], "Charlie", sales_data_1[Product_Category], P$10)</f>
        <v>216</v>
      </c>
      <c r="Q23" s="5">
        <f>SUMIFS(sales_data_1[Quantity_Sold],sales_data_1[Year],2023, sales_data_1[month], $B23, sales_data_1[Sales_Rep], "Charlie", sales_data_1[Product_Category], Q$10)</f>
        <v>107</v>
      </c>
      <c r="R23" s="5">
        <f>SUMIFS(sales_data_1[Quantity_Sold],sales_data_1[Year],2023, sales_data_1[month], $B23, sales_data_1[Sales_Rep], "Charlie", sales_data_1[Product_Category], R$10)</f>
        <v>102</v>
      </c>
      <c r="S23" s="5">
        <f t="shared" si="7"/>
        <v>608</v>
      </c>
      <c r="T23" s="19">
        <f t="shared" ref="T23:T46" si="13">AVERAGE(S12:S23)</f>
        <v>473.41666666666669</v>
      </c>
      <c r="U23" s="5">
        <f>SUMIFS(sales_data_1[Quantity_Sold],sales_data_1[Year],2023, sales_data_1[month], $B23, sales_data_1[Sales_Rep], "David", sales_data_1[Product_Category], U$10)</f>
        <v>70</v>
      </c>
      <c r="V23" s="5">
        <f>SUMIFS(sales_data_1[Quantity_Sold],sales_data_1[Year],2023, sales_data_1[month], $B23, sales_data_1[Sales_Rep], "David", sales_data_1[Product_Category], V$10)</f>
        <v>36</v>
      </c>
      <c r="W23" s="5">
        <f>SUMIFS(sales_data_1[Quantity_Sold],sales_data_1[Year],2023, sales_data_1[month], $B23, sales_data_1[Sales_Rep], "David", sales_data_1[Product_Category], W$10)</f>
        <v>66</v>
      </c>
      <c r="X23" s="5">
        <f>SUMIFS(sales_data_1[Quantity_Sold],sales_data_1[Year],2023, sales_data_1[month], $B23, sales_data_1[Sales_Rep], "David", sales_data_1[Product_Category], R$10)</f>
        <v>197</v>
      </c>
      <c r="Y23" s="5">
        <f t="shared" si="8"/>
        <v>369</v>
      </c>
      <c r="Z23" s="19">
        <f t="shared" ref="Z23:Z46" si="14">AVERAGE(Y12:Y23)</f>
        <v>432.33333333333331</v>
      </c>
      <c r="AA23" s="5">
        <f>SUMIFS(sales_data_1[Quantity_Sold],sales_data_1[Year],2023, sales_data_1[month], $B23, sales_data_1[Sales_Rep], "Eve", sales_data_1[Product_Category], U$10)</f>
        <v>138</v>
      </c>
      <c r="AB23" s="5">
        <f>SUMIFS(sales_data_1[Quantity_Sold],sales_data_1[Year],2023, sales_data_1[month], $B23, sales_data_1[Sales_Rep], "Eve", sales_data_1[Product_Category], V$10)</f>
        <v>165</v>
      </c>
      <c r="AC23" s="5">
        <f>SUMIFS(sales_data_1[Quantity_Sold],sales_data_1[Year],2023, sales_data_1[month], $B23, sales_data_1[Sales_Rep], "Eve", sales_data_1[Product_Category], W$10)</f>
        <v>174</v>
      </c>
      <c r="AD23" s="5">
        <f>SUMIFS(sales_data_1[Quantity_Sold],sales_data_1[Year],2023, sales_data_1[month], $B23, sales_data_1[Sales_Rep], "Eve", sales_data_1[Product_Category], R$10)</f>
        <v>156</v>
      </c>
      <c r="AE23" s="5">
        <f t="shared" si="9"/>
        <v>633</v>
      </c>
      <c r="AF23" s="79">
        <f t="shared" ref="AF23:AF46" si="15">AVERAGE(AE12:AE23)</f>
        <v>503.58333333333331</v>
      </c>
      <c r="AG23" s="5">
        <f t="shared" si="10"/>
        <v>2472</v>
      </c>
      <c r="AH23" s="5">
        <f t="shared" ref="AH23:AH46" si="16">AVERAGE(AG12:AG23)</f>
        <v>2377.5</v>
      </c>
    </row>
    <row r="24" spans="1:34" x14ac:dyDescent="0.35">
      <c r="A24" s="5"/>
      <c r="B24" s="5" t="s">
        <v>46</v>
      </c>
      <c r="C24" s="5">
        <f>SUMIFS(sales_data_1[Quantity_Sold],sales_data_1[Year],2023, sales_data_1[month], $B24, sales_data_1[Sales_Rep], "Alice", sales_data_1[Product_Category], C$10)</f>
        <v>138</v>
      </c>
      <c r="D24" s="5">
        <f>SUMIFS(sales_data_1[Quantity_Sold],sales_data_1[Year],2023, sales_data_1[month], $B24, sales_data_1[Sales_Rep], "Alice", sales_data_1[Product_Category], D$10)</f>
        <v>173</v>
      </c>
      <c r="E24" s="5">
        <f>SUMIFS(sales_data_1[Quantity_Sold],sales_data_1[Year],2023, sales_data_1[month], $B24, sales_data_1[Sales_Rep], "Alice", sales_data_1[Product_Category], E$10)</f>
        <v>43</v>
      </c>
      <c r="F24" s="5">
        <f>SUMIFS(sales_data_1[Quantity_Sold],sales_data_1[Year],2023, sales_data_1[month], $B24, sales_data_1[Sales_Rep], "Alice", sales_data_1[Product_Category], F$10)</f>
        <v>111</v>
      </c>
      <c r="G24" s="5">
        <f t="shared" ref="G24:G35" si="17">SUM(C24:F24)</f>
        <v>465</v>
      </c>
      <c r="H24" s="19">
        <f t="shared" si="11"/>
        <v>510.08333333333331</v>
      </c>
      <c r="I24" s="5">
        <f>SUMIFS(sales_data_1[Quantity_Sold],sales_data_1[Year],2023, sales_data_1[month], $B24, sales_data_1[Sales_Rep], "Bob", sales_data_1[Product_Category], I$10)</f>
        <v>64</v>
      </c>
      <c r="J24" s="5">
        <f>SUMIFS(sales_data_1[Quantity_Sold],sales_data_1[Year],2023, sales_data_1[month], $B24, sales_data_1[Sales_Rep], "Bob", sales_data_1[Product_Category], J$10)</f>
        <v>77</v>
      </c>
      <c r="K24" s="5">
        <f>SUMIFS(sales_data_1[Quantity_Sold],sales_data_1[Year],2023, sales_data_1[month], $B24, sales_data_1[Sales_Rep], "Bob", sales_data_1[Product_Category], K$10)</f>
        <v>76</v>
      </c>
      <c r="L24" s="5">
        <f>SUMIFS(sales_data_1[Quantity_Sold],sales_data_1[Year],2023, sales_data_1[month], $B24, sales_data_1[Sales_Rep], "Bob", sales_data_1[Product_Category], L$10)</f>
        <v>115</v>
      </c>
      <c r="M24" s="5">
        <f t="shared" ref="M24:M35" si="18">SUM(I24:L24)</f>
        <v>332</v>
      </c>
      <c r="N24" s="19">
        <f t="shared" si="12"/>
        <v>453.66666666666669</v>
      </c>
      <c r="O24" s="5">
        <f>SUMIFS(sales_data_1[Quantity_Sold],sales_data_1[Year],2023, sales_data_1[month], $B24, sales_data_1[Sales_Rep], "Charlie", sales_data_1[Product_Category], O$10)</f>
        <v>71</v>
      </c>
      <c r="P24" s="5">
        <f>SUMIFS(sales_data_1[Quantity_Sold],sales_data_1[Year],2023, sales_data_1[month], $B24, sales_data_1[Sales_Rep], "Charlie", sales_data_1[Product_Category], P$10)</f>
        <v>87</v>
      </c>
      <c r="Q24" s="5">
        <f>SUMIFS(sales_data_1[Quantity_Sold],sales_data_1[Year],2023, sales_data_1[month], $B24, sales_data_1[Sales_Rep], "Charlie", sales_data_1[Product_Category], Q$10)</f>
        <v>112</v>
      </c>
      <c r="R24" s="5">
        <f>SUMIFS(sales_data_1[Quantity_Sold],sales_data_1[Year],2023, sales_data_1[month], $B24, sales_data_1[Sales_Rep], "Charlie", sales_data_1[Product_Category], R$10)</f>
        <v>117</v>
      </c>
      <c r="S24" s="5">
        <f t="shared" ref="S24:S35" si="19">SUM(O24:R24)</f>
        <v>387</v>
      </c>
      <c r="T24" s="19">
        <f t="shared" si="13"/>
        <v>450.16666666666669</v>
      </c>
      <c r="U24" s="5">
        <f>SUMIFS(sales_data_1[Quantity_Sold],sales_data_1[Year],2023, sales_data_1[month], $B24, sales_data_1[Sales_Rep], "David", sales_data_1[Product_Category], U$10)</f>
        <v>155</v>
      </c>
      <c r="V24" s="5">
        <f>SUMIFS(sales_data_1[Quantity_Sold],sales_data_1[Year],2023, sales_data_1[month], $B24, sales_data_1[Sales_Rep], "David", sales_data_1[Product_Category], V$10)</f>
        <v>54</v>
      </c>
      <c r="W24" s="5">
        <f>SUMIFS(sales_data_1[Quantity_Sold],sales_data_1[Year],2023, sales_data_1[month], $B24, sales_data_1[Sales_Rep], "David", sales_data_1[Product_Category], W$10)</f>
        <v>154</v>
      </c>
      <c r="X24" s="5">
        <f>SUMIFS(sales_data_1[Quantity_Sold],sales_data_1[Year],2023, sales_data_1[month], $B24, sales_data_1[Sales_Rep], "David", sales_data_1[Product_Category], R$10)</f>
        <v>171</v>
      </c>
      <c r="Y24" s="5">
        <f t="shared" ref="Y24:Y35" si="20">SUM(U24:X24)</f>
        <v>534</v>
      </c>
      <c r="Z24" s="19">
        <f t="shared" si="14"/>
        <v>426.08333333333331</v>
      </c>
      <c r="AA24" s="5">
        <f>SUMIFS(sales_data_1[Quantity_Sold],sales_data_1[Year],2023, sales_data_1[month], $B24, sales_data_1[Sales_Rep], "Eve", sales_data_1[Product_Category], U$10)</f>
        <v>29</v>
      </c>
      <c r="AB24" s="5">
        <f>SUMIFS(sales_data_1[Quantity_Sold],sales_data_1[Year],2023, sales_data_1[month], $B24, sales_data_1[Sales_Rep], "Eve", sales_data_1[Product_Category], V$10)</f>
        <v>124</v>
      </c>
      <c r="AC24" s="5">
        <f>SUMIFS(sales_data_1[Quantity_Sold],sales_data_1[Year],2023, sales_data_1[month], $B24, sales_data_1[Sales_Rep], "Eve", sales_data_1[Product_Category], W$10)</f>
        <v>76</v>
      </c>
      <c r="AD24" s="5">
        <f>SUMIFS(sales_data_1[Quantity_Sold],sales_data_1[Year],2023, sales_data_1[month], $B24, sales_data_1[Sales_Rep], "Eve", sales_data_1[Product_Category], R$10)</f>
        <v>117</v>
      </c>
      <c r="AE24" s="5">
        <f t="shared" ref="AE24:AE35" si="21">SUM(AA24:AD24)</f>
        <v>346</v>
      </c>
      <c r="AF24" s="79">
        <f t="shared" si="15"/>
        <v>492.58333333333331</v>
      </c>
      <c r="AG24" s="5">
        <f t="shared" si="10"/>
        <v>2064</v>
      </c>
      <c r="AH24" s="5">
        <f t="shared" si="16"/>
        <v>2332.5833333333335</v>
      </c>
    </row>
    <row r="25" spans="1:34" x14ac:dyDescent="0.35">
      <c r="A25" s="5"/>
      <c r="B25" s="5" t="s">
        <v>47</v>
      </c>
      <c r="C25" s="5">
        <f>SUMIFS(sales_data_1[Quantity_Sold],sales_data_1[Year],2023, sales_data_1[month], $B25, sales_data_1[Sales_Rep], "Alice", sales_data_1[Product_Category], C$10)</f>
        <v>94</v>
      </c>
      <c r="D25" s="5">
        <f>SUMIFS(sales_data_1[Quantity_Sold],sales_data_1[Year],2023, sales_data_1[month], $B25, sales_data_1[Sales_Rep], "Alice", sales_data_1[Product_Category], D$10)</f>
        <v>146</v>
      </c>
      <c r="E25" s="5">
        <f>SUMIFS(sales_data_1[Quantity_Sold],sales_data_1[Year],2023, sales_data_1[month], $B25, sales_data_1[Sales_Rep], "Alice", sales_data_1[Product_Category], E$10)</f>
        <v>135</v>
      </c>
      <c r="F25" s="5">
        <f>SUMIFS(sales_data_1[Quantity_Sold],sales_data_1[Year],2023, sales_data_1[month], $B25, sales_data_1[Sales_Rep], "Alice", sales_data_1[Product_Category], F$10)</f>
        <v>49</v>
      </c>
      <c r="G25" s="5">
        <f t="shared" si="17"/>
        <v>424</v>
      </c>
      <c r="H25" s="19">
        <f t="shared" si="11"/>
        <v>497.16666666666669</v>
      </c>
      <c r="I25" s="5">
        <f>SUMIFS(sales_data_1[Quantity_Sold],sales_data_1[Year],2023, sales_data_1[month], $B25, sales_data_1[Sales_Rep], "Bob", sales_data_1[Product_Category], I$10)</f>
        <v>92</v>
      </c>
      <c r="J25" s="5">
        <f>SUMIFS(sales_data_1[Quantity_Sold],sales_data_1[Year],2023, sales_data_1[month], $B25, sales_data_1[Sales_Rep], "Bob", sales_data_1[Product_Category], J$10)</f>
        <v>129</v>
      </c>
      <c r="K25" s="5">
        <f>SUMIFS(sales_data_1[Quantity_Sold],sales_data_1[Year],2023, sales_data_1[month], $B25, sales_data_1[Sales_Rep], "Bob", sales_data_1[Product_Category], K$10)</f>
        <v>67</v>
      </c>
      <c r="L25" s="5">
        <f>SUMIFS(sales_data_1[Quantity_Sold],sales_data_1[Year],2023, sales_data_1[month], $B25, sales_data_1[Sales_Rep], "Bob", sales_data_1[Product_Category], L$10)</f>
        <v>76</v>
      </c>
      <c r="M25" s="5">
        <f t="shared" si="18"/>
        <v>364</v>
      </c>
      <c r="N25" s="19">
        <f t="shared" si="12"/>
        <v>458.83333333333331</v>
      </c>
      <c r="O25" s="5">
        <f>SUMIFS(sales_data_1[Quantity_Sold],sales_data_1[Year],2023, sales_data_1[month], $B25, sales_data_1[Sales_Rep], "Charlie", sales_data_1[Product_Category], O$10)</f>
        <v>42</v>
      </c>
      <c r="P25" s="5">
        <f>SUMIFS(sales_data_1[Quantity_Sold],sales_data_1[Year],2023, sales_data_1[month], $B25, sales_data_1[Sales_Rep], "Charlie", sales_data_1[Product_Category], P$10)</f>
        <v>57</v>
      </c>
      <c r="Q25" s="5">
        <f>SUMIFS(sales_data_1[Quantity_Sold],sales_data_1[Year],2023, sales_data_1[month], $B25, sales_data_1[Sales_Rep], "Charlie", sales_data_1[Product_Category], Q$10)</f>
        <v>110</v>
      </c>
      <c r="R25" s="5">
        <f>SUMIFS(sales_data_1[Quantity_Sold],sales_data_1[Year],2023, sales_data_1[month], $B25, sales_data_1[Sales_Rep], "Charlie", sales_data_1[Product_Category], R$10)</f>
        <v>4</v>
      </c>
      <c r="S25" s="5">
        <f t="shared" si="19"/>
        <v>213</v>
      </c>
      <c r="T25" s="19">
        <f t="shared" si="13"/>
        <v>427</v>
      </c>
      <c r="U25" s="5">
        <f>SUMIFS(sales_data_1[Quantity_Sold],sales_data_1[Year],2023, sales_data_1[month], $B25, sales_data_1[Sales_Rep], "David", sales_data_1[Product_Category], U$10)</f>
        <v>166</v>
      </c>
      <c r="V25" s="5">
        <f>SUMIFS(sales_data_1[Quantity_Sold],sales_data_1[Year],2023, sales_data_1[month], $B25, sales_data_1[Sales_Rep], "David", sales_data_1[Product_Category], V$10)</f>
        <v>58</v>
      </c>
      <c r="W25" s="5">
        <f>SUMIFS(sales_data_1[Quantity_Sold],sales_data_1[Year],2023, sales_data_1[month], $B25, sales_data_1[Sales_Rep], "David", sales_data_1[Product_Category], W$10)</f>
        <v>101</v>
      </c>
      <c r="X25" s="5">
        <f>SUMIFS(sales_data_1[Quantity_Sold],sales_data_1[Year],2023, sales_data_1[month], $B25, sales_data_1[Sales_Rep], "David", sales_data_1[Product_Category], R$10)</f>
        <v>131</v>
      </c>
      <c r="Y25" s="5">
        <f t="shared" si="20"/>
        <v>456</v>
      </c>
      <c r="Z25" s="19">
        <f t="shared" si="14"/>
        <v>443.5</v>
      </c>
      <c r="AA25" s="5">
        <f>SUMIFS(sales_data_1[Quantity_Sold],sales_data_1[Year],2023, sales_data_1[month], $B25, sales_data_1[Sales_Rep], "Eve", sales_data_1[Product_Category], U$10)</f>
        <v>116</v>
      </c>
      <c r="AB25" s="5">
        <f>SUMIFS(sales_data_1[Quantity_Sold],sales_data_1[Year],2023, sales_data_1[month], $B25, sales_data_1[Sales_Rep], "Eve", sales_data_1[Product_Category], V$10)</f>
        <v>123</v>
      </c>
      <c r="AC25" s="5">
        <f>SUMIFS(sales_data_1[Quantity_Sold],sales_data_1[Year],2023, sales_data_1[month], $B25, sales_data_1[Sales_Rep], "Eve", sales_data_1[Product_Category], W$10)</f>
        <v>158</v>
      </c>
      <c r="AD25" s="5">
        <f>SUMIFS(sales_data_1[Quantity_Sold],sales_data_1[Year],2023, sales_data_1[month], $B25, sales_data_1[Sales_Rep], "Eve", sales_data_1[Product_Category], R$10)</f>
        <v>215</v>
      </c>
      <c r="AE25" s="5">
        <f t="shared" si="21"/>
        <v>612</v>
      </c>
      <c r="AF25" s="79">
        <f t="shared" si="15"/>
        <v>502.41666666666669</v>
      </c>
      <c r="AG25" s="5">
        <f t="shared" si="10"/>
        <v>2069</v>
      </c>
      <c r="AH25" s="5">
        <f t="shared" si="16"/>
        <v>2328.9166666666665</v>
      </c>
    </row>
    <row r="26" spans="1:34" x14ac:dyDescent="0.35">
      <c r="A26" s="5"/>
      <c r="B26" s="5" t="s">
        <v>48</v>
      </c>
      <c r="C26" s="5">
        <f>SUMIFS(sales_data_1[Quantity_Sold],sales_data_1[Year],2023, sales_data_1[month], $B26, sales_data_1[Sales_Rep], "Alice", sales_data_1[Product_Category], C$10)</f>
        <v>91</v>
      </c>
      <c r="D26" s="5">
        <f>SUMIFS(sales_data_1[Quantity_Sold],sales_data_1[Year],2023, sales_data_1[month], $B26, sales_data_1[Sales_Rep], "Alice", sales_data_1[Product_Category], D$10)</f>
        <v>50</v>
      </c>
      <c r="E26" s="5">
        <f>SUMIFS(sales_data_1[Quantity_Sold],sales_data_1[Year],2023, sales_data_1[month], $B26, sales_data_1[Sales_Rep], "Alice", sales_data_1[Product_Category], E$10)</f>
        <v>153</v>
      </c>
      <c r="F26" s="5">
        <f>SUMIFS(sales_data_1[Quantity_Sold],sales_data_1[Year],2023, sales_data_1[month], $B26, sales_data_1[Sales_Rep], "Alice", sales_data_1[Product_Category], F$10)</f>
        <v>96</v>
      </c>
      <c r="G26" s="5">
        <f t="shared" si="17"/>
        <v>390</v>
      </c>
      <c r="H26" s="19">
        <f t="shared" si="11"/>
        <v>491.16666666666669</v>
      </c>
      <c r="I26" s="5">
        <f>SUMIFS(sales_data_1[Quantity_Sold],sales_data_1[Year],2023, sales_data_1[month], $B26, sales_data_1[Sales_Rep], "Bob", sales_data_1[Product_Category], I$10)</f>
        <v>23</v>
      </c>
      <c r="J26" s="5">
        <f>SUMIFS(sales_data_1[Quantity_Sold],sales_data_1[Year],2023, sales_data_1[month], $B26, sales_data_1[Sales_Rep], "Bob", sales_data_1[Product_Category], J$10)</f>
        <v>26</v>
      </c>
      <c r="K26" s="5">
        <f>SUMIFS(sales_data_1[Quantity_Sold],sales_data_1[Year],2023, sales_data_1[month], $B26, sales_data_1[Sales_Rep], "Bob", sales_data_1[Product_Category], K$10)</f>
        <v>112</v>
      </c>
      <c r="L26" s="5">
        <f>SUMIFS(sales_data_1[Quantity_Sold],sales_data_1[Year],2023, sales_data_1[month], $B26, sales_data_1[Sales_Rep], "Bob", sales_data_1[Product_Category], L$10)</f>
        <v>51</v>
      </c>
      <c r="M26" s="5">
        <f t="shared" si="18"/>
        <v>212</v>
      </c>
      <c r="N26" s="19">
        <f t="shared" si="12"/>
        <v>439.25</v>
      </c>
      <c r="O26" s="5">
        <f>SUMIFS(sales_data_1[Quantity_Sold],sales_data_1[Year],2023, sales_data_1[month], $B26, sales_data_1[Sales_Rep], "Charlie", sales_data_1[Product_Category], O$10)</f>
        <v>174</v>
      </c>
      <c r="P26" s="5">
        <f>SUMIFS(sales_data_1[Quantity_Sold],sales_data_1[Year],2023, sales_data_1[month], $B26, sales_data_1[Sales_Rep], "Charlie", sales_data_1[Product_Category], P$10)</f>
        <v>173</v>
      </c>
      <c r="Q26" s="5">
        <f>SUMIFS(sales_data_1[Quantity_Sold],sales_data_1[Year],2023, sales_data_1[month], $B26, sales_data_1[Sales_Rep], "Charlie", sales_data_1[Product_Category], Q$10)</f>
        <v>47</v>
      </c>
      <c r="R26" s="5">
        <f>SUMIFS(sales_data_1[Quantity_Sold],sales_data_1[Year],2023, sales_data_1[month], $B26, sales_data_1[Sales_Rep], "Charlie", sales_data_1[Product_Category], R$10)</f>
        <v>105</v>
      </c>
      <c r="S26" s="5">
        <f t="shared" si="19"/>
        <v>499</v>
      </c>
      <c r="T26" s="19">
        <f t="shared" si="13"/>
        <v>407</v>
      </c>
      <c r="U26" s="5">
        <f>SUMIFS(sales_data_1[Quantity_Sold],sales_data_1[Year],2023, sales_data_1[month], $B26, sales_data_1[Sales_Rep], "David", sales_data_1[Product_Category], U$10)</f>
        <v>62</v>
      </c>
      <c r="V26" s="5">
        <f>SUMIFS(sales_data_1[Quantity_Sold],sales_data_1[Year],2023, sales_data_1[month], $B26, sales_data_1[Sales_Rep], "David", sales_data_1[Product_Category], V$10)</f>
        <v>119</v>
      </c>
      <c r="W26" s="5">
        <f>SUMIFS(sales_data_1[Quantity_Sold],sales_data_1[Year],2023, sales_data_1[month], $B26, sales_data_1[Sales_Rep], "David", sales_data_1[Product_Category], W$10)</f>
        <v>82</v>
      </c>
      <c r="X26" s="5">
        <f>SUMIFS(sales_data_1[Quantity_Sold],sales_data_1[Year],2023, sales_data_1[month], $B26, sales_data_1[Sales_Rep], "David", sales_data_1[Product_Category], R$10)</f>
        <v>185</v>
      </c>
      <c r="Y26" s="5">
        <f t="shared" si="20"/>
        <v>448</v>
      </c>
      <c r="Z26" s="19">
        <f t="shared" si="14"/>
        <v>440.75</v>
      </c>
      <c r="AA26" s="5">
        <f>SUMIFS(sales_data_1[Quantity_Sold],sales_data_1[Year],2023, sales_data_1[month], $B26, sales_data_1[Sales_Rep], "Eve", sales_data_1[Product_Category], U$10)</f>
        <v>153</v>
      </c>
      <c r="AB26" s="5">
        <f>SUMIFS(sales_data_1[Quantity_Sold],sales_data_1[Year],2023, sales_data_1[month], $B26, sales_data_1[Sales_Rep], "Eve", sales_data_1[Product_Category], V$10)</f>
        <v>161</v>
      </c>
      <c r="AC26" s="5">
        <f>SUMIFS(sales_data_1[Quantity_Sold],sales_data_1[Year],2023, sales_data_1[month], $B26, sales_data_1[Sales_Rep], "Eve", sales_data_1[Product_Category], W$10)</f>
        <v>12</v>
      </c>
      <c r="AD26" s="5">
        <f>SUMIFS(sales_data_1[Quantity_Sold],sales_data_1[Year],2023, sales_data_1[month], $B26, sales_data_1[Sales_Rep], "Eve", sales_data_1[Product_Category], R$10)</f>
        <v>102</v>
      </c>
      <c r="AE26" s="5">
        <f t="shared" si="21"/>
        <v>428</v>
      </c>
      <c r="AF26" s="79">
        <f t="shared" si="15"/>
        <v>496.66666666666669</v>
      </c>
      <c r="AG26" s="5">
        <f t="shared" si="10"/>
        <v>1977</v>
      </c>
      <c r="AH26" s="5">
        <f t="shared" si="16"/>
        <v>2274.8333333333335</v>
      </c>
    </row>
    <row r="27" spans="1:34" x14ac:dyDescent="0.35">
      <c r="A27" s="5"/>
      <c r="B27" s="5" t="s">
        <v>49</v>
      </c>
      <c r="C27" s="5">
        <f>SUMIFS(sales_data_1[Quantity_Sold],sales_data_1[Year],2023, sales_data_1[month], $B27, sales_data_1[Sales_Rep], "Alice", sales_data_1[Product_Category], C$10)</f>
        <v>71</v>
      </c>
      <c r="D27" s="5">
        <f>SUMIFS(sales_data_1[Quantity_Sold],sales_data_1[Year],2023, sales_data_1[month], $B27, sales_data_1[Sales_Rep], "Alice", sales_data_1[Product_Category], D$10)</f>
        <v>74</v>
      </c>
      <c r="E27" s="5">
        <f>SUMIFS(sales_data_1[Quantity_Sold],sales_data_1[Year],2023, sales_data_1[month], $B27, sales_data_1[Sales_Rep], "Alice", sales_data_1[Product_Category], E$10)</f>
        <v>129</v>
      </c>
      <c r="F27" s="5">
        <f>SUMIFS(sales_data_1[Quantity_Sold],sales_data_1[Year],2023, sales_data_1[month], $B27, sales_data_1[Sales_Rep], "Alice", sales_data_1[Product_Category], F$10)</f>
        <v>138</v>
      </c>
      <c r="G27" s="5">
        <f t="shared" si="17"/>
        <v>412</v>
      </c>
      <c r="H27" s="19">
        <f t="shared" si="11"/>
        <v>483.66666666666669</v>
      </c>
      <c r="I27" s="5">
        <f>SUMIFS(sales_data_1[Quantity_Sold],sales_data_1[Year],2023, sales_data_1[month], $B27, sales_data_1[Sales_Rep], "Bob", sales_data_1[Product_Category], I$10)</f>
        <v>154</v>
      </c>
      <c r="J27" s="5">
        <f>SUMIFS(sales_data_1[Quantity_Sold],sales_data_1[Year],2023, sales_data_1[month], $B27, sales_data_1[Sales_Rep], "Bob", sales_data_1[Product_Category], J$10)</f>
        <v>37</v>
      </c>
      <c r="K27" s="5">
        <f>SUMIFS(sales_data_1[Quantity_Sold],sales_data_1[Year],2023, sales_data_1[month], $B27, sales_data_1[Sales_Rep], "Bob", sales_data_1[Product_Category], K$10)</f>
        <v>195</v>
      </c>
      <c r="L27" s="5">
        <f>SUMIFS(sales_data_1[Quantity_Sold],sales_data_1[Year],2023, sales_data_1[month], $B27, sales_data_1[Sales_Rep], "Bob", sales_data_1[Product_Category], L$10)</f>
        <v>168</v>
      </c>
      <c r="M27" s="5">
        <f t="shared" si="18"/>
        <v>554</v>
      </c>
      <c r="N27" s="19">
        <f t="shared" si="12"/>
        <v>444.75</v>
      </c>
      <c r="O27" s="5">
        <f>SUMIFS(sales_data_1[Quantity_Sold],sales_data_1[Year],2023, sales_data_1[month], $B27, sales_data_1[Sales_Rep], "Charlie", sales_data_1[Product_Category], O$10)</f>
        <v>81</v>
      </c>
      <c r="P27" s="5">
        <f>SUMIFS(sales_data_1[Quantity_Sold],sales_data_1[Year],2023, sales_data_1[month], $B27, sales_data_1[Sales_Rep], "Charlie", sales_data_1[Product_Category], P$10)</f>
        <v>111</v>
      </c>
      <c r="Q27" s="5">
        <f>SUMIFS(sales_data_1[Quantity_Sold],sales_data_1[Year],2023, sales_data_1[month], $B27, sales_data_1[Sales_Rep], "Charlie", sales_data_1[Product_Category], Q$10)</f>
        <v>32</v>
      </c>
      <c r="R27" s="5">
        <f>SUMIFS(sales_data_1[Quantity_Sold],sales_data_1[Year],2023, sales_data_1[month], $B27, sales_data_1[Sales_Rep], "Charlie", sales_data_1[Product_Category], R$10)</f>
        <v>60</v>
      </c>
      <c r="S27" s="5">
        <f t="shared" si="19"/>
        <v>284</v>
      </c>
      <c r="T27" s="19">
        <f t="shared" si="13"/>
        <v>389</v>
      </c>
      <c r="U27" s="5">
        <f>SUMIFS(sales_data_1[Quantity_Sold],sales_data_1[Year],2023, sales_data_1[month], $B27, sales_data_1[Sales_Rep], "David", sales_data_1[Product_Category], U$10)</f>
        <v>65</v>
      </c>
      <c r="V27" s="5">
        <f>SUMIFS(sales_data_1[Quantity_Sold],sales_data_1[Year],2023, sales_data_1[month], $B27, sales_data_1[Sales_Rep], "David", sales_data_1[Product_Category], V$10)</f>
        <v>82</v>
      </c>
      <c r="W27" s="5">
        <f>SUMIFS(sales_data_1[Quantity_Sold],sales_data_1[Year],2023, sales_data_1[month], $B27, sales_data_1[Sales_Rep], "David", sales_data_1[Product_Category], W$10)</f>
        <v>90</v>
      </c>
      <c r="X27" s="5">
        <f>SUMIFS(sales_data_1[Quantity_Sold],sales_data_1[Year],2023, sales_data_1[month], $B27, sales_data_1[Sales_Rep], "David", sales_data_1[Product_Category], R$10)</f>
        <v>185</v>
      </c>
      <c r="Y27" s="5">
        <f t="shared" si="20"/>
        <v>422</v>
      </c>
      <c r="Z27" s="19">
        <f t="shared" si="14"/>
        <v>426.25</v>
      </c>
      <c r="AA27" s="5">
        <f>SUMIFS(sales_data_1[Quantity_Sold],sales_data_1[Year],2023, sales_data_1[month], $B27, sales_data_1[Sales_Rep], "Eve", sales_data_1[Product_Category], U$10)</f>
        <v>94</v>
      </c>
      <c r="AB27" s="5">
        <f>SUMIFS(sales_data_1[Quantity_Sold],sales_data_1[Year],2023, sales_data_1[month], $B27, sales_data_1[Sales_Rep], "Eve", sales_data_1[Product_Category], V$10)</f>
        <v>57</v>
      </c>
      <c r="AC27" s="5">
        <f>SUMIFS(sales_data_1[Quantity_Sold],sales_data_1[Year],2023, sales_data_1[month], $B27, sales_data_1[Sales_Rep], "Eve", sales_data_1[Product_Category], W$10)</f>
        <v>15</v>
      </c>
      <c r="AD27" s="5">
        <f>SUMIFS(sales_data_1[Quantity_Sold],sales_data_1[Year],2023, sales_data_1[month], $B27, sales_data_1[Sales_Rep], "Eve", sales_data_1[Product_Category], R$10)</f>
        <v>130</v>
      </c>
      <c r="AE27" s="5">
        <f t="shared" si="21"/>
        <v>296</v>
      </c>
      <c r="AF27" s="79">
        <f t="shared" si="15"/>
        <v>479.08333333333331</v>
      </c>
      <c r="AG27" s="5">
        <f t="shared" si="10"/>
        <v>1968</v>
      </c>
      <c r="AH27" s="5">
        <f t="shared" si="16"/>
        <v>2222.75</v>
      </c>
    </row>
    <row r="28" spans="1:34" x14ac:dyDescent="0.35">
      <c r="A28" s="5"/>
      <c r="B28" s="5" t="s">
        <v>50</v>
      </c>
      <c r="C28" s="5">
        <f>SUMIFS(sales_data_1[Quantity_Sold],sales_data_1[Year],2023, sales_data_1[month], $B28, sales_data_1[Sales_Rep], "Alice", sales_data_1[Product_Category], C$10)</f>
        <v>120</v>
      </c>
      <c r="D28" s="5">
        <f>SUMIFS(sales_data_1[Quantity_Sold],sales_data_1[Year],2023, sales_data_1[month], $B28, sales_data_1[Sales_Rep], "Alice", sales_data_1[Product_Category], D$10)</f>
        <v>43</v>
      </c>
      <c r="E28" s="5">
        <f>SUMIFS(sales_data_1[Quantity_Sold],sales_data_1[Year],2023, sales_data_1[month], $B28, sales_data_1[Sales_Rep], "Alice", sales_data_1[Product_Category], E$10)</f>
        <v>110</v>
      </c>
      <c r="F28" s="5">
        <f>SUMIFS(sales_data_1[Quantity_Sold],sales_data_1[Year],2023, sales_data_1[month], $B28, sales_data_1[Sales_Rep], "Alice", sales_data_1[Product_Category], F$10)</f>
        <v>119</v>
      </c>
      <c r="G28" s="5">
        <f t="shared" si="17"/>
        <v>392</v>
      </c>
      <c r="H28" s="19">
        <f t="shared" si="11"/>
        <v>450.33333333333331</v>
      </c>
      <c r="I28" s="5">
        <f>SUMIFS(sales_data_1[Quantity_Sold],sales_data_1[Year],2023, sales_data_1[month], $B28, sales_data_1[Sales_Rep], "Bob", sales_data_1[Product_Category], I$10)</f>
        <v>92</v>
      </c>
      <c r="J28" s="5">
        <f>SUMIFS(sales_data_1[Quantity_Sold],sales_data_1[Year],2023, sales_data_1[month], $B28, sales_data_1[Sales_Rep], "Bob", sales_data_1[Product_Category], J$10)</f>
        <v>137</v>
      </c>
      <c r="K28" s="5">
        <f>SUMIFS(sales_data_1[Quantity_Sold],sales_data_1[Year],2023, sales_data_1[month], $B28, sales_data_1[Sales_Rep], "Bob", sales_data_1[Product_Category], K$10)</f>
        <v>58</v>
      </c>
      <c r="L28" s="5">
        <f>SUMIFS(sales_data_1[Quantity_Sold],sales_data_1[Year],2023, sales_data_1[month], $B28, sales_data_1[Sales_Rep], "Bob", sales_data_1[Product_Category], L$10)</f>
        <v>186</v>
      </c>
      <c r="M28" s="5">
        <f t="shared" si="18"/>
        <v>473</v>
      </c>
      <c r="N28" s="19">
        <f t="shared" si="12"/>
        <v>435.33333333333331</v>
      </c>
      <c r="O28" s="5">
        <f>SUMIFS(sales_data_1[Quantity_Sold],sales_data_1[Year],2023, sales_data_1[month], $B28, sales_data_1[Sales_Rep], "Charlie", sales_data_1[Product_Category], O$10)</f>
        <v>103</v>
      </c>
      <c r="P28" s="5">
        <f>SUMIFS(sales_data_1[Quantity_Sold],sales_data_1[Year],2023, sales_data_1[month], $B28, sales_data_1[Sales_Rep], "Charlie", sales_data_1[Product_Category], P$10)</f>
        <v>51</v>
      </c>
      <c r="Q28" s="5">
        <f>SUMIFS(sales_data_1[Quantity_Sold],sales_data_1[Year],2023, sales_data_1[month], $B28, sales_data_1[Sales_Rep], "Charlie", sales_data_1[Product_Category], Q$10)</f>
        <v>31</v>
      </c>
      <c r="R28" s="5">
        <f>SUMIFS(sales_data_1[Quantity_Sold],sales_data_1[Year],2023, sales_data_1[month], $B28, sales_data_1[Sales_Rep], "Charlie", sales_data_1[Product_Category], R$10)</f>
        <v>155</v>
      </c>
      <c r="S28" s="5">
        <f t="shared" si="19"/>
        <v>340</v>
      </c>
      <c r="T28" s="19">
        <f t="shared" si="13"/>
        <v>391.5</v>
      </c>
      <c r="U28" s="5">
        <f>SUMIFS(sales_data_1[Quantity_Sold],sales_data_1[Year],2023, sales_data_1[month], $B28, sales_data_1[Sales_Rep], "David", sales_data_1[Product_Category], U$10)</f>
        <v>162</v>
      </c>
      <c r="V28" s="5">
        <f>SUMIFS(sales_data_1[Quantity_Sold],sales_data_1[Year],2023, sales_data_1[month], $B28, sales_data_1[Sales_Rep], "David", sales_data_1[Product_Category], V$10)</f>
        <v>107</v>
      </c>
      <c r="W28" s="5">
        <f>SUMIFS(sales_data_1[Quantity_Sold],sales_data_1[Year],2023, sales_data_1[month], $B28, sales_data_1[Sales_Rep], "David", sales_data_1[Product_Category], W$10)</f>
        <v>8</v>
      </c>
      <c r="X28" s="5">
        <f>SUMIFS(sales_data_1[Quantity_Sold],sales_data_1[Year],2023, sales_data_1[month], $B28, sales_data_1[Sales_Rep], "David", sales_data_1[Product_Category], R$10)</f>
        <v>158</v>
      </c>
      <c r="Y28" s="5">
        <f t="shared" si="20"/>
        <v>435</v>
      </c>
      <c r="Z28" s="19">
        <f t="shared" si="14"/>
        <v>426.75</v>
      </c>
      <c r="AA28" s="5">
        <f>SUMIFS(sales_data_1[Quantity_Sold],sales_data_1[Year],2023, sales_data_1[month], $B28, sales_data_1[Sales_Rep], "Eve", sales_data_1[Product_Category], U$10)</f>
        <v>212</v>
      </c>
      <c r="AB28" s="5">
        <f>SUMIFS(sales_data_1[Quantity_Sold],sales_data_1[Year],2023, sales_data_1[month], $B28, sales_data_1[Sales_Rep], "Eve", sales_data_1[Product_Category], V$10)</f>
        <v>110</v>
      </c>
      <c r="AC28" s="5">
        <f>SUMIFS(sales_data_1[Quantity_Sold],sales_data_1[Year],2023, sales_data_1[month], $B28, sales_data_1[Sales_Rep], "Eve", sales_data_1[Product_Category], W$10)</f>
        <v>115</v>
      </c>
      <c r="AD28" s="5">
        <f>SUMIFS(sales_data_1[Quantity_Sold],sales_data_1[Year],2023, sales_data_1[month], $B28, sales_data_1[Sales_Rep], "Eve", sales_data_1[Product_Category], R$10)</f>
        <v>199</v>
      </c>
      <c r="AE28" s="5">
        <f t="shared" si="21"/>
        <v>636</v>
      </c>
      <c r="AF28" s="79">
        <f t="shared" si="15"/>
        <v>498.83333333333331</v>
      </c>
      <c r="AG28" s="5">
        <f t="shared" si="10"/>
        <v>2276</v>
      </c>
      <c r="AH28" s="5">
        <f t="shared" si="16"/>
        <v>2202.75</v>
      </c>
    </row>
    <row r="29" spans="1:34" x14ac:dyDescent="0.35">
      <c r="A29" s="5"/>
      <c r="B29" s="5" t="s">
        <v>51</v>
      </c>
      <c r="C29" s="5">
        <f>SUMIFS(sales_data_1[Quantity_Sold],sales_data_1[Year],2023, sales_data_1[month], $B29, sales_data_1[Sales_Rep], "Alice", sales_data_1[Product_Category], C$10)</f>
        <v>54</v>
      </c>
      <c r="D29" s="5">
        <f>SUMIFS(sales_data_1[Quantity_Sold],sales_data_1[Year],2023, sales_data_1[month], $B29, sales_data_1[Sales_Rep], "Alice", sales_data_1[Product_Category], D$10)</f>
        <v>125</v>
      </c>
      <c r="E29" s="5">
        <f>SUMIFS(sales_data_1[Quantity_Sold],sales_data_1[Year],2023, sales_data_1[month], $B29, sales_data_1[Sales_Rep], "Alice", sales_data_1[Product_Category], E$10)</f>
        <v>97</v>
      </c>
      <c r="F29" s="5">
        <f>SUMIFS(sales_data_1[Quantity_Sold],sales_data_1[Year],2023, sales_data_1[month], $B29, sales_data_1[Sales_Rep], "Alice", sales_data_1[Product_Category], F$10)</f>
        <v>82</v>
      </c>
      <c r="G29" s="5">
        <f t="shared" si="17"/>
        <v>358</v>
      </c>
      <c r="H29" s="19">
        <f t="shared" si="11"/>
        <v>434.66666666666669</v>
      </c>
      <c r="I29" s="5">
        <f>SUMIFS(sales_data_1[Quantity_Sold],sales_data_1[Year],2023, sales_data_1[month], $B29, sales_data_1[Sales_Rep], "Bob", sales_data_1[Product_Category], I$10)</f>
        <v>39</v>
      </c>
      <c r="J29" s="5">
        <f>SUMIFS(sales_data_1[Quantity_Sold],sales_data_1[Year],2023, sales_data_1[month], $B29, sales_data_1[Sales_Rep], "Bob", sales_data_1[Product_Category], J$10)</f>
        <v>32</v>
      </c>
      <c r="K29" s="5">
        <f>SUMIFS(sales_data_1[Quantity_Sold],sales_data_1[Year],2023, sales_data_1[month], $B29, sales_data_1[Sales_Rep], "Bob", sales_data_1[Product_Category], K$10)</f>
        <v>39</v>
      </c>
      <c r="L29" s="5">
        <f>SUMIFS(sales_data_1[Quantity_Sold],sales_data_1[Year],2023, sales_data_1[month], $B29, sales_data_1[Sales_Rep], "Bob", sales_data_1[Product_Category], L$10)</f>
        <v>94</v>
      </c>
      <c r="M29" s="5">
        <f t="shared" si="18"/>
        <v>204</v>
      </c>
      <c r="N29" s="19">
        <f t="shared" si="12"/>
        <v>420</v>
      </c>
      <c r="O29" s="5">
        <f>SUMIFS(sales_data_1[Quantity_Sold],sales_data_1[Year],2023, sales_data_1[month], $B29, sales_data_1[Sales_Rep], "Charlie", sales_data_1[Product_Category], O$10)</f>
        <v>31</v>
      </c>
      <c r="P29" s="5">
        <f>SUMIFS(sales_data_1[Quantity_Sold],sales_data_1[Year],2023, sales_data_1[month], $B29, sales_data_1[Sales_Rep], "Charlie", sales_data_1[Product_Category], P$10)</f>
        <v>125</v>
      </c>
      <c r="Q29" s="5">
        <f>SUMIFS(sales_data_1[Quantity_Sold],sales_data_1[Year],2023, sales_data_1[month], $B29, sales_data_1[Sales_Rep], "Charlie", sales_data_1[Product_Category], Q$10)</f>
        <v>62</v>
      </c>
      <c r="R29" s="5">
        <f>SUMIFS(sales_data_1[Quantity_Sold],sales_data_1[Year],2023, sales_data_1[month], $B29, sales_data_1[Sales_Rep], "Charlie", sales_data_1[Product_Category], R$10)</f>
        <v>79</v>
      </c>
      <c r="S29" s="5">
        <f t="shared" si="19"/>
        <v>297</v>
      </c>
      <c r="T29" s="19">
        <f t="shared" si="13"/>
        <v>377.33333333333331</v>
      </c>
      <c r="U29" s="5">
        <f>SUMIFS(sales_data_1[Quantity_Sold],sales_data_1[Year],2023, sales_data_1[month], $B29, sales_data_1[Sales_Rep], "David", sales_data_1[Product_Category], U$10)</f>
        <v>96</v>
      </c>
      <c r="V29" s="5">
        <f>SUMIFS(sales_data_1[Quantity_Sold],sales_data_1[Year],2023, sales_data_1[month], $B29, sales_data_1[Sales_Rep], "David", sales_data_1[Product_Category], V$10)</f>
        <v>127</v>
      </c>
      <c r="W29" s="5">
        <f>SUMIFS(sales_data_1[Quantity_Sold],sales_data_1[Year],2023, sales_data_1[month], $B29, sales_data_1[Sales_Rep], "David", sales_data_1[Product_Category], W$10)</f>
        <v>65</v>
      </c>
      <c r="X29" s="5">
        <f>SUMIFS(sales_data_1[Quantity_Sold],sales_data_1[Year],2023, sales_data_1[month], $B29, sales_data_1[Sales_Rep], "David", sales_data_1[Product_Category], R$10)</f>
        <v>31</v>
      </c>
      <c r="Y29" s="5">
        <f t="shared" si="20"/>
        <v>319</v>
      </c>
      <c r="Z29" s="19">
        <f t="shared" si="14"/>
        <v>432.66666666666669</v>
      </c>
      <c r="AA29" s="5">
        <f>SUMIFS(sales_data_1[Quantity_Sold],sales_data_1[Year],2023, sales_data_1[month], $B29, sales_data_1[Sales_Rep], "Eve", sales_data_1[Product_Category], U$10)</f>
        <v>105</v>
      </c>
      <c r="AB29" s="5">
        <f>SUMIFS(sales_data_1[Quantity_Sold],sales_data_1[Year],2023, sales_data_1[month], $B29, sales_data_1[Sales_Rep], "Eve", sales_data_1[Product_Category], V$10)</f>
        <v>152</v>
      </c>
      <c r="AC29" s="5">
        <f>SUMIFS(sales_data_1[Quantity_Sold],sales_data_1[Year],2023, sales_data_1[month], $B29, sales_data_1[Sales_Rep], "Eve", sales_data_1[Product_Category], W$10)</f>
        <v>64</v>
      </c>
      <c r="AD29" s="5">
        <f>SUMIFS(sales_data_1[Quantity_Sold],sales_data_1[Year],2023, sales_data_1[month], $B29, sales_data_1[Sales_Rep], "Eve", sales_data_1[Product_Category], R$10)</f>
        <v>104</v>
      </c>
      <c r="AE29" s="5">
        <f t="shared" si="21"/>
        <v>425</v>
      </c>
      <c r="AF29" s="79">
        <f t="shared" si="15"/>
        <v>487.25</v>
      </c>
      <c r="AG29" s="5">
        <f t="shared" si="10"/>
        <v>1603</v>
      </c>
      <c r="AH29" s="5">
        <f t="shared" si="16"/>
        <v>2151.9166666666665</v>
      </c>
    </row>
    <row r="30" spans="1:34" x14ac:dyDescent="0.35">
      <c r="A30" s="5"/>
      <c r="B30" s="5" t="s">
        <v>52</v>
      </c>
      <c r="C30" s="5">
        <f>SUMIFS(sales_data_1[Quantity_Sold],sales_data_1[Year],2023, sales_data_1[month], $B30, sales_data_1[Sales_Rep], "Alice", sales_data_1[Product_Category], C$10)</f>
        <v>191</v>
      </c>
      <c r="D30" s="5">
        <f>SUMIFS(sales_data_1[Quantity_Sold],sales_data_1[Year],2023, sales_data_1[month], $B30, sales_data_1[Sales_Rep], "Alice", sales_data_1[Product_Category], D$10)</f>
        <v>71</v>
      </c>
      <c r="E30" s="5">
        <f>SUMIFS(sales_data_1[Quantity_Sold],sales_data_1[Year],2023, sales_data_1[month], $B30, sales_data_1[Sales_Rep], "Alice", sales_data_1[Product_Category], E$10)</f>
        <v>170</v>
      </c>
      <c r="F30" s="5">
        <f>SUMIFS(sales_data_1[Quantity_Sold],sales_data_1[Year],2023, sales_data_1[month], $B30, sales_data_1[Sales_Rep], "Alice", sales_data_1[Product_Category], F$10)</f>
        <v>143</v>
      </c>
      <c r="G30" s="5">
        <f t="shared" si="17"/>
        <v>575</v>
      </c>
      <c r="H30" s="19">
        <f t="shared" si="11"/>
        <v>448.91666666666669</v>
      </c>
      <c r="I30" s="5">
        <f>SUMIFS(sales_data_1[Quantity_Sold],sales_data_1[Year],2023, sales_data_1[month], $B30, sales_data_1[Sales_Rep], "Bob", sales_data_1[Product_Category], I$10)</f>
        <v>210</v>
      </c>
      <c r="J30" s="5">
        <f>SUMIFS(sales_data_1[Quantity_Sold],sales_data_1[Year],2023, sales_data_1[month], $B30, sales_data_1[Sales_Rep], "Bob", sales_data_1[Product_Category], J$10)</f>
        <v>99</v>
      </c>
      <c r="K30" s="5">
        <f>SUMIFS(sales_data_1[Quantity_Sold],sales_data_1[Year],2023, sales_data_1[month], $B30, sales_data_1[Sales_Rep], "Bob", sales_data_1[Product_Category], K$10)</f>
        <v>160</v>
      </c>
      <c r="L30" s="5">
        <f>SUMIFS(sales_data_1[Quantity_Sold],sales_data_1[Year],2023, sales_data_1[month], $B30, sales_data_1[Sales_Rep], "Bob", sales_data_1[Product_Category], L$10)</f>
        <v>17</v>
      </c>
      <c r="M30" s="5">
        <f t="shared" si="18"/>
        <v>486</v>
      </c>
      <c r="N30" s="19">
        <f t="shared" si="12"/>
        <v>428.66666666666669</v>
      </c>
      <c r="O30" s="5">
        <f>SUMIFS(sales_data_1[Quantity_Sold],sales_data_1[Year],2023, sales_data_1[month], $B30, sales_data_1[Sales_Rep], "Charlie", sales_data_1[Product_Category], O$10)</f>
        <v>156</v>
      </c>
      <c r="P30" s="5">
        <f>SUMIFS(sales_data_1[Quantity_Sold],sales_data_1[Year],2023, sales_data_1[month], $B30, sales_data_1[Sales_Rep], "Charlie", sales_data_1[Product_Category], P$10)</f>
        <v>26</v>
      </c>
      <c r="Q30" s="5">
        <f>SUMIFS(sales_data_1[Quantity_Sold],sales_data_1[Year],2023, sales_data_1[month], $B30, sales_data_1[Sales_Rep], "Charlie", sales_data_1[Product_Category], Q$10)</f>
        <v>94</v>
      </c>
      <c r="R30" s="5">
        <f>SUMIFS(sales_data_1[Quantity_Sold],sales_data_1[Year],2023, sales_data_1[month], $B30, sales_data_1[Sales_Rep], "Charlie", sales_data_1[Product_Category], R$10)</f>
        <v>43</v>
      </c>
      <c r="S30" s="5">
        <f t="shared" si="19"/>
        <v>319</v>
      </c>
      <c r="T30" s="19">
        <f t="shared" si="13"/>
        <v>380.66666666666669</v>
      </c>
      <c r="U30" s="5">
        <f>SUMIFS(sales_data_1[Quantity_Sold],sales_data_1[Year],2023, sales_data_1[month], $B30, sales_data_1[Sales_Rep], "David", sales_data_1[Product_Category], U$10)</f>
        <v>155</v>
      </c>
      <c r="V30" s="5">
        <f>SUMIFS(sales_data_1[Quantity_Sold],sales_data_1[Year],2023, sales_data_1[month], $B30, sales_data_1[Sales_Rep], "David", sales_data_1[Product_Category], V$10)</f>
        <v>139</v>
      </c>
      <c r="W30" s="5">
        <f>SUMIFS(sales_data_1[Quantity_Sold],sales_data_1[Year],2023, sales_data_1[month], $B30, sales_data_1[Sales_Rep], "David", sales_data_1[Product_Category], W$10)</f>
        <v>118</v>
      </c>
      <c r="X30" s="5">
        <f>SUMIFS(sales_data_1[Quantity_Sold],sales_data_1[Year],2023, sales_data_1[month], $B30, sales_data_1[Sales_Rep], "David", sales_data_1[Product_Category], R$10)</f>
        <v>91</v>
      </c>
      <c r="Y30" s="5">
        <f t="shared" si="20"/>
        <v>503</v>
      </c>
      <c r="Z30" s="19">
        <f t="shared" si="14"/>
        <v>422.25</v>
      </c>
      <c r="AA30" s="5">
        <f>SUMIFS(sales_data_1[Quantity_Sold],sales_data_1[Year],2023, sales_data_1[month], $B30, sales_data_1[Sales_Rep], "Eve", sales_data_1[Product_Category], U$10)</f>
        <v>243</v>
      </c>
      <c r="AB30" s="5">
        <f>SUMIFS(sales_data_1[Quantity_Sold],sales_data_1[Year],2023, sales_data_1[month], $B30, sales_data_1[Sales_Rep], "Eve", sales_data_1[Product_Category], V$10)</f>
        <v>0</v>
      </c>
      <c r="AC30" s="5">
        <f>SUMIFS(sales_data_1[Quantity_Sold],sales_data_1[Year],2023, sales_data_1[month], $B30, sales_data_1[Sales_Rep], "Eve", sales_data_1[Product_Category], W$10)</f>
        <v>84</v>
      </c>
      <c r="AD30" s="5">
        <f>SUMIFS(sales_data_1[Quantity_Sold],sales_data_1[Year],2023, sales_data_1[month], $B30, sales_data_1[Sales_Rep], "Eve", sales_data_1[Product_Category], R$10)</f>
        <v>126</v>
      </c>
      <c r="AE30" s="5">
        <f t="shared" si="21"/>
        <v>453</v>
      </c>
      <c r="AF30" s="79">
        <f t="shared" si="15"/>
        <v>482.41666666666669</v>
      </c>
      <c r="AG30" s="5">
        <f t="shared" si="10"/>
        <v>2336</v>
      </c>
      <c r="AH30" s="5">
        <f t="shared" si="16"/>
        <v>2162.9166666666665</v>
      </c>
    </row>
    <row r="31" spans="1:34" x14ac:dyDescent="0.35">
      <c r="A31" s="5"/>
      <c r="B31" s="5" t="s">
        <v>53</v>
      </c>
      <c r="C31" s="5">
        <f>SUMIFS(sales_data_1[Quantity_Sold],sales_data_1[Year],2023, sales_data_1[month], $B31, sales_data_1[Sales_Rep], "Alice", sales_data_1[Product_Category], C$10)</f>
        <v>0</v>
      </c>
      <c r="D31" s="5">
        <f>SUMIFS(sales_data_1[Quantity_Sold],sales_data_1[Year],2023, sales_data_1[month], $B31, sales_data_1[Sales_Rep], "Alice", sales_data_1[Product_Category], D$10)</f>
        <v>66</v>
      </c>
      <c r="E31" s="5">
        <f>SUMIFS(sales_data_1[Quantity_Sold],sales_data_1[Year],2023, sales_data_1[month], $B31, sales_data_1[Sales_Rep], "Alice", sales_data_1[Product_Category], E$10)</f>
        <v>39</v>
      </c>
      <c r="F31" s="5">
        <f>SUMIFS(sales_data_1[Quantity_Sold],sales_data_1[Year],2023, sales_data_1[month], $B31, sales_data_1[Sales_Rep], "Alice", sales_data_1[Product_Category], F$10)</f>
        <v>90</v>
      </c>
      <c r="G31" s="5">
        <f t="shared" si="17"/>
        <v>195</v>
      </c>
      <c r="H31" s="19">
        <f t="shared" si="11"/>
        <v>412.25</v>
      </c>
      <c r="I31" s="5">
        <f>SUMIFS(sales_data_1[Quantity_Sold],sales_data_1[Year],2023, sales_data_1[month], $B31, sales_data_1[Sales_Rep], "Bob", sales_data_1[Product_Category], I$10)</f>
        <v>167</v>
      </c>
      <c r="J31" s="5">
        <f>SUMIFS(sales_data_1[Quantity_Sold],sales_data_1[Year],2023, sales_data_1[month], $B31, sales_data_1[Sales_Rep], "Bob", sales_data_1[Product_Category], J$10)</f>
        <v>69</v>
      </c>
      <c r="K31" s="5">
        <f>SUMIFS(sales_data_1[Quantity_Sold],sales_data_1[Year],2023, sales_data_1[month], $B31, sales_data_1[Sales_Rep], "Bob", sales_data_1[Product_Category], K$10)</f>
        <v>111</v>
      </c>
      <c r="L31" s="5">
        <f>SUMIFS(sales_data_1[Quantity_Sold],sales_data_1[Year],2023, sales_data_1[month], $B31, sales_data_1[Sales_Rep], "Bob", sales_data_1[Product_Category], L$10)</f>
        <v>87</v>
      </c>
      <c r="M31" s="5">
        <f t="shared" si="18"/>
        <v>434</v>
      </c>
      <c r="N31" s="19">
        <f t="shared" si="12"/>
        <v>429.66666666666669</v>
      </c>
      <c r="O31" s="5">
        <f>SUMIFS(sales_data_1[Quantity_Sold],sales_data_1[Year],2023, sales_data_1[month], $B31, sales_data_1[Sales_Rep], "Charlie", sales_data_1[Product_Category], O$10)</f>
        <v>157</v>
      </c>
      <c r="P31" s="5">
        <f>SUMIFS(sales_data_1[Quantity_Sold],sales_data_1[Year],2023, sales_data_1[month], $B31, sales_data_1[Sales_Rep], "Charlie", sales_data_1[Product_Category], P$10)</f>
        <v>65</v>
      </c>
      <c r="Q31" s="5">
        <f>SUMIFS(sales_data_1[Quantity_Sold],sales_data_1[Year],2023, sales_data_1[month], $B31, sales_data_1[Sales_Rep], "Charlie", sales_data_1[Product_Category], Q$10)</f>
        <v>126</v>
      </c>
      <c r="R31" s="5">
        <f>SUMIFS(sales_data_1[Quantity_Sold],sales_data_1[Year],2023, sales_data_1[month], $B31, sales_data_1[Sales_Rep], "Charlie", sales_data_1[Product_Category], R$10)</f>
        <v>100</v>
      </c>
      <c r="S31" s="5">
        <f t="shared" si="19"/>
        <v>448</v>
      </c>
      <c r="T31" s="19">
        <f t="shared" si="13"/>
        <v>404.75</v>
      </c>
      <c r="U31" s="5">
        <f>SUMIFS(sales_data_1[Quantity_Sold],sales_data_1[Year],2023, sales_data_1[month], $B31, sales_data_1[Sales_Rep], "David", sales_data_1[Product_Category], U$10)</f>
        <v>61</v>
      </c>
      <c r="V31" s="5">
        <f>SUMIFS(sales_data_1[Quantity_Sold],sales_data_1[Year],2023, sales_data_1[month], $B31, sales_data_1[Sales_Rep], "David", sales_data_1[Product_Category], V$10)</f>
        <v>129</v>
      </c>
      <c r="W31" s="5">
        <f>SUMIFS(sales_data_1[Quantity_Sold],sales_data_1[Year],2023, sales_data_1[month], $B31, sales_data_1[Sales_Rep], "David", sales_data_1[Product_Category], W$10)</f>
        <v>52</v>
      </c>
      <c r="X31" s="5">
        <f>SUMIFS(sales_data_1[Quantity_Sold],sales_data_1[Year],2023, sales_data_1[month], $B31, sales_data_1[Sales_Rep], "David", sales_data_1[Product_Category], R$10)</f>
        <v>108</v>
      </c>
      <c r="Y31" s="5">
        <f t="shared" si="20"/>
        <v>350</v>
      </c>
      <c r="Z31" s="19">
        <f t="shared" si="14"/>
        <v>415.58333333333331</v>
      </c>
      <c r="AA31" s="5">
        <f>SUMIFS(sales_data_1[Quantity_Sold],sales_data_1[Year],2023, sales_data_1[month], $B31, sales_data_1[Sales_Rep], "Eve", sales_data_1[Product_Category], U$10)</f>
        <v>105</v>
      </c>
      <c r="AB31" s="5">
        <f>SUMIFS(sales_data_1[Quantity_Sold],sales_data_1[Year],2023, sales_data_1[month], $B31, sales_data_1[Sales_Rep], "Eve", sales_data_1[Product_Category], V$10)</f>
        <v>141</v>
      </c>
      <c r="AC31" s="5">
        <f>SUMIFS(sales_data_1[Quantity_Sold],sales_data_1[Year],2023, sales_data_1[month], $B31, sales_data_1[Sales_Rep], "Eve", sales_data_1[Product_Category], W$10)</f>
        <v>106</v>
      </c>
      <c r="AD31" s="5">
        <f>SUMIFS(sales_data_1[Quantity_Sold],sales_data_1[Year],2023, sales_data_1[month], $B31, sales_data_1[Sales_Rep], "Eve", sales_data_1[Product_Category], R$10)</f>
        <v>36</v>
      </c>
      <c r="AE31" s="5">
        <f t="shared" si="21"/>
        <v>388</v>
      </c>
      <c r="AF31" s="79">
        <f t="shared" si="15"/>
        <v>476.66666666666669</v>
      </c>
      <c r="AG31" s="5">
        <f t="shared" si="10"/>
        <v>1815</v>
      </c>
      <c r="AH31" s="5">
        <f t="shared" si="16"/>
        <v>2138.9166666666665</v>
      </c>
    </row>
    <row r="32" spans="1:34" x14ac:dyDescent="0.35">
      <c r="A32" s="5"/>
      <c r="B32" s="5" t="s">
        <v>54</v>
      </c>
      <c r="C32" s="5">
        <f>SUMIFS(sales_data_1[Quantity_Sold],sales_data_1[Year],2023, sales_data_1[month], $B32, sales_data_1[Sales_Rep], "Alice", sales_data_1[Product_Category], C$10)</f>
        <v>60</v>
      </c>
      <c r="D32" s="5">
        <f>SUMIFS(sales_data_1[Quantity_Sold],sales_data_1[Year],2023, sales_data_1[month], $B32, sales_data_1[Sales_Rep], "Alice", sales_data_1[Product_Category], D$10)</f>
        <v>111</v>
      </c>
      <c r="E32" s="5">
        <f>SUMIFS(sales_data_1[Quantity_Sold],sales_data_1[Year],2023, sales_data_1[month], $B32, sales_data_1[Sales_Rep], "Alice", sales_data_1[Product_Category], E$10)</f>
        <v>65</v>
      </c>
      <c r="F32" s="5">
        <f>SUMIFS(sales_data_1[Quantity_Sold],sales_data_1[Year],2023, sales_data_1[month], $B32, sales_data_1[Sales_Rep], "Alice", sales_data_1[Product_Category], F$10)</f>
        <v>49</v>
      </c>
      <c r="G32" s="5">
        <f t="shared" si="17"/>
        <v>285</v>
      </c>
      <c r="H32" s="19">
        <f t="shared" si="11"/>
        <v>403.5</v>
      </c>
      <c r="I32" s="5">
        <f>SUMIFS(sales_data_1[Quantity_Sold],sales_data_1[Year],2023, sales_data_1[month], $B32, sales_data_1[Sales_Rep], "Bob", sales_data_1[Product_Category], I$10)</f>
        <v>117</v>
      </c>
      <c r="J32" s="5">
        <f>SUMIFS(sales_data_1[Quantity_Sold],sales_data_1[Year],2023, sales_data_1[month], $B32, sales_data_1[Sales_Rep], "Bob", sales_data_1[Product_Category], J$10)</f>
        <v>87</v>
      </c>
      <c r="K32" s="5">
        <f>SUMIFS(sales_data_1[Quantity_Sold],sales_data_1[Year],2023, sales_data_1[month], $B32, sales_data_1[Sales_Rep], "Bob", sales_data_1[Product_Category], K$10)</f>
        <v>46</v>
      </c>
      <c r="L32" s="5">
        <f>SUMIFS(sales_data_1[Quantity_Sold],sales_data_1[Year],2023, sales_data_1[month], $B32, sales_data_1[Sales_Rep], "Bob", sales_data_1[Product_Category], L$10)</f>
        <v>172</v>
      </c>
      <c r="M32" s="5">
        <f t="shared" si="18"/>
        <v>422</v>
      </c>
      <c r="N32" s="19">
        <f t="shared" si="12"/>
        <v>418.16666666666669</v>
      </c>
      <c r="O32" s="5">
        <f>SUMIFS(sales_data_1[Quantity_Sold],sales_data_1[Year],2023, sales_data_1[month], $B32, sales_data_1[Sales_Rep], "Charlie", sales_data_1[Product_Category], O$10)</f>
        <v>94</v>
      </c>
      <c r="P32" s="5">
        <f>SUMIFS(sales_data_1[Quantity_Sold],sales_data_1[Year],2023, sales_data_1[month], $B32, sales_data_1[Sales_Rep], "Charlie", sales_data_1[Product_Category], P$10)</f>
        <v>90</v>
      </c>
      <c r="Q32" s="5">
        <f>SUMIFS(sales_data_1[Quantity_Sold],sales_data_1[Year],2023, sales_data_1[month], $B32, sales_data_1[Sales_Rep], "Charlie", sales_data_1[Product_Category], Q$10)</f>
        <v>105</v>
      </c>
      <c r="R32" s="5">
        <f>SUMIFS(sales_data_1[Quantity_Sold],sales_data_1[Year],2023, sales_data_1[month], $B32, sales_data_1[Sales_Rep], "Charlie", sales_data_1[Product_Category], R$10)</f>
        <v>20</v>
      </c>
      <c r="S32" s="5">
        <f t="shared" si="19"/>
        <v>309</v>
      </c>
      <c r="T32" s="19">
        <f t="shared" si="13"/>
        <v>382.75</v>
      </c>
      <c r="U32" s="5">
        <f>SUMIFS(sales_data_1[Quantity_Sold],sales_data_1[Year],2023, sales_data_1[month], $B32, sales_data_1[Sales_Rep], "David", sales_data_1[Product_Category], U$10)</f>
        <v>300</v>
      </c>
      <c r="V32" s="5">
        <f>SUMIFS(sales_data_1[Quantity_Sold],sales_data_1[Year],2023, sales_data_1[month], $B32, sales_data_1[Sales_Rep], "David", sales_data_1[Product_Category], V$10)</f>
        <v>292</v>
      </c>
      <c r="W32" s="5">
        <f>SUMIFS(sales_data_1[Quantity_Sold],sales_data_1[Year],2023, sales_data_1[month], $B32, sales_data_1[Sales_Rep], "David", sales_data_1[Product_Category], W$10)</f>
        <v>220</v>
      </c>
      <c r="X32" s="5">
        <f>SUMIFS(sales_data_1[Quantity_Sold],sales_data_1[Year],2023, sales_data_1[month], $B32, sales_data_1[Sales_Rep], "David", sales_data_1[Product_Category], R$10)</f>
        <v>153</v>
      </c>
      <c r="Y32" s="5">
        <f t="shared" si="20"/>
        <v>965</v>
      </c>
      <c r="Z32" s="19">
        <f t="shared" si="14"/>
        <v>470.58333333333331</v>
      </c>
      <c r="AA32" s="5">
        <f>SUMIFS(sales_data_1[Quantity_Sold],sales_data_1[Year],2023, sales_data_1[month], $B32, sales_data_1[Sales_Rep], "Eve", sales_data_1[Product_Category], U$10)</f>
        <v>70</v>
      </c>
      <c r="AB32" s="5">
        <f>SUMIFS(sales_data_1[Quantity_Sold],sales_data_1[Year],2023, sales_data_1[month], $B32, sales_data_1[Sales_Rep], "Eve", sales_data_1[Product_Category], V$10)</f>
        <v>169</v>
      </c>
      <c r="AC32" s="5">
        <f>SUMIFS(sales_data_1[Quantity_Sold],sales_data_1[Year],2023, sales_data_1[month], $B32, sales_data_1[Sales_Rep], "Eve", sales_data_1[Product_Category], W$10)</f>
        <v>73</v>
      </c>
      <c r="AD32" s="5">
        <f>SUMIFS(sales_data_1[Quantity_Sold],sales_data_1[Year],2023, sales_data_1[month], $B32, sales_data_1[Sales_Rep], "Eve", sales_data_1[Product_Category], R$10)</f>
        <v>93</v>
      </c>
      <c r="AE32" s="5">
        <f t="shared" si="21"/>
        <v>405</v>
      </c>
      <c r="AF32" s="79">
        <f t="shared" si="15"/>
        <v>459.91666666666669</v>
      </c>
      <c r="AG32" s="5">
        <f t="shared" si="10"/>
        <v>2386</v>
      </c>
      <c r="AH32" s="5">
        <f t="shared" si="16"/>
        <v>2134.9166666666665</v>
      </c>
    </row>
    <row r="33" spans="1:34" x14ac:dyDescent="0.35">
      <c r="A33" s="5"/>
      <c r="B33" s="5" t="s">
        <v>55</v>
      </c>
      <c r="C33" s="5">
        <f>SUMIFS(sales_data_1[Quantity_Sold],sales_data_1[Year],2023, sales_data_1[month], $B33, sales_data_1[Sales_Rep], "Alice", sales_data_1[Product_Category], C$10)</f>
        <v>162</v>
      </c>
      <c r="D33" s="5">
        <f>SUMIFS(sales_data_1[Quantity_Sold],sales_data_1[Year],2023, sales_data_1[month], $B33, sales_data_1[Sales_Rep], "Alice", sales_data_1[Product_Category], D$10)</f>
        <v>212</v>
      </c>
      <c r="E33" s="5">
        <f>SUMIFS(sales_data_1[Quantity_Sold],sales_data_1[Year],2023, sales_data_1[month], $B33, sales_data_1[Sales_Rep], "Alice", sales_data_1[Product_Category], E$10)</f>
        <v>100</v>
      </c>
      <c r="F33" s="5">
        <f>SUMIFS(sales_data_1[Quantity_Sold],sales_data_1[Year],2023, sales_data_1[month], $B33, sales_data_1[Sales_Rep], "Alice", sales_data_1[Product_Category], F$10)</f>
        <v>56</v>
      </c>
      <c r="G33" s="5">
        <f t="shared" si="17"/>
        <v>530</v>
      </c>
      <c r="H33" s="19">
        <f t="shared" si="11"/>
        <v>405.25</v>
      </c>
      <c r="I33" s="5">
        <f>SUMIFS(sales_data_1[Quantity_Sold],sales_data_1[Year],2023, sales_data_1[month], $B33, sales_data_1[Sales_Rep], "Bob", sales_data_1[Product_Category], I$10)</f>
        <v>27</v>
      </c>
      <c r="J33" s="5">
        <f>SUMIFS(sales_data_1[Quantity_Sold],sales_data_1[Year],2023, sales_data_1[month], $B33, sales_data_1[Sales_Rep], "Bob", sales_data_1[Product_Category], J$10)</f>
        <v>39</v>
      </c>
      <c r="K33" s="5">
        <f>SUMIFS(sales_data_1[Quantity_Sold],sales_data_1[Year],2023, sales_data_1[month], $B33, sales_data_1[Sales_Rep], "Bob", sales_data_1[Product_Category], K$10)</f>
        <v>189</v>
      </c>
      <c r="L33" s="5">
        <f>SUMIFS(sales_data_1[Quantity_Sold],sales_data_1[Year],2023, sales_data_1[month], $B33, sales_data_1[Sales_Rep], "Bob", sales_data_1[Product_Category], L$10)</f>
        <v>145</v>
      </c>
      <c r="M33" s="5">
        <f t="shared" si="18"/>
        <v>400</v>
      </c>
      <c r="N33" s="19">
        <f t="shared" si="12"/>
        <v>409.58333333333331</v>
      </c>
      <c r="O33" s="5">
        <f>SUMIFS(sales_data_1[Quantity_Sold],sales_data_1[Year],2023, sales_data_1[month], $B33, sales_data_1[Sales_Rep], "Charlie", sales_data_1[Product_Category], O$10)</f>
        <v>148</v>
      </c>
      <c r="P33" s="5">
        <f>SUMIFS(sales_data_1[Quantity_Sold],sales_data_1[Year],2023, sales_data_1[month], $B33, sales_data_1[Sales_Rep], "Charlie", sales_data_1[Product_Category], P$10)</f>
        <v>6</v>
      </c>
      <c r="Q33" s="5">
        <f>SUMIFS(sales_data_1[Quantity_Sold],sales_data_1[Year],2023, sales_data_1[month], $B33, sales_data_1[Sales_Rep], "Charlie", sales_data_1[Product_Category], Q$10)</f>
        <v>7</v>
      </c>
      <c r="R33" s="5">
        <f>SUMIFS(sales_data_1[Quantity_Sold],sales_data_1[Year],2023, sales_data_1[month], $B33, sales_data_1[Sales_Rep], "Charlie", sales_data_1[Product_Category], R$10)</f>
        <v>119</v>
      </c>
      <c r="S33" s="5">
        <f t="shared" si="19"/>
        <v>280</v>
      </c>
      <c r="T33" s="19">
        <f t="shared" si="13"/>
        <v>366.41666666666669</v>
      </c>
      <c r="U33" s="5">
        <f>SUMIFS(sales_data_1[Quantity_Sold],sales_data_1[Year],2023, sales_data_1[month], $B33, sales_data_1[Sales_Rep], "David", sales_data_1[Product_Category], U$10)</f>
        <v>152</v>
      </c>
      <c r="V33" s="5">
        <f>SUMIFS(sales_data_1[Quantity_Sold],sales_data_1[Year],2023, sales_data_1[month], $B33, sales_data_1[Sales_Rep], "David", sales_data_1[Product_Category], V$10)</f>
        <v>154</v>
      </c>
      <c r="W33" s="5">
        <f>SUMIFS(sales_data_1[Quantity_Sold],sales_data_1[Year],2023, sales_data_1[month], $B33, sales_data_1[Sales_Rep], "David", sales_data_1[Product_Category], W$10)</f>
        <v>138</v>
      </c>
      <c r="X33" s="5">
        <f>SUMIFS(sales_data_1[Quantity_Sold],sales_data_1[Year],2023, sales_data_1[month], $B33, sales_data_1[Sales_Rep], "David", sales_data_1[Product_Category], R$10)</f>
        <v>182</v>
      </c>
      <c r="Y33" s="5">
        <f t="shared" si="20"/>
        <v>626</v>
      </c>
      <c r="Z33" s="19">
        <f t="shared" si="14"/>
        <v>475.08333333333331</v>
      </c>
      <c r="AA33" s="5">
        <f>SUMIFS(sales_data_1[Quantity_Sold],sales_data_1[Year],2023, sales_data_1[month], $B33, sales_data_1[Sales_Rep], "Eve", sales_data_1[Product_Category], U$10)</f>
        <v>112</v>
      </c>
      <c r="AB33" s="5">
        <f>SUMIFS(sales_data_1[Quantity_Sold],sales_data_1[Year],2023, sales_data_1[month], $B33, sales_data_1[Sales_Rep], "Eve", sales_data_1[Product_Category], V$10)</f>
        <v>39</v>
      </c>
      <c r="AC33" s="5">
        <f>SUMIFS(sales_data_1[Quantity_Sold],sales_data_1[Year],2023, sales_data_1[month], $B33, sales_data_1[Sales_Rep], "Eve", sales_data_1[Product_Category], W$10)</f>
        <v>55</v>
      </c>
      <c r="AD33" s="5">
        <f>SUMIFS(sales_data_1[Quantity_Sold],sales_data_1[Year],2023, sales_data_1[month], $B33, sales_data_1[Sales_Rep], "Eve", sales_data_1[Product_Category], R$10)</f>
        <v>87</v>
      </c>
      <c r="AE33" s="5">
        <f t="shared" si="21"/>
        <v>293</v>
      </c>
      <c r="AF33" s="79">
        <f t="shared" si="15"/>
        <v>450.41666666666669</v>
      </c>
      <c r="AG33" s="5">
        <f t="shared" si="10"/>
        <v>2129</v>
      </c>
      <c r="AH33" s="5">
        <f t="shared" si="16"/>
        <v>2106.75</v>
      </c>
    </row>
    <row r="34" spans="1:34" x14ac:dyDescent="0.35">
      <c r="A34" s="5"/>
      <c r="B34" s="5" t="s">
        <v>56</v>
      </c>
      <c r="C34" s="5">
        <f>SUMIFS(sales_data_1[Quantity_Sold],sales_data_1[Year],2023, sales_data_1[month], $B34, sales_data_1[Sales_Rep], "Alice", sales_data_1[Product_Category], C$10)</f>
        <v>207</v>
      </c>
      <c r="D34" s="5">
        <f>SUMIFS(sales_data_1[Quantity_Sold],sales_data_1[Year],2023, sales_data_1[month], $B34, sales_data_1[Sales_Rep], "Alice", sales_data_1[Product_Category], D$10)</f>
        <v>96</v>
      </c>
      <c r="E34" s="5">
        <f>SUMIFS(sales_data_1[Quantity_Sold],sales_data_1[Year],2023, sales_data_1[month], $B34, sales_data_1[Sales_Rep], "Alice", sales_data_1[Product_Category], E$10)</f>
        <v>96</v>
      </c>
      <c r="F34" s="5">
        <f>SUMIFS(sales_data_1[Quantity_Sold],sales_data_1[Year],2023, sales_data_1[month], $B34, sales_data_1[Sales_Rep], "Alice", sales_data_1[Product_Category], F$10)</f>
        <v>109</v>
      </c>
      <c r="G34" s="5">
        <f t="shared" si="17"/>
        <v>508</v>
      </c>
      <c r="H34" s="19">
        <f t="shared" si="11"/>
        <v>400.66666666666669</v>
      </c>
      <c r="I34" s="5">
        <f>SUMIFS(sales_data_1[Quantity_Sold],sales_data_1[Year],2023, sales_data_1[month], $B34, sales_data_1[Sales_Rep], "Bob", sales_data_1[Product_Category], I$10)</f>
        <v>25</v>
      </c>
      <c r="J34" s="5">
        <f>SUMIFS(sales_data_1[Quantity_Sold],sales_data_1[Year],2023, sales_data_1[month], $B34, sales_data_1[Sales_Rep], "Bob", sales_data_1[Product_Category], J$10)</f>
        <v>179</v>
      </c>
      <c r="K34" s="5">
        <f>SUMIFS(sales_data_1[Quantity_Sold],sales_data_1[Year],2023, sales_data_1[month], $B34, sales_data_1[Sales_Rep], "Bob", sales_data_1[Product_Category], K$10)</f>
        <v>62</v>
      </c>
      <c r="L34" s="5">
        <f>SUMIFS(sales_data_1[Quantity_Sold],sales_data_1[Year],2023, sales_data_1[month], $B34, sales_data_1[Sales_Rep], "Bob", sales_data_1[Product_Category], L$10)</f>
        <v>231</v>
      </c>
      <c r="M34" s="5">
        <f t="shared" si="18"/>
        <v>497</v>
      </c>
      <c r="N34" s="19">
        <f t="shared" si="12"/>
        <v>413.83333333333331</v>
      </c>
      <c r="O34" s="5">
        <f>SUMIFS(sales_data_1[Quantity_Sold],sales_data_1[Year],2023, sales_data_1[month], $B34, sales_data_1[Sales_Rep], "Charlie", sales_data_1[Product_Category], O$10)</f>
        <v>38</v>
      </c>
      <c r="P34" s="5">
        <f>SUMIFS(sales_data_1[Quantity_Sold],sales_data_1[Year],2023, sales_data_1[month], $B34, sales_data_1[Sales_Rep], "Charlie", sales_data_1[Product_Category], P$10)</f>
        <v>27</v>
      </c>
      <c r="Q34" s="5">
        <f>SUMIFS(sales_data_1[Quantity_Sold],sales_data_1[Year],2023, sales_data_1[month], $B34, sales_data_1[Sales_Rep], "Charlie", sales_data_1[Product_Category], Q$10)</f>
        <v>89</v>
      </c>
      <c r="R34" s="5">
        <f>SUMIFS(sales_data_1[Quantity_Sold],sales_data_1[Year],2023, sales_data_1[month], $B34, sales_data_1[Sales_Rep], "Charlie", sales_data_1[Product_Category], R$10)</f>
        <v>79</v>
      </c>
      <c r="S34" s="5">
        <f t="shared" si="19"/>
        <v>233</v>
      </c>
      <c r="T34" s="19">
        <f t="shared" si="13"/>
        <v>351.41666666666669</v>
      </c>
      <c r="U34" s="5">
        <f>SUMIFS(sales_data_1[Quantity_Sold],sales_data_1[Year],2023, sales_data_1[month], $B34, sales_data_1[Sales_Rep], "David", sales_data_1[Product_Category], U$10)</f>
        <v>171</v>
      </c>
      <c r="V34" s="5">
        <f>SUMIFS(sales_data_1[Quantity_Sold],sales_data_1[Year],2023, sales_data_1[month], $B34, sales_data_1[Sales_Rep], "David", sales_data_1[Product_Category], V$10)</f>
        <v>214</v>
      </c>
      <c r="W34" s="5">
        <f>SUMIFS(sales_data_1[Quantity_Sold],sales_data_1[Year],2023, sales_data_1[month], $B34, sales_data_1[Sales_Rep], "David", sales_data_1[Product_Category], W$10)</f>
        <v>117</v>
      </c>
      <c r="X34" s="5">
        <f>SUMIFS(sales_data_1[Quantity_Sold],sales_data_1[Year],2023, sales_data_1[month], $B34, sales_data_1[Sales_Rep], "David", sales_data_1[Product_Category], R$10)</f>
        <v>71</v>
      </c>
      <c r="Y34" s="5">
        <f t="shared" si="20"/>
        <v>573</v>
      </c>
      <c r="Z34" s="19">
        <f t="shared" si="14"/>
        <v>500</v>
      </c>
      <c r="AA34" s="5">
        <f>SUMIFS(sales_data_1[Quantity_Sold],sales_data_1[Year],2023, sales_data_1[month], $B34, sales_data_1[Sales_Rep], "Eve", sales_data_1[Product_Category], U$10)</f>
        <v>175</v>
      </c>
      <c r="AB34" s="5">
        <f>SUMIFS(sales_data_1[Quantity_Sold],sales_data_1[Year],2023, sales_data_1[month], $B34, sales_data_1[Sales_Rep], "Eve", sales_data_1[Product_Category], V$10)</f>
        <v>107</v>
      </c>
      <c r="AC34" s="5">
        <f>SUMIFS(sales_data_1[Quantity_Sold],sales_data_1[Year],2023, sales_data_1[month], $B34, sales_data_1[Sales_Rep], "Eve", sales_data_1[Product_Category], W$10)</f>
        <v>61</v>
      </c>
      <c r="AD34" s="5">
        <f>SUMIFS(sales_data_1[Quantity_Sold],sales_data_1[Year],2023, sales_data_1[month], $B34, sales_data_1[Sales_Rep], "Eve", sales_data_1[Product_Category], R$10)</f>
        <v>29</v>
      </c>
      <c r="AE34" s="5">
        <f t="shared" si="21"/>
        <v>372</v>
      </c>
      <c r="AF34" s="79">
        <f t="shared" si="15"/>
        <v>440.58333333333331</v>
      </c>
      <c r="AG34" s="5">
        <f t="shared" si="10"/>
        <v>2183</v>
      </c>
      <c r="AH34" s="5">
        <f t="shared" si="16"/>
        <v>2106.5</v>
      </c>
    </row>
    <row r="35" spans="1:34" x14ac:dyDescent="0.35">
      <c r="A35" s="17">
        <v>2024</v>
      </c>
      <c r="B35" s="5" t="s">
        <v>45</v>
      </c>
      <c r="C35" s="5">
        <f>SUMIFS(sales_data_1[Quantity_Sold],sales_data_1[Year],2024, sales_data_1[month], $B35, sales_data_1[Sales_Rep], "Alice", sales_data_1[Product_Category], C$10)</f>
        <v>59</v>
      </c>
      <c r="D35" s="5">
        <f>SUMIFS(sales_data_1[Quantity_Sold],sales_data_1[Year],2024, sales_data_1[month], $B35, sales_data_1[Sales_Rep], "Alice", sales_data_1[Product_Category], D$10)</f>
        <v>81</v>
      </c>
      <c r="E35" s="5">
        <f>SUMIFS(sales_data_1[Quantity_Sold],sales_data_1[Year],2024, sales_data_1[month], $B35, sales_data_1[Sales_Rep], "Alice", sales_data_1[Product_Category], E$10)</f>
        <v>48</v>
      </c>
      <c r="F35" s="5">
        <f>SUMIFS(sales_data_1[Quantity_Sold],sales_data_1[Year],2024, sales_data_1[month], $B35, sales_data_1[Sales_Rep], "Alice", sales_data_1[Product_Category], F$10)</f>
        <v>61</v>
      </c>
      <c r="G35" s="5">
        <f t="shared" si="17"/>
        <v>249</v>
      </c>
      <c r="H35" s="19">
        <f t="shared" si="11"/>
        <v>398.58333333333331</v>
      </c>
      <c r="I35" s="5">
        <f>SUMIFS(sales_data_1[Quantity_Sold],sales_data_1[Year],2024, sales_data_1[month], $B35, sales_data_1[Sales_Rep], "Bob", sales_data_1[Product_Category], I$10)</f>
        <v>199</v>
      </c>
      <c r="J35" s="5">
        <f>SUMIFS(sales_data_1[Quantity_Sold],sales_data_1[Year],2024, sales_data_1[month], $B35, sales_data_1[Sales_Rep], "Bob", sales_data_1[Product_Category], J$10)</f>
        <v>125</v>
      </c>
      <c r="K35" s="5">
        <f>SUMIFS(sales_data_1[Quantity_Sold],sales_data_1[Year],2024, sales_data_1[month], $B35, sales_data_1[Sales_Rep], "Bob", sales_data_1[Product_Category], K$10)</f>
        <v>65</v>
      </c>
      <c r="L35" s="5">
        <f>SUMIFS(sales_data_1[Quantity_Sold],sales_data_1[Year],2024, sales_data_1[month], $B35, sales_data_1[Sales_Rep], "Bob", sales_data_1[Product_Category], L$10)</f>
        <v>174</v>
      </c>
      <c r="M35" s="5">
        <f t="shared" si="18"/>
        <v>563</v>
      </c>
      <c r="N35" s="19">
        <f t="shared" si="12"/>
        <v>411.75</v>
      </c>
      <c r="O35" s="5">
        <f>SUMIFS(sales_data_1[Quantity_Sold],sales_data_1[Year],2024, sales_data_1[month], $B35, sales_data_1[Sales_Rep], "Charlie", sales_data_1[Product_Category], O$10)</f>
        <v>187</v>
      </c>
      <c r="P35" s="5">
        <f>SUMIFS(sales_data_1[Quantity_Sold],sales_data_1[Year],2024, sales_data_1[month], $B35, sales_data_1[Sales_Rep], "Charlie", sales_data_1[Product_Category], P$10)</f>
        <v>153</v>
      </c>
      <c r="Q35" s="5">
        <f>SUMIFS(sales_data_1[Quantity_Sold],sales_data_1[Year],2024, sales_data_1[month], $B35, sales_data_1[Sales_Rep], "Charlie", sales_data_1[Product_Category], Q$10)</f>
        <v>114</v>
      </c>
      <c r="R35" s="5">
        <f>SUMIFS(sales_data_1[Quantity_Sold],sales_data_1[Year],2024, sales_data_1[month], $B35, sales_data_1[Sales_Rep], "Charlie", sales_data_1[Product_Category], R$10)</f>
        <v>18</v>
      </c>
      <c r="S35" s="5">
        <f t="shared" si="19"/>
        <v>472</v>
      </c>
      <c r="T35" s="19">
        <f t="shared" si="13"/>
        <v>340.08333333333331</v>
      </c>
      <c r="U35" s="5">
        <f>SUMIFS(sales_data_1[Quantity_Sold],sales_data_1[Year],2024, sales_data_1[month], $B35, sales_data_1[Sales_Rep], "David", sales_data_1[Product_Category], U$10)</f>
        <v>74</v>
      </c>
      <c r="V35" s="5">
        <f>SUMIFS(sales_data_1[Quantity_Sold],sales_data_1[Year],2024, sales_data_1[month], $B35, sales_data_1[Sales_Rep], "David", sales_data_1[Product_Category], V$10)</f>
        <v>149</v>
      </c>
      <c r="W35" s="5">
        <f>SUMIFS(sales_data_1[Quantity_Sold],sales_data_1[Year],2024, sales_data_1[month], $B35, sales_data_1[Sales_Rep], "David", sales_data_1[Product_Category], W$10)</f>
        <v>160</v>
      </c>
      <c r="X35" s="5">
        <f>SUMIFS(sales_data_1[Quantity_Sold],sales_data_1[Year],2024, sales_data_1[month], $B35, sales_data_1[Sales_Rep], "David", sales_data_1[Product_Category], R$10)</f>
        <v>125</v>
      </c>
      <c r="Y35" s="5">
        <f t="shared" si="20"/>
        <v>508</v>
      </c>
      <c r="Z35" s="19">
        <f t="shared" si="14"/>
        <v>511.58333333333331</v>
      </c>
      <c r="AA35" s="5">
        <f>SUMIFS(sales_data_1[Quantity_Sold],sales_data_1[Year],2024, sales_data_1[month], $B35, sales_data_1[Sales_Rep], "Eve", sales_data_1[Product_Category], U$10)</f>
        <v>231</v>
      </c>
      <c r="AB35" s="5">
        <f>SUMIFS(sales_data_1[Quantity_Sold],sales_data_1[Year],2024, sales_data_1[month], $B35, sales_data_1[Sales_Rep], "Eve", sales_data_1[Product_Category], V$10)</f>
        <v>121</v>
      </c>
      <c r="AC35" s="5">
        <f>SUMIFS(sales_data_1[Quantity_Sold],sales_data_1[Year],2024, sales_data_1[month], $B35, sales_data_1[Sales_Rep], "Eve", sales_data_1[Product_Category], W$10)</f>
        <v>209</v>
      </c>
      <c r="AD35" s="5">
        <f>SUMIFS(sales_data_1[Quantity_Sold],sales_data_1[Year],2024, sales_data_1[month], $B35, sales_data_1[Sales_Rep], "Eve", sales_data_1[Product_Category], R$10)</f>
        <v>142</v>
      </c>
      <c r="AE35" s="5">
        <f t="shared" si="21"/>
        <v>703</v>
      </c>
      <c r="AF35" s="79">
        <f t="shared" si="15"/>
        <v>446.41666666666669</v>
      </c>
      <c r="AG35" s="5">
        <f t="shared" si="10"/>
        <v>2495</v>
      </c>
      <c r="AH35" s="5">
        <f t="shared" si="16"/>
        <v>2108.4166666666665</v>
      </c>
    </row>
    <row r="36" spans="1:34" x14ac:dyDescent="0.35">
      <c r="A36" s="5"/>
      <c r="B36" s="5" t="s">
        <v>46</v>
      </c>
      <c r="C36" s="5">
        <f>SUMIFS(sales_data_1[Quantity_Sold],sales_data_1[Year],2024, sales_data_1[month], $B36, sales_data_1[Sales_Rep], "Alice", sales_data_1[Product_Category], C$10)</f>
        <v>135</v>
      </c>
      <c r="D36" s="5">
        <f>SUMIFS(sales_data_1[Quantity_Sold],sales_data_1[Year],2024, sales_data_1[month], $B36, sales_data_1[Sales_Rep], "Alice", sales_data_1[Product_Category], D$10)</f>
        <v>141</v>
      </c>
      <c r="E36" s="5">
        <f>SUMIFS(sales_data_1[Quantity_Sold],sales_data_1[Year],2024, sales_data_1[month], $B36, sales_data_1[Sales_Rep], "Alice", sales_data_1[Product_Category], E$10)</f>
        <v>151</v>
      </c>
      <c r="F36" s="5">
        <f>SUMIFS(sales_data_1[Quantity_Sold],sales_data_1[Year],2024, sales_data_1[month], $B36, sales_data_1[Sales_Rep], "Alice", sales_data_1[Product_Category], F$10)</f>
        <v>114</v>
      </c>
      <c r="G36" s="5">
        <f t="shared" ref="G36:G46" si="22">SUM(C36:F36)</f>
        <v>541</v>
      </c>
      <c r="H36" s="19">
        <f t="shared" si="11"/>
        <v>404.91666666666669</v>
      </c>
      <c r="I36" s="5">
        <f>SUMIFS(sales_data_1[Quantity_Sold],sales_data_1[Year],2024, sales_data_1[month], $B36, sales_data_1[Sales_Rep], "Bob", sales_data_1[Product_Category], I$10)</f>
        <v>206</v>
      </c>
      <c r="J36" s="5">
        <f>SUMIFS(sales_data_1[Quantity_Sold],sales_data_1[Year],2024, sales_data_1[month], $B36, sales_data_1[Sales_Rep], "Bob", sales_data_1[Product_Category], J$10)</f>
        <v>87</v>
      </c>
      <c r="K36" s="5">
        <f>SUMIFS(sales_data_1[Quantity_Sold],sales_data_1[Year],2024, sales_data_1[month], $B36, sales_data_1[Sales_Rep], "Bob", sales_data_1[Product_Category], K$10)</f>
        <v>31</v>
      </c>
      <c r="L36" s="5">
        <f>SUMIFS(sales_data_1[Quantity_Sold],sales_data_1[Year],2024, sales_data_1[month], $B36, sales_data_1[Sales_Rep], "Bob", sales_data_1[Product_Category], L$10)</f>
        <v>175</v>
      </c>
      <c r="M36" s="5">
        <f t="shared" ref="M36:M46" si="23">SUM(I36:L36)</f>
        <v>499</v>
      </c>
      <c r="N36" s="19">
        <f t="shared" si="12"/>
        <v>425.66666666666669</v>
      </c>
      <c r="O36" s="5">
        <f>SUMIFS(sales_data_1[Quantity_Sold],sales_data_1[Year],2024, sales_data_1[month], $B36, sales_data_1[Sales_Rep], "Charlie", sales_data_1[Product_Category], O$10)</f>
        <v>39</v>
      </c>
      <c r="P36" s="5">
        <f>SUMIFS(sales_data_1[Quantity_Sold],sales_data_1[Year],2024, sales_data_1[month], $B36, sales_data_1[Sales_Rep], "Charlie", sales_data_1[Product_Category], P$10)</f>
        <v>121</v>
      </c>
      <c r="Q36" s="5">
        <f>SUMIFS(sales_data_1[Quantity_Sold],sales_data_1[Year],2024, sales_data_1[month], $B36, sales_data_1[Sales_Rep], "Charlie", sales_data_1[Product_Category], Q$10)</f>
        <v>50</v>
      </c>
      <c r="R36" s="5">
        <f>SUMIFS(sales_data_1[Quantity_Sold],sales_data_1[Year],2024, sales_data_1[month], $B36, sales_data_1[Sales_Rep], "Charlie", sales_data_1[Product_Category], R$10)</f>
        <v>200</v>
      </c>
      <c r="S36" s="5">
        <f t="shared" ref="S36:S46" si="24">SUM(O36:R36)</f>
        <v>410</v>
      </c>
      <c r="T36" s="19">
        <f t="shared" si="13"/>
        <v>342</v>
      </c>
      <c r="U36" s="5">
        <f>SUMIFS(sales_data_1[Quantity_Sold],sales_data_1[Year],2024, sales_data_1[month], $B36, sales_data_1[Sales_Rep], "David", sales_data_1[Product_Category], U$10)</f>
        <v>100</v>
      </c>
      <c r="V36" s="5">
        <f>SUMIFS(sales_data_1[Quantity_Sold],sales_data_1[Year],2024, sales_data_1[month], $B36, sales_data_1[Sales_Rep], "David", sales_data_1[Product_Category], V$10)</f>
        <v>82</v>
      </c>
      <c r="W36" s="5">
        <f>SUMIFS(sales_data_1[Quantity_Sold],sales_data_1[Year],2024, sales_data_1[month], $B36, sales_data_1[Sales_Rep], "David", sales_data_1[Product_Category], W$10)</f>
        <v>31</v>
      </c>
      <c r="X36" s="5">
        <f>SUMIFS(sales_data_1[Quantity_Sold],sales_data_1[Year],2024, sales_data_1[month], $B36, sales_data_1[Sales_Rep], "David", sales_data_1[Product_Category], R$10)</f>
        <v>111</v>
      </c>
      <c r="Y36" s="5">
        <f t="shared" ref="Y36:Y46" si="25">SUM(U36:X36)</f>
        <v>324</v>
      </c>
      <c r="Z36" s="19">
        <f t="shared" si="14"/>
        <v>494.08333333333331</v>
      </c>
      <c r="AA36" s="5">
        <f>SUMIFS(sales_data_1[Quantity_Sold],sales_data_1[Year],2024, sales_data_1[month], $B36, sales_data_1[Sales_Rep], "Eve", sales_data_1[Product_Category], U$10)</f>
        <v>88</v>
      </c>
      <c r="AB36" s="5">
        <f>SUMIFS(sales_data_1[Quantity_Sold],sales_data_1[Year],2024, sales_data_1[month], $B36, sales_data_1[Sales_Rep], "Eve", sales_data_1[Product_Category], V$10)</f>
        <v>72</v>
      </c>
      <c r="AC36" s="5">
        <f>SUMIFS(sales_data_1[Quantity_Sold],sales_data_1[Year],2024, sales_data_1[month], $B36, sales_data_1[Sales_Rep], "Eve", sales_data_1[Product_Category], W$10)</f>
        <v>139</v>
      </c>
      <c r="AD36" s="5">
        <f>SUMIFS(sales_data_1[Quantity_Sold],sales_data_1[Year],2024, sales_data_1[month], $B36, sales_data_1[Sales_Rep], "Eve", sales_data_1[Product_Category], R$10)</f>
        <v>33</v>
      </c>
      <c r="AE36" s="5">
        <f t="shared" ref="AE36:AE46" si="26">SUM(AA36:AD36)</f>
        <v>332</v>
      </c>
      <c r="AF36" s="79">
        <f t="shared" si="15"/>
        <v>445.25</v>
      </c>
      <c r="AG36" s="5">
        <f t="shared" si="10"/>
        <v>2106</v>
      </c>
      <c r="AH36" s="5">
        <f t="shared" si="16"/>
        <v>2111.9166666666665</v>
      </c>
    </row>
    <row r="37" spans="1:34" x14ac:dyDescent="0.35">
      <c r="A37" s="5"/>
      <c r="B37" s="5" t="s">
        <v>47</v>
      </c>
      <c r="C37" s="5">
        <f>SUMIFS(sales_data_1[Quantity_Sold],sales_data_1[Year],2024, sales_data_1[month], $B37, sales_data_1[Sales_Rep], "Alice", sales_data_1[Product_Category], C$10)</f>
        <v>157</v>
      </c>
      <c r="D37" s="5">
        <f>SUMIFS(sales_data_1[Quantity_Sold],sales_data_1[Year],2024, sales_data_1[month], $B37, sales_data_1[Sales_Rep], "Alice", sales_data_1[Product_Category], D$10)</f>
        <v>128</v>
      </c>
      <c r="E37" s="5">
        <f>SUMIFS(sales_data_1[Quantity_Sold],sales_data_1[Year],2024, sales_data_1[month], $B37, sales_data_1[Sales_Rep], "Alice", sales_data_1[Product_Category], E$10)</f>
        <v>113</v>
      </c>
      <c r="F37" s="5">
        <f>SUMIFS(sales_data_1[Quantity_Sold],sales_data_1[Year],2024, sales_data_1[month], $B37, sales_data_1[Sales_Rep], "Alice", sales_data_1[Product_Category], F$10)</f>
        <v>103</v>
      </c>
      <c r="G37" s="5">
        <f t="shared" si="22"/>
        <v>501</v>
      </c>
      <c r="H37" s="19">
        <f t="shared" si="11"/>
        <v>411.33333333333331</v>
      </c>
      <c r="I37" s="5">
        <f>SUMIFS(sales_data_1[Quantity_Sold],sales_data_1[Year],2024, sales_data_1[month], $B37, sales_data_1[Sales_Rep], "Bob", sales_data_1[Product_Category], I$10)</f>
        <v>133</v>
      </c>
      <c r="J37" s="5">
        <f>SUMIFS(sales_data_1[Quantity_Sold],sales_data_1[Year],2024, sales_data_1[month], $B37, sales_data_1[Sales_Rep], "Bob", sales_data_1[Product_Category], J$10)</f>
        <v>105</v>
      </c>
      <c r="K37" s="5">
        <f>SUMIFS(sales_data_1[Quantity_Sold],sales_data_1[Year],2024, sales_data_1[month], $B37, sales_data_1[Sales_Rep], "Bob", sales_data_1[Product_Category], K$10)</f>
        <v>130</v>
      </c>
      <c r="L37" s="5">
        <f>SUMIFS(sales_data_1[Quantity_Sold],sales_data_1[Year],2024, sales_data_1[month], $B37, sales_data_1[Sales_Rep], "Bob", sales_data_1[Product_Category], L$10)</f>
        <v>130</v>
      </c>
      <c r="M37" s="5">
        <f t="shared" si="23"/>
        <v>498</v>
      </c>
      <c r="N37" s="19">
        <f t="shared" si="12"/>
        <v>436.83333333333331</v>
      </c>
      <c r="O37" s="5">
        <f>SUMIFS(sales_data_1[Quantity_Sold],sales_data_1[Year],2024, sales_data_1[month], $B37, sales_data_1[Sales_Rep], "Charlie", sales_data_1[Product_Category], O$10)</f>
        <v>135</v>
      </c>
      <c r="P37" s="5">
        <f>SUMIFS(sales_data_1[Quantity_Sold],sales_data_1[Year],2024, sales_data_1[month], $B37, sales_data_1[Sales_Rep], "Charlie", sales_data_1[Product_Category], P$10)</f>
        <v>275</v>
      </c>
      <c r="Q37" s="5">
        <f>SUMIFS(sales_data_1[Quantity_Sold],sales_data_1[Year],2024, sales_data_1[month], $B37, sales_data_1[Sales_Rep], "Charlie", sales_data_1[Product_Category], Q$10)</f>
        <v>159</v>
      </c>
      <c r="R37" s="5">
        <f>SUMIFS(sales_data_1[Quantity_Sold],sales_data_1[Year],2024, sales_data_1[month], $B37, sales_data_1[Sales_Rep], "Charlie", sales_data_1[Product_Category], R$10)</f>
        <v>283</v>
      </c>
      <c r="S37" s="5">
        <f t="shared" si="24"/>
        <v>852</v>
      </c>
      <c r="T37" s="19">
        <f t="shared" si="13"/>
        <v>395.25</v>
      </c>
      <c r="U37" s="5">
        <f>SUMIFS(sales_data_1[Quantity_Sold],sales_data_1[Year],2024, sales_data_1[month], $B37, sales_data_1[Sales_Rep], "David", sales_data_1[Product_Category], U$10)</f>
        <v>121</v>
      </c>
      <c r="V37" s="5">
        <f>SUMIFS(sales_data_1[Quantity_Sold],sales_data_1[Year],2024, sales_data_1[month], $B37, sales_data_1[Sales_Rep], "David", sales_data_1[Product_Category], V$10)</f>
        <v>105</v>
      </c>
      <c r="W37" s="5">
        <f>SUMIFS(sales_data_1[Quantity_Sold],sales_data_1[Year],2024, sales_data_1[month], $B37, sales_data_1[Sales_Rep], "David", sales_data_1[Product_Category], W$10)</f>
        <v>42</v>
      </c>
      <c r="X37" s="5">
        <f>SUMIFS(sales_data_1[Quantity_Sold],sales_data_1[Year],2024, sales_data_1[month], $B37, sales_data_1[Sales_Rep], "David", sales_data_1[Product_Category], R$10)</f>
        <v>168</v>
      </c>
      <c r="Y37" s="5">
        <f t="shared" si="25"/>
        <v>436</v>
      </c>
      <c r="Z37" s="19">
        <f t="shared" si="14"/>
        <v>492.41666666666669</v>
      </c>
      <c r="AA37" s="5">
        <f>SUMIFS(sales_data_1[Quantity_Sold],sales_data_1[Year],2024, sales_data_1[month], $B37, sales_data_1[Sales_Rep], "Eve", sales_data_1[Product_Category], U$10)</f>
        <v>153</v>
      </c>
      <c r="AB37" s="5">
        <f>SUMIFS(sales_data_1[Quantity_Sold],sales_data_1[Year],2024, sales_data_1[month], $B37, sales_data_1[Sales_Rep], "Eve", sales_data_1[Product_Category], V$10)</f>
        <v>107</v>
      </c>
      <c r="AC37" s="5">
        <f>SUMIFS(sales_data_1[Quantity_Sold],sales_data_1[Year],2024, sales_data_1[month], $B37, sales_data_1[Sales_Rep], "Eve", sales_data_1[Product_Category], W$10)</f>
        <v>76</v>
      </c>
      <c r="AD37" s="5">
        <f>SUMIFS(sales_data_1[Quantity_Sold],sales_data_1[Year],2024, sales_data_1[month], $B37, sales_data_1[Sales_Rep], "Eve", sales_data_1[Product_Category], R$10)</f>
        <v>213</v>
      </c>
      <c r="AE37" s="5">
        <f t="shared" si="26"/>
        <v>549</v>
      </c>
      <c r="AF37" s="79">
        <f t="shared" si="15"/>
        <v>440</v>
      </c>
      <c r="AG37" s="5">
        <f t="shared" si="10"/>
        <v>2836</v>
      </c>
      <c r="AH37" s="5">
        <f t="shared" si="16"/>
        <v>2175.8333333333335</v>
      </c>
    </row>
    <row r="38" spans="1:34" x14ac:dyDescent="0.35">
      <c r="A38" s="5"/>
      <c r="B38" s="5" t="s">
        <v>48</v>
      </c>
      <c r="C38" s="5">
        <f>SUMIFS(sales_data_1[Quantity_Sold],sales_data_1[Year],2024, sales_data_1[month], $B38, sales_data_1[Sales_Rep], "Alice", sales_data_1[Product_Category], C$10)</f>
        <v>145</v>
      </c>
      <c r="D38" s="5">
        <f>SUMIFS(sales_data_1[Quantity_Sold],sales_data_1[Year],2024, sales_data_1[month], $B38, sales_data_1[Sales_Rep], "Alice", sales_data_1[Product_Category], D$10)</f>
        <v>127</v>
      </c>
      <c r="E38" s="5">
        <f>SUMIFS(sales_data_1[Quantity_Sold],sales_data_1[Year],2024, sales_data_1[month], $B38, sales_data_1[Sales_Rep], "Alice", sales_data_1[Product_Category], E$10)</f>
        <v>115</v>
      </c>
      <c r="F38" s="5">
        <f>SUMIFS(sales_data_1[Quantity_Sold],sales_data_1[Year],2024, sales_data_1[month], $B38, sales_data_1[Sales_Rep], "Alice", sales_data_1[Product_Category], F$10)</f>
        <v>170</v>
      </c>
      <c r="G38" s="5">
        <f t="shared" si="22"/>
        <v>557</v>
      </c>
      <c r="H38" s="19">
        <f t="shared" si="11"/>
        <v>425.25</v>
      </c>
      <c r="I38" s="5">
        <f>SUMIFS(sales_data_1[Quantity_Sold],sales_data_1[Year],2024, sales_data_1[month], $B38, sales_data_1[Sales_Rep], "Bob", sales_data_1[Product_Category], I$10)</f>
        <v>127</v>
      </c>
      <c r="J38" s="5">
        <f>SUMIFS(sales_data_1[Quantity_Sold],sales_data_1[Year],2024, sales_data_1[month], $B38, sales_data_1[Sales_Rep], "Bob", sales_data_1[Product_Category], J$10)</f>
        <v>132</v>
      </c>
      <c r="K38" s="5">
        <f>SUMIFS(sales_data_1[Quantity_Sold],sales_data_1[Year],2024, sales_data_1[month], $B38, sales_data_1[Sales_Rep], "Bob", sales_data_1[Product_Category], K$10)</f>
        <v>46</v>
      </c>
      <c r="L38" s="5">
        <f>SUMIFS(sales_data_1[Quantity_Sold],sales_data_1[Year],2024, sales_data_1[month], $B38, sales_data_1[Sales_Rep], "Bob", sales_data_1[Product_Category], L$10)</f>
        <v>56</v>
      </c>
      <c r="M38" s="5">
        <f t="shared" si="23"/>
        <v>361</v>
      </c>
      <c r="N38" s="19">
        <f t="shared" si="12"/>
        <v>449.25</v>
      </c>
      <c r="O38" s="5">
        <f>SUMIFS(sales_data_1[Quantity_Sold],sales_data_1[Year],2024, sales_data_1[month], $B38, sales_data_1[Sales_Rep], "Charlie", sales_data_1[Product_Category], O$10)</f>
        <v>49</v>
      </c>
      <c r="P38" s="5">
        <f>SUMIFS(sales_data_1[Quantity_Sold],sales_data_1[Year],2024, sales_data_1[month], $B38, sales_data_1[Sales_Rep], "Charlie", sales_data_1[Product_Category], P$10)</f>
        <v>48</v>
      </c>
      <c r="Q38" s="5">
        <f>SUMIFS(sales_data_1[Quantity_Sold],sales_data_1[Year],2024, sales_data_1[month], $B38, sales_data_1[Sales_Rep], "Charlie", sales_data_1[Product_Category], Q$10)</f>
        <v>20</v>
      </c>
      <c r="R38" s="5">
        <f>SUMIFS(sales_data_1[Quantity_Sold],sales_data_1[Year],2024, sales_data_1[month], $B38, sales_data_1[Sales_Rep], "Charlie", sales_data_1[Product_Category], R$10)</f>
        <v>26</v>
      </c>
      <c r="S38" s="5">
        <f t="shared" si="24"/>
        <v>143</v>
      </c>
      <c r="T38" s="19">
        <f t="shared" si="13"/>
        <v>365.58333333333331</v>
      </c>
      <c r="U38" s="5">
        <f>SUMIFS(sales_data_1[Quantity_Sold],sales_data_1[Year],2024, sales_data_1[month], $B38, sales_data_1[Sales_Rep], "David", sales_data_1[Product_Category], U$10)</f>
        <v>119</v>
      </c>
      <c r="V38" s="5">
        <f>SUMIFS(sales_data_1[Quantity_Sold],sales_data_1[Year],2024, sales_data_1[month], $B38, sales_data_1[Sales_Rep], "David", sales_data_1[Product_Category], V$10)</f>
        <v>56</v>
      </c>
      <c r="W38" s="5">
        <f>SUMIFS(sales_data_1[Quantity_Sold],sales_data_1[Year],2024, sales_data_1[month], $B38, sales_data_1[Sales_Rep], "David", sales_data_1[Product_Category], W$10)</f>
        <v>116</v>
      </c>
      <c r="X38" s="5">
        <f>SUMIFS(sales_data_1[Quantity_Sold],sales_data_1[Year],2024, sales_data_1[month], $B38, sales_data_1[Sales_Rep], "David", sales_data_1[Product_Category], R$10)</f>
        <v>234</v>
      </c>
      <c r="Y38" s="5">
        <f t="shared" si="25"/>
        <v>525</v>
      </c>
      <c r="Z38" s="19">
        <f t="shared" si="14"/>
        <v>498.83333333333331</v>
      </c>
      <c r="AA38" s="5">
        <f>SUMIFS(sales_data_1[Quantity_Sold],sales_data_1[Year],2024, sales_data_1[month], $B38, sales_data_1[Sales_Rep], "Eve", sales_data_1[Product_Category], U$10)</f>
        <v>188</v>
      </c>
      <c r="AB38" s="5">
        <f>SUMIFS(sales_data_1[Quantity_Sold],sales_data_1[Year],2024, sales_data_1[month], $B38, sales_data_1[Sales_Rep], "Eve", sales_data_1[Product_Category], V$10)</f>
        <v>68</v>
      </c>
      <c r="AC38" s="5">
        <f>SUMIFS(sales_data_1[Quantity_Sold],sales_data_1[Year],2024, sales_data_1[month], $B38, sales_data_1[Sales_Rep], "Eve", sales_data_1[Product_Category], W$10)</f>
        <v>230</v>
      </c>
      <c r="AD38" s="5">
        <f>SUMIFS(sales_data_1[Quantity_Sold],sales_data_1[Year],2024, sales_data_1[month], $B38, sales_data_1[Sales_Rep], "Eve", sales_data_1[Product_Category], R$10)</f>
        <v>54</v>
      </c>
      <c r="AE38" s="5">
        <f t="shared" si="26"/>
        <v>540</v>
      </c>
      <c r="AF38" s="79">
        <f t="shared" si="15"/>
        <v>449.33333333333331</v>
      </c>
      <c r="AG38" s="5">
        <f t="shared" si="10"/>
        <v>2126</v>
      </c>
      <c r="AH38" s="5">
        <f t="shared" si="16"/>
        <v>2188.25</v>
      </c>
    </row>
    <row r="39" spans="1:34" x14ac:dyDescent="0.35">
      <c r="A39" s="5"/>
      <c r="B39" s="5" t="s">
        <v>49</v>
      </c>
      <c r="C39" s="5">
        <f>SUMIFS(sales_data_1[Quantity_Sold],sales_data_1[Year],2024, sales_data_1[month], $B39, sales_data_1[Sales_Rep], "Alice", sales_data_1[Product_Category], C$10)</f>
        <v>309</v>
      </c>
      <c r="D39" s="5">
        <f>SUMIFS(sales_data_1[Quantity_Sold],sales_data_1[Year],2024, sales_data_1[month], $B39, sales_data_1[Sales_Rep], "Alice", sales_data_1[Product_Category], D$10)</f>
        <v>120</v>
      </c>
      <c r="E39" s="5">
        <f>SUMIFS(sales_data_1[Quantity_Sold],sales_data_1[Year],2024, sales_data_1[month], $B39, sales_data_1[Sales_Rep], "Alice", sales_data_1[Product_Category], E$10)</f>
        <v>180</v>
      </c>
      <c r="F39" s="5">
        <f>SUMIFS(sales_data_1[Quantity_Sold],sales_data_1[Year],2024, sales_data_1[month], $B39, sales_data_1[Sales_Rep], "Alice", sales_data_1[Product_Category], F$10)</f>
        <v>205</v>
      </c>
      <c r="G39" s="5">
        <f t="shared" si="22"/>
        <v>814</v>
      </c>
      <c r="H39" s="19">
        <f t="shared" si="11"/>
        <v>458.75</v>
      </c>
      <c r="I39" s="5">
        <f>SUMIFS(sales_data_1[Quantity_Sold],sales_data_1[Year],2024, sales_data_1[month], $B39, sales_data_1[Sales_Rep], "Bob", sales_data_1[Product_Category], I$10)</f>
        <v>62</v>
      </c>
      <c r="J39" s="5">
        <f>SUMIFS(sales_data_1[Quantity_Sold],sales_data_1[Year],2024, sales_data_1[month], $B39, sales_data_1[Sales_Rep], "Bob", sales_data_1[Product_Category], J$10)</f>
        <v>40</v>
      </c>
      <c r="K39" s="5">
        <f>SUMIFS(sales_data_1[Quantity_Sold],sales_data_1[Year],2024, sales_data_1[month], $B39, sales_data_1[Sales_Rep], "Bob", sales_data_1[Product_Category], K$10)</f>
        <v>119</v>
      </c>
      <c r="L39" s="5">
        <f>SUMIFS(sales_data_1[Quantity_Sold],sales_data_1[Year],2024, sales_data_1[month], $B39, sales_data_1[Sales_Rep], "Bob", sales_data_1[Product_Category], L$10)</f>
        <v>147</v>
      </c>
      <c r="M39" s="5">
        <f t="shared" si="23"/>
        <v>368</v>
      </c>
      <c r="N39" s="19">
        <f t="shared" si="12"/>
        <v>433.75</v>
      </c>
      <c r="O39" s="5">
        <f>SUMIFS(sales_data_1[Quantity_Sold],sales_data_1[Year],2024, sales_data_1[month], $B39, sales_data_1[Sales_Rep], "Charlie", sales_data_1[Product_Category], O$10)</f>
        <v>64</v>
      </c>
      <c r="P39" s="5">
        <f>SUMIFS(sales_data_1[Quantity_Sold],sales_data_1[Year],2024, sales_data_1[month], $B39, sales_data_1[Sales_Rep], "Charlie", sales_data_1[Product_Category], P$10)</f>
        <v>0</v>
      </c>
      <c r="Q39" s="5">
        <f>SUMIFS(sales_data_1[Quantity_Sold],sales_data_1[Year],2024, sales_data_1[month], $B39, sales_data_1[Sales_Rep], "Charlie", sales_data_1[Product_Category], Q$10)</f>
        <v>193</v>
      </c>
      <c r="R39" s="5">
        <f>SUMIFS(sales_data_1[Quantity_Sold],sales_data_1[Year],2024, sales_data_1[month], $B39, sales_data_1[Sales_Rep], "Charlie", sales_data_1[Product_Category], R$10)</f>
        <v>117</v>
      </c>
      <c r="S39" s="5">
        <f t="shared" si="24"/>
        <v>374</v>
      </c>
      <c r="T39" s="19">
        <f t="shared" si="13"/>
        <v>373.08333333333331</v>
      </c>
      <c r="U39" s="5">
        <f>SUMIFS(sales_data_1[Quantity_Sold],sales_data_1[Year],2024, sales_data_1[month], $B39, sales_data_1[Sales_Rep], "David", sales_data_1[Product_Category], U$10)</f>
        <v>0</v>
      </c>
      <c r="V39" s="5">
        <f>SUMIFS(sales_data_1[Quantity_Sold],sales_data_1[Year],2024, sales_data_1[month], $B39, sales_data_1[Sales_Rep], "David", sales_data_1[Product_Category], V$10)</f>
        <v>147</v>
      </c>
      <c r="W39" s="5">
        <f>SUMIFS(sales_data_1[Quantity_Sold],sales_data_1[Year],2024, sales_data_1[month], $B39, sales_data_1[Sales_Rep], "David", sales_data_1[Product_Category], W$10)</f>
        <v>192</v>
      </c>
      <c r="X39" s="5">
        <f>SUMIFS(sales_data_1[Quantity_Sold],sales_data_1[Year],2024, sales_data_1[month], $B39, sales_data_1[Sales_Rep], "David", sales_data_1[Product_Category], R$10)</f>
        <v>155</v>
      </c>
      <c r="Y39" s="5">
        <f t="shared" si="25"/>
        <v>494</v>
      </c>
      <c r="Z39" s="19">
        <f t="shared" si="14"/>
        <v>504.83333333333331</v>
      </c>
      <c r="AA39" s="5">
        <f>SUMIFS(sales_data_1[Quantity_Sold],sales_data_1[Year],2024, sales_data_1[month], $B39, sales_data_1[Sales_Rep], "Eve", sales_data_1[Product_Category], U$10)</f>
        <v>149</v>
      </c>
      <c r="AB39" s="5">
        <f>SUMIFS(sales_data_1[Quantity_Sold],sales_data_1[Year],2024, sales_data_1[month], $B39, sales_data_1[Sales_Rep], "Eve", sales_data_1[Product_Category], V$10)</f>
        <v>127</v>
      </c>
      <c r="AC39" s="5">
        <f>SUMIFS(sales_data_1[Quantity_Sold],sales_data_1[Year],2024, sales_data_1[month], $B39, sales_data_1[Sales_Rep], "Eve", sales_data_1[Product_Category], W$10)</f>
        <v>178</v>
      </c>
      <c r="AD39" s="5">
        <f>SUMIFS(sales_data_1[Quantity_Sold],sales_data_1[Year],2024, sales_data_1[month], $B39, sales_data_1[Sales_Rep], "Eve", sales_data_1[Product_Category], R$10)</f>
        <v>272</v>
      </c>
      <c r="AE39" s="5">
        <f t="shared" si="26"/>
        <v>726</v>
      </c>
      <c r="AF39" s="79">
        <f t="shared" si="15"/>
        <v>485.16666666666669</v>
      </c>
      <c r="AG39" s="5">
        <f t="shared" si="10"/>
        <v>2776</v>
      </c>
      <c r="AH39" s="5">
        <f t="shared" si="16"/>
        <v>2255.5833333333335</v>
      </c>
    </row>
    <row r="40" spans="1:34" x14ac:dyDescent="0.35">
      <c r="A40" s="5"/>
      <c r="B40" s="5" t="s">
        <v>50</v>
      </c>
      <c r="C40" s="5">
        <f>SUMIFS(sales_data_1[Quantity_Sold],sales_data_1[Year],2024, sales_data_1[month], $B40, sales_data_1[Sales_Rep], "Alice", sales_data_1[Product_Category], C$10)</f>
        <v>117</v>
      </c>
      <c r="D40" s="5">
        <f>SUMIFS(sales_data_1[Quantity_Sold],sales_data_1[Year],2024, sales_data_1[month], $B40, sales_data_1[Sales_Rep], "Alice", sales_data_1[Product_Category], D$10)</f>
        <v>77</v>
      </c>
      <c r="E40" s="5">
        <f>SUMIFS(sales_data_1[Quantity_Sold],sales_data_1[Year],2024, sales_data_1[month], $B40, sales_data_1[Sales_Rep], "Alice", sales_data_1[Product_Category], E$10)</f>
        <v>86</v>
      </c>
      <c r="F40" s="5">
        <f>SUMIFS(sales_data_1[Quantity_Sold],sales_data_1[Year],2024, sales_data_1[month], $B40, sales_data_1[Sales_Rep], "Alice", sales_data_1[Product_Category], F$10)</f>
        <v>183</v>
      </c>
      <c r="G40" s="5">
        <f t="shared" si="22"/>
        <v>463</v>
      </c>
      <c r="H40" s="19">
        <f t="shared" si="11"/>
        <v>464.66666666666669</v>
      </c>
      <c r="I40" s="5">
        <f>SUMIFS(sales_data_1[Quantity_Sold],sales_data_1[Year],2024, sales_data_1[month], $B40, sales_data_1[Sales_Rep], "Bob", sales_data_1[Product_Category], I$10)</f>
        <v>64</v>
      </c>
      <c r="J40" s="5">
        <f>SUMIFS(sales_data_1[Quantity_Sold],sales_data_1[Year],2024, sales_data_1[month], $B40, sales_data_1[Sales_Rep], "Bob", sales_data_1[Product_Category], J$10)</f>
        <v>149</v>
      </c>
      <c r="K40" s="5">
        <f>SUMIFS(sales_data_1[Quantity_Sold],sales_data_1[Year],2024, sales_data_1[month], $B40, sales_data_1[Sales_Rep], "Bob", sales_data_1[Product_Category], K$10)</f>
        <v>106</v>
      </c>
      <c r="L40" s="5">
        <f>SUMIFS(sales_data_1[Quantity_Sold],sales_data_1[Year],2024, sales_data_1[month], $B40, sales_data_1[Sales_Rep], "Bob", sales_data_1[Product_Category], L$10)</f>
        <v>107</v>
      </c>
      <c r="M40" s="5">
        <f t="shared" si="23"/>
        <v>426</v>
      </c>
      <c r="N40" s="19">
        <f t="shared" si="12"/>
        <v>429.83333333333331</v>
      </c>
      <c r="O40" s="5">
        <f>SUMIFS(sales_data_1[Quantity_Sold],sales_data_1[Year],2024, sales_data_1[month], $B40, sales_data_1[Sales_Rep], "Charlie", sales_data_1[Product_Category], O$10)</f>
        <v>156</v>
      </c>
      <c r="P40" s="5">
        <f>SUMIFS(sales_data_1[Quantity_Sold],sales_data_1[Year],2024, sales_data_1[month], $B40, sales_data_1[Sales_Rep], "Charlie", sales_data_1[Product_Category], P$10)</f>
        <v>83</v>
      </c>
      <c r="Q40" s="5">
        <f>SUMIFS(sales_data_1[Quantity_Sold],sales_data_1[Year],2024, sales_data_1[month], $B40, sales_data_1[Sales_Rep], "Charlie", sales_data_1[Product_Category], Q$10)</f>
        <v>149</v>
      </c>
      <c r="R40" s="5">
        <f>SUMIFS(sales_data_1[Quantity_Sold],sales_data_1[Year],2024, sales_data_1[month], $B40, sales_data_1[Sales_Rep], "Charlie", sales_data_1[Product_Category], R$10)</f>
        <v>130</v>
      </c>
      <c r="S40" s="5">
        <f t="shared" si="24"/>
        <v>518</v>
      </c>
      <c r="T40" s="19">
        <f t="shared" si="13"/>
        <v>387.91666666666669</v>
      </c>
      <c r="U40" s="5">
        <f>SUMIFS(sales_data_1[Quantity_Sold],sales_data_1[Year],2024, sales_data_1[month], $B40, sales_data_1[Sales_Rep], "David", sales_data_1[Product_Category], U$10)</f>
        <v>121</v>
      </c>
      <c r="V40" s="5">
        <f>SUMIFS(sales_data_1[Quantity_Sold],sales_data_1[Year],2024, sales_data_1[month], $B40, sales_data_1[Sales_Rep], "David", sales_data_1[Product_Category], V$10)</f>
        <v>98</v>
      </c>
      <c r="W40" s="5">
        <f>SUMIFS(sales_data_1[Quantity_Sold],sales_data_1[Year],2024, sales_data_1[month], $B40, sales_data_1[Sales_Rep], "David", sales_data_1[Product_Category], W$10)</f>
        <v>98</v>
      </c>
      <c r="X40" s="5">
        <f>SUMIFS(sales_data_1[Quantity_Sold],sales_data_1[Year],2024, sales_data_1[month], $B40, sales_data_1[Sales_Rep], "David", sales_data_1[Product_Category], R$10)</f>
        <v>6</v>
      </c>
      <c r="Y40" s="5">
        <f t="shared" si="25"/>
        <v>323</v>
      </c>
      <c r="Z40" s="19">
        <f t="shared" si="14"/>
        <v>495.5</v>
      </c>
      <c r="AA40" s="5">
        <f>SUMIFS(sales_data_1[Quantity_Sold],sales_data_1[Year],2024, sales_data_1[month], $B40, sales_data_1[Sales_Rep], "Eve", sales_data_1[Product_Category], U$10)</f>
        <v>56</v>
      </c>
      <c r="AB40" s="5">
        <f>SUMIFS(sales_data_1[Quantity_Sold],sales_data_1[Year],2024, sales_data_1[month], $B40, sales_data_1[Sales_Rep], "Eve", sales_data_1[Product_Category], V$10)</f>
        <v>109</v>
      </c>
      <c r="AC40" s="5">
        <f>SUMIFS(sales_data_1[Quantity_Sold],sales_data_1[Year],2024, sales_data_1[month], $B40, sales_data_1[Sales_Rep], "Eve", sales_data_1[Product_Category], W$10)</f>
        <v>149</v>
      </c>
      <c r="AD40" s="5">
        <f>SUMIFS(sales_data_1[Quantity_Sold],sales_data_1[Year],2024, sales_data_1[month], $B40, sales_data_1[Sales_Rep], "Eve", sales_data_1[Product_Category], R$10)</f>
        <v>111</v>
      </c>
      <c r="AE40" s="5">
        <f t="shared" si="26"/>
        <v>425</v>
      </c>
      <c r="AF40" s="79">
        <f t="shared" si="15"/>
        <v>467.58333333333331</v>
      </c>
      <c r="AG40" s="5">
        <f t="shared" si="10"/>
        <v>2155</v>
      </c>
      <c r="AH40" s="5">
        <f t="shared" si="16"/>
        <v>2245.5</v>
      </c>
    </row>
    <row r="41" spans="1:34" x14ac:dyDescent="0.35">
      <c r="A41" s="5"/>
      <c r="B41" s="5" t="s">
        <v>51</v>
      </c>
      <c r="C41" s="5">
        <f>SUMIFS(sales_data_1[Quantity_Sold],sales_data_1[Year],2024, sales_data_1[month], $B41, sales_data_1[Sales_Rep], "Alice", sales_data_1[Product_Category], C$10)</f>
        <v>115</v>
      </c>
      <c r="D41" s="5">
        <f>SUMIFS(sales_data_1[Quantity_Sold],sales_data_1[Year],2024, sales_data_1[month], $B41, sales_data_1[Sales_Rep], "Alice", sales_data_1[Product_Category], D$10)</f>
        <v>138</v>
      </c>
      <c r="E41" s="5">
        <f>SUMIFS(sales_data_1[Quantity_Sold],sales_data_1[Year],2024, sales_data_1[month], $B41, sales_data_1[Sales_Rep], "Alice", sales_data_1[Product_Category], E$10)</f>
        <v>163</v>
      </c>
      <c r="F41" s="5">
        <f>SUMIFS(sales_data_1[Quantity_Sold],sales_data_1[Year],2024, sales_data_1[month], $B41, sales_data_1[Sales_Rep], "Alice", sales_data_1[Product_Category], F$10)</f>
        <v>101</v>
      </c>
      <c r="G41" s="5">
        <f t="shared" si="22"/>
        <v>517</v>
      </c>
      <c r="H41" s="19">
        <f t="shared" si="11"/>
        <v>477.91666666666669</v>
      </c>
      <c r="I41" s="5">
        <f>SUMIFS(sales_data_1[Quantity_Sold],sales_data_1[Year],2024, sales_data_1[month], $B41, sales_data_1[Sales_Rep], "Bob", sales_data_1[Product_Category], I$10)</f>
        <v>44</v>
      </c>
      <c r="J41" s="5">
        <f>SUMIFS(sales_data_1[Quantity_Sold],sales_data_1[Year],2024, sales_data_1[month], $B41, sales_data_1[Sales_Rep], "Bob", sales_data_1[Product_Category], J$10)</f>
        <v>131</v>
      </c>
      <c r="K41" s="5">
        <f>SUMIFS(sales_data_1[Quantity_Sold],sales_data_1[Year],2024, sales_data_1[month], $B41, sales_data_1[Sales_Rep], "Bob", sales_data_1[Product_Category], K$10)</f>
        <v>105</v>
      </c>
      <c r="L41" s="5">
        <f>SUMIFS(sales_data_1[Quantity_Sold],sales_data_1[Year],2024, sales_data_1[month], $B41, sales_data_1[Sales_Rep], "Bob", sales_data_1[Product_Category], L$10)</f>
        <v>169</v>
      </c>
      <c r="M41" s="5">
        <f t="shared" si="23"/>
        <v>449</v>
      </c>
      <c r="N41" s="19">
        <f t="shared" si="12"/>
        <v>450.25</v>
      </c>
      <c r="O41" s="5">
        <f>SUMIFS(sales_data_1[Quantity_Sold],sales_data_1[Year],2024, sales_data_1[month], $B41, sales_data_1[Sales_Rep], "Charlie", sales_data_1[Product_Category], O$10)</f>
        <v>0</v>
      </c>
      <c r="P41" s="5">
        <f>SUMIFS(sales_data_1[Quantity_Sold],sales_data_1[Year],2024, sales_data_1[month], $B41, sales_data_1[Sales_Rep], "Charlie", sales_data_1[Product_Category], P$10)</f>
        <v>53</v>
      </c>
      <c r="Q41" s="5">
        <f>SUMIFS(sales_data_1[Quantity_Sold],sales_data_1[Year],2024, sales_data_1[month], $B41, sales_data_1[Sales_Rep], "Charlie", sales_data_1[Product_Category], Q$10)</f>
        <v>105</v>
      </c>
      <c r="R41" s="5">
        <f>SUMIFS(sales_data_1[Quantity_Sold],sales_data_1[Year],2024, sales_data_1[month], $B41, sales_data_1[Sales_Rep], "Charlie", sales_data_1[Product_Category], R$10)</f>
        <v>108</v>
      </c>
      <c r="S41" s="5">
        <f t="shared" si="24"/>
        <v>266</v>
      </c>
      <c r="T41" s="19">
        <f t="shared" si="13"/>
        <v>385.33333333333331</v>
      </c>
      <c r="U41" s="5">
        <f>SUMIFS(sales_data_1[Quantity_Sold],sales_data_1[Year],2024, sales_data_1[month], $B41, sales_data_1[Sales_Rep], "David", sales_data_1[Product_Category], U$10)</f>
        <v>178</v>
      </c>
      <c r="V41" s="5">
        <f>SUMIFS(sales_data_1[Quantity_Sold],sales_data_1[Year],2024, sales_data_1[month], $B41, sales_data_1[Sales_Rep], "David", sales_data_1[Product_Category], V$10)</f>
        <v>119</v>
      </c>
      <c r="W41" s="5">
        <f>SUMIFS(sales_data_1[Quantity_Sold],sales_data_1[Year],2024, sales_data_1[month], $B41, sales_data_1[Sales_Rep], "David", sales_data_1[Product_Category], W$10)</f>
        <v>38</v>
      </c>
      <c r="X41" s="5">
        <f>SUMIFS(sales_data_1[Quantity_Sold],sales_data_1[Year],2024, sales_data_1[month], $B41, sales_data_1[Sales_Rep], "David", sales_data_1[Product_Category], R$10)</f>
        <v>152</v>
      </c>
      <c r="Y41" s="5">
        <f t="shared" si="25"/>
        <v>487</v>
      </c>
      <c r="Z41" s="19">
        <f t="shared" si="14"/>
        <v>509.5</v>
      </c>
      <c r="AA41" s="5">
        <f>SUMIFS(sales_data_1[Quantity_Sold],sales_data_1[Year],2024, sales_data_1[month], $B41, sales_data_1[Sales_Rep], "Eve", sales_data_1[Product_Category], U$10)</f>
        <v>92</v>
      </c>
      <c r="AB41" s="5">
        <f>SUMIFS(sales_data_1[Quantity_Sold],sales_data_1[Year],2024, sales_data_1[month], $B41, sales_data_1[Sales_Rep], "Eve", sales_data_1[Product_Category], V$10)</f>
        <v>60</v>
      </c>
      <c r="AC41" s="5">
        <f>SUMIFS(sales_data_1[Quantity_Sold],sales_data_1[Year],2024, sales_data_1[month], $B41, sales_data_1[Sales_Rep], "Eve", sales_data_1[Product_Category], W$10)</f>
        <v>127</v>
      </c>
      <c r="AD41" s="5">
        <f>SUMIFS(sales_data_1[Quantity_Sold],sales_data_1[Year],2024, sales_data_1[month], $B41, sales_data_1[Sales_Rep], "Eve", sales_data_1[Product_Category], R$10)</f>
        <v>40</v>
      </c>
      <c r="AE41" s="5">
        <f t="shared" si="26"/>
        <v>319</v>
      </c>
      <c r="AF41" s="79">
        <f t="shared" si="15"/>
        <v>458.75</v>
      </c>
      <c r="AG41" s="5">
        <f t="shared" si="10"/>
        <v>2038</v>
      </c>
      <c r="AH41" s="5">
        <f t="shared" si="16"/>
        <v>2281.75</v>
      </c>
    </row>
    <row r="42" spans="1:34" x14ac:dyDescent="0.35">
      <c r="A42" s="5"/>
      <c r="B42" s="5" t="s">
        <v>52</v>
      </c>
      <c r="C42" s="5">
        <f>SUMIFS(sales_data_1[Quantity_Sold],sales_data_1[Year],2024, sales_data_1[month], $B42, sales_data_1[Sales_Rep], "Alice", sales_data_1[Product_Category], C$10)</f>
        <v>82</v>
      </c>
      <c r="D42" s="5">
        <f>SUMIFS(sales_data_1[Quantity_Sold],sales_data_1[Year],2024, sales_data_1[month], $B42, sales_data_1[Sales_Rep], "Alice", sales_data_1[Product_Category], D$10)</f>
        <v>73</v>
      </c>
      <c r="E42" s="5">
        <f>SUMIFS(sales_data_1[Quantity_Sold],sales_data_1[Year],2024, sales_data_1[month], $B42, sales_data_1[Sales_Rep], "Alice", sales_data_1[Product_Category], E$10)</f>
        <v>172</v>
      </c>
      <c r="F42" s="5">
        <f>SUMIFS(sales_data_1[Quantity_Sold],sales_data_1[Year],2024, sales_data_1[month], $B42, sales_data_1[Sales_Rep], "Alice", sales_data_1[Product_Category], F$10)</f>
        <v>63</v>
      </c>
      <c r="G42" s="5">
        <f t="shared" si="22"/>
        <v>390</v>
      </c>
      <c r="H42" s="19">
        <f t="shared" si="11"/>
        <v>462.5</v>
      </c>
      <c r="I42" s="5">
        <f>SUMIFS(sales_data_1[Quantity_Sold],sales_data_1[Year],2024, sales_data_1[month], $B42, sales_data_1[Sales_Rep], "Bob", sales_data_1[Product_Category], I$10)</f>
        <v>65</v>
      </c>
      <c r="J42" s="5">
        <f>SUMIFS(sales_data_1[Quantity_Sold],sales_data_1[Year],2024, sales_data_1[month], $B42, sales_data_1[Sales_Rep], "Bob", sales_data_1[Product_Category], J$10)</f>
        <v>139</v>
      </c>
      <c r="K42" s="5">
        <f>SUMIFS(sales_data_1[Quantity_Sold],sales_data_1[Year],2024, sales_data_1[month], $B42, sales_data_1[Sales_Rep], "Bob", sales_data_1[Product_Category], K$10)</f>
        <v>138</v>
      </c>
      <c r="L42" s="5">
        <f>SUMIFS(sales_data_1[Quantity_Sold],sales_data_1[Year],2024, sales_data_1[month], $B42, sales_data_1[Sales_Rep], "Bob", sales_data_1[Product_Category], L$10)</f>
        <v>169</v>
      </c>
      <c r="M42" s="5">
        <f t="shared" si="23"/>
        <v>511</v>
      </c>
      <c r="N42" s="19">
        <f t="shared" si="12"/>
        <v>452.33333333333331</v>
      </c>
      <c r="O42" s="5">
        <f>SUMIFS(sales_data_1[Quantity_Sold],sales_data_1[Year],2024, sales_data_1[month], $B42, sales_data_1[Sales_Rep], "Charlie", sales_data_1[Product_Category], O$10)</f>
        <v>8</v>
      </c>
      <c r="P42" s="5">
        <f>SUMIFS(sales_data_1[Quantity_Sold],sales_data_1[Year],2024, sales_data_1[month], $B42, sales_data_1[Sales_Rep], "Charlie", sales_data_1[Product_Category], P$10)</f>
        <v>118</v>
      </c>
      <c r="Q42" s="5">
        <f>SUMIFS(sales_data_1[Quantity_Sold],sales_data_1[Year],2024, sales_data_1[month], $B42, sales_data_1[Sales_Rep], "Charlie", sales_data_1[Product_Category], Q$10)</f>
        <v>64</v>
      </c>
      <c r="R42" s="5">
        <f>SUMIFS(sales_data_1[Quantity_Sold],sales_data_1[Year],2024, sales_data_1[month], $B42, sales_data_1[Sales_Rep], "Charlie", sales_data_1[Product_Category], R$10)</f>
        <v>92</v>
      </c>
      <c r="S42" s="5">
        <f t="shared" si="24"/>
        <v>282</v>
      </c>
      <c r="T42" s="19">
        <f t="shared" si="13"/>
        <v>382.25</v>
      </c>
      <c r="U42" s="5">
        <f>SUMIFS(sales_data_1[Quantity_Sold],sales_data_1[Year],2024, sales_data_1[month], $B42, sales_data_1[Sales_Rep], "David", sales_data_1[Product_Category], U$10)</f>
        <v>142</v>
      </c>
      <c r="V42" s="5">
        <f>SUMIFS(sales_data_1[Quantity_Sold],sales_data_1[Year],2024, sales_data_1[month], $B42, sales_data_1[Sales_Rep], "David", sales_data_1[Product_Category], V$10)</f>
        <v>97</v>
      </c>
      <c r="W42" s="5">
        <f>SUMIFS(sales_data_1[Quantity_Sold],sales_data_1[Year],2024, sales_data_1[month], $B42, sales_data_1[Sales_Rep], "David", sales_data_1[Product_Category], W$10)</f>
        <v>114</v>
      </c>
      <c r="X42" s="5">
        <f>SUMIFS(sales_data_1[Quantity_Sold],sales_data_1[Year],2024, sales_data_1[month], $B42, sales_data_1[Sales_Rep], "David", sales_data_1[Product_Category], R$10)</f>
        <v>6</v>
      </c>
      <c r="Y42" s="5">
        <f t="shared" si="25"/>
        <v>359</v>
      </c>
      <c r="Z42" s="19">
        <f t="shared" si="14"/>
        <v>497.5</v>
      </c>
      <c r="AA42" s="5">
        <f>SUMIFS(sales_data_1[Quantity_Sold],sales_data_1[Year],2024, sales_data_1[month], $B42, sales_data_1[Sales_Rep], "Eve", sales_data_1[Product_Category], U$10)</f>
        <v>54</v>
      </c>
      <c r="AB42" s="5">
        <f>SUMIFS(sales_data_1[Quantity_Sold],sales_data_1[Year],2024, sales_data_1[month], $B42, sales_data_1[Sales_Rep], "Eve", sales_data_1[Product_Category], V$10)</f>
        <v>78</v>
      </c>
      <c r="AC42" s="5">
        <f>SUMIFS(sales_data_1[Quantity_Sold],sales_data_1[Year],2024, sales_data_1[month], $B42, sales_data_1[Sales_Rep], "Eve", sales_data_1[Product_Category], W$10)</f>
        <v>185</v>
      </c>
      <c r="AD42" s="5">
        <f>SUMIFS(sales_data_1[Quantity_Sold],sales_data_1[Year],2024, sales_data_1[month], $B42, sales_data_1[Sales_Rep], "Eve", sales_data_1[Product_Category], R$10)</f>
        <v>101</v>
      </c>
      <c r="AE42" s="5">
        <f t="shared" si="26"/>
        <v>418</v>
      </c>
      <c r="AF42" s="79">
        <f t="shared" si="15"/>
        <v>455.83333333333331</v>
      </c>
      <c r="AG42" s="5">
        <f t="shared" si="10"/>
        <v>1960</v>
      </c>
      <c r="AH42" s="5">
        <f t="shared" si="16"/>
        <v>2250.4166666666665</v>
      </c>
    </row>
    <row r="43" spans="1:34" x14ac:dyDescent="0.35">
      <c r="A43" s="5"/>
      <c r="B43" s="5" t="s">
        <v>53</v>
      </c>
      <c r="C43" s="5">
        <f>SUMIFS(sales_data_1[Quantity_Sold],sales_data_1[Year],2024, sales_data_1[month], $B43, sales_data_1[Sales_Rep], "Alice", sales_data_1[Product_Category], C$10)</f>
        <v>96</v>
      </c>
      <c r="D43" s="5">
        <f>SUMIFS(sales_data_1[Quantity_Sold],sales_data_1[Year],2024, sales_data_1[month], $B43, sales_data_1[Sales_Rep], "Alice", sales_data_1[Product_Category], D$10)</f>
        <v>77</v>
      </c>
      <c r="E43" s="5">
        <f>SUMIFS(sales_data_1[Quantity_Sold],sales_data_1[Year],2024, sales_data_1[month], $B43, sales_data_1[Sales_Rep], "Alice", sales_data_1[Product_Category], E$10)</f>
        <v>100</v>
      </c>
      <c r="F43" s="5">
        <f>SUMIFS(sales_data_1[Quantity_Sold],sales_data_1[Year],2024, sales_data_1[month], $B43, sales_data_1[Sales_Rep], "Alice", sales_data_1[Product_Category], F$10)</f>
        <v>223</v>
      </c>
      <c r="G43" s="5">
        <f t="shared" si="22"/>
        <v>496</v>
      </c>
      <c r="H43" s="19">
        <f t="shared" si="11"/>
        <v>487.58333333333331</v>
      </c>
      <c r="I43" s="5">
        <f>SUMIFS(sales_data_1[Quantity_Sold],sales_data_1[Year],2024, sales_data_1[month], $B43, sales_data_1[Sales_Rep], "Bob", sales_data_1[Product_Category], I$10)</f>
        <v>23</v>
      </c>
      <c r="J43" s="5">
        <f>SUMIFS(sales_data_1[Quantity_Sold],sales_data_1[Year],2024, sales_data_1[month], $B43, sales_data_1[Sales_Rep], "Bob", sales_data_1[Product_Category], J$10)</f>
        <v>98</v>
      </c>
      <c r="K43" s="5">
        <f>SUMIFS(sales_data_1[Quantity_Sold],sales_data_1[Year],2024, sales_data_1[month], $B43, sales_data_1[Sales_Rep], "Bob", sales_data_1[Product_Category], K$10)</f>
        <v>105</v>
      </c>
      <c r="L43" s="5">
        <f>SUMIFS(sales_data_1[Quantity_Sold],sales_data_1[Year],2024, sales_data_1[month], $B43, sales_data_1[Sales_Rep], "Bob", sales_data_1[Product_Category], L$10)</f>
        <v>109</v>
      </c>
      <c r="M43" s="5">
        <f t="shared" si="23"/>
        <v>335</v>
      </c>
      <c r="N43" s="19">
        <f t="shared" si="12"/>
        <v>444.08333333333331</v>
      </c>
      <c r="O43" s="5">
        <f>SUMIFS(sales_data_1[Quantity_Sold],sales_data_1[Year],2024, sales_data_1[month], $B43, sales_data_1[Sales_Rep], "Charlie", sales_data_1[Product_Category], O$10)</f>
        <v>86</v>
      </c>
      <c r="P43" s="5">
        <f>SUMIFS(sales_data_1[Quantity_Sold],sales_data_1[Year],2024, sales_data_1[month], $B43, sales_data_1[Sales_Rep], "Charlie", sales_data_1[Product_Category], P$10)</f>
        <v>128</v>
      </c>
      <c r="Q43" s="5">
        <f>SUMIFS(sales_data_1[Quantity_Sold],sales_data_1[Year],2024, sales_data_1[month], $B43, sales_data_1[Sales_Rep], "Charlie", sales_data_1[Product_Category], Q$10)</f>
        <v>64</v>
      </c>
      <c r="R43" s="5">
        <f>SUMIFS(sales_data_1[Quantity_Sold],sales_data_1[Year],2024, sales_data_1[month], $B43, sales_data_1[Sales_Rep], "Charlie", sales_data_1[Product_Category], R$10)</f>
        <v>121</v>
      </c>
      <c r="S43" s="5">
        <f t="shared" si="24"/>
        <v>399</v>
      </c>
      <c r="T43" s="19">
        <f t="shared" si="13"/>
        <v>378.16666666666669</v>
      </c>
      <c r="U43" s="5">
        <f>SUMIFS(sales_data_1[Quantity_Sold],sales_data_1[Year],2024, sales_data_1[month], $B43, sales_data_1[Sales_Rep], "David", sales_data_1[Product_Category], U$10)</f>
        <v>106</v>
      </c>
      <c r="V43" s="5">
        <f>SUMIFS(sales_data_1[Quantity_Sold],sales_data_1[Year],2024, sales_data_1[month], $B43, sales_data_1[Sales_Rep], "David", sales_data_1[Product_Category], V$10)</f>
        <v>93</v>
      </c>
      <c r="W43" s="5">
        <f>SUMIFS(sales_data_1[Quantity_Sold],sales_data_1[Year],2024, sales_data_1[month], $B43, sales_data_1[Sales_Rep], "David", sales_data_1[Product_Category], W$10)</f>
        <v>142</v>
      </c>
      <c r="X43" s="5">
        <f>SUMIFS(sales_data_1[Quantity_Sold],sales_data_1[Year],2024, sales_data_1[month], $B43, sales_data_1[Sales_Rep], "David", sales_data_1[Product_Category], R$10)</f>
        <v>75</v>
      </c>
      <c r="Y43" s="5">
        <f t="shared" si="25"/>
        <v>416</v>
      </c>
      <c r="Z43" s="19">
        <f t="shared" si="14"/>
        <v>503</v>
      </c>
      <c r="AA43" s="5">
        <f>SUMIFS(sales_data_1[Quantity_Sold],sales_data_1[Year],2024, sales_data_1[month], $B43, sales_data_1[Sales_Rep], "Eve", sales_data_1[Product_Category], U$10)</f>
        <v>197</v>
      </c>
      <c r="AB43" s="5">
        <f>SUMIFS(sales_data_1[Quantity_Sold],sales_data_1[Year],2024, sales_data_1[month], $B43, sales_data_1[Sales_Rep], "Eve", sales_data_1[Product_Category], V$10)</f>
        <v>36</v>
      </c>
      <c r="AC43" s="5">
        <f>SUMIFS(sales_data_1[Quantity_Sold],sales_data_1[Year],2024, sales_data_1[month], $B43, sales_data_1[Sales_Rep], "Eve", sales_data_1[Product_Category], W$10)</f>
        <v>180</v>
      </c>
      <c r="AD43" s="5">
        <f>SUMIFS(sales_data_1[Quantity_Sold],sales_data_1[Year],2024, sales_data_1[month], $B43, sales_data_1[Sales_Rep], "Eve", sales_data_1[Product_Category], R$10)</f>
        <v>58</v>
      </c>
      <c r="AE43" s="5">
        <f t="shared" si="26"/>
        <v>471</v>
      </c>
      <c r="AF43" s="79">
        <f t="shared" si="15"/>
        <v>462.75</v>
      </c>
      <c r="AG43" s="5">
        <f t="shared" si="10"/>
        <v>2117</v>
      </c>
      <c r="AH43" s="5">
        <f t="shared" si="16"/>
        <v>2275.5833333333335</v>
      </c>
    </row>
    <row r="44" spans="1:34" x14ac:dyDescent="0.35">
      <c r="A44" s="5"/>
      <c r="B44" s="5" t="s">
        <v>54</v>
      </c>
      <c r="C44" s="5">
        <f>SUMIFS(sales_data_1[Quantity_Sold],sales_data_1[Year],2024, sales_data_1[month], $B44, sales_data_1[Sales_Rep], "Alice", sales_data_1[Product_Category], C$10)</f>
        <v>88</v>
      </c>
      <c r="D44" s="5">
        <f>SUMIFS(sales_data_1[Quantity_Sold],sales_data_1[Year],2024, sales_data_1[month], $B44, sales_data_1[Sales_Rep], "Alice", sales_data_1[Product_Category], D$10)</f>
        <v>141</v>
      </c>
      <c r="E44" s="5">
        <f>SUMIFS(sales_data_1[Quantity_Sold],sales_data_1[Year],2024, sales_data_1[month], $B44, sales_data_1[Sales_Rep], "Alice", sales_data_1[Product_Category], E$10)</f>
        <v>175</v>
      </c>
      <c r="F44" s="5">
        <f>SUMIFS(sales_data_1[Quantity_Sold],sales_data_1[Year],2024, sales_data_1[month], $B44, sales_data_1[Sales_Rep], "Alice", sales_data_1[Product_Category], F$10)</f>
        <v>97</v>
      </c>
      <c r="G44" s="5">
        <f t="shared" si="22"/>
        <v>501</v>
      </c>
      <c r="H44" s="19">
        <f t="shared" si="11"/>
        <v>505.58333333333331</v>
      </c>
      <c r="I44" s="5">
        <f>SUMIFS(sales_data_1[Quantity_Sold],sales_data_1[Year],2024, sales_data_1[month], $B44, sales_data_1[Sales_Rep], "Bob", sales_data_1[Product_Category], I$10)</f>
        <v>144</v>
      </c>
      <c r="J44" s="5">
        <f>SUMIFS(sales_data_1[Quantity_Sold],sales_data_1[Year],2024, sales_data_1[month], $B44, sales_data_1[Sales_Rep], "Bob", sales_data_1[Product_Category], J$10)</f>
        <v>90</v>
      </c>
      <c r="K44" s="5">
        <f>SUMIFS(sales_data_1[Quantity_Sold],sales_data_1[Year],2024, sales_data_1[month], $B44, sales_data_1[Sales_Rep], "Bob", sales_data_1[Product_Category], K$10)</f>
        <v>117</v>
      </c>
      <c r="L44" s="5">
        <f>SUMIFS(sales_data_1[Quantity_Sold],sales_data_1[Year],2024, sales_data_1[month], $B44, sales_data_1[Sales_Rep], "Bob", sales_data_1[Product_Category], L$10)</f>
        <v>100</v>
      </c>
      <c r="M44" s="5">
        <f t="shared" si="23"/>
        <v>451</v>
      </c>
      <c r="N44" s="19">
        <f t="shared" si="12"/>
        <v>446.5</v>
      </c>
      <c r="O44" s="5">
        <f>SUMIFS(sales_data_1[Quantity_Sold],sales_data_1[Year],2024, sales_data_1[month], $B44, sales_data_1[Sales_Rep], "Charlie", sales_data_1[Product_Category], O$10)</f>
        <v>102</v>
      </c>
      <c r="P44" s="5">
        <f>SUMIFS(sales_data_1[Quantity_Sold],sales_data_1[Year],2024, sales_data_1[month], $B44, sales_data_1[Sales_Rep], "Charlie", sales_data_1[Product_Category], P$10)</f>
        <v>60</v>
      </c>
      <c r="Q44" s="5">
        <f>SUMIFS(sales_data_1[Quantity_Sold],sales_data_1[Year],2024, sales_data_1[month], $B44, sales_data_1[Sales_Rep], "Charlie", sales_data_1[Product_Category], Q$10)</f>
        <v>138</v>
      </c>
      <c r="R44" s="5">
        <f>SUMIFS(sales_data_1[Quantity_Sold],sales_data_1[Year],2024, sales_data_1[month], $B44, sales_data_1[Sales_Rep], "Charlie", sales_data_1[Product_Category], R$10)</f>
        <v>113</v>
      </c>
      <c r="S44" s="5">
        <f t="shared" si="24"/>
        <v>413</v>
      </c>
      <c r="T44" s="19">
        <f t="shared" si="13"/>
        <v>386.83333333333331</v>
      </c>
      <c r="U44" s="5">
        <f>SUMIFS(sales_data_1[Quantity_Sold],sales_data_1[Year],2024, sales_data_1[month], $B44, sales_data_1[Sales_Rep], "David", sales_data_1[Product_Category], U$10)</f>
        <v>129</v>
      </c>
      <c r="V44" s="5">
        <f>SUMIFS(sales_data_1[Quantity_Sold],sales_data_1[Year],2024, sales_data_1[month], $B44, sales_data_1[Sales_Rep], "David", sales_data_1[Product_Category], V$10)</f>
        <v>111</v>
      </c>
      <c r="W44" s="5">
        <f>SUMIFS(sales_data_1[Quantity_Sold],sales_data_1[Year],2024, sales_data_1[month], $B44, sales_data_1[Sales_Rep], "David", sales_data_1[Product_Category], W$10)</f>
        <v>233</v>
      </c>
      <c r="X44" s="5">
        <f>SUMIFS(sales_data_1[Quantity_Sold],sales_data_1[Year],2024, sales_data_1[month], $B44, sales_data_1[Sales_Rep], "David", sales_data_1[Product_Category], R$10)</f>
        <v>90</v>
      </c>
      <c r="Y44" s="5">
        <f t="shared" si="25"/>
        <v>563</v>
      </c>
      <c r="Z44" s="19">
        <f t="shared" si="14"/>
        <v>469.5</v>
      </c>
      <c r="AA44" s="5">
        <f>SUMIFS(sales_data_1[Quantity_Sold],sales_data_1[Year],2024, sales_data_1[month], $B44, sales_data_1[Sales_Rep], "Eve", sales_data_1[Product_Category], U$10)</f>
        <v>252</v>
      </c>
      <c r="AB44" s="5">
        <f>SUMIFS(sales_data_1[Quantity_Sold],sales_data_1[Year],2024, sales_data_1[month], $B44, sales_data_1[Sales_Rep], "Eve", sales_data_1[Product_Category], V$10)</f>
        <v>146</v>
      </c>
      <c r="AC44" s="5">
        <f>SUMIFS(sales_data_1[Quantity_Sold],sales_data_1[Year],2024, sales_data_1[month], $B44, sales_data_1[Sales_Rep], "Eve", sales_data_1[Product_Category], W$10)</f>
        <v>49</v>
      </c>
      <c r="AD44" s="5">
        <f>SUMIFS(sales_data_1[Quantity_Sold],sales_data_1[Year],2024, sales_data_1[month], $B44, sales_data_1[Sales_Rep], "Eve", sales_data_1[Product_Category], R$10)</f>
        <v>76</v>
      </c>
      <c r="AE44" s="5">
        <f t="shared" si="26"/>
        <v>523</v>
      </c>
      <c r="AF44" s="79">
        <f t="shared" si="15"/>
        <v>472.58333333333331</v>
      </c>
      <c r="AG44" s="5">
        <f t="shared" si="10"/>
        <v>2451</v>
      </c>
      <c r="AH44" s="5">
        <f t="shared" si="16"/>
        <v>2281</v>
      </c>
    </row>
    <row r="45" spans="1:34" x14ac:dyDescent="0.35">
      <c r="A45" s="5"/>
      <c r="B45" s="5" t="s">
        <v>55</v>
      </c>
      <c r="C45" s="5">
        <f>SUMIFS(sales_data_1[Quantity_Sold],sales_data_1[Year],2024, sales_data_1[month], $B45, sales_data_1[Sales_Rep], "Alice", sales_data_1[Product_Category], C$10)</f>
        <v>101</v>
      </c>
      <c r="D45" s="5">
        <f>SUMIFS(sales_data_1[Quantity_Sold],sales_data_1[Year],2024, sales_data_1[month], $B45, sales_data_1[Sales_Rep], "Alice", sales_data_1[Product_Category], D$10)</f>
        <v>13</v>
      </c>
      <c r="E45" s="5">
        <f>SUMIFS(sales_data_1[Quantity_Sold],sales_data_1[Year],2024, sales_data_1[month], $B45, sales_data_1[Sales_Rep], "Alice", sales_data_1[Product_Category], E$10)</f>
        <v>84</v>
      </c>
      <c r="F45" s="5">
        <f>SUMIFS(sales_data_1[Quantity_Sold],sales_data_1[Year],2024, sales_data_1[month], $B45, sales_data_1[Sales_Rep], "Alice", sales_data_1[Product_Category], F$10)</f>
        <v>140</v>
      </c>
      <c r="G45" s="5">
        <f t="shared" si="22"/>
        <v>338</v>
      </c>
      <c r="H45" s="19">
        <f t="shared" si="11"/>
        <v>489.58333333333331</v>
      </c>
      <c r="I45" s="5">
        <f>SUMIFS(sales_data_1[Quantity_Sold],sales_data_1[Year],2024, sales_data_1[month], $B45, sales_data_1[Sales_Rep], "Bob", sales_data_1[Product_Category], I$10)</f>
        <v>4</v>
      </c>
      <c r="J45" s="5">
        <f>SUMIFS(sales_data_1[Quantity_Sold],sales_data_1[Year],2024, sales_data_1[month], $B45, sales_data_1[Sales_Rep], "Bob", sales_data_1[Product_Category], J$10)</f>
        <v>112</v>
      </c>
      <c r="K45" s="5">
        <f>SUMIFS(sales_data_1[Quantity_Sold],sales_data_1[Year],2024, sales_data_1[month], $B45, sales_data_1[Sales_Rep], "Bob", sales_data_1[Product_Category], K$10)</f>
        <v>102</v>
      </c>
      <c r="L45" s="5">
        <f>SUMIFS(sales_data_1[Quantity_Sold],sales_data_1[Year],2024, sales_data_1[month], $B45, sales_data_1[Sales_Rep], "Bob", sales_data_1[Product_Category], L$10)</f>
        <v>68</v>
      </c>
      <c r="M45" s="5">
        <f t="shared" si="23"/>
        <v>286</v>
      </c>
      <c r="N45" s="19">
        <f t="shared" si="12"/>
        <v>437</v>
      </c>
      <c r="O45" s="5">
        <f>SUMIFS(sales_data_1[Quantity_Sold],sales_data_1[Year],2024, sales_data_1[month], $B45, sales_data_1[Sales_Rep], "Charlie", sales_data_1[Product_Category], O$10)</f>
        <v>71</v>
      </c>
      <c r="P45" s="5">
        <f>SUMIFS(sales_data_1[Quantity_Sold],sales_data_1[Year],2024, sales_data_1[month], $B45, sales_data_1[Sales_Rep], "Charlie", sales_data_1[Product_Category], P$10)</f>
        <v>67</v>
      </c>
      <c r="Q45" s="5">
        <f>SUMIFS(sales_data_1[Quantity_Sold],sales_data_1[Year],2024, sales_data_1[month], $B45, sales_data_1[Sales_Rep], "Charlie", sales_data_1[Product_Category], Q$10)</f>
        <v>188</v>
      </c>
      <c r="R45" s="5">
        <f>SUMIFS(sales_data_1[Quantity_Sold],sales_data_1[Year],2024, sales_data_1[month], $B45, sales_data_1[Sales_Rep], "Charlie", sales_data_1[Product_Category], R$10)</f>
        <v>50</v>
      </c>
      <c r="S45" s="5">
        <f t="shared" si="24"/>
        <v>376</v>
      </c>
      <c r="T45" s="19">
        <f t="shared" si="13"/>
        <v>394.83333333333331</v>
      </c>
      <c r="U45" s="5">
        <f>SUMIFS(sales_data_1[Quantity_Sold],sales_data_1[Year],2024, sales_data_1[month], $B45, sales_data_1[Sales_Rep], "David", sales_data_1[Product_Category], U$10)</f>
        <v>116</v>
      </c>
      <c r="V45" s="5">
        <f>SUMIFS(sales_data_1[Quantity_Sold],sales_data_1[Year],2024, sales_data_1[month], $B45, sales_data_1[Sales_Rep], "David", sales_data_1[Product_Category], V$10)</f>
        <v>103</v>
      </c>
      <c r="W45" s="5">
        <f>SUMIFS(sales_data_1[Quantity_Sold],sales_data_1[Year],2024, sales_data_1[month], $B45, sales_data_1[Sales_Rep], "David", sales_data_1[Product_Category], W$10)</f>
        <v>152</v>
      </c>
      <c r="X45" s="5">
        <f>SUMIFS(sales_data_1[Quantity_Sold],sales_data_1[Year],2024, sales_data_1[month], $B45, sales_data_1[Sales_Rep], "David", sales_data_1[Product_Category], R$10)</f>
        <v>149</v>
      </c>
      <c r="Y45" s="5">
        <f t="shared" si="25"/>
        <v>520</v>
      </c>
      <c r="Z45" s="19">
        <f t="shared" si="14"/>
        <v>460.66666666666669</v>
      </c>
      <c r="AA45" s="5">
        <f>SUMIFS(sales_data_1[Quantity_Sold],sales_data_1[Year],2024, sales_data_1[month], $B45, sales_data_1[Sales_Rep], "Eve", sales_data_1[Product_Category], U$10)</f>
        <v>122</v>
      </c>
      <c r="AB45" s="5">
        <f>SUMIFS(sales_data_1[Quantity_Sold],sales_data_1[Year],2024, sales_data_1[month], $B45, sales_data_1[Sales_Rep], "Eve", sales_data_1[Product_Category], V$10)</f>
        <v>148</v>
      </c>
      <c r="AC45" s="5">
        <f>SUMIFS(sales_data_1[Quantity_Sold],sales_data_1[Year],2024, sales_data_1[month], $B45, sales_data_1[Sales_Rep], "Eve", sales_data_1[Product_Category], W$10)</f>
        <v>118</v>
      </c>
      <c r="AD45" s="5">
        <f>SUMIFS(sales_data_1[Quantity_Sold],sales_data_1[Year],2024, sales_data_1[month], $B45, sales_data_1[Sales_Rep], "Eve", sales_data_1[Product_Category], R$10)</f>
        <v>178</v>
      </c>
      <c r="AE45" s="5">
        <f t="shared" si="26"/>
        <v>566</v>
      </c>
      <c r="AF45" s="79">
        <f t="shared" si="15"/>
        <v>495.33333333333331</v>
      </c>
      <c r="AG45" s="5">
        <f t="shared" si="10"/>
        <v>2086</v>
      </c>
      <c r="AH45" s="5">
        <f t="shared" si="16"/>
        <v>2277.4166666666665</v>
      </c>
    </row>
    <row r="46" spans="1:34" x14ac:dyDescent="0.35">
      <c r="A46" s="5"/>
      <c r="B46" s="5" t="s">
        <v>56</v>
      </c>
      <c r="C46" s="5">
        <f>SUMIFS(sales_data_1[Quantity_Sold],sales_data_1[Year],2024, sales_data_1[month], $B46, sales_data_1[Sales_Rep], "Alice", sales_data_1[Product_Category], C$10)</f>
        <v>272</v>
      </c>
      <c r="D46" s="5">
        <f>SUMIFS(sales_data_1[Quantity_Sold],sales_data_1[Year],2024, sales_data_1[month], $B46, sales_data_1[Sales_Rep], "Alice", sales_data_1[Product_Category], D$10)</f>
        <v>39</v>
      </c>
      <c r="E46" s="5">
        <f>SUMIFS(sales_data_1[Quantity_Sold],sales_data_1[Year],2024, sales_data_1[month], $B46, sales_data_1[Sales_Rep], "Alice", sales_data_1[Product_Category], E$10)</f>
        <v>62</v>
      </c>
      <c r="F46" s="5">
        <f>SUMIFS(sales_data_1[Quantity_Sold],sales_data_1[Year],2024, sales_data_1[month], $B46, sales_data_1[Sales_Rep], "Alice", sales_data_1[Product_Category], F$10)</f>
        <v>91</v>
      </c>
      <c r="G46" s="5">
        <f t="shared" si="22"/>
        <v>464</v>
      </c>
      <c r="H46" s="19">
        <f t="shared" si="11"/>
        <v>485.91666666666669</v>
      </c>
      <c r="I46" s="5">
        <f>SUMIFS(sales_data_1[Quantity_Sold],sales_data_1[Year],2024, sales_data_1[month], $B46, sales_data_1[Sales_Rep], "Bob", sales_data_1[Product_Category], I$10)</f>
        <v>254</v>
      </c>
      <c r="J46" s="5">
        <f>SUMIFS(sales_data_1[Quantity_Sold],sales_data_1[Year],2024, sales_data_1[month], $B46, sales_data_1[Sales_Rep], "Bob", sales_data_1[Product_Category], J$10)</f>
        <v>168</v>
      </c>
      <c r="K46" s="5">
        <f>SUMIFS(sales_data_1[Quantity_Sold],sales_data_1[Year],2024, sales_data_1[month], $B46, sales_data_1[Sales_Rep], "Bob", sales_data_1[Product_Category], K$10)</f>
        <v>93</v>
      </c>
      <c r="L46" s="5">
        <f>SUMIFS(sales_data_1[Quantity_Sold],sales_data_1[Year],2024, sales_data_1[month], $B46, sales_data_1[Sales_Rep], "Bob", sales_data_1[Product_Category], L$10)</f>
        <v>194</v>
      </c>
      <c r="M46" s="5">
        <f t="shared" si="23"/>
        <v>709</v>
      </c>
      <c r="N46" s="19">
        <f t="shared" si="12"/>
        <v>454.66666666666669</v>
      </c>
      <c r="O46" s="5">
        <f>SUMIFS(sales_data_1[Quantity_Sold],sales_data_1[Year],2024, sales_data_1[month], $B46, sales_data_1[Sales_Rep], "Charlie", sales_data_1[Product_Category], O$10)</f>
        <v>98</v>
      </c>
      <c r="P46" s="5">
        <f>SUMIFS(sales_data_1[Quantity_Sold],sales_data_1[Year],2024, sales_data_1[month], $B46, sales_data_1[Sales_Rep], "Charlie", sales_data_1[Product_Category], P$10)</f>
        <v>166</v>
      </c>
      <c r="Q46" s="5">
        <f>SUMIFS(sales_data_1[Quantity_Sold],sales_data_1[Year],2024, sales_data_1[month], $B46, sales_data_1[Sales_Rep], "Charlie", sales_data_1[Product_Category], Q$10)</f>
        <v>72</v>
      </c>
      <c r="R46" s="5">
        <f>SUMIFS(sales_data_1[Quantity_Sold],sales_data_1[Year],2024, sales_data_1[month], $B46, sales_data_1[Sales_Rep], "Charlie", sales_data_1[Product_Category], R$10)</f>
        <v>91</v>
      </c>
      <c r="S46" s="5">
        <f t="shared" si="24"/>
        <v>427</v>
      </c>
      <c r="T46" s="19">
        <f t="shared" si="13"/>
        <v>411</v>
      </c>
      <c r="U46" s="5">
        <f>SUMIFS(sales_data_1[Quantity_Sold],sales_data_1[Year],2024, sales_data_1[month], $B46, sales_data_1[Sales_Rep], "David", sales_data_1[Product_Category], U$10)</f>
        <v>66</v>
      </c>
      <c r="V46" s="5">
        <f>SUMIFS(sales_data_1[Quantity_Sold],sales_data_1[Year],2024, sales_data_1[month], $B46, sales_data_1[Sales_Rep], "David", sales_data_1[Product_Category], V$10)</f>
        <v>24</v>
      </c>
      <c r="W46" s="5">
        <f>SUMIFS(sales_data_1[Quantity_Sold],sales_data_1[Year],2024, sales_data_1[month], $B46, sales_data_1[Sales_Rep], "David", sales_data_1[Product_Category], W$10)</f>
        <v>142</v>
      </c>
      <c r="X46" s="5">
        <f>SUMIFS(sales_data_1[Quantity_Sold],sales_data_1[Year],2024, sales_data_1[month], $B46, sales_data_1[Sales_Rep], "David", sales_data_1[Product_Category], R$10)</f>
        <v>133</v>
      </c>
      <c r="Y46" s="5">
        <f t="shared" si="25"/>
        <v>365</v>
      </c>
      <c r="Z46" s="19">
        <f t="shared" si="14"/>
        <v>443.33333333333331</v>
      </c>
      <c r="AA46" s="5">
        <f>SUMIFS(sales_data_1[Quantity_Sold],sales_data_1[Year],2024, sales_data_1[month], $B46, sales_data_1[Sales_Rep], "Eve", sales_data_1[Product_Category], U$10)</f>
        <v>7</v>
      </c>
      <c r="AB46" s="5">
        <f>SUMIFS(sales_data_1[Quantity_Sold],sales_data_1[Year],2024, sales_data_1[month], $B46, sales_data_1[Sales_Rep], "Eve", sales_data_1[Product_Category], V$10)</f>
        <v>159</v>
      </c>
      <c r="AC46" s="5">
        <f>SUMIFS(sales_data_1[Quantity_Sold],sales_data_1[Year],2024, sales_data_1[month], $B46, sales_data_1[Sales_Rep], "Eve", sales_data_1[Product_Category], W$10)</f>
        <v>181</v>
      </c>
      <c r="AD46" s="5">
        <f>SUMIFS(sales_data_1[Quantity_Sold],sales_data_1[Year],2024, sales_data_1[month], $B46, sales_data_1[Sales_Rep], "Eve", sales_data_1[Product_Category], R$10)</f>
        <v>155</v>
      </c>
      <c r="AE46" s="5">
        <f t="shared" si="26"/>
        <v>502</v>
      </c>
      <c r="AF46" s="79">
        <f t="shared" si="15"/>
        <v>506.16666666666669</v>
      </c>
      <c r="AG46" s="5">
        <f t="shared" si="10"/>
        <v>2467</v>
      </c>
      <c r="AH46" s="5">
        <f t="shared" si="16"/>
        <v>2301.0833333333335</v>
      </c>
    </row>
  </sheetData>
  <mergeCells count="5">
    <mergeCell ref="A9:H9"/>
    <mergeCell ref="I9:N9"/>
    <mergeCell ref="O9:T9"/>
    <mergeCell ref="U9:Z9"/>
    <mergeCell ref="AA9:AF9"/>
  </mergeCells>
  <phoneticPr fontId="2" type="noConversion"/>
  <pageMargins left="0.7" right="0.7" top="0.75" bottom="0.75" header="0.3" footer="0.3"/>
  <pageSetup paperSize="9" orientation="portrait" r:id="rId2"/>
  <ignoredErrors>
    <ignoredError sqref="A23 A11" numberStoredAsText="1"/>
  </ignoredError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27FB3-AB53-406F-AE78-195C85E97F70}">
  <dimension ref="A1:Y467"/>
  <sheetViews>
    <sheetView topLeftCell="V1" workbookViewId="0">
      <selection activeCell="A8" sqref="A1:XFD8"/>
    </sheetView>
  </sheetViews>
  <sheetFormatPr defaultRowHeight="14.5" x14ac:dyDescent="0.35"/>
  <cols>
    <col min="2" max="2" width="12.90625" bestFit="1" customWidth="1"/>
    <col min="3" max="3" width="18.90625" bestFit="1" customWidth="1"/>
    <col min="4" max="6" width="13.81640625" bestFit="1" customWidth="1"/>
    <col min="8" max="8" width="10.6328125" bestFit="1" customWidth="1"/>
    <col min="9" max="9" width="11" bestFit="1" customWidth="1"/>
    <col min="10" max="10" width="12.1796875" bestFit="1" customWidth="1"/>
    <col min="11" max="11" width="13.81640625" bestFit="1" customWidth="1"/>
    <col min="12" max="12" width="13.81640625" customWidth="1"/>
    <col min="13" max="13" width="12.1796875" bestFit="1" customWidth="1"/>
    <col min="14" max="14" width="12.1796875" customWidth="1"/>
    <col min="15" max="15" width="13.81640625" bestFit="1" customWidth="1"/>
    <col min="16" max="16" width="13.81640625" customWidth="1"/>
    <col min="17" max="17" width="13.81640625" bestFit="1" customWidth="1"/>
    <col min="18" max="18" width="13.81640625" customWidth="1"/>
    <col min="19" max="19" width="18.54296875" bestFit="1" customWidth="1"/>
    <col min="20" max="20" width="13.90625" bestFit="1" customWidth="1"/>
    <col min="21" max="21" width="19.08984375" bestFit="1" customWidth="1"/>
    <col min="22" max="22" width="19.36328125" bestFit="1" customWidth="1"/>
    <col min="23" max="24" width="15" bestFit="1" customWidth="1"/>
    <col min="25" max="25" width="10.36328125" bestFit="1" customWidth="1"/>
    <col min="33" max="33" width="10.6328125" bestFit="1" customWidth="1"/>
  </cols>
  <sheetData>
    <row r="1" spans="1:24" x14ac:dyDescent="0.35">
      <c r="C1" s="102" t="s">
        <v>70</v>
      </c>
      <c r="D1" s="102"/>
      <c r="E1" s="102"/>
      <c r="F1" s="102"/>
      <c r="G1" s="102" t="s">
        <v>71</v>
      </c>
      <c r="H1" s="102"/>
      <c r="I1" s="102"/>
      <c r="J1" s="102"/>
      <c r="K1" s="102" t="s">
        <v>77</v>
      </c>
      <c r="L1" s="102"/>
      <c r="M1" s="102"/>
      <c r="N1" s="102"/>
      <c r="O1" s="102"/>
      <c r="P1" s="102"/>
      <c r="Q1" s="102"/>
      <c r="R1" s="38"/>
    </row>
    <row r="2" spans="1:24" x14ac:dyDescent="0.35">
      <c r="A2" s="20" t="s">
        <v>44</v>
      </c>
      <c r="B2" s="21" t="s">
        <v>57</v>
      </c>
      <c r="C2" s="6" t="s">
        <v>26</v>
      </c>
      <c r="D2" s="6" t="s">
        <v>31</v>
      </c>
      <c r="E2" s="6" t="s">
        <v>24</v>
      </c>
      <c r="F2" s="6" t="s">
        <v>16</v>
      </c>
      <c r="G2" s="6" t="s">
        <v>26</v>
      </c>
      <c r="H2" s="6" t="s">
        <v>31</v>
      </c>
      <c r="I2" s="6" t="s">
        <v>24</v>
      </c>
      <c r="J2" s="6" t="s">
        <v>16</v>
      </c>
      <c r="K2" s="6" t="s">
        <v>26</v>
      </c>
      <c r="L2" s="6" t="s">
        <v>86</v>
      </c>
      <c r="M2" s="6" t="s">
        <v>31</v>
      </c>
      <c r="N2" s="6" t="s">
        <v>87</v>
      </c>
      <c r="O2" s="6" t="s">
        <v>24</v>
      </c>
      <c r="P2" s="6" t="s">
        <v>88</v>
      </c>
      <c r="Q2" s="6" t="s">
        <v>16</v>
      </c>
      <c r="R2" s="6" t="s">
        <v>89</v>
      </c>
      <c r="T2" s="20" t="s">
        <v>44</v>
      </c>
      <c r="U2" s="6" t="s">
        <v>26</v>
      </c>
      <c r="V2" s="6" t="s">
        <v>31</v>
      </c>
      <c r="W2" s="6" t="s">
        <v>24</v>
      </c>
      <c r="X2" s="6" t="s">
        <v>16</v>
      </c>
    </row>
    <row r="3" spans="1:24" x14ac:dyDescent="0.35">
      <c r="A3" s="17" t="s">
        <v>60</v>
      </c>
      <c r="B3" s="5" t="s">
        <v>45</v>
      </c>
      <c r="C3" s="24">
        <f>revenue_by_rep!C11 +revenue_by_rep!I11+revenue_by_rep!O11+revenue_by_rep!U11+revenue_by_rep!AA11</f>
        <v>1597250.052885876</v>
      </c>
      <c r="D3" s="24">
        <f>revenue_by_rep!D11 +revenue_by_rep!J11+revenue_by_rep!P11+revenue_by_rep!V11+revenue_by_rep!AB11</f>
        <v>2106769.8731514812</v>
      </c>
      <c r="E3" s="24">
        <f>revenue_by_rep!E11 +revenue_by_rep!K11+revenue_by_rep!Q11+revenue_by_rep!W11+revenue_by_rep!AC11</f>
        <v>1499189.6854464069</v>
      </c>
      <c r="F3" s="24">
        <f>revenue_by_rep!F11 +revenue_by_rep!L11+revenue_by_rep!R11+revenue_by_rep!X11+revenue_by_rep!AD11</f>
        <v>1758773.5128417504</v>
      </c>
      <c r="G3" s="5">
        <f>qty_sales_by_rep!C11+qty_sales_by_rep!I11+qty_sales_by_rep!O11+qty_sales_by_rep!U11+qty_sales_by_rep!AA11</f>
        <v>563</v>
      </c>
      <c r="H3" s="5">
        <f>qty_sales_by_rep!D11+qty_sales_by_rep!J11+qty_sales_by_rep!P11+qty_sales_by_rep!V11+qty_sales_by_rep!AB11</f>
        <v>592</v>
      </c>
      <c r="I3" s="5">
        <f>qty_sales_by_rep!E11+qty_sales_by_rep!K11+qty_sales_by_rep!Q11+qty_sales_by_rep!W11+qty_sales_by_rep!AC11</f>
        <v>490</v>
      </c>
      <c r="J3" s="5">
        <f>qty_sales_by_rep!F11+qty_sales_by_rep!L11+qty_sales_by_rep!R11+qty_sales_by_rep!X11+qty_sales_by_rep!AD11</f>
        <v>566</v>
      </c>
      <c r="K3" s="24">
        <f>SUMIFS(sales_data_1[Profit_Margin],sales_data_1[Product_Category], K$2, sales_data_1[Year],"2022", sales_data_1[month],B3)</f>
        <v>674268.13970000017</v>
      </c>
      <c r="L3" s="24"/>
      <c r="M3" s="24">
        <f>SUMIFS(sales_data_1[Profit_Margin],sales_data_1[Product_Category], M$2, sales_data_1[Year],"2022", sales_data_1[month],B3)</f>
        <v>847830.53299999994</v>
      </c>
      <c r="N3" s="24"/>
      <c r="O3" s="24">
        <f>SUMIFS(sales_data_1[Profit_Margin],sales_data_1[Product_Category], O$2, sales_data_1[Year],"2022", sales_data_1[month],B3)</f>
        <v>580067.48869999999</v>
      </c>
      <c r="P3" s="24"/>
      <c r="Q3" s="24">
        <f>SUMIFS(sales_data_1[Profit_Margin],sales_data_1[Product_Category], Q$2, sales_data_1[Year],"2022", sales_data_1[month],B3)</f>
        <v>820128.27769999998</v>
      </c>
      <c r="R3" s="24"/>
      <c r="T3" s="17" t="s">
        <v>59</v>
      </c>
      <c r="U3" s="24">
        <f>SUM(K15:K26)</f>
        <v>1011052.0076999997</v>
      </c>
      <c r="V3" s="24">
        <f>SUM(M15:M26)</f>
        <v>990785.33709999989</v>
      </c>
      <c r="W3" s="24">
        <f>SUM(O15:O26)</f>
        <v>905128.71209999977</v>
      </c>
      <c r="X3" s="24">
        <f>SUM(Q15:Q26)</f>
        <v>1150952.3433999997</v>
      </c>
    </row>
    <row r="4" spans="1:24" x14ac:dyDescent="0.35">
      <c r="A4" s="4"/>
      <c r="B4" s="5" t="s">
        <v>46</v>
      </c>
      <c r="C4" s="24">
        <f>revenue_by_rep!C12 +revenue_by_rep!I12+revenue_by_rep!O12+revenue_by_rep!U12+revenue_by_rep!AA12</f>
        <v>1637358.5682967666</v>
      </c>
      <c r="D4" s="24">
        <f>revenue_by_rep!D12 +revenue_by_rep!J12+revenue_by_rep!P12+revenue_by_rep!V12+revenue_by_rep!AB12</f>
        <v>1817826.4655231466</v>
      </c>
      <c r="E4" s="24">
        <f>revenue_by_rep!E12 +revenue_by_rep!K12+revenue_by_rep!Q12+revenue_by_rep!W12+revenue_by_rep!AC12</f>
        <v>2010497.8860723129</v>
      </c>
      <c r="F4" s="24">
        <f>revenue_by_rep!F12 +revenue_by_rep!L12+revenue_by_rep!R12+revenue_by_rep!X12+revenue_by_rep!AD12</f>
        <v>2462944.3950759745</v>
      </c>
      <c r="G4" s="5">
        <f>qty_sales_by_rep!C12+qty_sales_by_rep!I12+qty_sales_by_rep!O12+qty_sales_by_rep!U12+qty_sales_by_rep!AA12</f>
        <v>550</v>
      </c>
      <c r="H4" s="5">
        <f>qty_sales_by_rep!D12+qty_sales_by_rep!J12+qty_sales_by_rep!P12+qty_sales_by_rep!V12+qty_sales_by_rep!AB12</f>
        <v>616</v>
      </c>
      <c r="I4" s="5">
        <f>qty_sales_by_rep!E12+qty_sales_by_rep!K12+qty_sales_by_rep!Q12+qty_sales_by_rep!W12+qty_sales_by_rep!AC12</f>
        <v>598</v>
      </c>
      <c r="J4" s="5">
        <f>qty_sales_by_rep!F12+qty_sales_by_rep!L12+qty_sales_by_rep!R12+qty_sales_by_rep!X12+qty_sales_by_rep!AD12</f>
        <v>839</v>
      </c>
      <c r="K4" s="24">
        <f>SUMIFS(sales_data_1[Profit_Margin],sales_data_1[Product_Category], K$2, sales_data_1[Year],"2022", sales_data_1[month],B4)</f>
        <v>644821.8618999999</v>
      </c>
      <c r="L4" s="24"/>
      <c r="M4" s="24">
        <f>SUMIFS(sales_data_1[Profit_Margin],sales_data_1[Product_Category], M$2, sales_data_1[Year],"2022", sales_data_1[month],B4)</f>
        <v>612449.1105999999</v>
      </c>
      <c r="N4" s="24"/>
      <c r="O4" s="24">
        <f>SUMIFS(sales_data_1[Profit_Margin],sales_data_1[Product_Category], O$2, sales_data_1[Year],"2022", sales_data_1[month],B4)</f>
        <v>723947.99419999996</v>
      </c>
      <c r="P4" s="24"/>
      <c r="Q4" s="24">
        <f>SUMIFS(sales_data_1[Profit_Margin],sales_data_1[Product_Category], Q$2, sales_data_1[Year],"2022", sales_data_1[month],B4)</f>
        <v>954456.70439999981</v>
      </c>
      <c r="R4" s="24"/>
      <c r="T4" s="17">
        <v>2024</v>
      </c>
      <c r="U4" s="24">
        <f>SUM(K27:K38)</f>
        <v>9341528.3947000001</v>
      </c>
      <c r="V4" s="24">
        <f>SUM(M27:M38)</f>
        <v>8677644.0592</v>
      </c>
      <c r="W4" s="24">
        <f>SUM(O27:O38)</f>
        <v>9522960.0414999984</v>
      </c>
      <c r="X4" s="24">
        <f>SUM(Q27:Q38)</f>
        <v>9114546.5734999999</v>
      </c>
    </row>
    <row r="5" spans="1:24" x14ac:dyDescent="0.35">
      <c r="A5" s="4"/>
      <c r="B5" s="5" t="s">
        <v>47</v>
      </c>
      <c r="C5" s="24">
        <f>revenue_by_rep!C13 +revenue_by_rep!I13+revenue_by_rep!O13+revenue_by_rep!U13+revenue_by_rep!AA13</f>
        <v>1633649.8164856741</v>
      </c>
      <c r="D5" s="24">
        <f>revenue_by_rep!D13 +revenue_by_rep!J13+revenue_by_rep!P13+revenue_by_rep!V13+revenue_by_rep!AB13</f>
        <v>1975019.7532917133</v>
      </c>
      <c r="E5" s="24">
        <f>revenue_by_rep!E13 +revenue_by_rep!K13+revenue_by_rep!Q13+revenue_by_rep!W13+revenue_by_rep!AC13</f>
        <v>1429473.4136122703</v>
      </c>
      <c r="F5" s="24">
        <f>revenue_by_rep!F13 +revenue_by_rep!L13+revenue_by_rep!R13+revenue_by_rep!X13+revenue_by_rep!AD13</f>
        <v>1468120.4175474537</v>
      </c>
      <c r="G5" s="5">
        <f>qty_sales_by_rep!C13+qty_sales_by_rep!I13+qty_sales_by_rep!O13+qty_sales_by_rep!U13+qty_sales_by_rep!AA13</f>
        <v>574</v>
      </c>
      <c r="H5" s="5">
        <f>qty_sales_by_rep!D13+qty_sales_by_rep!J13+qty_sales_by_rep!P13+qty_sales_by_rep!V13+qty_sales_by_rep!AB13</f>
        <v>612</v>
      </c>
      <c r="I5" s="5">
        <f>qty_sales_by_rep!E13+qty_sales_by_rep!K13+qty_sales_by_rep!Q13+qty_sales_by_rep!W13+qty_sales_by_rep!AC13</f>
        <v>439</v>
      </c>
      <c r="J5" s="5">
        <f>qty_sales_by_rep!F13+qty_sales_by_rep!L13+qty_sales_by_rep!R13+qty_sales_by_rep!X13+qty_sales_by_rep!AD13</f>
        <v>488</v>
      </c>
      <c r="K5" s="24">
        <f>SUMIFS(sales_data_1[Profit_Margin],sales_data_1[Product_Category], K$2, sales_data_1[Year],"2022", sales_data_1[month],B5)</f>
        <v>643444.63509999996</v>
      </c>
      <c r="L5" s="24"/>
      <c r="M5" s="24">
        <f>SUMIFS(sales_data_1[Profit_Margin],sales_data_1[Product_Category], M$2, sales_data_1[Year],"2022", sales_data_1[month],B5)</f>
        <v>640364.91310000012</v>
      </c>
      <c r="N5" s="24"/>
      <c r="O5" s="24">
        <f>SUMIFS(sales_data_1[Profit_Margin],sales_data_1[Product_Category], O$2, sales_data_1[Year],"2022", sales_data_1[month],B5)</f>
        <v>767459.38670000015</v>
      </c>
      <c r="P5" s="24"/>
      <c r="Q5" s="24">
        <f>SUMIFS(sales_data_1[Profit_Margin],sales_data_1[Product_Category], Q$2, sales_data_1[Year],"2022", sales_data_1[month],B5)</f>
        <v>656264.96120000014</v>
      </c>
      <c r="R5" s="24"/>
      <c r="T5" s="5" t="s">
        <v>58</v>
      </c>
      <c r="U5" s="24">
        <f>SUM(U3:U4)</f>
        <v>10352580.4024</v>
      </c>
      <c r="V5" s="24">
        <f t="shared" ref="V5:W5" si="0">SUM(V3:V4)</f>
        <v>9668429.3962999992</v>
      </c>
      <c r="W5" s="24">
        <f t="shared" si="0"/>
        <v>10428088.753599998</v>
      </c>
      <c r="X5" s="24">
        <f>SUM(X3:X4)</f>
        <v>10265498.9169</v>
      </c>
    </row>
    <row r="6" spans="1:24" x14ac:dyDescent="0.35">
      <c r="A6" s="4"/>
      <c r="B6" s="5" t="s">
        <v>48</v>
      </c>
      <c r="C6" s="24">
        <f>revenue_by_rep!C14 +revenue_by_rep!I14+revenue_by_rep!O14+revenue_by_rep!U14+revenue_by_rep!AA14</f>
        <v>1916014.3035178217</v>
      </c>
      <c r="D6" s="24">
        <f>revenue_by_rep!D14 +revenue_by_rep!J14+revenue_by_rep!P14+revenue_by_rep!V14+revenue_by_rep!AB14</f>
        <v>1884432.3213454997</v>
      </c>
      <c r="E6" s="24">
        <f>revenue_by_rep!E14 +revenue_by_rep!K14+revenue_by_rep!Q14+revenue_by_rep!W14+revenue_by_rep!AC14</f>
        <v>2280631.1631070306</v>
      </c>
      <c r="F6" s="24">
        <f>revenue_by_rep!F14 +revenue_by_rep!L14+revenue_by_rep!R14+revenue_by_rep!X14+revenue_by_rep!AD14</f>
        <v>2458605.1551618748</v>
      </c>
      <c r="G6" s="5">
        <f>qty_sales_by_rep!C14+qty_sales_by_rep!I14+qty_sales_by_rep!O14+qty_sales_by_rep!U14+qty_sales_by_rep!AA14</f>
        <v>627</v>
      </c>
      <c r="H6" s="5">
        <f>qty_sales_by_rep!D14+qty_sales_by_rep!J14+qty_sales_by_rep!P14+qty_sales_by_rep!V14+qty_sales_by_rep!AB14</f>
        <v>564</v>
      </c>
      <c r="I6" s="5">
        <f>qty_sales_by_rep!E14+qty_sales_by_rep!K14+qty_sales_by_rep!Q14+qty_sales_by_rep!W14+qty_sales_by_rep!AC14</f>
        <v>623</v>
      </c>
      <c r="J6" s="5">
        <f>qty_sales_by_rep!F14+qty_sales_by_rep!L14+qty_sales_by_rep!R14+qty_sales_by_rep!X14+qty_sales_by_rep!AD14</f>
        <v>812</v>
      </c>
      <c r="K6" s="24">
        <f>SUMIFS(sales_data_1[Profit_Margin],sales_data_1[Product_Category], K$2, sales_data_1[Year],"2022", sales_data_1[month],B6)</f>
        <v>816966.04729999998</v>
      </c>
      <c r="L6" s="24"/>
      <c r="M6" s="24">
        <f>SUMIFS(sales_data_1[Profit_Margin],sales_data_1[Product_Category], M$2, sales_data_1[Year],"2022", sales_data_1[month],B6)</f>
        <v>737403.85529999994</v>
      </c>
      <c r="N6" s="24"/>
      <c r="O6" s="24">
        <f>SUMIFS(sales_data_1[Profit_Margin],sales_data_1[Product_Category], O$2, sales_data_1[Year],"2022", sales_data_1[month],B6)</f>
        <v>926637.56539999973</v>
      </c>
      <c r="P6" s="24"/>
      <c r="Q6" s="24">
        <f>SUMIFS(sales_data_1[Profit_Margin],sales_data_1[Product_Category], Q$2, sales_data_1[Year],"2022", sales_data_1[month],B6)</f>
        <v>967709.09429999988</v>
      </c>
      <c r="R6" s="24"/>
    </row>
    <row r="7" spans="1:24" x14ac:dyDescent="0.35">
      <c r="A7" s="4"/>
      <c r="B7" s="5" t="s">
        <v>49</v>
      </c>
      <c r="C7" s="24">
        <f>revenue_by_rep!C15 +revenue_by_rep!I15+revenue_by_rep!O15+revenue_by_rep!U15+revenue_by_rep!AA15</f>
        <v>2120895.4222175716</v>
      </c>
      <c r="D7" s="24">
        <f>revenue_by_rep!D15 +revenue_by_rep!J15+revenue_by_rep!P15+revenue_by_rep!V15+revenue_by_rep!AB15</f>
        <v>1818920.1584736058</v>
      </c>
      <c r="E7" s="24">
        <f>revenue_by_rep!E15 +revenue_by_rep!K15+revenue_by_rep!Q15+revenue_by_rep!W15+revenue_by_rep!AC15</f>
        <v>1945765.3470920282</v>
      </c>
      <c r="F7" s="24">
        <f>revenue_by_rep!F15 +revenue_by_rep!L15+revenue_by_rep!R15+revenue_by_rep!X15+revenue_by_rep!AD15</f>
        <v>2234466.4148610337</v>
      </c>
      <c r="G7" s="5">
        <f>qty_sales_by_rep!C15+qty_sales_by_rep!I15+qty_sales_by_rep!O15+qty_sales_by_rep!U15+qty_sales_by_rep!AA15</f>
        <v>743</v>
      </c>
      <c r="H7" s="5">
        <f>qty_sales_by_rep!D15+qty_sales_by_rep!J15+qty_sales_by_rep!P15+qty_sales_by_rep!V15+qty_sales_by_rep!AB15</f>
        <v>608</v>
      </c>
      <c r="I7" s="5">
        <f>qty_sales_by_rep!E15+qty_sales_by_rep!K15+qty_sales_by_rep!Q15+qty_sales_by_rep!W15+qty_sales_by_rep!AC15</f>
        <v>579</v>
      </c>
      <c r="J7" s="5">
        <f>qty_sales_by_rep!F15+qty_sales_by_rep!L15+qty_sales_by_rep!R15+qty_sales_by_rep!X15+qty_sales_by_rep!AD15</f>
        <v>663</v>
      </c>
      <c r="K7" s="24">
        <f>SUMIFS(sales_data_1[Profit_Margin],sales_data_1[Product_Category], K$2, sales_data_1[Year],"2022", sales_data_1[month],B7)</f>
        <v>941259.20919999969</v>
      </c>
      <c r="L7" s="24"/>
      <c r="M7" s="24">
        <f>SUMIFS(sales_data_1[Profit_Margin],sales_data_1[Product_Category], M$2, sales_data_1[Year],"2022", sales_data_1[month],B7)</f>
        <v>623770.45749999979</v>
      </c>
      <c r="N7" s="24"/>
      <c r="O7" s="24">
        <f>SUMIFS(sales_data_1[Profit_Margin],sales_data_1[Product_Category], O$2, sales_data_1[Year],"2022", sales_data_1[month],B7)</f>
        <v>679866.46810000006</v>
      </c>
      <c r="P7" s="24"/>
      <c r="Q7" s="24">
        <f>SUMIFS(sales_data_1[Profit_Margin],sales_data_1[Product_Category], Q$2, sales_data_1[Year],"2022", sales_data_1[month],B7)</f>
        <v>842858.37009999983</v>
      </c>
      <c r="R7" s="24"/>
    </row>
    <row r="8" spans="1:24" x14ac:dyDescent="0.35">
      <c r="A8" s="4"/>
      <c r="B8" s="5" t="s">
        <v>50</v>
      </c>
      <c r="C8" s="24">
        <f>revenue_by_rep!C16 +revenue_by_rep!I16+revenue_by_rep!O16+revenue_by_rep!U16+revenue_by_rep!AA16</f>
        <v>2910492.3698163014</v>
      </c>
      <c r="D8" s="24">
        <f>revenue_by_rep!D16 +revenue_by_rep!J16+revenue_by_rep!P16+revenue_by_rep!V16+revenue_by_rep!AB16</f>
        <v>1844580.3109112007</v>
      </c>
      <c r="E8" s="24">
        <f>revenue_by_rep!E16 +revenue_by_rep!K16+revenue_by_rep!Q16+revenue_by_rep!W16+revenue_by_rep!AC16</f>
        <v>1477245.5726046041</v>
      </c>
      <c r="F8" s="24">
        <f>revenue_by_rep!F16 +revenue_by_rep!L16+revenue_by_rep!R16+revenue_by_rep!X16+revenue_by_rep!AD16</f>
        <v>1799737.0775201528</v>
      </c>
      <c r="G8" s="5">
        <f>qty_sales_by_rep!C16+qty_sales_by_rep!I16+qty_sales_by_rep!O16+qty_sales_by_rep!U16+qty_sales_by_rep!AA16</f>
        <v>976</v>
      </c>
      <c r="H8" s="5">
        <f>qty_sales_by_rep!D16+qty_sales_by_rep!J16+qty_sales_by_rep!P16+qty_sales_by_rep!V16+qty_sales_by_rep!AB16</f>
        <v>517</v>
      </c>
      <c r="I8" s="5">
        <f>qty_sales_by_rep!E16+qty_sales_by_rep!K16+qty_sales_by_rep!Q16+qty_sales_by_rep!W16+qty_sales_by_rep!AC16</f>
        <v>454</v>
      </c>
      <c r="J8" s="5">
        <f>qty_sales_by_rep!F16+qty_sales_by_rep!L16+qty_sales_by_rep!R16+qty_sales_by_rep!X16+qty_sales_by_rep!AD16</f>
        <v>569</v>
      </c>
      <c r="K8" s="24">
        <f>SUMIFS(sales_data_1[Profit_Margin],sales_data_1[Product_Category], K$2, sales_data_1[Year],"2022", sales_data_1[month],B8)</f>
        <v>1336262.6035</v>
      </c>
      <c r="L8" s="24"/>
      <c r="M8" s="24">
        <f>SUMIFS(sales_data_1[Profit_Margin],sales_data_1[Product_Category], M$2, sales_data_1[Year],"2022", sales_data_1[month],B8)</f>
        <v>736547.72849999997</v>
      </c>
      <c r="N8" s="24"/>
      <c r="O8" s="24">
        <f>SUMIFS(sales_data_1[Profit_Margin],sales_data_1[Product_Category], O$2, sales_data_1[Year],"2022", sales_data_1[month],B8)</f>
        <v>546783.79890000005</v>
      </c>
      <c r="P8" s="24"/>
      <c r="Q8" s="24">
        <f>SUMIFS(sales_data_1[Profit_Margin],sales_data_1[Product_Category], Q$2, sales_data_1[Year],"2022", sales_data_1[month],B8)</f>
        <v>586202.05029999989</v>
      </c>
      <c r="R8" s="24"/>
    </row>
    <row r="9" spans="1:24" x14ac:dyDescent="0.35">
      <c r="A9" s="4"/>
      <c r="B9" s="5" t="s">
        <v>51</v>
      </c>
      <c r="C9" s="24">
        <f>revenue_by_rep!C17 +revenue_by_rep!I17+revenue_by_rep!O17+revenue_by_rep!U17+revenue_by_rep!AA17</f>
        <v>1647438.056488625</v>
      </c>
      <c r="D9" s="24">
        <f>revenue_by_rep!D17 +revenue_by_rep!J17+revenue_by_rep!P17+revenue_by_rep!V17+revenue_by_rep!AB17</f>
        <v>1878197.0931529254</v>
      </c>
      <c r="E9" s="24">
        <f>revenue_by_rep!E17 +revenue_by_rep!K17+revenue_by_rep!Q17+revenue_by_rep!W17+revenue_by_rep!AC17</f>
        <v>1456887.4054751261</v>
      </c>
      <c r="F9" s="24">
        <f>revenue_by_rep!F17 +revenue_by_rep!L17+revenue_by_rep!R17+revenue_by_rep!X17+revenue_by_rep!AD17</f>
        <v>1697033.339025802</v>
      </c>
      <c r="G9" s="5">
        <f>qty_sales_by_rep!C17+qty_sales_by_rep!I17+qty_sales_by_rep!O17+qty_sales_by_rep!U17+qty_sales_by_rep!AA17</f>
        <v>525</v>
      </c>
      <c r="H9" s="5">
        <f>qty_sales_by_rep!D17+qty_sales_by_rep!J17+qty_sales_by_rep!P17+qty_sales_by_rep!V17+qty_sales_by_rep!AB17</f>
        <v>571</v>
      </c>
      <c r="I9" s="5">
        <f>qty_sales_by_rep!E17+qty_sales_by_rep!K17+qty_sales_by_rep!Q17+qty_sales_by_rep!W17+qty_sales_by_rep!AC17</f>
        <v>523</v>
      </c>
      <c r="J9" s="5">
        <f>qty_sales_by_rep!F17+qty_sales_by_rep!L17+qty_sales_by_rep!R17+qty_sales_by_rep!X17+qty_sales_by_rep!AD17</f>
        <v>594</v>
      </c>
      <c r="K9" s="24">
        <f>SUMIFS(sales_data_1[Profit_Margin],sales_data_1[Product_Category], K$2, sales_data_1[Year],"2022", sales_data_1[month],B9)</f>
        <v>796521.44380000001</v>
      </c>
      <c r="L9" s="24"/>
      <c r="M9" s="24">
        <f>SUMIFS(sales_data_1[Profit_Margin],sales_data_1[Product_Category], M$2, sales_data_1[Year],"2022", sales_data_1[month],B9)</f>
        <v>737686.46559999976</v>
      </c>
      <c r="N9" s="24"/>
      <c r="O9" s="24">
        <f>SUMIFS(sales_data_1[Profit_Margin],sales_data_1[Product_Category], O$2, sales_data_1[Year],"2022", sales_data_1[month],B9)</f>
        <v>745745.89779999992</v>
      </c>
      <c r="P9" s="24"/>
      <c r="Q9" s="24">
        <f>SUMIFS(sales_data_1[Profit_Margin],sales_data_1[Product_Category], Q$2, sales_data_1[Year],"2022", sales_data_1[month],B9)</f>
        <v>655541.54040000006</v>
      </c>
      <c r="R9" s="24"/>
      <c r="T9" s="2" t="s">
        <v>34</v>
      </c>
      <c r="U9" t="s">
        <v>91</v>
      </c>
      <c r="V9" t="s">
        <v>90</v>
      </c>
    </row>
    <row r="10" spans="1:24" x14ac:dyDescent="0.35">
      <c r="A10" s="4"/>
      <c r="B10" s="5" t="s">
        <v>52</v>
      </c>
      <c r="C10" s="24">
        <f>revenue_by_rep!C18 +revenue_by_rep!I18+revenue_by_rep!O18+revenue_by_rep!U18+revenue_by_rep!AA18</f>
        <v>1373980.2843007245</v>
      </c>
      <c r="D10" s="24">
        <f>revenue_by_rep!D18 +revenue_by_rep!J18+revenue_by_rep!P18+revenue_by_rep!V18+revenue_by_rep!AB18</f>
        <v>1129864.7041442967</v>
      </c>
      <c r="E10" s="24">
        <f>revenue_by_rep!E18 +revenue_by_rep!K18+revenue_by_rep!Q18+revenue_by_rep!W18+revenue_by_rep!AC18</f>
        <v>2186014.4969318379</v>
      </c>
      <c r="F10" s="24">
        <f>revenue_by_rep!F18 +revenue_by_rep!L18+revenue_by_rep!R18+revenue_by_rep!X18+revenue_by_rep!AD18</f>
        <v>1722346.7754205414</v>
      </c>
      <c r="G10" s="5">
        <f>qty_sales_by_rep!C18+qty_sales_by_rep!I18+qty_sales_by_rep!O18+qty_sales_by_rep!U18+qty_sales_by_rep!AA18</f>
        <v>452</v>
      </c>
      <c r="H10" s="5">
        <f>qty_sales_by_rep!D18+qty_sales_by_rep!J18+qty_sales_by_rep!P18+qty_sales_by_rep!V18+qty_sales_by_rep!AB18</f>
        <v>420</v>
      </c>
      <c r="I10" s="5">
        <f>qty_sales_by_rep!E18+qty_sales_by_rep!K18+qty_sales_by_rep!Q18+qty_sales_by_rep!W18+qty_sales_by_rep!AC18</f>
        <v>828</v>
      </c>
      <c r="J10" s="5">
        <f>qty_sales_by_rep!F18+qty_sales_by_rep!L18+qty_sales_by_rep!R18+qty_sales_by_rep!X18+qty_sales_by_rep!AD18</f>
        <v>504</v>
      </c>
      <c r="K10" s="24">
        <f>SUMIFS(sales_data_1[Profit_Margin],sales_data_1[Product_Category], K$2, sales_data_1[Year],"2022", sales_data_1[month],B10)</f>
        <v>715584.56300000008</v>
      </c>
      <c r="L10" s="24"/>
      <c r="M10" s="24">
        <f>SUMIFS(sales_data_1[Profit_Margin],sales_data_1[Product_Category], M$2, sales_data_1[Year],"2022", sales_data_1[month],B10)</f>
        <v>601721.86990000005</v>
      </c>
      <c r="N10" s="24"/>
      <c r="O10" s="24">
        <f>SUMIFS(sales_data_1[Profit_Margin],sales_data_1[Product_Category], O$2, sales_data_1[Year],"2022", sales_data_1[month],B10)</f>
        <v>971935.17959999992</v>
      </c>
      <c r="P10" s="24"/>
      <c r="Q10" s="24">
        <f>SUMIFS(sales_data_1[Profit_Margin],sales_data_1[Product_Category], Q$2, sales_data_1[Year],"2022", sales_data_1[month],B10)</f>
        <v>713114.76789999986</v>
      </c>
      <c r="R10" s="24"/>
      <c r="T10" s="3">
        <v>2022</v>
      </c>
      <c r="U10" s="25">
        <v>1843.8834048257381</v>
      </c>
      <c r="V10" s="25">
        <v>3512.5199016979436</v>
      </c>
    </row>
    <row r="11" spans="1:24" x14ac:dyDescent="0.35">
      <c r="A11" s="4"/>
      <c r="B11" s="5" t="s">
        <v>53</v>
      </c>
      <c r="C11" s="24">
        <f>revenue_by_rep!C19 +revenue_by_rep!I19+revenue_by_rep!O19+revenue_by_rep!U19+revenue_by_rep!AA19</f>
        <v>1184488.1075060163</v>
      </c>
      <c r="D11" s="24">
        <f>revenue_by_rep!D19 +revenue_by_rep!J19+revenue_by_rep!P19+revenue_by_rep!V19+revenue_by_rep!AB19</f>
        <v>1986876.2475949693</v>
      </c>
      <c r="E11" s="24">
        <f>revenue_by_rep!E19 +revenue_by_rep!K19+revenue_by_rep!Q19+revenue_by_rep!W19+revenue_by_rep!AC19</f>
        <v>1608789.7361786452</v>
      </c>
      <c r="F11" s="24">
        <f>revenue_by_rep!F19 +revenue_by_rep!L19+revenue_by_rep!R19+revenue_by_rep!X19+revenue_by_rep!AD19</f>
        <v>1679317.4312642175</v>
      </c>
      <c r="G11" s="5">
        <f>qty_sales_by_rep!C19+qty_sales_by_rep!I19+qty_sales_by_rep!O19+qty_sales_by_rep!U19+qty_sales_by_rep!AA19</f>
        <v>408</v>
      </c>
      <c r="H11" s="5">
        <f>qty_sales_by_rep!D19+qty_sales_by_rep!J19+qty_sales_by_rep!P19+qty_sales_by_rep!V19+qty_sales_by_rep!AB19</f>
        <v>625</v>
      </c>
      <c r="I11" s="5">
        <f>qty_sales_by_rep!E19+qty_sales_by_rep!K19+qty_sales_by_rep!Q19+qty_sales_by_rep!W19+qty_sales_by_rep!AC19</f>
        <v>508</v>
      </c>
      <c r="J11" s="5">
        <f>qty_sales_by_rep!F19+qty_sales_by_rep!L19+qty_sales_by_rep!R19+qty_sales_by_rep!X19+qty_sales_by_rep!AD19</f>
        <v>562</v>
      </c>
      <c r="K11" s="24">
        <f>SUMIFS(sales_data_1[Profit_Margin],sales_data_1[Product_Category], K$2, sales_data_1[Year],"2022", sales_data_1[month],B11)</f>
        <v>492394.23059999995</v>
      </c>
      <c r="L11" s="24"/>
      <c r="M11" s="24">
        <f>SUMIFS(sales_data_1[Profit_Margin],sales_data_1[Product_Category], M$2, sales_data_1[Year],"2022", sales_data_1[month],B11)</f>
        <v>827424.23830000008</v>
      </c>
      <c r="N11" s="24"/>
      <c r="O11" s="24">
        <f>SUMIFS(sales_data_1[Profit_Margin],sales_data_1[Product_Category], O$2, sales_data_1[Year],"2022", sales_data_1[month],B11)</f>
        <v>850432</v>
      </c>
      <c r="P11" s="24"/>
      <c r="Q11" s="24">
        <f>SUMIFS(sales_data_1[Profit_Margin],sales_data_1[Product_Category], Q$2, sales_data_1[Year],"2022", sales_data_1[month],B11)</f>
        <v>524527.7108</v>
      </c>
      <c r="R11" s="24"/>
      <c r="T11" s="41" t="s">
        <v>26</v>
      </c>
      <c r="U11" s="25">
        <v>1796.0133910034599</v>
      </c>
      <c r="V11" s="25">
        <v>3451.1410380622851</v>
      </c>
      <c r="W11">
        <f>GETPIVOTDATA("Average of Unit_Price",$T$9,"Year",2022,"Product_Category","Clothing")-GETPIVOTDATA("Average of Unit_Cost",$T$9,"Year",2022,"Product_Category","Clothing")</f>
        <v>1655.1276470588252</v>
      </c>
    </row>
    <row r="12" spans="1:24" x14ac:dyDescent="0.35">
      <c r="A12" s="4"/>
      <c r="B12" s="5" t="s">
        <v>54</v>
      </c>
      <c r="C12" s="24">
        <f>revenue_by_rep!C20 +revenue_by_rep!I20+revenue_by_rep!O20+revenue_by_rep!U20+revenue_by_rep!AA20</f>
        <v>1650135.4431887819</v>
      </c>
      <c r="D12" s="24">
        <f>revenue_by_rep!D20 +revenue_by_rep!J20+revenue_by_rep!P20+revenue_by_rep!V20+revenue_by_rep!AB20</f>
        <v>1782694.424713643</v>
      </c>
      <c r="E12" s="24">
        <f>revenue_by_rep!E20 +revenue_by_rep!K20+revenue_by_rep!Q20+revenue_by_rep!W20+revenue_by_rep!AC20</f>
        <v>1870842.7024774875</v>
      </c>
      <c r="F12" s="24">
        <f>revenue_by_rep!F20 +revenue_by_rep!L20+revenue_by_rep!R20+revenue_by_rep!X20+revenue_by_rep!AD20</f>
        <v>2090050.1129073515</v>
      </c>
      <c r="G12" s="5">
        <f>qty_sales_by_rep!C20+qty_sales_by_rep!I20+qty_sales_by_rep!O20+qty_sales_by_rep!U20+qty_sales_by_rep!AA20</f>
        <v>533</v>
      </c>
      <c r="H12" s="5">
        <f>qty_sales_by_rep!D20+qty_sales_by_rep!J20+qty_sales_by_rep!P20+qty_sales_by_rep!V20+qty_sales_by_rep!AB20</f>
        <v>593</v>
      </c>
      <c r="I12" s="5">
        <f>qty_sales_by_rep!E20+qty_sales_by_rep!K20+qty_sales_by_rep!Q20+qty_sales_by_rep!W20+qty_sales_by_rep!AC20</f>
        <v>657</v>
      </c>
      <c r="J12" s="5">
        <f>qty_sales_by_rep!F20+qty_sales_by_rep!L20+qty_sales_by_rep!R20+qty_sales_by_rep!X20+qty_sales_by_rep!AD20</f>
        <v>651</v>
      </c>
      <c r="K12" s="24">
        <f>SUMIFS(sales_data_1[Profit_Margin],sales_data_1[Product_Category], K$2, sales_data_1[Year],"2022", sales_data_1[month],B12)</f>
        <v>839406.2183999999</v>
      </c>
      <c r="L12" s="24"/>
      <c r="M12" s="24">
        <f>SUMIFS(sales_data_1[Profit_Margin],sales_data_1[Product_Category], M$2, sales_data_1[Year],"2022", sales_data_1[month],B12)</f>
        <v>737953.56570000004</v>
      </c>
      <c r="N12" s="24"/>
      <c r="O12" s="24">
        <f>SUMIFS(sales_data_1[Profit_Margin],sales_data_1[Product_Category], O$2, sales_data_1[Year],"2022", sales_data_1[month],B12)</f>
        <v>526117.23589999997</v>
      </c>
      <c r="P12" s="24"/>
      <c r="Q12" s="24">
        <f>SUMIFS(sales_data_1[Profit_Margin],sales_data_1[Product_Category], Q$2, sales_data_1[Year],"2022", sales_data_1[month],B12)</f>
        <v>755448.81129999994</v>
      </c>
      <c r="R12" s="24"/>
      <c r="T12" s="41" t="s">
        <v>31</v>
      </c>
      <c r="U12" s="25">
        <v>1880.1062413793102</v>
      </c>
      <c r="V12" s="25">
        <v>3576.3317586206927</v>
      </c>
      <c r="W12">
        <f>GETPIVOTDATA("Average of Unit_Price",$T$9,"Year",2022,"Product_Category","Electronics")-GETPIVOTDATA("Average of Unit_Cost",$T$9,"Year",2022,"Product_Category","Electronics")</f>
        <v>1696.2255172413825</v>
      </c>
    </row>
    <row r="13" spans="1:24" x14ac:dyDescent="0.35">
      <c r="A13" s="4"/>
      <c r="B13" s="5" t="s">
        <v>55</v>
      </c>
      <c r="C13" s="24">
        <f>revenue_by_rep!C21 +revenue_by_rep!I21+revenue_by_rep!O21+revenue_by_rep!U21+revenue_by_rep!AA21</f>
        <v>1752972.6881522441</v>
      </c>
      <c r="D13" s="24">
        <f>revenue_by_rep!D21 +revenue_by_rep!J21+revenue_by_rep!P21+revenue_by_rep!V21+revenue_by_rep!AB21</f>
        <v>2677056.9675998343</v>
      </c>
      <c r="E13" s="24">
        <f>revenue_by_rep!E21 +revenue_by_rep!K21+revenue_by_rep!Q21+revenue_by_rep!W21+revenue_by_rep!AC21</f>
        <v>1777634.0411474872</v>
      </c>
      <c r="F13" s="24">
        <f>revenue_by_rep!F21 +revenue_by_rep!L21+revenue_by_rep!R21+revenue_by_rep!X21+revenue_by_rep!AD21</f>
        <v>1473336.0115239045</v>
      </c>
      <c r="G13" s="5">
        <f>qty_sales_by_rep!C21+qty_sales_by_rep!I21+qty_sales_by_rep!O21+qty_sales_by_rep!U21+qty_sales_by_rep!AA21</f>
        <v>586</v>
      </c>
      <c r="H13" s="5">
        <f>qty_sales_by_rep!D21+qty_sales_by_rep!J21+qty_sales_by_rep!P21+qty_sales_by_rep!V21+qty_sales_by_rep!AB21</f>
        <v>843</v>
      </c>
      <c r="I13" s="5">
        <f>qty_sales_by_rep!E21+qty_sales_by_rep!K21+qty_sales_by_rep!Q21+qty_sales_by_rep!W21+qty_sales_by_rep!AC21</f>
        <v>618</v>
      </c>
      <c r="J13" s="5">
        <f>qty_sales_by_rep!F21+qty_sales_by_rep!L21+qty_sales_by_rep!R21+qty_sales_by_rep!X21+qty_sales_by_rep!AD21</f>
        <v>420</v>
      </c>
      <c r="K13" s="24">
        <f>SUMIFS(sales_data_1[Profit_Margin],sales_data_1[Product_Category], K$2, sales_data_1[Year],"2022", sales_data_1[month],B13)</f>
        <v>551216.95580000011</v>
      </c>
      <c r="L13" s="24"/>
      <c r="M13" s="24">
        <f>SUMIFS(sales_data_1[Profit_Margin],sales_data_1[Product_Category], M$2, sales_data_1[Year],"2022", sales_data_1[month],B13)</f>
        <v>958918.78910000017</v>
      </c>
      <c r="N13" s="24"/>
      <c r="O13" s="24">
        <f>SUMIFS(sales_data_1[Profit_Margin],sales_data_1[Product_Category], O$2, sales_data_1[Year],"2022", sales_data_1[month],B13)</f>
        <v>580849.18280000007</v>
      </c>
      <c r="P13" s="24"/>
      <c r="Q13" s="24">
        <f>SUMIFS(sales_data_1[Profit_Margin],sales_data_1[Product_Category], Q$2, sales_data_1[Year],"2022", sales_data_1[month],B13)</f>
        <v>593067.48080000002</v>
      </c>
      <c r="R13" s="24"/>
      <c r="T13" s="41" t="s">
        <v>24</v>
      </c>
      <c r="U13" s="25">
        <v>1846.929379562044</v>
      </c>
      <c r="V13" s="25">
        <v>3528.504489051094</v>
      </c>
      <c r="W13">
        <f>GETPIVOTDATA("Average of Unit_Price",$T$9,"Year",2022,"Product_Category","Food")-GETPIVOTDATA("Average of Unit_Cost",$T$9,"Year",2022,"Product_Category","Food")</f>
        <v>1681.57510948905</v>
      </c>
    </row>
    <row r="14" spans="1:24" x14ac:dyDescent="0.35">
      <c r="A14" s="4"/>
      <c r="B14" s="5" t="s">
        <v>56</v>
      </c>
      <c r="C14" s="24">
        <f>revenue_by_rep!C22 +revenue_by_rep!I22+revenue_by_rep!O22+revenue_by_rep!U22+revenue_by_rep!AA22</f>
        <v>1762280.8491559452</v>
      </c>
      <c r="D14" s="24">
        <f>revenue_by_rep!D22 +revenue_by_rep!J22+revenue_by_rep!P22+revenue_by_rep!V22+revenue_by_rep!AB22</f>
        <v>1677562.5210419586</v>
      </c>
      <c r="E14" s="24">
        <f>revenue_by_rep!E22 +revenue_by_rep!K22+revenue_by_rep!Q22+revenue_by_rep!W22+revenue_by_rep!AC22</f>
        <v>2341655.052627719</v>
      </c>
      <c r="F14" s="24">
        <f>revenue_by_rep!F22 +revenue_by_rep!L22+revenue_by_rep!R22+revenue_by_rep!X22+revenue_by_rep!AD22</f>
        <v>1020935.2890448275</v>
      </c>
      <c r="G14" s="5">
        <f>qty_sales_by_rep!C22+qty_sales_by_rep!I22+qty_sales_by_rep!O22+qty_sales_by_rep!U22+qty_sales_by_rep!AA22</f>
        <v>513</v>
      </c>
      <c r="H14" s="5">
        <f>qty_sales_by_rep!D22+qty_sales_by_rep!J22+qty_sales_by_rep!P22+qty_sales_by_rep!V22+qty_sales_by_rep!AB22</f>
        <v>548</v>
      </c>
      <c r="I14" s="5">
        <f>qty_sales_by_rep!E22+qty_sales_by_rep!K22+qty_sales_by_rep!Q22+qty_sales_by_rep!W22+qty_sales_by_rep!AC22</f>
        <v>767</v>
      </c>
      <c r="J14" s="5">
        <f>qty_sales_by_rep!F22+qty_sales_by_rep!L22+qty_sales_by_rep!R22+qty_sales_by_rep!X22+qty_sales_by_rep!AD22</f>
        <v>358</v>
      </c>
      <c r="K14" s="24">
        <f>SUMIFS(sales_data_1[Profit_Margin],sales_data_1[Product_Category], K$2, sales_data_1[Year],"2022", sales_data_1[month],B14)</f>
        <v>677141.70070000004</v>
      </c>
      <c r="L14" s="24">
        <f>AVERAGE(K3:K14)</f>
        <v>760773.9674166668</v>
      </c>
      <c r="M14" s="24">
        <f>SUMIFS(sales_data_1[Profit_Margin],sales_data_1[Product_Category], M$2, sales_data_1[Year],"2022", sales_data_1[month],B14)</f>
        <v>594537.20610000018</v>
      </c>
      <c r="N14" s="24">
        <f>AVERAGE(M3:M14)</f>
        <v>721384.06105833349</v>
      </c>
      <c r="O14" s="24">
        <f>SUMIFS(sales_data_1[Profit_Margin],sales_data_1[Product_Category], O$2, sales_data_1[Year],"2022", sales_data_1[month],B14)</f>
        <v>881566.38659999985</v>
      </c>
      <c r="P14" s="24">
        <f>AVERAGE(O3:O14)</f>
        <v>731784.048725</v>
      </c>
      <c r="Q14" s="24">
        <f>SUMIFS(sales_data_1[Profit_Margin],sales_data_1[Product_Category], Q$2, sales_data_1[Year],"2022", sales_data_1[month],B14)</f>
        <v>270051.77449999988</v>
      </c>
      <c r="R14" s="24">
        <f>AVERAGE(Q3:Q14)</f>
        <v>694947.62864166673</v>
      </c>
      <c r="T14" s="41" t="s">
        <v>16</v>
      </c>
      <c r="U14" s="25">
        <v>1853.263909774435</v>
      </c>
      <c r="V14" s="25">
        <v>3493.1713157894733</v>
      </c>
      <c r="W14">
        <f>GETPIVOTDATA("Average of Unit_Price",$T$9,"Year",2022,"Product_Category","Furniture")-GETPIVOTDATA("Average of Unit_Cost",$T$9,"Year",2022,"Product_Category","Furniture")</f>
        <v>1639.9074060150383</v>
      </c>
    </row>
    <row r="15" spans="1:24" x14ac:dyDescent="0.35">
      <c r="A15" s="17" t="s">
        <v>59</v>
      </c>
      <c r="B15" s="5" t="s">
        <v>45</v>
      </c>
      <c r="C15" s="24">
        <f>revenue_by_rep!C23 +revenue_by_rep!I23+revenue_by_rep!O23+revenue_by_rep!U23+revenue_by_rep!AA23</f>
        <v>2077882.8040554859</v>
      </c>
      <c r="D15" s="24">
        <f>revenue_by_rep!D23 +revenue_by_rep!J23+revenue_by_rep!P23+revenue_by_rep!V23+revenue_by_rep!AB23</f>
        <v>1354541.0873151959</v>
      </c>
      <c r="E15" s="24">
        <f>revenue_by_rep!E23 +revenue_by_rep!K23+revenue_by_rep!Q23+revenue_by_rep!W23+revenue_by_rep!AC23</f>
        <v>1511148.833969336</v>
      </c>
      <c r="F15" s="24">
        <f>revenue_by_rep!F23 +revenue_by_rep!L23+revenue_by_rep!R23+revenue_by_rep!X23+revenue_by_rep!AD23</f>
        <v>2261907.0312716179</v>
      </c>
      <c r="G15" s="5">
        <f>qty_sales_by_rep!C23+qty_sales_by_rep!I23+qty_sales_by_rep!O23+qty_sales_by_rep!U23+qty_sales_by_rep!AA23</f>
        <v>659</v>
      </c>
      <c r="H15" s="5">
        <f>qty_sales_by_rep!D23+qty_sales_by_rep!J23+qty_sales_by_rep!P23+qty_sales_by_rep!V23+qty_sales_by_rep!AB23</f>
        <v>518</v>
      </c>
      <c r="I15" s="5">
        <f>qty_sales_by_rep!E23+qty_sales_by_rep!K23+qty_sales_by_rep!Q23+qty_sales_by_rep!W23+qty_sales_by_rep!AC23</f>
        <v>535</v>
      </c>
      <c r="J15" s="5">
        <f>qty_sales_by_rep!F23+qty_sales_by_rep!L23+qty_sales_by_rep!R23+qty_sales_by_rep!X23+qty_sales_by_rep!AD23</f>
        <v>760</v>
      </c>
      <c r="K15" s="24">
        <f>SUMIFS(sales_data_1[Profit_Margin],sales_data_1[Product_Category], K$2, sales_data_1[Year],"2023", sales_data_1[month],B15)</f>
        <v>120822.91939999998</v>
      </c>
      <c r="L15" s="24">
        <f t="shared" ref="L15:L38" si="1">AVERAGE(K4:K15)</f>
        <v>714653.53239166655</v>
      </c>
      <c r="M15" s="24">
        <f>SUMIFS(sales_data_1[Profit_Margin],sales_data_1[Product_Category], M$2, sales_data_1[Year],"2023", sales_data_1[month],B15)</f>
        <v>73832.926299999992</v>
      </c>
      <c r="N15" s="24">
        <f t="shared" ref="N15:N38" si="2">AVERAGE(M4:M15)</f>
        <v>656884.26049999997</v>
      </c>
      <c r="O15" s="24">
        <f>SUMIFS(sales_data_1[Profit_Margin],sales_data_1[Product_Category], O$2, sales_data_1[Year],"2023", sales_data_1[month],B15)</f>
        <v>100460.80650000004</v>
      </c>
      <c r="P15" s="24">
        <f t="shared" ref="P15:P38" si="3">AVERAGE(O4:O15)</f>
        <v>691816.82520833332</v>
      </c>
      <c r="Q15" s="24">
        <f>SUMIFS(sales_data_1[Profit_Margin],sales_data_1[Product_Category], Q$2, sales_data_1[Year],"2023", sales_data_1[month],B15)</f>
        <v>137478.84530000002</v>
      </c>
      <c r="R15" s="24">
        <f t="shared" ref="R15:R38" si="4">AVERAGE(Q4:Q15)</f>
        <v>638060.17594166659</v>
      </c>
      <c r="T15" s="3">
        <v>2023</v>
      </c>
      <c r="U15" s="25">
        <v>2481.108274824478</v>
      </c>
      <c r="V15" s="25">
        <v>2734.0943029087248</v>
      </c>
    </row>
    <row r="16" spans="1:24" x14ac:dyDescent="0.35">
      <c r="A16" s="5"/>
      <c r="B16" s="5" t="s">
        <v>46</v>
      </c>
      <c r="C16" s="24">
        <f>revenue_by_rep!C24 +revenue_by_rep!I24+revenue_by_rep!O24+revenue_by_rep!U24+revenue_by_rep!AA24</f>
        <v>1242157.2291514843</v>
      </c>
      <c r="D16" s="24">
        <f>revenue_by_rep!D24 +revenue_by_rep!J24+revenue_by_rep!P24+revenue_by_rep!V24+revenue_by_rep!AB24</f>
        <v>1437427.9148330912</v>
      </c>
      <c r="E16" s="24">
        <f>revenue_by_rep!E24 +revenue_by_rep!K24+revenue_by_rep!Q24+revenue_by_rep!W24+revenue_by_rep!AC24</f>
        <v>1197022.4319813531</v>
      </c>
      <c r="F16" s="24">
        <f>revenue_by_rep!F24 +revenue_by_rep!L24+revenue_by_rep!R24+revenue_by_rep!X24+revenue_by_rep!AD24</f>
        <v>1604847.4800032421</v>
      </c>
      <c r="G16" s="5">
        <f>qty_sales_by_rep!C24+qty_sales_by_rep!I24+qty_sales_by_rep!O24+qty_sales_by_rep!U24+qty_sales_by_rep!AA24</f>
        <v>457</v>
      </c>
      <c r="H16" s="5">
        <f>qty_sales_by_rep!D24+qty_sales_by_rep!J24+qty_sales_by_rep!P24+qty_sales_by_rep!V24+qty_sales_by_rep!AB24</f>
        <v>515</v>
      </c>
      <c r="I16" s="5">
        <f>qty_sales_by_rep!E24+qty_sales_by_rep!K24+qty_sales_by_rep!Q24+qty_sales_by_rep!W24+qty_sales_by_rep!AC24</f>
        <v>461</v>
      </c>
      <c r="J16" s="5">
        <f>qty_sales_by_rep!F24+qty_sales_by_rep!L24+qty_sales_by_rep!R24+qty_sales_by_rep!X24+qty_sales_by_rep!AD24</f>
        <v>631</v>
      </c>
      <c r="K16" s="24">
        <f>SUMIFS(sales_data_1[Profit_Margin],sales_data_1[Product_Category], K$2, sales_data_1[Year],"2023", sales_data_1[month],B16)</f>
        <v>56001.602599999998</v>
      </c>
      <c r="L16" s="24">
        <f t="shared" si="1"/>
        <v>665585.17744999996</v>
      </c>
      <c r="M16" s="24">
        <f>SUMIFS(sales_data_1[Profit_Margin],sales_data_1[Product_Category], M$2, sales_data_1[Year],"2023", sales_data_1[month],B16)</f>
        <v>95805.980699999956</v>
      </c>
      <c r="N16" s="24">
        <f t="shared" si="2"/>
        <v>613830.66634166671</v>
      </c>
      <c r="O16" s="24">
        <f>SUMIFS(sales_data_1[Profit_Margin],sales_data_1[Product_Category], O$2, sales_data_1[Year],"2023", sales_data_1[month],B16)</f>
        <v>71772.046700000006</v>
      </c>
      <c r="P16" s="24">
        <f t="shared" si="3"/>
        <v>637468.82958333322</v>
      </c>
      <c r="Q16" s="24">
        <f>SUMIFS(sales_data_1[Profit_Margin],sales_data_1[Product_Category], Q$2, sales_data_1[Year],"2023", sales_data_1[month],B16)</f>
        <v>108067.66449999997</v>
      </c>
      <c r="R16" s="24">
        <f t="shared" si="4"/>
        <v>567527.75595000002</v>
      </c>
      <c r="T16" s="41" t="s">
        <v>26</v>
      </c>
      <c r="U16" s="25">
        <v>2479.0411610486885</v>
      </c>
      <c r="V16" s="25">
        <v>2729.5631086142325</v>
      </c>
      <c r="W16">
        <f>GETPIVOTDATA("Average of Unit_Price",$T$9,"Year",2023,"Product_Category","Clothing")-GETPIVOTDATA("Average of Unit_Cost",$T$9,"Year",2023,"Product_Category","Clothing")</f>
        <v>250.521947565544</v>
      </c>
    </row>
    <row r="17" spans="1:25" x14ac:dyDescent="0.35">
      <c r="A17" s="5"/>
      <c r="B17" s="5" t="s">
        <v>47</v>
      </c>
      <c r="C17" s="24">
        <f>revenue_by_rep!C25 +revenue_by_rep!I25+revenue_by_rep!O25+revenue_by_rep!U25+revenue_by_rep!AA25</f>
        <v>1465537.3651926022</v>
      </c>
      <c r="D17" s="24">
        <f>revenue_by_rep!D25 +revenue_by_rep!J25+revenue_by_rep!P25+revenue_by_rep!V25+revenue_by_rep!AB25</f>
        <v>1680900.034565099</v>
      </c>
      <c r="E17" s="24">
        <f>revenue_by_rep!E25 +revenue_by_rep!K25+revenue_by_rep!Q25+revenue_by_rep!W25+revenue_by_rep!AC25</f>
        <v>1384306.2660094956</v>
      </c>
      <c r="F17" s="24">
        <f>revenue_by_rep!F25 +revenue_by_rep!L25+revenue_by_rep!R25+revenue_by_rep!X25+revenue_by_rep!AD25</f>
        <v>1266581.9179780018</v>
      </c>
      <c r="G17" s="5">
        <f>qty_sales_by_rep!C25+qty_sales_by_rep!I25+qty_sales_by_rep!O25+qty_sales_by_rep!U25+qty_sales_by_rep!AA25</f>
        <v>510</v>
      </c>
      <c r="H17" s="5">
        <f>qty_sales_by_rep!D25+qty_sales_by_rep!J25+qty_sales_by_rep!P25+qty_sales_by_rep!V25+qty_sales_by_rep!AB25</f>
        <v>513</v>
      </c>
      <c r="I17" s="5">
        <f>qty_sales_by_rep!E25+qty_sales_by_rep!K25+qty_sales_by_rep!Q25+qty_sales_by_rep!W25+qty_sales_by_rep!AC25</f>
        <v>571</v>
      </c>
      <c r="J17" s="5">
        <f>qty_sales_by_rep!F25+qty_sales_by_rep!L25+qty_sales_by_rep!R25+qty_sales_by_rep!X25+qty_sales_by_rep!AD25</f>
        <v>475</v>
      </c>
      <c r="K17" s="24">
        <f>SUMIFS(sales_data_1[Profit_Margin],sales_data_1[Product_Category], K$2, sales_data_1[Year],"2023", sales_data_1[month],B17)</f>
        <v>78999.263699999923</v>
      </c>
      <c r="L17" s="24">
        <f t="shared" si="1"/>
        <v>618548.06316666654</v>
      </c>
      <c r="M17" s="24">
        <f>SUMIFS(sales_data_1[Profit_Margin],sales_data_1[Product_Category], M$2, sales_data_1[Year],"2023", sales_data_1[month],B17)</f>
        <v>80611.175800000026</v>
      </c>
      <c r="N17" s="24">
        <f t="shared" si="2"/>
        <v>567184.52156666678</v>
      </c>
      <c r="O17" s="24">
        <f>SUMIFS(sales_data_1[Profit_Margin],sales_data_1[Product_Category], O$2, sales_data_1[Year],"2023", sales_data_1[month],B17)</f>
        <v>91676.643299999967</v>
      </c>
      <c r="P17" s="24">
        <f t="shared" si="3"/>
        <v>581153.60096666648</v>
      </c>
      <c r="Q17" s="24">
        <f>SUMIFS(sales_data_1[Profit_Margin],sales_data_1[Product_Category], Q$2, sales_data_1[Year],"2023", sales_data_1[month],B17)</f>
        <v>64763.226900000001</v>
      </c>
      <c r="R17" s="24">
        <f t="shared" si="4"/>
        <v>518235.94475833332</v>
      </c>
      <c r="T17" s="41" t="s">
        <v>31</v>
      </c>
      <c r="U17" s="25">
        <v>2550.1568163265306</v>
      </c>
      <c r="V17" s="25">
        <v>2799.5557551020406</v>
      </c>
      <c r="W17">
        <f>GETPIVOTDATA("Average of Unit_Price",$T$9,"Year",2023,"Product_Category","Electronics")-GETPIVOTDATA("Average of Unit_Cost",$T$9,"Year",2023,"Product_Category","Electronics")</f>
        <v>249.39893877551003</v>
      </c>
    </row>
    <row r="18" spans="1:25" x14ac:dyDescent="0.35">
      <c r="A18" s="5"/>
      <c r="B18" s="5" t="s">
        <v>48</v>
      </c>
      <c r="C18" s="24">
        <f>revenue_by_rep!C26 +revenue_by_rep!I26+revenue_by_rep!O26+revenue_by_rep!U26+revenue_by_rep!AA26</f>
        <v>1258334.6118785953</v>
      </c>
      <c r="D18" s="24">
        <f>revenue_by_rep!D26 +revenue_by_rep!J26+revenue_by_rep!P26+revenue_by_rep!V26+revenue_by_rep!AB26</f>
        <v>1427936.8060308276</v>
      </c>
      <c r="E18" s="24">
        <f>revenue_by_rep!E26 +revenue_by_rep!K26+revenue_by_rep!Q26+revenue_by_rep!W26+revenue_by_rep!AC26</f>
        <v>1110720.9946299875</v>
      </c>
      <c r="F18" s="24">
        <f>revenue_by_rep!F26 +revenue_by_rep!L26+revenue_by_rep!R26+revenue_by_rep!X26+revenue_by_rep!AD26</f>
        <v>1485527.0729072294</v>
      </c>
      <c r="G18" s="5">
        <f>qty_sales_by_rep!C26+qty_sales_by_rep!I26+qty_sales_by_rep!O26+qty_sales_by_rep!U26+qty_sales_by_rep!AA26</f>
        <v>503</v>
      </c>
      <c r="H18" s="5">
        <f>qty_sales_by_rep!D26+qty_sales_by_rep!J26+qty_sales_by_rep!P26+qty_sales_by_rep!V26+qty_sales_by_rep!AB26</f>
        <v>529</v>
      </c>
      <c r="I18" s="5">
        <f>qty_sales_by_rep!E26+qty_sales_by_rep!K26+qty_sales_by_rep!Q26+qty_sales_by_rep!W26+qty_sales_by_rep!AC26</f>
        <v>406</v>
      </c>
      <c r="J18" s="5">
        <f>qty_sales_by_rep!F26+qty_sales_by_rep!L26+qty_sales_by_rep!R26+qty_sales_by_rep!X26+qty_sales_by_rep!AD26</f>
        <v>539</v>
      </c>
      <c r="K18" s="24">
        <f>SUMIFS(sales_data_1[Profit_Margin],sales_data_1[Product_Category], K$2, sales_data_1[Year],"2023", sales_data_1[month],B18)</f>
        <v>79110.491199999975</v>
      </c>
      <c r="L18" s="24">
        <f t="shared" si="1"/>
        <v>557060.1001583332</v>
      </c>
      <c r="M18" s="24">
        <f>SUMIFS(sales_data_1[Profit_Margin],sales_data_1[Product_Category], M$2, sales_data_1[Year],"2023", sales_data_1[month],B18)</f>
        <v>90562.29949999995</v>
      </c>
      <c r="N18" s="24">
        <f t="shared" si="2"/>
        <v>513281.05858333345</v>
      </c>
      <c r="O18" s="24">
        <f>SUMIFS(sales_data_1[Profit_Margin],sales_data_1[Product_Category], O$2, sales_data_1[Year],"2023", sales_data_1[month],B18)</f>
        <v>47653.163400000012</v>
      </c>
      <c r="P18" s="24">
        <f t="shared" si="3"/>
        <v>507904.90079999994</v>
      </c>
      <c r="Q18" s="24">
        <f>SUMIFS(sales_data_1[Profit_Margin],sales_data_1[Product_Category], Q$2, sales_data_1[Year],"2023", sales_data_1[month],B18)</f>
        <v>90594.245700000014</v>
      </c>
      <c r="R18" s="24">
        <f t="shared" si="4"/>
        <v>445143.04070833331</v>
      </c>
      <c r="T18" s="41" t="s">
        <v>24</v>
      </c>
      <c r="U18" s="25">
        <v>2418.4193333333342</v>
      </c>
      <c r="V18" s="25">
        <v>2668.224533333334</v>
      </c>
      <c r="W18">
        <f>GETPIVOTDATA("Average of Unit_Price",$T$9,"Year",2023,"Product_Category","Food")-GETPIVOTDATA("Average of Unit_Cost",$T$9,"Year",2023,"Product_Category","Food")</f>
        <v>249.80519999999979</v>
      </c>
    </row>
    <row r="19" spans="1:25" x14ac:dyDescent="0.35">
      <c r="A19" s="5"/>
      <c r="B19" s="5" t="s">
        <v>49</v>
      </c>
      <c r="C19" s="24">
        <f>revenue_by_rep!C27 +revenue_by_rep!I27+revenue_by_rep!O27+revenue_by_rep!U27+revenue_by_rep!AA27</f>
        <v>1227520.3691651856</v>
      </c>
      <c r="D19" s="24">
        <f>revenue_by_rep!D27 +revenue_by_rep!J27+revenue_by_rep!P27+revenue_by_rep!V27+revenue_by_rep!AB27</f>
        <v>1165934.4209038503</v>
      </c>
      <c r="E19" s="24">
        <f>revenue_by_rep!E27 +revenue_by_rep!K27+revenue_by_rep!Q27+revenue_by_rep!W27+revenue_by_rep!AC27</f>
        <v>1637560.4870054559</v>
      </c>
      <c r="F19" s="24">
        <f>revenue_by_rep!F27 +revenue_by_rep!L27+revenue_by_rep!R27+revenue_by_rep!X27+revenue_by_rep!AD27</f>
        <v>1593026.1438356987</v>
      </c>
      <c r="G19" s="5">
        <f>qty_sales_by_rep!C27+qty_sales_by_rep!I27+qty_sales_by_rep!O27+qty_sales_by_rep!U27+qty_sales_by_rep!AA27</f>
        <v>465</v>
      </c>
      <c r="H19" s="5">
        <f>qty_sales_by_rep!D27+qty_sales_by_rep!J27+qty_sales_by_rep!P27+qty_sales_by_rep!V27+qty_sales_by_rep!AB27</f>
        <v>361</v>
      </c>
      <c r="I19" s="5">
        <f>qty_sales_by_rep!E27+qty_sales_by_rep!K27+qty_sales_by_rep!Q27+qty_sales_by_rep!W27+qty_sales_by_rep!AC27</f>
        <v>461</v>
      </c>
      <c r="J19" s="5">
        <f>qty_sales_by_rep!F27+qty_sales_by_rep!L27+qty_sales_by_rep!R27+qty_sales_by_rep!X27+qty_sales_by_rep!AD27</f>
        <v>681</v>
      </c>
      <c r="K19" s="24">
        <f>SUMIFS(sales_data_1[Profit_Margin],sales_data_1[Product_Category], K$2, sales_data_1[Year],"2023", sales_data_1[month],B19)</f>
        <v>53854.26160000002</v>
      </c>
      <c r="L19" s="24">
        <f t="shared" si="1"/>
        <v>483109.68785833335</v>
      </c>
      <c r="M19" s="24">
        <f>SUMIFS(sales_data_1[Profit_Margin],sales_data_1[Product_Category], M$2, sales_data_1[Year],"2023", sales_data_1[month],B19)</f>
        <v>70481.025899999979</v>
      </c>
      <c r="N19" s="24">
        <f t="shared" si="2"/>
        <v>467173.60595</v>
      </c>
      <c r="O19" s="24">
        <f>SUMIFS(sales_data_1[Profit_Margin],sales_data_1[Product_Category], O$2, sales_data_1[Year],"2023", sales_data_1[month],B19)</f>
        <v>83123.990199999957</v>
      </c>
      <c r="P19" s="24">
        <f t="shared" si="3"/>
        <v>458176.3609749999</v>
      </c>
      <c r="Q19" s="24">
        <f>SUMIFS(sales_data_1[Profit_Margin],sales_data_1[Product_Category], Q$2, sales_data_1[Year],"2023", sales_data_1[month],B19)</f>
        <v>107345.1137</v>
      </c>
      <c r="R19" s="24">
        <f t="shared" si="4"/>
        <v>383850.26934166654</v>
      </c>
      <c r="T19" s="41" t="s">
        <v>16</v>
      </c>
      <c r="U19" s="25">
        <v>2472.4161153846158</v>
      </c>
      <c r="V19" s="25">
        <v>2734.0653461538477</v>
      </c>
      <c r="W19">
        <f>GETPIVOTDATA("Average of Unit_Price",$T$9,"Year",2023,"Product_Category","Furniture")-GETPIVOTDATA("Average of Unit_Cost",$T$9,"Year",2023,"Product_Category","Furniture")</f>
        <v>261.64923076923196</v>
      </c>
    </row>
    <row r="20" spans="1:25" x14ac:dyDescent="0.35">
      <c r="A20" s="5"/>
      <c r="B20" s="5" t="s">
        <v>50</v>
      </c>
      <c r="C20" s="24">
        <f>revenue_by_rep!C28 +revenue_by_rep!I28+revenue_by_rep!O28+revenue_by_rep!U28+revenue_by_rep!AA28</f>
        <v>1412295.9098305549</v>
      </c>
      <c r="D20" s="24">
        <f>revenue_by_rep!D28 +revenue_by_rep!J28+revenue_by_rep!P28+revenue_by_rep!V28+revenue_by_rep!AB28</f>
        <v>1286423.2547272963</v>
      </c>
      <c r="E20" s="24">
        <f>revenue_by_rep!E28 +revenue_by_rep!K28+revenue_by_rep!Q28+revenue_by_rep!W28+revenue_by_rep!AC28</f>
        <v>797620.01070010918</v>
      </c>
      <c r="F20" s="24">
        <f>revenue_by_rep!F28 +revenue_by_rep!L28+revenue_by_rep!R28+revenue_by_rep!X28+revenue_by_rep!AD28</f>
        <v>2410482.3753059646</v>
      </c>
      <c r="G20" s="5">
        <f>qty_sales_by_rep!C28+qty_sales_by_rep!I28+qty_sales_by_rep!O28+qty_sales_by_rep!U28+qty_sales_by_rep!AA28</f>
        <v>689</v>
      </c>
      <c r="H20" s="5">
        <f>qty_sales_by_rep!D28+qty_sales_by_rep!J28+qty_sales_by_rep!P28+qty_sales_by_rep!V28+qty_sales_by_rep!AB28</f>
        <v>448</v>
      </c>
      <c r="I20" s="5">
        <f>qty_sales_by_rep!E28+qty_sales_by_rep!K28+qty_sales_by_rep!Q28+qty_sales_by_rep!W28+qty_sales_by_rep!AC28</f>
        <v>322</v>
      </c>
      <c r="J20" s="5">
        <f>qty_sales_by_rep!F28+qty_sales_by_rep!L28+qty_sales_by_rep!R28+qty_sales_by_rep!X28+qty_sales_by_rep!AD28</f>
        <v>817</v>
      </c>
      <c r="K20" s="24">
        <f>SUMIFS(sales_data_1[Profit_Margin],sales_data_1[Product_Category], K$2, sales_data_1[Year],"2023", sales_data_1[month],B20)</f>
        <v>103990.9433</v>
      </c>
      <c r="L20" s="24">
        <f t="shared" si="1"/>
        <v>380420.38284166669</v>
      </c>
      <c r="M20" s="24">
        <f>SUMIFS(sales_data_1[Profit_Margin],sales_data_1[Product_Category], M$2, sales_data_1[Year],"2023", sales_data_1[month],B20)</f>
        <v>57741.10169999997</v>
      </c>
      <c r="N20" s="24">
        <f t="shared" si="2"/>
        <v>410606.38705000002</v>
      </c>
      <c r="O20" s="24">
        <f>SUMIFS(sales_data_1[Profit_Margin],sales_data_1[Product_Category], O$2, sales_data_1[Year],"2023", sales_data_1[month],B20)</f>
        <v>67264.888199999958</v>
      </c>
      <c r="P20" s="24">
        <f t="shared" si="3"/>
        <v>418216.45174999995</v>
      </c>
      <c r="Q20" s="24">
        <f>SUMIFS(sales_data_1[Profit_Margin],sales_data_1[Product_Category], Q$2, sales_data_1[Year],"2023", sales_data_1[month],B20)</f>
        <v>138927.77179999993</v>
      </c>
      <c r="R20" s="24">
        <f t="shared" si="4"/>
        <v>346577.41279999999</v>
      </c>
      <c r="T20" s="3">
        <v>2024</v>
      </c>
      <c r="U20" s="25">
        <v>1823.6745814167446</v>
      </c>
      <c r="V20" s="25">
        <v>3589.986890524372</v>
      </c>
    </row>
    <row r="21" spans="1:25" x14ac:dyDescent="0.35">
      <c r="A21" s="5"/>
      <c r="B21" s="5" t="s">
        <v>51</v>
      </c>
      <c r="C21" s="24">
        <f>revenue_by_rep!C29 +revenue_by_rep!I29+revenue_by_rep!O29+revenue_by_rep!U29+revenue_by_rep!AA29</f>
        <v>1003285.2061269837</v>
      </c>
      <c r="D21" s="24">
        <f>revenue_by_rep!D29 +revenue_by_rep!J29+revenue_by_rep!P29+revenue_by_rep!V29+revenue_by_rep!AB29</f>
        <v>1165854.9763005809</v>
      </c>
      <c r="E21" s="24">
        <f>revenue_by_rep!E29 +revenue_by_rep!K29+revenue_by_rep!Q29+revenue_by_rep!W29+revenue_by_rep!AC29</f>
        <v>1043218.3949715509</v>
      </c>
      <c r="F21" s="24">
        <f>revenue_by_rep!F29 +revenue_by_rep!L29+revenue_by_rep!R29+revenue_by_rep!X29+revenue_by_rep!AD29</f>
        <v>1332480.5330519541</v>
      </c>
      <c r="G21" s="5">
        <f>qty_sales_by_rep!C29+qty_sales_by_rep!I29+qty_sales_by_rep!O29+qty_sales_by_rep!U29+qty_sales_by_rep!AA29</f>
        <v>325</v>
      </c>
      <c r="H21" s="5">
        <f>qty_sales_by_rep!D29+qty_sales_by_rep!J29+qty_sales_by_rep!P29+qty_sales_by_rep!V29+qty_sales_by_rep!AB29</f>
        <v>561</v>
      </c>
      <c r="I21" s="5">
        <f>qty_sales_by_rep!E29+qty_sales_by_rep!K29+qty_sales_by_rep!Q29+qty_sales_by_rep!W29+qty_sales_by_rep!AC29</f>
        <v>327</v>
      </c>
      <c r="J21" s="5">
        <f>qty_sales_by_rep!F29+qty_sales_by_rep!L29+qty_sales_by_rep!R29+qty_sales_by_rep!X29+qty_sales_by_rep!AD29</f>
        <v>390</v>
      </c>
      <c r="K21" s="24">
        <f>SUMIFS(sales_data_1[Profit_Margin],sales_data_1[Product_Category], K$2, sales_data_1[Year],"2023", sales_data_1[month],B21)</f>
        <v>52118.299699999989</v>
      </c>
      <c r="L21" s="24">
        <f t="shared" si="1"/>
        <v>318386.78749999992</v>
      </c>
      <c r="M21" s="24">
        <f>SUMIFS(sales_data_1[Profit_Margin],sales_data_1[Product_Category], M$2, sales_data_1[Year],"2023", sales_data_1[month],B21)</f>
        <v>86288.473200000037</v>
      </c>
      <c r="N21" s="24">
        <f t="shared" si="2"/>
        <v>356323.22101666662</v>
      </c>
      <c r="O21" s="24">
        <f>SUMIFS(sales_data_1[Profit_Margin],sales_data_1[Product_Category], O$2, sales_data_1[Year],"2023", sales_data_1[month],B21)</f>
        <v>44414.077000000005</v>
      </c>
      <c r="P21" s="24">
        <f t="shared" si="3"/>
        <v>359772.13334999996</v>
      </c>
      <c r="Q21" s="24">
        <f>SUMIFS(sales_data_1[Profit_Margin],sales_data_1[Product_Category], Q$2, sales_data_1[Year],"2023", sales_data_1[month],B21)</f>
        <v>57156.413499999908</v>
      </c>
      <c r="R21" s="24">
        <f t="shared" si="4"/>
        <v>296711.98555833328</v>
      </c>
      <c r="T21" s="41" t="s">
        <v>26</v>
      </c>
      <c r="U21" s="25">
        <v>1838.1097526501781</v>
      </c>
      <c r="V21" s="25">
        <v>3606.2785865724391</v>
      </c>
      <c r="W21">
        <f>GETPIVOTDATA("Average of Unit_Price",$T$9,"Year",2024,"Product_Category","Clothing")-GETPIVOTDATA("Average of Unit_Cost",$T$9,"Year",2024,"Product_Category","Clothing")</f>
        <v>1768.168833922261</v>
      </c>
    </row>
    <row r="22" spans="1:25" x14ac:dyDescent="0.35">
      <c r="A22" s="5"/>
      <c r="B22" s="5" t="s">
        <v>52</v>
      </c>
      <c r="C22" s="24">
        <f>revenue_by_rep!C30 +revenue_by_rep!I30+revenue_by_rep!O30+revenue_by_rep!U30+revenue_by_rep!AA30</f>
        <v>2779027.0503126876</v>
      </c>
      <c r="D22" s="24">
        <f>revenue_by_rep!D30 +revenue_by_rep!J30+revenue_by_rep!P30+revenue_by_rep!V30+revenue_by_rep!AB30</f>
        <v>911402.30261872406</v>
      </c>
      <c r="E22" s="24">
        <f>revenue_by_rep!E30 +revenue_by_rep!K30+revenue_by_rep!Q30+revenue_by_rep!W30+revenue_by_rep!AC30</f>
        <v>1662244.0190021852</v>
      </c>
      <c r="F22" s="24">
        <f>revenue_by_rep!F30 +revenue_by_rep!L30+revenue_by_rep!R30+revenue_by_rep!X30+revenue_by_rep!AD30</f>
        <v>1157193.0456754151</v>
      </c>
      <c r="G22" s="5">
        <f>qty_sales_by_rep!C30+qty_sales_by_rep!I30+qty_sales_by_rep!O30+qty_sales_by_rep!U30+qty_sales_by_rep!AA30</f>
        <v>955</v>
      </c>
      <c r="H22" s="5">
        <f>qty_sales_by_rep!D30+qty_sales_by_rep!J30+qty_sales_by_rep!P30+qty_sales_by_rep!V30+qty_sales_by_rep!AB30</f>
        <v>335</v>
      </c>
      <c r="I22" s="5">
        <f>qty_sales_by_rep!E30+qty_sales_by_rep!K30+qty_sales_by_rep!Q30+qty_sales_by_rep!W30+qty_sales_by_rep!AC30</f>
        <v>626</v>
      </c>
      <c r="J22" s="5">
        <f>qty_sales_by_rep!F30+qty_sales_by_rep!L30+qty_sales_by_rep!R30+qty_sales_by_rep!X30+qty_sales_by_rep!AD30</f>
        <v>420</v>
      </c>
      <c r="K22" s="24">
        <f>SUMIFS(sales_data_1[Profit_Margin],sales_data_1[Product_Category], K$2, sales_data_1[Year],"2023", sales_data_1[month],B22)</f>
        <v>122979.9014</v>
      </c>
      <c r="L22" s="24">
        <f t="shared" si="1"/>
        <v>269003.06569999998</v>
      </c>
      <c r="M22" s="24">
        <f>SUMIFS(sales_data_1[Profit_Margin],sales_data_1[Product_Category], M$2, sales_data_1[Year],"2023", sales_data_1[month],B22)</f>
        <v>53268.771299999986</v>
      </c>
      <c r="N22" s="24">
        <f t="shared" si="2"/>
        <v>310618.79613333329</v>
      </c>
      <c r="O22" s="24">
        <f>SUMIFS(sales_data_1[Profit_Margin],sales_data_1[Product_Category], O$2, sales_data_1[Year],"2023", sales_data_1[month],B22)</f>
        <v>95430.73520000001</v>
      </c>
      <c r="P22" s="24">
        <f t="shared" si="3"/>
        <v>286730.09631666663</v>
      </c>
      <c r="Q22" s="24">
        <f>SUMIFS(sales_data_1[Profit_Margin],sales_data_1[Product_Category], Q$2, sales_data_1[Year],"2023", sales_data_1[month],B22)</f>
        <v>82765.873700000011</v>
      </c>
      <c r="R22" s="24">
        <f t="shared" si="4"/>
        <v>244182.91104166664</v>
      </c>
      <c r="T22" s="41" t="s">
        <v>31</v>
      </c>
      <c r="U22" s="25">
        <v>1677.210235294117</v>
      </c>
      <c r="V22" s="25">
        <v>3496.5514901960773</v>
      </c>
      <c r="W22">
        <f>GETPIVOTDATA("Average of Unit_Price",$T$9,"Year",2024,"Product_Category","Electronics")-GETPIVOTDATA("Average of Unit_Cost",$T$9,"Year",2024,"Product_Category","Electronics")</f>
        <v>1819.3412549019604</v>
      </c>
    </row>
    <row r="23" spans="1:25" x14ac:dyDescent="0.35">
      <c r="A23" s="5"/>
      <c r="B23" s="5" t="s">
        <v>53</v>
      </c>
      <c r="C23" s="24">
        <f>revenue_by_rep!C31 +revenue_by_rep!I31+revenue_by_rep!O31+revenue_by_rep!U31+revenue_by_rep!AA31</f>
        <v>1299296.7709201903</v>
      </c>
      <c r="D23" s="24">
        <f>revenue_by_rep!D31 +revenue_by_rep!J31+revenue_by_rep!P31+revenue_by_rep!V31+revenue_by_rep!AB31</f>
        <v>1339110.3099132252</v>
      </c>
      <c r="E23" s="24">
        <f>revenue_by_rep!E31 +revenue_by_rep!K31+revenue_by_rep!Q31+revenue_by_rep!W31+revenue_by_rep!AC31</f>
        <v>929184.36627242668</v>
      </c>
      <c r="F23" s="24">
        <f>revenue_by_rep!F31 +revenue_by_rep!L31+revenue_by_rep!R31+revenue_by_rep!X31+revenue_by_rep!AD31</f>
        <v>801416.97906051215</v>
      </c>
      <c r="G23" s="5">
        <f>qty_sales_by_rep!C31+qty_sales_by_rep!I31+qty_sales_by_rep!O31+qty_sales_by_rep!U31+qty_sales_by_rep!AA31</f>
        <v>490</v>
      </c>
      <c r="H23" s="5">
        <f>qty_sales_by_rep!D31+qty_sales_by_rep!J31+qty_sales_by_rep!P31+qty_sales_by_rep!V31+qty_sales_by_rep!AB31</f>
        <v>470</v>
      </c>
      <c r="I23" s="5">
        <f>qty_sales_by_rep!E31+qty_sales_by_rep!K31+qty_sales_by_rep!Q31+qty_sales_by_rep!W31+qty_sales_by_rep!AC31</f>
        <v>434</v>
      </c>
      <c r="J23" s="5">
        <f>qty_sales_by_rep!F31+qty_sales_by_rep!L31+qty_sales_by_rep!R31+qty_sales_by_rep!X31+qty_sales_by_rep!AD31</f>
        <v>421</v>
      </c>
      <c r="K23" s="24">
        <f>SUMIFS(sales_data_1[Profit_Margin],sales_data_1[Product_Category], K$2, sales_data_1[Year],"2023", sales_data_1[month],B23)</f>
        <v>87570.728799999939</v>
      </c>
      <c r="L23" s="24">
        <f t="shared" si="1"/>
        <v>235267.77388333331</v>
      </c>
      <c r="M23" s="24">
        <f>SUMIFS(sales_data_1[Profit_Margin],sales_data_1[Product_Category], M$2, sales_data_1[Year],"2023", sales_data_1[month],B23)</f>
        <v>71272.473499999964</v>
      </c>
      <c r="N23" s="24">
        <f t="shared" si="2"/>
        <v>247606.14906666664</v>
      </c>
      <c r="O23" s="24">
        <f>SUMIFS(sales_data_1[Profit_Margin],sales_data_1[Product_Category], O$2, sales_data_1[Year],"2023", sales_data_1[month],B23)</f>
        <v>67849.72769999993</v>
      </c>
      <c r="P23" s="24">
        <f t="shared" si="3"/>
        <v>221514.9069583333</v>
      </c>
      <c r="Q23" s="24">
        <f>SUMIFS(sales_data_1[Profit_Margin],sales_data_1[Product_Category], Q$2, sales_data_1[Year],"2023", sales_data_1[month],B23)</f>
        <v>58917.016299999974</v>
      </c>
      <c r="R23" s="24">
        <f t="shared" si="4"/>
        <v>205382.01983333324</v>
      </c>
      <c r="T23" s="41" t="s">
        <v>24</v>
      </c>
      <c r="U23" s="25">
        <v>1861.2390510948903</v>
      </c>
      <c r="V23" s="25">
        <v>3602.7567883211673</v>
      </c>
      <c r="W23">
        <f>GETPIVOTDATA("Average of Unit_Price",$T$9,"Year",2024,"Product_Category","Food")-GETPIVOTDATA("Average of Unit_Cost",$T$9,"Year",2024,"Product_Category","Food")</f>
        <v>1741.5177372262769</v>
      </c>
    </row>
    <row r="24" spans="1:25" x14ac:dyDescent="0.35">
      <c r="A24" s="5"/>
      <c r="B24" s="5" t="s">
        <v>54</v>
      </c>
      <c r="C24" s="24">
        <f>revenue_by_rep!C32 +revenue_by_rep!I32+revenue_by_rep!O32+revenue_by_rep!U32+revenue_by_rep!AA32</f>
        <v>1640301.5321030968</v>
      </c>
      <c r="D24" s="24">
        <f>revenue_by_rep!D32 +revenue_by_rep!J32+revenue_by_rep!P32+revenue_by_rep!V32+revenue_by_rep!AB32</f>
        <v>2268985.5351253171</v>
      </c>
      <c r="E24" s="24">
        <f>revenue_by_rep!E32 +revenue_by_rep!K32+revenue_by_rep!Q32+revenue_by_rep!W32+revenue_by_rep!AC32</f>
        <v>1161744.3185778884</v>
      </c>
      <c r="F24" s="24">
        <f>revenue_by_rep!F32 +revenue_by_rep!L32+revenue_by_rep!R32+revenue_by_rep!X32+revenue_by_rep!AD32</f>
        <v>1271075.0281579474</v>
      </c>
      <c r="G24" s="5">
        <f>qty_sales_by_rep!C32+qty_sales_by_rep!I32+qty_sales_by_rep!O32+qty_sales_by_rep!U32+qty_sales_by_rep!AA32</f>
        <v>641</v>
      </c>
      <c r="H24" s="5">
        <f>qty_sales_by_rep!D32+qty_sales_by_rep!J32+qty_sales_by_rep!P32+qty_sales_by_rep!V32+qty_sales_by_rep!AB32</f>
        <v>749</v>
      </c>
      <c r="I24" s="5">
        <f>qty_sales_by_rep!E32+qty_sales_by_rep!K32+qty_sales_by_rep!Q32+qty_sales_by_rep!W32+qty_sales_by_rep!AC32</f>
        <v>509</v>
      </c>
      <c r="J24" s="5">
        <f>qty_sales_by_rep!F32+qty_sales_by_rep!L32+qty_sales_by_rep!R32+qty_sales_by_rep!X32+qty_sales_by_rep!AD32</f>
        <v>487</v>
      </c>
      <c r="K24" s="24">
        <f>SUMIFS(sales_data_1[Profit_Margin],sales_data_1[Product_Category], K$2, sales_data_1[Year],"2023", sales_data_1[month],B24)</f>
        <v>64522.881300000023</v>
      </c>
      <c r="L24" s="24">
        <f t="shared" si="1"/>
        <v>170694.16245833336</v>
      </c>
      <c r="M24" s="24">
        <f>SUMIFS(sales_data_1[Profit_Margin],sales_data_1[Product_Category], M$2, sales_data_1[Year],"2023", sales_data_1[month],B24)</f>
        <v>119593.48499999999</v>
      </c>
      <c r="N24" s="24">
        <f t="shared" si="2"/>
        <v>196076.14234166665</v>
      </c>
      <c r="O24" s="24">
        <f>SUMIFS(sales_data_1[Profit_Margin],sales_data_1[Product_Category], O$2, sales_data_1[Year],"2023", sales_data_1[month],B24)</f>
        <v>90363.963699999993</v>
      </c>
      <c r="P24" s="24">
        <f t="shared" si="3"/>
        <v>185202.13427499999</v>
      </c>
      <c r="Q24" s="24">
        <f>SUMIFS(sales_data_1[Profit_Margin],sales_data_1[Product_Category], Q$2, sales_data_1[Year],"2023", sales_data_1[month],B24)</f>
        <v>90917.313699999926</v>
      </c>
      <c r="R24" s="24">
        <f t="shared" si="4"/>
        <v>150004.39503333333</v>
      </c>
      <c r="T24" s="41" t="s">
        <v>16</v>
      </c>
      <c r="U24" s="25">
        <v>1907.203999999999</v>
      </c>
      <c r="V24" s="25">
        <v>3647.1378909090877</v>
      </c>
      <c r="W24">
        <f>GETPIVOTDATA("Average of Unit_Price",$T$9,"Year",2024,"Product_Category","Furniture")-GETPIVOTDATA("Average of Unit_Cost",$T$9,"Year",2024,"Product_Category","Furniture")</f>
        <v>1739.9338909090886</v>
      </c>
    </row>
    <row r="25" spans="1:25" x14ac:dyDescent="0.35">
      <c r="A25" s="5"/>
      <c r="B25" s="5" t="s">
        <v>55</v>
      </c>
      <c r="C25" s="24">
        <f>revenue_by_rep!C33 +revenue_by_rep!I33+revenue_by_rep!O33+revenue_by_rep!U33+revenue_by_rep!AA33</f>
        <v>1345165.4644643513</v>
      </c>
      <c r="D25" s="24">
        <f>revenue_by_rep!D33 +revenue_by_rep!J33+revenue_by_rep!P33+revenue_by_rep!V33+revenue_by_rep!AB33</f>
        <v>1025682.3846232091</v>
      </c>
      <c r="E25" s="24">
        <f>revenue_by_rep!E33 +revenue_by_rep!K33+revenue_by_rep!Q33+revenue_by_rep!W33+revenue_by_rep!AC33</f>
        <v>1089094.8267760652</v>
      </c>
      <c r="F25" s="24">
        <f>revenue_by_rep!F33 +revenue_by_rep!L33+revenue_by_rep!R33+revenue_by_rep!X33+revenue_by_rep!AD33</f>
        <v>1307937.695143457</v>
      </c>
      <c r="G25" s="5">
        <f>qty_sales_by_rep!C33+qty_sales_by_rep!I33+qty_sales_by_rep!O33+qty_sales_by_rep!U33+qty_sales_by_rep!AA33</f>
        <v>601</v>
      </c>
      <c r="H25" s="5">
        <f>qty_sales_by_rep!D33+qty_sales_by_rep!J33+qty_sales_by_rep!P33+qty_sales_by_rep!V33+qty_sales_by_rep!AB33</f>
        <v>450</v>
      </c>
      <c r="I25" s="5">
        <f>qty_sales_by_rep!E33+qty_sales_by_rep!K33+qty_sales_by_rep!Q33+qty_sales_by_rep!W33+qty_sales_by_rep!AC33</f>
        <v>489</v>
      </c>
      <c r="J25" s="5">
        <f>qty_sales_by_rep!F33+qty_sales_by_rep!L33+qty_sales_by_rep!R33+qty_sales_by_rep!X33+qty_sales_by_rep!AD33</f>
        <v>589</v>
      </c>
      <c r="K25" s="24">
        <f>SUMIFS(sales_data_1[Profit_Margin],sales_data_1[Product_Category], K$2, sales_data_1[Year],"2023", sales_data_1[month],B25)</f>
        <v>72366.335099999938</v>
      </c>
      <c r="L25" s="24">
        <f t="shared" si="1"/>
        <v>130789.94406666666</v>
      </c>
      <c r="M25" s="24">
        <f>SUMIFS(sales_data_1[Profit_Margin],sales_data_1[Product_Category], M$2, sales_data_1[Year],"2023", sales_data_1[month],B25)</f>
        <v>120291.45199999996</v>
      </c>
      <c r="N25" s="24">
        <f t="shared" si="2"/>
        <v>126190.53091666668</v>
      </c>
      <c r="O25" s="24">
        <f>SUMIFS(sales_data_1[Profit_Margin],sales_data_1[Product_Category], O$2, sales_data_1[Year],"2023", sales_data_1[month],B25)</f>
        <v>65576.943199999994</v>
      </c>
      <c r="P25" s="24">
        <f t="shared" si="3"/>
        <v>142262.78097499997</v>
      </c>
      <c r="Q25" s="24">
        <f>SUMIFS(sales_data_1[Profit_Margin],sales_data_1[Product_Category], Q$2, sales_data_1[Year],"2023", sales_data_1[month],B25)</f>
        <v>111906.54739999997</v>
      </c>
      <c r="R25" s="24">
        <f t="shared" si="4"/>
        <v>109907.65058333329</v>
      </c>
      <c r="T25" s="3" t="s">
        <v>35</v>
      </c>
      <c r="U25" s="25">
        <v>2035.3745707149587</v>
      </c>
      <c r="V25" s="25">
        <v>3296.5087542928513</v>
      </c>
    </row>
    <row r="26" spans="1:25" x14ac:dyDescent="0.35">
      <c r="A26" s="5"/>
      <c r="B26" s="5" t="s">
        <v>56</v>
      </c>
      <c r="C26" s="24">
        <f>revenue_by_rep!C34 +revenue_by_rep!I34+revenue_by_rep!O34+revenue_by_rep!U34+revenue_by_rep!AA34</f>
        <v>1833619.4501814786</v>
      </c>
      <c r="D26" s="24">
        <f>revenue_by_rep!D34 +revenue_by_rep!J34+revenue_by_rep!P34+revenue_by_rep!V34+revenue_by_rep!AB34</f>
        <v>1887370.3665859187</v>
      </c>
      <c r="E26" s="24">
        <f>revenue_by_rep!E34 +revenue_by_rep!K34+revenue_by_rep!Q34+revenue_by_rep!W34+revenue_by_rep!AC34</f>
        <v>1101113.920774468</v>
      </c>
      <c r="F26" s="24">
        <f>revenue_by_rep!F34 +revenue_by_rep!L34+revenue_by_rep!R34+revenue_by_rep!X34+revenue_by_rep!AD34</f>
        <v>1207158.6079575664</v>
      </c>
      <c r="G26" s="5">
        <f>qty_sales_by_rep!C34+qty_sales_by_rep!I34+qty_sales_by_rep!O34+qty_sales_by_rep!U34+qty_sales_by_rep!AA34</f>
        <v>616</v>
      </c>
      <c r="H26" s="5">
        <f>qty_sales_by_rep!D34+qty_sales_by_rep!J34+qty_sales_by_rep!P34+qty_sales_by_rep!V34+qty_sales_by_rep!AB34</f>
        <v>623</v>
      </c>
      <c r="I26" s="5">
        <f>qty_sales_by_rep!E34+qty_sales_by_rep!K34+qty_sales_by_rep!Q34+qty_sales_by_rep!W34+qty_sales_by_rep!AC34</f>
        <v>425</v>
      </c>
      <c r="J26" s="5">
        <f>qty_sales_by_rep!F34+qty_sales_by_rep!L34+qty_sales_by_rep!R34+qty_sales_by_rep!X34+qty_sales_by_rep!AD34</f>
        <v>519</v>
      </c>
      <c r="K26" s="24">
        <f>SUMIFS(sales_data_1[Profit_Margin],sales_data_1[Product_Category], K$2, sales_data_1[Year],"2023", sales_data_1[month],B26)</f>
        <v>118714.37959999996</v>
      </c>
      <c r="L26" s="24">
        <f t="shared" si="1"/>
        <v>84254.333974999972</v>
      </c>
      <c r="M26" s="24">
        <f>SUMIFS(sales_data_1[Profit_Margin],sales_data_1[Product_Category], M$2, sales_data_1[Year],"2023", sales_data_1[month],B26)</f>
        <v>71036.172199999972</v>
      </c>
      <c r="N26" s="24">
        <f t="shared" si="2"/>
        <v>82565.444758333324</v>
      </c>
      <c r="O26" s="24">
        <f>SUMIFS(sales_data_1[Profit_Margin],sales_data_1[Product_Category], O$2, sales_data_1[Year],"2023", sales_data_1[month],B26)</f>
        <v>79541.726999999999</v>
      </c>
      <c r="P26" s="24">
        <f t="shared" si="3"/>
        <v>75427.392674999981</v>
      </c>
      <c r="Q26" s="24">
        <f>SUMIFS(sales_data_1[Profit_Margin],sales_data_1[Product_Category], Q$2, sales_data_1[Year],"2023", sales_data_1[month],B26)</f>
        <v>102112.31089999997</v>
      </c>
      <c r="R26" s="24">
        <f t="shared" si="4"/>
        <v>95912.695283333305</v>
      </c>
    </row>
    <row r="27" spans="1:25" x14ac:dyDescent="0.35">
      <c r="A27" s="17">
        <v>2024</v>
      </c>
      <c r="B27" s="5" t="s">
        <v>45</v>
      </c>
      <c r="C27" s="24">
        <f>revenue_by_rep!C35 +revenue_by_rep!I35+revenue_by_rep!O35+revenue_by_rep!U35+revenue_by_rep!AA35</f>
        <v>2246051.2789649665</v>
      </c>
      <c r="D27" s="24">
        <f>revenue_by_rep!D35 +revenue_by_rep!J35+revenue_by_rep!P35+revenue_by_rep!V35+revenue_by_rep!AB35</f>
        <v>2025537.3124296973</v>
      </c>
      <c r="E27" s="24">
        <f>revenue_by_rep!E35 +revenue_by_rep!K35+revenue_by_rep!Q35+revenue_by_rep!W35+revenue_by_rep!AC35</f>
        <v>1832668.1437610162</v>
      </c>
      <c r="F27" s="24">
        <f>revenue_by_rep!F35 +revenue_by_rep!L35+revenue_by_rep!R35+revenue_by_rep!X35+revenue_by_rep!AD35</f>
        <v>1647127.8054369087</v>
      </c>
      <c r="G27" s="5">
        <f>qty_sales_by_rep!C35+qty_sales_by_rep!I35+qty_sales_by_rep!O35+qty_sales_by_rep!U35+qty_sales_by_rep!AA35</f>
        <v>750</v>
      </c>
      <c r="H27" s="5">
        <f>qty_sales_by_rep!D35+qty_sales_by_rep!J35+qty_sales_by_rep!P35+qty_sales_by_rep!V35+qty_sales_by_rep!AB35</f>
        <v>629</v>
      </c>
      <c r="I27" s="5">
        <f>qty_sales_by_rep!E35+qty_sales_by_rep!K35+qty_sales_by_rep!Q35+qty_sales_by_rep!W35+qty_sales_by_rep!AC35</f>
        <v>596</v>
      </c>
      <c r="J27" s="5">
        <f>qty_sales_by_rep!F35+qty_sales_by_rep!L35+qty_sales_by_rep!R35+qty_sales_by_rep!X35+qty_sales_by_rep!AD35</f>
        <v>520</v>
      </c>
      <c r="K27" s="24">
        <f>SUMIFS(sales_data_1[Profit_Margin],sales_data_1[Product_Category], K$2, sales_data_1[Year],"2024", sales_data_1[month],B27)</f>
        <v>1100455.1462000001</v>
      </c>
      <c r="L27" s="24">
        <f t="shared" si="1"/>
        <v>165890.35287499998</v>
      </c>
      <c r="M27" s="24">
        <f>SUMIFS(sales_data_1[Profit_Margin],sales_data_1[Product_Category], M$2, sales_data_1[Year],"2024", sales_data_1[month],B27)</f>
        <v>824215.49860000005</v>
      </c>
      <c r="N27" s="24">
        <f t="shared" si="2"/>
        <v>145097.3257833333</v>
      </c>
      <c r="O27" s="24">
        <f>SUMIFS(sales_data_1[Profit_Margin],sales_data_1[Product_Category], O$2, sales_data_1[Year],"2024", sales_data_1[month],B27)</f>
        <v>683794.01239999989</v>
      </c>
      <c r="P27" s="24">
        <f t="shared" si="3"/>
        <v>124038.49316666664</v>
      </c>
      <c r="Q27" s="24">
        <f>SUMIFS(sales_data_1[Profit_Margin],sales_data_1[Product_Category], Q$2, sales_data_1[Year],"2024", sales_data_1[month],B27)</f>
        <v>671938.20019999985</v>
      </c>
      <c r="R27" s="24">
        <f t="shared" si="4"/>
        <v>140450.97485833327</v>
      </c>
    </row>
    <row r="28" spans="1:25" x14ac:dyDescent="0.35">
      <c r="A28" s="5"/>
      <c r="B28" s="5" t="s">
        <v>46</v>
      </c>
      <c r="C28" s="24">
        <f>revenue_by_rep!C36 +revenue_by_rep!I36+revenue_by_rep!O36+revenue_by_rep!U36+revenue_by_rep!AA36</f>
        <v>2017069.1175273606</v>
      </c>
      <c r="D28" s="24">
        <f>revenue_by_rep!D36 +revenue_by_rep!J36+revenue_by_rep!P36+revenue_by_rep!V36+revenue_by_rep!AB36</f>
        <v>1615469.6914741171</v>
      </c>
      <c r="E28" s="24">
        <f>revenue_by_rep!E36 +revenue_by_rep!K36+revenue_by_rep!Q36+revenue_by_rep!W36+revenue_by_rep!AC36</f>
        <v>1079003.170191267</v>
      </c>
      <c r="F28" s="24">
        <f>revenue_by_rep!F36 +revenue_by_rep!L36+revenue_by_rep!R36+revenue_by_rep!X36+revenue_by_rep!AD36</f>
        <v>2038882.3785831542</v>
      </c>
      <c r="G28" s="5">
        <f>qty_sales_by_rep!C36+qty_sales_by_rep!I36+qty_sales_by_rep!O36+qty_sales_by_rep!U36+qty_sales_by_rep!AA36</f>
        <v>568</v>
      </c>
      <c r="H28" s="5">
        <f>qty_sales_by_rep!D36+qty_sales_by_rep!J36+qty_sales_by_rep!P36+qty_sales_by_rep!V36+qty_sales_by_rep!AB36</f>
        <v>503</v>
      </c>
      <c r="I28" s="5">
        <f>qty_sales_by_rep!E36+qty_sales_by_rep!K36+qty_sales_by_rep!Q36+qty_sales_by_rep!W36+qty_sales_by_rep!AC36</f>
        <v>402</v>
      </c>
      <c r="J28" s="5">
        <f>qty_sales_by_rep!F36+qty_sales_by_rep!L36+qty_sales_by_rep!R36+qty_sales_by_rep!X36+qty_sales_by_rep!AD36</f>
        <v>633</v>
      </c>
      <c r="K28" s="24">
        <f>SUMIFS(sales_data_1[Profit_Margin],sales_data_1[Product_Category], K$2, sales_data_1[Year],"2024", sales_data_1[month],B28)</f>
        <v>739334.2962000001</v>
      </c>
      <c r="L28" s="24">
        <f t="shared" si="1"/>
        <v>222834.74400833333</v>
      </c>
      <c r="M28" s="24">
        <f>SUMIFS(sales_data_1[Profit_Margin],sales_data_1[Product_Category], M$2, sales_data_1[Year],"2024", sales_data_1[month],B28)</f>
        <v>566310.60770000005</v>
      </c>
      <c r="N28" s="24">
        <f t="shared" si="2"/>
        <v>184306.04469999997</v>
      </c>
      <c r="O28" s="24">
        <f>SUMIFS(sales_data_1[Profit_Margin],sales_data_1[Product_Category], O$2, sales_data_1[Year],"2024", sales_data_1[month],B28)</f>
        <v>362681.47449999995</v>
      </c>
      <c r="P28" s="24">
        <f t="shared" si="3"/>
        <v>148280.94548333331</v>
      </c>
      <c r="Q28" s="24">
        <f>SUMIFS(sales_data_1[Profit_Margin],sales_data_1[Product_Category], Q$2, sales_data_1[Year],"2024", sales_data_1[month],B28)</f>
        <v>608947.04920000001</v>
      </c>
      <c r="R28" s="24">
        <f t="shared" si="4"/>
        <v>182190.92358333329</v>
      </c>
      <c r="V28" s="21" t="s">
        <v>26</v>
      </c>
      <c r="W28" s="21" t="s">
        <v>31</v>
      </c>
      <c r="X28" s="21" t="s">
        <v>24</v>
      </c>
      <c r="Y28" s="21" t="s">
        <v>16</v>
      </c>
    </row>
    <row r="29" spans="1:25" x14ac:dyDescent="0.35">
      <c r="A29" s="5"/>
      <c r="B29" s="5" t="s">
        <v>47</v>
      </c>
      <c r="C29" s="24">
        <f>revenue_by_rep!C37 +revenue_by_rep!I37+revenue_by_rep!O37+revenue_by_rep!U37+revenue_by_rep!AA37</f>
        <v>2344413.6903831796</v>
      </c>
      <c r="D29" s="24">
        <f>revenue_by_rep!D37 +revenue_by_rep!J37+revenue_by_rep!P37+revenue_by_rep!V37+revenue_by_rep!AB37</f>
        <v>2096162.826183886</v>
      </c>
      <c r="E29" s="24">
        <f>revenue_by_rep!E37 +revenue_by_rep!K37+revenue_by_rep!Q37+revenue_by_rep!W37+revenue_by_rep!AC37</f>
        <v>1654663.6051795958</v>
      </c>
      <c r="F29" s="24">
        <f>revenue_by_rep!F37 +revenue_by_rep!L37+revenue_by_rep!R37+revenue_by_rep!X37+revenue_by_rep!AD37</f>
        <v>2919011.0013137809</v>
      </c>
      <c r="G29" s="5">
        <f>qty_sales_by_rep!C37+qty_sales_by_rep!I37+qty_sales_by_rep!O37+qty_sales_by_rep!U37+qty_sales_by_rep!AA37</f>
        <v>699</v>
      </c>
      <c r="H29" s="5">
        <f>qty_sales_by_rep!D37+qty_sales_by_rep!J37+qty_sales_by_rep!P37+qty_sales_by_rep!V37+qty_sales_by_rep!AB37</f>
        <v>720</v>
      </c>
      <c r="I29" s="5">
        <f>qty_sales_by_rep!E37+qty_sales_by_rep!K37+qty_sales_by_rep!Q37+qty_sales_by_rep!W37+qty_sales_by_rep!AC37</f>
        <v>520</v>
      </c>
      <c r="J29" s="5">
        <f>qty_sales_by_rep!F37+qty_sales_by_rep!L37+qty_sales_by_rep!R37+qty_sales_by_rep!X37+qty_sales_by_rep!AD37</f>
        <v>897</v>
      </c>
      <c r="K29" s="24">
        <f>SUMIFS(sales_data_1[Profit_Margin],sales_data_1[Product_Category], K$2, sales_data_1[Year],"2024", sales_data_1[month],B29)</f>
        <v>1199890.7026000002</v>
      </c>
      <c r="L29" s="24">
        <f t="shared" si="1"/>
        <v>316242.36391666671</v>
      </c>
      <c r="M29" s="24">
        <f>SUMIFS(sales_data_1[Profit_Margin],sales_data_1[Product_Category], M$2, sales_data_1[Year],"2024", sales_data_1[month],B29)</f>
        <v>934553.72689999978</v>
      </c>
      <c r="N29" s="24">
        <f t="shared" si="2"/>
        <v>255467.9239583333</v>
      </c>
      <c r="O29" s="24">
        <f>SUMIFS(sales_data_1[Profit_Margin],sales_data_1[Product_Category], O$2, sales_data_1[Year],"2024", sales_data_1[month],B29)</f>
        <v>563173.58140000002</v>
      </c>
      <c r="P29" s="24">
        <f t="shared" si="3"/>
        <v>187572.35699166663</v>
      </c>
      <c r="Q29" s="24">
        <f>SUMIFS(sales_data_1[Profit_Margin],sales_data_1[Product_Category], Q$2, sales_data_1[Year],"2024", sales_data_1[month],B29)</f>
        <v>1468958.6944000002</v>
      </c>
      <c r="R29" s="24">
        <f t="shared" si="4"/>
        <v>299207.21254166664</v>
      </c>
      <c r="U29" s="5">
        <v>2023</v>
      </c>
      <c r="V29" s="24">
        <f>W16</f>
        <v>250.521947565544</v>
      </c>
      <c r="W29" s="24">
        <f>W17</f>
        <v>249.39893877551003</v>
      </c>
      <c r="X29" s="24">
        <f>W18</f>
        <v>249.80519999999979</v>
      </c>
      <c r="Y29" s="24">
        <f>W19</f>
        <v>261.64923076923196</v>
      </c>
    </row>
    <row r="30" spans="1:25" x14ac:dyDescent="0.35">
      <c r="A30" s="5"/>
      <c r="B30" s="5" t="s">
        <v>48</v>
      </c>
      <c r="C30" s="24">
        <f>revenue_by_rep!C38 +revenue_by_rep!I38+revenue_by_rep!O38+revenue_by_rep!U38+revenue_by_rep!AA38</f>
        <v>1744375.2071958769</v>
      </c>
      <c r="D30" s="24">
        <f>revenue_by_rep!D38 +revenue_by_rep!J38+revenue_by_rep!P38+revenue_by_rep!V38+revenue_by_rep!AB38</f>
        <v>1370427.7378616938</v>
      </c>
      <c r="E30" s="24">
        <f>revenue_by_rep!E38 +revenue_by_rep!K38+revenue_by_rep!Q38+revenue_by_rep!W38+revenue_by_rep!AC38</f>
        <v>1502035.0740385898</v>
      </c>
      <c r="F30" s="24">
        <f>revenue_by_rep!F38 +revenue_by_rep!L38+revenue_by_rep!R38+revenue_by_rep!X38+revenue_by_rep!AD38</f>
        <v>1913782.1246143561</v>
      </c>
      <c r="G30" s="5">
        <f>qty_sales_by_rep!C38+qty_sales_by_rep!I38+qty_sales_by_rep!O38+qty_sales_by_rep!U38+qty_sales_by_rep!AA38</f>
        <v>628</v>
      </c>
      <c r="H30" s="5">
        <f>qty_sales_by_rep!D38+qty_sales_by_rep!J38+qty_sales_by_rep!P38+qty_sales_by_rep!V38+qty_sales_by_rep!AB38</f>
        <v>431</v>
      </c>
      <c r="I30" s="5">
        <f>qty_sales_by_rep!E38+qty_sales_by_rep!K38+qty_sales_by_rep!Q38+qty_sales_by_rep!W38+qty_sales_by_rep!AC38</f>
        <v>527</v>
      </c>
      <c r="J30" s="5">
        <f>qty_sales_by_rep!F38+qty_sales_by_rep!L38+qty_sales_by_rep!R38+qty_sales_by_rep!X38+qty_sales_by_rep!AD38</f>
        <v>540</v>
      </c>
      <c r="K30" s="24">
        <f>SUMIFS(sales_data_1[Profit_Margin],sales_data_1[Product_Category], K$2, sales_data_1[Year],"2024", sales_data_1[month],B30)</f>
        <v>754461.42230000009</v>
      </c>
      <c r="L30" s="24">
        <f t="shared" si="1"/>
        <v>372521.608175</v>
      </c>
      <c r="M30" s="24">
        <f>SUMIFS(sales_data_1[Profit_Margin],sales_data_1[Product_Category], M$2, sales_data_1[Year],"2024", sales_data_1[month],B30)</f>
        <v>819583.21959999984</v>
      </c>
      <c r="N30" s="24">
        <f t="shared" si="2"/>
        <v>316219.66729999997</v>
      </c>
      <c r="O30" s="24">
        <f>SUMIFS(sales_data_1[Profit_Margin],sales_data_1[Product_Category], O$2, sales_data_1[Year],"2024", sales_data_1[month],B30)</f>
        <v>629030.93869999994</v>
      </c>
      <c r="P30" s="24">
        <f t="shared" si="3"/>
        <v>236020.50493333329</v>
      </c>
      <c r="Q30" s="24">
        <f>SUMIFS(sales_data_1[Profit_Margin],sales_data_1[Product_Category], Q$2, sales_data_1[Year],"2024", sales_data_1[month],B30)</f>
        <v>420483.06780000008</v>
      </c>
      <c r="R30" s="24">
        <f t="shared" si="4"/>
        <v>326697.94771666662</v>
      </c>
      <c r="U30" s="5">
        <v>2024</v>
      </c>
      <c r="V30" s="24">
        <f>W21</f>
        <v>1768.168833922261</v>
      </c>
      <c r="W30" s="24">
        <f>W22</f>
        <v>1819.3412549019604</v>
      </c>
      <c r="X30" s="24">
        <f>W23</f>
        <v>1741.5177372262769</v>
      </c>
      <c r="Y30" s="24">
        <f>W24</f>
        <v>1739.9338909090886</v>
      </c>
    </row>
    <row r="31" spans="1:25" x14ac:dyDescent="0.35">
      <c r="A31" s="5"/>
      <c r="B31" s="5" t="s">
        <v>49</v>
      </c>
      <c r="C31" s="24">
        <f>revenue_by_rep!C39 +revenue_by_rep!I39+revenue_by_rep!O39+revenue_by_rep!U39+revenue_by_rep!AA39</f>
        <v>1942142.6528164926</v>
      </c>
      <c r="D31" s="24">
        <f>revenue_by_rep!D39 +revenue_by_rep!J39+revenue_by_rep!P39+revenue_by_rep!V39+revenue_by_rep!AB39</f>
        <v>1364617.608539951</v>
      </c>
      <c r="E31" s="24">
        <f>revenue_by_rep!E39 +revenue_by_rep!K39+revenue_by_rep!Q39+revenue_by_rep!W39+revenue_by_rep!AC39</f>
        <v>2871162.6628084695</v>
      </c>
      <c r="F31" s="24">
        <f>revenue_by_rep!F39 +revenue_by_rep!L39+revenue_by_rep!R39+revenue_by_rep!X39+revenue_by_rep!AD39</f>
        <v>3051895.3777379999</v>
      </c>
      <c r="G31" s="5">
        <f>qty_sales_by_rep!C39+qty_sales_by_rep!I39+qty_sales_by_rep!O39+qty_sales_by_rep!U39+qty_sales_by_rep!AA39</f>
        <v>584</v>
      </c>
      <c r="H31" s="5">
        <f>qty_sales_by_rep!D39+qty_sales_by_rep!J39+qty_sales_by_rep!P39+qty_sales_by_rep!V39+qty_sales_by_rep!AB39</f>
        <v>434</v>
      </c>
      <c r="I31" s="5">
        <f>qty_sales_by_rep!E39+qty_sales_by_rep!K39+qty_sales_by_rep!Q39+qty_sales_by_rep!W39+qty_sales_by_rep!AC39</f>
        <v>862</v>
      </c>
      <c r="J31" s="5">
        <f>qty_sales_by_rep!F39+qty_sales_by_rep!L39+qty_sales_by_rep!R39+qty_sales_by_rep!X39+qty_sales_by_rep!AD39</f>
        <v>896</v>
      </c>
      <c r="K31" s="24">
        <f>SUMIFS(sales_data_1[Profit_Margin],sales_data_1[Product_Category], K$2, sales_data_1[Year],"2024", sales_data_1[month],B31)</f>
        <v>741984.76410000003</v>
      </c>
      <c r="L31" s="24">
        <f t="shared" si="1"/>
        <v>429865.81671666674</v>
      </c>
      <c r="M31" s="24">
        <f>SUMIFS(sales_data_1[Profit_Margin],sales_data_1[Product_Category], M$2, sales_data_1[Year],"2024", sales_data_1[month],B31)</f>
        <v>683617.01689999993</v>
      </c>
      <c r="N31" s="24">
        <f t="shared" si="2"/>
        <v>367314.33321666665</v>
      </c>
      <c r="O31" s="24">
        <f>SUMIFS(sales_data_1[Profit_Margin],sales_data_1[Product_Category], O$2, sales_data_1[Year],"2024", sales_data_1[month],B31)</f>
        <v>985046.70989999978</v>
      </c>
      <c r="P31" s="24">
        <f t="shared" si="3"/>
        <v>311180.73157499993</v>
      </c>
      <c r="Q31" s="24">
        <f>SUMIFS(sales_data_1[Profit_Margin],sales_data_1[Product_Category], Q$2, sales_data_1[Year],"2024", sales_data_1[month],B31)</f>
        <v>1314547.1289000001</v>
      </c>
      <c r="R31" s="24">
        <f t="shared" si="4"/>
        <v>427298.11564999999</v>
      </c>
      <c r="W31" s="43"/>
      <c r="X31" s="43"/>
      <c r="Y31" s="43"/>
    </row>
    <row r="32" spans="1:25" x14ac:dyDescent="0.35">
      <c r="A32" s="5"/>
      <c r="B32" s="5" t="s">
        <v>50</v>
      </c>
      <c r="C32" s="24">
        <f>revenue_by_rep!C40 +revenue_by_rep!I40+revenue_by_rep!O40+revenue_by_rep!U40+revenue_by_rep!AA40</f>
        <v>1590919.9050431729</v>
      </c>
      <c r="D32" s="24">
        <f>revenue_by_rep!D40 +revenue_by_rep!J40+revenue_by_rep!P40+revenue_by_rep!V40+revenue_by_rep!AB40</f>
        <v>1632757.2620544052</v>
      </c>
      <c r="E32" s="24">
        <f>revenue_by_rep!E40 +revenue_by_rep!K40+revenue_by_rep!Q40+revenue_by_rep!W40+revenue_by_rep!AC40</f>
        <v>1882979.4096999997</v>
      </c>
      <c r="F32" s="24">
        <f>revenue_by_rep!F40 +revenue_by_rep!L40+revenue_by_rep!R40+revenue_by_rep!X40+revenue_by_rep!AD40</f>
        <v>1693648.0348344012</v>
      </c>
      <c r="G32" s="5">
        <f>qty_sales_by_rep!C40+qty_sales_by_rep!I40+qty_sales_by_rep!O40+qty_sales_by_rep!U40+qty_sales_by_rep!AA40</f>
        <v>514</v>
      </c>
      <c r="H32" s="5">
        <f>qty_sales_by_rep!D40+qty_sales_by_rep!J40+qty_sales_by_rep!P40+qty_sales_by_rep!V40+qty_sales_by_rep!AB40</f>
        <v>516</v>
      </c>
      <c r="I32" s="5">
        <f>qty_sales_by_rep!E40+qty_sales_by_rep!K40+qty_sales_by_rep!Q40+qty_sales_by_rep!W40+qty_sales_by_rep!AC40</f>
        <v>588</v>
      </c>
      <c r="J32" s="5">
        <f>qty_sales_by_rep!F40+qty_sales_by_rep!L40+qty_sales_by_rep!R40+qty_sales_by_rep!X40+qty_sales_by_rep!AD40</f>
        <v>537</v>
      </c>
      <c r="K32" s="24">
        <f>SUMIFS(sales_data_1[Profit_Margin],sales_data_1[Product_Category], K$2, sales_data_1[Year],"2024", sales_data_1[month],B32)</f>
        <v>628953.15260000003</v>
      </c>
      <c r="L32" s="24">
        <f t="shared" si="1"/>
        <v>473612.66749166668</v>
      </c>
      <c r="M32" s="24">
        <f>SUMIFS(sales_data_1[Profit_Margin],sales_data_1[Product_Category], M$2, sales_data_1[Year],"2024", sales_data_1[month],B32)</f>
        <v>659339.07790000003</v>
      </c>
      <c r="N32" s="24">
        <f t="shared" si="2"/>
        <v>417447.49790000002</v>
      </c>
      <c r="O32" s="24">
        <f>SUMIFS(sales_data_1[Profit_Margin],sales_data_1[Product_Category], O$2, sales_data_1[Year],"2024", sales_data_1[month],B32)</f>
        <v>719507.90970000019</v>
      </c>
      <c r="P32" s="24">
        <f t="shared" si="3"/>
        <v>365534.31670000002</v>
      </c>
      <c r="Q32" s="24">
        <f>SUMIFS(sales_data_1[Profit_Margin],sales_data_1[Product_Category], Q$2, sales_data_1[Year],"2024", sales_data_1[month],B32)</f>
        <v>617886.21129999997</v>
      </c>
      <c r="R32" s="24">
        <f t="shared" si="4"/>
        <v>467211.31894166657</v>
      </c>
      <c r="V32" s="90" t="s">
        <v>92</v>
      </c>
      <c r="W32" s="90"/>
      <c r="X32" s="90"/>
      <c r="Y32" s="90"/>
    </row>
    <row r="33" spans="1:25" x14ac:dyDescent="0.35">
      <c r="A33" s="5"/>
      <c r="B33" s="5" t="s">
        <v>51</v>
      </c>
      <c r="C33" s="24">
        <f>revenue_by_rep!C41 +revenue_by_rep!I41+revenue_by_rep!O41+revenue_by_rep!U41+revenue_by_rep!AA41</f>
        <v>1224690.7886081235</v>
      </c>
      <c r="D33" s="24">
        <f>revenue_by_rep!D41 +revenue_by_rep!J41+revenue_by_rep!P41+revenue_by_rep!V41+revenue_by_rep!AB41</f>
        <v>1432733.5051673474</v>
      </c>
      <c r="E33" s="24">
        <f>revenue_by_rep!E41 +revenue_by_rep!K41+revenue_by_rep!Q41+revenue_by_rep!W41+revenue_by_rep!AC41</f>
        <v>1925715.7320109857</v>
      </c>
      <c r="F33" s="24">
        <f>revenue_by_rep!F41 +revenue_by_rep!L41+revenue_by_rep!R41+revenue_by_rep!X41+revenue_by_rep!AD41</f>
        <v>1859829.6074666637</v>
      </c>
      <c r="G33" s="5">
        <f>qty_sales_by_rep!C41+qty_sales_by_rep!I41+qty_sales_by_rep!O41+qty_sales_by_rep!U41+qty_sales_by_rep!AA41</f>
        <v>429</v>
      </c>
      <c r="H33" s="5">
        <f>qty_sales_by_rep!D41+qty_sales_by_rep!J41+qty_sales_by_rep!P41+qty_sales_by_rep!V41+qty_sales_by_rep!AB41</f>
        <v>501</v>
      </c>
      <c r="I33" s="5">
        <f>qty_sales_by_rep!E41+qty_sales_by_rep!K41+qty_sales_by_rep!Q41+qty_sales_by_rep!W41+qty_sales_by_rep!AC41</f>
        <v>538</v>
      </c>
      <c r="J33" s="5">
        <f>qty_sales_by_rep!F41+qty_sales_by_rep!L41+qty_sales_by_rep!R41+qty_sales_by_rep!X41+qty_sales_by_rep!AD41</f>
        <v>570</v>
      </c>
      <c r="K33" s="24">
        <f>SUMIFS(sales_data_1[Profit_Margin],sales_data_1[Product_Category], K$2, sales_data_1[Year],"2024", sales_data_1[month],B33)</f>
        <v>395316.26769999997</v>
      </c>
      <c r="L33" s="24">
        <f t="shared" si="1"/>
        <v>502212.4981583333</v>
      </c>
      <c r="M33" s="24">
        <f>SUMIFS(sales_data_1[Profit_Margin],sales_data_1[Product_Category], M$2, sales_data_1[Year],"2024", sales_data_1[month],B33)</f>
        <v>619622.03940000001</v>
      </c>
      <c r="N33" s="24">
        <f t="shared" si="2"/>
        <v>461891.96174999996</v>
      </c>
      <c r="O33" s="24">
        <f>SUMIFS(sales_data_1[Profit_Margin],sales_data_1[Product_Category], O$2, sales_data_1[Year],"2024", sales_data_1[month],B33)</f>
        <v>1064085.5313000001</v>
      </c>
      <c r="P33" s="24">
        <f t="shared" si="3"/>
        <v>450506.9378916666</v>
      </c>
      <c r="Q33" s="24">
        <f>SUMIFS(sales_data_1[Profit_Margin],sales_data_1[Product_Category], Q$2, sales_data_1[Year],"2024", sales_data_1[month],B33)</f>
        <v>767112.79449999984</v>
      </c>
      <c r="R33" s="24">
        <f t="shared" si="4"/>
        <v>526374.35069166659</v>
      </c>
      <c r="V33" s="21" t="s">
        <v>26</v>
      </c>
      <c r="W33" s="21" t="s">
        <v>31</v>
      </c>
      <c r="X33" s="21" t="s">
        <v>24</v>
      </c>
      <c r="Y33" s="21" t="s">
        <v>16</v>
      </c>
    </row>
    <row r="34" spans="1:25" x14ac:dyDescent="0.35">
      <c r="A34" s="5"/>
      <c r="B34" s="5" t="s">
        <v>52</v>
      </c>
      <c r="C34" s="24">
        <f>revenue_by_rep!C42 +revenue_by_rep!I42+revenue_by_rep!O42+revenue_by_rep!U42+revenue_by_rep!AA42</f>
        <v>1162328.0564836194</v>
      </c>
      <c r="D34" s="24">
        <f>revenue_by_rep!D42 +revenue_by_rep!J42+revenue_by_rep!P42+revenue_by_rep!V42+revenue_by_rep!AB42</f>
        <v>1586221.3878587438</v>
      </c>
      <c r="E34" s="24">
        <f>revenue_by_rep!E42 +revenue_by_rep!K42+revenue_by_rep!Q42+revenue_by_rep!W42+revenue_by_rep!AC42</f>
        <v>2109762.8414989505</v>
      </c>
      <c r="F34" s="24">
        <f>revenue_by_rep!F42 +revenue_by_rep!L42+revenue_by_rep!R42+revenue_by_rep!X42+revenue_by_rep!AD42</f>
        <v>1435213.0677578966</v>
      </c>
      <c r="G34" s="5">
        <f>qty_sales_by_rep!C42+qty_sales_by_rep!I42+qty_sales_by_rep!O42+qty_sales_by_rep!U42+qty_sales_by_rep!AA42</f>
        <v>351</v>
      </c>
      <c r="H34" s="5">
        <f>qty_sales_by_rep!D42+qty_sales_by_rep!J42+qty_sales_by_rep!P42+qty_sales_by_rep!V42+qty_sales_by_rep!AB42</f>
        <v>505</v>
      </c>
      <c r="I34" s="5">
        <f>qty_sales_by_rep!E42+qty_sales_by_rep!K42+qty_sales_by_rep!Q42+qty_sales_by_rep!W42+qty_sales_by_rep!AC42</f>
        <v>673</v>
      </c>
      <c r="J34" s="5">
        <f>qty_sales_by_rep!F42+qty_sales_by_rep!L42+qty_sales_by_rep!R42+qty_sales_by_rep!X42+qty_sales_by_rep!AD42</f>
        <v>431</v>
      </c>
      <c r="K34" s="24">
        <f>SUMIFS(sales_data_1[Profit_Margin],sales_data_1[Product_Category], K$2, sales_data_1[Year],"2024", sales_data_1[month],B34)</f>
        <v>422769.50949999999</v>
      </c>
      <c r="L34" s="24">
        <f t="shared" si="1"/>
        <v>527194.96549999993</v>
      </c>
      <c r="M34" s="24">
        <f>SUMIFS(sales_data_1[Profit_Margin],sales_data_1[Product_Category], M$2, sales_data_1[Year],"2024", sales_data_1[month],B34)</f>
        <v>689960.23739999998</v>
      </c>
      <c r="N34" s="24">
        <f t="shared" si="2"/>
        <v>514949.58392499998</v>
      </c>
      <c r="O34" s="24">
        <f>SUMIFS(sales_data_1[Profit_Margin],sales_data_1[Product_Category], O$2, sales_data_1[Year],"2024", sales_data_1[month],B34)</f>
        <v>720619.18539999996</v>
      </c>
      <c r="P34" s="24">
        <f t="shared" si="3"/>
        <v>502605.9754083333</v>
      </c>
      <c r="Q34" s="24">
        <f>SUMIFS(sales_data_1[Profit_Margin],sales_data_1[Product_Category], Q$2, sales_data_1[Year],"2024", sales_data_1[month],B34)</f>
        <v>467764.97139999992</v>
      </c>
      <c r="R34" s="24">
        <f t="shared" si="4"/>
        <v>558457.60883333336</v>
      </c>
      <c r="U34" s="5">
        <v>2023</v>
      </c>
      <c r="V34" s="42">
        <f t="shared" ref="V34:Y35" si="5">U3/V29</f>
        <v>4035.7821640975326</v>
      </c>
      <c r="W34" s="42">
        <f t="shared" si="5"/>
        <v>3972.6926744938137</v>
      </c>
      <c r="X34" s="42">
        <f t="shared" si="5"/>
        <v>3623.338153489201</v>
      </c>
      <c r="Y34" s="42">
        <f t="shared" si="5"/>
        <v>4398.8370996401309</v>
      </c>
    </row>
    <row r="35" spans="1:25" x14ac:dyDescent="0.35">
      <c r="A35" s="5"/>
      <c r="B35" s="5" t="s">
        <v>53</v>
      </c>
      <c r="C35" s="24">
        <f>revenue_by_rep!C43 +revenue_by_rep!I43+revenue_by_rep!O43+revenue_by_rep!U43+revenue_by_rep!AA43</f>
        <v>1673188.6980333184</v>
      </c>
      <c r="D35" s="24">
        <f>revenue_by_rep!D43 +revenue_by_rep!J43+revenue_by_rep!P43+revenue_by_rep!V43+revenue_by_rep!AB43</f>
        <v>1432817.8186609724</v>
      </c>
      <c r="E35" s="24">
        <f>revenue_by_rep!E43 +revenue_by_rep!K43+revenue_by_rep!Q43+revenue_by_rep!W43+revenue_by_rep!AC43</f>
        <v>1935302.1469648811</v>
      </c>
      <c r="F35" s="24">
        <f>revenue_by_rep!F43 +revenue_by_rep!L43+revenue_by_rep!R43+revenue_by_rep!X43+revenue_by_rep!AD43</f>
        <v>1833297.1915200958</v>
      </c>
      <c r="G35" s="5">
        <f>qty_sales_by_rep!C43+qty_sales_by_rep!I43+qty_sales_by_rep!O43+qty_sales_by_rep!U43+qty_sales_by_rep!AA43</f>
        <v>508</v>
      </c>
      <c r="H35" s="5">
        <f>qty_sales_by_rep!D43+qty_sales_by_rep!J43+qty_sales_by_rep!P43+qty_sales_by_rep!V43+qty_sales_by_rep!AB43</f>
        <v>432</v>
      </c>
      <c r="I35" s="5">
        <f>qty_sales_by_rep!E43+qty_sales_by_rep!K43+qty_sales_by_rep!Q43+qty_sales_by_rep!W43+qty_sales_by_rep!AC43</f>
        <v>591</v>
      </c>
      <c r="J35" s="5">
        <f>qty_sales_by_rep!F43+qty_sales_by_rep!L43+qty_sales_by_rep!R43+qty_sales_by_rep!X43+qty_sales_by_rep!AD43</f>
        <v>586</v>
      </c>
      <c r="K35" s="24">
        <f>SUMIFS(sales_data_1[Profit_Margin],sales_data_1[Product_Category], K$2, sales_data_1[Year],"2024", sales_data_1[month],B35)</f>
        <v>551746.14359999995</v>
      </c>
      <c r="L35" s="24">
        <f t="shared" si="1"/>
        <v>565876.25006666663</v>
      </c>
      <c r="M35" s="24">
        <f>SUMIFS(sales_data_1[Profit_Margin],sales_data_1[Product_Category], M$2, sales_data_1[Year],"2024", sales_data_1[month],B35)</f>
        <v>789764.12529999996</v>
      </c>
      <c r="N35" s="24">
        <f t="shared" si="2"/>
        <v>574823.88824166672</v>
      </c>
      <c r="O35" s="24">
        <f>SUMIFS(sales_data_1[Profit_Margin],sales_data_1[Product_Category], O$2, sales_data_1[Year],"2024", sales_data_1[month],B35)</f>
        <v>1231246.1910999999</v>
      </c>
      <c r="P35" s="24">
        <f t="shared" si="3"/>
        <v>599555.68069166655</v>
      </c>
      <c r="Q35" s="24">
        <f>SUMIFS(sales_data_1[Profit_Margin],sales_data_1[Product_Category], Q$2, sales_data_1[Year],"2024", sales_data_1[month],B35)</f>
        <v>639869.28309999988</v>
      </c>
      <c r="R35" s="24">
        <f t="shared" si="4"/>
        <v>606870.29773333331</v>
      </c>
      <c r="U35" s="5">
        <v>2024</v>
      </c>
      <c r="V35" s="42">
        <f t="shared" si="5"/>
        <v>5283.1653943238252</v>
      </c>
      <c r="W35" s="42">
        <f t="shared" si="5"/>
        <v>4769.6626654396487</v>
      </c>
      <c r="X35" s="42">
        <f t="shared" si="5"/>
        <v>5468.1958374235446</v>
      </c>
      <c r="Y35" s="42">
        <f t="shared" si="5"/>
        <v>5238.4441852200425</v>
      </c>
    </row>
    <row r="36" spans="1:25" x14ac:dyDescent="0.35">
      <c r="A36" s="5"/>
      <c r="B36" s="5" t="s">
        <v>54</v>
      </c>
      <c r="C36" s="24">
        <f>revenue_by_rep!C44 +revenue_by_rep!I44+revenue_by_rep!O44+revenue_by_rep!U44+revenue_by_rep!AA44</f>
        <v>2154119.9782149885</v>
      </c>
      <c r="D36" s="24">
        <f>revenue_by_rep!D44 +revenue_by_rep!J44+revenue_by_rep!P44+revenue_by_rep!V44+revenue_by_rep!AB44</f>
        <v>1575620.5697455248</v>
      </c>
      <c r="E36" s="24">
        <f>revenue_by_rep!E44 +revenue_by_rep!K44+revenue_by_rep!Q44+revenue_by_rep!W44+revenue_by_rep!AC44</f>
        <v>2596230.283088299</v>
      </c>
      <c r="F36" s="24">
        <f>revenue_by_rep!F44 +revenue_by_rep!L44+revenue_by_rep!R44+revenue_by_rep!X44+revenue_by_rep!AD44</f>
        <v>1642220.1776007335</v>
      </c>
      <c r="G36" s="5">
        <f>qty_sales_by_rep!C44+qty_sales_by_rep!I44+qty_sales_by_rep!O44+qty_sales_by_rep!U44+qty_sales_by_rep!AA44</f>
        <v>715</v>
      </c>
      <c r="H36" s="5">
        <f>qty_sales_by_rep!D44+qty_sales_by_rep!J44+qty_sales_by_rep!P44+qty_sales_by_rep!V44+qty_sales_by_rep!AB44</f>
        <v>548</v>
      </c>
      <c r="I36" s="5">
        <f>qty_sales_by_rep!E44+qty_sales_by_rep!K44+qty_sales_by_rep!Q44+qty_sales_by_rep!W44+qty_sales_by_rep!AC44</f>
        <v>712</v>
      </c>
      <c r="J36" s="5">
        <f>qty_sales_by_rep!F44+qty_sales_by_rep!L44+qty_sales_by_rep!R44+qty_sales_by_rep!X44+qty_sales_by_rep!AD44</f>
        <v>476</v>
      </c>
      <c r="K36" s="24">
        <f>SUMIFS(sales_data_1[Profit_Margin],sales_data_1[Product_Category], K$2, sales_data_1[Year],"2024", sales_data_1[month],B36)</f>
        <v>1135346.7647999998</v>
      </c>
      <c r="L36" s="24">
        <f t="shared" si="1"/>
        <v>655111.57369166659</v>
      </c>
      <c r="M36" s="24">
        <f>SUMIFS(sales_data_1[Profit_Margin],sales_data_1[Product_Category], M$2, sales_data_1[Year],"2024", sales_data_1[month],B36)</f>
        <v>657162.28329999989</v>
      </c>
      <c r="N36" s="24">
        <f t="shared" si="2"/>
        <v>619621.28809999989</v>
      </c>
      <c r="O36" s="24">
        <f>SUMIFS(sales_data_1[Profit_Margin],sales_data_1[Product_Category], O$2, sales_data_1[Year],"2024", sales_data_1[month],B36)</f>
        <v>1039978.4743999999</v>
      </c>
      <c r="P36" s="24">
        <f t="shared" si="3"/>
        <v>678690.22324999992</v>
      </c>
      <c r="Q36" s="24">
        <f>SUMIFS(sales_data_1[Profit_Margin],sales_data_1[Product_Category], Q$2, sales_data_1[Year],"2024", sales_data_1[month],B36)</f>
        <v>765418.20610000018</v>
      </c>
      <c r="R36" s="24">
        <f t="shared" si="4"/>
        <v>663078.70543333329</v>
      </c>
    </row>
    <row r="37" spans="1:25" x14ac:dyDescent="0.35">
      <c r="A37" s="5"/>
      <c r="B37" s="5" t="s">
        <v>55</v>
      </c>
      <c r="C37" s="24">
        <f>revenue_by_rep!C45 +revenue_by_rep!I45+revenue_by_rep!O45+revenue_by_rep!U45+revenue_by_rep!AA45</f>
        <v>1331542.8431336631</v>
      </c>
      <c r="D37" s="24">
        <f>revenue_by_rep!D45 +revenue_by_rep!J45+revenue_by_rep!P45+revenue_by_rep!V45+revenue_by_rep!AB45</f>
        <v>1219466.4874641434</v>
      </c>
      <c r="E37" s="24">
        <f>revenue_by_rep!E45 +revenue_by_rep!K45+revenue_by_rep!Q45+revenue_by_rep!W45+revenue_by_rep!AC45</f>
        <v>2181798.1156828003</v>
      </c>
      <c r="F37" s="24">
        <f>revenue_by_rep!F45 +revenue_by_rep!L45+revenue_by_rep!R45+revenue_by_rep!X45+revenue_by_rep!AD45</f>
        <v>1786940.1171368936</v>
      </c>
      <c r="G37" s="5">
        <f>qty_sales_by_rep!C45+qty_sales_by_rep!I45+qty_sales_by_rep!O45+qty_sales_by_rep!U45+qty_sales_by_rep!AA45</f>
        <v>414</v>
      </c>
      <c r="H37" s="5">
        <f>qty_sales_by_rep!D45+qty_sales_by_rep!J45+qty_sales_by_rep!P45+qty_sales_by_rep!V45+qty_sales_by_rep!AB45</f>
        <v>443</v>
      </c>
      <c r="I37" s="5">
        <f>qty_sales_by_rep!E45+qty_sales_by_rep!K45+qty_sales_by_rep!Q45+qty_sales_by_rep!W45+qty_sales_by_rep!AC45</f>
        <v>644</v>
      </c>
      <c r="J37" s="5">
        <f>qty_sales_by_rep!F45+qty_sales_by_rep!L45+qty_sales_by_rep!R45+qty_sales_by_rep!X45+qty_sales_by_rep!AD45</f>
        <v>585</v>
      </c>
      <c r="K37" s="24">
        <f>SUMIFS(sales_data_1[Profit_Margin],sales_data_1[Product_Category], K$2, sales_data_1[Year],"2024", sales_data_1[month],B37)</f>
        <v>686055.89200000011</v>
      </c>
      <c r="L37" s="24">
        <f t="shared" si="1"/>
        <v>706252.37009999994</v>
      </c>
      <c r="M37" s="24">
        <f>SUMIFS(sales_data_1[Profit_Margin],sales_data_1[Product_Category], M$2, sales_data_1[Year],"2024", sales_data_1[month],B37)</f>
        <v>489223.09840000008</v>
      </c>
      <c r="N37" s="24">
        <f t="shared" si="2"/>
        <v>650365.59196666663</v>
      </c>
      <c r="O37" s="24">
        <f>SUMIFS(sales_data_1[Profit_Margin],sales_data_1[Product_Category], O$2, sales_data_1[Year],"2024", sales_data_1[month],B37)</f>
        <v>822110.88090000011</v>
      </c>
      <c r="P37" s="24">
        <f t="shared" si="3"/>
        <v>741734.71805833327</v>
      </c>
      <c r="Q37" s="24">
        <f>SUMIFS(sales_data_1[Profit_Margin],sales_data_1[Product_Category], Q$2, sales_data_1[Year],"2024", sales_data_1[month],B37)</f>
        <v>833518.83499999996</v>
      </c>
      <c r="R37" s="24">
        <f t="shared" si="4"/>
        <v>723213.06273333321</v>
      </c>
    </row>
    <row r="38" spans="1:25" x14ac:dyDescent="0.35">
      <c r="A38" s="5"/>
      <c r="B38" s="5" t="s">
        <v>56</v>
      </c>
      <c r="C38" s="24">
        <f>revenue_by_rep!C46 +revenue_by_rep!I46+revenue_by_rep!O46+revenue_by_rep!U46+revenue_by_rep!AA46</f>
        <v>2265215.6403489765</v>
      </c>
      <c r="D38" s="24">
        <f>revenue_by_rep!D46 +revenue_by_rep!J46+revenue_by_rep!P46+revenue_by_rep!V46+revenue_by_rep!AB46</f>
        <v>1753851.2128097371</v>
      </c>
      <c r="E38" s="24">
        <f>revenue_by_rep!E46 +revenue_by_rep!K46+revenue_by_rep!Q46+revenue_by_rep!W46+revenue_by_rep!AC46</f>
        <v>1588588.9065920087</v>
      </c>
      <c r="F38" s="24">
        <f>revenue_by_rep!F46 +revenue_by_rep!L46+revenue_by_rep!R46+revenue_by_rep!X46+revenue_by_rep!AD46</f>
        <v>1684250.227162871</v>
      </c>
      <c r="G38" s="5">
        <f>qty_sales_by_rep!C46+qty_sales_by_rep!I46+qty_sales_by_rep!O46+qty_sales_by_rep!U46+qty_sales_by_rep!AA46</f>
        <v>697</v>
      </c>
      <c r="H38" s="5">
        <f>qty_sales_by_rep!D46+qty_sales_by_rep!J46+qty_sales_by_rep!P46+qty_sales_by_rep!V46+qty_sales_by_rep!AB46</f>
        <v>556</v>
      </c>
      <c r="I38" s="5">
        <f>qty_sales_by_rep!E46+qty_sales_by_rep!K46+qty_sales_by_rep!Q46+qty_sales_by_rep!W46+qty_sales_by_rep!AC46</f>
        <v>550</v>
      </c>
      <c r="J38" s="5">
        <f>qty_sales_by_rep!F46+qty_sales_by_rep!L46+qty_sales_by_rep!R46+qty_sales_by_rep!X46+qty_sales_by_rep!AD46</f>
        <v>664</v>
      </c>
      <c r="K38" s="24">
        <f>SUMIFS(sales_data_1[Profit_Margin],sales_data_1[Product_Category], K$2, sales_data_1[Year],"2024", sales_data_1[month],B38)</f>
        <v>985214.33309999981</v>
      </c>
      <c r="L38" s="24">
        <f t="shared" si="1"/>
        <v>778460.69955833338</v>
      </c>
      <c r="M38" s="24">
        <f>SUMIFS(sales_data_1[Profit_Margin],sales_data_1[Product_Category], M$2, sales_data_1[Year],"2024", sales_data_1[month],B38)</f>
        <v>944293.1277999999</v>
      </c>
      <c r="N38" s="24">
        <f t="shared" si="2"/>
        <v>723137.00493333337</v>
      </c>
      <c r="O38" s="24">
        <f>SUMIFS(sales_data_1[Profit_Margin],sales_data_1[Product_Category], O$2, sales_data_1[Year],"2024", sales_data_1[month],B38)</f>
        <v>701685.15180000011</v>
      </c>
      <c r="P38" s="24">
        <f t="shared" si="3"/>
        <v>793580.0034583332</v>
      </c>
      <c r="Q38" s="24">
        <f>SUMIFS(sales_data_1[Profit_Margin],sales_data_1[Product_Category], Q$2, sales_data_1[Year],"2024", sales_data_1[month],B38)</f>
        <v>538102.13159999996</v>
      </c>
      <c r="R38" s="24">
        <f t="shared" si="4"/>
        <v>759545.5477916667</v>
      </c>
      <c r="V38" s="99" t="s">
        <v>93</v>
      </c>
      <c r="W38" s="100"/>
      <c r="X38" s="100"/>
      <c r="Y38" s="101"/>
    </row>
    <row r="39" spans="1:25" x14ac:dyDescent="0.35">
      <c r="V39" s="21" t="s">
        <v>26</v>
      </c>
      <c r="W39" s="21" t="s">
        <v>31</v>
      </c>
      <c r="X39" s="21" t="s">
        <v>24</v>
      </c>
      <c r="Y39" s="21" t="s">
        <v>16</v>
      </c>
    </row>
    <row r="40" spans="1:25" x14ac:dyDescent="0.35">
      <c r="U40" s="5">
        <v>2023</v>
      </c>
      <c r="V40" s="5">
        <f>SUM(G15:G26)</f>
        <v>6911</v>
      </c>
      <c r="W40" s="5">
        <f>SUM(H15:H26)</f>
        <v>6072</v>
      </c>
      <c r="X40" s="5">
        <f>SUM(I15:I26)</f>
        <v>5566</v>
      </c>
      <c r="Y40" s="5">
        <f>SUM(J15:J26)</f>
        <v>6729</v>
      </c>
    </row>
    <row r="41" spans="1:25" x14ac:dyDescent="0.35">
      <c r="U41" s="5">
        <v>2024</v>
      </c>
      <c r="V41" s="5">
        <f>SUM(G27:G38)</f>
        <v>6857</v>
      </c>
      <c r="W41" s="5">
        <f>SUM(H27:H38)</f>
        <v>6218</v>
      </c>
      <c r="X41" s="5">
        <f>SUM(I27:I38)</f>
        <v>7203</v>
      </c>
      <c r="Y41" s="5">
        <f>SUM(J27:J38)</f>
        <v>7335</v>
      </c>
    </row>
    <row r="46" spans="1:25" x14ac:dyDescent="0.35">
      <c r="W46" s="5" t="s">
        <v>93</v>
      </c>
      <c r="X46" s="5" t="s">
        <v>92</v>
      </c>
      <c r="Y46" s="5" t="s">
        <v>525</v>
      </c>
    </row>
    <row r="47" spans="1:25" x14ac:dyDescent="0.35">
      <c r="U47" s="98">
        <v>2023</v>
      </c>
      <c r="V47" s="39" t="s">
        <v>26</v>
      </c>
      <c r="W47" s="5">
        <v>6911</v>
      </c>
      <c r="X47" s="32">
        <v>4035.7821640975326</v>
      </c>
      <c r="Y47" s="32">
        <f t="shared" ref="Y47:Y54" si="6">W47-X47</f>
        <v>2875.2178359024674</v>
      </c>
    </row>
    <row r="48" spans="1:25" x14ac:dyDescent="0.35">
      <c r="U48" s="98"/>
      <c r="V48" s="39" t="s">
        <v>31</v>
      </c>
      <c r="W48" s="5">
        <v>6072</v>
      </c>
      <c r="X48" s="32">
        <v>3972.6926744938137</v>
      </c>
      <c r="Y48" s="32">
        <f t="shared" si="6"/>
        <v>2099.3073255061863</v>
      </c>
    </row>
    <row r="49" spans="21:25" x14ac:dyDescent="0.35">
      <c r="U49" s="98"/>
      <c r="V49" s="39" t="s">
        <v>24</v>
      </c>
      <c r="W49" s="5">
        <v>5566</v>
      </c>
      <c r="X49" s="32">
        <v>3623.338153489201</v>
      </c>
      <c r="Y49" s="32">
        <f t="shared" si="6"/>
        <v>1942.661846510799</v>
      </c>
    </row>
    <row r="50" spans="21:25" x14ac:dyDescent="0.35">
      <c r="U50" s="98"/>
      <c r="V50" s="39" t="s">
        <v>16</v>
      </c>
      <c r="W50" s="5">
        <v>6729</v>
      </c>
      <c r="X50" s="32">
        <v>4398.8370996401309</v>
      </c>
      <c r="Y50" s="32">
        <f t="shared" si="6"/>
        <v>2330.1629003598691</v>
      </c>
    </row>
    <row r="51" spans="21:25" x14ac:dyDescent="0.35">
      <c r="U51" s="98">
        <v>2024</v>
      </c>
      <c r="V51" s="39" t="s">
        <v>26</v>
      </c>
      <c r="W51" s="5">
        <v>6857</v>
      </c>
      <c r="X51" s="32">
        <v>5283.1653943238252</v>
      </c>
      <c r="Y51" s="32">
        <f t="shared" si="6"/>
        <v>1573.8346056761748</v>
      </c>
    </row>
    <row r="52" spans="21:25" x14ac:dyDescent="0.35">
      <c r="U52" s="98"/>
      <c r="V52" s="39" t="s">
        <v>31</v>
      </c>
      <c r="W52" s="5">
        <v>6218</v>
      </c>
      <c r="X52" s="32">
        <v>4769.6626654396487</v>
      </c>
      <c r="Y52" s="32">
        <f t="shared" si="6"/>
        <v>1448.3373345603513</v>
      </c>
    </row>
    <row r="53" spans="21:25" x14ac:dyDescent="0.35">
      <c r="U53" s="98"/>
      <c r="V53" s="39" t="s">
        <v>24</v>
      </c>
      <c r="W53" s="5">
        <v>7203</v>
      </c>
      <c r="X53" s="32">
        <v>5468.1958374235446</v>
      </c>
      <c r="Y53" s="32">
        <f t="shared" si="6"/>
        <v>1734.8041625764554</v>
      </c>
    </row>
    <row r="54" spans="21:25" x14ac:dyDescent="0.35">
      <c r="U54" s="98"/>
      <c r="V54" s="39" t="s">
        <v>16</v>
      </c>
      <c r="W54" s="5">
        <v>7335</v>
      </c>
      <c r="X54" s="32">
        <v>5238.4441852200425</v>
      </c>
      <c r="Y54" s="32">
        <f t="shared" si="6"/>
        <v>2096.5558147799575</v>
      </c>
    </row>
    <row r="66" spans="2:22" x14ac:dyDescent="0.35">
      <c r="B66" s="2" t="s">
        <v>34</v>
      </c>
      <c r="C66" t="s">
        <v>97</v>
      </c>
      <c r="E66" t="s">
        <v>34</v>
      </c>
      <c r="F66" t="s">
        <v>97</v>
      </c>
      <c r="I66" t="s">
        <v>518</v>
      </c>
      <c r="J66" t="s">
        <v>519</v>
      </c>
      <c r="L66" t="s">
        <v>34</v>
      </c>
      <c r="M66" t="s">
        <v>97</v>
      </c>
      <c r="O66" t="s">
        <v>34</v>
      </c>
      <c r="P66" t="s">
        <v>97</v>
      </c>
      <c r="R66" t="s">
        <v>34</v>
      </c>
      <c r="S66" t="s">
        <v>97</v>
      </c>
      <c r="U66" t="s">
        <v>34</v>
      </c>
      <c r="V66" t="s">
        <v>97</v>
      </c>
    </row>
    <row r="67" spans="2:22" x14ac:dyDescent="0.35">
      <c r="B67" s="3" t="s">
        <v>118</v>
      </c>
      <c r="C67" s="25">
        <v>153156.1678</v>
      </c>
      <c r="E67" t="s">
        <v>260</v>
      </c>
      <c r="F67" s="25">
        <v>648786.07559999998</v>
      </c>
      <c r="I67" t="s">
        <v>260</v>
      </c>
      <c r="J67" s="25">
        <v>648786.07559999998</v>
      </c>
      <c r="L67" t="s">
        <v>202</v>
      </c>
      <c r="M67" s="25">
        <v>486560.46480000007</v>
      </c>
      <c r="O67" t="s">
        <v>260</v>
      </c>
      <c r="P67" s="25">
        <v>648786.07559999998</v>
      </c>
      <c r="R67" t="s">
        <v>225</v>
      </c>
      <c r="S67" s="25">
        <v>472042.32709999994</v>
      </c>
      <c r="U67" t="s">
        <v>369</v>
      </c>
      <c r="V67" s="25">
        <v>601251.69340000011</v>
      </c>
    </row>
    <row r="68" spans="2:22" x14ac:dyDescent="0.35">
      <c r="B68" s="3" t="s">
        <v>119</v>
      </c>
      <c r="C68" s="25">
        <v>114578.25499999999</v>
      </c>
      <c r="E68" t="s">
        <v>369</v>
      </c>
      <c r="F68" s="25">
        <v>601251.69340000011</v>
      </c>
      <c r="I68" t="s">
        <v>369</v>
      </c>
      <c r="J68" s="25">
        <v>601251.69340000011</v>
      </c>
      <c r="L68" t="s">
        <v>378</v>
      </c>
      <c r="M68" s="25">
        <v>438456.94390000001</v>
      </c>
      <c r="O68" t="s">
        <v>174</v>
      </c>
      <c r="P68" s="25">
        <v>429902.53069999994</v>
      </c>
      <c r="R68" t="s">
        <v>240</v>
      </c>
      <c r="S68" s="25">
        <v>425902.12449999998</v>
      </c>
      <c r="U68" t="s">
        <v>262</v>
      </c>
      <c r="V68" s="25">
        <v>599806.03930000006</v>
      </c>
    </row>
    <row r="69" spans="2:22" x14ac:dyDescent="0.35">
      <c r="B69" s="3" t="s">
        <v>120</v>
      </c>
      <c r="C69" s="25">
        <v>99044.642800000031</v>
      </c>
      <c r="E69" t="s">
        <v>262</v>
      </c>
      <c r="F69" s="25">
        <v>599806.03930000006</v>
      </c>
      <c r="I69" t="s">
        <v>202</v>
      </c>
      <c r="J69" s="25">
        <v>486560.46480000007</v>
      </c>
      <c r="L69" t="s">
        <v>267</v>
      </c>
      <c r="M69" s="25">
        <v>422725.52400000009</v>
      </c>
      <c r="O69" t="s">
        <v>259</v>
      </c>
      <c r="P69" s="25">
        <v>403301.82750000007</v>
      </c>
      <c r="R69" t="s">
        <v>234</v>
      </c>
      <c r="S69" s="25">
        <v>417533.50939999998</v>
      </c>
      <c r="U69" t="s">
        <v>218</v>
      </c>
      <c r="V69" s="25">
        <v>516489.6997</v>
      </c>
    </row>
    <row r="70" spans="2:22" x14ac:dyDescent="0.35">
      <c r="B70" s="3" t="s">
        <v>121</v>
      </c>
      <c r="C70" s="25">
        <v>169560.0183</v>
      </c>
      <c r="E70" t="s">
        <v>218</v>
      </c>
      <c r="F70" s="25">
        <v>516489.6997</v>
      </c>
      <c r="I70" t="s">
        <v>225</v>
      </c>
      <c r="J70" s="25">
        <v>472042.32709999994</v>
      </c>
      <c r="L70" t="s">
        <v>283</v>
      </c>
      <c r="M70" s="25">
        <v>417515.57329999999</v>
      </c>
      <c r="O70" t="s">
        <v>453</v>
      </c>
      <c r="P70" s="25">
        <v>400334.37450000003</v>
      </c>
      <c r="R70" t="s">
        <v>438</v>
      </c>
      <c r="S70" s="25">
        <v>389723.00510000007</v>
      </c>
      <c r="U70" t="s">
        <v>161</v>
      </c>
      <c r="V70" s="25">
        <v>509225.85119999998</v>
      </c>
    </row>
    <row r="71" spans="2:22" x14ac:dyDescent="0.35">
      <c r="B71" s="3" t="s">
        <v>122</v>
      </c>
      <c r="C71" s="25">
        <v>250383.3291</v>
      </c>
      <c r="E71" t="s">
        <v>161</v>
      </c>
      <c r="F71" s="25">
        <v>509225.85119999998</v>
      </c>
      <c r="L71" t="s">
        <v>160</v>
      </c>
      <c r="M71" s="25">
        <v>401090.68569999997</v>
      </c>
      <c r="O71" t="s">
        <v>408</v>
      </c>
      <c r="P71" s="25">
        <v>363324.71269999997</v>
      </c>
      <c r="R71" t="s">
        <v>331</v>
      </c>
      <c r="S71" s="25">
        <v>369549.93689999997</v>
      </c>
      <c r="U71" t="s">
        <v>276</v>
      </c>
      <c r="V71" s="25">
        <v>447333.31419999996</v>
      </c>
    </row>
    <row r="72" spans="2:22" x14ac:dyDescent="0.35">
      <c r="B72" s="3" t="s">
        <v>123</v>
      </c>
      <c r="C72" s="25">
        <v>178746.7697</v>
      </c>
      <c r="E72" t="s">
        <v>202</v>
      </c>
      <c r="F72" s="25">
        <v>486560.46480000007</v>
      </c>
    </row>
    <row r="73" spans="2:22" x14ac:dyDescent="0.35">
      <c r="B73" s="3" t="s">
        <v>124</v>
      </c>
      <c r="C73" s="25">
        <v>135735.48240000007</v>
      </c>
      <c r="E73" t="s">
        <v>225</v>
      </c>
      <c r="F73" s="25">
        <v>472042.32709999994</v>
      </c>
    </row>
    <row r="74" spans="2:22" x14ac:dyDescent="0.35">
      <c r="B74" s="3" t="s">
        <v>125</v>
      </c>
      <c r="C74" s="25">
        <v>161145.73070000004</v>
      </c>
      <c r="E74" t="s">
        <v>276</v>
      </c>
      <c r="F74" s="25">
        <v>447333.31419999996</v>
      </c>
    </row>
    <row r="75" spans="2:22" x14ac:dyDescent="0.35">
      <c r="B75" s="3" t="s">
        <v>126</v>
      </c>
      <c r="C75" s="25">
        <v>200843.8872</v>
      </c>
      <c r="E75" t="s">
        <v>378</v>
      </c>
      <c r="F75" s="25">
        <v>438456.94390000001</v>
      </c>
    </row>
    <row r="76" spans="2:22" x14ac:dyDescent="0.35">
      <c r="B76" s="3" t="s">
        <v>127</v>
      </c>
      <c r="C76" s="25">
        <v>317287.7133</v>
      </c>
      <c r="E76" t="s">
        <v>174</v>
      </c>
      <c r="F76" s="25">
        <v>429902.53069999994</v>
      </c>
    </row>
    <row r="77" spans="2:22" x14ac:dyDescent="0.35">
      <c r="B77" s="3" t="s">
        <v>128</v>
      </c>
      <c r="C77" s="25">
        <v>322552.48230000003</v>
      </c>
      <c r="E77" t="s">
        <v>240</v>
      </c>
      <c r="F77" s="25">
        <v>425902.12449999998</v>
      </c>
    </row>
    <row r="78" spans="2:22" x14ac:dyDescent="0.35">
      <c r="B78" s="3" t="s">
        <v>129</v>
      </c>
      <c r="C78" s="25">
        <v>284719.13259999995</v>
      </c>
      <c r="E78" t="s">
        <v>267</v>
      </c>
      <c r="F78" s="25">
        <v>422725.52400000009</v>
      </c>
    </row>
    <row r="79" spans="2:22" x14ac:dyDescent="0.35">
      <c r="B79" s="3" t="s">
        <v>130</v>
      </c>
      <c r="C79" s="25">
        <v>316436.10170000006</v>
      </c>
      <c r="E79" t="s">
        <v>234</v>
      </c>
      <c r="F79" s="25">
        <v>417533.50939999998</v>
      </c>
    </row>
    <row r="80" spans="2:22" x14ac:dyDescent="0.35">
      <c r="B80" s="3" t="s">
        <v>131</v>
      </c>
      <c r="C80" s="25">
        <v>42725.041400000002</v>
      </c>
      <c r="E80" t="s">
        <v>283</v>
      </c>
      <c r="F80" s="25">
        <v>417515.57329999999</v>
      </c>
    </row>
    <row r="81" spans="2:6" x14ac:dyDescent="0.35">
      <c r="B81" s="3" t="s">
        <v>132</v>
      </c>
      <c r="C81" s="25">
        <v>341284.04879999999</v>
      </c>
      <c r="E81" t="s">
        <v>259</v>
      </c>
      <c r="F81" s="25">
        <v>403301.82750000007</v>
      </c>
    </row>
    <row r="82" spans="2:6" x14ac:dyDescent="0.35">
      <c r="B82" s="3" t="s">
        <v>133</v>
      </c>
      <c r="C82" s="25">
        <v>115502.04299999999</v>
      </c>
      <c r="E82" t="s">
        <v>160</v>
      </c>
      <c r="F82" s="25">
        <v>401090.68569999997</v>
      </c>
    </row>
    <row r="83" spans="2:6" x14ac:dyDescent="0.35">
      <c r="B83" s="3" t="s">
        <v>134</v>
      </c>
      <c r="C83" s="25">
        <v>69583.155899999998</v>
      </c>
      <c r="E83" t="s">
        <v>453</v>
      </c>
      <c r="F83" s="25">
        <v>400334.37450000003</v>
      </c>
    </row>
    <row r="84" spans="2:6" x14ac:dyDescent="0.35">
      <c r="B84" s="3" t="s">
        <v>135</v>
      </c>
      <c r="C84" s="25">
        <v>232958.50800000003</v>
      </c>
      <c r="E84" t="s">
        <v>438</v>
      </c>
      <c r="F84" s="25">
        <v>389723.00510000007</v>
      </c>
    </row>
    <row r="85" spans="2:6" x14ac:dyDescent="0.35">
      <c r="B85" s="3" t="s">
        <v>136</v>
      </c>
      <c r="C85" s="25">
        <v>184615.65839999999</v>
      </c>
      <c r="E85" t="s">
        <v>168</v>
      </c>
      <c r="F85" s="25">
        <v>381129.37770000001</v>
      </c>
    </row>
    <row r="86" spans="2:6" x14ac:dyDescent="0.35">
      <c r="B86" s="3" t="s">
        <v>137</v>
      </c>
      <c r="C86" s="25">
        <v>292411.06179999997</v>
      </c>
      <c r="E86" t="s">
        <v>219</v>
      </c>
      <c r="F86" s="25">
        <v>373083.34960000002</v>
      </c>
    </row>
    <row r="87" spans="2:6" x14ac:dyDescent="0.35">
      <c r="B87" s="3" t="s">
        <v>138</v>
      </c>
      <c r="C87" s="25">
        <v>179455.25140000001</v>
      </c>
      <c r="E87" t="s">
        <v>331</v>
      </c>
      <c r="F87" s="25">
        <v>369549.93689999997</v>
      </c>
    </row>
    <row r="88" spans="2:6" x14ac:dyDescent="0.35">
      <c r="B88" s="3" t="s">
        <v>139</v>
      </c>
      <c r="C88" s="25">
        <v>279872.77849999996</v>
      </c>
      <c r="E88" t="s">
        <v>408</v>
      </c>
      <c r="F88" s="25">
        <v>363324.71269999997</v>
      </c>
    </row>
    <row r="89" spans="2:6" x14ac:dyDescent="0.35">
      <c r="B89" s="3" t="s">
        <v>140</v>
      </c>
      <c r="C89" s="25">
        <v>109939.37129999998</v>
      </c>
      <c r="E89" t="s">
        <v>306</v>
      </c>
      <c r="F89" s="25">
        <v>362332.99860000005</v>
      </c>
    </row>
    <row r="90" spans="2:6" x14ac:dyDescent="0.35">
      <c r="B90" s="3" t="s">
        <v>141</v>
      </c>
      <c r="C90" s="25">
        <v>153062.86659999998</v>
      </c>
      <c r="E90" t="s">
        <v>439</v>
      </c>
      <c r="F90" s="25">
        <v>361310.27139999991</v>
      </c>
    </row>
    <row r="91" spans="2:6" x14ac:dyDescent="0.35">
      <c r="B91" s="3" t="s">
        <v>142</v>
      </c>
      <c r="C91" s="25">
        <v>209130.6121</v>
      </c>
      <c r="E91" t="s">
        <v>177</v>
      </c>
      <c r="F91" s="25">
        <v>358110.00140000001</v>
      </c>
    </row>
    <row r="92" spans="2:6" x14ac:dyDescent="0.35">
      <c r="B92" s="3" t="s">
        <v>143</v>
      </c>
      <c r="C92" s="25">
        <v>320139.11109999998</v>
      </c>
      <c r="E92" t="s">
        <v>474</v>
      </c>
      <c r="F92" s="25">
        <v>357845.99979999999</v>
      </c>
    </row>
    <row r="93" spans="2:6" x14ac:dyDescent="0.35">
      <c r="B93" s="3" t="s">
        <v>144</v>
      </c>
      <c r="C93" s="25">
        <v>87599.46239999996</v>
      </c>
      <c r="E93" t="s">
        <v>165</v>
      </c>
      <c r="F93" s="25">
        <v>357492.57400000002</v>
      </c>
    </row>
    <row r="94" spans="2:6" x14ac:dyDescent="0.35">
      <c r="B94" s="3" t="s">
        <v>145</v>
      </c>
      <c r="C94" s="25">
        <v>127967.7291</v>
      </c>
      <c r="E94" t="s">
        <v>351</v>
      </c>
      <c r="F94" s="25">
        <v>354915.93859999999</v>
      </c>
    </row>
    <row r="95" spans="2:6" x14ac:dyDescent="0.35">
      <c r="B95" s="3" t="s">
        <v>146</v>
      </c>
      <c r="C95" s="25">
        <v>259378.23199999999</v>
      </c>
      <c r="E95" t="s">
        <v>152</v>
      </c>
      <c r="F95" s="25">
        <v>354435.59940000001</v>
      </c>
    </row>
    <row r="96" spans="2:6" x14ac:dyDescent="0.35">
      <c r="B96" s="3" t="s">
        <v>147</v>
      </c>
      <c r="C96" s="25">
        <v>308505.51879999996</v>
      </c>
      <c r="E96" t="s">
        <v>196</v>
      </c>
      <c r="F96" s="25">
        <v>353613.29470000003</v>
      </c>
    </row>
    <row r="97" spans="2:6" x14ac:dyDescent="0.35">
      <c r="B97" s="3" t="s">
        <v>148</v>
      </c>
      <c r="C97" s="25">
        <v>79776.094000000012</v>
      </c>
      <c r="E97" t="s">
        <v>214</v>
      </c>
      <c r="F97" s="25">
        <v>351864.40749999997</v>
      </c>
    </row>
    <row r="98" spans="2:6" x14ac:dyDescent="0.35">
      <c r="B98" s="3" t="s">
        <v>149</v>
      </c>
      <c r="C98" s="25">
        <v>77316.653899999961</v>
      </c>
      <c r="E98" t="s">
        <v>155</v>
      </c>
      <c r="F98" s="25">
        <v>348062.00390000001</v>
      </c>
    </row>
    <row r="99" spans="2:6" x14ac:dyDescent="0.35">
      <c r="B99" s="3" t="s">
        <v>150</v>
      </c>
      <c r="C99" s="25">
        <v>182278.82749999998</v>
      </c>
      <c r="E99" t="s">
        <v>326</v>
      </c>
      <c r="F99" s="25">
        <v>346455.44200000004</v>
      </c>
    </row>
    <row r="100" spans="2:6" x14ac:dyDescent="0.35">
      <c r="B100" s="3" t="s">
        <v>151</v>
      </c>
      <c r="C100" s="25">
        <v>224799.02339999998</v>
      </c>
      <c r="E100" t="s">
        <v>338</v>
      </c>
      <c r="F100" s="25">
        <v>343841.7047</v>
      </c>
    </row>
    <row r="101" spans="2:6" x14ac:dyDescent="0.35">
      <c r="B101" s="3" t="s">
        <v>152</v>
      </c>
      <c r="C101" s="25">
        <v>354435.59940000001</v>
      </c>
      <c r="E101" t="s">
        <v>132</v>
      </c>
      <c r="F101" s="25">
        <v>341284.04879999999</v>
      </c>
    </row>
    <row r="102" spans="2:6" x14ac:dyDescent="0.35">
      <c r="B102" s="3" t="s">
        <v>153</v>
      </c>
      <c r="C102" s="25">
        <v>238100.51310000004</v>
      </c>
      <c r="E102" t="s">
        <v>217</v>
      </c>
      <c r="F102" s="25">
        <v>334929.12179999996</v>
      </c>
    </row>
    <row r="103" spans="2:6" x14ac:dyDescent="0.35">
      <c r="B103" s="3" t="s">
        <v>154</v>
      </c>
      <c r="C103" s="25">
        <v>166521.98560000001</v>
      </c>
      <c r="E103" t="s">
        <v>167</v>
      </c>
      <c r="F103" s="25">
        <v>333802.43079999997</v>
      </c>
    </row>
    <row r="104" spans="2:6" x14ac:dyDescent="0.35">
      <c r="B104" s="3" t="s">
        <v>155</v>
      </c>
      <c r="C104" s="25">
        <v>348062.00390000001</v>
      </c>
      <c r="E104" t="s">
        <v>254</v>
      </c>
      <c r="F104" s="25">
        <v>331513.88550000003</v>
      </c>
    </row>
    <row r="105" spans="2:6" x14ac:dyDescent="0.35">
      <c r="B105" s="3" t="s">
        <v>156</v>
      </c>
      <c r="C105" s="25">
        <v>163413.37609999994</v>
      </c>
      <c r="E105" t="s">
        <v>212</v>
      </c>
      <c r="F105" s="25">
        <v>330669.34289999999</v>
      </c>
    </row>
    <row r="106" spans="2:6" x14ac:dyDescent="0.35">
      <c r="B106" s="3" t="s">
        <v>157</v>
      </c>
      <c r="C106" s="25">
        <v>260378.33599999998</v>
      </c>
      <c r="E106" t="s">
        <v>181</v>
      </c>
      <c r="F106" s="25">
        <v>330467.37290000002</v>
      </c>
    </row>
    <row r="107" spans="2:6" x14ac:dyDescent="0.35">
      <c r="B107" s="3" t="s">
        <v>158</v>
      </c>
      <c r="C107" s="25">
        <v>79069.512499999997</v>
      </c>
      <c r="E107" t="s">
        <v>232</v>
      </c>
      <c r="F107" s="25">
        <v>330219.08249999996</v>
      </c>
    </row>
    <row r="108" spans="2:6" x14ac:dyDescent="0.35">
      <c r="B108" s="3" t="s">
        <v>159</v>
      </c>
      <c r="C108" s="25">
        <v>244441.42930000002</v>
      </c>
      <c r="E108" t="s">
        <v>455</v>
      </c>
      <c r="F108" s="25">
        <v>328292.28870000003</v>
      </c>
    </row>
    <row r="109" spans="2:6" x14ac:dyDescent="0.35">
      <c r="B109" s="3" t="s">
        <v>160</v>
      </c>
      <c r="C109" s="25">
        <v>401090.68569999997</v>
      </c>
      <c r="E109" t="s">
        <v>284</v>
      </c>
      <c r="F109" s="25">
        <v>328247.65870000009</v>
      </c>
    </row>
    <row r="110" spans="2:6" x14ac:dyDescent="0.35">
      <c r="B110" s="3" t="s">
        <v>161</v>
      </c>
      <c r="C110" s="25">
        <v>509225.85119999998</v>
      </c>
      <c r="E110" t="s">
        <v>277</v>
      </c>
      <c r="F110" s="25">
        <v>323402.49</v>
      </c>
    </row>
    <row r="111" spans="2:6" x14ac:dyDescent="0.35">
      <c r="B111" s="3" t="s">
        <v>162</v>
      </c>
      <c r="C111" s="25">
        <v>213778.44710000002</v>
      </c>
      <c r="E111" t="s">
        <v>128</v>
      </c>
      <c r="F111" s="25">
        <v>322552.48230000003</v>
      </c>
    </row>
    <row r="112" spans="2:6" x14ac:dyDescent="0.35">
      <c r="B112" s="3" t="s">
        <v>163</v>
      </c>
      <c r="C112" s="25">
        <v>220706.9981</v>
      </c>
      <c r="E112" t="s">
        <v>367</v>
      </c>
      <c r="F112" s="25">
        <v>320645.71549999993</v>
      </c>
    </row>
    <row r="113" spans="2:6" x14ac:dyDescent="0.35">
      <c r="B113" s="3" t="s">
        <v>164</v>
      </c>
      <c r="C113" s="25">
        <v>35204.981399999975</v>
      </c>
      <c r="E113" t="s">
        <v>143</v>
      </c>
      <c r="F113" s="25">
        <v>320139.11109999998</v>
      </c>
    </row>
    <row r="114" spans="2:6" x14ac:dyDescent="0.35">
      <c r="B114" s="3" t="s">
        <v>165</v>
      </c>
      <c r="C114" s="25">
        <v>357492.57400000002</v>
      </c>
      <c r="E114" t="s">
        <v>127</v>
      </c>
      <c r="F114" s="25">
        <v>317287.7133</v>
      </c>
    </row>
    <row r="115" spans="2:6" x14ac:dyDescent="0.35">
      <c r="B115" s="3" t="s">
        <v>166</v>
      </c>
      <c r="C115" s="25">
        <v>157730.91099999999</v>
      </c>
      <c r="E115" t="s">
        <v>130</v>
      </c>
      <c r="F115" s="25">
        <v>316436.10170000006</v>
      </c>
    </row>
    <row r="116" spans="2:6" x14ac:dyDescent="0.35">
      <c r="B116" s="3" t="s">
        <v>167</v>
      </c>
      <c r="C116" s="25">
        <v>333802.43079999997</v>
      </c>
      <c r="E116" t="s">
        <v>270</v>
      </c>
      <c r="F116" s="25">
        <v>313560.97459999996</v>
      </c>
    </row>
    <row r="117" spans="2:6" x14ac:dyDescent="0.35">
      <c r="B117" s="3" t="s">
        <v>168</v>
      </c>
      <c r="C117" s="25">
        <v>381129.37770000001</v>
      </c>
      <c r="E117" t="s">
        <v>401</v>
      </c>
      <c r="F117" s="25">
        <v>310266.35659999994</v>
      </c>
    </row>
    <row r="118" spans="2:6" x14ac:dyDescent="0.35">
      <c r="B118" s="3" t="s">
        <v>169</v>
      </c>
      <c r="C118" s="25">
        <v>286062.77989999996</v>
      </c>
      <c r="E118" t="s">
        <v>302</v>
      </c>
      <c r="F118" s="25">
        <v>310236.61600000004</v>
      </c>
    </row>
    <row r="119" spans="2:6" x14ac:dyDescent="0.35">
      <c r="B119" s="3" t="s">
        <v>170</v>
      </c>
      <c r="C119" s="25">
        <v>187475.04119999998</v>
      </c>
      <c r="E119" t="s">
        <v>147</v>
      </c>
      <c r="F119" s="25">
        <v>308505.51879999996</v>
      </c>
    </row>
    <row r="120" spans="2:6" x14ac:dyDescent="0.35">
      <c r="B120" s="3" t="s">
        <v>171</v>
      </c>
      <c r="C120" s="25">
        <v>228136.36860000005</v>
      </c>
      <c r="E120" t="s">
        <v>337</v>
      </c>
      <c r="F120" s="25">
        <v>307317.1017</v>
      </c>
    </row>
    <row r="121" spans="2:6" x14ac:dyDescent="0.35">
      <c r="B121" s="3" t="s">
        <v>172</v>
      </c>
      <c r="C121" s="25">
        <v>185358.83929999999</v>
      </c>
      <c r="E121" t="s">
        <v>417</v>
      </c>
      <c r="F121" s="25">
        <v>306812.49180000002</v>
      </c>
    </row>
    <row r="122" spans="2:6" x14ac:dyDescent="0.35">
      <c r="B122" s="3" t="s">
        <v>173</v>
      </c>
      <c r="C122" s="25">
        <v>162217.27690000003</v>
      </c>
      <c r="E122" t="s">
        <v>396</v>
      </c>
      <c r="F122" s="25">
        <v>301994.58469999995</v>
      </c>
    </row>
    <row r="123" spans="2:6" x14ac:dyDescent="0.35">
      <c r="B123" s="3" t="s">
        <v>174</v>
      </c>
      <c r="C123" s="25">
        <v>429902.53069999994</v>
      </c>
      <c r="E123" t="s">
        <v>176</v>
      </c>
      <c r="F123" s="25">
        <v>301662.99729999999</v>
      </c>
    </row>
    <row r="124" spans="2:6" x14ac:dyDescent="0.35">
      <c r="B124" s="3" t="s">
        <v>175</v>
      </c>
      <c r="C124" s="25">
        <v>115577.20429999998</v>
      </c>
      <c r="E124" t="s">
        <v>211</v>
      </c>
      <c r="F124" s="25">
        <v>301571.27139999997</v>
      </c>
    </row>
    <row r="125" spans="2:6" x14ac:dyDescent="0.35">
      <c r="B125" s="3" t="s">
        <v>176</v>
      </c>
      <c r="C125" s="25">
        <v>301662.99729999999</v>
      </c>
      <c r="E125" t="s">
        <v>189</v>
      </c>
      <c r="F125" s="25">
        <v>297113.93939999997</v>
      </c>
    </row>
    <row r="126" spans="2:6" x14ac:dyDescent="0.35">
      <c r="B126" s="3" t="s">
        <v>177</v>
      </c>
      <c r="C126" s="25">
        <v>358110.00140000001</v>
      </c>
      <c r="E126" t="s">
        <v>313</v>
      </c>
      <c r="F126" s="25">
        <v>296799.60519999999</v>
      </c>
    </row>
    <row r="127" spans="2:6" x14ac:dyDescent="0.35">
      <c r="B127" s="3" t="s">
        <v>178</v>
      </c>
      <c r="C127" s="25">
        <v>274238.56089999992</v>
      </c>
      <c r="E127" t="s">
        <v>463</v>
      </c>
      <c r="F127" s="25">
        <v>294837.65210000001</v>
      </c>
    </row>
    <row r="128" spans="2:6" x14ac:dyDescent="0.35">
      <c r="B128" s="3" t="s">
        <v>179</v>
      </c>
      <c r="C128" s="25">
        <v>170359.28569999998</v>
      </c>
      <c r="E128" t="s">
        <v>193</v>
      </c>
      <c r="F128" s="25">
        <v>294371.15179999999</v>
      </c>
    </row>
    <row r="129" spans="2:6" x14ac:dyDescent="0.35">
      <c r="B129" s="3" t="s">
        <v>180</v>
      </c>
      <c r="C129" s="25">
        <v>119585.2972</v>
      </c>
      <c r="E129" t="s">
        <v>205</v>
      </c>
      <c r="F129" s="25">
        <v>293172.92420000001</v>
      </c>
    </row>
    <row r="130" spans="2:6" x14ac:dyDescent="0.35">
      <c r="B130" s="3" t="s">
        <v>181</v>
      </c>
      <c r="C130" s="25">
        <v>330467.37290000002</v>
      </c>
      <c r="E130" t="s">
        <v>137</v>
      </c>
      <c r="F130" s="25">
        <v>292411.06179999997</v>
      </c>
    </row>
    <row r="131" spans="2:6" x14ac:dyDescent="0.35">
      <c r="B131" s="3" t="s">
        <v>182</v>
      </c>
      <c r="C131" s="25">
        <v>69560.930100000012</v>
      </c>
      <c r="E131" t="s">
        <v>292</v>
      </c>
      <c r="F131" s="25">
        <v>290637.78850000008</v>
      </c>
    </row>
    <row r="132" spans="2:6" x14ac:dyDescent="0.35">
      <c r="B132" s="3" t="s">
        <v>183</v>
      </c>
      <c r="C132" s="25">
        <v>256551.1488</v>
      </c>
      <c r="E132" t="s">
        <v>187</v>
      </c>
      <c r="F132" s="25">
        <v>290016.04370000004</v>
      </c>
    </row>
    <row r="133" spans="2:6" x14ac:dyDescent="0.35">
      <c r="B133" s="3" t="s">
        <v>184</v>
      </c>
      <c r="C133" s="25">
        <v>247237.61370000002</v>
      </c>
      <c r="E133" t="s">
        <v>443</v>
      </c>
      <c r="F133" s="25">
        <v>289279.93180000002</v>
      </c>
    </row>
    <row r="134" spans="2:6" x14ac:dyDescent="0.35">
      <c r="B134" s="3" t="s">
        <v>185</v>
      </c>
      <c r="C134" s="25">
        <v>18016.873199999991</v>
      </c>
      <c r="E134" t="s">
        <v>456</v>
      </c>
      <c r="F134" s="25">
        <v>289234.50840000005</v>
      </c>
    </row>
    <row r="135" spans="2:6" x14ac:dyDescent="0.35">
      <c r="B135" s="3" t="s">
        <v>186</v>
      </c>
      <c r="C135" s="25">
        <v>282656.22790000006</v>
      </c>
      <c r="E135" t="s">
        <v>263</v>
      </c>
      <c r="F135" s="25">
        <v>288957.15739999997</v>
      </c>
    </row>
    <row r="136" spans="2:6" x14ac:dyDescent="0.35">
      <c r="B136" s="3" t="s">
        <v>187</v>
      </c>
      <c r="C136" s="25">
        <v>290016.04370000004</v>
      </c>
      <c r="E136" t="s">
        <v>433</v>
      </c>
      <c r="F136" s="25">
        <v>287215.91879999998</v>
      </c>
    </row>
    <row r="137" spans="2:6" x14ac:dyDescent="0.35">
      <c r="B137" s="3" t="s">
        <v>188</v>
      </c>
      <c r="C137" s="25">
        <v>120476.33709999999</v>
      </c>
      <c r="E137" t="s">
        <v>169</v>
      </c>
      <c r="F137" s="25">
        <v>286062.77989999996</v>
      </c>
    </row>
    <row r="138" spans="2:6" x14ac:dyDescent="0.35">
      <c r="B138" s="3" t="s">
        <v>189</v>
      </c>
      <c r="C138" s="25">
        <v>297113.93939999997</v>
      </c>
      <c r="E138" t="s">
        <v>129</v>
      </c>
      <c r="F138" s="25">
        <v>284719.13259999995</v>
      </c>
    </row>
    <row r="139" spans="2:6" x14ac:dyDescent="0.35">
      <c r="B139" s="3" t="s">
        <v>190</v>
      </c>
      <c r="C139" s="25">
        <v>200530.43289999999</v>
      </c>
      <c r="E139" t="s">
        <v>247</v>
      </c>
      <c r="F139" s="25">
        <v>283507.37819999998</v>
      </c>
    </row>
    <row r="140" spans="2:6" x14ac:dyDescent="0.35">
      <c r="B140" s="3" t="s">
        <v>191</v>
      </c>
      <c r="C140" s="25">
        <v>135896.20309999996</v>
      </c>
      <c r="E140" t="s">
        <v>273</v>
      </c>
      <c r="F140" s="25">
        <v>283276.15999999997</v>
      </c>
    </row>
    <row r="141" spans="2:6" x14ac:dyDescent="0.35">
      <c r="B141" s="3" t="s">
        <v>192</v>
      </c>
      <c r="C141" s="25">
        <v>266846.12150000001</v>
      </c>
      <c r="E141" t="s">
        <v>257</v>
      </c>
      <c r="F141" s="25">
        <v>282973.58409999992</v>
      </c>
    </row>
    <row r="142" spans="2:6" x14ac:dyDescent="0.35">
      <c r="B142" s="3" t="s">
        <v>193</v>
      </c>
      <c r="C142" s="25">
        <v>294371.15179999999</v>
      </c>
      <c r="E142" t="s">
        <v>186</v>
      </c>
      <c r="F142" s="25">
        <v>282656.22790000006</v>
      </c>
    </row>
    <row r="143" spans="2:6" x14ac:dyDescent="0.35">
      <c r="B143" s="3" t="s">
        <v>194</v>
      </c>
      <c r="C143" s="25">
        <v>193624.07590000003</v>
      </c>
      <c r="E143" t="s">
        <v>291</v>
      </c>
      <c r="F143" s="25">
        <v>280761.86519999994</v>
      </c>
    </row>
    <row r="144" spans="2:6" x14ac:dyDescent="0.35">
      <c r="B144" s="3" t="s">
        <v>195</v>
      </c>
      <c r="C144" s="25">
        <v>107948.5129</v>
      </c>
      <c r="E144" t="s">
        <v>330</v>
      </c>
      <c r="F144" s="25">
        <v>280558.79649999994</v>
      </c>
    </row>
    <row r="145" spans="2:6" x14ac:dyDescent="0.35">
      <c r="B145" s="3" t="s">
        <v>196</v>
      </c>
      <c r="C145" s="25">
        <v>353613.29470000003</v>
      </c>
      <c r="E145" t="s">
        <v>505</v>
      </c>
      <c r="F145" s="25">
        <v>280487.91439999995</v>
      </c>
    </row>
    <row r="146" spans="2:6" x14ac:dyDescent="0.35">
      <c r="B146" s="3" t="s">
        <v>197</v>
      </c>
      <c r="C146" s="25">
        <v>270746.19359999994</v>
      </c>
      <c r="E146" t="s">
        <v>426</v>
      </c>
      <c r="F146" s="25">
        <v>280126.67160000006</v>
      </c>
    </row>
    <row r="147" spans="2:6" x14ac:dyDescent="0.35">
      <c r="B147" s="3" t="s">
        <v>198</v>
      </c>
      <c r="C147" s="25">
        <v>110522.27540000001</v>
      </c>
      <c r="E147" t="s">
        <v>261</v>
      </c>
      <c r="F147" s="25">
        <v>280106.32390000008</v>
      </c>
    </row>
    <row r="148" spans="2:6" x14ac:dyDescent="0.35">
      <c r="B148" s="3" t="s">
        <v>199</v>
      </c>
      <c r="C148" s="25">
        <v>223692.40789999999</v>
      </c>
      <c r="E148" t="s">
        <v>139</v>
      </c>
      <c r="F148" s="25">
        <v>279872.77849999996</v>
      </c>
    </row>
    <row r="149" spans="2:6" x14ac:dyDescent="0.35">
      <c r="B149" s="3" t="s">
        <v>200</v>
      </c>
      <c r="C149" s="25">
        <v>212548.52329999994</v>
      </c>
      <c r="E149" t="s">
        <v>279</v>
      </c>
      <c r="F149" s="25">
        <v>278188.95699999999</v>
      </c>
    </row>
    <row r="150" spans="2:6" x14ac:dyDescent="0.35">
      <c r="B150" s="3" t="s">
        <v>201</v>
      </c>
      <c r="C150" s="25">
        <v>196941.02909999999</v>
      </c>
      <c r="E150" t="s">
        <v>317</v>
      </c>
      <c r="F150" s="25">
        <v>277120.6165</v>
      </c>
    </row>
    <row r="151" spans="2:6" x14ac:dyDescent="0.35">
      <c r="B151" s="3" t="s">
        <v>202</v>
      </c>
      <c r="C151" s="25">
        <v>486560.46480000007</v>
      </c>
      <c r="E151" t="s">
        <v>413</v>
      </c>
      <c r="F151" s="25">
        <v>277039.01329999999</v>
      </c>
    </row>
    <row r="152" spans="2:6" x14ac:dyDescent="0.35">
      <c r="B152" s="3" t="s">
        <v>203</v>
      </c>
      <c r="C152" s="25">
        <v>115598.11039999999</v>
      </c>
      <c r="E152" t="s">
        <v>178</v>
      </c>
      <c r="F152" s="25">
        <v>274238.56089999992</v>
      </c>
    </row>
    <row r="153" spans="2:6" x14ac:dyDescent="0.35">
      <c r="B153" s="3" t="s">
        <v>204</v>
      </c>
      <c r="C153" s="25">
        <v>168016.75659999999</v>
      </c>
      <c r="E153" t="s">
        <v>242</v>
      </c>
      <c r="F153" s="25">
        <v>273949.375</v>
      </c>
    </row>
    <row r="154" spans="2:6" x14ac:dyDescent="0.35">
      <c r="B154" s="3" t="s">
        <v>205</v>
      </c>
      <c r="C154" s="25">
        <v>293172.92420000001</v>
      </c>
      <c r="E154" t="s">
        <v>318</v>
      </c>
      <c r="F154" s="25">
        <v>273565.04969999997</v>
      </c>
    </row>
    <row r="155" spans="2:6" x14ac:dyDescent="0.35">
      <c r="B155" s="3" t="s">
        <v>206</v>
      </c>
      <c r="C155" s="25">
        <v>234069.57649999991</v>
      </c>
      <c r="E155" t="s">
        <v>221</v>
      </c>
      <c r="F155" s="25">
        <v>272789.99450000003</v>
      </c>
    </row>
    <row r="156" spans="2:6" x14ac:dyDescent="0.35">
      <c r="B156" s="3" t="s">
        <v>207</v>
      </c>
      <c r="C156" s="25">
        <v>200762.33840000004</v>
      </c>
      <c r="E156" t="s">
        <v>197</v>
      </c>
      <c r="F156" s="25">
        <v>270746.19359999994</v>
      </c>
    </row>
    <row r="157" spans="2:6" x14ac:dyDescent="0.35">
      <c r="B157" s="3" t="s">
        <v>208</v>
      </c>
      <c r="C157" s="25">
        <v>118144.9877</v>
      </c>
      <c r="E157" t="s">
        <v>248</v>
      </c>
      <c r="F157" s="25">
        <v>267193.03259999992</v>
      </c>
    </row>
    <row r="158" spans="2:6" x14ac:dyDescent="0.35">
      <c r="B158" s="3" t="s">
        <v>209</v>
      </c>
      <c r="C158" s="25">
        <v>125120.01110000002</v>
      </c>
      <c r="E158" t="s">
        <v>355</v>
      </c>
      <c r="F158" s="25">
        <v>267017.82400000002</v>
      </c>
    </row>
    <row r="159" spans="2:6" x14ac:dyDescent="0.35">
      <c r="B159" s="3" t="s">
        <v>210</v>
      </c>
      <c r="C159" s="25">
        <v>176207.72260000001</v>
      </c>
      <c r="E159" t="s">
        <v>371</v>
      </c>
      <c r="F159" s="25">
        <v>266889.7352</v>
      </c>
    </row>
    <row r="160" spans="2:6" x14ac:dyDescent="0.35">
      <c r="B160" s="3" t="s">
        <v>211</v>
      </c>
      <c r="C160" s="25">
        <v>301571.27139999997</v>
      </c>
      <c r="E160" t="s">
        <v>192</v>
      </c>
      <c r="F160" s="25">
        <v>266846.12150000001</v>
      </c>
    </row>
    <row r="161" spans="2:6" x14ac:dyDescent="0.35">
      <c r="B161" s="3" t="s">
        <v>212</v>
      </c>
      <c r="C161" s="25">
        <v>330669.34289999999</v>
      </c>
      <c r="E161" t="s">
        <v>418</v>
      </c>
      <c r="F161" s="25">
        <v>264273.73660000006</v>
      </c>
    </row>
    <row r="162" spans="2:6" x14ac:dyDescent="0.35">
      <c r="B162" s="3" t="s">
        <v>213</v>
      </c>
      <c r="C162" s="25">
        <v>235997.31409999999</v>
      </c>
      <c r="E162" t="s">
        <v>255</v>
      </c>
      <c r="F162" s="25">
        <v>263262.67509999999</v>
      </c>
    </row>
    <row r="163" spans="2:6" x14ac:dyDescent="0.35">
      <c r="B163" s="3" t="s">
        <v>214</v>
      </c>
      <c r="C163" s="25">
        <v>351864.40749999997</v>
      </c>
      <c r="E163" t="s">
        <v>381</v>
      </c>
      <c r="F163" s="25">
        <v>261277.027</v>
      </c>
    </row>
    <row r="164" spans="2:6" x14ac:dyDescent="0.35">
      <c r="B164" s="3" t="s">
        <v>215</v>
      </c>
      <c r="C164" s="25">
        <v>178187.91409999999</v>
      </c>
      <c r="E164" t="s">
        <v>157</v>
      </c>
      <c r="F164" s="25">
        <v>260378.33599999998</v>
      </c>
    </row>
    <row r="165" spans="2:6" x14ac:dyDescent="0.35">
      <c r="B165" s="3" t="s">
        <v>216</v>
      </c>
      <c r="C165" s="25">
        <v>57438.978300000002</v>
      </c>
      <c r="E165" t="s">
        <v>436</v>
      </c>
      <c r="F165" s="25">
        <v>259440.00789999997</v>
      </c>
    </row>
    <row r="166" spans="2:6" x14ac:dyDescent="0.35">
      <c r="B166" s="3" t="s">
        <v>217</v>
      </c>
      <c r="C166" s="25">
        <v>334929.12179999996</v>
      </c>
      <c r="E166" t="s">
        <v>146</v>
      </c>
      <c r="F166" s="25">
        <v>259378.23199999999</v>
      </c>
    </row>
    <row r="167" spans="2:6" x14ac:dyDescent="0.35">
      <c r="B167" s="3" t="s">
        <v>218</v>
      </c>
      <c r="C167" s="25">
        <v>516489.6997</v>
      </c>
      <c r="E167" t="s">
        <v>482</v>
      </c>
      <c r="F167" s="25">
        <v>257040.37929999997</v>
      </c>
    </row>
    <row r="168" spans="2:6" x14ac:dyDescent="0.35">
      <c r="B168" s="3" t="s">
        <v>219</v>
      </c>
      <c r="C168" s="25">
        <v>373083.34960000002</v>
      </c>
      <c r="E168" t="s">
        <v>183</v>
      </c>
      <c r="F168" s="25">
        <v>256551.1488</v>
      </c>
    </row>
    <row r="169" spans="2:6" x14ac:dyDescent="0.35">
      <c r="B169" s="3" t="s">
        <v>220</v>
      </c>
      <c r="C169" s="25">
        <v>97280.486799999999</v>
      </c>
      <c r="E169" t="s">
        <v>238</v>
      </c>
      <c r="F169" s="25">
        <v>256286.11040000001</v>
      </c>
    </row>
    <row r="170" spans="2:6" x14ac:dyDescent="0.35">
      <c r="B170" s="3" t="s">
        <v>221</v>
      </c>
      <c r="C170" s="25">
        <v>272789.99450000003</v>
      </c>
      <c r="E170" t="s">
        <v>345</v>
      </c>
      <c r="F170" s="25">
        <v>251082.14569999999</v>
      </c>
    </row>
    <row r="171" spans="2:6" x14ac:dyDescent="0.35">
      <c r="B171" s="3" t="s">
        <v>222</v>
      </c>
      <c r="C171" s="25">
        <v>93605.621599999984</v>
      </c>
      <c r="E171" t="s">
        <v>122</v>
      </c>
      <c r="F171" s="25">
        <v>250383.3291</v>
      </c>
    </row>
    <row r="172" spans="2:6" x14ac:dyDescent="0.35">
      <c r="B172" s="3" t="s">
        <v>223</v>
      </c>
      <c r="C172" s="25">
        <v>118091.01249999998</v>
      </c>
      <c r="E172" t="s">
        <v>506</v>
      </c>
      <c r="F172" s="25">
        <v>250043.70019999999</v>
      </c>
    </row>
    <row r="173" spans="2:6" x14ac:dyDescent="0.35">
      <c r="B173" s="3" t="s">
        <v>224</v>
      </c>
      <c r="C173" s="25">
        <v>227891.45580000005</v>
      </c>
      <c r="E173" t="s">
        <v>424</v>
      </c>
      <c r="F173" s="25">
        <v>247689.19840000002</v>
      </c>
    </row>
    <row r="174" spans="2:6" x14ac:dyDescent="0.35">
      <c r="B174" s="3" t="s">
        <v>225</v>
      </c>
      <c r="C174" s="25">
        <v>472042.32709999994</v>
      </c>
      <c r="E174" t="s">
        <v>452</v>
      </c>
      <c r="F174" s="25">
        <v>247447.66769999999</v>
      </c>
    </row>
    <row r="175" spans="2:6" x14ac:dyDescent="0.35">
      <c r="B175" s="3" t="s">
        <v>226</v>
      </c>
      <c r="C175" s="25">
        <v>138598.92589999994</v>
      </c>
      <c r="E175" t="s">
        <v>184</v>
      </c>
      <c r="F175" s="25">
        <v>247237.61370000002</v>
      </c>
    </row>
    <row r="176" spans="2:6" x14ac:dyDescent="0.35">
      <c r="B176" s="3" t="s">
        <v>227</v>
      </c>
      <c r="C176" s="25">
        <v>199367.5344</v>
      </c>
      <c r="E176" t="s">
        <v>430</v>
      </c>
      <c r="F176" s="25">
        <v>247110.57889999996</v>
      </c>
    </row>
    <row r="177" spans="2:6" x14ac:dyDescent="0.35">
      <c r="B177" s="3" t="s">
        <v>228</v>
      </c>
      <c r="C177" s="25">
        <v>184331.2303</v>
      </c>
      <c r="E177" t="s">
        <v>368</v>
      </c>
      <c r="F177" s="25">
        <v>245269.33689999999</v>
      </c>
    </row>
    <row r="178" spans="2:6" x14ac:dyDescent="0.35">
      <c r="B178" s="3" t="s">
        <v>229</v>
      </c>
      <c r="C178" s="25">
        <v>176610.82599999994</v>
      </c>
      <c r="E178" t="s">
        <v>159</v>
      </c>
      <c r="F178" s="25">
        <v>244441.42930000002</v>
      </c>
    </row>
    <row r="179" spans="2:6" x14ac:dyDescent="0.35">
      <c r="B179" s="3" t="s">
        <v>230</v>
      </c>
      <c r="C179" s="25">
        <v>240020.21139999997</v>
      </c>
      <c r="E179" t="s">
        <v>244</v>
      </c>
      <c r="F179" s="25">
        <v>240458.76369999995</v>
      </c>
    </row>
    <row r="180" spans="2:6" x14ac:dyDescent="0.35">
      <c r="B180" s="3" t="s">
        <v>231</v>
      </c>
      <c r="C180" s="25">
        <v>66696.274099999966</v>
      </c>
      <c r="E180" t="s">
        <v>397</v>
      </c>
      <c r="F180" s="25">
        <v>240387.37980000002</v>
      </c>
    </row>
    <row r="181" spans="2:6" x14ac:dyDescent="0.35">
      <c r="B181" s="3" t="s">
        <v>232</v>
      </c>
      <c r="C181" s="25">
        <v>330219.08249999996</v>
      </c>
      <c r="E181" t="s">
        <v>230</v>
      </c>
      <c r="F181" s="25">
        <v>240020.21139999997</v>
      </c>
    </row>
    <row r="182" spans="2:6" x14ac:dyDescent="0.35">
      <c r="B182" s="3" t="s">
        <v>233</v>
      </c>
      <c r="C182" s="25">
        <v>170722.26939999996</v>
      </c>
      <c r="E182" t="s">
        <v>316</v>
      </c>
      <c r="F182" s="25">
        <v>239955.90820000003</v>
      </c>
    </row>
    <row r="183" spans="2:6" x14ac:dyDescent="0.35">
      <c r="B183" s="3" t="s">
        <v>234</v>
      </c>
      <c r="C183" s="25">
        <v>417533.50939999998</v>
      </c>
      <c r="E183" t="s">
        <v>447</v>
      </c>
      <c r="F183" s="25">
        <v>239093.47969999997</v>
      </c>
    </row>
    <row r="184" spans="2:6" x14ac:dyDescent="0.35">
      <c r="B184" s="3" t="s">
        <v>235</v>
      </c>
      <c r="C184" s="25">
        <v>160623.28980000003</v>
      </c>
      <c r="E184" t="s">
        <v>153</v>
      </c>
      <c r="F184" s="25">
        <v>238100.51310000004</v>
      </c>
    </row>
    <row r="185" spans="2:6" x14ac:dyDescent="0.35">
      <c r="B185" s="3" t="s">
        <v>236</v>
      </c>
      <c r="C185" s="25">
        <v>48682.33199999998</v>
      </c>
      <c r="E185" t="s">
        <v>213</v>
      </c>
      <c r="F185" s="25">
        <v>235997.31409999999</v>
      </c>
    </row>
    <row r="186" spans="2:6" x14ac:dyDescent="0.35">
      <c r="B186" s="3" t="s">
        <v>237</v>
      </c>
      <c r="C186" s="25">
        <v>170253.60959999997</v>
      </c>
      <c r="E186" t="s">
        <v>206</v>
      </c>
      <c r="F186" s="25">
        <v>234069.57649999991</v>
      </c>
    </row>
    <row r="187" spans="2:6" x14ac:dyDescent="0.35">
      <c r="B187" s="3" t="s">
        <v>238</v>
      </c>
      <c r="C187" s="25">
        <v>256286.11040000001</v>
      </c>
      <c r="E187" t="s">
        <v>459</v>
      </c>
      <c r="F187" s="25">
        <v>234003.08739999999</v>
      </c>
    </row>
    <row r="188" spans="2:6" x14ac:dyDescent="0.35">
      <c r="B188" s="3" t="s">
        <v>239</v>
      </c>
      <c r="C188" s="25">
        <v>178757.5968</v>
      </c>
      <c r="E188" t="s">
        <v>444</v>
      </c>
      <c r="F188" s="25">
        <v>233566.51359999995</v>
      </c>
    </row>
    <row r="189" spans="2:6" x14ac:dyDescent="0.35">
      <c r="B189" s="3" t="s">
        <v>240</v>
      </c>
      <c r="C189" s="25">
        <v>425902.12449999998</v>
      </c>
      <c r="E189" t="s">
        <v>135</v>
      </c>
      <c r="F189" s="25">
        <v>232958.50800000003</v>
      </c>
    </row>
    <row r="190" spans="2:6" x14ac:dyDescent="0.35">
      <c r="B190" s="3" t="s">
        <v>241</v>
      </c>
      <c r="C190" s="25">
        <v>41250.612699999998</v>
      </c>
      <c r="E190" t="s">
        <v>278</v>
      </c>
      <c r="F190" s="25">
        <v>229961.38640000002</v>
      </c>
    </row>
    <row r="191" spans="2:6" x14ac:dyDescent="0.35">
      <c r="B191" s="3" t="s">
        <v>242</v>
      </c>
      <c r="C191" s="25">
        <v>273949.375</v>
      </c>
      <c r="E191" t="s">
        <v>171</v>
      </c>
      <c r="F191" s="25">
        <v>228136.36860000005</v>
      </c>
    </row>
    <row r="192" spans="2:6" x14ac:dyDescent="0.35">
      <c r="B192" s="3" t="s">
        <v>243</v>
      </c>
      <c r="C192" s="25">
        <v>204584.12900000004</v>
      </c>
      <c r="E192" t="s">
        <v>224</v>
      </c>
      <c r="F192" s="25">
        <v>227891.45580000005</v>
      </c>
    </row>
    <row r="193" spans="2:6" x14ac:dyDescent="0.35">
      <c r="B193" s="3" t="s">
        <v>244</v>
      </c>
      <c r="C193" s="25">
        <v>240458.76369999995</v>
      </c>
      <c r="E193" t="s">
        <v>265</v>
      </c>
      <c r="F193" s="25">
        <v>227837.33209999997</v>
      </c>
    </row>
    <row r="194" spans="2:6" x14ac:dyDescent="0.35">
      <c r="B194" s="3" t="s">
        <v>245</v>
      </c>
      <c r="C194" s="25">
        <v>55569.173199999997</v>
      </c>
      <c r="E194" t="s">
        <v>272</v>
      </c>
      <c r="F194" s="25">
        <v>225657.81049999996</v>
      </c>
    </row>
    <row r="195" spans="2:6" x14ac:dyDescent="0.35">
      <c r="B195" s="3" t="s">
        <v>246</v>
      </c>
      <c r="C195" s="25">
        <v>78932.538799999966</v>
      </c>
      <c r="E195" t="s">
        <v>320</v>
      </c>
      <c r="F195" s="25">
        <v>225450.48210000002</v>
      </c>
    </row>
    <row r="196" spans="2:6" x14ac:dyDescent="0.35">
      <c r="B196" s="3" t="s">
        <v>247</v>
      </c>
      <c r="C196" s="25">
        <v>283507.37819999998</v>
      </c>
      <c r="E196" t="s">
        <v>289</v>
      </c>
      <c r="F196" s="25">
        <v>224889.14139999999</v>
      </c>
    </row>
    <row r="197" spans="2:6" x14ac:dyDescent="0.35">
      <c r="B197" s="3" t="s">
        <v>248</v>
      </c>
      <c r="C197" s="25">
        <v>267193.03259999992</v>
      </c>
      <c r="E197" t="s">
        <v>151</v>
      </c>
      <c r="F197" s="25">
        <v>224799.02339999998</v>
      </c>
    </row>
    <row r="198" spans="2:6" x14ac:dyDescent="0.35">
      <c r="B198" s="3" t="s">
        <v>249</v>
      </c>
      <c r="C198" s="25">
        <v>150816.36619999999</v>
      </c>
      <c r="E198" t="s">
        <v>372</v>
      </c>
      <c r="F198" s="25">
        <v>224535.87900000002</v>
      </c>
    </row>
    <row r="199" spans="2:6" x14ac:dyDescent="0.35">
      <c r="B199" s="3" t="s">
        <v>250</v>
      </c>
      <c r="C199" s="25">
        <v>97871.688600000009</v>
      </c>
      <c r="E199" t="s">
        <v>419</v>
      </c>
      <c r="F199" s="25">
        <v>224220.59270000004</v>
      </c>
    </row>
    <row r="200" spans="2:6" x14ac:dyDescent="0.35">
      <c r="B200" s="3" t="s">
        <v>251</v>
      </c>
      <c r="C200" s="25">
        <v>218083.7352</v>
      </c>
      <c r="E200" t="s">
        <v>304</v>
      </c>
      <c r="F200" s="25">
        <v>224132.20340000003</v>
      </c>
    </row>
    <row r="201" spans="2:6" x14ac:dyDescent="0.35">
      <c r="B201" s="3" t="s">
        <v>252</v>
      </c>
      <c r="C201" s="25">
        <v>112071.55979999997</v>
      </c>
      <c r="E201" t="s">
        <v>199</v>
      </c>
      <c r="F201" s="25">
        <v>223692.40789999999</v>
      </c>
    </row>
    <row r="202" spans="2:6" x14ac:dyDescent="0.35">
      <c r="B202" s="3" t="s">
        <v>253</v>
      </c>
      <c r="C202" s="25">
        <v>213666.98610000004</v>
      </c>
      <c r="E202" t="s">
        <v>336</v>
      </c>
      <c r="F202" s="25">
        <v>222184.81209999998</v>
      </c>
    </row>
    <row r="203" spans="2:6" x14ac:dyDescent="0.35">
      <c r="B203" s="3" t="s">
        <v>254</v>
      </c>
      <c r="C203" s="25">
        <v>331513.88550000003</v>
      </c>
      <c r="E203" t="s">
        <v>454</v>
      </c>
      <c r="F203" s="25">
        <v>220824.87760000001</v>
      </c>
    </row>
    <row r="204" spans="2:6" x14ac:dyDescent="0.35">
      <c r="B204" s="3" t="s">
        <v>255</v>
      </c>
      <c r="C204" s="25">
        <v>263262.67509999999</v>
      </c>
      <c r="E204" t="s">
        <v>163</v>
      </c>
      <c r="F204" s="25">
        <v>220706.9981</v>
      </c>
    </row>
    <row r="205" spans="2:6" x14ac:dyDescent="0.35">
      <c r="B205" s="3" t="s">
        <v>256</v>
      </c>
      <c r="C205" s="25">
        <v>209108.60279999999</v>
      </c>
      <c r="E205" t="s">
        <v>373</v>
      </c>
      <c r="F205" s="25">
        <v>219930.40680000003</v>
      </c>
    </row>
    <row r="206" spans="2:6" x14ac:dyDescent="0.35">
      <c r="B206" s="3" t="s">
        <v>257</v>
      </c>
      <c r="C206" s="25">
        <v>282973.58409999992</v>
      </c>
      <c r="E206" t="s">
        <v>468</v>
      </c>
      <c r="F206" s="25">
        <v>219335.0969</v>
      </c>
    </row>
    <row r="207" spans="2:6" x14ac:dyDescent="0.35">
      <c r="B207" s="3" t="s">
        <v>258</v>
      </c>
      <c r="C207" s="25">
        <v>122150.65350000003</v>
      </c>
      <c r="E207" t="s">
        <v>390</v>
      </c>
      <c r="F207" s="25">
        <v>219088.18220000001</v>
      </c>
    </row>
    <row r="208" spans="2:6" x14ac:dyDescent="0.35">
      <c r="B208" s="3" t="s">
        <v>259</v>
      </c>
      <c r="C208" s="25">
        <v>403301.82750000007</v>
      </c>
      <c r="E208" t="s">
        <v>251</v>
      </c>
      <c r="F208" s="25">
        <v>218083.7352</v>
      </c>
    </row>
    <row r="209" spans="2:6" x14ac:dyDescent="0.35">
      <c r="B209" s="3" t="s">
        <v>260</v>
      </c>
      <c r="C209" s="25">
        <v>648786.07559999998</v>
      </c>
      <c r="E209" t="s">
        <v>266</v>
      </c>
      <c r="F209" s="25">
        <v>216976.81350000002</v>
      </c>
    </row>
    <row r="210" spans="2:6" x14ac:dyDescent="0.35">
      <c r="B210" s="3" t="s">
        <v>261</v>
      </c>
      <c r="C210" s="25">
        <v>280106.32390000008</v>
      </c>
      <c r="E210" t="s">
        <v>290</v>
      </c>
      <c r="F210" s="25">
        <v>216852.8665</v>
      </c>
    </row>
    <row r="211" spans="2:6" x14ac:dyDescent="0.35">
      <c r="B211" s="3" t="s">
        <v>262</v>
      </c>
      <c r="C211" s="25">
        <v>599806.03930000006</v>
      </c>
      <c r="E211" t="s">
        <v>322</v>
      </c>
      <c r="F211" s="25">
        <v>216663.41899999994</v>
      </c>
    </row>
    <row r="212" spans="2:6" x14ac:dyDescent="0.35">
      <c r="B212" s="3" t="s">
        <v>263</v>
      </c>
      <c r="C212" s="25">
        <v>288957.15739999997</v>
      </c>
      <c r="E212" t="s">
        <v>327</v>
      </c>
      <c r="F212" s="25">
        <v>215944.83500000002</v>
      </c>
    </row>
    <row r="213" spans="2:6" x14ac:dyDescent="0.35">
      <c r="B213" s="3" t="s">
        <v>264</v>
      </c>
      <c r="C213" s="25">
        <v>122661.65959999997</v>
      </c>
      <c r="E213" t="s">
        <v>376</v>
      </c>
      <c r="F213" s="25">
        <v>215426.3639</v>
      </c>
    </row>
    <row r="214" spans="2:6" x14ac:dyDescent="0.35">
      <c r="B214" s="3" t="s">
        <v>265</v>
      </c>
      <c r="C214" s="25">
        <v>227837.33209999997</v>
      </c>
      <c r="E214" t="s">
        <v>460</v>
      </c>
      <c r="F214" s="25">
        <v>214583.36600000001</v>
      </c>
    </row>
    <row r="215" spans="2:6" x14ac:dyDescent="0.35">
      <c r="B215" s="3" t="s">
        <v>266</v>
      </c>
      <c r="C215" s="25">
        <v>216976.81350000002</v>
      </c>
      <c r="E215" t="s">
        <v>162</v>
      </c>
      <c r="F215" s="25">
        <v>213778.44710000002</v>
      </c>
    </row>
    <row r="216" spans="2:6" x14ac:dyDescent="0.35">
      <c r="B216" s="3" t="s">
        <v>267</v>
      </c>
      <c r="C216" s="25">
        <v>422725.52400000009</v>
      </c>
      <c r="E216" t="s">
        <v>253</v>
      </c>
      <c r="F216" s="25">
        <v>213666.98610000004</v>
      </c>
    </row>
    <row r="217" spans="2:6" x14ac:dyDescent="0.35">
      <c r="B217" s="3" t="s">
        <v>268</v>
      </c>
      <c r="C217" s="25">
        <v>176046.54279999997</v>
      </c>
      <c r="E217" t="s">
        <v>200</v>
      </c>
      <c r="F217" s="25">
        <v>212548.52329999994</v>
      </c>
    </row>
    <row r="218" spans="2:6" x14ac:dyDescent="0.35">
      <c r="B218" s="3" t="s">
        <v>269</v>
      </c>
      <c r="C218" s="25">
        <v>9924.9551999999967</v>
      </c>
      <c r="E218" t="s">
        <v>394</v>
      </c>
      <c r="F218" s="25">
        <v>212138.92599999998</v>
      </c>
    </row>
    <row r="219" spans="2:6" x14ac:dyDescent="0.35">
      <c r="B219" s="3" t="s">
        <v>270</v>
      </c>
      <c r="C219" s="25">
        <v>313560.97459999996</v>
      </c>
      <c r="E219" t="s">
        <v>491</v>
      </c>
      <c r="F219" s="25">
        <v>211746.69880000001</v>
      </c>
    </row>
    <row r="220" spans="2:6" x14ac:dyDescent="0.35">
      <c r="B220" s="3" t="s">
        <v>271</v>
      </c>
      <c r="C220" s="25">
        <v>91690.086199999991</v>
      </c>
      <c r="E220" t="s">
        <v>399</v>
      </c>
      <c r="F220" s="25">
        <v>211445.56210000007</v>
      </c>
    </row>
    <row r="221" spans="2:6" x14ac:dyDescent="0.35">
      <c r="B221" s="3" t="s">
        <v>272</v>
      </c>
      <c r="C221" s="25">
        <v>225657.81049999996</v>
      </c>
      <c r="E221" t="s">
        <v>377</v>
      </c>
      <c r="F221" s="25">
        <v>210079.87920000002</v>
      </c>
    </row>
    <row r="222" spans="2:6" x14ac:dyDescent="0.35">
      <c r="B222" s="3" t="s">
        <v>273</v>
      </c>
      <c r="C222" s="25">
        <v>283276.15999999997</v>
      </c>
      <c r="E222" t="s">
        <v>370</v>
      </c>
      <c r="F222" s="25">
        <v>209832.74610000002</v>
      </c>
    </row>
    <row r="223" spans="2:6" x14ac:dyDescent="0.35">
      <c r="B223" s="3" t="s">
        <v>274</v>
      </c>
      <c r="C223" s="25">
        <v>150604.19779999997</v>
      </c>
      <c r="E223" t="s">
        <v>353</v>
      </c>
      <c r="F223" s="25">
        <v>209482.21259999997</v>
      </c>
    </row>
    <row r="224" spans="2:6" x14ac:dyDescent="0.35">
      <c r="B224" s="3" t="s">
        <v>275</v>
      </c>
      <c r="C224" s="25">
        <v>40287.613400000002</v>
      </c>
      <c r="E224" t="s">
        <v>342</v>
      </c>
      <c r="F224" s="25">
        <v>209374.7641</v>
      </c>
    </row>
    <row r="225" spans="2:6" x14ac:dyDescent="0.35">
      <c r="B225" s="3" t="s">
        <v>276</v>
      </c>
      <c r="C225" s="25">
        <v>447333.31419999996</v>
      </c>
      <c r="E225" t="s">
        <v>142</v>
      </c>
      <c r="F225" s="25">
        <v>209130.6121</v>
      </c>
    </row>
    <row r="226" spans="2:6" x14ac:dyDescent="0.35">
      <c r="B226" s="3" t="s">
        <v>277</v>
      </c>
      <c r="C226" s="25">
        <v>323402.49</v>
      </c>
      <c r="E226" t="s">
        <v>256</v>
      </c>
      <c r="F226" s="25">
        <v>209108.60279999999</v>
      </c>
    </row>
    <row r="227" spans="2:6" x14ac:dyDescent="0.35">
      <c r="B227" s="3" t="s">
        <v>278</v>
      </c>
      <c r="C227" s="25">
        <v>229961.38640000002</v>
      </c>
      <c r="E227" t="s">
        <v>340</v>
      </c>
      <c r="F227" s="25">
        <v>208740.1679</v>
      </c>
    </row>
    <row r="228" spans="2:6" x14ac:dyDescent="0.35">
      <c r="B228" s="3" t="s">
        <v>279</v>
      </c>
      <c r="C228" s="25">
        <v>278188.95699999999</v>
      </c>
      <c r="E228" t="s">
        <v>412</v>
      </c>
      <c r="F228" s="25">
        <v>207846.9846</v>
      </c>
    </row>
    <row r="229" spans="2:6" x14ac:dyDescent="0.35">
      <c r="B229" s="3" t="s">
        <v>280</v>
      </c>
      <c r="C229" s="25">
        <v>66833.324999999968</v>
      </c>
      <c r="E229" t="s">
        <v>243</v>
      </c>
      <c r="F229" s="25">
        <v>204584.12900000004</v>
      </c>
    </row>
    <row r="230" spans="2:6" x14ac:dyDescent="0.35">
      <c r="B230" s="3" t="s">
        <v>281</v>
      </c>
      <c r="C230" s="25">
        <v>65442.696499999984</v>
      </c>
      <c r="E230" t="s">
        <v>466</v>
      </c>
      <c r="F230" s="25">
        <v>202914.32979999998</v>
      </c>
    </row>
    <row r="231" spans="2:6" x14ac:dyDescent="0.35">
      <c r="B231" s="3" t="s">
        <v>282</v>
      </c>
      <c r="C231" s="25">
        <v>8692.9700000000066</v>
      </c>
      <c r="E231" t="s">
        <v>508</v>
      </c>
      <c r="F231" s="25">
        <v>202259.05600000001</v>
      </c>
    </row>
    <row r="232" spans="2:6" x14ac:dyDescent="0.35">
      <c r="B232" s="3" t="s">
        <v>283</v>
      </c>
      <c r="C232" s="25">
        <v>417515.57329999999</v>
      </c>
      <c r="E232" t="s">
        <v>382</v>
      </c>
      <c r="F232" s="25">
        <v>201865.22080000001</v>
      </c>
    </row>
    <row r="233" spans="2:6" x14ac:dyDescent="0.35">
      <c r="B233" s="3" t="s">
        <v>284</v>
      </c>
      <c r="C233" s="25">
        <v>328247.65870000009</v>
      </c>
      <c r="E233" t="s">
        <v>126</v>
      </c>
      <c r="F233" s="25">
        <v>200843.8872</v>
      </c>
    </row>
    <row r="234" spans="2:6" x14ac:dyDescent="0.35">
      <c r="B234" s="3" t="s">
        <v>285</v>
      </c>
      <c r="C234" s="25">
        <v>185133.58050000001</v>
      </c>
      <c r="E234" t="s">
        <v>207</v>
      </c>
      <c r="F234" s="25">
        <v>200762.33840000004</v>
      </c>
    </row>
    <row r="235" spans="2:6" x14ac:dyDescent="0.35">
      <c r="B235" s="3" t="s">
        <v>286</v>
      </c>
      <c r="C235" s="25">
        <v>132428.29259999999</v>
      </c>
      <c r="E235" t="s">
        <v>190</v>
      </c>
      <c r="F235" s="25">
        <v>200530.43289999999</v>
      </c>
    </row>
    <row r="236" spans="2:6" x14ac:dyDescent="0.35">
      <c r="B236" s="3" t="s">
        <v>287</v>
      </c>
      <c r="C236" s="25">
        <v>102787.05660000001</v>
      </c>
      <c r="E236" t="s">
        <v>227</v>
      </c>
      <c r="F236" s="25">
        <v>199367.5344</v>
      </c>
    </row>
    <row r="237" spans="2:6" x14ac:dyDescent="0.35">
      <c r="B237" s="3" t="s">
        <v>288</v>
      </c>
      <c r="C237" s="25">
        <v>175017.47769999999</v>
      </c>
      <c r="E237" t="s">
        <v>319</v>
      </c>
      <c r="F237" s="25">
        <v>197925.80579999997</v>
      </c>
    </row>
    <row r="238" spans="2:6" x14ac:dyDescent="0.35">
      <c r="B238" s="3" t="s">
        <v>289</v>
      </c>
      <c r="C238" s="25">
        <v>224889.14139999999</v>
      </c>
      <c r="E238" t="s">
        <v>314</v>
      </c>
      <c r="F238" s="25">
        <v>197917.01120000007</v>
      </c>
    </row>
    <row r="239" spans="2:6" x14ac:dyDescent="0.35">
      <c r="B239" s="3" t="s">
        <v>290</v>
      </c>
      <c r="C239" s="25">
        <v>216852.8665</v>
      </c>
      <c r="E239" t="s">
        <v>201</v>
      </c>
      <c r="F239" s="25">
        <v>196941.02909999999</v>
      </c>
    </row>
    <row r="240" spans="2:6" x14ac:dyDescent="0.35">
      <c r="B240" s="3" t="s">
        <v>291</v>
      </c>
      <c r="C240" s="25">
        <v>280761.86519999994</v>
      </c>
      <c r="E240" t="s">
        <v>403</v>
      </c>
      <c r="F240" s="25">
        <v>195512.0393</v>
      </c>
    </row>
    <row r="241" spans="2:6" x14ac:dyDescent="0.35">
      <c r="B241" s="3" t="s">
        <v>292</v>
      </c>
      <c r="C241" s="25">
        <v>290637.78850000008</v>
      </c>
      <c r="E241" t="s">
        <v>422</v>
      </c>
      <c r="F241" s="25">
        <v>195317.24679999996</v>
      </c>
    </row>
    <row r="242" spans="2:6" x14ac:dyDescent="0.35">
      <c r="B242" s="3" t="s">
        <v>293</v>
      </c>
      <c r="C242" s="25">
        <v>77650.928899999999</v>
      </c>
      <c r="E242" t="s">
        <v>194</v>
      </c>
      <c r="F242" s="25">
        <v>193624.07590000003</v>
      </c>
    </row>
    <row r="243" spans="2:6" x14ac:dyDescent="0.35">
      <c r="B243" s="3" t="s">
        <v>294</v>
      </c>
      <c r="C243" s="25">
        <v>34323.514800000004</v>
      </c>
      <c r="E243" t="s">
        <v>416</v>
      </c>
      <c r="F243" s="25">
        <v>192962.56020000001</v>
      </c>
    </row>
    <row r="244" spans="2:6" x14ac:dyDescent="0.35">
      <c r="B244" s="3" t="s">
        <v>295</v>
      </c>
      <c r="C244" s="25">
        <v>145121.43639999995</v>
      </c>
      <c r="E244" t="s">
        <v>312</v>
      </c>
      <c r="F244" s="25">
        <v>191489.9681</v>
      </c>
    </row>
    <row r="245" spans="2:6" x14ac:dyDescent="0.35">
      <c r="B245" s="3" t="s">
        <v>296</v>
      </c>
      <c r="C245" s="25">
        <v>165020.64019999999</v>
      </c>
      <c r="E245" t="s">
        <v>335</v>
      </c>
      <c r="F245" s="25">
        <v>188552.23799999998</v>
      </c>
    </row>
    <row r="246" spans="2:6" x14ac:dyDescent="0.35">
      <c r="B246" s="3" t="s">
        <v>297</v>
      </c>
      <c r="C246" s="25">
        <v>136852.92139999996</v>
      </c>
      <c r="E246" t="s">
        <v>432</v>
      </c>
      <c r="F246" s="25">
        <v>187948.23090000002</v>
      </c>
    </row>
    <row r="247" spans="2:6" x14ac:dyDescent="0.35">
      <c r="B247" s="3" t="s">
        <v>298</v>
      </c>
      <c r="C247" s="25">
        <v>51462.5501</v>
      </c>
      <c r="E247" t="s">
        <v>425</v>
      </c>
      <c r="F247" s="25">
        <v>187797.27380000002</v>
      </c>
    </row>
    <row r="248" spans="2:6" x14ac:dyDescent="0.35">
      <c r="B248" s="3" t="s">
        <v>299</v>
      </c>
      <c r="C248" s="25">
        <v>3679.7864</v>
      </c>
      <c r="E248" t="s">
        <v>427</v>
      </c>
      <c r="F248" s="25">
        <v>187772.45120000001</v>
      </c>
    </row>
    <row r="249" spans="2:6" x14ac:dyDescent="0.35">
      <c r="B249" s="3" t="s">
        <v>300</v>
      </c>
      <c r="C249" s="25">
        <v>170291.32029999996</v>
      </c>
      <c r="E249" t="s">
        <v>323</v>
      </c>
      <c r="F249" s="25">
        <v>187655.63580000005</v>
      </c>
    </row>
    <row r="250" spans="2:6" x14ac:dyDescent="0.35">
      <c r="B250" s="3" t="s">
        <v>301</v>
      </c>
      <c r="C250" s="25">
        <v>56026.508699999991</v>
      </c>
      <c r="E250" t="s">
        <v>170</v>
      </c>
      <c r="F250" s="25">
        <v>187475.04119999998</v>
      </c>
    </row>
    <row r="251" spans="2:6" x14ac:dyDescent="0.35">
      <c r="B251" s="3" t="s">
        <v>302</v>
      </c>
      <c r="C251" s="25">
        <v>310236.61600000004</v>
      </c>
      <c r="E251" t="s">
        <v>172</v>
      </c>
      <c r="F251" s="25">
        <v>185358.83929999999</v>
      </c>
    </row>
    <row r="252" spans="2:6" x14ac:dyDescent="0.35">
      <c r="B252" s="3" t="s">
        <v>303</v>
      </c>
      <c r="C252" s="25">
        <v>150384.39800000004</v>
      </c>
      <c r="E252" t="s">
        <v>285</v>
      </c>
      <c r="F252" s="25">
        <v>185133.58050000001</v>
      </c>
    </row>
    <row r="253" spans="2:6" x14ac:dyDescent="0.35">
      <c r="B253" s="3" t="s">
        <v>304</v>
      </c>
      <c r="C253" s="25">
        <v>224132.20340000003</v>
      </c>
      <c r="E253" t="s">
        <v>136</v>
      </c>
      <c r="F253" s="25">
        <v>184615.65839999999</v>
      </c>
    </row>
    <row r="254" spans="2:6" x14ac:dyDescent="0.35">
      <c r="B254" s="3" t="s">
        <v>305</v>
      </c>
      <c r="C254" s="25">
        <v>96075.908500000034</v>
      </c>
      <c r="E254" t="s">
        <v>228</v>
      </c>
      <c r="F254" s="25">
        <v>184331.2303</v>
      </c>
    </row>
    <row r="255" spans="2:6" x14ac:dyDescent="0.35">
      <c r="B255" s="3" t="s">
        <v>306</v>
      </c>
      <c r="C255" s="25">
        <v>362332.99860000005</v>
      </c>
      <c r="E255" t="s">
        <v>487</v>
      </c>
      <c r="F255" s="25">
        <v>182357.44999999995</v>
      </c>
    </row>
    <row r="256" spans="2:6" x14ac:dyDescent="0.35">
      <c r="B256" s="3" t="s">
        <v>307</v>
      </c>
      <c r="C256" s="25">
        <v>160371.97099999996</v>
      </c>
      <c r="E256" t="s">
        <v>150</v>
      </c>
      <c r="F256" s="25">
        <v>182278.82749999998</v>
      </c>
    </row>
    <row r="257" spans="2:6" x14ac:dyDescent="0.35">
      <c r="B257" s="3" t="s">
        <v>308</v>
      </c>
      <c r="C257" s="25">
        <v>55354.019199999995</v>
      </c>
      <c r="E257" t="s">
        <v>321</v>
      </c>
      <c r="F257" s="25">
        <v>182042.20220000006</v>
      </c>
    </row>
    <row r="258" spans="2:6" x14ac:dyDescent="0.35">
      <c r="B258" s="3" t="s">
        <v>309</v>
      </c>
      <c r="C258" s="25">
        <v>118143.982</v>
      </c>
      <c r="E258" t="s">
        <v>356</v>
      </c>
      <c r="F258" s="25">
        <v>179880.86229999995</v>
      </c>
    </row>
    <row r="259" spans="2:6" x14ac:dyDescent="0.35">
      <c r="B259" s="3" t="s">
        <v>310</v>
      </c>
      <c r="C259" s="25">
        <v>130402.24140000001</v>
      </c>
      <c r="E259" t="s">
        <v>138</v>
      </c>
      <c r="F259" s="25">
        <v>179455.25140000001</v>
      </c>
    </row>
    <row r="260" spans="2:6" x14ac:dyDescent="0.35">
      <c r="B260" s="3" t="s">
        <v>311</v>
      </c>
      <c r="C260" s="25">
        <v>126593.25240000004</v>
      </c>
      <c r="E260" t="s">
        <v>507</v>
      </c>
      <c r="F260" s="25">
        <v>179167.9143</v>
      </c>
    </row>
    <row r="261" spans="2:6" x14ac:dyDescent="0.35">
      <c r="B261" s="3" t="s">
        <v>312</v>
      </c>
      <c r="C261" s="25">
        <v>191489.9681</v>
      </c>
      <c r="E261" t="s">
        <v>239</v>
      </c>
      <c r="F261" s="25">
        <v>178757.5968</v>
      </c>
    </row>
    <row r="262" spans="2:6" x14ac:dyDescent="0.35">
      <c r="B262" s="3" t="s">
        <v>313</v>
      </c>
      <c r="C262" s="25">
        <v>296799.60519999999</v>
      </c>
      <c r="E262" t="s">
        <v>123</v>
      </c>
      <c r="F262" s="25">
        <v>178746.7697</v>
      </c>
    </row>
    <row r="263" spans="2:6" x14ac:dyDescent="0.35">
      <c r="B263" s="3" t="s">
        <v>314</v>
      </c>
      <c r="C263" s="25">
        <v>197917.01120000007</v>
      </c>
      <c r="E263" t="s">
        <v>215</v>
      </c>
      <c r="F263" s="25">
        <v>178187.91409999999</v>
      </c>
    </row>
    <row r="264" spans="2:6" x14ac:dyDescent="0.35">
      <c r="B264" s="3" t="s">
        <v>315</v>
      </c>
      <c r="C264" s="25">
        <v>124617.18779999999</v>
      </c>
      <c r="E264" t="s">
        <v>503</v>
      </c>
      <c r="F264" s="25">
        <v>177875.33819999997</v>
      </c>
    </row>
    <row r="265" spans="2:6" x14ac:dyDescent="0.35">
      <c r="B265" s="3" t="s">
        <v>316</v>
      </c>
      <c r="C265" s="25">
        <v>239955.90820000003</v>
      </c>
      <c r="E265" t="s">
        <v>470</v>
      </c>
      <c r="F265" s="25">
        <v>176952.38859999995</v>
      </c>
    </row>
    <row r="266" spans="2:6" x14ac:dyDescent="0.35">
      <c r="B266" s="3" t="s">
        <v>317</v>
      </c>
      <c r="C266" s="25">
        <v>277120.6165</v>
      </c>
      <c r="E266" t="s">
        <v>229</v>
      </c>
      <c r="F266" s="25">
        <v>176610.82599999994</v>
      </c>
    </row>
    <row r="267" spans="2:6" x14ac:dyDescent="0.35">
      <c r="B267" s="3" t="s">
        <v>318</v>
      </c>
      <c r="C267" s="25">
        <v>273565.04969999997</v>
      </c>
      <c r="E267" t="s">
        <v>210</v>
      </c>
      <c r="F267" s="25">
        <v>176207.72260000001</v>
      </c>
    </row>
    <row r="268" spans="2:6" x14ac:dyDescent="0.35">
      <c r="B268" s="3" t="s">
        <v>319</v>
      </c>
      <c r="C268" s="25">
        <v>197925.80579999997</v>
      </c>
      <c r="E268" t="s">
        <v>268</v>
      </c>
      <c r="F268" s="25">
        <v>176046.54279999997</v>
      </c>
    </row>
    <row r="269" spans="2:6" x14ac:dyDescent="0.35">
      <c r="B269" s="3" t="s">
        <v>320</v>
      </c>
      <c r="C269" s="25">
        <v>225450.48210000002</v>
      </c>
      <c r="E269" t="s">
        <v>511</v>
      </c>
      <c r="F269" s="25">
        <v>175952.9178</v>
      </c>
    </row>
    <row r="270" spans="2:6" x14ac:dyDescent="0.35">
      <c r="B270" s="3" t="s">
        <v>321</v>
      </c>
      <c r="C270" s="25">
        <v>182042.20220000006</v>
      </c>
      <c r="E270" t="s">
        <v>288</v>
      </c>
      <c r="F270" s="25">
        <v>175017.47769999999</v>
      </c>
    </row>
    <row r="271" spans="2:6" x14ac:dyDescent="0.35">
      <c r="B271" s="3" t="s">
        <v>322</v>
      </c>
      <c r="C271" s="25">
        <v>216663.41899999994</v>
      </c>
      <c r="E271" t="s">
        <v>391</v>
      </c>
      <c r="F271" s="25">
        <v>174383.79870000001</v>
      </c>
    </row>
    <row r="272" spans="2:6" x14ac:dyDescent="0.35">
      <c r="B272" s="3" t="s">
        <v>323</v>
      </c>
      <c r="C272" s="25">
        <v>187655.63580000005</v>
      </c>
      <c r="E272" t="s">
        <v>361</v>
      </c>
      <c r="F272" s="25">
        <v>174250.01240000001</v>
      </c>
    </row>
    <row r="273" spans="2:6" x14ac:dyDescent="0.35">
      <c r="B273" s="3" t="s">
        <v>324</v>
      </c>
      <c r="C273" s="25">
        <v>123338.0364</v>
      </c>
      <c r="E273" t="s">
        <v>366</v>
      </c>
      <c r="F273" s="25">
        <v>173880.90650000001</v>
      </c>
    </row>
    <row r="274" spans="2:6" x14ac:dyDescent="0.35">
      <c r="B274" s="3" t="s">
        <v>325</v>
      </c>
      <c r="C274" s="25">
        <v>112712.03170000002</v>
      </c>
      <c r="E274" t="s">
        <v>501</v>
      </c>
      <c r="F274" s="25">
        <v>173396.86890000003</v>
      </c>
    </row>
    <row r="275" spans="2:6" x14ac:dyDescent="0.35">
      <c r="B275" s="3" t="s">
        <v>326</v>
      </c>
      <c r="C275" s="25">
        <v>346455.44200000004</v>
      </c>
      <c r="E275" t="s">
        <v>389</v>
      </c>
      <c r="F275" s="25">
        <v>171142.48759999999</v>
      </c>
    </row>
    <row r="276" spans="2:6" x14ac:dyDescent="0.35">
      <c r="B276" s="3" t="s">
        <v>327</v>
      </c>
      <c r="C276" s="25">
        <v>215944.83500000002</v>
      </c>
      <c r="E276" t="s">
        <v>332</v>
      </c>
      <c r="F276" s="25">
        <v>171095.1084</v>
      </c>
    </row>
    <row r="277" spans="2:6" x14ac:dyDescent="0.35">
      <c r="B277" s="3" t="s">
        <v>328</v>
      </c>
      <c r="C277" s="25">
        <v>136009.70239999998</v>
      </c>
      <c r="E277" t="s">
        <v>233</v>
      </c>
      <c r="F277" s="25">
        <v>170722.26939999996</v>
      </c>
    </row>
    <row r="278" spans="2:6" x14ac:dyDescent="0.35">
      <c r="B278" s="3" t="s">
        <v>329</v>
      </c>
      <c r="C278" s="25">
        <v>99194.693100000004</v>
      </c>
      <c r="E278" t="s">
        <v>179</v>
      </c>
      <c r="F278" s="25">
        <v>170359.28569999998</v>
      </c>
    </row>
    <row r="279" spans="2:6" x14ac:dyDescent="0.35">
      <c r="B279" s="3" t="s">
        <v>330</v>
      </c>
      <c r="C279" s="25">
        <v>280558.79649999994</v>
      </c>
      <c r="E279" t="s">
        <v>300</v>
      </c>
      <c r="F279" s="25">
        <v>170291.32029999996</v>
      </c>
    </row>
    <row r="280" spans="2:6" x14ac:dyDescent="0.35">
      <c r="B280" s="3" t="s">
        <v>331</v>
      </c>
      <c r="C280" s="25">
        <v>369549.93689999997</v>
      </c>
      <c r="E280" t="s">
        <v>237</v>
      </c>
      <c r="F280" s="25">
        <v>170253.60959999997</v>
      </c>
    </row>
    <row r="281" spans="2:6" x14ac:dyDescent="0.35">
      <c r="B281" s="3" t="s">
        <v>332</v>
      </c>
      <c r="C281" s="25">
        <v>171095.1084</v>
      </c>
      <c r="E281" t="s">
        <v>121</v>
      </c>
      <c r="F281" s="25">
        <v>169560.0183</v>
      </c>
    </row>
    <row r="282" spans="2:6" x14ac:dyDescent="0.35">
      <c r="B282" s="3" t="s">
        <v>333</v>
      </c>
      <c r="C282" s="25">
        <v>117105.98329999999</v>
      </c>
      <c r="E282" t="s">
        <v>352</v>
      </c>
      <c r="F282" s="25">
        <v>169291.9227</v>
      </c>
    </row>
    <row r="283" spans="2:6" x14ac:dyDescent="0.35">
      <c r="B283" s="3" t="s">
        <v>334</v>
      </c>
      <c r="C283" s="25">
        <v>147430.00650000002</v>
      </c>
      <c r="E283" t="s">
        <v>440</v>
      </c>
      <c r="F283" s="25">
        <v>168237.03730000003</v>
      </c>
    </row>
    <row r="284" spans="2:6" x14ac:dyDescent="0.35">
      <c r="B284" s="3" t="s">
        <v>335</v>
      </c>
      <c r="C284" s="25">
        <v>188552.23799999998</v>
      </c>
      <c r="E284" t="s">
        <v>363</v>
      </c>
      <c r="F284" s="25">
        <v>168077.49840000004</v>
      </c>
    </row>
    <row r="285" spans="2:6" x14ac:dyDescent="0.35">
      <c r="B285" s="3" t="s">
        <v>336</v>
      </c>
      <c r="C285" s="25">
        <v>222184.81209999998</v>
      </c>
      <c r="E285" t="s">
        <v>204</v>
      </c>
      <c r="F285" s="25">
        <v>168016.75659999999</v>
      </c>
    </row>
    <row r="286" spans="2:6" x14ac:dyDescent="0.35">
      <c r="B286" s="3" t="s">
        <v>337</v>
      </c>
      <c r="C286" s="25">
        <v>307317.1017</v>
      </c>
      <c r="E286" t="s">
        <v>375</v>
      </c>
      <c r="F286" s="25">
        <v>167780.29150000002</v>
      </c>
    </row>
    <row r="287" spans="2:6" x14ac:dyDescent="0.35">
      <c r="B287" s="3" t="s">
        <v>338</v>
      </c>
      <c r="C287" s="25">
        <v>343841.7047</v>
      </c>
      <c r="E287" t="s">
        <v>365</v>
      </c>
      <c r="F287" s="25">
        <v>167745.18120000002</v>
      </c>
    </row>
    <row r="288" spans="2:6" x14ac:dyDescent="0.35">
      <c r="B288" s="3" t="s">
        <v>339</v>
      </c>
      <c r="C288" s="25">
        <v>17367.864900000004</v>
      </c>
      <c r="E288" t="s">
        <v>154</v>
      </c>
      <c r="F288" s="25">
        <v>166521.98560000001</v>
      </c>
    </row>
    <row r="289" spans="2:6" x14ac:dyDescent="0.35">
      <c r="B289" s="3" t="s">
        <v>340</v>
      </c>
      <c r="C289" s="25">
        <v>208740.1679</v>
      </c>
      <c r="E289" t="s">
        <v>415</v>
      </c>
      <c r="F289" s="25">
        <v>165954.93169999999</v>
      </c>
    </row>
    <row r="290" spans="2:6" x14ac:dyDescent="0.35">
      <c r="B290" s="3" t="s">
        <v>341</v>
      </c>
      <c r="C290" s="25">
        <v>46902.942999999999</v>
      </c>
      <c r="E290" t="s">
        <v>296</v>
      </c>
      <c r="F290" s="25">
        <v>165020.64019999999</v>
      </c>
    </row>
    <row r="291" spans="2:6" x14ac:dyDescent="0.35">
      <c r="B291" s="3" t="s">
        <v>342</v>
      </c>
      <c r="C291" s="25">
        <v>209374.7641</v>
      </c>
      <c r="E291" t="s">
        <v>358</v>
      </c>
      <c r="F291" s="25">
        <v>163645.62460000004</v>
      </c>
    </row>
    <row r="292" spans="2:6" x14ac:dyDescent="0.35">
      <c r="B292" s="3" t="s">
        <v>343</v>
      </c>
      <c r="C292" s="25">
        <v>119441.8067</v>
      </c>
      <c r="E292" t="s">
        <v>156</v>
      </c>
      <c r="F292" s="25">
        <v>163413.37609999994</v>
      </c>
    </row>
    <row r="293" spans="2:6" x14ac:dyDescent="0.35">
      <c r="B293" s="3" t="s">
        <v>344</v>
      </c>
      <c r="C293" s="25">
        <v>67723.037400000001</v>
      </c>
      <c r="E293" t="s">
        <v>489</v>
      </c>
      <c r="F293" s="25">
        <v>162728.90679999997</v>
      </c>
    </row>
    <row r="294" spans="2:6" x14ac:dyDescent="0.35">
      <c r="B294" s="3" t="s">
        <v>345</v>
      </c>
      <c r="C294" s="25">
        <v>251082.14569999999</v>
      </c>
      <c r="E294" t="s">
        <v>173</v>
      </c>
      <c r="F294" s="25">
        <v>162217.27690000003</v>
      </c>
    </row>
    <row r="295" spans="2:6" x14ac:dyDescent="0.35">
      <c r="B295" s="3" t="s">
        <v>346</v>
      </c>
      <c r="C295" s="25">
        <v>106968.56</v>
      </c>
      <c r="E295" t="s">
        <v>125</v>
      </c>
      <c r="F295" s="25">
        <v>161145.73070000004</v>
      </c>
    </row>
    <row r="296" spans="2:6" x14ac:dyDescent="0.35">
      <c r="B296" s="3" t="s">
        <v>347</v>
      </c>
      <c r="C296" s="25">
        <v>91653.932399999991</v>
      </c>
      <c r="E296" t="s">
        <v>235</v>
      </c>
      <c r="F296" s="25">
        <v>160623.28980000003</v>
      </c>
    </row>
    <row r="297" spans="2:6" x14ac:dyDescent="0.35">
      <c r="B297" s="3" t="s">
        <v>348</v>
      </c>
      <c r="C297" s="25">
        <v>57247.545099999996</v>
      </c>
      <c r="E297" t="s">
        <v>307</v>
      </c>
      <c r="F297" s="25">
        <v>160371.97099999996</v>
      </c>
    </row>
    <row r="298" spans="2:6" x14ac:dyDescent="0.35">
      <c r="B298" s="3" t="s">
        <v>349</v>
      </c>
      <c r="C298" s="25">
        <v>48338.216500000002</v>
      </c>
      <c r="E298" t="s">
        <v>479</v>
      </c>
      <c r="F298" s="25">
        <v>159931.23289999997</v>
      </c>
    </row>
    <row r="299" spans="2:6" x14ac:dyDescent="0.35">
      <c r="B299" s="3" t="s">
        <v>350</v>
      </c>
      <c r="C299" s="25">
        <v>103315.78259999999</v>
      </c>
      <c r="E299" t="s">
        <v>166</v>
      </c>
      <c r="F299" s="25">
        <v>157730.91099999999</v>
      </c>
    </row>
    <row r="300" spans="2:6" x14ac:dyDescent="0.35">
      <c r="B300" s="3" t="s">
        <v>351</v>
      </c>
      <c r="C300" s="25">
        <v>354915.93859999999</v>
      </c>
      <c r="E300" t="s">
        <v>442</v>
      </c>
      <c r="F300" s="25">
        <v>157600.30259999994</v>
      </c>
    </row>
    <row r="301" spans="2:6" x14ac:dyDescent="0.35">
      <c r="B301" s="3" t="s">
        <v>352</v>
      </c>
      <c r="C301" s="25">
        <v>169291.9227</v>
      </c>
      <c r="E301" t="s">
        <v>472</v>
      </c>
      <c r="F301" s="25">
        <v>155116.78049999996</v>
      </c>
    </row>
    <row r="302" spans="2:6" x14ac:dyDescent="0.35">
      <c r="B302" s="3" t="s">
        <v>353</v>
      </c>
      <c r="C302" s="25">
        <v>209482.21259999997</v>
      </c>
      <c r="E302" t="s">
        <v>431</v>
      </c>
      <c r="F302" s="25">
        <v>153970.92849999995</v>
      </c>
    </row>
    <row r="303" spans="2:6" x14ac:dyDescent="0.35">
      <c r="B303" s="3" t="s">
        <v>354</v>
      </c>
      <c r="C303" s="25">
        <v>108845.01699999998</v>
      </c>
      <c r="E303" t="s">
        <v>118</v>
      </c>
      <c r="F303" s="25">
        <v>153156.1678</v>
      </c>
    </row>
    <row r="304" spans="2:6" x14ac:dyDescent="0.35">
      <c r="B304" s="3" t="s">
        <v>355</v>
      </c>
      <c r="C304" s="25">
        <v>267017.82400000002</v>
      </c>
      <c r="E304" t="s">
        <v>141</v>
      </c>
      <c r="F304" s="25">
        <v>153062.86659999998</v>
      </c>
    </row>
    <row r="305" spans="2:6" x14ac:dyDescent="0.35">
      <c r="B305" s="3" t="s">
        <v>356</v>
      </c>
      <c r="C305" s="25">
        <v>179880.86229999995</v>
      </c>
      <c r="E305" t="s">
        <v>249</v>
      </c>
      <c r="F305" s="25">
        <v>150816.36619999999</v>
      </c>
    </row>
    <row r="306" spans="2:6" x14ac:dyDescent="0.35">
      <c r="B306" s="3" t="s">
        <v>357</v>
      </c>
      <c r="C306" s="25">
        <v>87462.869000000006</v>
      </c>
      <c r="E306" t="s">
        <v>274</v>
      </c>
      <c r="F306" s="25">
        <v>150604.19779999997</v>
      </c>
    </row>
    <row r="307" spans="2:6" x14ac:dyDescent="0.35">
      <c r="B307" s="3" t="s">
        <v>358</v>
      </c>
      <c r="C307" s="25">
        <v>163645.62460000004</v>
      </c>
      <c r="E307" t="s">
        <v>303</v>
      </c>
      <c r="F307" s="25">
        <v>150384.39800000004</v>
      </c>
    </row>
    <row r="308" spans="2:6" x14ac:dyDescent="0.35">
      <c r="B308" s="3" t="s">
        <v>359</v>
      </c>
      <c r="C308" s="25">
        <v>13198.868400000005</v>
      </c>
      <c r="E308" t="s">
        <v>406</v>
      </c>
      <c r="F308" s="25">
        <v>149813.12069999994</v>
      </c>
    </row>
    <row r="309" spans="2:6" x14ac:dyDescent="0.35">
      <c r="B309" s="3" t="s">
        <v>360</v>
      </c>
      <c r="C309" s="25">
        <v>142513.71789999999</v>
      </c>
      <c r="E309" t="s">
        <v>362</v>
      </c>
      <c r="F309" s="25">
        <v>148684.74419999999</v>
      </c>
    </row>
    <row r="310" spans="2:6" x14ac:dyDescent="0.35">
      <c r="B310" s="3" t="s">
        <v>361</v>
      </c>
      <c r="C310" s="25">
        <v>174250.01240000001</v>
      </c>
      <c r="E310" t="s">
        <v>379</v>
      </c>
      <c r="F310" s="25">
        <v>148030.79800000001</v>
      </c>
    </row>
    <row r="311" spans="2:6" x14ac:dyDescent="0.35">
      <c r="B311" s="3" t="s">
        <v>362</v>
      </c>
      <c r="C311" s="25">
        <v>148684.74419999999</v>
      </c>
      <c r="E311" t="s">
        <v>334</v>
      </c>
      <c r="F311" s="25">
        <v>147430.00650000002</v>
      </c>
    </row>
    <row r="312" spans="2:6" x14ac:dyDescent="0.35">
      <c r="B312" s="3" t="s">
        <v>363</v>
      </c>
      <c r="C312" s="25">
        <v>168077.49840000004</v>
      </c>
      <c r="E312" t="s">
        <v>295</v>
      </c>
      <c r="F312" s="25">
        <v>145121.43639999995</v>
      </c>
    </row>
    <row r="313" spans="2:6" x14ac:dyDescent="0.35">
      <c r="B313" s="3" t="s">
        <v>364</v>
      </c>
      <c r="C313" s="25">
        <v>108982.53069999999</v>
      </c>
      <c r="E313" t="s">
        <v>392</v>
      </c>
      <c r="F313" s="25">
        <v>144745.77439999999</v>
      </c>
    </row>
    <row r="314" spans="2:6" x14ac:dyDescent="0.35">
      <c r="B314" s="3" t="s">
        <v>365</v>
      </c>
      <c r="C314" s="25">
        <v>167745.18120000002</v>
      </c>
      <c r="E314" t="s">
        <v>360</v>
      </c>
      <c r="F314" s="25">
        <v>142513.71789999999</v>
      </c>
    </row>
    <row r="315" spans="2:6" x14ac:dyDescent="0.35">
      <c r="B315" s="3" t="s">
        <v>366</v>
      </c>
      <c r="C315" s="25">
        <v>173880.90650000001</v>
      </c>
      <c r="E315" t="s">
        <v>380</v>
      </c>
      <c r="F315" s="25">
        <v>141497.4901</v>
      </c>
    </row>
    <row r="316" spans="2:6" x14ac:dyDescent="0.35">
      <c r="B316" s="3" t="s">
        <v>367</v>
      </c>
      <c r="C316" s="25">
        <v>320645.71549999993</v>
      </c>
      <c r="E316" t="s">
        <v>450</v>
      </c>
      <c r="F316" s="25">
        <v>140294.27500000002</v>
      </c>
    </row>
    <row r="317" spans="2:6" x14ac:dyDescent="0.35">
      <c r="B317" s="3" t="s">
        <v>368</v>
      </c>
      <c r="C317" s="25">
        <v>245269.33689999999</v>
      </c>
      <c r="E317" t="s">
        <v>383</v>
      </c>
      <c r="F317" s="25">
        <v>139389.34389999998</v>
      </c>
    </row>
    <row r="318" spans="2:6" x14ac:dyDescent="0.35">
      <c r="B318" s="3" t="s">
        <v>369</v>
      </c>
      <c r="C318" s="25">
        <v>601251.69340000011</v>
      </c>
      <c r="E318" t="s">
        <v>226</v>
      </c>
      <c r="F318" s="25">
        <v>138598.92589999994</v>
      </c>
    </row>
    <row r="319" spans="2:6" x14ac:dyDescent="0.35">
      <c r="B319" s="3" t="s">
        <v>370</v>
      </c>
      <c r="C319" s="25">
        <v>209832.74610000002</v>
      </c>
      <c r="E319" t="s">
        <v>437</v>
      </c>
      <c r="F319" s="25">
        <v>137252.1642</v>
      </c>
    </row>
    <row r="320" spans="2:6" x14ac:dyDescent="0.35">
      <c r="B320" s="3" t="s">
        <v>371</v>
      </c>
      <c r="C320" s="25">
        <v>266889.7352</v>
      </c>
      <c r="E320" t="s">
        <v>414</v>
      </c>
      <c r="F320" s="25">
        <v>136891.64599999998</v>
      </c>
    </row>
    <row r="321" spans="2:6" x14ac:dyDescent="0.35">
      <c r="B321" s="3" t="s">
        <v>372</v>
      </c>
      <c r="C321" s="25">
        <v>224535.87900000002</v>
      </c>
      <c r="E321" t="s">
        <v>297</v>
      </c>
      <c r="F321" s="25">
        <v>136852.92139999996</v>
      </c>
    </row>
    <row r="322" spans="2:6" x14ac:dyDescent="0.35">
      <c r="B322" s="3" t="s">
        <v>373</v>
      </c>
      <c r="C322" s="25">
        <v>219930.40680000003</v>
      </c>
      <c r="E322" t="s">
        <v>328</v>
      </c>
      <c r="F322" s="25">
        <v>136009.70239999998</v>
      </c>
    </row>
    <row r="323" spans="2:6" x14ac:dyDescent="0.35">
      <c r="B323" s="3" t="s">
        <v>374</v>
      </c>
      <c r="C323" s="25">
        <v>116259.23860000001</v>
      </c>
      <c r="E323" t="s">
        <v>191</v>
      </c>
      <c r="F323" s="25">
        <v>135896.20309999996</v>
      </c>
    </row>
    <row r="324" spans="2:6" x14ac:dyDescent="0.35">
      <c r="B324" s="3" t="s">
        <v>375</v>
      </c>
      <c r="C324" s="25">
        <v>167780.29150000002</v>
      </c>
      <c r="E324" t="s">
        <v>124</v>
      </c>
      <c r="F324" s="25">
        <v>135735.48240000007</v>
      </c>
    </row>
    <row r="325" spans="2:6" x14ac:dyDescent="0.35">
      <c r="B325" s="3" t="s">
        <v>376</v>
      </c>
      <c r="C325" s="25">
        <v>215426.3639</v>
      </c>
      <c r="E325" t="s">
        <v>388</v>
      </c>
      <c r="F325" s="25">
        <v>135160.56510000001</v>
      </c>
    </row>
    <row r="326" spans="2:6" x14ac:dyDescent="0.35">
      <c r="B326" s="3" t="s">
        <v>377</v>
      </c>
      <c r="C326" s="25">
        <v>210079.87920000002</v>
      </c>
      <c r="E326" t="s">
        <v>286</v>
      </c>
      <c r="F326" s="25">
        <v>132428.29259999999</v>
      </c>
    </row>
    <row r="327" spans="2:6" x14ac:dyDescent="0.35">
      <c r="B327" s="3" t="s">
        <v>378</v>
      </c>
      <c r="C327" s="25">
        <v>438456.94390000001</v>
      </c>
      <c r="E327" t="s">
        <v>310</v>
      </c>
      <c r="F327" s="25">
        <v>130402.24140000001</v>
      </c>
    </row>
    <row r="328" spans="2:6" x14ac:dyDescent="0.35">
      <c r="B328" s="3" t="s">
        <v>379</v>
      </c>
      <c r="C328" s="25">
        <v>148030.79800000001</v>
      </c>
      <c r="E328" t="s">
        <v>411</v>
      </c>
      <c r="F328" s="25">
        <v>130274.02020000003</v>
      </c>
    </row>
    <row r="329" spans="2:6" x14ac:dyDescent="0.35">
      <c r="B329" s="3" t="s">
        <v>380</v>
      </c>
      <c r="C329" s="25">
        <v>141497.4901</v>
      </c>
      <c r="E329" t="s">
        <v>515</v>
      </c>
      <c r="F329" s="25">
        <v>130176.21889999998</v>
      </c>
    </row>
    <row r="330" spans="2:6" x14ac:dyDescent="0.35">
      <c r="B330" s="3" t="s">
        <v>381</v>
      </c>
      <c r="C330" s="25">
        <v>261277.027</v>
      </c>
      <c r="E330" t="s">
        <v>398</v>
      </c>
      <c r="F330" s="25">
        <v>129039.61990000001</v>
      </c>
    </row>
    <row r="331" spans="2:6" x14ac:dyDescent="0.35">
      <c r="B331" s="3" t="s">
        <v>382</v>
      </c>
      <c r="C331" s="25">
        <v>201865.22080000001</v>
      </c>
      <c r="E331" t="s">
        <v>145</v>
      </c>
      <c r="F331" s="25">
        <v>127967.7291</v>
      </c>
    </row>
    <row r="332" spans="2:6" x14ac:dyDescent="0.35">
      <c r="B332" s="3" t="s">
        <v>383</v>
      </c>
      <c r="C332" s="25">
        <v>139389.34389999998</v>
      </c>
      <c r="E332" t="s">
        <v>514</v>
      </c>
      <c r="F332" s="25">
        <v>127425.49199999998</v>
      </c>
    </row>
    <row r="333" spans="2:6" x14ac:dyDescent="0.35">
      <c r="B333" s="3" t="s">
        <v>384</v>
      </c>
      <c r="C333" s="25">
        <v>125882.6419</v>
      </c>
      <c r="E333" t="s">
        <v>478</v>
      </c>
      <c r="F333" s="25">
        <v>126865.64570000001</v>
      </c>
    </row>
    <row r="334" spans="2:6" x14ac:dyDescent="0.35">
      <c r="B334" s="3" t="s">
        <v>385</v>
      </c>
      <c r="C334" s="25">
        <v>37752.564899999998</v>
      </c>
      <c r="E334" t="s">
        <v>445</v>
      </c>
      <c r="F334" s="25">
        <v>126606.38139999998</v>
      </c>
    </row>
    <row r="335" spans="2:6" x14ac:dyDescent="0.35">
      <c r="B335" s="3" t="s">
        <v>386</v>
      </c>
      <c r="C335" s="25">
        <v>102089.2034</v>
      </c>
      <c r="E335" t="s">
        <v>311</v>
      </c>
      <c r="F335" s="25">
        <v>126593.25240000004</v>
      </c>
    </row>
    <row r="336" spans="2:6" x14ac:dyDescent="0.35">
      <c r="B336" s="3" t="s">
        <v>387</v>
      </c>
      <c r="C336" s="25">
        <v>99946.662500000006</v>
      </c>
      <c r="E336" t="s">
        <v>384</v>
      </c>
      <c r="F336" s="25">
        <v>125882.6419</v>
      </c>
    </row>
    <row r="337" spans="2:6" x14ac:dyDescent="0.35">
      <c r="B337" s="3" t="s">
        <v>388</v>
      </c>
      <c r="C337" s="25">
        <v>135160.56510000001</v>
      </c>
      <c r="E337" t="s">
        <v>209</v>
      </c>
      <c r="F337" s="25">
        <v>125120.01110000002</v>
      </c>
    </row>
    <row r="338" spans="2:6" x14ac:dyDescent="0.35">
      <c r="B338" s="3" t="s">
        <v>389</v>
      </c>
      <c r="C338" s="25">
        <v>171142.48759999999</v>
      </c>
      <c r="E338" t="s">
        <v>315</v>
      </c>
      <c r="F338" s="25">
        <v>124617.18779999999</v>
      </c>
    </row>
    <row r="339" spans="2:6" x14ac:dyDescent="0.35">
      <c r="B339" s="3" t="s">
        <v>390</v>
      </c>
      <c r="C339" s="25">
        <v>219088.18220000001</v>
      </c>
      <c r="E339" t="s">
        <v>475</v>
      </c>
      <c r="F339" s="25">
        <v>123665.0855</v>
      </c>
    </row>
    <row r="340" spans="2:6" x14ac:dyDescent="0.35">
      <c r="B340" s="3" t="s">
        <v>391</v>
      </c>
      <c r="C340" s="25">
        <v>174383.79870000001</v>
      </c>
      <c r="E340" t="s">
        <v>324</v>
      </c>
      <c r="F340" s="25">
        <v>123338.0364</v>
      </c>
    </row>
    <row r="341" spans="2:6" x14ac:dyDescent="0.35">
      <c r="B341" s="3" t="s">
        <v>392</v>
      </c>
      <c r="C341" s="25">
        <v>144745.77439999999</v>
      </c>
      <c r="E341" t="s">
        <v>448</v>
      </c>
      <c r="F341" s="25">
        <v>122664.6047</v>
      </c>
    </row>
    <row r="342" spans="2:6" x14ac:dyDescent="0.35">
      <c r="B342" s="3" t="s">
        <v>393</v>
      </c>
      <c r="C342" s="25">
        <v>109885.04829999999</v>
      </c>
      <c r="E342" t="s">
        <v>264</v>
      </c>
      <c r="F342" s="25">
        <v>122661.65959999997</v>
      </c>
    </row>
    <row r="343" spans="2:6" x14ac:dyDescent="0.35">
      <c r="B343" s="3" t="s">
        <v>394</v>
      </c>
      <c r="C343" s="25">
        <v>212138.92599999998</v>
      </c>
      <c r="E343" t="s">
        <v>395</v>
      </c>
      <c r="F343" s="25">
        <v>122403.06639999998</v>
      </c>
    </row>
    <row r="344" spans="2:6" x14ac:dyDescent="0.35">
      <c r="B344" s="3" t="s">
        <v>395</v>
      </c>
      <c r="C344" s="25">
        <v>122403.06639999998</v>
      </c>
      <c r="E344" t="s">
        <v>258</v>
      </c>
      <c r="F344" s="25">
        <v>122150.65350000003</v>
      </c>
    </row>
    <row r="345" spans="2:6" x14ac:dyDescent="0.35">
      <c r="B345" s="3" t="s">
        <v>396</v>
      </c>
      <c r="C345" s="25">
        <v>301994.58469999995</v>
      </c>
      <c r="E345" t="s">
        <v>449</v>
      </c>
      <c r="F345" s="25">
        <v>121731.41249999995</v>
      </c>
    </row>
    <row r="346" spans="2:6" x14ac:dyDescent="0.35">
      <c r="B346" s="3" t="s">
        <v>397</v>
      </c>
      <c r="C346" s="25">
        <v>240387.37980000002</v>
      </c>
      <c r="E346" t="s">
        <v>188</v>
      </c>
      <c r="F346" s="25">
        <v>120476.33709999999</v>
      </c>
    </row>
    <row r="347" spans="2:6" x14ac:dyDescent="0.35">
      <c r="B347" s="3" t="s">
        <v>398</v>
      </c>
      <c r="C347" s="25">
        <v>129039.61990000001</v>
      </c>
      <c r="E347" t="s">
        <v>180</v>
      </c>
      <c r="F347" s="25">
        <v>119585.2972</v>
      </c>
    </row>
    <row r="348" spans="2:6" x14ac:dyDescent="0.35">
      <c r="B348" s="3" t="s">
        <v>399</v>
      </c>
      <c r="C348" s="25">
        <v>211445.56210000007</v>
      </c>
      <c r="E348" t="s">
        <v>343</v>
      </c>
      <c r="F348" s="25">
        <v>119441.8067</v>
      </c>
    </row>
    <row r="349" spans="2:6" x14ac:dyDescent="0.35">
      <c r="B349" s="3" t="s">
        <v>400</v>
      </c>
      <c r="C349" s="25">
        <v>118143.13269999999</v>
      </c>
      <c r="E349" t="s">
        <v>208</v>
      </c>
      <c r="F349" s="25">
        <v>118144.9877</v>
      </c>
    </row>
    <row r="350" spans="2:6" x14ac:dyDescent="0.35">
      <c r="B350" s="3" t="s">
        <v>401</v>
      </c>
      <c r="C350" s="25">
        <v>310266.35659999994</v>
      </c>
      <c r="E350" t="s">
        <v>309</v>
      </c>
      <c r="F350" s="25">
        <v>118143.982</v>
      </c>
    </row>
    <row r="351" spans="2:6" x14ac:dyDescent="0.35">
      <c r="B351" s="3" t="s">
        <v>402</v>
      </c>
      <c r="C351" s="25">
        <v>77350.907999999967</v>
      </c>
      <c r="E351" t="s">
        <v>400</v>
      </c>
      <c r="F351" s="25">
        <v>118143.13269999999</v>
      </c>
    </row>
    <row r="352" spans="2:6" x14ac:dyDescent="0.35">
      <c r="B352" s="3" t="s">
        <v>403</v>
      </c>
      <c r="C352" s="25">
        <v>195512.0393</v>
      </c>
      <c r="E352" t="s">
        <v>223</v>
      </c>
      <c r="F352" s="25">
        <v>118091.01249999998</v>
      </c>
    </row>
    <row r="353" spans="2:6" x14ac:dyDescent="0.35">
      <c r="B353" s="3" t="s">
        <v>404</v>
      </c>
      <c r="C353" s="25">
        <v>61027.727399999989</v>
      </c>
      <c r="E353" t="s">
        <v>333</v>
      </c>
      <c r="F353" s="25">
        <v>117105.98329999999</v>
      </c>
    </row>
    <row r="354" spans="2:6" x14ac:dyDescent="0.35">
      <c r="B354" s="3" t="s">
        <v>405</v>
      </c>
      <c r="C354" s="25">
        <v>43610.862699999983</v>
      </c>
      <c r="E354" t="s">
        <v>374</v>
      </c>
      <c r="F354" s="25">
        <v>116259.23860000001</v>
      </c>
    </row>
    <row r="355" spans="2:6" x14ac:dyDescent="0.35">
      <c r="B355" s="3" t="s">
        <v>406</v>
      </c>
      <c r="C355" s="25">
        <v>149813.12069999994</v>
      </c>
      <c r="E355" t="s">
        <v>203</v>
      </c>
      <c r="F355" s="25">
        <v>115598.11039999999</v>
      </c>
    </row>
    <row r="356" spans="2:6" x14ac:dyDescent="0.35">
      <c r="B356" s="3" t="s">
        <v>407</v>
      </c>
      <c r="C356" s="25">
        <v>71566.109599999967</v>
      </c>
      <c r="E356" t="s">
        <v>175</v>
      </c>
      <c r="F356" s="25">
        <v>115577.20429999998</v>
      </c>
    </row>
    <row r="357" spans="2:6" x14ac:dyDescent="0.35">
      <c r="B357" s="3" t="s">
        <v>408</v>
      </c>
      <c r="C357" s="25">
        <v>363324.71269999997</v>
      </c>
      <c r="E357" t="s">
        <v>133</v>
      </c>
      <c r="F357" s="25">
        <v>115502.04299999999</v>
      </c>
    </row>
    <row r="358" spans="2:6" x14ac:dyDescent="0.35">
      <c r="B358" s="3" t="s">
        <v>409</v>
      </c>
      <c r="C358" s="25">
        <v>67789.780399999989</v>
      </c>
      <c r="E358" t="s">
        <v>462</v>
      </c>
      <c r="F358" s="25">
        <v>115237.71759999999</v>
      </c>
    </row>
    <row r="359" spans="2:6" x14ac:dyDescent="0.35">
      <c r="B359" s="3" t="s">
        <v>410</v>
      </c>
      <c r="C359" s="25">
        <v>70116.117900000012</v>
      </c>
      <c r="E359" t="s">
        <v>510</v>
      </c>
      <c r="F359" s="25">
        <v>115005.5644</v>
      </c>
    </row>
    <row r="360" spans="2:6" x14ac:dyDescent="0.35">
      <c r="B360" s="3" t="s">
        <v>411</v>
      </c>
      <c r="C360" s="25">
        <v>130274.02020000003</v>
      </c>
      <c r="E360" t="s">
        <v>119</v>
      </c>
      <c r="F360" s="25">
        <v>114578.25499999999</v>
      </c>
    </row>
    <row r="361" spans="2:6" x14ac:dyDescent="0.35">
      <c r="B361" s="3" t="s">
        <v>412</v>
      </c>
      <c r="C361" s="25">
        <v>207846.9846</v>
      </c>
      <c r="E361" t="s">
        <v>467</v>
      </c>
      <c r="F361" s="25">
        <v>114395.79170000002</v>
      </c>
    </row>
    <row r="362" spans="2:6" x14ac:dyDescent="0.35">
      <c r="B362" s="3" t="s">
        <v>413</v>
      </c>
      <c r="C362" s="25">
        <v>277039.01329999999</v>
      </c>
      <c r="E362" t="s">
        <v>325</v>
      </c>
      <c r="F362" s="25">
        <v>112712.03170000002</v>
      </c>
    </row>
    <row r="363" spans="2:6" x14ac:dyDescent="0.35">
      <c r="B363" s="3" t="s">
        <v>414</v>
      </c>
      <c r="C363" s="25">
        <v>136891.64599999998</v>
      </c>
      <c r="E363" t="s">
        <v>476</v>
      </c>
      <c r="F363" s="25">
        <v>112560.7934</v>
      </c>
    </row>
    <row r="364" spans="2:6" x14ac:dyDescent="0.35">
      <c r="B364" s="3" t="s">
        <v>415</v>
      </c>
      <c r="C364" s="25">
        <v>165954.93169999999</v>
      </c>
      <c r="E364" t="s">
        <v>252</v>
      </c>
      <c r="F364" s="25">
        <v>112071.55979999997</v>
      </c>
    </row>
    <row r="365" spans="2:6" x14ac:dyDescent="0.35">
      <c r="B365" s="3" t="s">
        <v>416</v>
      </c>
      <c r="C365" s="25">
        <v>192962.56020000001</v>
      </c>
      <c r="E365" t="s">
        <v>198</v>
      </c>
      <c r="F365" s="25">
        <v>110522.27540000001</v>
      </c>
    </row>
    <row r="366" spans="2:6" x14ac:dyDescent="0.35">
      <c r="B366" s="3" t="s">
        <v>417</v>
      </c>
      <c r="C366" s="25">
        <v>306812.49180000002</v>
      </c>
      <c r="E366" t="s">
        <v>140</v>
      </c>
      <c r="F366" s="25">
        <v>109939.37129999998</v>
      </c>
    </row>
    <row r="367" spans="2:6" x14ac:dyDescent="0.35">
      <c r="B367" s="3" t="s">
        <v>418</v>
      </c>
      <c r="C367" s="25">
        <v>264273.73660000006</v>
      </c>
      <c r="E367" t="s">
        <v>393</v>
      </c>
      <c r="F367" s="25">
        <v>109885.04829999999</v>
      </c>
    </row>
    <row r="368" spans="2:6" x14ac:dyDescent="0.35">
      <c r="B368" s="3" t="s">
        <v>419</v>
      </c>
      <c r="C368" s="25">
        <v>224220.59270000004</v>
      </c>
      <c r="E368" t="s">
        <v>490</v>
      </c>
      <c r="F368" s="25">
        <v>109428.84169999996</v>
      </c>
    </row>
    <row r="369" spans="2:6" x14ac:dyDescent="0.35">
      <c r="B369" s="3" t="s">
        <v>420</v>
      </c>
      <c r="C369" s="25">
        <v>39742.404299999995</v>
      </c>
      <c r="E369" t="s">
        <v>461</v>
      </c>
      <c r="F369" s="25">
        <v>109292.53670000001</v>
      </c>
    </row>
    <row r="370" spans="2:6" x14ac:dyDescent="0.35">
      <c r="B370" s="3" t="s">
        <v>421</v>
      </c>
      <c r="C370" s="25">
        <v>68739.184000000008</v>
      </c>
      <c r="E370" t="s">
        <v>364</v>
      </c>
      <c r="F370" s="25">
        <v>108982.53069999999</v>
      </c>
    </row>
    <row r="371" spans="2:6" x14ac:dyDescent="0.35">
      <c r="B371" s="3" t="s">
        <v>422</v>
      </c>
      <c r="C371" s="25">
        <v>195317.24679999996</v>
      </c>
      <c r="E371" t="s">
        <v>354</v>
      </c>
      <c r="F371" s="25">
        <v>108845.01699999998</v>
      </c>
    </row>
    <row r="372" spans="2:6" x14ac:dyDescent="0.35">
      <c r="B372" s="3" t="s">
        <v>423</v>
      </c>
      <c r="C372" s="25">
        <v>103268.41149999999</v>
      </c>
      <c r="E372" t="s">
        <v>195</v>
      </c>
      <c r="F372" s="25">
        <v>107948.5129</v>
      </c>
    </row>
    <row r="373" spans="2:6" x14ac:dyDescent="0.35">
      <c r="B373" s="3" t="s">
        <v>424</v>
      </c>
      <c r="C373" s="25">
        <v>247689.19840000002</v>
      </c>
      <c r="E373" t="s">
        <v>435</v>
      </c>
      <c r="F373" s="25">
        <v>107666.84289999999</v>
      </c>
    </row>
    <row r="374" spans="2:6" x14ac:dyDescent="0.35">
      <c r="B374" s="3" t="s">
        <v>425</v>
      </c>
      <c r="C374" s="25">
        <v>187797.27380000002</v>
      </c>
      <c r="E374" t="s">
        <v>346</v>
      </c>
      <c r="F374" s="25">
        <v>106968.56</v>
      </c>
    </row>
    <row r="375" spans="2:6" x14ac:dyDescent="0.35">
      <c r="B375" s="3" t="s">
        <v>426</v>
      </c>
      <c r="C375" s="25">
        <v>280126.67160000006</v>
      </c>
      <c r="E375" t="s">
        <v>495</v>
      </c>
      <c r="F375" s="25">
        <v>106402.36390000005</v>
      </c>
    </row>
    <row r="376" spans="2:6" x14ac:dyDescent="0.35">
      <c r="B376" s="3" t="s">
        <v>427</v>
      </c>
      <c r="C376" s="25">
        <v>187772.45120000001</v>
      </c>
      <c r="E376" t="s">
        <v>457</v>
      </c>
      <c r="F376" s="25">
        <v>105404.27320000001</v>
      </c>
    </row>
    <row r="377" spans="2:6" x14ac:dyDescent="0.35">
      <c r="B377" s="3" t="s">
        <v>428</v>
      </c>
      <c r="C377" s="25">
        <v>58804.909600000006</v>
      </c>
      <c r="E377" t="s">
        <v>350</v>
      </c>
      <c r="F377" s="25">
        <v>103315.78259999999</v>
      </c>
    </row>
    <row r="378" spans="2:6" x14ac:dyDescent="0.35">
      <c r="B378" s="3" t="s">
        <v>429</v>
      </c>
      <c r="C378" s="25">
        <v>99547.030900000012</v>
      </c>
      <c r="E378" t="s">
        <v>423</v>
      </c>
      <c r="F378" s="25">
        <v>103268.41149999999</v>
      </c>
    </row>
    <row r="379" spans="2:6" x14ac:dyDescent="0.35">
      <c r="B379" s="3" t="s">
        <v>430</v>
      </c>
      <c r="C379" s="25">
        <v>247110.57889999996</v>
      </c>
      <c r="E379" t="s">
        <v>287</v>
      </c>
      <c r="F379" s="25">
        <v>102787.05660000001</v>
      </c>
    </row>
    <row r="380" spans="2:6" x14ac:dyDescent="0.35">
      <c r="B380" s="3" t="s">
        <v>431</v>
      </c>
      <c r="C380" s="25">
        <v>153970.92849999995</v>
      </c>
      <c r="E380" t="s">
        <v>386</v>
      </c>
      <c r="F380" s="25">
        <v>102089.2034</v>
      </c>
    </row>
    <row r="381" spans="2:6" x14ac:dyDescent="0.35">
      <c r="B381" s="3" t="s">
        <v>432</v>
      </c>
      <c r="C381" s="25">
        <v>187948.23090000002</v>
      </c>
      <c r="E381" t="s">
        <v>441</v>
      </c>
      <c r="F381" s="25">
        <v>102020.59749999999</v>
      </c>
    </row>
    <row r="382" spans="2:6" x14ac:dyDescent="0.35">
      <c r="B382" s="3" t="s">
        <v>433</v>
      </c>
      <c r="C382" s="25">
        <v>287215.91879999998</v>
      </c>
      <c r="E382" t="s">
        <v>387</v>
      </c>
      <c r="F382" s="25">
        <v>99946.662500000006</v>
      </c>
    </row>
    <row r="383" spans="2:6" x14ac:dyDescent="0.35">
      <c r="B383" s="3" t="s">
        <v>434</v>
      </c>
      <c r="C383" s="25">
        <v>84340.852399999989</v>
      </c>
      <c r="E383" t="s">
        <v>429</v>
      </c>
      <c r="F383" s="25">
        <v>99547.030900000012</v>
      </c>
    </row>
    <row r="384" spans="2:6" x14ac:dyDescent="0.35">
      <c r="B384" s="3" t="s">
        <v>435</v>
      </c>
      <c r="C384" s="25">
        <v>107666.84289999999</v>
      </c>
      <c r="E384" t="s">
        <v>329</v>
      </c>
      <c r="F384" s="25">
        <v>99194.693100000004</v>
      </c>
    </row>
    <row r="385" spans="2:6" x14ac:dyDescent="0.35">
      <c r="B385" s="3" t="s">
        <v>436</v>
      </c>
      <c r="C385" s="25">
        <v>259440.00789999997</v>
      </c>
      <c r="E385" t="s">
        <v>120</v>
      </c>
      <c r="F385" s="25">
        <v>99044.642800000031</v>
      </c>
    </row>
    <row r="386" spans="2:6" x14ac:dyDescent="0.35">
      <c r="B386" s="3" t="s">
        <v>437</v>
      </c>
      <c r="C386" s="25">
        <v>137252.1642</v>
      </c>
      <c r="E386" t="s">
        <v>250</v>
      </c>
      <c r="F386" s="25">
        <v>97871.688600000009</v>
      </c>
    </row>
    <row r="387" spans="2:6" x14ac:dyDescent="0.35">
      <c r="B387" s="3" t="s">
        <v>438</v>
      </c>
      <c r="C387" s="25">
        <v>389723.00510000007</v>
      </c>
      <c r="E387" t="s">
        <v>220</v>
      </c>
      <c r="F387" s="25">
        <v>97280.486799999999</v>
      </c>
    </row>
    <row r="388" spans="2:6" x14ac:dyDescent="0.35">
      <c r="B388" s="3" t="s">
        <v>439</v>
      </c>
      <c r="C388" s="25">
        <v>361310.27139999991</v>
      </c>
      <c r="E388" t="s">
        <v>480</v>
      </c>
      <c r="F388" s="25">
        <v>96925.093200000003</v>
      </c>
    </row>
    <row r="389" spans="2:6" x14ac:dyDescent="0.35">
      <c r="B389" s="3" t="s">
        <v>440</v>
      </c>
      <c r="C389" s="25">
        <v>168237.03730000003</v>
      </c>
      <c r="E389" t="s">
        <v>305</v>
      </c>
      <c r="F389" s="25">
        <v>96075.908500000034</v>
      </c>
    </row>
    <row r="390" spans="2:6" x14ac:dyDescent="0.35">
      <c r="B390" s="3" t="s">
        <v>441</v>
      </c>
      <c r="C390" s="25">
        <v>102020.59749999999</v>
      </c>
      <c r="E390" t="s">
        <v>222</v>
      </c>
      <c r="F390" s="25">
        <v>93605.621599999984</v>
      </c>
    </row>
    <row r="391" spans="2:6" x14ac:dyDescent="0.35">
      <c r="B391" s="3" t="s">
        <v>442</v>
      </c>
      <c r="C391" s="25">
        <v>157600.30259999994</v>
      </c>
      <c r="E391" t="s">
        <v>271</v>
      </c>
      <c r="F391" s="25">
        <v>91690.086199999991</v>
      </c>
    </row>
    <row r="392" spans="2:6" x14ac:dyDescent="0.35">
      <c r="B392" s="3" t="s">
        <v>443</v>
      </c>
      <c r="C392" s="25">
        <v>289279.93180000002</v>
      </c>
      <c r="E392" t="s">
        <v>347</v>
      </c>
      <c r="F392" s="25">
        <v>91653.932399999991</v>
      </c>
    </row>
    <row r="393" spans="2:6" x14ac:dyDescent="0.35">
      <c r="B393" s="3" t="s">
        <v>444</v>
      </c>
      <c r="C393" s="25">
        <v>233566.51359999995</v>
      </c>
      <c r="E393" t="s">
        <v>517</v>
      </c>
      <c r="F393" s="25">
        <v>88940.805200000003</v>
      </c>
    </row>
    <row r="394" spans="2:6" x14ac:dyDescent="0.35">
      <c r="B394" s="3" t="s">
        <v>445</v>
      </c>
      <c r="C394" s="25">
        <v>126606.38139999998</v>
      </c>
      <c r="E394" t="s">
        <v>144</v>
      </c>
      <c r="F394" s="25">
        <v>87599.46239999996</v>
      </c>
    </row>
    <row r="395" spans="2:6" x14ac:dyDescent="0.35">
      <c r="B395" s="3" t="s">
        <v>446</v>
      </c>
      <c r="C395" s="25">
        <v>62771.844599999997</v>
      </c>
      <c r="E395" t="s">
        <v>357</v>
      </c>
      <c r="F395" s="25">
        <v>87462.869000000006</v>
      </c>
    </row>
    <row r="396" spans="2:6" x14ac:dyDescent="0.35">
      <c r="B396" s="3" t="s">
        <v>447</v>
      </c>
      <c r="C396" s="25">
        <v>239093.47969999997</v>
      </c>
      <c r="E396" t="s">
        <v>434</v>
      </c>
      <c r="F396" s="25">
        <v>84340.852399999989</v>
      </c>
    </row>
    <row r="397" spans="2:6" x14ac:dyDescent="0.35">
      <c r="B397" s="3" t="s">
        <v>448</v>
      </c>
      <c r="C397" s="25">
        <v>122664.6047</v>
      </c>
      <c r="E397" t="s">
        <v>473</v>
      </c>
      <c r="F397" s="25">
        <v>81352.862199999989</v>
      </c>
    </row>
    <row r="398" spans="2:6" x14ac:dyDescent="0.35">
      <c r="B398" s="3" t="s">
        <v>449</v>
      </c>
      <c r="C398" s="25">
        <v>121731.41249999995</v>
      </c>
      <c r="E398" t="s">
        <v>148</v>
      </c>
      <c r="F398" s="25">
        <v>79776.094000000012</v>
      </c>
    </row>
    <row r="399" spans="2:6" x14ac:dyDescent="0.35">
      <c r="B399" s="3" t="s">
        <v>450</v>
      </c>
      <c r="C399" s="25">
        <v>140294.27500000002</v>
      </c>
      <c r="E399" t="s">
        <v>158</v>
      </c>
      <c r="F399" s="25">
        <v>79069.512499999997</v>
      </c>
    </row>
    <row r="400" spans="2:6" x14ac:dyDescent="0.35">
      <c r="B400" s="3" t="s">
        <v>451</v>
      </c>
      <c r="C400" s="25">
        <v>76813.79859999998</v>
      </c>
      <c r="E400" t="s">
        <v>246</v>
      </c>
      <c r="F400" s="25">
        <v>78932.538799999966</v>
      </c>
    </row>
    <row r="401" spans="2:6" x14ac:dyDescent="0.35">
      <c r="B401" s="3" t="s">
        <v>452</v>
      </c>
      <c r="C401" s="25">
        <v>247447.66769999999</v>
      </c>
      <c r="E401" t="s">
        <v>488</v>
      </c>
      <c r="F401" s="25">
        <v>78612.627999999997</v>
      </c>
    </row>
    <row r="402" spans="2:6" x14ac:dyDescent="0.35">
      <c r="B402" s="3" t="s">
        <v>453</v>
      </c>
      <c r="C402" s="25">
        <v>400334.37450000003</v>
      </c>
      <c r="E402" t="s">
        <v>293</v>
      </c>
      <c r="F402" s="25">
        <v>77650.928899999999</v>
      </c>
    </row>
    <row r="403" spans="2:6" x14ac:dyDescent="0.35">
      <c r="B403" s="3" t="s">
        <v>454</v>
      </c>
      <c r="C403" s="25">
        <v>220824.87760000001</v>
      </c>
      <c r="E403" t="s">
        <v>402</v>
      </c>
      <c r="F403" s="25">
        <v>77350.907999999967</v>
      </c>
    </row>
    <row r="404" spans="2:6" x14ac:dyDescent="0.35">
      <c r="B404" s="3" t="s">
        <v>455</v>
      </c>
      <c r="C404" s="25">
        <v>328292.28870000003</v>
      </c>
      <c r="E404" t="s">
        <v>149</v>
      </c>
      <c r="F404" s="25">
        <v>77316.653899999961</v>
      </c>
    </row>
    <row r="405" spans="2:6" x14ac:dyDescent="0.35">
      <c r="B405" s="3" t="s">
        <v>456</v>
      </c>
      <c r="C405" s="25">
        <v>289234.50840000005</v>
      </c>
      <c r="E405" t="s">
        <v>451</v>
      </c>
      <c r="F405" s="25">
        <v>76813.79859999998</v>
      </c>
    </row>
    <row r="406" spans="2:6" x14ac:dyDescent="0.35">
      <c r="B406" s="3" t="s">
        <v>457</v>
      </c>
      <c r="C406" s="25">
        <v>105404.27320000001</v>
      </c>
      <c r="E406" t="s">
        <v>481</v>
      </c>
      <c r="F406" s="25">
        <v>74713.548399999971</v>
      </c>
    </row>
    <row r="407" spans="2:6" x14ac:dyDescent="0.35">
      <c r="B407" s="3" t="s">
        <v>458</v>
      </c>
      <c r="C407" s="25">
        <v>57323.7039</v>
      </c>
      <c r="E407" t="s">
        <v>498</v>
      </c>
      <c r="F407" s="25">
        <v>74373.047399999996</v>
      </c>
    </row>
    <row r="408" spans="2:6" x14ac:dyDescent="0.35">
      <c r="B408" s="3" t="s">
        <v>459</v>
      </c>
      <c r="C408" s="25">
        <v>234003.08739999999</v>
      </c>
      <c r="E408" t="s">
        <v>469</v>
      </c>
      <c r="F408" s="25">
        <v>73708.411299999949</v>
      </c>
    </row>
    <row r="409" spans="2:6" x14ac:dyDescent="0.35">
      <c r="B409" s="3" t="s">
        <v>460</v>
      </c>
      <c r="C409" s="25">
        <v>214583.36600000001</v>
      </c>
      <c r="E409" t="s">
        <v>407</v>
      </c>
      <c r="F409" s="25">
        <v>71566.109599999967</v>
      </c>
    </row>
    <row r="410" spans="2:6" x14ac:dyDescent="0.35">
      <c r="B410" s="3" t="s">
        <v>461</v>
      </c>
      <c r="C410" s="25">
        <v>109292.53670000001</v>
      </c>
      <c r="E410" t="s">
        <v>410</v>
      </c>
      <c r="F410" s="25">
        <v>70116.117900000012</v>
      </c>
    </row>
    <row r="411" spans="2:6" x14ac:dyDescent="0.35">
      <c r="B411" s="3" t="s">
        <v>462</v>
      </c>
      <c r="C411" s="25">
        <v>115237.71759999999</v>
      </c>
      <c r="E411" t="s">
        <v>512</v>
      </c>
      <c r="F411" s="25">
        <v>69818.780899999983</v>
      </c>
    </row>
    <row r="412" spans="2:6" x14ac:dyDescent="0.35">
      <c r="B412" s="3" t="s">
        <v>463</v>
      </c>
      <c r="C412" s="25">
        <v>294837.65210000001</v>
      </c>
      <c r="E412" t="s">
        <v>134</v>
      </c>
      <c r="F412" s="25">
        <v>69583.155899999998</v>
      </c>
    </row>
    <row r="413" spans="2:6" x14ac:dyDescent="0.35">
      <c r="B413" s="3" t="s">
        <v>464</v>
      </c>
      <c r="C413" s="25">
        <v>12346.59060000001</v>
      </c>
      <c r="E413" t="s">
        <v>182</v>
      </c>
      <c r="F413" s="25">
        <v>69560.930100000012</v>
      </c>
    </row>
    <row r="414" spans="2:6" x14ac:dyDescent="0.35">
      <c r="B414" s="3" t="s">
        <v>465</v>
      </c>
      <c r="C414" s="25">
        <v>49773.683299999982</v>
      </c>
      <c r="E414" t="s">
        <v>421</v>
      </c>
      <c r="F414" s="25">
        <v>68739.184000000008</v>
      </c>
    </row>
    <row r="415" spans="2:6" x14ac:dyDescent="0.35">
      <c r="B415" s="3" t="s">
        <v>466</v>
      </c>
      <c r="C415" s="25">
        <v>202914.32979999998</v>
      </c>
      <c r="E415" t="s">
        <v>494</v>
      </c>
      <c r="F415" s="25">
        <v>68725.263999999966</v>
      </c>
    </row>
    <row r="416" spans="2:6" x14ac:dyDescent="0.35">
      <c r="B416" s="3" t="s">
        <v>467</v>
      </c>
      <c r="C416" s="25">
        <v>114395.79170000002</v>
      </c>
      <c r="E416" t="s">
        <v>409</v>
      </c>
      <c r="F416" s="25">
        <v>67789.780399999989</v>
      </c>
    </row>
    <row r="417" spans="2:6" x14ac:dyDescent="0.35">
      <c r="B417" s="3" t="s">
        <v>468</v>
      </c>
      <c r="C417" s="25">
        <v>219335.0969</v>
      </c>
      <c r="E417" t="s">
        <v>344</v>
      </c>
      <c r="F417" s="25">
        <v>67723.037400000001</v>
      </c>
    </row>
    <row r="418" spans="2:6" x14ac:dyDescent="0.35">
      <c r="B418" s="3" t="s">
        <v>469</v>
      </c>
      <c r="C418" s="25">
        <v>73708.411299999949</v>
      </c>
      <c r="E418" t="s">
        <v>500</v>
      </c>
      <c r="F418" s="25">
        <v>66895.466400000034</v>
      </c>
    </row>
    <row r="419" spans="2:6" x14ac:dyDescent="0.35">
      <c r="B419" s="3" t="s">
        <v>470</v>
      </c>
      <c r="C419" s="25">
        <v>176952.38859999995</v>
      </c>
      <c r="E419" t="s">
        <v>280</v>
      </c>
      <c r="F419" s="25">
        <v>66833.324999999968</v>
      </c>
    </row>
    <row r="420" spans="2:6" x14ac:dyDescent="0.35">
      <c r="B420" s="3" t="s">
        <v>471</v>
      </c>
      <c r="C420" s="25">
        <v>17214.534200000006</v>
      </c>
      <c r="E420" t="s">
        <v>231</v>
      </c>
      <c r="F420" s="25">
        <v>66696.274099999966</v>
      </c>
    </row>
    <row r="421" spans="2:6" x14ac:dyDescent="0.35">
      <c r="B421" s="3" t="s">
        <v>472</v>
      </c>
      <c r="C421" s="25">
        <v>155116.78049999996</v>
      </c>
      <c r="E421" t="s">
        <v>281</v>
      </c>
      <c r="F421" s="25">
        <v>65442.696499999984</v>
      </c>
    </row>
    <row r="422" spans="2:6" x14ac:dyDescent="0.35">
      <c r="B422" s="3" t="s">
        <v>473</v>
      </c>
      <c r="C422" s="25">
        <v>81352.862199999989</v>
      </c>
      <c r="E422" t="s">
        <v>509</v>
      </c>
      <c r="F422" s="25">
        <v>63749.217999999986</v>
      </c>
    </row>
    <row r="423" spans="2:6" x14ac:dyDescent="0.35">
      <c r="B423" s="3" t="s">
        <v>474</v>
      </c>
      <c r="C423" s="25">
        <v>357845.99979999999</v>
      </c>
      <c r="E423" t="s">
        <v>485</v>
      </c>
      <c r="F423" s="25">
        <v>63692.880299999975</v>
      </c>
    </row>
    <row r="424" spans="2:6" x14ac:dyDescent="0.35">
      <c r="B424" s="3" t="s">
        <v>475</v>
      </c>
      <c r="C424" s="25">
        <v>123665.0855</v>
      </c>
      <c r="E424" t="s">
        <v>446</v>
      </c>
      <c r="F424" s="25">
        <v>62771.844599999997</v>
      </c>
    </row>
    <row r="425" spans="2:6" x14ac:dyDescent="0.35">
      <c r="B425" s="3" t="s">
        <v>476</v>
      </c>
      <c r="C425" s="25">
        <v>112560.7934</v>
      </c>
      <c r="E425" t="s">
        <v>404</v>
      </c>
      <c r="F425" s="25">
        <v>61027.727399999989</v>
      </c>
    </row>
    <row r="426" spans="2:6" x14ac:dyDescent="0.35">
      <c r="B426" s="3" t="s">
        <v>477</v>
      </c>
      <c r="C426" s="25">
        <v>7455.1583999999875</v>
      </c>
      <c r="E426" t="s">
        <v>428</v>
      </c>
      <c r="F426" s="25">
        <v>58804.909600000006</v>
      </c>
    </row>
    <row r="427" spans="2:6" x14ac:dyDescent="0.35">
      <c r="B427" s="3" t="s">
        <v>478</v>
      </c>
      <c r="C427" s="25">
        <v>126865.64570000001</v>
      </c>
      <c r="E427" t="s">
        <v>216</v>
      </c>
      <c r="F427" s="25">
        <v>57438.978300000002</v>
      </c>
    </row>
    <row r="428" spans="2:6" x14ac:dyDescent="0.35">
      <c r="B428" s="3" t="s">
        <v>479</v>
      </c>
      <c r="C428" s="25">
        <v>159931.23289999997</v>
      </c>
      <c r="E428" t="s">
        <v>458</v>
      </c>
      <c r="F428" s="25">
        <v>57323.7039</v>
      </c>
    </row>
    <row r="429" spans="2:6" x14ac:dyDescent="0.35">
      <c r="B429" s="3" t="s">
        <v>480</v>
      </c>
      <c r="C429" s="25">
        <v>96925.093200000003</v>
      </c>
      <c r="E429" t="s">
        <v>348</v>
      </c>
      <c r="F429" s="25">
        <v>57247.545099999996</v>
      </c>
    </row>
    <row r="430" spans="2:6" x14ac:dyDescent="0.35">
      <c r="B430" s="3" t="s">
        <v>481</v>
      </c>
      <c r="C430" s="25">
        <v>74713.548399999971</v>
      </c>
      <c r="E430" t="s">
        <v>301</v>
      </c>
      <c r="F430" s="25">
        <v>56026.508699999991</v>
      </c>
    </row>
    <row r="431" spans="2:6" x14ac:dyDescent="0.35">
      <c r="B431" s="3" t="s">
        <v>482</v>
      </c>
      <c r="C431" s="25">
        <v>257040.37929999997</v>
      </c>
      <c r="E431" t="s">
        <v>245</v>
      </c>
      <c r="F431" s="25">
        <v>55569.173199999997</v>
      </c>
    </row>
    <row r="432" spans="2:6" x14ac:dyDescent="0.35">
      <c r="B432" s="3" t="s">
        <v>483</v>
      </c>
      <c r="C432" s="25">
        <v>28764.216700000019</v>
      </c>
      <c r="E432" t="s">
        <v>308</v>
      </c>
      <c r="F432" s="25">
        <v>55354.019199999995</v>
      </c>
    </row>
    <row r="433" spans="2:6" x14ac:dyDescent="0.35">
      <c r="B433" s="3" t="s">
        <v>484</v>
      </c>
      <c r="C433" s="25">
        <v>43539.629299999979</v>
      </c>
      <c r="E433" t="s">
        <v>298</v>
      </c>
      <c r="F433" s="25">
        <v>51462.5501</v>
      </c>
    </row>
    <row r="434" spans="2:6" x14ac:dyDescent="0.35">
      <c r="B434" s="3" t="s">
        <v>485</v>
      </c>
      <c r="C434" s="25">
        <v>63692.880299999975</v>
      </c>
      <c r="E434" t="s">
        <v>465</v>
      </c>
      <c r="F434" s="25">
        <v>49773.683299999982</v>
      </c>
    </row>
    <row r="435" spans="2:6" x14ac:dyDescent="0.35">
      <c r="B435" s="3" t="s">
        <v>486</v>
      </c>
      <c r="C435" s="25">
        <v>12626.446200000002</v>
      </c>
      <c r="E435" t="s">
        <v>236</v>
      </c>
      <c r="F435" s="25">
        <v>48682.33199999998</v>
      </c>
    </row>
    <row r="436" spans="2:6" x14ac:dyDescent="0.35">
      <c r="B436" s="3" t="s">
        <v>487</v>
      </c>
      <c r="C436" s="25">
        <v>182357.44999999995</v>
      </c>
      <c r="E436" t="s">
        <v>349</v>
      </c>
      <c r="F436" s="25">
        <v>48338.216500000002</v>
      </c>
    </row>
    <row r="437" spans="2:6" x14ac:dyDescent="0.35">
      <c r="B437" s="3" t="s">
        <v>488</v>
      </c>
      <c r="C437" s="25">
        <v>78612.627999999997</v>
      </c>
      <c r="E437" t="s">
        <v>341</v>
      </c>
      <c r="F437" s="25">
        <v>46902.942999999999</v>
      </c>
    </row>
    <row r="438" spans="2:6" x14ac:dyDescent="0.35">
      <c r="B438" s="3" t="s">
        <v>489</v>
      </c>
      <c r="C438" s="25">
        <v>162728.90679999997</v>
      </c>
      <c r="E438" t="s">
        <v>496</v>
      </c>
      <c r="F438" s="25">
        <v>46627.807099999984</v>
      </c>
    </row>
    <row r="439" spans="2:6" x14ac:dyDescent="0.35">
      <c r="B439" s="3" t="s">
        <v>490</v>
      </c>
      <c r="C439" s="25">
        <v>109428.84169999996</v>
      </c>
      <c r="E439" t="s">
        <v>405</v>
      </c>
      <c r="F439" s="25">
        <v>43610.862699999983</v>
      </c>
    </row>
    <row r="440" spans="2:6" x14ac:dyDescent="0.35">
      <c r="B440" s="3" t="s">
        <v>491</v>
      </c>
      <c r="C440" s="25">
        <v>211746.69880000001</v>
      </c>
      <c r="E440" t="s">
        <v>484</v>
      </c>
      <c r="F440" s="25">
        <v>43539.629299999979</v>
      </c>
    </row>
    <row r="441" spans="2:6" x14ac:dyDescent="0.35">
      <c r="B441" s="3" t="s">
        <v>492</v>
      </c>
      <c r="C441" s="25">
        <v>11865.762400000016</v>
      </c>
      <c r="E441" t="s">
        <v>513</v>
      </c>
      <c r="F441" s="25">
        <v>43532.286599999956</v>
      </c>
    </row>
    <row r="442" spans="2:6" x14ac:dyDescent="0.35">
      <c r="B442" s="3" t="s">
        <v>493</v>
      </c>
      <c r="C442" s="25">
        <v>41517.790399999991</v>
      </c>
      <c r="E442" t="s">
        <v>131</v>
      </c>
      <c r="F442" s="25">
        <v>42725.041400000002</v>
      </c>
    </row>
    <row r="443" spans="2:6" x14ac:dyDescent="0.35">
      <c r="B443" s="3" t="s">
        <v>494</v>
      </c>
      <c r="C443" s="25">
        <v>68725.263999999966</v>
      </c>
      <c r="E443" t="s">
        <v>493</v>
      </c>
      <c r="F443" s="25">
        <v>41517.790399999991</v>
      </c>
    </row>
    <row r="444" spans="2:6" x14ac:dyDescent="0.35">
      <c r="B444" s="3" t="s">
        <v>495</v>
      </c>
      <c r="C444" s="25">
        <v>106402.36390000005</v>
      </c>
      <c r="E444" t="s">
        <v>241</v>
      </c>
      <c r="F444" s="25">
        <v>41250.612699999998</v>
      </c>
    </row>
    <row r="445" spans="2:6" x14ac:dyDescent="0.35">
      <c r="B445" s="3" t="s">
        <v>496</v>
      </c>
      <c r="C445" s="25">
        <v>46627.807099999984</v>
      </c>
      <c r="E445" t="s">
        <v>275</v>
      </c>
      <c r="F445" s="25">
        <v>40287.613400000002</v>
      </c>
    </row>
    <row r="446" spans="2:6" x14ac:dyDescent="0.35">
      <c r="B446" s="3" t="s">
        <v>497</v>
      </c>
      <c r="C446" s="25">
        <v>20284.801200000009</v>
      </c>
      <c r="E446" t="s">
        <v>420</v>
      </c>
      <c r="F446" s="25">
        <v>39742.404299999995</v>
      </c>
    </row>
    <row r="447" spans="2:6" x14ac:dyDescent="0.35">
      <c r="B447" s="3" t="s">
        <v>498</v>
      </c>
      <c r="C447" s="25">
        <v>74373.047399999996</v>
      </c>
      <c r="E447" t="s">
        <v>385</v>
      </c>
      <c r="F447" s="25">
        <v>37752.564899999998</v>
      </c>
    </row>
    <row r="448" spans="2:6" x14ac:dyDescent="0.35">
      <c r="B448" s="3" t="s">
        <v>499</v>
      </c>
      <c r="C448" s="25">
        <v>37513.27180000001</v>
      </c>
      <c r="E448" t="s">
        <v>499</v>
      </c>
      <c r="F448" s="25">
        <v>37513.27180000001</v>
      </c>
    </row>
    <row r="449" spans="2:6" x14ac:dyDescent="0.35">
      <c r="B449" s="3" t="s">
        <v>500</v>
      </c>
      <c r="C449" s="25">
        <v>66895.466400000034</v>
      </c>
      <c r="E449" t="s">
        <v>164</v>
      </c>
      <c r="F449" s="25">
        <v>35204.981399999975</v>
      </c>
    </row>
    <row r="450" spans="2:6" x14ac:dyDescent="0.35">
      <c r="B450" s="3" t="s">
        <v>501</v>
      </c>
      <c r="C450" s="25">
        <v>173396.86890000003</v>
      </c>
      <c r="E450" t="s">
        <v>294</v>
      </c>
      <c r="F450" s="25">
        <v>34323.514800000004</v>
      </c>
    </row>
    <row r="451" spans="2:6" x14ac:dyDescent="0.35">
      <c r="B451" s="3" t="s">
        <v>502</v>
      </c>
      <c r="C451" s="25">
        <v>17702.336799999994</v>
      </c>
      <c r="E451" t="s">
        <v>483</v>
      </c>
      <c r="F451" s="25">
        <v>28764.216700000019</v>
      </c>
    </row>
    <row r="452" spans="2:6" x14ac:dyDescent="0.35">
      <c r="B452" s="3" t="s">
        <v>503</v>
      </c>
      <c r="C452" s="25">
        <v>177875.33819999997</v>
      </c>
      <c r="E452" t="s">
        <v>516</v>
      </c>
      <c r="F452" s="25">
        <v>28526.574599999989</v>
      </c>
    </row>
    <row r="453" spans="2:6" x14ac:dyDescent="0.35">
      <c r="B453" s="3" t="s">
        <v>504</v>
      </c>
      <c r="C453" s="25">
        <v>20805.362599999993</v>
      </c>
      <c r="E453" t="s">
        <v>504</v>
      </c>
      <c r="F453" s="25">
        <v>20805.362599999993</v>
      </c>
    </row>
    <row r="454" spans="2:6" x14ac:dyDescent="0.35">
      <c r="B454" s="3" t="s">
        <v>505</v>
      </c>
      <c r="C454" s="25">
        <v>280487.91439999995</v>
      </c>
      <c r="E454" t="s">
        <v>497</v>
      </c>
      <c r="F454" s="25">
        <v>20284.801200000009</v>
      </c>
    </row>
    <row r="455" spans="2:6" x14ac:dyDescent="0.35">
      <c r="B455" s="3" t="s">
        <v>506</v>
      </c>
      <c r="C455" s="25">
        <v>250043.70019999999</v>
      </c>
      <c r="E455" t="s">
        <v>185</v>
      </c>
      <c r="F455" s="25">
        <v>18016.873199999991</v>
      </c>
    </row>
    <row r="456" spans="2:6" x14ac:dyDescent="0.35">
      <c r="B456" s="3" t="s">
        <v>507</v>
      </c>
      <c r="C456" s="25">
        <v>179167.9143</v>
      </c>
      <c r="E456" t="s">
        <v>502</v>
      </c>
      <c r="F456" s="25">
        <v>17702.336799999994</v>
      </c>
    </row>
    <row r="457" spans="2:6" x14ac:dyDescent="0.35">
      <c r="B457" s="3" t="s">
        <v>508</v>
      </c>
      <c r="C457" s="25">
        <v>202259.05600000001</v>
      </c>
      <c r="E457" t="s">
        <v>339</v>
      </c>
      <c r="F457" s="25">
        <v>17367.864900000004</v>
      </c>
    </row>
    <row r="458" spans="2:6" x14ac:dyDescent="0.35">
      <c r="B458" s="3" t="s">
        <v>509</v>
      </c>
      <c r="C458" s="25">
        <v>63749.217999999986</v>
      </c>
      <c r="E458" t="s">
        <v>471</v>
      </c>
      <c r="F458" s="25">
        <v>17214.534200000006</v>
      </c>
    </row>
    <row r="459" spans="2:6" x14ac:dyDescent="0.35">
      <c r="B459" s="3" t="s">
        <v>510</v>
      </c>
      <c r="C459" s="25">
        <v>115005.5644</v>
      </c>
      <c r="E459" t="s">
        <v>359</v>
      </c>
      <c r="F459" s="25">
        <v>13198.868400000005</v>
      </c>
    </row>
    <row r="460" spans="2:6" x14ac:dyDescent="0.35">
      <c r="B460" s="3" t="s">
        <v>511</v>
      </c>
      <c r="C460" s="25">
        <v>175952.9178</v>
      </c>
      <c r="E460" t="s">
        <v>486</v>
      </c>
      <c r="F460" s="25">
        <v>12626.446200000002</v>
      </c>
    </row>
    <row r="461" spans="2:6" x14ac:dyDescent="0.35">
      <c r="B461" s="3" t="s">
        <v>512</v>
      </c>
      <c r="C461" s="25">
        <v>69818.780899999983</v>
      </c>
      <c r="E461" t="s">
        <v>464</v>
      </c>
      <c r="F461" s="25">
        <v>12346.59060000001</v>
      </c>
    </row>
    <row r="462" spans="2:6" x14ac:dyDescent="0.35">
      <c r="B462" s="3" t="s">
        <v>513</v>
      </c>
      <c r="C462" s="25">
        <v>43532.286599999956</v>
      </c>
      <c r="E462" t="s">
        <v>492</v>
      </c>
      <c r="F462" s="25">
        <v>11865.762400000016</v>
      </c>
    </row>
    <row r="463" spans="2:6" x14ac:dyDescent="0.35">
      <c r="B463" s="3" t="s">
        <v>514</v>
      </c>
      <c r="C463" s="25">
        <v>127425.49199999998</v>
      </c>
      <c r="E463" t="s">
        <v>269</v>
      </c>
      <c r="F463" s="25">
        <v>9924.9551999999967</v>
      </c>
    </row>
    <row r="464" spans="2:6" x14ac:dyDescent="0.35">
      <c r="B464" s="3" t="s">
        <v>515</v>
      </c>
      <c r="C464" s="25">
        <v>130176.21889999998</v>
      </c>
      <c r="E464" t="s">
        <v>282</v>
      </c>
      <c r="F464" s="25">
        <v>8692.9700000000066</v>
      </c>
    </row>
    <row r="465" spans="2:6" x14ac:dyDescent="0.35">
      <c r="B465" s="3" t="s">
        <v>516</v>
      </c>
      <c r="C465" s="25">
        <v>28526.574599999989</v>
      </c>
      <c r="E465" t="s">
        <v>477</v>
      </c>
      <c r="F465" s="25">
        <v>7455.1583999999875</v>
      </c>
    </row>
    <row r="466" spans="2:6" x14ac:dyDescent="0.35">
      <c r="B466" s="3" t="s">
        <v>517</v>
      </c>
      <c r="C466" s="25">
        <v>88940.805200000003</v>
      </c>
      <c r="E466" t="s">
        <v>299</v>
      </c>
      <c r="F466" s="25">
        <v>3679.7864</v>
      </c>
    </row>
    <row r="467" spans="2:6" x14ac:dyDescent="0.35">
      <c r="B467" s="3" t="s">
        <v>35</v>
      </c>
      <c r="C467" s="25">
        <v>75621273.939299926</v>
      </c>
    </row>
  </sheetData>
  <autoFilter ref="E66:F466" xr:uid="{6AB27FB3-AB53-406F-AE78-195C85E97F70}">
    <sortState xmlns:xlrd2="http://schemas.microsoft.com/office/spreadsheetml/2017/richdata2" ref="E67:F464">
      <sortCondition descending="1" ref="F66:F466"/>
    </sortState>
  </autoFilter>
  <mergeCells count="7">
    <mergeCell ref="U47:U50"/>
    <mergeCell ref="U51:U54"/>
    <mergeCell ref="V32:Y32"/>
    <mergeCell ref="V38:Y38"/>
    <mergeCell ref="C1:F1"/>
    <mergeCell ref="G1:J1"/>
    <mergeCell ref="K1:Q1"/>
  </mergeCells>
  <pageMargins left="0.7" right="0.7" top="0.75" bottom="0.75" header="0.3" footer="0.3"/>
  <ignoredErrors>
    <ignoredError sqref="A3:A28 T3" numberStoredAsText="1"/>
    <ignoredError sqref="M14:R38" formula="1"/>
  </ignoredError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AB6CE-2384-443C-8B1C-FF1FEA03A9D4}">
  <dimension ref="A1:C25"/>
  <sheetViews>
    <sheetView workbookViewId="0">
      <selection activeCell="D3" sqref="D3"/>
    </sheetView>
  </sheetViews>
  <sheetFormatPr defaultRowHeight="14.5" x14ac:dyDescent="0.35"/>
  <cols>
    <col min="2" max="2" width="11" bestFit="1" customWidth="1"/>
    <col min="3" max="3" width="12.1796875" bestFit="1" customWidth="1"/>
  </cols>
  <sheetData>
    <row r="1" spans="1:3" x14ac:dyDescent="0.35">
      <c r="B1" s="5" t="s">
        <v>518</v>
      </c>
      <c r="C1" s="5" t="s">
        <v>519</v>
      </c>
    </row>
    <row r="2" spans="1:3" x14ac:dyDescent="0.35">
      <c r="A2" s="5" t="s">
        <v>520</v>
      </c>
      <c r="B2" s="5" t="s">
        <v>260</v>
      </c>
      <c r="C2" s="24">
        <v>648786.07559999998</v>
      </c>
    </row>
    <row r="3" spans="1:3" x14ac:dyDescent="0.35">
      <c r="A3" s="5" t="s">
        <v>520</v>
      </c>
      <c r="B3" s="5" t="s">
        <v>369</v>
      </c>
      <c r="C3" s="24">
        <v>601251.69340000011</v>
      </c>
    </row>
    <row r="4" spans="1:3" x14ac:dyDescent="0.35">
      <c r="A4" s="5" t="s">
        <v>520</v>
      </c>
      <c r="B4" s="5" t="s">
        <v>202</v>
      </c>
      <c r="C4" s="24">
        <v>486560.46480000007</v>
      </c>
    </row>
    <row r="5" spans="1:3" x14ac:dyDescent="0.35">
      <c r="A5" s="5" t="s">
        <v>520</v>
      </c>
      <c r="B5" s="5" t="s">
        <v>225</v>
      </c>
      <c r="C5" s="24">
        <v>472042.32709999994</v>
      </c>
    </row>
    <row r="6" spans="1:3" x14ac:dyDescent="0.35">
      <c r="A6" s="5" t="s">
        <v>26</v>
      </c>
      <c r="B6" s="5" t="s">
        <v>202</v>
      </c>
      <c r="C6" s="24">
        <v>486560.46480000007</v>
      </c>
    </row>
    <row r="7" spans="1:3" x14ac:dyDescent="0.35">
      <c r="A7" s="5" t="s">
        <v>26</v>
      </c>
      <c r="B7" s="5" t="s">
        <v>378</v>
      </c>
      <c r="C7" s="24">
        <v>438456.94390000001</v>
      </c>
    </row>
    <row r="8" spans="1:3" x14ac:dyDescent="0.35">
      <c r="A8" s="5" t="s">
        <v>26</v>
      </c>
      <c r="B8" s="5" t="s">
        <v>267</v>
      </c>
      <c r="C8" s="24">
        <v>422725.52400000009</v>
      </c>
    </row>
    <row r="9" spans="1:3" x14ac:dyDescent="0.35">
      <c r="A9" s="5" t="s">
        <v>26</v>
      </c>
      <c r="B9" s="5" t="s">
        <v>283</v>
      </c>
      <c r="C9" s="24">
        <v>417515.57329999999</v>
      </c>
    </row>
    <row r="10" spans="1:3" x14ac:dyDescent="0.35">
      <c r="A10" s="5" t="s">
        <v>26</v>
      </c>
      <c r="B10" s="5" t="s">
        <v>160</v>
      </c>
      <c r="C10" s="24">
        <v>401090.68569999997</v>
      </c>
    </row>
    <row r="11" spans="1:3" x14ac:dyDescent="0.35">
      <c r="A11" s="5" t="s">
        <v>31</v>
      </c>
      <c r="B11" s="5" t="s">
        <v>260</v>
      </c>
      <c r="C11" s="24">
        <v>648786.07559999998</v>
      </c>
    </row>
    <row r="12" spans="1:3" x14ac:dyDescent="0.35">
      <c r="A12" s="5" t="s">
        <v>31</v>
      </c>
      <c r="B12" s="5" t="s">
        <v>174</v>
      </c>
      <c r="C12" s="24">
        <v>429902.53069999994</v>
      </c>
    </row>
    <row r="13" spans="1:3" x14ac:dyDescent="0.35">
      <c r="A13" s="5" t="s">
        <v>31</v>
      </c>
      <c r="B13" s="5" t="s">
        <v>259</v>
      </c>
      <c r="C13" s="24">
        <v>403301.82750000007</v>
      </c>
    </row>
    <row r="14" spans="1:3" x14ac:dyDescent="0.35">
      <c r="A14" s="5" t="s">
        <v>31</v>
      </c>
      <c r="B14" s="5" t="s">
        <v>453</v>
      </c>
      <c r="C14" s="24">
        <v>400334.37450000003</v>
      </c>
    </row>
    <row r="15" spans="1:3" x14ac:dyDescent="0.35">
      <c r="A15" s="5" t="s">
        <v>31</v>
      </c>
      <c r="B15" s="5" t="s">
        <v>408</v>
      </c>
      <c r="C15" s="24">
        <v>363324.71269999997</v>
      </c>
    </row>
    <row r="16" spans="1:3" x14ac:dyDescent="0.35">
      <c r="A16" s="5" t="s">
        <v>16</v>
      </c>
      <c r="B16" s="5" t="s">
        <v>225</v>
      </c>
      <c r="C16" s="24">
        <v>472042.32709999994</v>
      </c>
    </row>
    <row r="17" spans="1:3" x14ac:dyDescent="0.35">
      <c r="A17" s="5" t="s">
        <v>16</v>
      </c>
      <c r="B17" s="5" t="s">
        <v>240</v>
      </c>
      <c r="C17" s="24">
        <v>425902.12449999998</v>
      </c>
    </row>
    <row r="18" spans="1:3" x14ac:dyDescent="0.35">
      <c r="A18" s="5" t="s">
        <v>16</v>
      </c>
      <c r="B18" s="5" t="s">
        <v>234</v>
      </c>
      <c r="C18" s="24">
        <v>417533.50939999998</v>
      </c>
    </row>
    <row r="19" spans="1:3" x14ac:dyDescent="0.35">
      <c r="A19" s="5" t="s">
        <v>16</v>
      </c>
      <c r="B19" s="5" t="s">
        <v>438</v>
      </c>
      <c r="C19" s="24">
        <v>389723.00510000007</v>
      </c>
    </row>
    <row r="20" spans="1:3" x14ac:dyDescent="0.35">
      <c r="A20" s="5" t="s">
        <v>16</v>
      </c>
      <c r="B20" s="5" t="s">
        <v>331</v>
      </c>
      <c r="C20" s="24">
        <v>369549.93689999997</v>
      </c>
    </row>
    <row r="21" spans="1:3" x14ac:dyDescent="0.35">
      <c r="A21" s="5" t="s">
        <v>24</v>
      </c>
      <c r="B21" s="5" t="s">
        <v>369</v>
      </c>
      <c r="C21" s="24">
        <v>601251.69340000011</v>
      </c>
    </row>
    <row r="22" spans="1:3" x14ac:dyDescent="0.35">
      <c r="A22" s="5" t="s">
        <v>24</v>
      </c>
      <c r="B22" s="5" t="s">
        <v>262</v>
      </c>
      <c r="C22" s="24">
        <v>599806.03930000006</v>
      </c>
    </row>
    <row r="23" spans="1:3" x14ac:dyDescent="0.35">
      <c r="A23" s="5" t="s">
        <v>24</v>
      </c>
      <c r="B23" s="5" t="s">
        <v>218</v>
      </c>
      <c r="C23" s="24">
        <v>516489.6997</v>
      </c>
    </row>
    <row r="24" spans="1:3" x14ac:dyDescent="0.35">
      <c r="A24" s="5" t="s">
        <v>24</v>
      </c>
      <c r="B24" s="5" t="s">
        <v>161</v>
      </c>
      <c r="C24" s="24">
        <v>509225.85119999998</v>
      </c>
    </row>
    <row r="25" spans="1:3" x14ac:dyDescent="0.35">
      <c r="A25" s="5" t="s">
        <v>24</v>
      </c>
      <c r="B25" s="5" t="s">
        <v>276</v>
      </c>
      <c r="C25" s="24">
        <v>447333.31419999996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6A76C-0D6D-4EB1-A104-55F7644F3ABF}">
  <dimension ref="A1:AD38"/>
  <sheetViews>
    <sheetView topLeftCell="L1" workbookViewId="0">
      <selection activeCell="L2" sqref="A1:XFD2"/>
    </sheetView>
  </sheetViews>
  <sheetFormatPr defaultRowHeight="14.5" x14ac:dyDescent="0.35"/>
  <cols>
    <col min="1" max="1" width="11.26953125" bestFit="1" customWidth="1"/>
    <col min="2" max="2" width="11.7265625" bestFit="1" customWidth="1"/>
    <col min="3" max="3" width="14.81640625" bestFit="1" customWidth="1"/>
    <col min="4" max="4" width="13.81640625" bestFit="1" customWidth="1"/>
    <col min="6" max="6" width="16.08984375" bestFit="1" customWidth="1"/>
    <col min="7" max="7" width="9.54296875" bestFit="1" customWidth="1"/>
    <col min="8" max="8" width="10.1796875" bestFit="1" customWidth="1"/>
    <col min="14" max="14" width="12.1796875" bestFit="1" customWidth="1"/>
    <col min="15" max="15" width="13.81640625" bestFit="1" customWidth="1"/>
    <col min="16" max="17" width="11.26953125" customWidth="1"/>
    <col min="18" max="18" width="12.54296875" bestFit="1" customWidth="1"/>
    <col min="19" max="20" width="13.81640625" bestFit="1" customWidth="1"/>
    <col min="22" max="22" width="10.1796875" bestFit="1" customWidth="1"/>
    <col min="23" max="23" width="12.54296875" bestFit="1" customWidth="1"/>
    <col min="26" max="26" width="12.90625" bestFit="1" customWidth="1"/>
    <col min="27" max="27" width="25.90625" bestFit="1" customWidth="1"/>
    <col min="28" max="28" width="22.90625" bestFit="1" customWidth="1"/>
    <col min="29" max="29" width="11.36328125" customWidth="1"/>
    <col min="30" max="30" width="20.7265625" bestFit="1" customWidth="1"/>
  </cols>
  <sheetData>
    <row r="1" spans="1:30" x14ac:dyDescent="0.35">
      <c r="N1" s="103" t="s">
        <v>79</v>
      </c>
      <c r="O1" s="103"/>
      <c r="P1" s="103"/>
      <c r="Q1" s="103"/>
      <c r="R1" s="103"/>
      <c r="S1" s="103" t="s">
        <v>10</v>
      </c>
      <c r="T1" s="103"/>
      <c r="U1" s="103"/>
      <c r="V1" s="103"/>
      <c r="W1" s="103"/>
    </row>
    <row r="2" spans="1:30" x14ac:dyDescent="0.35">
      <c r="B2" s="6" t="s">
        <v>78</v>
      </c>
      <c r="C2" s="6" t="s">
        <v>4</v>
      </c>
      <c r="D2" s="6" t="s">
        <v>77</v>
      </c>
      <c r="E2" s="6" t="s">
        <v>71</v>
      </c>
      <c r="F2" s="6" t="s">
        <v>80</v>
      </c>
      <c r="G2" s="6" t="s">
        <v>81</v>
      </c>
      <c r="L2" s="20" t="s">
        <v>44</v>
      </c>
      <c r="M2" s="39" t="s">
        <v>57</v>
      </c>
      <c r="N2" s="6" t="s">
        <v>77</v>
      </c>
      <c r="O2" s="6" t="s">
        <v>82</v>
      </c>
      <c r="P2" s="6" t="s">
        <v>71</v>
      </c>
      <c r="Q2" s="6" t="s">
        <v>81</v>
      </c>
      <c r="R2" s="6" t="s">
        <v>83</v>
      </c>
      <c r="S2" s="6" t="s">
        <v>77</v>
      </c>
      <c r="T2" s="6" t="s">
        <v>82</v>
      </c>
      <c r="U2" s="6" t="s">
        <v>71</v>
      </c>
      <c r="V2" s="6" t="s">
        <v>81</v>
      </c>
      <c r="W2" s="6" t="s">
        <v>83</v>
      </c>
    </row>
    <row r="3" spans="1:30" x14ac:dyDescent="0.35">
      <c r="A3" s="5" t="s">
        <v>79</v>
      </c>
      <c r="B3" s="26">
        <v>0</v>
      </c>
      <c r="C3" s="24">
        <f>SUMIF(sales_data_1[Discount],B3,sales_data_1[Sales_Amount])</f>
        <v>22077435.343357023</v>
      </c>
      <c r="D3" s="24">
        <f>SUMIF(sales_data_1[Discount],B3,sales_data_1[Profit_Margin])</f>
        <v>3201446.2600000044</v>
      </c>
      <c r="E3" s="5">
        <f>SUMIF(sales_data_1[Discount],B3,sales_data_1[Quantity_Sold])</f>
        <v>6583</v>
      </c>
      <c r="F3" s="24">
        <f>C3/$E$3</f>
        <v>3353.7042903474135</v>
      </c>
      <c r="G3" s="24">
        <f>D3/$E$3</f>
        <v>486.32025824092426</v>
      </c>
      <c r="L3" s="17" t="s">
        <v>60</v>
      </c>
      <c r="M3" s="23" t="s">
        <v>45</v>
      </c>
      <c r="N3" s="24">
        <f>SUMIFS(sales_data_1[Profit_Margin],sales_data_1[Discount], 0,sales_data_1[Year],"2022",sales_data_1[month],M3)</f>
        <v>41900.319999999992</v>
      </c>
      <c r="O3" s="24">
        <f>SUMIFS(sales_data_1[Sales_Amount],sales_data_1[Discount], 0,sales_data_1[Year],"2022",sales_data_1[month],M3)</f>
        <v>304299.17010790453</v>
      </c>
      <c r="P3" s="5">
        <f>SUMIFS(sales_data_1[Quantity_Sold],sales_data_1[Discount], 0,sales_data_1[Year],"2022",sales_data_1[month],M3)</f>
        <v>89</v>
      </c>
      <c r="Q3" s="34">
        <f>N3/$P3</f>
        <v>470.79011235955045</v>
      </c>
      <c r="R3" s="34">
        <f>O3/$P3</f>
        <v>3419.0917989652194</v>
      </c>
      <c r="S3" s="24">
        <f>SUMIFS(sales_data_1[Profit_Margin], sales_data_1[Discount], "&gt;0", sales_data_1[Year], "2022", sales_data_1[month], M3)</f>
        <v>2880394.1191000016</v>
      </c>
      <c r="T3" s="24">
        <f>SUMIFS(sales_data_1[Sales_Amount], sales_data_1[Discount], "&gt;0", sales_data_1[Year], "2022", sales_data_1[month], M3)</f>
        <v>6657683.9542176109</v>
      </c>
      <c r="U3" s="5">
        <f>SUMIFS(sales_data_1[Quantity_Sold], sales_data_1[Discount], "&gt;0", sales_data_1[Year], "2022", sales_data_1[month], M3)</f>
        <v>2122</v>
      </c>
      <c r="V3" s="34">
        <f>S3/$U3</f>
        <v>1357.3959090951939</v>
      </c>
      <c r="W3" s="34">
        <f>T3/$U3</f>
        <v>3137.4570943532567</v>
      </c>
      <c r="Z3" s="2" t="s">
        <v>34</v>
      </c>
      <c r="AA3" t="s">
        <v>91</v>
      </c>
      <c r="AB3" t="s">
        <v>90</v>
      </c>
    </row>
    <row r="4" spans="1:30" x14ac:dyDescent="0.35">
      <c r="A4" s="94" t="s">
        <v>10</v>
      </c>
      <c r="B4" s="26">
        <v>0.01</v>
      </c>
      <c r="C4" s="24">
        <f>SUMIF(sales_data_1[Discount],B4,sales_data_1[Sales_Amount])</f>
        <v>28247816.760666866</v>
      </c>
      <c r="D4" s="24">
        <f>SUMIF(sales_data_1[Discount],B4,sales_data_1[Profit_Margin])</f>
        <v>3942492.8691999963</v>
      </c>
      <c r="E4" s="5">
        <f>SUMIF(sales_data_1[Discount],B4,sales_data_1[Quantity_Sold])</f>
        <v>8387</v>
      </c>
      <c r="F4" s="24">
        <f t="shared" ref="F4:F33" si="0">C4/$E$3</f>
        <v>4291.0248762975643</v>
      </c>
      <c r="G4" s="24">
        <f t="shared" ref="G4:G33" si="1">D4/$E$3</f>
        <v>598.88999987847433</v>
      </c>
      <c r="H4" s="25">
        <f>AVERAGE(F4:F33)</f>
        <v>1117.8690987503064</v>
      </c>
      <c r="I4" s="25">
        <f>AVERAGE(G4:G33)</f>
        <v>366.70123894526307</v>
      </c>
      <c r="L4" s="4"/>
      <c r="M4" s="23" t="s">
        <v>46</v>
      </c>
      <c r="N4" s="24">
        <f>SUMIFS(sales_data_1[Profit_Margin],sales_data_1[Discount], 0,sales_data_1[Year],"2022",sales_data_1[month],M4)</f>
        <v>172649.2</v>
      </c>
      <c r="O4" s="24">
        <f>SUMIFS(sales_data_1[Sales_Amount],sales_data_1[Discount], 0,sales_data_1[Year],"2022",sales_data_1[month],M4)</f>
        <v>481345.06808574335</v>
      </c>
      <c r="P4" s="5">
        <f>SUMIFS(sales_data_1[Quantity_Sold],sales_data_1[Discount], 0,sales_data_1[Year],"2022",sales_data_1[month],M4)</f>
        <v>142</v>
      </c>
      <c r="Q4" s="34">
        <f t="shared" ref="Q4:Q38" si="2">N4/$P4</f>
        <v>1215.8394366197183</v>
      </c>
      <c r="R4" s="34">
        <f t="shared" ref="R4:R38" si="3">O4/$P4</f>
        <v>3389.7540006038262</v>
      </c>
      <c r="S4" s="24">
        <f>SUMIFS(sales_data_1[Profit_Margin], sales_data_1[Discount], "&gt;0", sales_data_1[Year], "2022", sales_data_1[month], M4)</f>
        <v>2763026.4710999997</v>
      </c>
      <c r="T4" s="24">
        <f>SUMIFS(sales_data_1[Sales_Amount], sales_data_1[Discount], "&gt;0", sales_data_1[Year], "2022", sales_data_1[month], M4)</f>
        <v>7447282.2468824573</v>
      </c>
      <c r="U4" s="5">
        <f>SUMIFS(sales_data_1[Quantity_Sold], sales_data_1[Discount], "&gt;0", sales_data_1[Year], "2022", sales_data_1[month], M4)</f>
        <v>2461</v>
      </c>
      <c r="V4" s="34">
        <f t="shared" ref="V4:V38" si="4">S4/U4</f>
        <v>1122.7250999999999</v>
      </c>
      <c r="W4" s="34">
        <f t="shared" ref="W4:W38" si="5">T4/$U4</f>
        <v>3026.1203766283857</v>
      </c>
      <c r="Z4" s="3">
        <v>2022</v>
      </c>
      <c r="AA4" s="25">
        <v>1843.8834048257349</v>
      </c>
      <c r="AB4" s="25">
        <v>3512.519901697945</v>
      </c>
    </row>
    <row r="5" spans="1:30" x14ac:dyDescent="0.35">
      <c r="A5" s="94"/>
      <c r="B5" s="26">
        <v>0.02</v>
      </c>
      <c r="C5" s="24">
        <f>SUMIF(sales_data_1[Discount],B5,sales_data_1[Sales_Amount])</f>
        <v>20817698.754743036</v>
      </c>
      <c r="D5" s="24">
        <f>SUMIF(sales_data_1[Discount],B5,sales_data_1[Profit_Margin])</f>
        <v>3808283.9383999985</v>
      </c>
      <c r="E5" s="5">
        <f>SUMIF(sales_data_1[Discount],B5,sales_data_1[Quantity_Sold])</f>
        <v>6423</v>
      </c>
      <c r="F5" s="24">
        <f t="shared" si="0"/>
        <v>3162.3422079208622</v>
      </c>
      <c r="G5" s="24">
        <f t="shared" si="1"/>
        <v>578.50280091143827</v>
      </c>
      <c r="L5" s="4"/>
      <c r="M5" s="23" t="s">
        <v>47</v>
      </c>
      <c r="N5" s="24">
        <f>SUMIFS(sales_data_1[Profit_Margin],sales_data_1[Discount], 0,sales_data_1[Year],"2022",sales_data_1[month],M5)</f>
        <v>173363.30000000005</v>
      </c>
      <c r="O5" s="24">
        <f>SUMIFS(sales_data_1[Sales_Amount],sales_data_1[Discount], 0,sales_data_1[Year],"2022",sales_data_1[month],M5)</f>
        <v>769090.1132582156</v>
      </c>
      <c r="P5" s="5">
        <f>SUMIFS(sales_data_1[Quantity_Sold],sales_data_1[Discount], 0,sales_data_1[Year],"2022",sales_data_1[month],M5)</f>
        <v>194</v>
      </c>
      <c r="Q5" s="34">
        <f t="shared" si="2"/>
        <v>893.62525773195898</v>
      </c>
      <c r="R5" s="34">
        <f t="shared" si="3"/>
        <v>3964.3820271042041</v>
      </c>
      <c r="S5" s="24">
        <f>SUMIFS(sales_data_1[Profit_Margin], sales_data_1[Discount], "&gt;0", sales_data_1[Year], "2022", sales_data_1[month], M5)</f>
        <v>2534170.5961000007</v>
      </c>
      <c r="T5" s="24">
        <f>SUMIFS(sales_data_1[Sales_Amount], sales_data_1[Discount], "&gt;0", sales_data_1[Year], "2022", sales_data_1[month], M5)</f>
        <v>5737173.2876788946</v>
      </c>
      <c r="U5" s="5">
        <f>SUMIFS(sales_data_1[Quantity_Sold], sales_data_1[Discount], "&gt;0", sales_data_1[Year], "2022", sales_data_1[month], M5)</f>
        <v>1919</v>
      </c>
      <c r="V5" s="34">
        <f t="shared" si="4"/>
        <v>1320.568314799375</v>
      </c>
      <c r="W5" s="34">
        <f t="shared" si="5"/>
        <v>2989.6682061901483</v>
      </c>
      <c r="Z5" s="3">
        <v>2023</v>
      </c>
      <c r="AA5" s="25">
        <v>2481.1082748244712</v>
      </c>
      <c r="AB5" s="25">
        <v>2734.0943029087261</v>
      </c>
    </row>
    <row r="6" spans="1:30" x14ac:dyDescent="0.35">
      <c r="A6" s="94"/>
      <c r="B6" s="26">
        <v>0.03</v>
      </c>
      <c r="C6" s="24">
        <f>SUMIF(sales_data_1[Discount],B6,sales_data_1[Sales_Amount])</f>
        <v>17754855.744736947</v>
      </c>
      <c r="D6" s="24">
        <f>SUMIF(sales_data_1[Discount],B6,sales_data_1[Profit_Margin])</f>
        <v>3096306.8986999989</v>
      </c>
      <c r="E6" s="5">
        <f>SUMIF(sales_data_1[Discount],B6,sales_data_1[Quantity_Sold])</f>
        <v>5590</v>
      </c>
      <c r="F6" s="24">
        <f t="shared" si="0"/>
        <v>2697.0766739688511</v>
      </c>
      <c r="G6" s="24">
        <f t="shared" si="1"/>
        <v>470.34891367157815</v>
      </c>
      <c r="L6" s="4"/>
      <c r="M6" s="23" t="s">
        <v>48</v>
      </c>
      <c r="N6" s="24">
        <f>SUMIFS(sales_data_1[Profit_Margin],sales_data_1[Discount], 0,sales_data_1[Year],"2022",sales_data_1[month],M6)</f>
        <v>4574.0299999999734</v>
      </c>
      <c r="O6" s="24">
        <f>SUMIFS(sales_data_1[Sales_Amount],sales_data_1[Discount], 0,sales_data_1[Year],"2022",sales_data_1[month],M6)</f>
        <v>303194.78966571513</v>
      </c>
      <c r="P6" s="5">
        <f>SUMIFS(sales_data_1[Quantity_Sold],sales_data_1[Discount], 0,sales_data_1[Year],"2022",sales_data_1[month],M6)</f>
        <v>65</v>
      </c>
      <c r="Q6" s="34">
        <f t="shared" si="2"/>
        <v>70.369692307691892</v>
      </c>
      <c r="R6" s="34">
        <f t="shared" si="3"/>
        <v>4664.5352256263868</v>
      </c>
      <c r="S6" s="24">
        <f>SUMIFS(sales_data_1[Profit_Margin], sales_data_1[Discount], "&gt;0", sales_data_1[Year], "2022", sales_data_1[month], M6)</f>
        <v>3444142.5323000005</v>
      </c>
      <c r="T6" s="24">
        <f>SUMIFS(sales_data_1[Sales_Amount], sales_data_1[Discount], "&gt;0", sales_data_1[Year], "2022", sales_data_1[month], M6)</f>
        <v>8236488.1534665124</v>
      </c>
      <c r="U6" s="5">
        <f>SUMIFS(sales_data_1[Quantity_Sold], sales_data_1[Discount], "&gt;0", sales_data_1[Year], "2022", sales_data_1[month], M6)</f>
        <v>2561</v>
      </c>
      <c r="V6" s="34">
        <f t="shared" si="4"/>
        <v>1344.8428474424056</v>
      </c>
      <c r="W6" s="34">
        <f t="shared" si="5"/>
        <v>3216.1218873356161</v>
      </c>
      <c r="Z6" s="3">
        <v>2024</v>
      </c>
      <c r="AA6" s="25">
        <v>1823.6745814167407</v>
      </c>
      <c r="AB6" s="25">
        <v>3589.9868905243757</v>
      </c>
    </row>
    <row r="7" spans="1:30" x14ac:dyDescent="0.35">
      <c r="A7" s="94"/>
      <c r="B7" s="26">
        <v>0.04</v>
      </c>
      <c r="C7" s="24">
        <f>SUMIF(sales_data_1[Discount],B7,sales_data_1[Sales_Amount])</f>
        <v>20832180.20277933</v>
      </c>
      <c r="D7" s="24">
        <f>SUMIF(sales_data_1[Discount],B7,sales_data_1[Profit_Margin])</f>
        <v>4463385.4128000019</v>
      </c>
      <c r="E7" s="5">
        <f>SUMIF(sales_data_1[Discount],B7,sales_data_1[Quantity_Sold])</f>
        <v>6925</v>
      </c>
      <c r="F7" s="24">
        <f t="shared" si="0"/>
        <v>3164.5420329301733</v>
      </c>
      <c r="G7" s="24">
        <f t="shared" si="1"/>
        <v>678.016924320219</v>
      </c>
      <c r="L7" s="4"/>
      <c r="M7" s="23" t="s">
        <v>49</v>
      </c>
      <c r="N7" s="24">
        <f>SUMIFS(sales_data_1[Profit_Margin],sales_data_1[Discount], 0,sales_data_1[Year],"2022",sales_data_1[month],M7)</f>
        <v>151210.40999999997</v>
      </c>
      <c r="O7" s="24">
        <f>SUMIFS(sales_data_1[Sales_Amount],sales_data_1[Discount], 0,sales_data_1[Year],"2022",sales_data_1[month],M7)</f>
        <v>914166.78267516894</v>
      </c>
      <c r="P7" s="5">
        <f>SUMIFS(sales_data_1[Quantity_Sold],sales_data_1[Discount], 0,sales_data_1[Year],"2022",sales_data_1[month],M7)</f>
        <v>245</v>
      </c>
      <c r="Q7" s="34">
        <f t="shared" si="2"/>
        <v>617.18534693877541</v>
      </c>
      <c r="R7" s="34">
        <f t="shared" si="3"/>
        <v>3731.2929905108936</v>
      </c>
      <c r="S7" s="24">
        <f>SUMIFS(sales_data_1[Profit_Margin], sales_data_1[Discount], "&gt;0", sales_data_1[Year], "2022", sales_data_1[month], M7)</f>
        <v>2936544.0949000013</v>
      </c>
      <c r="T7" s="24">
        <f>SUMIFS(sales_data_1[Sales_Amount], sales_data_1[Discount], "&gt;0", sales_data_1[Year], "2022", sales_data_1[month], M7)</f>
        <v>7205880.5599690741</v>
      </c>
      <c r="U7" s="5">
        <f>SUMIFS(sales_data_1[Quantity_Sold], sales_data_1[Discount], "&gt;0", sales_data_1[Year], "2022", sales_data_1[month], M7)</f>
        <v>2348</v>
      </c>
      <c r="V7" s="34">
        <f t="shared" si="4"/>
        <v>1250.6576213373089</v>
      </c>
      <c r="W7" s="34">
        <f t="shared" si="5"/>
        <v>3068.9440204297589</v>
      </c>
      <c r="Z7" s="3" t="s">
        <v>35</v>
      </c>
      <c r="AA7" s="25">
        <v>2035.3745707149599</v>
      </c>
      <c r="AB7" s="25">
        <v>3296.5087542928472</v>
      </c>
    </row>
    <row r="8" spans="1:30" x14ac:dyDescent="0.35">
      <c r="A8" s="94"/>
      <c r="B8" s="26">
        <v>0.05</v>
      </c>
      <c r="C8" s="24">
        <f>SUMIF(sales_data_1[Discount],B8,sales_data_1[Sales_Amount])</f>
        <v>12412604.258071795</v>
      </c>
      <c r="D8" s="24">
        <f>SUMIF(sales_data_1[Discount],B8,sales_data_1[Profit_Margin])</f>
        <v>3031709.8490000009</v>
      </c>
      <c r="E8" s="5">
        <f>SUMIF(sales_data_1[Discount],B8,sales_data_1[Quantity_Sold])</f>
        <v>3772</v>
      </c>
      <c r="F8" s="24">
        <f t="shared" si="0"/>
        <v>1885.5543457499309</v>
      </c>
      <c r="G8" s="24">
        <f t="shared" si="1"/>
        <v>460.53620674464543</v>
      </c>
      <c r="L8" s="4"/>
      <c r="M8" s="23" t="s">
        <v>50</v>
      </c>
      <c r="N8" s="24">
        <f>SUMIFS(sales_data_1[Profit_Margin],sales_data_1[Discount], 0,sales_data_1[Year],"2022",sales_data_1[month],M8)</f>
        <v>320030.95</v>
      </c>
      <c r="O8" s="24">
        <f>SUMIFS(sales_data_1[Sales_Amount],sales_data_1[Discount], 0,sales_data_1[Year],"2022",sales_data_1[month],M8)</f>
        <v>544086.11996810569</v>
      </c>
      <c r="P8" s="5">
        <f>SUMIFS(sales_data_1[Quantity_Sold],sales_data_1[Discount], 0,sales_data_1[Year],"2022",sales_data_1[month],M8)</f>
        <v>169</v>
      </c>
      <c r="Q8" s="34">
        <f t="shared" si="2"/>
        <v>1893.6742603550297</v>
      </c>
      <c r="R8" s="34">
        <f t="shared" si="3"/>
        <v>3219.4444968526964</v>
      </c>
      <c r="S8" s="24">
        <f>SUMIFS(sales_data_1[Profit_Margin], sales_data_1[Discount], "&gt;0", sales_data_1[Year], "2022", sales_data_1[month], M8)</f>
        <v>2885765.2311999993</v>
      </c>
      <c r="T8" s="24">
        <f>SUMIFS(sales_data_1[Sales_Amount], sales_data_1[Discount], "&gt;0", sales_data_1[Year], "2022", sales_data_1[month], M8)</f>
        <v>7487969.210884151</v>
      </c>
      <c r="U8" s="5">
        <f>SUMIFS(sales_data_1[Quantity_Sold], sales_data_1[Discount], "&gt;0", sales_data_1[Year], "2022", sales_data_1[month], M8)</f>
        <v>2347</v>
      </c>
      <c r="V8" s="34">
        <f t="shared" si="4"/>
        <v>1229.5548492543669</v>
      </c>
      <c r="W8" s="34">
        <f t="shared" si="5"/>
        <v>3190.4427826519604</v>
      </c>
    </row>
    <row r="9" spans="1:30" x14ac:dyDescent="0.35">
      <c r="A9" s="94"/>
      <c r="B9" s="26">
        <v>0.06</v>
      </c>
      <c r="C9" s="24">
        <f>SUMIF(sales_data_1[Discount],B9,sales_data_1[Sales_Amount])</f>
        <v>8254560.1706000008</v>
      </c>
      <c r="D9" s="24">
        <f>SUMIF(sales_data_1[Discount],B9,sales_data_1[Profit_Margin])</f>
        <v>3286967.2405999992</v>
      </c>
      <c r="E9" s="5">
        <f>SUMIF(sales_data_1[Discount],B9,sales_data_1[Quantity_Sold])</f>
        <v>2603</v>
      </c>
      <c r="F9" s="24">
        <f t="shared" si="0"/>
        <v>1253.9207307610513</v>
      </c>
      <c r="G9" s="24">
        <f t="shared" si="1"/>
        <v>499.31144472125158</v>
      </c>
      <c r="L9" s="4"/>
      <c r="M9" s="23" t="s">
        <v>51</v>
      </c>
      <c r="N9" s="24">
        <f>SUMIFS(sales_data_1[Profit_Margin],sales_data_1[Discount], 0,sales_data_1[Year],"2022",sales_data_1[month],M9)</f>
        <v>206921.25</v>
      </c>
      <c r="O9" s="24">
        <f>SUMIFS(sales_data_1[Sales_Amount],sales_data_1[Discount], 0,sales_data_1[Year],"2022",sales_data_1[month],M9)</f>
        <v>527150.20342610602</v>
      </c>
      <c r="P9" s="5">
        <f>SUMIFS(sales_data_1[Quantity_Sold],sales_data_1[Discount], 0,sales_data_1[Year],"2022",sales_data_1[month],M9)</f>
        <v>158</v>
      </c>
      <c r="Q9" s="34">
        <f t="shared" si="2"/>
        <v>1309.628164556962</v>
      </c>
      <c r="R9" s="34">
        <f t="shared" si="3"/>
        <v>3336.3936925702915</v>
      </c>
      <c r="S9" s="24">
        <f>SUMIFS(sales_data_1[Profit_Margin], sales_data_1[Discount], "&gt;0", sales_data_1[Year], "2022", sales_data_1[month], M9)</f>
        <v>2728574.097599999</v>
      </c>
      <c r="T9" s="24">
        <f>SUMIFS(sales_data_1[Sales_Amount], sales_data_1[Discount], "&gt;0", sales_data_1[Year], "2022", sales_data_1[month], M9)</f>
        <v>6152405.6907163728</v>
      </c>
      <c r="U9" s="5">
        <f>SUMIFS(sales_data_1[Quantity_Sold], sales_data_1[Discount], "&gt;0", sales_data_1[Year], "2022", sales_data_1[month], M9)</f>
        <v>2055</v>
      </c>
      <c r="V9" s="34">
        <f t="shared" si="4"/>
        <v>1327.7732835036493</v>
      </c>
      <c r="W9" s="34">
        <f t="shared" si="5"/>
        <v>2993.8713823437338</v>
      </c>
    </row>
    <row r="10" spans="1:30" x14ac:dyDescent="0.35">
      <c r="A10" s="94"/>
      <c r="B10" s="26">
        <v>7.0000000000000007E-2</v>
      </c>
      <c r="C10" s="24">
        <f>SUMIF(sales_data_1[Discount],B10,sales_data_1[Sales_Amount])</f>
        <v>7248318.1556999991</v>
      </c>
      <c r="D10" s="24">
        <f>SUMIF(sales_data_1[Discount],B10,sales_data_1[Profit_Margin])</f>
        <v>3696397.2556999987</v>
      </c>
      <c r="E10" s="5">
        <f>SUMIF(sales_data_1[Discount],B10,sales_data_1[Quantity_Sold])</f>
        <v>2440</v>
      </c>
      <c r="F10" s="24">
        <f t="shared" si="0"/>
        <v>1101.0661029469845</v>
      </c>
      <c r="G10" s="24">
        <f t="shared" si="1"/>
        <v>561.50649486556267</v>
      </c>
      <c r="L10" s="4"/>
      <c r="M10" s="23" t="s">
        <v>52</v>
      </c>
      <c r="N10" s="24">
        <f>SUMIFS(sales_data_1[Profit_Margin],sales_data_1[Discount], 0,sales_data_1[Year],"2022",sales_data_1[month],M10)</f>
        <v>865.29999999999973</v>
      </c>
      <c r="O10" s="24">
        <f>SUMIFS(sales_data_1[Sales_Amount],sales_data_1[Discount], 0,sales_data_1[Year],"2022",sales_data_1[month],M10)</f>
        <v>4396.1390687155736</v>
      </c>
      <c r="P10" s="5">
        <f>SUMIFS(sales_data_1[Quantity_Sold],sales_data_1[Discount], 0,sales_data_1[Year],"2022",sales_data_1[month],M10)</f>
        <v>5</v>
      </c>
      <c r="Q10" s="34">
        <f t="shared" si="2"/>
        <v>173.05999999999995</v>
      </c>
      <c r="R10" s="34">
        <f t="shared" si="3"/>
        <v>879.22781374311467</v>
      </c>
      <c r="S10" s="24">
        <f>SUMIFS(sales_data_1[Profit_Margin], sales_data_1[Discount], "&gt;0", sales_data_1[Year], "2022", sales_data_1[month], M10)</f>
        <v>3001491.0803999989</v>
      </c>
      <c r="T10" s="24">
        <f>SUMIFS(sales_data_1[Sales_Amount], sales_data_1[Discount], "&gt;0", sales_data_1[Year], "2022", sales_data_1[month], M10)</f>
        <v>6407810.1217286838</v>
      </c>
      <c r="U10" s="5">
        <f>SUMIFS(sales_data_1[Quantity_Sold], sales_data_1[Discount], "&gt;0", sales_data_1[Year], "2022", sales_data_1[month], M10)</f>
        <v>2199</v>
      </c>
      <c r="V10" s="34">
        <f t="shared" si="4"/>
        <v>1364.9345522510228</v>
      </c>
      <c r="W10" s="34">
        <f t="shared" si="5"/>
        <v>2913.9654941922163</v>
      </c>
    </row>
    <row r="11" spans="1:30" x14ac:dyDescent="0.35">
      <c r="A11" s="94"/>
      <c r="B11" s="26">
        <v>0.08</v>
      </c>
      <c r="C11" s="24">
        <f>SUMIF(sales_data_1[Discount],B11,sales_data_1[Sales_Amount])</f>
        <v>7652852.6796000013</v>
      </c>
      <c r="D11" s="24">
        <f>SUMIF(sales_data_1[Discount],B11,sales_data_1[Profit_Margin])</f>
        <v>3126649.1496000001</v>
      </c>
      <c r="E11" s="5">
        <f>SUMIF(sales_data_1[Discount],B11,sales_data_1[Quantity_Sold])</f>
        <v>2426</v>
      </c>
      <c r="F11" s="24">
        <f t="shared" si="0"/>
        <v>1162.517496521343</v>
      </c>
      <c r="G11" s="24">
        <f t="shared" si="1"/>
        <v>474.95809655172417</v>
      </c>
      <c r="L11" s="4"/>
      <c r="M11" s="23" t="s">
        <v>53</v>
      </c>
      <c r="N11" s="24">
        <f>SUMIFS(sales_data_1[Profit_Margin],sales_data_1[Discount], 0,sales_data_1[Year],"2022",sales_data_1[month],M11)</f>
        <v>122358.26000000001</v>
      </c>
      <c r="O11" s="24">
        <f>SUMIFS(sales_data_1[Sales_Amount],sales_data_1[Discount], 0,sales_data_1[Year],"2022",sales_data_1[month],M11)</f>
        <v>245835.80081085861</v>
      </c>
      <c r="P11" s="5">
        <f>SUMIFS(sales_data_1[Quantity_Sold],sales_data_1[Discount], 0,sales_data_1[Year],"2022",sales_data_1[month],M11)</f>
        <v>80</v>
      </c>
      <c r="Q11" s="34">
        <f t="shared" si="2"/>
        <v>1529.4782500000001</v>
      </c>
      <c r="R11" s="34">
        <f t="shared" si="3"/>
        <v>3072.9475101357325</v>
      </c>
      <c r="S11" s="24">
        <f>SUMIFS(sales_data_1[Profit_Margin], sales_data_1[Discount], "&gt;0", sales_data_1[Year], "2022", sales_data_1[month], M11)</f>
        <v>2572419.9197000009</v>
      </c>
      <c r="T11" s="24">
        <f>SUMIFS(sales_data_1[Sales_Amount], sales_data_1[Discount], "&gt;0", sales_data_1[Year], "2022", sales_data_1[month], M11)</f>
        <v>6213635.7217329899</v>
      </c>
      <c r="U11" s="5">
        <f>SUMIFS(sales_data_1[Quantity_Sold], sales_data_1[Discount], "&gt;0", sales_data_1[Year], "2022", sales_data_1[month], M11)</f>
        <v>2023</v>
      </c>
      <c r="V11" s="34">
        <f t="shared" si="4"/>
        <v>1271.586712654474</v>
      </c>
      <c r="W11" s="34">
        <f t="shared" si="5"/>
        <v>3071.4956607676668</v>
      </c>
    </row>
    <row r="12" spans="1:30" x14ac:dyDescent="0.35">
      <c r="A12" s="94"/>
      <c r="B12" s="26">
        <v>0.09</v>
      </c>
      <c r="C12" s="24">
        <f>SUMIF(sales_data_1[Discount],B12,sales_data_1[Sales_Amount])</f>
        <v>6592590.9504000004</v>
      </c>
      <c r="D12" s="24">
        <f>SUMIF(sales_data_1[Discount],B12,sales_data_1[Profit_Margin])</f>
        <v>2436772.4204000006</v>
      </c>
      <c r="E12" s="5">
        <f>SUMIF(sales_data_1[Discount],B12,sales_data_1[Quantity_Sold])</f>
        <v>2165</v>
      </c>
      <c r="F12" s="24">
        <f t="shared" si="0"/>
        <v>1001.456926993772</v>
      </c>
      <c r="G12" s="24">
        <f t="shared" si="1"/>
        <v>370.16138848549303</v>
      </c>
      <c r="L12" s="4"/>
      <c r="M12" s="23" t="s">
        <v>54</v>
      </c>
      <c r="N12" s="24">
        <f>SUMIFS(sales_data_1[Profit_Margin],sales_data_1[Discount], 0,sales_data_1[Year],"2022",sales_data_1[month],M12)</f>
        <v>195137.43000000002</v>
      </c>
      <c r="O12" s="24">
        <f>SUMIFS(sales_data_1[Sales_Amount],sales_data_1[Discount], 0,sales_data_1[Year],"2022",sales_data_1[month],M12)</f>
        <v>691333.21082268842</v>
      </c>
      <c r="P12" s="5">
        <f>SUMIFS(sales_data_1[Quantity_Sold],sales_data_1[Discount], 0,sales_data_1[Year],"2022",sales_data_1[month],M12)</f>
        <v>246</v>
      </c>
      <c r="Q12" s="34">
        <f t="shared" si="2"/>
        <v>793.24158536585378</v>
      </c>
      <c r="R12" s="34">
        <f t="shared" si="3"/>
        <v>2810.2976049702779</v>
      </c>
      <c r="S12" s="24">
        <f>SUMIFS(sales_data_1[Profit_Margin], sales_data_1[Discount], "&gt;0", sales_data_1[Year], "2022", sales_data_1[month], M12)</f>
        <v>2663788.4013000014</v>
      </c>
      <c r="T12" s="24">
        <f>SUMIFS(sales_data_1[Sales_Amount], sales_data_1[Discount], "&gt;0", sales_data_1[Year], "2022", sales_data_1[month], M12)</f>
        <v>6702389.4724645773</v>
      </c>
      <c r="U12" s="5">
        <f>SUMIFS(sales_data_1[Quantity_Sold], sales_data_1[Discount], "&gt;0", sales_data_1[Year], "2022", sales_data_1[month], M12)</f>
        <v>2188</v>
      </c>
      <c r="V12" s="34">
        <f t="shared" si="4"/>
        <v>1217.4535654936021</v>
      </c>
      <c r="W12" s="34">
        <f t="shared" si="5"/>
        <v>3063.2493018576679</v>
      </c>
    </row>
    <row r="13" spans="1:30" x14ac:dyDescent="0.35">
      <c r="A13" s="94"/>
      <c r="B13" s="26">
        <v>0.1</v>
      </c>
      <c r="C13" s="24">
        <f>SUMIF(sales_data_1[Discount],B13,sales_data_1[Sales_Amount])</f>
        <v>4747823.2709999988</v>
      </c>
      <c r="D13" s="24">
        <f>SUMIF(sales_data_1[Discount],B13,sales_data_1[Profit_Margin])</f>
        <v>1912935.9010000005</v>
      </c>
      <c r="E13" s="5">
        <f>SUMIF(sales_data_1[Discount],B13,sales_data_1[Quantity_Sold])</f>
        <v>1740</v>
      </c>
      <c r="F13" s="24">
        <f t="shared" si="0"/>
        <v>721.22486267659099</v>
      </c>
      <c r="G13" s="24">
        <f t="shared" si="1"/>
        <v>290.58725520279518</v>
      </c>
      <c r="L13" s="4"/>
      <c r="M13" s="23" t="s">
        <v>55</v>
      </c>
      <c r="N13" s="24">
        <f>SUMIFS(sales_data_1[Profit_Margin],sales_data_1[Discount], 0,sales_data_1[Year],"2022",sales_data_1[month],M13)</f>
        <v>34.080000000001746</v>
      </c>
      <c r="O13" s="24">
        <f>SUMIFS(sales_data_1[Sales_Amount],sales_data_1[Discount], 0,sales_data_1[Year],"2022",sales_data_1[month],M13)</f>
        <v>35895.120000000003</v>
      </c>
      <c r="P13" s="5">
        <f>SUMIFS(sales_data_1[Quantity_Sold],sales_data_1[Discount], 0,sales_data_1[Year],"2022",sales_data_1[month],M13)</f>
        <v>8</v>
      </c>
      <c r="Q13" s="34">
        <f t="shared" si="2"/>
        <v>4.2600000000002183</v>
      </c>
      <c r="R13" s="34">
        <f t="shared" si="3"/>
        <v>4486.8900000000003</v>
      </c>
      <c r="S13" s="24">
        <f>SUMIFS(sales_data_1[Profit_Margin], sales_data_1[Discount], "&gt;0", sales_data_1[Year], "2022", sales_data_1[month], M13)</f>
        <v>2684018.3285000003</v>
      </c>
      <c r="T13" s="24">
        <f>SUMIFS(sales_data_1[Sales_Amount], sales_data_1[Discount], "&gt;0", sales_data_1[Year], "2022", sales_data_1[month], M13)</f>
        <v>7645104.5884234663</v>
      </c>
      <c r="U13" s="5">
        <f>SUMIFS(sales_data_1[Quantity_Sold], sales_data_1[Discount], "&gt;0", sales_data_1[Year], "2022", sales_data_1[month], M13)</f>
        <v>2459</v>
      </c>
      <c r="V13" s="34">
        <f t="shared" si="4"/>
        <v>1091.5080636437579</v>
      </c>
      <c r="W13" s="34">
        <f t="shared" si="5"/>
        <v>3109.0299261583841</v>
      </c>
    </row>
    <row r="14" spans="1:30" x14ac:dyDescent="0.35">
      <c r="A14" s="94"/>
      <c r="B14" s="26">
        <v>0.11</v>
      </c>
      <c r="C14" s="24">
        <f>SUMIF(sales_data_1[Discount],B14,sales_data_1[Sales_Amount])</f>
        <v>6703868.3692999994</v>
      </c>
      <c r="D14" s="24">
        <f>SUMIF(sales_data_1[Discount],B14,sales_data_1[Profit_Margin])</f>
        <v>2993359.2193</v>
      </c>
      <c r="E14" s="5">
        <f>SUMIF(sales_data_1[Discount],B14,sales_data_1[Quantity_Sold])</f>
        <v>2119</v>
      </c>
      <c r="F14" s="24">
        <f t="shared" si="0"/>
        <v>1018.3606819535165</v>
      </c>
      <c r="G14" s="24">
        <f t="shared" si="1"/>
        <v>454.71049966580586</v>
      </c>
      <c r="L14" s="4"/>
      <c r="M14" s="23" t="s">
        <v>56</v>
      </c>
      <c r="N14" s="24">
        <f>SUMIFS(sales_data_1[Profit_Margin],sales_data_1[Discount], 0,sales_data_1[Year],"2022",sales_data_1[month],M14)</f>
        <v>96368.169999999984</v>
      </c>
      <c r="O14" s="24">
        <f>SUMIFS(sales_data_1[Sales_Amount],sales_data_1[Discount], 0,sales_data_1[Year],"2022",sales_data_1[month],M14)</f>
        <v>245637.38024703716</v>
      </c>
      <c r="P14" s="5">
        <f>SUMIFS(sales_data_1[Quantity_Sold],sales_data_1[Discount], 0,sales_data_1[Year],"2022",sales_data_1[month],M14)</f>
        <v>79</v>
      </c>
      <c r="Q14" s="34">
        <f t="shared" si="2"/>
        <v>1219.8502531645568</v>
      </c>
      <c r="R14" s="34">
        <f t="shared" si="3"/>
        <v>3109.3339271776854</v>
      </c>
      <c r="S14" s="24">
        <f>SUMIFS(sales_data_1[Profit_Margin], sales_data_1[Discount], "&gt;0", sales_data_1[Year], "2022", sales_data_1[month], M14)</f>
        <v>2326928.8978999988</v>
      </c>
      <c r="T14" s="24">
        <f>SUMIFS(sales_data_1[Sales_Amount], sales_data_1[Discount], "&gt;0", sales_data_1[Year], "2022", sales_data_1[month], M14)</f>
        <v>6556796.3316234155</v>
      </c>
      <c r="U14" s="5">
        <f>SUMIFS(sales_data_1[Quantity_Sold], sales_data_1[Discount], "&gt;0", sales_data_1[Year], "2022", sales_data_1[month], M14)</f>
        <v>2107</v>
      </c>
      <c r="V14" s="34">
        <f t="shared" si="4"/>
        <v>1104.3801129093492</v>
      </c>
      <c r="W14" s="34">
        <f t="shared" si="5"/>
        <v>3111.9109310030449</v>
      </c>
    </row>
    <row r="15" spans="1:30" x14ac:dyDescent="0.35">
      <c r="A15" s="94"/>
      <c r="B15" s="26">
        <v>0.12</v>
      </c>
      <c r="C15" s="24">
        <f>SUMIF(sales_data_1[Discount],B15,sales_data_1[Sales_Amount])</f>
        <v>5445847.4751999984</v>
      </c>
      <c r="D15" s="24">
        <f>SUMIF(sales_data_1[Discount],B15,sales_data_1[Profit_Margin])</f>
        <v>2242826.4751999993</v>
      </c>
      <c r="E15" s="5">
        <f>SUMIF(sales_data_1[Discount],B15,sales_data_1[Quantity_Sold])</f>
        <v>1922</v>
      </c>
      <c r="F15" s="24">
        <f t="shared" si="0"/>
        <v>827.25922454807812</v>
      </c>
      <c r="G15" s="24">
        <f t="shared" si="1"/>
        <v>340.69975318243951</v>
      </c>
      <c r="L15" s="17" t="s">
        <v>59</v>
      </c>
      <c r="M15" s="23" t="s">
        <v>45</v>
      </c>
      <c r="N15" s="24">
        <f>SUMIFS(sales_data_1[Profit_Margin],sales_data_1[Discount], 0,sales_data_1[Year],"2023",sales_data_1[month],M15)</f>
        <v>65863.190000000017</v>
      </c>
      <c r="O15" s="24">
        <f>SUMIFS(sales_data_1[Sales_Amount],sales_data_1[Discount], 0,sales_data_1[Year],"2023",sales_data_1[month],M15)</f>
        <v>1190081.8358390841</v>
      </c>
      <c r="P15" s="5">
        <f>SUMIFS(sales_data_1[Quantity_Sold],sales_data_1[Discount], 0,sales_data_1[Year],"2023",sales_data_1[month],M15)</f>
        <v>395</v>
      </c>
      <c r="Q15" s="34">
        <f t="shared" si="2"/>
        <v>166.74225316455701</v>
      </c>
      <c r="R15" s="34">
        <f t="shared" si="3"/>
        <v>3012.8654071875549</v>
      </c>
      <c r="S15" s="24">
        <f>SUMIFS(sales_data_1[Profit_Margin], sales_data_1[Discount], "&gt;0", sales_data_1[Year], "2023", sales_data_1[month], M15)</f>
        <v>366732.30749999982</v>
      </c>
      <c r="T15" s="24">
        <f>SUMIFS(sales_data_1[Sales_Amount], sales_data_1[Discount], "&gt;0", sales_data_1[Year], "2023", sales_data_1[month], M15)</f>
        <v>6015397.9207725525</v>
      </c>
      <c r="U15" s="5">
        <f>SUMIFS(sales_data_1[Quantity_Sold], sales_data_1[Discount], "&gt;0", sales_data_1[Year], "2023", sales_data_1[month], M15)</f>
        <v>2077</v>
      </c>
      <c r="V15" s="34">
        <f t="shared" si="4"/>
        <v>176.56827515647561</v>
      </c>
      <c r="W15" s="34">
        <f t="shared" si="5"/>
        <v>2896.1954360965588</v>
      </c>
      <c r="Z15" s="45" t="s">
        <v>44</v>
      </c>
      <c r="AA15" s="45" t="s">
        <v>95</v>
      </c>
      <c r="AB15" s="45" t="s">
        <v>94</v>
      </c>
      <c r="AC15" s="45" t="s">
        <v>524</v>
      </c>
      <c r="AD15" s="45" t="s">
        <v>523</v>
      </c>
    </row>
    <row r="16" spans="1:30" x14ac:dyDescent="0.35">
      <c r="A16" s="94"/>
      <c r="B16" s="26">
        <v>0.13</v>
      </c>
      <c r="C16" s="24">
        <f>SUMIF(sales_data_1[Discount],B16,sales_data_1[Sales_Amount])</f>
        <v>3961886.109600001</v>
      </c>
      <c r="D16" s="24">
        <f>SUMIF(sales_data_1[Discount],B16,sales_data_1[Profit_Margin])</f>
        <v>1662665.0096000005</v>
      </c>
      <c r="E16" s="5">
        <f>SUMIF(sales_data_1[Discount],B16,sales_data_1[Quantity_Sold])</f>
        <v>1413</v>
      </c>
      <c r="F16" s="24">
        <f t="shared" si="0"/>
        <v>601.83595770925126</v>
      </c>
      <c r="G16" s="24">
        <f t="shared" si="1"/>
        <v>252.56949864803289</v>
      </c>
      <c r="L16" s="5"/>
      <c r="M16" s="23" t="s">
        <v>46</v>
      </c>
      <c r="N16" s="24">
        <f>SUMIFS(sales_data_1[Profit_Margin],sales_data_1[Discount], 0,sales_data_1[Year],"2023",sales_data_1[month],M16)</f>
        <v>46508.99</v>
      </c>
      <c r="O16" s="24">
        <f>SUMIFS(sales_data_1[Sales_Amount],sales_data_1[Discount], 0,sales_data_1[Year],"2023",sales_data_1[month],M16)</f>
        <v>1249337.7618413481</v>
      </c>
      <c r="P16" s="5">
        <f>SUMIFS(sales_data_1[Quantity_Sold],sales_data_1[Discount], 0,sales_data_1[Year],"2023",sales_data_1[month],M16)</f>
        <v>402</v>
      </c>
      <c r="Q16" s="34">
        <f t="shared" si="2"/>
        <v>115.69400497512437</v>
      </c>
      <c r="R16" s="34">
        <f t="shared" si="3"/>
        <v>3107.8053777147966</v>
      </c>
      <c r="S16" s="24">
        <f>SUMIFS(sales_data_1[Profit_Margin], sales_data_1[Discount], "&gt;0", sales_data_1[Year], "2023", sales_data_1[month], M16)</f>
        <v>285138.30449999991</v>
      </c>
      <c r="T16" s="24">
        <f>SUMIFS(sales_data_1[Sales_Amount], sales_data_1[Discount], "&gt;0", sales_data_1[Year], "2023", sales_data_1[month], M16)</f>
        <v>4232117.2941278219</v>
      </c>
      <c r="U16" s="5">
        <f>SUMIFS(sales_data_1[Quantity_Sold], sales_data_1[Discount], "&gt;0", sales_data_1[Year], "2023", sales_data_1[month], M16)</f>
        <v>1662</v>
      </c>
      <c r="V16" s="34">
        <f t="shared" si="4"/>
        <v>171.56336010830319</v>
      </c>
      <c r="W16" s="34">
        <f t="shared" si="5"/>
        <v>2546.4002973091588</v>
      </c>
      <c r="Z16" s="46">
        <v>2023</v>
      </c>
      <c r="AA16" s="24">
        <f>AVERAGE(Q15:Q26)</f>
        <v>138.08477108813813</v>
      </c>
      <c r="AB16" s="24">
        <f>AVERAGE(V15:V26)</f>
        <v>164.24596163430087</v>
      </c>
      <c r="AC16" s="47">
        <f>((AB16-AA16)/AA16)</f>
        <v>0.18945746399119073</v>
      </c>
      <c r="AD16" s="78" cm="1">
        <f t="array" ref="AD16">SUMPRODUCT((sales_data_1[Year]=2023) * sales_data_1[Discount], sales_data_1[Quantity_Sold]) / SUMIFS(sales_data_1[Quantity_Sold], sales_data_1[Year], 2023)</f>
        <v>4.8550122636284443E-2</v>
      </c>
    </row>
    <row r="17" spans="1:30" x14ac:dyDescent="0.35">
      <c r="A17" s="94"/>
      <c r="B17" s="26">
        <v>0.14000000000000001</v>
      </c>
      <c r="C17" s="24">
        <f>SUMIF(sales_data_1[Discount],B17,sales_data_1[Sales_Amount])</f>
        <v>6800162.7772000004</v>
      </c>
      <c r="D17" s="24">
        <f>SUMIF(sales_data_1[Discount],B17,sales_data_1[Profit_Margin])</f>
        <v>3293786.8971999991</v>
      </c>
      <c r="E17" s="5">
        <f>SUMIF(sales_data_1[Discount],B17,sales_data_1[Quantity_Sold])</f>
        <v>2515</v>
      </c>
      <c r="F17" s="24">
        <f t="shared" si="0"/>
        <v>1032.9884212668996</v>
      </c>
      <c r="G17" s="24">
        <f t="shared" si="1"/>
        <v>500.34739437946212</v>
      </c>
      <c r="L17" s="5"/>
      <c r="M17" s="23" t="s">
        <v>47</v>
      </c>
      <c r="N17" s="24">
        <f>SUMIFS(sales_data_1[Profit_Margin],sales_data_1[Discount], 0,sales_data_1[Year],"2023",sales_data_1[month],M17)</f>
        <v>25641.67000000002</v>
      </c>
      <c r="O17" s="24">
        <f>SUMIFS(sales_data_1[Sales_Amount],sales_data_1[Discount], 0,sales_data_1[Year],"2023",sales_data_1[month],M17)</f>
        <v>463416.35221546976</v>
      </c>
      <c r="P17" s="5">
        <f>SUMIFS(sales_data_1[Quantity_Sold],sales_data_1[Discount], 0,sales_data_1[Year],"2023",sales_data_1[month],M17)</f>
        <v>144</v>
      </c>
      <c r="Q17" s="34">
        <f t="shared" si="2"/>
        <v>178.06715277777792</v>
      </c>
      <c r="R17" s="34">
        <f t="shared" si="3"/>
        <v>3218.1691126074288</v>
      </c>
      <c r="S17" s="24">
        <f>SUMIFS(sales_data_1[Profit_Margin], sales_data_1[Discount], "&gt;0", sales_data_1[Year], "2023", sales_data_1[month], M17)</f>
        <v>290408.63970000006</v>
      </c>
      <c r="T17" s="24">
        <f>SUMIFS(sales_data_1[Sales_Amount], sales_data_1[Discount], "&gt;0", sales_data_1[Year], "2023", sales_data_1[month], M17)</f>
        <v>5333909.2315297276</v>
      </c>
      <c r="U17" s="5">
        <f>SUMIFS(sales_data_1[Quantity_Sold], sales_data_1[Discount], "&gt;0", sales_data_1[Year], "2023", sales_data_1[month], M17)</f>
        <v>1925</v>
      </c>
      <c r="V17" s="34">
        <f t="shared" si="4"/>
        <v>150.86163101298703</v>
      </c>
      <c r="W17" s="34">
        <f t="shared" si="5"/>
        <v>2770.8619384570015</v>
      </c>
      <c r="Z17" s="46">
        <v>2024</v>
      </c>
      <c r="AA17" s="24">
        <f>AVERAGE(Q27:Q38)</f>
        <v>845.11695452522224</v>
      </c>
      <c r="AB17" s="24">
        <f>AVERAGE(V27:V38)</f>
        <v>1342.5075190525902</v>
      </c>
      <c r="AC17" s="47">
        <f>((AB17-AA17)/AA17)</f>
        <v>0.58854642764420306</v>
      </c>
      <c r="AD17" s="78" cm="1">
        <f t="array" ref="AD17">SUMPRODUCT((sales_data_1[Year]=2024) * sales_data_1[Discount], sales_data_1[Quantity_Sold]) / SUMIFS(sales_data_1[Quantity_Sold], sales_data_1[Year], 2024)</f>
        <v>0.12464817296201061</v>
      </c>
    </row>
    <row r="18" spans="1:30" x14ac:dyDescent="0.35">
      <c r="A18" s="94"/>
      <c r="B18" s="26">
        <v>0.15</v>
      </c>
      <c r="C18" s="24">
        <f>SUMIF(sales_data_1[Discount],B18,sales_data_1[Sales_Amount])</f>
        <v>5788851.9510000013</v>
      </c>
      <c r="D18" s="24">
        <f>SUMIF(sales_data_1[Discount],B18,sales_data_1[Profit_Margin])</f>
        <v>2645851.0809999998</v>
      </c>
      <c r="E18" s="5">
        <f>SUMIF(sales_data_1[Discount],B18,sales_data_1[Quantity_Sold])</f>
        <v>2118</v>
      </c>
      <c r="F18" s="24">
        <f t="shared" si="0"/>
        <v>879.36380844599751</v>
      </c>
      <c r="G18" s="24">
        <f t="shared" si="1"/>
        <v>401.92178049521493</v>
      </c>
      <c r="L18" s="5"/>
      <c r="M18" s="23" t="s">
        <v>48</v>
      </c>
      <c r="N18" s="24">
        <f>SUMIFS(sales_data_1[Profit_Margin],sales_data_1[Discount], 0,sales_data_1[Year],"2023",sales_data_1[month],M18)</f>
        <v>41920.820000000022</v>
      </c>
      <c r="O18" s="24">
        <f>SUMIFS(sales_data_1[Sales_Amount],sales_data_1[Discount], 0,sales_data_1[Year],"2023",sales_data_1[month],M18)</f>
        <v>1035234.5294297051</v>
      </c>
      <c r="P18" s="5">
        <f>SUMIFS(sales_data_1[Quantity_Sold],sales_data_1[Discount], 0,sales_data_1[Year],"2023",sales_data_1[month],M18)</f>
        <v>288</v>
      </c>
      <c r="Q18" s="34">
        <f t="shared" si="2"/>
        <v>145.55840277777784</v>
      </c>
      <c r="R18" s="34">
        <f t="shared" si="3"/>
        <v>3594.5643382975873</v>
      </c>
      <c r="S18" s="24">
        <f>SUMIFS(sales_data_1[Profit_Margin], sales_data_1[Discount], "&gt;0", sales_data_1[Year], "2023", sales_data_1[month], M18)</f>
        <v>265999.37979999994</v>
      </c>
      <c r="T18" s="24">
        <f>SUMIFS(sales_data_1[Sales_Amount], sales_data_1[Discount], "&gt;0", sales_data_1[Year], "2023", sales_data_1[month], M18)</f>
        <v>4247284.9560169326</v>
      </c>
      <c r="U18" s="5">
        <f>SUMIFS(sales_data_1[Quantity_Sold], sales_data_1[Discount], "&gt;0", sales_data_1[Year], "2023", sales_data_1[month], M18)</f>
        <v>1689</v>
      </c>
      <c r="V18" s="34">
        <f t="shared" si="4"/>
        <v>157.48927164002365</v>
      </c>
      <c r="W18" s="34">
        <f t="shared" si="5"/>
        <v>2514.6743374878229</v>
      </c>
      <c r="AA18" s="25"/>
    </row>
    <row r="19" spans="1:30" x14ac:dyDescent="0.35">
      <c r="A19" s="94"/>
      <c r="B19" s="26">
        <v>0.16</v>
      </c>
      <c r="C19" s="24">
        <f>SUMIF(sales_data_1[Discount],B19,sales_data_1[Sales_Amount])</f>
        <v>6024805.7352</v>
      </c>
      <c r="D19" s="24">
        <f>SUMIF(sales_data_1[Discount],B19,sales_data_1[Profit_Margin])</f>
        <v>2763958.3551999973</v>
      </c>
      <c r="E19" s="5">
        <f>SUMIF(sales_data_1[Discount],B19,sales_data_1[Quantity_Sold])</f>
        <v>1977</v>
      </c>
      <c r="F19" s="24">
        <f t="shared" si="0"/>
        <v>915.20670442047697</v>
      </c>
      <c r="G19" s="24">
        <f t="shared" si="1"/>
        <v>419.86303436123308</v>
      </c>
      <c r="L19" s="5"/>
      <c r="M19" s="23" t="s">
        <v>49</v>
      </c>
      <c r="N19" s="24">
        <f>SUMIFS(sales_data_1[Profit_Margin],sales_data_1[Discount], 0,sales_data_1[Year],"2023",sales_data_1[month],M19)</f>
        <v>31893.24</v>
      </c>
      <c r="O19" s="24">
        <f>SUMIFS(sales_data_1[Sales_Amount],sales_data_1[Discount], 0,sales_data_1[Year],"2023",sales_data_1[month],M19)</f>
        <v>979574.5917568173</v>
      </c>
      <c r="P19" s="5">
        <f>SUMIFS(sales_data_1[Quantity_Sold],sales_data_1[Discount], 0,sales_data_1[Year],"2023",sales_data_1[month],M19)</f>
        <v>298</v>
      </c>
      <c r="Q19" s="34">
        <f t="shared" si="2"/>
        <v>107.02429530201343</v>
      </c>
      <c r="R19" s="34">
        <f t="shared" si="3"/>
        <v>3287.1630595866354</v>
      </c>
      <c r="S19" s="24">
        <f>SUMIFS(sales_data_1[Profit_Margin], sales_data_1[Discount], "&gt;0", sales_data_1[Year], "2023", sales_data_1[month], M19)</f>
        <v>282911.15140000003</v>
      </c>
      <c r="T19" s="24">
        <f>SUMIFS(sales_data_1[Sales_Amount], sales_data_1[Discount], "&gt;0", sales_data_1[Year], "2023", sales_data_1[month], M19)</f>
        <v>4644466.8291533748</v>
      </c>
      <c r="U19" s="5">
        <f>SUMIFS(sales_data_1[Quantity_Sold], sales_data_1[Discount], "&gt;0", sales_data_1[Year], "2023", sales_data_1[month], M19)</f>
        <v>1670</v>
      </c>
      <c r="V19" s="34">
        <f t="shared" si="4"/>
        <v>169.40787508982038</v>
      </c>
      <c r="W19" s="34">
        <f t="shared" si="5"/>
        <v>2781.1178617684877</v>
      </c>
    </row>
    <row r="20" spans="1:30" x14ac:dyDescent="0.35">
      <c r="A20" s="94"/>
      <c r="B20" s="26">
        <v>0.17</v>
      </c>
      <c r="C20" s="24">
        <f>SUMIF(sales_data_1[Discount],B20,sales_data_1[Sales_Amount])</f>
        <v>4201747.6365</v>
      </c>
      <c r="D20" s="24">
        <f>SUMIF(sales_data_1[Discount],B20,sales_data_1[Profit_Margin])</f>
        <v>2102537.5565000004</v>
      </c>
      <c r="E20" s="5">
        <f>SUMIF(sales_data_1[Discount],B20,sales_data_1[Quantity_Sold])</f>
        <v>1623</v>
      </c>
      <c r="F20" s="24">
        <f t="shared" si="0"/>
        <v>638.27246490961568</v>
      </c>
      <c r="G20" s="24">
        <f t="shared" si="1"/>
        <v>319.38896498556898</v>
      </c>
      <c r="L20" s="5"/>
      <c r="M20" s="23" t="s">
        <v>50</v>
      </c>
      <c r="N20" s="24">
        <f>SUMIFS(sales_data_1[Profit_Margin],sales_data_1[Discount], 0,sales_data_1[Year],"2023",sales_data_1[month],M20)</f>
        <v>39406.000000000029</v>
      </c>
      <c r="O20" s="24">
        <f>SUMIFS(sales_data_1[Sales_Amount],sales_data_1[Discount], 0,sales_data_1[Year],"2023",sales_data_1[month],M20)</f>
        <v>834312.70160681626</v>
      </c>
      <c r="P20" s="5">
        <f>SUMIFS(sales_data_1[Quantity_Sold],sales_data_1[Discount], 0,sales_data_1[Year],"2023",sales_data_1[month],M20)</f>
        <v>291</v>
      </c>
      <c r="Q20" s="34">
        <f t="shared" si="2"/>
        <v>135.41580756013755</v>
      </c>
      <c r="R20" s="34">
        <f t="shared" si="3"/>
        <v>2867.0539574117397</v>
      </c>
      <c r="S20" s="24">
        <f>SUMIFS(sales_data_1[Profit_Margin], sales_data_1[Discount], "&gt;0", sales_data_1[Year], "2023", sales_data_1[month], M20)</f>
        <v>328518.70499999996</v>
      </c>
      <c r="T20" s="24">
        <f>SUMIFS(sales_data_1[Sales_Amount], sales_data_1[Discount], "&gt;0", sales_data_1[Year], "2023", sales_data_1[month], M20)</f>
        <v>5072508.8489571083</v>
      </c>
      <c r="U20" s="5">
        <f>SUMIFS(sales_data_1[Quantity_Sold], sales_data_1[Discount], "&gt;0", sales_data_1[Year], "2023", sales_data_1[month], M20)</f>
        <v>1985</v>
      </c>
      <c r="V20" s="34">
        <f t="shared" si="4"/>
        <v>165.5006070528967</v>
      </c>
      <c r="W20" s="34">
        <f t="shared" si="5"/>
        <v>2555.4200750413643</v>
      </c>
    </row>
    <row r="21" spans="1:30" x14ac:dyDescent="0.35">
      <c r="A21" s="94"/>
      <c r="B21" s="26">
        <v>0.18</v>
      </c>
      <c r="C21" s="24">
        <f>SUMIF(sales_data_1[Discount],B21,sales_data_1[Sales_Amount])</f>
        <v>4591786.7426000005</v>
      </c>
      <c r="D21" s="24">
        <f>SUMIF(sales_data_1[Discount],B21,sales_data_1[Profit_Margin])</f>
        <v>2140879.3126000003</v>
      </c>
      <c r="E21" s="5">
        <f>SUMIF(sales_data_1[Discount],B21,sales_data_1[Quantity_Sold])</f>
        <v>1703</v>
      </c>
      <c r="F21" s="24">
        <f t="shared" si="0"/>
        <v>697.5219113777913</v>
      </c>
      <c r="G21" s="24">
        <f t="shared" si="1"/>
        <v>325.21332410754979</v>
      </c>
      <c r="L21" s="5"/>
      <c r="M21" s="23" t="s">
        <v>51</v>
      </c>
      <c r="N21" s="24">
        <f>SUMIFS(sales_data_1[Profit_Margin],sales_data_1[Discount], 0,sales_data_1[Year],"2023",sales_data_1[month],M21)</f>
        <v>22686.310000000012</v>
      </c>
      <c r="O21" s="24">
        <f>SUMIFS(sales_data_1[Sales_Amount],sales_data_1[Discount], 0,sales_data_1[Year],"2023",sales_data_1[month],M21)</f>
        <v>552986.00629592955</v>
      </c>
      <c r="P21" s="5">
        <f>SUMIFS(sales_data_1[Quantity_Sold],sales_data_1[Discount], 0,sales_data_1[Year],"2023",sales_data_1[month],M21)</f>
        <v>180</v>
      </c>
      <c r="Q21" s="34">
        <f t="shared" si="2"/>
        <v>126.03505555555563</v>
      </c>
      <c r="R21" s="34">
        <f t="shared" si="3"/>
        <v>3072.144479421831</v>
      </c>
      <c r="S21" s="24">
        <f>SUMIFS(sales_data_1[Profit_Margin], sales_data_1[Discount], "&gt;0", sales_data_1[Year], "2023", sales_data_1[month], M21)</f>
        <v>217290.95339999994</v>
      </c>
      <c r="T21" s="24">
        <f>SUMIFS(sales_data_1[Sales_Amount], sales_data_1[Discount], "&gt;0", sales_data_1[Year], "2023", sales_data_1[month], M21)</f>
        <v>3991853.1041551405</v>
      </c>
      <c r="U21" s="5">
        <f>SUMIFS(sales_data_1[Quantity_Sold], sales_data_1[Discount], "&gt;0", sales_data_1[Year], "2023", sales_data_1[month], M21)</f>
        <v>1423</v>
      </c>
      <c r="V21" s="34">
        <f t="shared" si="4"/>
        <v>152.69919423752631</v>
      </c>
      <c r="W21" s="34">
        <f t="shared" si="5"/>
        <v>2805.237599546831</v>
      </c>
    </row>
    <row r="22" spans="1:30" x14ac:dyDescent="0.35">
      <c r="A22" s="94"/>
      <c r="B22" s="26">
        <v>0.19</v>
      </c>
      <c r="C22" s="24">
        <f>SUMIF(sales_data_1[Discount],B22,sales_data_1[Sales_Amount])</f>
        <v>4006897.3970999988</v>
      </c>
      <c r="D22" s="24">
        <f>SUMIF(sales_data_1[Discount],B22,sales_data_1[Profit_Margin])</f>
        <v>2121298.4671000005</v>
      </c>
      <c r="E22" s="5">
        <f>SUMIF(sales_data_1[Discount],B22,sales_data_1[Quantity_Sold])</f>
        <v>1404</v>
      </c>
      <c r="F22" s="24">
        <f t="shared" si="0"/>
        <v>608.67346150691151</v>
      </c>
      <c r="G22" s="24">
        <f t="shared" si="1"/>
        <v>322.23886785660039</v>
      </c>
      <c r="L22" s="5"/>
      <c r="M22" s="23" t="s">
        <v>52</v>
      </c>
      <c r="N22" s="24">
        <f>SUMIFS(sales_data_1[Profit_Margin],sales_data_1[Discount], 0,sales_data_1[Year],"2023",sales_data_1[month],M22)</f>
        <v>37479.599999999999</v>
      </c>
      <c r="O22" s="24">
        <f>SUMIFS(sales_data_1[Sales_Amount],sales_data_1[Discount], 0,sales_data_1[Year],"2023",sales_data_1[month],M22)</f>
        <v>995905.2707279704</v>
      </c>
      <c r="P22" s="5">
        <f>SUMIFS(sales_data_1[Quantity_Sold],sales_data_1[Discount], 0,sales_data_1[Year],"2023",sales_data_1[month],M22)</f>
        <v>323</v>
      </c>
      <c r="Q22" s="34">
        <f t="shared" si="2"/>
        <v>116.03591331269349</v>
      </c>
      <c r="R22" s="34">
        <f t="shared" si="3"/>
        <v>3083.298051789382</v>
      </c>
      <c r="S22" s="24">
        <f>SUMIFS(sales_data_1[Profit_Margin], sales_data_1[Discount], "&gt;0", sales_data_1[Year], "2023", sales_data_1[month], M22)</f>
        <v>316965.68160000007</v>
      </c>
      <c r="T22" s="24">
        <f>SUMIFS(sales_data_1[Sales_Amount], sales_data_1[Discount], "&gt;0", sales_data_1[Year], "2023", sales_data_1[month], M22)</f>
        <v>5513961.146881042</v>
      </c>
      <c r="U22" s="5">
        <f>SUMIFS(sales_data_1[Quantity_Sold], sales_data_1[Discount], "&gt;0", sales_data_1[Year], "2023", sales_data_1[month], M22)</f>
        <v>2013</v>
      </c>
      <c r="V22" s="34">
        <f t="shared" si="4"/>
        <v>157.45935499254847</v>
      </c>
      <c r="W22" s="34">
        <f t="shared" si="5"/>
        <v>2739.1759298961956</v>
      </c>
    </row>
    <row r="23" spans="1:30" x14ac:dyDescent="0.35">
      <c r="A23" s="94"/>
      <c r="B23" s="26">
        <v>0.2</v>
      </c>
      <c r="C23" s="24">
        <f>SUMIF(sales_data_1[Discount],B23,sales_data_1[Sales_Amount])</f>
        <v>4358716.2079999996</v>
      </c>
      <c r="D23" s="24">
        <f>SUMIF(sales_data_1[Discount],B23,sales_data_1[Profit_Margin])</f>
        <v>1833286.8679999996</v>
      </c>
      <c r="E23" s="5">
        <f>SUMIF(sales_data_1[Discount],B23,sales_data_1[Quantity_Sold])</f>
        <v>1707</v>
      </c>
      <c r="F23" s="24">
        <f t="shared" si="0"/>
        <v>662.1169995442807</v>
      </c>
      <c r="G23" s="24">
        <f t="shared" si="1"/>
        <v>278.48805529393888</v>
      </c>
      <c r="L23" s="5"/>
      <c r="M23" s="23" t="s">
        <v>53</v>
      </c>
      <c r="N23" s="24">
        <f>SUMIFS(sales_data_1[Profit_Margin],sales_data_1[Discount], 0,sales_data_1[Year],"2023",sales_data_1[month],M23)</f>
        <v>36192.569999999978</v>
      </c>
      <c r="O23" s="24">
        <f>SUMIFS(sales_data_1[Sales_Amount],sales_data_1[Discount], 0,sales_data_1[Year],"2023",sales_data_1[month],M23)</f>
        <v>905410.12396447163</v>
      </c>
      <c r="P23" s="5">
        <f>SUMIFS(sales_data_1[Quantity_Sold],sales_data_1[Discount], 0,sales_data_1[Year],"2023",sales_data_1[month],M23)</f>
        <v>263</v>
      </c>
      <c r="Q23" s="34">
        <f t="shared" si="2"/>
        <v>137.61433460076037</v>
      </c>
      <c r="R23" s="34">
        <f t="shared" si="3"/>
        <v>3442.6240454922877</v>
      </c>
      <c r="S23" s="24">
        <f>SUMIFS(sales_data_1[Profit_Margin], sales_data_1[Discount], "&gt;0", sales_data_1[Year], "2023", sales_data_1[month], M23)</f>
        <v>249417.37629999977</v>
      </c>
      <c r="T23" s="24">
        <f>SUMIFS(sales_data_1[Sales_Amount], sales_data_1[Discount], "&gt;0", sales_data_1[Year], "2023", sales_data_1[month], M23)</f>
        <v>3463598.3022018834</v>
      </c>
      <c r="U23" s="5">
        <f>SUMIFS(sales_data_1[Quantity_Sold], sales_data_1[Discount], "&gt;0", sales_data_1[Year], "2023", sales_data_1[month], M23)</f>
        <v>1552</v>
      </c>
      <c r="V23" s="34">
        <f t="shared" si="4"/>
        <v>160.70707235824727</v>
      </c>
      <c r="W23" s="34">
        <f t="shared" si="5"/>
        <v>2231.6999369857494</v>
      </c>
    </row>
    <row r="24" spans="1:30" x14ac:dyDescent="0.35">
      <c r="A24" s="94"/>
      <c r="B24" s="26">
        <v>0.21</v>
      </c>
      <c r="C24" s="24">
        <f>SUMIF(sales_data_1[Discount],B24,sales_data_1[Sales_Amount])</f>
        <v>5507049.1727999989</v>
      </c>
      <c r="D24" s="24">
        <f>SUMIF(sales_data_1[Discount],B24,sales_data_1[Profit_Margin])</f>
        <v>2343360.8828000003</v>
      </c>
      <c r="E24" s="5">
        <f>SUMIF(sales_data_1[Discount],B24,sales_data_1[Quantity_Sold])</f>
        <v>1870</v>
      </c>
      <c r="F24" s="24">
        <f t="shared" si="0"/>
        <v>836.55615567370478</v>
      </c>
      <c r="G24" s="24">
        <f t="shared" si="1"/>
        <v>355.97157569497193</v>
      </c>
      <c r="L24" s="5"/>
      <c r="M24" s="23" t="s">
        <v>54</v>
      </c>
      <c r="N24" s="24">
        <f>SUMIFS(sales_data_1[Profit_Margin],sales_data_1[Discount], 0,sales_data_1[Year],"2023",sales_data_1[month],M24)</f>
        <v>69868.98000000004</v>
      </c>
      <c r="O24" s="24">
        <f>SUMIFS(sales_data_1[Sales_Amount],sales_data_1[Discount], 0,sales_data_1[Year],"2023",sales_data_1[month],M24)</f>
        <v>1616670.3949806511</v>
      </c>
      <c r="P24" s="5">
        <f>SUMIFS(sales_data_1[Quantity_Sold],sales_data_1[Discount], 0,sales_data_1[Year],"2023",sales_data_1[month],M24)</f>
        <v>552</v>
      </c>
      <c r="Q24" s="34">
        <f t="shared" si="2"/>
        <v>126.57423913043485</v>
      </c>
      <c r="R24" s="34">
        <f t="shared" si="3"/>
        <v>2928.7507155446579</v>
      </c>
      <c r="S24" s="24">
        <f>SUMIFS(sales_data_1[Profit_Margin], sales_data_1[Discount], "&gt;0", sales_data_1[Year], "2023", sales_data_1[month], M24)</f>
        <v>295528.66369999992</v>
      </c>
      <c r="T24" s="24">
        <f>SUMIFS(sales_data_1[Sales_Amount], sales_data_1[Discount], "&gt;0", sales_data_1[Year], "2023", sales_data_1[month], M24)</f>
        <v>4725436.0189836007</v>
      </c>
      <c r="U24" s="5">
        <f>SUMIFS(sales_data_1[Quantity_Sold], sales_data_1[Discount], "&gt;0", sales_data_1[Year], "2023", sales_data_1[month], M24)</f>
        <v>1834</v>
      </c>
      <c r="V24" s="34">
        <f t="shared" si="4"/>
        <v>161.13885697928021</v>
      </c>
      <c r="W24" s="34">
        <f t="shared" si="5"/>
        <v>2576.5736199474377</v>
      </c>
    </row>
    <row r="25" spans="1:30" x14ac:dyDescent="0.35">
      <c r="A25" s="94"/>
      <c r="B25" s="26">
        <v>0.22</v>
      </c>
      <c r="C25" s="24">
        <f>SUMIF(sales_data_1[Discount],B25,sales_data_1[Sales_Amount])</f>
        <v>3476764.4340000008</v>
      </c>
      <c r="D25" s="24">
        <f>SUMIF(sales_data_1[Discount],B25,sales_data_1[Profit_Margin])</f>
        <v>1727338.5139999997</v>
      </c>
      <c r="E25" s="5">
        <f>SUMIF(sales_data_1[Discount],B25,sales_data_1[Quantity_Sold])</f>
        <v>1384</v>
      </c>
      <c r="F25" s="24">
        <f t="shared" si="0"/>
        <v>528.1428579674922</v>
      </c>
      <c r="G25" s="24">
        <f t="shared" si="1"/>
        <v>262.3938195351663</v>
      </c>
      <c r="L25" s="5"/>
      <c r="M25" s="23" t="s">
        <v>55</v>
      </c>
      <c r="N25" s="24">
        <f>SUMIFS(sales_data_1[Profit_Margin],sales_data_1[Discount], 0,sales_data_1[Year],"2023",sales_data_1[month],M25)</f>
        <v>75379.349999999962</v>
      </c>
      <c r="O25" s="24">
        <f>SUMIFS(sales_data_1[Sales_Amount],sales_data_1[Discount], 0,sales_data_1[Year],"2023",sales_data_1[month],M25)</f>
        <v>1108742.2500189447</v>
      </c>
      <c r="P25" s="5">
        <f>SUMIFS(sales_data_1[Quantity_Sold],sales_data_1[Discount], 0,sales_data_1[Year],"2023",sales_data_1[month],M25)</f>
        <v>354</v>
      </c>
      <c r="Q25" s="34">
        <f t="shared" si="2"/>
        <v>212.93601694915245</v>
      </c>
      <c r="R25" s="34">
        <f t="shared" si="3"/>
        <v>3132.0402542908041</v>
      </c>
      <c r="S25" s="24">
        <f>SUMIFS(sales_data_1[Profit_Margin], sales_data_1[Discount], "&gt;0", sales_data_1[Year], "2023", sales_data_1[month], M25)</f>
        <v>294761.92769999988</v>
      </c>
      <c r="T25" s="24">
        <f>SUMIFS(sales_data_1[Sales_Amount], sales_data_1[Discount], "&gt;0", sales_data_1[Year], "2023", sales_data_1[month], M25)</f>
        <v>3659138.120988138</v>
      </c>
      <c r="U25" s="5">
        <f>SUMIFS(sales_data_1[Quantity_Sold], sales_data_1[Discount], "&gt;0", sales_data_1[Year], "2023", sales_data_1[month], M25)</f>
        <v>1775</v>
      </c>
      <c r="V25" s="34">
        <f t="shared" si="4"/>
        <v>166.06305785915487</v>
      </c>
      <c r="W25" s="34">
        <f t="shared" si="5"/>
        <v>2061.4862653454297</v>
      </c>
    </row>
    <row r="26" spans="1:30" x14ac:dyDescent="0.35">
      <c r="A26" s="94"/>
      <c r="B26" s="26">
        <v>0.23</v>
      </c>
      <c r="C26" s="24">
        <f>SUMIF(sales_data_1[Discount],B26,sales_data_1[Sales_Amount])</f>
        <v>3225745.1842</v>
      </c>
      <c r="D26" s="24">
        <f>SUMIF(sales_data_1[Discount],B26,sales_data_1[Profit_Margin])</f>
        <v>1438543.3742000002</v>
      </c>
      <c r="E26" s="5">
        <f>SUMIF(sales_data_1[Discount],B26,sales_data_1[Quantity_Sold])</f>
        <v>1261</v>
      </c>
      <c r="F26" s="24">
        <f t="shared" si="0"/>
        <v>490.01142096308672</v>
      </c>
      <c r="G26" s="24">
        <f t="shared" si="1"/>
        <v>218.5239821054231</v>
      </c>
      <c r="L26" s="5"/>
      <c r="M26" s="23" t="s">
        <v>56</v>
      </c>
      <c r="N26" s="24">
        <f>SUMIFS(sales_data_1[Profit_Margin],sales_data_1[Discount], 0,sales_data_1[Year],"2023",sales_data_1[month],M26)</f>
        <v>24027.019999999982</v>
      </c>
      <c r="O26" s="24">
        <f>SUMIFS(sales_data_1[Sales_Amount],sales_data_1[Discount], 0,sales_data_1[Year],"2023",sales_data_1[month],M26)</f>
        <v>893664.24140285351</v>
      </c>
      <c r="P26" s="5">
        <f>SUMIFS(sales_data_1[Quantity_Sold],sales_data_1[Discount], 0,sales_data_1[Year],"2023",sales_data_1[month],M26)</f>
        <v>269</v>
      </c>
      <c r="Q26" s="34">
        <f t="shared" si="2"/>
        <v>89.319776951672793</v>
      </c>
      <c r="R26" s="34">
        <f t="shared" si="3"/>
        <v>3322.1719011258497</v>
      </c>
      <c r="S26" s="24">
        <f>SUMIFS(sales_data_1[Profit_Margin], sales_data_1[Discount], "&gt;0", sales_data_1[Year], "2023", sales_data_1[month], M26)</f>
        <v>347377.5696999997</v>
      </c>
      <c r="T26" s="24">
        <f>SUMIFS(sales_data_1[Sales_Amount], sales_data_1[Discount], "&gt;0", sales_data_1[Year], "2023", sales_data_1[month], M26)</f>
        <v>5135598.1040965784</v>
      </c>
      <c r="U26" s="5">
        <f>SUMIFS(sales_data_1[Quantity_Sold], sales_data_1[Discount], "&gt;0", sales_data_1[Year], "2023", sales_data_1[month], M26)</f>
        <v>1914</v>
      </c>
      <c r="V26" s="34">
        <f t="shared" si="4"/>
        <v>181.49298312434675</v>
      </c>
      <c r="W26" s="34">
        <f t="shared" si="5"/>
        <v>2683.1756029762687</v>
      </c>
    </row>
    <row r="27" spans="1:30" x14ac:dyDescent="0.35">
      <c r="A27" s="94"/>
      <c r="B27" s="26">
        <v>0.24</v>
      </c>
      <c r="C27" s="24">
        <f>SUMIF(sales_data_1[Discount],B27,sales_data_1[Sales_Amount])</f>
        <v>3912397.4564000005</v>
      </c>
      <c r="D27" s="24">
        <f>SUMIF(sales_data_1[Discount],B27,sales_data_1[Profit_Margin])</f>
        <v>1765588.3764</v>
      </c>
      <c r="E27" s="5">
        <f>SUMIF(sales_data_1[Discount],B27,sales_data_1[Quantity_Sold])</f>
        <v>1569</v>
      </c>
      <c r="F27" s="24">
        <f t="shared" si="0"/>
        <v>594.31831329181227</v>
      </c>
      <c r="G27" s="24">
        <f t="shared" si="1"/>
        <v>268.20421941364117</v>
      </c>
      <c r="L27" s="17">
        <v>2024</v>
      </c>
      <c r="M27" s="23" t="s">
        <v>45</v>
      </c>
      <c r="N27" s="24">
        <f>SUMIFS(sales_data_1[Profit_Margin],sales_data_1[Discount], 0,sales_data_1[Year],"2024",sales_data_1[month],M27)</f>
        <v>77472.38</v>
      </c>
      <c r="O27" s="24">
        <f>SUMIFS(sales_data_1[Sales_Amount],sales_data_1[Discount], 0,sales_data_1[Year],"2024",sales_data_1[month],M27)</f>
        <v>223589.7356231946</v>
      </c>
      <c r="P27" s="5">
        <f>SUMIFS(sales_data_1[Quantity_Sold],sales_data_1[Discount], 0,sales_data_1[Year],"2024",sales_data_1[month],M27)</f>
        <v>70</v>
      </c>
      <c r="Q27" s="34">
        <f t="shared" si="2"/>
        <v>1106.7482857142859</v>
      </c>
      <c r="R27" s="34">
        <f t="shared" si="3"/>
        <v>3194.1390803313516</v>
      </c>
      <c r="S27" s="24">
        <f>SUMIFS(sales_data_1[Profit_Margin], sales_data_1[Discount], "&gt;0", sales_data_1[Year], "2024", sales_data_1[month], M27)</f>
        <v>3202930.4773999993</v>
      </c>
      <c r="T27" s="24">
        <f>SUMIFS(sales_data_1[Sales_Amount], sales_data_1[Discount], "&gt;0", sales_data_1[Year], "2024", sales_data_1[month], M27)</f>
        <v>7527794.8049693946</v>
      </c>
      <c r="U27" s="5">
        <f>SUMIFS(sales_data_1[Quantity_Sold], sales_data_1[Discount], "&gt;0", sales_data_1[Year], "2024", sales_data_1[month], M27)</f>
        <v>2425</v>
      </c>
      <c r="V27" s="34">
        <f t="shared" si="4"/>
        <v>1320.7960731546389</v>
      </c>
      <c r="W27" s="34">
        <f t="shared" si="5"/>
        <v>3104.2452803997503</v>
      </c>
    </row>
    <row r="28" spans="1:30" x14ac:dyDescent="0.35">
      <c r="A28" s="94"/>
      <c r="B28" s="26">
        <v>0.25</v>
      </c>
      <c r="C28" s="24">
        <f>SUMIF(sales_data_1[Discount],B28,sales_data_1[Sales_Amount])</f>
        <v>3284737.9050000012</v>
      </c>
      <c r="D28" s="24">
        <f>SUMIF(sales_data_1[Discount],B28,sales_data_1[Profit_Margin])</f>
        <v>1517097.0150000001</v>
      </c>
      <c r="E28" s="5">
        <f>SUMIF(sales_data_1[Discount],B28,sales_data_1[Quantity_Sold])</f>
        <v>1342</v>
      </c>
      <c r="F28" s="24">
        <f t="shared" si="0"/>
        <v>498.97279431869987</v>
      </c>
      <c r="G28" s="24">
        <f t="shared" si="1"/>
        <v>230.4567849005013</v>
      </c>
      <c r="L28" s="5"/>
      <c r="M28" s="23" t="s">
        <v>46</v>
      </c>
      <c r="N28" s="24">
        <f>SUMIFS(sales_data_1[Profit_Margin],sales_data_1[Discount], 0,sales_data_1[Year],"2024",sales_data_1[month],M28)</f>
        <v>51467.83</v>
      </c>
      <c r="O28" s="24">
        <f>SUMIFS(sales_data_1[Sales_Amount],sales_data_1[Discount], 0,sales_data_1[Year],"2024",sales_data_1[month],M28)</f>
        <v>522361.65994657099</v>
      </c>
      <c r="P28" s="5">
        <f>SUMIFS(sales_data_1[Quantity_Sold],sales_data_1[Discount], 0,sales_data_1[Year],"2024",sales_data_1[month],M28)</f>
        <v>145</v>
      </c>
      <c r="Q28" s="34">
        <f t="shared" si="2"/>
        <v>354.95055172413794</v>
      </c>
      <c r="R28" s="34">
        <f t="shared" si="3"/>
        <v>3602.4942065280757</v>
      </c>
      <c r="S28" s="24">
        <f>SUMIFS(sales_data_1[Profit_Margin], sales_data_1[Discount], "&gt;0", sales_data_1[Year], "2024", sales_data_1[month], M28)</f>
        <v>2225805.597599999</v>
      </c>
      <c r="T28" s="24">
        <f>SUMIFS(sales_data_1[Sales_Amount], sales_data_1[Discount], "&gt;0", sales_data_1[Year], "2024", sales_data_1[month], M28)</f>
        <v>6228062.6978293266</v>
      </c>
      <c r="U28" s="5">
        <f>SUMIFS(sales_data_1[Quantity_Sold], sales_data_1[Discount], "&gt;0", sales_data_1[Year], "2024", sales_data_1[month], M28)</f>
        <v>1961</v>
      </c>
      <c r="V28" s="34">
        <f t="shared" si="4"/>
        <v>1135.0360008159098</v>
      </c>
      <c r="W28" s="34">
        <f t="shared" si="5"/>
        <v>3175.962620004756</v>
      </c>
    </row>
    <row r="29" spans="1:30" x14ac:dyDescent="0.35">
      <c r="A29" s="94"/>
      <c r="B29" s="26">
        <v>0.26</v>
      </c>
      <c r="C29" s="24">
        <f>SUMIF(sales_data_1[Discount],B29,sales_data_1[Sales_Amount])</f>
        <v>3525302.872</v>
      </c>
      <c r="D29" s="24">
        <f>SUMIF(sales_data_1[Discount],B29,sales_data_1[Profit_Margin])</f>
        <v>1523148.182</v>
      </c>
      <c r="E29" s="5">
        <f>SUMIF(sales_data_1[Discount],B29,sales_data_1[Quantity_Sold])</f>
        <v>1391</v>
      </c>
      <c r="F29" s="24">
        <f t="shared" si="0"/>
        <v>535.51615859030835</v>
      </c>
      <c r="G29" s="24">
        <f t="shared" si="1"/>
        <v>231.37599605043295</v>
      </c>
      <c r="L29" s="5"/>
      <c r="M29" s="23" t="s">
        <v>47</v>
      </c>
      <c r="N29" s="24">
        <f>SUMIFS(sales_data_1[Profit_Margin],sales_data_1[Discount], 0,sales_data_1[Year],"2024",sales_data_1[month],M29)</f>
        <v>60033.049999999988</v>
      </c>
      <c r="O29" s="24">
        <f>SUMIFS(sales_data_1[Sales_Amount],sales_data_1[Discount], 0,sales_data_1[Year],"2024",sales_data_1[month],M29)</f>
        <v>275807.7340532142</v>
      </c>
      <c r="P29" s="5">
        <f>SUMIFS(sales_data_1[Quantity_Sold],sales_data_1[Discount], 0,sales_data_1[Year],"2024",sales_data_1[month],M29)</f>
        <v>72</v>
      </c>
      <c r="Q29" s="34">
        <f t="shared" si="2"/>
        <v>833.79236111111095</v>
      </c>
      <c r="R29" s="34">
        <f t="shared" si="3"/>
        <v>3830.6629729613082</v>
      </c>
      <c r="S29" s="24">
        <f>SUMIFS(sales_data_1[Profit_Margin], sales_data_1[Discount], "&gt;0", sales_data_1[Year], "2024", sales_data_1[month], M29)</f>
        <v>4106543.6553000002</v>
      </c>
      <c r="T29" s="24">
        <f>SUMIFS(sales_data_1[Sales_Amount], sales_data_1[Discount], "&gt;0", sales_data_1[Year], "2024", sales_data_1[month], M29)</f>
        <v>8738443.3890072312</v>
      </c>
      <c r="U29" s="5">
        <f>SUMIFS(sales_data_1[Quantity_Sold], sales_data_1[Discount], "&gt;0", sales_data_1[Year], "2024", sales_data_1[month], M29)</f>
        <v>2764</v>
      </c>
      <c r="V29" s="34">
        <f t="shared" si="4"/>
        <v>1485.7249114688857</v>
      </c>
      <c r="W29" s="34">
        <f t="shared" si="5"/>
        <v>3161.5207630272184</v>
      </c>
    </row>
    <row r="30" spans="1:30" x14ac:dyDescent="0.35">
      <c r="A30" s="94"/>
      <c r="B30" s="26">
        <v>0.27</v>
      </c>
      <c r="C30" s="24">
        <f>SUMIF(sales_data_1[Discount],B30,sales_data_1[Sales_Amount])</f>
        <v>2919893.9893999998</v>
      </c>
      <c r="D30" s="24">
        <f>SUMIF(sales_data_1[Discount],B30,sales_data_1[Profit_Margin])</f>
        <v>1345966.2693999999</v>
      </c>
      <c r="E30" s="5">
        <f>SUMIF(sales_data_1[Discount],B30,sales_data_1[Quantity_Sold])</f>
        <v>1266</v>
      </c>
      <c r="F30" s="24">
        <f t="shared" si="0"/>
        <v>443.5506591827434</v>
      </c>
      <c r="G30" s="24">
        <f t="shared" si="1"/>
        <v>204.46092501898829</v>
      </c>
      <c r="L30" s="5"/>
      <c r="M30" s="23" t="s">
        <v>48</v>
      </c>
      <c r="N30" s="24">
        <f>SUMIFS(sales_data_1[Profit_Margin],sales_data_1[Discount], 0,sales_data_1[Year],"2024",sales_data_1[month],M30)</f>
        <v>107799.12000000001</v>
      </c>
      <c r="O30" s="24">
        <f>SUMIFS(sales_data_1[Sales_Amount],sales_data_1[Discount], 0,sales_data_1[Year],"2024",sales_data_1[month],M30)</f>
        <v>441715.60976495571</v>
      </c>
      <c r="P30" s="5">
        <f>SUMIFS(sales_data_1[Quantity_Sold],sales_data_1[Discount], 0,sales_data_1[Year],"2024",sales_data_1[month],M30)</f>
        <v>96</v>
      </c>
      <c r="Q30" s="34">
        <f t="shared" si="2"/>
        <v>1122.9075</v>
      </c>
      <c r="R30" s="34">
        <f t="shared" si="3"/>
        <v>4601.204268384955</v>
      </c>
      <c r="S30" s="24">
        <f>SUMIFS(sales_data_1[Profit_Margin], sales_data_1[Discount], "&gt;0", sales_data_1[Year], "2024", sales_data_1[month], M30)</f>
        <v>2515759.5284000002</v>
      </c>
      <c r="T30" s="24">
        <f>SUMIFS(sales_data_1[Sales_Amount], sales_data_1[Discount], "&gt;0", sales_data_1[Year], "2024", sales_data_1[month], M30)</f>
        <v>6088904.5339455605</v>
      </c>
      <c r="U30" s="5">
        <f>SUMIFS(sales_data_1[Quantity_Sold], sales_data_1[Discount], "&gt;0", sales_data_1[Year], "2024", sales_data_1[month], M30)</f>
        <v>2030</v>
      </c>
      <c r="V30" s="34">
        <f t="shared" si="4"/>
        <v>1239.2904080788178</v>
      </c>
      <c r="W30" s="34">
        <f t="shared" si="5"/>
        <v>2999.4603615495371</v>
      </c>
    </row>
    <row r="31" spans="1:30" x14ac:dyDescent="0.35">
      <c r="A31" s="94"/>
      <c r="B31" s="26">
        <v>0.28000000000000003</v>
      </c>
      <c r="C31" s="24">
        <f>SUMIF(sales_data_1[Discount],B31,sales_data_1[Sales_Amount])</f>
        <v>3127086.9864000003</v>
      </c>
      <c r="D31" s="24">
        <f>SUMIF(sales_data_1[Discount],B31,sales_data_1[Profit_Margin])</f>
        <v>1443609.5764000004</v>
      </c>
      <c r="E31" s="5">
        <f>SUMIF(sales_data_1[Discount],B31,sales_data_1[Quantity_Sold])</f>
        <v>1282</v>
      </c>
      <c r="F31" s="24">
        <f t="shared" si="0"/>
        <v>475.02460677502665</v>
      </c>
      <c r="G31" s="24">
        <f t="shared" si="1"/>
        <v>219.29357077320375</v>
      </c>
      <c r="L31" s="5"/>
      <c r="M31" s="23" t="s">
        <v>49</v>
      </c>
      <c r="N31" s="24">
        <f>SUMIFS(sales_data_1[Profit_Margin],sales_data_1[Discount], 0,sales_data_1[Year],"2024",sales_data_1[month],M31)</f>
        <v>4615.0899999999838</v>
      </c>
      <c r="O31" s="24">
        <f>SUMIFS(sales_data_1[Sales_Amount],sales_data_1[Discount], 0,sales_data_1[Year],"2024",sales_data_1[month],M31)</f>
        <v>305967.65063712408</v>
      </c>
      <c r="P31" s="5">
        <f>SUMIFS(sales_data_1[Quantity_Sold],sales_data_1[Discount], 0,sales_data_1[Year],"2024",sales_data_1[month],M31)</f>
        <v>71</v>
      </c>
      <c r="Q31" s="34">
        <f t="shared" si="2"/>
        <v>65.001267605633572</v>
      </c>
      <c r="R31" s="34">
        <f t="shared" si="3"/>
        <v>4309.4035301003396</v>
      </c>
      <c r="S31" s="24">
        <f>SUMIFS(sales_data_1[Profit_Margin], sales_data_1[Discount], "&gt;0", sales_data_1[Year], "2024", sales_data_1[month], M31)</f>
        <v>3720580.5298000001</v>
      </c>
      <c r="T31" s="24">
        <f>SUMIFS(sales_data_1[Sales_Amount], sales_data_1[Discount], "&gt;0", sales_data_1[Year], "2024", sales_data_1[month], M31)</f>
        <v>8923850.6512657832</v>
      </c>
      <c r="U31" s="5">
        <f>SUMIFS(sales_data_1[Quantity_Sold], sales_data_1[Discount], "&gt;0", sales_data_1[Year], "2024", sales_data_1[month], M31)</f>
        <v>2705</v>
      </c>
      <c r="V31" s="34">
        <f t="shared" si="4"/>
        <v>1375.4456672088725</v>
      </c>
      <c r="W31" s="34">
        <f t="shared" si="5"/>
        <v>3299.020573480881</v>
      </c>
    </row>
    <row r="32" spans="1:30" x14ac:dyDescent="0.35">
      <c r="A32" s="94"/>
      <c r="B32" s="26">
        <v>0.28999999999999998</v>
      </c>
      <c r="C32" s="24">
        <f>SUMIF(sales_data_1[Discount],B32,sales_data_1[Sales_Amount])</f>
        <v>3785529.6489999988</v>
      </c>
      <c r="D32" s="24">
        <f>SUMIF(sales_data_1[Discount],B32,sales_data_1[Profit_Margin])</f>
        <v>1856922.8390000002</v>
      </c>
      <c r="E32" s="5">
        <f>SUMIF(sales_data_1[Discount],B32,sales_data_1[Quantity_Sold])</f>
        <v>1559</v>
      </c>
      <c r="F32" s="24">
        <f t="shared" si="0"/>
        <v>575.04627814066521</v>
      </c>
      <c r="G32" s="24">
        <f t="shared" si="1"/>
        <v>282.07851116512234</v>
      </c>
      <c r="L32" s="5"/>
      <c r="M32" s="23" t="s">
        <v>50</v>
      </c>
      <c r="N32" s="24">
        <f>SUMIFS(sales_data_1[Profit_Margin],sales_data_1[Discount], 0,sales_data_1[Year],"2024",sales_data_1[month],M32)</f>
        <v>77948.72</v>
      </c>
      <c r="O32" s="24">
        <f>SUMIFS(sales_data_1[Sales_Amount],sales_data_1[Discount], 0,sales_data_1[Year],"2024",sales_data_1[month],M32)</f>
        <v>666630.70268921717</v>
      </c>
      <c r="P32" s="5">
        <f>SUMIFS(sales_data_1[Quantity_Sold],sales_data_1[Discount], 0,sales_data_1[Year],"2024",sales_data_1[month],M32)</f>
        <v>159</v>
      </c>
      <c r="Q32" s="34">
        <f t="shared" si="2"/>
        <v>490.24352201257864</v>
      </c>
      <c r="R32" s="34">
        <f t="shared" si="3"/>
        <v>4192.6459288630012</v>
      </c>
      <c r="S32" s="24">
        <f>SUMIFS(sales_data_1[Profit_Margin], sales_data_1[Discount], "&gt;0", sales_data_1[Year], "2024", sales_data_1[month], M32)</f>
        <v>2547737.6315000001</v>
      </c>
      <c r="T32" s="24">
        <f>SUMIFS(sales_data_1[Sales_Amount], sales_data_1[Discount], "&gt;0", sales_data_1[Year], "2024", sales_data_1[month], M32)</f>
        <v>6133673.9089427628</v>
      </c>
      <c r="U32" s="5">
        <f>SUMIFS(sales_data_1[Quantity_Sold], sales_data_1[Discount], "&gt;0", sales_data_1[Year], "2024", sales_data_1[month], M32)</f>
        <v>1996</v>
      </c>
      <c r="V32" s="34">
        <f t="shared" si="4"/>
        <v>1276.4216590681363</v>
      </c>
      <c r="W32" s="34">
        <f t="shared" si="5"/>
        <v>3072.9829203120053</v>
      </c>
    </row>
    <row r="33" spans="1:23" x14ac:dyDescent="0.35">
      <c r="A33" s="94"/>
      <c r="B33" s="26">
        <v>0.3</v>
      </c>
      <c r="C33" s="24">
        <f>SUMIF(sales_data_1[Discount],B33,sales_data_1[Sales_Amount])</f>
        <v>1557589.3129999998</v>
      </c>
      <c r="D33" s="24">
        <f>SUMIF(sales_data_1[Discount],B33,sales_data_1[Profit_Margin])</f>
        <v>855902.47299999965</v>
      </c>
      <c r="E33" s="5">
        <f>SUMIF(sales_data_1[Discount],B33,sales_data_1[Quantity_Sold])</f>
        <v>681</v>
      </c>
      <c r="F33" s="24">
        <f t="shared" si="0"/>
        <v>236.60782515570406</v>
      </c>
      <c r="G33" s="24">
        <f t="shared" si="1"/>
        <v>130.01708537141116</v>
      </c>
      <c r="L33" s="5"/>
      <c r="M33" s="23" t="s">
        <v>51</v>
      </c>
      <c r="N33" s="24">
        <f>SUMIFS(sales_data_1[Profit_Margin],sales_data_1[Discount], 0,sales_data_1[Year],"2024",sales_data_1[month],M33)</f>
        <v>327000.13999999996</v>
      </c>
      <c r="O33" s="24">
        <f>SUMIFS(sales_data_1[Sales_Amount],sales_data_1[Discount], 0,sales_data_1[Year],"2024",sales_data_1[month],M33)</f>
        <v>609472.18501609832</v>
      </c>
      <c r="P33" s="5">
        <f>SUMIFS(sales_data_1[Quantity_Sold],sales_data_1[Discount], 0,sales_data_1[Year],"2024",sales_data_1[month],M33)</f>
        <v>164</v>
      </c>
      <c r="Q33" s="34">
        <f t="shared" si="2"/>
        <v>1993.9032926829266</v>
      </c>
      <c r="R33" s="34">
        <f t="shared" si="3"/>
        <v>3716.29381107377</v>
      </c>
      <c r="S33" s="24">
        <f>SUMIFS(sales_data_1[Profit_Margin], sales_data_1[Discount], "&gt;0", sales_data_1[Year], "2024", sales_data_1[month], M33)</f>
        <v>2519136.4928999995</v>
      </c>
      <c r="T33" s="24">
        <f>SUMIFS(sales_data_1[Sales_Amount], sales_data_1[Discount], "&gt;0", sales_data_1[Year], "2024", sales_data_1[month], M33)</f>
        <v>5833497.4482370252</v>
      </c>
      <c r="U33" s="5">
        <f>SUMIFS(sales_data_1[Quantity_Sold], sales_data_1[Discount], "&gt;0", sales_data_1[Year], "2024", sales_data_1[month], M33)</f>
        <v>1874</v>
      </c>
      <c r="V33" s="34">
        <f t="shared" si="4"/>
        <v>1344.2563996264671</v>
      </c>
      <c r="W33" s="34">
        <f t="shared" si="5"/>
        <v>3112.8588304359791</v>
      </c>
    </row>
    <row r="34" spans="1:23" x14ac:dyDescent="0.35">
      <c r="L34" s="5"/>
      <c r="M34" s="23" t="s">
        <v>52</v>
      </c>
      <c r="N34" s="24">
        <f>SUMIFS(sales_data_1[Profit_Margin],sales_data_1[Discount], 0,sales_data_1[Year],"2024",sales_data_1[month],M34)</f>
        <v>10305.000000000002</v>
      </c>
      <c r="O34" s="24">
        <f>SUMIFS(sales_data_1[Sales_Amount],sales_data_1[Discount], 0,sales_data_1[Year],"2024",sales_data_1[month],M34)</f>
        <v>103006.92476713104</v>
      </c>
      <c r="P34" s="5">
        <f>SUMIFS(sales_data_1[Quantity_Sold],sales_data_1[Discount], 0,sales_data_1[Year],"2024",sales_data_1[month],M34)</f>
        <v>53</v>
      </c>
      <c r="Q34" s="34">
        <f t="shared" si="2"/>
        <v>194.43396226415098</v>
      </c>
      <c r="R34" s="34">
        <f t="shared" si="3"/>
        <v>1943.5268823986989</v>
      </c>
      <c r="S34" s="24">
        <f>SUMIFS(sales_data_1[Profit_Margin], sales_data_1[Discount], "&gt;0", sales_data_1[Year], "2024", sales_data_1[month], M34)</f>
        <v>2290808.9036999992</v>
      </c>
      <c r="T34" s="24">
        <f>SUMIFS(sales_data_1[Sales_Amount], sales_data_1[Discount], "&gt;0", sales_data_1[Year], "2024", sales_data_1[month], M34)</f>
        <v>6190518.4288320811</v>
      </c>
      <c r="U34" s="5">
        <f>SUMIFS(sales_data_1[Quantity_Sold], sales_data_1[Discount], "&gt;0", sales_data_1[Year], "2024", sales_data_1[month], M34)</f>
        <v>1907</v>
      </c>
      <c r="V34" s="34">
        <f t="shared" si="4"/>
        <v>1201.2631901940217</v>
      </c>
      <c r="W34" s="34">
        <f t="shared" si="5"/>
        <v>3246.2078808768124</v>
      </c>
    </row>
    <row r="35" spans="1:23" x14ac:dyDescent="0.35">
      <c r="L35" s="5"/>
      <c r="M35" s="23" t="s">
        <v>53</v>
      </c>
      <c r="N35" s="24">
        <f>SUMIFS(sales_data_1[Profit_Margin],sales_data_1[Discount], 0,sales_data_1[Year],"2024",sales_data_1[month],M35)</f>
        <v>57517.070000000007</v>
      </c>
      <c r="O35" s="24">
        <f>SUMIFS(sales_data_1[Sales_Amount],sales_data_1[Discount], 0,sales_data_1[Year],"2024",sales_data_1[month],M35)</f>
        <v>196591.72339481695</v>
      </c>
      <c r="P35" s="5">
        <f>SUMIFS(sales_data_1[Quantity_Sold],sales_data_1[Discount], 0,sales_data_1[Year],"2024",sales_data_1[month],M35)</f>
        <v>41</v>
      </c>
      <c r="Q35" s="34">
        <f t="shared" si="2"/>
        <v>1402.8553658536587</v>
      </c>
      <c r="R35" s="34">
        <f t="shared" si="3"/>
        <v>4794.9200828004132</v>
      </c>
      <c r="S35" s="24">
        <f>SUMIFS(sales_data_1[Profit_Margin], sales_data_1[Discount], "&gt;0", sales_data_1[Year], "2024", sales_data_1[month], M35)</f>
        <v>3155108.6731000002</v>
      </c>
      <c r="T35" s="24">
        <f>SUMIFS(sales_data_1[Sales_Amount], sales_data_1[Discount], "&gt;0", sales_data_1[Year], "2024", sales_data_1[month], M35)</f>
        <v>6678014.1317844503</v>
      </c>
      <c r="U35" s="5">
        <f>SUMIFS(sales_data_1[Quantity_Sold], sales_data_1[Discount], "&gt;0", sales_data_1[Year], "2024", sales_data_1[month], M35)</f>
        <v>2076</v>
      </c>
      <c r="V35" s="34">
        <f t="shared" si="4"/>
        <v>1519.801865655106</v>
      </c>
      <c r="W35" s="34">
        <f t="shared" si="5"/>
        <v>3216.76981299829</v>
      </c>
    </row>
    <row r="36" spans="1:23" x14ac:dyDescent="0.35">
      <c r="L36" s="5"/>
      <c r="M36" s="23" t="s">
        <v>54</v>
      </c>
      <c r="N36" s="24">
        <f>SUMIFS(sales_data_1[Profit_Margin],sales_data_1[Discount], 0,sales_data_1[Year],"2024",sales_data_1[month],M36)</f>
        <v>285066.73000000004</v>
      </c>
      <c r="O36" s="24">
        <f>SUMIFS(sales_data_1[Sales_Amount],sales_data_1[Discount], 0,sales_data_1[Year],"2024",sales_data_1[month],M36)</f>
        <v>823218.1082284305</v>
      </c>
      <c r="P36" s="5">
        <f>SUMIFS(sales_data_1[Quantity_Sold],sales_data_1[Discount], 0,sales_data_1[Year],"2024",sales_data_1[month],M36)</f>
        <v>214</v>
      </c>
      <c r="Q36" s="34">
        <f t="shared" si="2"/>
        <v>1332.0875233644861</v>
      </c>
      <c r="R36" s="34">
        <f t="shared" si="3"/>
        <v>3846.8135898524788</v>
      </c>
      <c r="S36" s="24">
        <f>SUMIFS(sales_data_1[Profit_Margin], sales_data_1[Discount], "&gt;0", sales_data_1[Year], "2024", sales_data_1[month], M36)</f>
        <v>3312838.9986000005</v>
      </c>
      <c r="T36" s="24">
        <f>SUMIFS(sales_data_1[Sales_Amount], sales_data_1[Discount], "&gt;0", sales_data_1[Year], "2024", sales_data_1[month], M36)</f>
        <v>7144972.9004211174</v>
      </c>
      <c r="U36" s="5">
        <f>SUMIFS(sales_data_1[Quantity_Sold], sales_data_1[Discount], "&gt;0", sales_data_1[Year], "2024", sales_data_1[month], M36)</f>
        <v>2237</v>
      </c>
      <c r="V36" s="34">
        <f t="shared" si="4"/>
        <v>1480.9293690657132</v>
      </c>
      <c r="W36" s="34">
        <f t="shared" si="5"/>
        <v>3193.9977203491808</v>
      </c>
    </row>
    <row r="37" spans="1:23" x14ac:dyDescent="0.35">
      <c r="L37" s="5"/>
      <c r="M37" s="23" t="s">
        <v>55</v>
      </c>
      <c r="N37" s="24">
        <f>SUMIFS(sales_data_1[Profit_Margin],sales_data_1[Discount], 0,sales_data_1[Year],"2024",sales_data_1[month],M37)</f>
        <v>96039.869999999981</v>
      </c>
      <c r="O37" s="24">
        <f>SUMIFS(sales_data_1[Sales_Amount],sales_data_1[Discount], 0,sales_data_1[Year],"2024",sales_data_1[month],M37)</f>
        <v>406275.44044734043</v>
      </c>
      <c r="P37" s="5">
        <f>SUMIFS(sales_data_1[Quantity_Sold],sales_data_1[Discount], 0,sales_data_1[Year],"2024",sales_data_1[month],M37)</f>
        <v>99</v>
      </c>
      <c r="Q37" s="34">
        <f t="shared" si="2"/>
        <v>970.09969696969677</v>
      </c>
      <c r="R37" s="34">
        <f t="shared" si="3"/>
        <v>4103.7923277509135</v>
      </c>
      <c r="S37" s="24">
        <f>SUMIFS(sales_data_1[Profit_Margin], sales_data_1[Discount], "&gt;0", sales_data_1[Year], "2024", sales_data_1[month], M37)</f>
        <v>2734868.8363000001</v>
      </c>
      <c r="T37" s="24">
        <f>SUMIFS(sales_data_1[Sales_Amount], sales_data_1[Discount], "&gt;0", sales_data_1[Year], "2024", sales_data_1[month], M37)</f>
        <v>6113472.122970162</v>
      </c>
      <c r="U37" s="5">
        <f>SUMIFS(sales_data_1[Quantity_Sold], sales_data_1[Discount], "&gt;0", sales_data_1[Year], "2024", sales_data_1[month], M37)</f>
        <v>1987</v>
      </c>
      <c r="V37" s="34">
        <f t="shared" si="4"/>
        <v>1376.380893960745</v>
      </c>
      <c r="W37" s="34">
        <f t="shared" si="5"/>
        <v>3076.7348379316368</v>
      </c>
    </row>
    <row r="38" spans="1:23" x14ac:dyDescent="0.35">
      <c r="L38" s="5"/>
      <c r="M38" s="23" t="s">
        <v>56</v>
      </c>
      <c r="N38" s="24">
        <f>SUMIFS(sales_data_1[Profit_Margin],sales_data_1[Discount], 0,sales_data_1[Year],"2024",sales_data_1[month],M38)</f>
        <v>43900.820000000029</v>
      </c>
      <c r="O38" s="24">
        <f>SUMIFS(sales_data_1[Sales_Amount],sales_data_1[Discount], 0,sales_data_1[Year],"2024",sales_data_1[month],M38)</f>
        <v>611031.910572608</v>
      </c>
      <c r="P38" s="5">
        <f>SUMIFS(sales_data_1[Quantity_Sold],sales_data_1[Discount], 0,sales_data_1[Year],"2024",sales_data_1[month],M38)</f>
        <v>160</v>
      </c>
      <c r="Q38" s="34">
        <f t="shared" si="2"/>
        <v>274.38012500000019</v>
      </c>
      <c r="R38" s="34">
        <f t="shared" si="3"/>
        <v>3818.9494410788002</v>
      </c>
      <c r="S38" s="24">
        <f>SUMIFS(sales_data_1[Profit_Margin], sales_data_1[Discount], "&gt;0", sales_data_1[Year], "2024", sales_data_1[month], M38)</f>
        <v>3125393.9243000005</v>
      </c>
      <c r="T38" s="24">
        <f>SUMIFS(sales_data_1[Sales_Amount], sales_data_1[Discount], "&gt;0", sales_data_1[Year], "2024", sales_data_1[month], M38)</f>
        <v>6680874.0763409855</v>
      </c>
      <c r="U38" s="5">
        <f>SUMIFS(sales_data_1[Quantity_Sold], sales_data_1[Discount], "&gt;0", sales_data_1[Year], "2024", sales_data_1[month], M38)</f>
        <v>2307</v>
      </c>
      <c r="V38" s="34">
        <f t="shared" si="4"/>
        <v>1354.743790333767</v>
      </c>
      <c r="W38" s="34">
        <f t="shared" si="5"/>
        <v>2895.9142073432968</v>
      </c>
    </row>
  </sheetData>
  <mergeCells count="3">
    <mergeCell ref="A4:A33"/>
    <mergeCell ref="N1:R1"/>
    <mergeCell ref="S1:W1"/>
  </mergeCells>
  <pageMargins left="0.7" right="0.7" top="0.75" bottom="0.75" header="0.3" footer="0.3"/>
  <ignoredErrors>
    <ignoredError sqref="L3:L22"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B20E-735E-49DC-9E0D-A0A360DBA471}">
  <dimension ref="A1:G72"/>
  <sheetViews>
    <sheetView workbookViewId="0">
      <selection activeCell="E18" sqref="E18"/>
    </sheetView>
  </sheetViews>
  <sheetFormatPr defaultRowHeight="14.5" x14ac:dyDescent="0.35"/>
  <cols>
    <col min="2" max="2" width="18.90625" bestFit="1" customWidth="1"/>
    <col min="3" max="3" width="16.1796875" bestFit="1" customWidth="1"/>
    <col min="4" max="6" width="14.81640625" bestFit="1" customWidth="1"/>
    <col min="7" max="18" width="13.81640625" bestFit="1" customWidth="1"/>
    <col min="19" max="19" width="12.1796875" bestFit="1" customWidth="1"/>
    <col min="20" max="22" width="13.81640625" bestFit="1" customWidth="1"/>
    <col min="23" max="23" width="14.81640625" bestFit="1" customWidth="1"/>
    <col min="24" max="30" width="12.1796875" bestFit="1" customWidth="1"/>
    <col min="31" max="31" width="12.90625" bestFit="1" customWidth="1"/>
    <col min="32" max="35" width="12.1796875" bestFit="1" customWidth="1"/>
    <col min="36" max="36" width="13.08984375" bestFit="1" customWidth="1"/>
    <col min="37" max="40" width="12.1796875" bestFit="1" customWidth="1"/>
    <col min="41" max="41" width="12.54296875" bestFit="1" customWidth="1"/>
    <col min="42" max="43" width="12.1796875" bestFit="1" customWidth="1"/>
    <col min="44" max="64" width="13.81640625" bestFit="1" customWidth="1"/>
    <col min="65" max="66" width="14.81640625" bestFit="1" customWidth="1"/>
  </cols>
  <sheetData>
    <row r="1" spans="1:7" x14ac:dyDescent="0.35">
      <c r="B1" s="103" t="s">
        <v>27</v>
      </c>
      <c r="C1" s="103"/>
      <c r="D1" s="103"/>
      <c r="E1" s="103" t="s">
        <v>17</v>
      </c>
      <c r="F1" s="103"/>
      <c r="G1" s="103"/>
    </row>
    <row r="2" spans="1:7" x14ac:dyDescent="0.35">
      <c r="B2" s="6" t="s">
        <v>4</v>
      </c>
      <c r="C2" s="6" t="s">
        <v>72</v>
      </c>
      <c r="D2" s="6" t="s">
        <v>71</v>
      </c>
      <c r="E2" s="6" t="s">
        <v>4</v>
      </c>
      <c r="F2" s="6" t="s">
        <v>72</v>
      </c>
      <c r="G2" s="6" t="s">
        <v>71</v>
      </c>
    </row>
    <row r="3" spans="1:7" x14ac:dyDescent="0.35">
      <c r="A3" s="6">
        <v>2022</v>
      </c>
      <c r="B3" s="24">
        <f>SUMIFS(sales_data_1[Sales_Amount],sales_data_1[Year],A3,sales_data_1[Customer_Type],"New")</f>
        <v>44688329.390784591</v>
      </c>
      <c r="C3" s="24">
        <f>SUMIFS(sales_data_1[Profit_Margin],sales_data_1[Year],A3,sales_data_1[Customer_Type],"New")</f>
        <v>18231859.019199997</v>
      </c>
      <c r="D3" s="5">
        <f>SUMIFS(sales_data_1[Quantity_Sold],sales_data_1[Year],A3,sales_data_1[Customer_Type],"New")</f>
        <v>14640</v>
      </c>
      <c r="E3" s="24">
        <f>SUMIFS(sales_data_1[Sales_Amount],sales_data_1[Year],A3,sales_data_1[Customer_Type],"Returning")</f>
        <v>42828719.847139865</v>
      </c>
      <c r="F3" s="24">
        <f>SUMIFS(sales_data_1[Profit_Margin],sales_data_1[Year],A3,sales_data_1[Customer_Type],"Returning")</f>
        <v>16674817.450899998</v>
      </c>
      <c r="G3" s="5">
        <f>SUMIFS(sales_data_1[Quantity_Sold],sales_data_1[Year],A3,sales_data_1[Customer_Type],"Returning")</f>
        <v>13629</v>
      </c>
    </row>
    <row r="4" spans="1:7" x14ac:dyDescent="0.35">
      <c r="A4" s="6">
        <v>2023</v>
      </c>
      <c r="B4" s="24">
        <f>SUMIFS(sales_data_1[Sales_Amount],sales_data_1[Year],A4,sales_data_1[Customer_Type],"New")</f>
        <v>35192554.143670835</v>
      </c>
      <c r="C4" s="24">
        <f>SUMIFS(sales_data_1[Profit_Margin],sales_data_1[Year],A4,sales_data_1[Customer_Type],"New")</f>
        <v>2130553.4779999987</v>
      </c>
      <c r="D4" s="5">
        <f>SUMIFS(sales_data_1[Quantity_Sold],sales_data_1[Year],A4,sales_data_1[Customer_Type],"New")</f>
        <v>13160</v>
      </c>
      <c r="E4" s="24">
        <f>SUMIFS(sales_data_1[Sales_Amount],sales_data_1[Year],A4,sales_data_1[Customer_Type],"Returning")</f>
        <v>32668051.794273105</v>
      </c>
      <c r="F4" s="24">
        <f>SUMIFS(sales_data_1[Profit_Margin],sales_data_1[Year],A4,sales_data_1[Customer_Type],"Returning")</f>
        <v>1927364.9223000004</v>
      </c>
      <c r="G4" s="5">
        <f>SUMIFS(sales_data_1[Quantity_Sold],sales_data_1[Year],A4,sales_data_1[Customer_Type],"Returning")</f>
        <v>12118</v>
      </c>
    </row>
    <row r="5" spans="1:7" x14ac:dyDescent="0.35">
      <c r="A5" s="6">
        <v>2024</v>
      </c>
      <c r="B5" s="24">
        <f>SUMIFS(sales_data_1[Sales_Amount],sales_data_1[Year],A5,sales_data_1[Customer_Type],"New")</f>
        <v>42394451.640025482</v>
      </c>
      <c r="C5" s="24">
        <f>SUMIFS(sales_data_1[Profit_Margin],sales_data_1[Year],A5,sales_data_1[Customer_Type],"New")</f>
        <v>17034479.560500018</v>
      </c>
      <c r="D5" s="5">
        <f>SUMIFS(sales_data_1[Quantity_Sold],sales_data_1[Year],A5,sales_data_1[Customer_Type],"New")</f>
        <v>13643</v>
      </c>
      <c r="E5" s="24">
        <f>SUMIFS(sales_data_1[Sales_Amount],sales_data_1[Year],A5,sales_data_1[Customer_Type],"Returning")</f>
        <v>45073296.839661188</v>
      </c>
      <c r="F5" s="24">
        <f>SUMIFS(sales_data_1[Profit_Margin],sales_data_1[Year],A5,sales_data_1[Customer_Type],"Returning")</f>
        <v>19622199.508400004</v>
      </c>
      <c r="G5" s="5">
        <f>SUMIFS(sales_data_1[Quantity_Sold],sales_data_1[Year],A5,sales_data_1[Customer_Type],"Returning")</f>
        <v>13970</v>
      </c>
    </row>
    <row r="8" spans="1:7" x14ac:dyDescent="0.35">
      <c r="C8" s="5" t="s">
        <v>27</v>
      </c>
      <c r="D8" s="5" t="s">
        <v>96</v>
      </c>
    </row>
    <row r="9" spans="1:7" x14ac:dyDescent="0.35">
      <c r="B9" s="5">
        <v>2023</v>
      </c>
      <c r="C9" s="24">
        <f>C4/D4</f>
        <v>161.89616094224914</v>
      </c>
      <c r="D9" s="24">
        <f>F4/G4</f>
        <v>159.04975427463282</v>
      </c>
    </row>
    <row r="10" spans="1:7" x14ac:dyDescent="0.35">
      <c r="B10" s="5">
        <v>2024</v>
      </c>
      <c r="C10" s="24">
        <f>C5/D5</f>
        <v>1248.5875218427045</v>
      </c>
      <c r="D10" s="24">
        <f>F5/G5</f>
        <v>1404.5955267287047</v>
      </c>
    </row>
    <row r="11" spans="1:7" x14ac:dyDescent="0.35">
      <c r="B11" s="5" t="s">
        <v>526</v>
      </c>
      <c r="C11" s="24">
        <f>SUM(C4:C5)/SUM(D4:D5)</f>
        <v>715.0331320561138</v>
      </c>
      <c r="D11" s="24">
        <f>SUM(F4:F5)/SUM(G4:G5)</f>
        <v>826.03359516636021</v>
      </c>
    </row>
    <row r="20" spans="2:5" x14ac:dyDescent="0.35">
      <c r="B20" s="2" t="s">
        <v>97</v>
      </c>
      <c r="C20" s="2" t="s">
        <v>84</v>
      </c>
    </row>
    <row r="21" spans="2:5" x14ac:dyDescent="0.35">
      <c r="B21" s="2" t="s">
        <v>34</v>
      </c>
      <c r="C21">
        <v>2023</v>
      </c>
      <c r="D21">
        <v>2024</v>
      </c>
      <c r="E21" t="s">
        <v>35</v>
      </c>
    </row>
    <row r="22" spans="2:5" x14ac:dyDescent="0.35">
      <c r="B22" s="3" t="s">
        <v>114</v>
      </c>
      <c r="C22" s="25">
        <v>245461.24469999981</v>
      </c>
      <c r="D22" s="25">
        <v>2126311.1756999996</v>
      </c>
      <c r="E22" s="25">
        <v>2371772.4203999992</v>
      </c>
    </row>
    <row r="23" spans="2:5" x14ac:dyDescent="0.35">
      <c r="B23" s="3" t="s">
        <v>102</v>
      </c>
      <c r="C23" s="25">
        <v>214199.00030000001</v>
      </c>
      <c r="D23" s="25">
        <v>2894956.9493000009</v>
      </c>
      <c r="E23" s="25">
        <v>3109155.9496000009</v>
      </c>
    </row>
    <row r="24" spans="2:5" x14ac:dyDescent="0.35">
      <c r="B24" s="3" t="s">
        <v>109</v>
      </c>
      <c r="C24" s="25">
        <v>184255.37140000006</v>
      </c>
      <c r="D24" s="25">
        <v>1846077.8553000004</v>
      </c>
      <c r="E24" s="25">
        <v>2030333.2267000005</v>
      </c>
    </row>
    <row r="25" spans="2:5" x14ac:dyDescent="0.35">
      <c r="B25" s="3" t="s">
        <v>107</v>
      </c>
      <c r="C25" s="25">
        <v>171631.03550000003</v>
      </c>
      <c r="D25" s="25">
        <v>1168083.2873999996</v>
      </c>
      <c r="E25" s="25">
        <v>1339714.3228999996</v>
      </c>
    </row>
    <row r="26" spans="2:5" x14ac:dyDescent="0.35">
      <c r="B26" s="3" t="s">
        <v>106</v>
      </c>
      <c r="C26" s="25">
        <v>162185.79189999998</v>
      </c>
      <c r="D26" s="25">
        <v>2189780.7705999995</v>
      </c>
      <c r="E26" s="25">
        <v>2351966.5624999995</v>
      </c>
    </row>
    <row r="27" spans="2:5" x14ac:dyDescent="0.35">
      <c r="B27" s="3" t="s">
        <v>101</v>
      </c>
      <c r="C27" s="25">
        <v>176143.38739999998</v>
      </c>
      <c r="D27" s="25">
        <v>1632599.6202000005</v>
      </c>
      <c r="E27" s="25">
        <v>1808743.0076000004</v>
      </c>
    </row>
    <row r="28" spans="2:5" x14ac:dyDescent="0.35">
      <c r="B28" s="3" t="s">
        <v>116</v>
      </c>
      <c r="C28" s="25">
        <v>144457.25969999982</v>
      </c>
      <c r="D28" s="25">
        <v>1846435.2677</v>
      </c>
      <c r="E28" s="25">
        <v>1990892.5273999998</v>
      </c>
    </row>
    <row r="29" spans="2:5" x14ac:dyDescent="0.35">
      <c r="B29" s="3" t="s">
        <v>112</v>
      </c>
      <c r="C29" s="25">
        <v>223175.42519999994</v>
      </c>
      <c r="D29" s="25">
        <v>1688106.4903999995</v>
      </c>
      <c r="E29" s="25">
        <v>1911281.9155999995</v>
      </c>
    </row>
    <row r="30" spans="2:5" x14ac:dyDescent="0.35">
      <c r="B30" s="3" t="s">
        <v>99</v>
      </c>
      <c r="C30" s="25">
        <v>135202.97719999996</v>
      </c>
      <c r="D30" s="25">
        <v>1488878.5256999999</v>
      </c>
      <c r="E30" s="25">
        <v>1624081.5028999997</v>
      </c>
    </row>
    <row r="31" spans="2:5" x14ac:dyDescent="0.35">
      <c r="B31" s="3" t="s">
        <v>105</v>
      </c>
      <c r="C31" s="25">
        <v>189557.50110000002</v>
      </c>
      <c r="D31" s="25">
        <v>1598826.6592999997</v>
      </c>
      <c r="E31" s="25">
        <v>1788384.1603999997</v>
      </c>
    </row>
    <row r="32" spans="2:5" x14ac:dyDescent="0.35">
      <c r="B32" s="3" t="s">
        <v>108</v>
      </c>
      <c r="C32" s="25">
        <v>156314.81359999994</v>
      </c>
      <c r="D32" s="25">
        <v>1753993.9782</v>
      </c>
      <c r="E32" s="25">
        <v>1910308.7918</v>
      </c>
    </row>
    <row r="33" spans="2:5" x14ac:dyDescent="0.35">
      <c r="B33" s="3" t="s">
        <v>113</v>
      </c>
      <c r="C33" s="25">
        <v>215693.53330000001</v>
      </c>
      <c r="D33" s="25">
        <v>1444257.4385000004</v>
      </c>
      <c r="E33" s="25">
        <v>1659950.9718000004</v>
      </c>
    </row>
    <row r="34" spans="2:5" x14ac:dyDescent="0.35">
      <c r="B34" s="3" t="s">
        <v>104</v>
      </c>
      <c r="C34" s="25">
        <v>237397.10619999989</v>
      </c>
      <c r="D34" s="25">
        <v>1518009.9583999997</v>
      </c>
      <c r="E34" s="25">
        <v>1755407.0645999995</v>
      </c>
    </row>
    <row r="35" spans="2:5" x14ac:dyDescent="0.35">
      <c r="B35" s="3" t="s">
        <v>110</v>
      </c>
      <c r="C35" s="25">
        <v>232775.16160000002</v>
      </c>
      <c r="D35" s="25">
        <v>2219119.7483000001</v>
      </c>
      <c r="E35" s="25">
        <v>2451894.9099000003</v>
      </c>
    </row>
    <row r="36" spans="2:5" x14ac:dyDescent="0.35">
      <c r="B36" s="3" t="s">
        <v>111</v>
      </c>
      <c r="C36" s="25">
        <v>241571.42459999994</v>
      </c>
      <c r="D36" s="25">
        <v>1821957.1852999998</v>
      </c>
      <c r="E36" s="25">
        <v>2063528.6098999998</v>
      </c>
    </row>
    <row r="37" spans="2:5" x14ac:dyDescent="0.35">
      <c r="B37" s="3" t="s">
        <v>115</v>
      </c>
      <c r="C37" s="25">
        <v>237974.33539999995</v>
      </c>
      <c r="D37" s="25">
        <v>1543703.8628</v>
      </c>
      <c r="E37" s="25">
        <v>1781678.1982</v>
      </c>
    </row>
    <row r="38" spans="2:5" x14ac:dyDescent="0.35">
      <c r="B38" s="3" t="s">
        <v>117</v>
      </c>
      <c r="C38" s="25">
        <v>185882.54529999988</v>
      </c>
      <c r="D38" s="25">
        <v>1839911.8108999999</v>
      </c>
      <c r="E38" s="25">
        <v>2025794.3561999998</v>
      </c>
    </row>
    <row r="39" spans="2:5" x14ac:dyDescent="0.35">
      <c r="B39" s="3" t="s">
        <v>103</v>
      </c>
      <c r="C39" s="25">
        <v>258252.90289999996</v>
      </c>
      <c r="D39" s="25">
        <v>2581863.4727000007</v>
      </c>
      <c r="E39" s="25">
        <v>2840116.3756000008</v>
      </c>
    </row>
    <row r="40" spans="2:5" x14ac:dyDescent="0.35">
      <c r="B40" s="3" t="s">
        <v>98</v>
      </c>
      <c r="C40" s="25">
        <v>235669.72729999985</v>
      </c>
      <c r="D40" s="25">
        <v>1744777.6135</v>
      </c>
      <c r="E40" s="25">
        <v>1980447.3407999999</v>
      </c>
    </row>
    <row r="41" spans="2:5" x14ac:dyDescent="0.35">
      <c r="B41" s="3" t="s">
        <v>100</v>
      </c>
      <c r="C41" s="25">
        <v>210117.85570000001</v>
      </c>
      <c r="D41" s="25">
        <v>1709027.3986999996</v>
      </c>
      <c r="E41" s="25">
        <v>1919145.2543999995</v>
      </c>
    </row>
    <row r="42" spans="2:5" x14ac:dyDescent="0.35">
      <c r="B42" s="3" t="s">
        <v>35</v>
      </c>
      <c r="C42" s="25">
        <v>4057918.4002999994</v>
      </c>
      <c r="D42" s="25">
        <v>36656679.068899997</v>
      </c>
      <c r="E42" s="25">
        <v>40714597.469200008</v>
      </c>
    </row>
    <row r="50" spans="2:6" ht="11.5" customHeight="1" x14ac:dyDescent="0.35">
      <c r="E50" s="5">
        <v>2023</v>
      </c>
      <c r="F50" s="5">
        <v>2024</v>
      </c>
    </row>
    <row r="51" spans="2:6" ht="14.5" customHeight="1" x14ac:dyDescent="0.35">
      <c r="E51" s="5">
        <f>SUM(E53:E72)</f>
        <v>4057918.4002999994</v>
      </c>
      <c r="F51" s="5">
        <f>SUM(F53:F72)</f>
        <v>36656679.068899997</v>
      </c>
    </row>
    <row r="52" spans="2:6" ht="4.5" customHeight="1" thickBot="1" x14ac:dyDescent="0.4"/>
    <row r="53" spans="2:6" x14ac:dyDescent="0.35">
      <c r="B53" s="5" t="s">
        <v>114</v>
      </c>
      <c r="C53" s="54">
        <f>SUM(E53:F53)</f>
        <v>2371772.4203999992</v>
      </c>
      <c r="D53" s="48"/>
      <c r="E53" s="51">
        <v>245461.24469999981</v>
      </c>
      <c r="F53" s="51">
        <v>2126311.1756999996</v>
      </c>
    </row>
    <row r="54" spans="2:6" x14ac:dyDescent="0.35">
      <c r="B54" s="5" t="s">
        <v>102</v>
      </c>
      <c r="C54" s="55">
        <f t="shared" ref="C54:C71" si="0">SUM(E54:F54)</f>
        <v>3109155.9496000009</v>
      </c>
      <c r="D54" s="48"/>
      <c r="E54" s="52">
        <v>214199.00030000001</v>
      </c>
      <c r="F54" s="52">
        <v>2894956.9493000009</v>
      </c>
    </row>
    <row r="55" spans="2:6" x14ac:dyDescent="0.35">
      <c r="B55" s="5" t="s">
        <v>109</v>
      </c>
      <c r="C55" s="55">
        <f t="shared" si="0"/>
        <v>2030333.2267000005</v>
      </c>
      <c r="D55" s="48"/>
      <c r="E55" s="52">
        <v>184255.37140000006</v>
      </c>
      <c r="F55" s="52">
        <v>1846077.8553000004</v>
      </c>
    </row>
    <row r="56" spans="2:6" ht="15" thickBot="1" x14ac:dyDescent="0.4">
      <c r="B56" s="5" t="s">
        <v>107</v>
      </c>
      <c r="C56" s="56">
        <f t="shared" si="0"/>
        <v>1339714.3228999996</v>
      </c>
      <c r="D56" s="48"/>
      <c r="E56" s="53">
        <v>171631.03550000003</v>
      </c>
      <c r="F56" s="53">
        <v>1168083.2873999996</v>
      </c>
    </row>
    <row r="57" spans="2:6" x14ac:dyDescent="0.35">
      <c r="B57" s="5" t="s">
        <v>106</v>
      </c>
      <c r="C57" s="54">
        <f t="shared" si="0"/>
        <v>2351966.5624999995</v>
      </c>
      <c r="D57" s="48"/>
      <c r="E57" s="51">
        <v>162185.79189999998</v>
      </c>
      <c r="F57" s="54">
        <v>2189780.7705999995</v>
      </c>
    </row>
    <row r="58" spans="2:6" x14ac:dyDescent="0.35">
      <c r="B58" s="5" t="s">
        <v>101</v>
      </c>
      <c r="C58" s="55">
        <f t="shared" si="0"/>
        <v>1808743.0076000004</v>
      </c>
      <c r="D58" s="48"/>
      <c r="E58" s="52">
        <v>176143.38739999998</v>
      </c>
      <c r="F58" s="55">
        <v>1632599.6202000005</v>
      </c>
    </row>
    <row r="59" spans="2:6" x14ac:dyDescent="0.35">
      <c r="B59" s="5" t="s">
        <v>116</v>
      </c>
      <c r="C59" s="55">
        <f t="shared" si="0"/>
        <v>1990892.5273999998</v>
      </c>
      <c r="D59" s="48"/>
      <c r="E59" s="52">
        <v>144457.25969999982</v>
      </c>
      <c r="F59" s="55">
        <v>1846435.2677</v>
      </c>
    </row>
    <row r="60" spans="2:6" ht="15" thickBot="1" x14ac:dyDescent="0.4">
      <c r="B60" s="5" t="s">
        <v>112</v>
      </c>
      <c r="C60" s="56">
        <f t="shared" si="0"/>
        <v>1911281.9155999995</v>
      </c>
      <c r="D60" s="48"/>
      <c r="E60" s="53">
        <v>223175.42519999994</v>
      </c>
      <c r="F60" s="56">
        <v>1688106.4903999995</v>
      </c>
    </row>
    <row r="61" spans="2:6" x14ac:dyDescent="0.35">
      <c r="B61" s="5" t="s">
        <v>99</v>
      </c>
      <c r="C61" s="54">
        <f t="shared" si="0"/>
        <v>1624081.5028999997</v>
      </c>
      <c r="D61" s="48"/>
      <c r="E61" s="51">
        <v>135202.97719999996</v>
      </c>
      <c r="F61" s="54">
        <v>1488878.5256999999</v>
      </c>
    </row>
    <row r="62" spans="2:6" x14ac:dyDescent="0.35">
      <c r="B62" s="5" t="s">
        <v>105</v>
      </c>
      <c r="C62" s="55">
        <f t="shared" si="0"/>
        <v>1788384.1603999997</v>
      </c>
      <c r="D62" s="48"/>
      <c r="E62" s="52">
        <v>189557.50110000002</v>
      </c>
      <c r="F62" s="55">
        <v>1598826.6592999997</v>
      </c>
    </row>
    <row r="63" spans="2:6" x14ac:dyDescent="0.35">
      <c r="B63" s="5" t="s">
        <v>108</v>
      </c>
      <c r="C63" s="55">
        <f t="shared" si="0"/>
        <v>1910308.7918</v>
      </c>
      <c r="D63" s="48"/>
      <c r="E63" s="52">
        <v>156314.81359999994</v>
      </c>
      <c r="F63" s="55">
        <v>1753993.9782</v>
      </c>
    </row>
    <row r="64" spans="2:6" ht="15" thickBot="1" x14ac:dyDescent="0.4">
      <c r="B64" s="5" t="s">
        <v>113</v>
      </c>
      <c r="C64" s="56">
        <f t="shared" si="0"/>
        <v>1659950.9718000004</v>
      </c>
      <c r="D64" s="48"/>
      <c r="E64" s="53">
        <v>215693.53330000001</v>
      </c>
      <c r="F64" s="56">
        <v>1444257.4385000004</v>
      </c>
    </row>
    <row r="65" spans="2:6" x14ac:dyDescent="0.35">
      <c r="B65" s="5" t="s">
        <v>104</v>
      </c>
      <c r="C65" s="54">
        <f t="shared" si="0"/>
        <v>1755407.0645999995</v>
      </c>
      <c r="D65" s="48"/>
      <c r="E65" s="51">
        <v>237397.10619999989</v>
      </c>
      <c r="F65" s="51">
        <v>1518009.9583999997</v>
      </c>
    </row>
    <row r="66" spans="2:6" x14ac:dyDescent="0.35">
      <c r="B66" s="5" t="s">
        <v>110</v>
      </c>
      <c r="C66" s="55">
        <f t="shared" si="0"/>
        <v>2451894.9099000003</v>
      </c>
      <c r="D66" s="48"/>
      <c r="E66" s="52">
        <v>232775.16160000002</v>
      </c>
      <c r="F66" s="52">
        <v>2219119.7483000001</v>
      </c>
    </row>
    <row r="67" spans="2:6" x14ac:dyDescent="0.35">
      <c r="B67" s="5" t="s">
        <v>111</v>
      </c>
      <c r="C67" s="55">
        <f t="shared" si="0"/>
        <v>2063528.6098999998</v>
      </c>
      <c r="D67" s="48"/>
      <c r="E67" s="52">
        <v>241571.42459999994</v>
      </c>
      <c r="F67" s="52">
        <v>1821957.1852999998</v>
      </c>
    </row>
    <row r="68" spans="2:6" ht="15" thickBot="1" x14ac:dyDescent="0.4">
      <c r="B68" s="5" t="s">
        <v>115</v>
      </c>
      <c r="C68" s="56">
        <f t="shared" si="0"/>
        <v>1781678.1982</v>
      </c>
      <c r="D68" s="48"/>
      <c r="E68" s="53">
        <v>237974.33539999995</v>
      </c>
      <c r="F68" s="53">
        <v>1543703.8628</v>
      </c>
    </row>
    <row r="69" spans="2:6" x14ac:dyDescent="0.35">
      <c r="B69" s="5" t="s">
        <v>117</v>
      </c>
      <c r="C69" s="54">
        <f t="shared" si="0"/>
        <v>2025794.3561999998</v>
      </c>
      <c r="D69" s="48"/>
      <c r="E69" s="51">
        <v>185882.54529999988</v>
      </c>
      <c r="F69" s="54">
        <v>1839911.8108999999</v>
      </c>
    </row>
    <row r="70" spans="2:6" x14ac:dyDescent="0.35">
      <c r="B70" s="5" t="s">
        <v>103</v>
      </c>
      <c r="C70" s="55">
        <f t="shared" si="0"/>
        <v>2840116.3756000008</v>
      </c>
      <c r="D70" s="48"/>
      <c r="E70" s="52">
        <v>258252.90289999996</v>
      </c>
      <c r="F70" s="55">
        <v>2581863.4727000007</v>
      </c>
    </row>
    <row r="71" spans="2:6" x14ac:dyDescent="0.35">
      <c r="B71" s="5" t="s">
        <v>98</v>
      </c>
      <c r="C71" s="55">
        <f t="shared" si="0"/>
        <v>1980447.3407999999</v>
      </c>
      <c r="D71" s="48"/>
      <c r="E71" s="52">
        <v>235669.72729999985</v>
      </c>
      <c r="F71" s="55">
        <v>1744777.6135</v>
      </c>
    </row>
    <row r="72" spans="2:6" ht="15" thickBot="1" x14ac:dyDescent="0.4">
      <c r="B72" s="5" t="s">
        <v>100</v>
      </c>
      <c r="C72" s="56">
        <f>SUM(E72:F72)</f>
        <v>1919145.2543999995</v>
      </c>
      <c r="D72" s="48"/>
      <c r="E72" s="53">
        <v>210117.85570000001</v>
      </c>
      <c r="F72" s="56">
        <v>1709027.3986999996</v>
      </c>
    </row>
  </sheetData>
  <mergeCells count="2">
    <mergeCell ref="B1:D1"/>
    <mergeCell ref="E1:G1"/>
  </mergeCells>
  <conditionalFormatting sqref="C53:C56">
    <cfRule type="colorScale" priority="15">
      <colorScale>
        <cfvo type="min"/>
        <cfvo type="percentile" val="50"/>
        <cfvo type="max"/>
        <color rgb="FFF8696B"/>
        <color rgb="FFFFEB84"/>
        <color rgb="FF63BE7B"/>
      </colorScale>
    </cfRule>
  </conditionalFormatting>
  <conditionalFormatting sqref="C57:C60">
    <cfRule type="colorScale" priority="14">
      <colorScale>
        <cfvo type="min"/>
        <cfvo type="percentile" val="50"/>
        <cfvo type="max"/>
        <color rgb="FFF8696B"/>
        <color rgb="FFFFEB84"/>
        <color rgb="FF63BE7B"/>
      </colorScale>
    </cfRule>
  </conditionalFormatting>
  <conditionalFormatting sqref="C61:C64">
    <cfRule type="colorScale" priority="13">
      <colorScale>
        <cfvo type="min"/>
        <cfvo type="percentile" val="50"/>
        <cfvo type="max"/>
        <color rgb="FFF8696B"/>
        <color rgb="FFFFEB84"/>
        <color rgb="FF63BE7B"/>
      </colorScale>
    </cfRule>
  </conditionalFormatting>
  <conditionalFormatting sqref="C65:C68">
    <cfRule type="colorScale" priority="12">
      <colorScale>
        <cfvo type="min"/>
        <cfvo type="percentile" val="50"/>
        <cfvo type="max"/>
        <color rgb="FFF8696B"/>
        <color rgb="FFFFEB84"/>
        <color rgb="FF63BE7B"/>
      </colorScale>
    </cfRule>
  </conditionalFormatting>
  <conditionalFormatting sqref="C69:C72">
    <cfRule type="colorScale" priority="11">
      <colorScale>
        <cfvo type="min"/>
        <cfvo type="percentile" val="50"/>
        <cfvo type="max"/>
        <color rgb="FFF8696B"/>
        <color rgb="FFFFEB84"/>
        <color rgb="FF63BE7B"/>
      </colorScale>
    </cfRule>
  </conditionalFormatting>
  <conditionalFormatting sqref="E53:E56">
    <cfRule type="colorScale" priority="10">
      <colorScale>
        <cfvo type="min"/>
        <cfvo type="percentile" val="50"/>
        <cfvo type="max"/>
        <color rgb="FFF8696B"/>
        <color rgb="FFFFEB84"/>
        <color rgb="FF63BE7B"/>
      </colorScale>
    </cfRule>
  </conditionalFormatting>
  <conditionalFormatting sqref="E53:E72">
    <cfRule type="colorScale" priority="17">
      <colorScale>
        <cfvo type="min"/>
        <cfvo type="percentile" val="50"/>
        <cfvo type="max"/>
        <color rgb="FFF8696B"/>
        <color rgb="FFFFEB84"/>
        <color rgb="FF63BE7B"/>
      </colorScale>
    </cfRule>
  </conditionalFormatting>
  <conditionalFormatting sqref="E57:E60">
    <cfRule type="colorScale" priority="9">
      <colorScale>
        <cfvo type="min"/>
        <cfvo type="percentile" val="50"/>
        <cfvo type="max"/>
        <color rgb="FFF8696B"/>
        <color rgb="FFFFEB84"/>
        <color rgb="FF63BE7B"/>
      </colorScale>
    </cfRule>
  </conditionalFormatting>
  <conditionalFormatting sqref="E61:E64">
    <cfRule type="colorScale" priority="8">
      <colorScale>
        <cfvo type="min"/>
        <cfvo type="percentile" val="50"/>
        <cfvo type="max"/>
        <color rgb="FFF8696B"/>
        <color rgb="FFFFEB84"/>
        <color rgb="FF63BE7B"/>
      </colorScale>
    </cfRule>
  </conditionalFormatting>
  <conditionalFormatting sqref="E65:E68">
    <cfRule type="colorScale" priority="7">
      <colorScale>
        <cfvo type="min"/>
        <cfvo type="percentile" val="50"/>
        <cfvo type="max"/>
        <color rgb="FFF8696B"/>
        <color rgb="FFFFEB84"/>
        <color rgb="FF63BE7B"/>
      </colorScale>
    </cfRule>
  </conditionalFormatting>
  <conditionalFormatting sqref="E69:E72">
    <cfRule type="colorScale" priority="6">
      <colorScale>
        <cfvo type="min"/>
        <cfvo type="percentile" val="50"/>
        <cfvo type="max"/>
        <color rgb="FFF8696B"/>
        <color rgb="FFFFEB84"/>
        <color rgb="FF63BE7B"/>
      </colorScale>
    </cfRule>
  </conditionalFormatting>
  <conditionalFormatting sqref="F53:F56">
    <cfRule type="colorScale" priority="5">
      <colorScale>
        <cfvo type="min"/>
        <cfvo type="percentile" val="50"/>
        <cfvo type="max"/>
        <color rgb="FFF8696B"/>
        <color rgb="FFFFEB84"/>
        <color rgb="FF63BE7B"/>
      </colorScale>
    </cfRule>
  </conditionalFormatting>
  <conditionalFormatting sqref="F53:F72">
    <cfRule type="colorScale" priority="16">
      <colorScale>
        <cfvo type="min"/>
        <cfvo type="percentile" val="50"/>
        <cfvo type="max"/>
        <color rgb="FFF8696B"/>
        <color rgb="FFFFEB84"/>
        <color rgb="FF63BE7B"/>
      </colorScale>
    </cfRule>
  </conditionalFormatting>
  <conditionalFormatting sqref="F57:F60">
    <cfRule type="colorScale" priority="4">
      <colorScale>
        <cfvo type="min"/>
        <cfvo type="percentile" val="50"/>
        <cfvo type="max"/>
        <color rgb="FFF8696B"/>
        <color rgb="FFFFEB84"/>
        <color rgb="FF63BE7B"/>
      </colorScale>
    </cfRule>
  </conditionalFormatting>
  <conditionalFormatting sqref="F61:F64">
    <cfRule type="colorScale" priority="3">
      <colorScale>
        <cfvo type="min"/>
        <cfvo type="percentile" val="50"/>
        <cfvo type="max"/>
        <color rgb="FFF8696B"/>
        <color rgb="FFFFEB84"/>
        <color rgb="FF63BE7B"/>
      </colorScale>
    </cfRule>
  </conditionalFormatting>
  <conditionalFormatting sqref="F65:F68">
    <cfRule type="colorScale" priority="2">
      <colorScale>
        <cfvo type="min"/>
        <cfvo type="percentile" val="50"/>
        <cfvo type="max"/>
        <color rgb="FFF8696B"/>
        <color rgb="FFFFEB84"/>
        <color rgb="FF63BE7B"/>
      </colorScale>
    </cfRule>
  </conditionalFormatting>
  <conditionalFormatting sqref="F69:F72">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6F685-2777-4F50-BB53-460C2484840C}">
  <dimension ref="A1:H14"/>
  <sheetViews>
    <sheetView tabSelected="1" workbookViewId="0">
      <selection sqref="A1:XFD1"/>
    </sheetView>
  </sheetViews>
  <sheetFormatPr defaultRowHeight="14.5" x14ac:dyDescent="0.35"/>
  <cols>
    <col min="2" max="3" width="13.54296875" bestFit="1" customWidth="1"/>
    <col min="4" max="4" width="12.08984375" customWidth="1"/>
    <col min="5" max="6" width="14.81640625" bestFit="1" customWidth="1"/>
    <col min="7" max="8" width="9.90625" bestFit="1" customWidth="1"/>
  </cols>
  <sheetData>
    <row r="1" spans="1:8" x14ac:dyDescent="0.35">
      <c r="B1" s="103" t="s">
        <v>19</v>
      </c>
      <c r="C1" s="103"/>
      <c r="D1" s="103"/>
      <c r="E1" s="103" t="s">
        <v>21</v>
      </c>
      <c r="F1" s="103"/>
      <c r="G1" s="103"/>
    </row>
    <row r="2" spans="1:8" x14ac:dyDescent="0.35">
      <c r="B2" s="6" t="s">
        <v>4</v>
      </c>
      <c r="C2" s="6" t="s">
        <v>72</v>
      </c>
      <c r="D2" s="6" t="s">
        <v>71</v>
      </c>
      <c r="E2" s="6" t="s">
        <v>4</v>
      </c>
      <c r="F2" s="6" t="s">
        <v>72</v>
      </c>
      <c r="G2" s="6" t="s">
        <v>71</v>
      </c>
    </row>
    <row r="3" spans="1:8" x14ac:dyDescent="0.35">
      <c r="A3" s="6">
        <v>2022</v>
      </c>
      <c r="B3" s="37">
        <f>SUMIFS(sales_data_1[Sales_Amount],sales_data_1[Year],A3,sales_data_1[Sales_Channel],"Online")</f>
        <v>42740257.517420426</v>
      </c>
      <c r="C3" s="37">
        <f>SUMIFS(sales_data_1[Profit_Margin],sales_data_1[Year],A3,sales_data_1[Sales_Channel],"Online")</f>
        <v>16070040.347100008</v>
      </c>
      <c r="D3" s="5">
        <f>SUMIFS(sales_data_1[Quantity_Sold],sales_data_1[Year],A3,sales_data_1[Sales_Channel],"Online")</f>
        <v>13894</v>
      </c>
      <c r="E3" s="24">
        <f>SUMIFS(sales_data_1[Sales_Amount],sales_data_1[Year],A3,sales_data_1[Sales_Channel],"Retail")</f>
        <v>44776791.720504001</v>
      </c>
      <c r="F3" s="24">
        <f>SUMIFS(sales_data_1[Profit_Margin],sales_data_1[Year],A3,sales_data_1[Sales_Channel],"Retail")</f>
        <v>18836636.123000022</v>
      </c>
      <c r="G3" s="5">
        <f>SUMIFS(sales_data_1[Quantity_Sold],sales_data_1[Year],A3,sales_data_1[Sales_Channel],"Retail")</f>
        <v>14375</v>
      </c>
    </row>
    <row r="4" spans="1:8" x14ac:dyDescent="0.35">
      <c r="A4" s="6">
        <v>2023</v>
      </c>
      <c r="B4" s="37">
        <f>SUMIFS(sales_data_1[Sales_Amount],sales_data_1[Year],A4,sales_data_1[Sales_Channel],"Online")</f>
        <v>34462077.245438486</v>
      </c>
      <c r="C4" s="37">
        <f>SUMIFS(sales_data_1[Profit_Margin],sales_data_1[Year],A4,sales_data_1[Sales_Channel],"Online")</f>
        <v>2030284.7123999996</v>
      </c>
      <c r="D4" s="5">
        <f>SUMIFS(sales_data_1[Quantity_Sold],sales_data_1[Year],A4,sales_data_1[Sales_Channel],"Online")</f>
        <v>12567</v>
      </c>
      <c r="E4" s="24">
        <f>SUMIFS(sales_data_1[Sales_Amount],sales_data_1[Year],A4,sales_data_1[Sales_Channel],"Retail")</f>
        <v>33398528.692505486</v>
      </c>
      <c r="F4" s="24">
        <f>SUMIFS(sales_data_1[Profit_Margin],sales_data_1[Year],A4,sales_data_1[Sales_Channel],"Retail")</f>
        <v>2027633.6878999996</v>
      </c>
      <c r="G4" s="5">
        <f>SUMIFS(sales_data_1[Quantity_Sold],sales_data_1[Year],A4,sales_data_1[Sales_Channel],"Retail")</f>
        <v>12711</v>
      </c>
    </row>
    <row r="5" spans="1:8" x14ac:dyDescent="0.35">
      <c r="A5" s="6">
        <v>2024</v>
      </c>
      <c r="B5" s="37">
        <f>SUMIFS(sales_data_1[Sales_Amount],sales_data_1[Year],A5,sales_data_1[Sales_Channel],"Online")</f>
        <v>45381929.299634032</v>
      </c>
      <c r="C5" s="37">
        <f>SUMIFS(sales_data_1[Profit_Margin],sales_data_1[Year],A5,sales_data_1[Sales_Channel],"Online")</f>
        <v>18940170.395100024</v>
      </c>
      <c r="D5" s="5">
        <f>SUMIFS(sales_data_1[Quantity_Sold],sales_data_1[Year],A5,sales_data_1[Sales_Channel],"Online")</f>
        <v>14060</v>
      </c>
      <c r="E5" s="24">
        <f>SUMIFS(sales_data_1[Sales_Amount],sales_data_1[Year],A5,sales_data_1[Sales_Channel],"Retail")</f>
        <v>42085819.180052638</v>
      </c>
      <c r="F5" s="24">
        <f>SUMIFS(sales_data_1[Profit_Margin],sales_data_1[Year],A5,sales_data_1[Sales_Channel],"Retail")</f>
        <v>17716508.673799992</v>
      </c>
      <c r="G5" s="5">
        <f>SUMIFS(sales_data_1[Quantity_Sold],sales_data_1[Year],A5,sales_data_1[Sales_Channel],"Retail")</f>
        <v>13553</v>
      </c>
    </row>
    <row r="6" spans="1:8" x14ac:dyDescent="0.35">
      <c r="A6" s="6" t="s">
        <v>58</v>
      </c>
      <c r="B6" s="37">
        <f>SUM(B4:B5)</f>
        <v>79844006.545072526</v>
      </c>
      <c r="C6" s="37">
        <f t="shared" ref="C6:G6" si="0">SUM(C4:C5)</f>
        <v>20970455.107500024</v>
      </c>
      <c r="D6" s="5">
        <f t="shared" si="0"/>
        <v>26627</v>
      </c>
      <c r="E6" s="37">
        <f t="shared" si="0"/>
        <v>75484347.872558117</v>
      </c>
      <c r="F6" s="37">
        <f t="shared" si="0"/>
        <v>19744142.361699991</v>
      </c>
      <c r="G6" s="5">
        <f t="shared" si="0"/>
        <v>26264</v>
      </c>
    </row>
    <row r="11" spans="1:8" x14ac:dyDescent="0.35">
      <c r="F11" s="57"/>
    </row>
    <row r="12" spans="1:8" x14ac:dyDescent="0.35">
      <c r="B12" t="s">
        <v>19</v>
      </c>
      <c r="C12" t="s">
        <v>21</v>
      </c>
      <c r="G12" s="44">
        <f>D6</f>
        <v>26627</v>
      </c>
      <c r="H12" s="44">
        <f>G6</f>
        <v>26264</v>
      </c>
    </row>
    <row r="13" spans="1:8" x14ac:dyDescent="0.35">
      <c r="B13" s="57">
        <f>C6</f>
        <v>20970455.107500024</v>
      </c>
      <c r="C13" s="57">
        <f>F6</f>
        <v>19744142.361699991</v>
      </c>
    </row>
    <row r="14" spans="1:8" x14ac:dyDescent="0.35">
      <c r="B14" s="58">
        <f>B13/($B$13+$C$13)</f>
        <v>0.5150598657732981</v>
      </c>
      <c r="C14" s="58">
        <f>C13/($B$13+$C$13)</f>
        <v>0.48494013422670185</v>
      </c>
    </row>
  </sheetData>
  <mergeCells count="2">
    <mergeCell ref="B1:D1"/>
    <mergeCell ref="E1:G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7FBA31-2C3B-4EAD-BC39-1AA0838858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sales_data</vt:lpstr>
      <vt:lpstr>Pivot</vt:lpstr>
      <vt:lpstr>sales_data_1</vt:lpstr>
      <vt:lpstr>product_category_id_lookup</vt:lpstr>
      <vt:lpstr>revenue_by_rep</vt:lpstr>
      <vt:lpstr>yearly_revenue_by_rep</vt:lpstr>
      <vt:lpstr>avg_sale_value_by_rep</vt:lpstr>
      <vt:lpstr>profit_by_rep</vt:lpstr>
      <vt:lpstr>revenue_by_region</vt:lpstr>
      <vt:lpstr>region heatmap</vt:lpstr>
      <vt:lpstr>qty_sales_by_rep</vt:lpstr>
      <vt:lpstr>product_category</vt:lpstr>
      <vt:lpstr>Product treemap</vt:lpstr>
      <vt:lpstr>Discounts</vt:lpstr>
      <vt:lpstr>Returning_v_New_Customers</vt:lpstr>
      <vt:lpstr>Online_v_Retail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Ofori Yeboah Moore</dc:creator>
  <cp:lastModifiedBy>Michael Moore</cp:lastModifiedBy>
  <dcterms:created xsi:type="dcterms:W3CDTF">2025-04-14T22:27:05Z</dcterms:created>
  <dcterms:modified xsi:type="dcterms:W3CDTF">2025-04-25T18:57:20Z</dcterms:modified>
</cp:coreProperties>
</file>